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or Importrange" sheetId="1" r:id="rId3"/>
    <sheet state="visible" name="Sheet12" sheetId="2" r:id="rId4"/>
    <sheet state="hidden" name="Copy of Color Importrange" sheetId="3" r:id="rId5"/>
    <sheet state="visible" name="reference" sheetId="4" r:id="rId6"/>
    <sheet state="visible" name="Description Database" sheetId="5" r:id="rId7"/>
    <sheet state="visible" name="inventory importrange" sheetId="6" r:id="rId8"/>
    <sheet state="visible" name="smartphone" sheetId="7" r:id="rId9"/>
    <sheet state="visible" name="Data validation" sheetId="8" r:id="rId10"/>
    <sheet state="visible" name="going_live" sheetId="9" r:id="rId11"/>
    <sheet state="visible" name="website_inventory_log" sheetId="10" r:id="rId12"/>
    <sheet state="visible" name="brands_id" sheetId="11" r:id="rId13"/>
    <sheet state="visible" name="models_id" sheetId="12" r:id="rId14"/>
  </sheets>
  <definedNames>
    <definedName hidden="1" localSheetId="2" name="_xlnm._FilterDatabase">'Copy of Color Importrange'!$A$3:$Z$50</definedName>
    <definedName hidden="1" localSheetId="3" name="_xlnm._FilterDatabase">reference!$A$1:$AB$197</definedName>
    <definedName hidden="1" localSheetId="4" name="_xlnm._FilterDatabase">'Description Database'!$A$1:$AB$85</definedName>
  </definedNames>
  <calcPr/>
</workbook>
</file>

<file path=xl/sharedStrings.xml><?xml version="1.0" encoding="utf-8"?>
<sst xmlns="http://schemas.openxmlformats.org/spreadsheetml/2006/main" count="17152" uniqueCount="6675">
  <si>
    <t xml:space="preserve">Date </t>
  </si>
  <si>
    <t>Inventory sheet</t>
  </si>
  <si>
    <t xml:space="preserve">Website </t>
  </si>
  <si>
    <t>Consolidated inventory for website updating - Responsibility : Vikas</t>
  </si>
  <si>
    <t>SUM of Available Qty.</t>
  </si>
  <si>
    <t>Grade for sales</t>
  </si>
  <si>
    <t>Model Details</t>
  </si>
  <si>
    <t>Color</t>
  </si>
  <si>
    <t>A</t>
  </si>
  <si>
    <t>A+</t>
  </si>
  <si>
    <t>B</t>
  </si>
  <si>
    <t>Grand Total</t>
  </si>
  <si>
    <t>Apple IPHONE 8 (2 GB/256 GB)</t>
  </si>
  <si>
    <t>GREY</t>
  </si>
  <si>
    <t>Apple IPHONE SE (2 GB/64 GB)</t>
  </si>
  <si>
    <t>RED</t>
  </si>
  <si>
    <t>Done</t>
  </si>
  <si>
    <t>Apple iPhone XS Max (4 GB/64 GB)</t>
  </si>
  <si>
    <t>GOLD</t>
  </si>
  <si>
    <t>WHITE</t>
  </si>
  <si>
    <t>ASUS ZENFONE MAX PRO M2 (4 GB/64 GB)</t>
  </si>
  <si>
    <t>PURPLE</t>
  </si>
  <si>
    <t>Honor 9N (3 GB/32 GB)</t>
  </si>
  <si>
    <t>BLUE</t>
  </si>
  <si>
    <t>OnePlus 6 (6 GB/64 GB)</t>
  </si>
  <si>
    <t>BLACK</t>
  </si>
  <si>
    <t>OnePlus 6T (6 GB/128 GB)</t>
  </si>
  <si>
    <t>ONEPLUS 7 (6 GB/128 GB)</t>
  </si>
  <si>
    <t>OnePlus 7 (8 GB/256 GB)</t>
  </si>
  <si>
    <t>ONEPLUS 7 PRO (6 GB/128 GB)</t>
  </si>
  <si>
    <t>ONEPLUS 7T (8 GB/128 GB)</t>
  </si>
  <si>
    <t>ONEPLUS 7T(8 GB 256GB)</t>
  </si>
  <si>
    <t>Oppo F11 Pro (6 GB/128 GB)</t>
  </si>
  <si>
    <t>Oppo F11 PRO (6 GB/64 GB)</t>
  </si>
  <si>
    <t>Oppo RENO 2Z (8 GB/256 GB)</t>
  </si>
  <si>
    <t>Samsung GALAXY A21S (4 GB/64 GB)</t>
  </si>
  <si>
    <t>Samsung Galaxy A51 (6 GB/128 GB)</t>
  </si>
  <si>
    <t>Samsung METRO 360 ( )</t>
  </si>
  <si>
    <t>Vivo S1 (4 GB/128 GB)</t>
  </si>
  <si>
    <t>Vivo V15 (6 GB/64 GB)</t>
  </si>
  <si>
    <t>Vivo V9 YOUTH (4 GB/32 GB)</t>
  </si>
  <si>
    <t>Vivo Y30 (4 GB/128 GB)</t>
  </si>
  <si>
    <t>Xiaomi Redmi Note 7 Pro (4 GB/64 GB)</t>
  </si>
  <si>
    <t>Models</t>
  </si>
  <si>
    <t>product_id</t>
  </si>
  <si>
    <t>parent_category</t>
  </si>
  <si>
    <t>product_sku</t>
  </si>
  <si>
    <t>product_name</t>
  </si>
  <si>
    <t>product_category</t>
  </si>
  <si>
    <t>product_brand</t>
  </si>
  <si>
    <t>product_model</t>
  </si>
  <si>
    <t>RAM</t>
  </si>
  <si>
    <t>ROM</t>
  </si>
  <si>
    <t>screen_size</t>
  </si>
  <si>
    <t>product_shdesc</t>
  </si>
  <si>
    <t>product_lodesc</t>
  </si>
  <si>
    <t>product_image</t>
  </si>
  <si>
    <t>product_price</t>
  </si>
  <si>
    <t>product_marketprice</t>
  </si>
  <si>
    <t>product_quantity</t>
  </si>
  <si>
    <t>product_status</t>
  </si>
  <si>
    <t>check_deliverable</t>
  </si>
  <si>
    <t>image</t>
  </si>
  <si>
    <t>FT03_iPhone_8_2_256_2_Grey</t>
  </si>
  <si>
    <t>Apple iPhone 8 Grey</t>
  </si>
  <si>
    <t>FT03</t>
  </si>
  <si>
    <t>FT03_iPhone_8</t>
  </si>
  <si>
    <t>Display: 6.28-inch (1080x2280),Processor: Qualcomm Snapdragon 845,Front Camera: 16MP,Rear Camera: 16+20MP,RAM: 4GB,ROM:64GB,Battery Capacity:3300mAh</t>
  </si>
  <si>
    <t>An impressive phone with appealing design, vibrant screen, solid camera experience, super fast charging and great performance. Basically a phone that can take on all the other biggest flagship phones because of all the features of a top tier phone at a much lower price point.</t>
  </si>
  <si>
    <t>FT03_iPhone_8_grey.png</t>
  </si>
  <si>
    <t>FT03_iPhone_SE_2_64_1_WHITE</t>
  </si>
  <si>
    <t>980706053F</t>
  </si>
  <si>
    <t>Apple iPhone SE White</t>
  </si>
  <si>
    <t>FT03_iPhone_SE</t>
  </si>
  <si>
    <t>Display: 4.00-inch (640x1136),Processor: Apple A9,Front Camera: 1.2MP,Rear Camera: 12MP,RAM: 2GB, ROM:64MP Battery Capacity: 1642mAh</t>
  </si>
  <si>
    <t>Apple iPhone SE - compact in size, large in power. This smart device comes with powerful A13 Bionic chip, portrait mode,  4K video, beautiful 4.7-inch Retina HD display and Touch ID1. Further, long lasting battery adds to its beauty. Definitely a smart choice to make!</t>
  </si>
  <si>
    <t>Apple IPHONE SE (3 GB/128 GB)</t>
  </si>
  <si>
    <t>FT03_iPhone_SE_3_128_1_BLACK</t>
  </si>
  <si>
    <t>Apple iPhone SE Black</t>
  </si>
  <si>
    <t xml:space="preserve">Display: 4.7-inch (750x1334),Processor: Apple A13 Bionic,Front Camera: 7MP,Rear Camera: 12MP,RAM: 3GB, ROM:128GB Battery Capacity: 1821mAh
</t>
  </si>
  <si>
    <t>Apple iPhone SE has got the best bionic chip in the market. Other than that, the camera quality is brilliant. The rear facing camera boasts improved quality with potrait mode and lightening effects. The color options are stunning and overall design is impressive. All in all, a good phone to invest in.</t>
  </si>
  <si>
    <t>FT03_iphone_SE_ black-min.png</t>
  </si>
  <si>
    <t>FT03_iPhone_SE_3_128_2_BLACK</t>
  </si>
  <si>
    <t>J98DSFH9SDHF9S</t>
  </si>
  <si>
    <t>Apple iPhone SE (3 GB/64 GB)</t>
  </si>
  <si>
    <t>FT03_iPhone_SE_3_64_1_RED</t>
  </si>
  <si>
    <t>Apple iPhone SE Red</t>
  </si>
  <si>
    <t>Display: 4.7-inch (750x1334),Processor: Apple A14 Bionic,Front Camera: 12MP,Rear Camera: 12MP,RAM: 3GB, ROM:64GB Battery Capacity: 2821mAh</t>
  </si>
  <si>
    <t>FT03_iphone_SE_red-min.png</t>
  </si>
  <si>
    <t>done</t>
  </si>
  <si>
    <t>FT03_iPhone_XS_Max_4_64_2_White</t>
  </si>
  <si>
    <t>Apple iPhone XS Max White</t>
  </si>
  <si>
    <t>FT03_iPhone_XS_Max</t>
  </si>
  <si>
    <t>Display: 6.50-inch (1242x2688), Processor: Apple A12 Bionic ,Front Camera: 7MP,Rear Camera: 12MP + 12MP ,RAM: 4GB,ROM:64GB,Battery Capacity:3174 mAh</t>
  </si>
  <si>
    <t>If you are looking for an iPhone that brings the perfect blend of great performance and timeless beauty then this iPhone SX Max is for you. The iPhone XSMax comes with a 16.51-cm OLED Super Retina HD Display, Made of Surgical-grade Stainless Steel, an Advanced Face ID feature, and many more. A 64 GB of ROM, the powerful A12 Bionic chip, and a mind-blowing stunning camera, what more could you ask for?</t>
  </si>
  <si>
    <t>FT03_iPhone_XS_max_silver.png</t>
  </si>
  <si>
    <t>FT08_1+6T_6_128_1_BLACK</t>
  </si>
  <si>
    <t>OnePlus 6T Black</t>
  </si>
  <si>
    <t>FT08</t>
  </si>
  <si>
    <t>FT08_1+6T</t>
  </si>
  <si>
    <t>Display: 6.41-inch (1080x2340),Processor: Qualcomm Snapdragon 845,Front Camera: 16MP,Rear Camera: 16+20MP,RAM: 6GB,ROM:128GB,Battery Capacity:3700mAh</t>
  </si>
  <si>
    <t>A compelling alternative to a lot of other top end phones that are priced much higher than Oneplus 6T but offers almost the same features. A phone that has terrific power, great configuration, in-screen fingerprint scanner, super-fine display, all-day battery backup, latest software and an incredible speed.</t>
  </si>
  <si>
    <t>FT08_1+6T  _black.png</t>
  </si>
  <si>
    <t>FT08_1+7_6_128_2_GREY</t>
  </si>
  <si>
    <t>567689876A</t>
  </si>
  <si>
    <t>OnePlus 7 Grey</t>
  </si>
  <si>
    <t>FT08_1+7</t>
  </si>
  <si>
    <t>Display: 6.41-inch (1080x2340),Processor:Qualcomm Snapdragon 855,Front Camera: 16 MP,Rear Camera: 48MP + 5MP,RAM: 6GB,ROM: 128GB,Battery Capacity: 3700mAh</t>
  </si>
  <si>
    <t>With great OLED screen, top notch under display fingerprint performance,  decently sounding stereo speakers, excellent battery life and main camera, OnePlus 7 is a quality smartphone alternative! Also, the 20W charging speed is better than most in the class.</t>
  </si>
  <si>
    <t>one_plus7_grey-min.png</t>
  </si>
  <si>
    <t>FT08_1+7_8_256_2_GREY</t>
  </si>
  <si>
    <t>Display: 6.41-inch (1080x2340),Processor:Qualcomm Snapdragon 855,Front Camera: 16 MP,Rear Camera: 48MP + 5MP,RAM: 8GB,ROM: 256GB,Battery Capacity: 3700mAh</t>
  </si>
  <si>
    <t>FT08_1+7_Pro_8_256_2_Grey</t>
  </si>
  <si>
    <t>OnePlus 7 Pro Grey</t>
  </si>
  <si>
    <t>FT08_1+7_Pro</t>
  </si>
  <si>
    <t>Display: 6.41-inch (1080x2340),Processor: Qualcomm Snapdragon 855,Front Camera: 16MP,Rear Camera: 48+5MP,RAM: 6GB,ROM:128 GB,Battery Capacity:3700mAh</t>
  </si>
  <si>
    <t xml:space="preserve">A powerful smartphone known for its top-of-the-line hardware, stellar performance and affordable pricing much cheaper than most of its rivals. Brilliant display, super fast charging, user-friendly operating system, all day battery life, superb cameras are some of the prominent features of this multitasking phone. </t>
  </si>
  <si>
    <t>one_plus7_pro_grey-min.png</t>
  </si>
  <si>
    <t>FT08_1+7T_8_128_2_GREY</t>
  </si>
  <si>
    <t>OnePlus 7T Grey</t>
  </si>
  <si>
    <t>FT08_1+7T</t>
  </si>
  <si>
    <t>Display: 6.55-inch (1080x2400),Processor: Qualcomm Snapdragon 855+,Front Camera: 16MP,Rear Camera: 48MP + 16MP + 12MP,RAM: 8GB,ROM:128 GB,Battery Capacity:3800mAh</t>
  </si>
  <si>
    <t>Excellent display, great brightness, great sunlight legibility, snappy fingerprint reader and attractive body design makes it an impressive smartphone.  The overall performance is brilliant, warp charge 30T is awesome and  Oxygen OS 10 is more customisable and fastest than ever.</t>
  </si>
  <si>
    <t>one_plus_7T_grey-min.png</t>
  </si>
  <si>
    <t>ONEPLUS 7T (8 GB/256 GB)</t>
  </si>
  <si>
    <t>FT08_1+7T_8_256_1_BLUE</t>
  </si>
  <si>
    <t>ONEPLUS 7T BLUE</t>
  </si>
  <si>
    <t>Display: 6.55-inch (1080x2400),Processor: Qualcomm Snapdragon 855+,Front Camera: 16MP,Rear Camera: 48MP + 16MP + 12MP,RAM: 6GB,ROM:128 GB,Battery Capacity:3800mAh</t>
  </si>
  <si>
    <t>one_plus_7T_Glacier blue-min.png</t>
  </si>
  <si>
    <t>FT10_S1_4_128_2_BLUE</t>
  </si>
  <si>
    <t>Vivo S1 Blue</t>
  </si>
  <si>
    <t>FT10</t>
  </si>
  <si>
    <t>FT10_S1</t>
  </si>
  <si>
    <t>Display:6.38-inch (1080x2340), Processor:MediaTek Helio P65, Front Camera:32MP, Rear Camera:16MP + 8MP + 5MP, RAM:4GB, ROM:128GB, Battery Capacity:4500mAh</t>
  </si>
  <si>
    <t xml:space="preserve">The Vivo S1 powered by a 2.0 GHz MediaTek Helio P65 octa-core processor and 4500 mAh battery, will redefine your smartphone experience. It features an AI Triple camera and a 32 MP Selfie Camera, that will enable you to click some impressive pictures and great selfies. This phone is capable of handling any task you throw towards it. </t>
  </si>
  <si>
    <t>FT10_S1_blue.png</t>
  </si>
  <si>
    <t>FT10_V15_6_64_1_BLUE</t>
  </si>
  <si>
    <t>Vivo V15 Blue</t>
  </si>
  <si>
    <t>FT10_V15</t>
  </si>
  <si>
    <t>Display:6.53-inch (1080x2340), Processor:MediaTek Helio P70 ,Front Camera: 32MP,Rear Camera:12MP + 8MP + 5MP ,RAM: 2GB,ROM:16GB,Battery Capacity:4000mAh</t>
  </si>
  <si>
    <t xml:space="preserve">Welcome the Vivo V15 that is equipped with an edgy combination of good performance and style. A great mobile with a display of 16.59 cm Ultra Fullview Display where everything comes to life. Click pictures with a notch higher AI Triple Rear Camera. </t>
  </si>
  <si>
    <t>Vivo_V15(blue).png</t>
  </si>
  <si>
    <t>FT10_V9_Youth_4_64_2_GOLD</t>
  </si>
  <si>
    <t>DF7DS9F9S</t>
  </si>
  <si>
    <t>Vivo V9 YOUTH Gold</t>
  </si>
  <si>
    <t>FT10_V9_Youth</t>
  </si>
  <si>
    <t>Display:6.30-inch (1080x2280), Processor:Qualcomm Snapdragon 450 ,Front Camera: 16MP,Rear Camera:16MP + 2MP, RAM: 4GB,ROM:32GB ,Battery Capacity:3260mAh</t>
  </si>
  <si>
    <t xml:space="preserve">The Vivo V9 Youth is good for those who do not want a bulky smartphone. It boasts an impressive 15.5 cm screen but less bulky to hold. This Vivo smartphone also identifies your age, gender, skin tone, etc.  Features such as Game Mode let you block messages, calls, and alerts while gaming.  Overall, a good smartphone to invest in. </t>
  </si>
  <si>
    <t>vivo_v9_ youth_gold.png</t>
  </si>
  <si>
    <t>Apple iPhone 5s (1 GB/16 GB)</t>
  </si>
  <si>
    <t>FT03_iPhone_5S_1_16_2_GREY</t>
  </si>
  <si>
    <t>Apple iPhone 5S Grey</t>
  </si>
  <si>
    <t>FT03_iPhone_5S</t>
  </si>
  <si>
    <t>Display: 4.00-inch (640x1136),Processor: Apple A7,Front Camera: 1.2MP,Rear Camera: 8MP,RAM: 1GB, Battery Capacity: 1570mAh</t>
  </si>
  <si>
    <t xml:space="preserve">An evolved version of the iPhone 5, 5S has an upgraded processor and a more useful all-round camera. Light &amp; comfortable phone with classy design that offers good performance. A smooth touch ID that works as promised, the phone is fully tested by our technical team.  </t>
  </si>
  <si>
    <t>FT03_iPhone_5S_1_16_2_SILVER</t>
  </si>
  <si>
    <t>Apple iPhone 5S Silver</t>
  </si>
  <si>
    <t>Apple iPhone 6 (1 GB/16 GB)</t>
  </si>
  <si>
    <t>FT03_iPhone_6_1_16_1_GOLD</t>
  </si>
  <si>
    <t>Apple iPhone 6 Gold</t>
  </si>
  <si>
    <t>FT03_iPhone_6</t>
  </si>
  <si>
    <t>Display: 4.70-inch (750x1334),Processor: Apple A8,Front Camera: 1.2MP,Rear Camera: 8MP,RAM: 1GB,ROM:16GB, Battery Capacity: 1810mAh</t>
  </si>
  <si>
    <t>The most significant changes to the iPhone 6 and iPhone 6 Plus are its displays; both branded as "Retina HD Display" and "ion-strengthened", the iPhone 6 display is 4.7 inches in size with a 16:9 resolution of 1334x750 (326 ppi, minus one row of pixels), while the iPhone 6 Plus includes a 5.5-inch 1920x1080 (1080p)</t>
  </si>
  <si>
    <t>FT03_iPhone_6_1_16_1_GREY</t>
  </si>
  <si>
    <t>Apple iPhone 6 Grey</t>
  </si>
  <si>
    <t>FT03_iPhone_6_GREY.png</t>
  </si>
  <si>
    <t>FT03_iPhone_6_1_16_1_SILVER</t>
  </si>
  <si>
    <t>Apple iPhone 6 Silver</t>
  </si>
  <si>
    <t>FT03_iPhone_6_1_16_2_GOLD</t>
  </si>
  <si>
    <t>FT03_iPhone_6_1_16_2_Gold</t>
  </si>
  <si>
    <t>Apple Iphone 6 Gold</t>
  </si>
  <si>
    <t>FT03_iPhone6_gold.png</t>
  </si>
  <si>
    <t>FT03_iPhone_6_1_16_2_GREY</t>
  </si>
  <si>
    <t>Apple iPhone 6 (1 GB/32 GB)</t>
  </si>
  <si>
    <t>FT03_iPhone_6_1_32_2_GOLD</t>
  </si>
  <si>
    <t>Display: 4.70-inch (750x1334),Processor: Apple A8,Front Camera: 1.2MP,Rear Camera: 8MP,RAM: 1GB,ROM:32GB, Battery Capacity: 1810mAh</t>
  </si>
  <si>
    <t>FT03_iPhone_6_1_32_2_GREY</t>
  </si>
  <si>
    <t>FT03_iPhone_6_GREY-min.png</t>
  </si>
  <si>
    <t>FT03_iPhone_6_1_32_1_GREY</t>
  </si>
  <si>
    <t>Apple iPhone 6 Plus (1 GB/16 GB)</t>
  </si>
  <si>
    <t>FT03_iPhone_6+_1_16_1_ROSEGOLD</t>
  </si>
  <si>
    <t>Apple iPhone 6 Plus Rose Gold</t>
  </si>
  <si>
    <t>FT03_iPhone_6+</t>
  </si>
  <si>
    <t>FT03_iPhone_6+_1_16_2_GOLD</t>
  </si>
  <si>
    <t>Apple iPhone 6 Plus Gold</t>
  </si>
  <si>
    <t>FT03_iPhone_6+_1_16_2_GREY</t>
  </si>
  <si>
    <t>Apple iPhone 6 Plus Grey</t>
  </si>
  <si>
    <t>Apple iPhone 6S (2 GB/128GB)</t>
  </si>
  <si>
    <t>FT03_iPhone_6S_2_128_1_ROSEGOLD</t>
  </si>
  <si>
    <t>Apple iPhone 6S Rose Gold</t>
  </si>
  <si>
    <t>FT03_iPhone_6S</t>
  </si>
  <si>
    <t>Display: 4.70-inch (750x1334),Processor: Apple A9,Front Camera: 5MP,Rear Camera: 12MP,RAM: 2GB,ROM:64, Battery Capacity: 1715mAh</t>
  </si>
  <si>
    <t>Apple iPhone 6s comes with a 4.70-inch touchscreen display with a resolution of 750x1334 pixels at a pixel density of 326 pixels per inch (ppi) and an aspect ratio of 16:9. Apple iPhone 6s is powered by a 1.84GHz dual-core Apple A9 processor. It comes with 2GB of RAM. The Apple iPhone 6s runs iOS 9 and is powered by a 1715mAh non-removable battery.</t>
  </si>
  <si>
    <t>Apple iPhone 6S (2 GB/16 GB)</t>
  </si>
  <si>
    <t>FT03_iPhone_6S_2_16_1_ROSEGOLD</t>
  </si>
  <si>
    <t>Display: 4.70-inch (750x1334),Processor: Apple A9,Front Camera: 5MP,Rear Camera: 12MP,RAM: 2GB,ROM:16, Battery Capacity: 1715mAh</t>
  </si>
  <si>
    <t>FT03_iPhone_6S_2_16_2_GOLD</t>
  </si>
  <si>
    <t>Apple iPhone 6S Gold</t>
  </si>
  <si>
    <t>Apple iPhone 7 (2 GB/128 GB)</t>
  </si>
  <si>
    <t>FT03_iPhone_6S_2_16_2_GREY</t>
  </si>
  <si>
    <t>Apple iPhone 6S Grey</t>
  </si>
  <si>
    <t>FT03_iPhone_6S_grey-min.png</t>
  </si>
  <si>
    <t>Apple iPhone 6S (2 GB/32 GB)</t>
  </si>
  <si>
    <t>FT03_iPhone_6S_2_32_1_ROSEGOLD</t>
  </si>
  <si>
    <t>Display: 4.70-inch (750x1334),Processor: Apple A9,Front Camera: 5MP,Rear Camera: 12MP,RAM: 2GB,ROM:32, Battery Capacity: 1715mAh</t>
  </si>
  <si>
    <t>FT03_iPhone_6S_2_32_2_BLACK</t>
  </si>
  <si>
    <t>Apple iPhone 6S Black</t>
  </si>
  <si>
    <t>FT03_iPhone_6S_2_32_2_GOLD</t>
  </si>
  <si>
    <t>FT03_iPhone_6S_2_32_2_GREY</t>
  </si>
  <si>
    <t>FT03_iPhone_6S_2_32_2_ROSEGOLD</t>
  </si>
  <si>
    <t>FT03_iPhone_6S_2_32_2_SILVER</t>
  </si>
  <si>
    <t>Apple iPhone 6S Silver</t>
  </si>
  <si>
    <t>FT03_iPhone_6S_grey.png</t>
  </si>
  <si>
    <t>Apple iPhone 6S (2 GB/64 GB)</t>
  </si>
  <si>
    <t>FT03_iPhone_6S_2_64_1_ROSEGOLD</t>
  </si>
  <si>
    <t>FT03_iPhone_6S_2_64_2_GREY</t>
  </si>
  <si>
    <t>FT03_iPhone_6S_2_64_2_GREY-min.png</t>
  </si>
  <si>
    <t>FT03_iPhone_6S_2_64_2_ROSEGOLD</t>
  </si>
  <si>
    <t>Apple iPhone 6S Plus (2 GB/64 GB)</t>
  </si>
  <si>
    <t>FT03_iPhone_6S+_2_64_1_ROSEGOLD</t>
  </si>
  <si>
    <t>Apple iPhone 6S+ Rose Gold</t>
  </si>
  <si>
    <t>FT03_iPhone_6S+</t>
  </si>
  <si>
    <t>Display: 5.50-inch (1080x1920),Processor: Apple A9,Front Camera:5MP,Rear Camera: 12MP,RAM: 2GB,ROM:64GB,Battery Capacity: 2900mAh</t>
  </si>
  <si>
    <t xml:space="preserve">This Apple device, iphone 6S+ is loaded with features - a bright, vibrant and clear display, exciting 3-D touch technology, powerful A9 processor, brilliant camera with bright front flash and powerful configuration. The phone makes all the right ticks at the right place. </t>
  </si>
  <si>
    <t>FT03_iPhone_6S+_2_64_2_GREY</t>
  </si>
  <si>
    <t>Apple iPhone 6S+ Grey</t>
  </si>
  <si>
    <t>FT03_iPhone_6S+_2_64_2_ROSEGOLD</t>
  </si>
  <si>
    <t>FT03_iPhone_6S+_2_64_1_ROSEGOLD-min.png</t>
  </si>
  <si>
    <t>Apple iPhone 7 (2 GB/32 GB)</t>
  </si>
  <si>
    <t>FT03_iPhone_7_2_32_2_DARK GREY</t>
  </si>
  <si>
    <t>Apple iPhone 7 Dark Grey</t>
  </si>
  <si>
    <t>FT03_iPhone_7</t>
  </si>
  <si>
    <t>Display: 4.7-inch (1080x1920),Processor: Apple A10 Fusion,Front Camera: 7MP,Rear Camera: 12MP, RAM: 2GB,ROM:32GB, Battery Capacity: 2900mAh</t>
  </si>
  <si>
    <t xml:space="preserve">Go for this phone if you want uncompromising performance and superb user experience. An unrivaled dual-camera phone with excellent battery life, updated processor and overall smart configuration. The phone is also water and splash resistant. </t>
  </si>
  <si>
    <t>FT03_iPhone_7_2_32_2_BLACK</t>
  </si>
  <si>
    <t>Apple iPhone 7 Black</t>
  </si>
  <si>
    <t>FT03_iPhone_7_2_32_2_GREY</t>
  </si>
  <si>
    <t>Apple iPhone 7 Grey</t>
  </si>
  <si>
    <t>Display: 5.50-inch (1080x1920),Processor: Apple A10 Fusion,Front Camera: 7MP,Rear Camera: 12MP, RAM: 2GB,ROM:32GB, Battery Capacity: 2900mAh</t>
  </si>
  <si>
    <t>FT03_iPhone_7_2_32_2_Rose Gold</t>
  </si>
  <si>
    <t>Apple iPhone 7 Rose Gold</t>
  </si>
  <si>
    <t>FT03_iphone_7_rose gold-min.png</t>
  </si>
  <si>
    <t>Apple IPHONE 8 (2 GB/64 GB)</t>
  </si>
  <si>
    <t>FT03_iPhone_8_2_64_2_BLACK</t>
  </si>
  <si>
    <t>Apple iPhone X (3 GB/64 GB)</t>
  </si>
  <si>
    <t>FT03_iPhone_XR_3_64_2_SILVER</t>
  </si>
  <si>
    <t>Apple iPhone X Silver</t>
  </si>
  <si>
    <t>FT03_iPhone_X</t>
  </si>
  <si>
    <t>Display: 5.80-inch (1125x2436),Processor: Apple A11 Bionic,Front Camera: 7MP,Rear Camera: 12MP+12MP,RAM: 3GB, Battery Capacity: 2716mAh</t>
  </si>
  <si>
    <t>One of the most talked about model, a model known to start off a new iPhone generation with first all screen front face ID, home key slayer, best smartphone screen, top notch camera, best stereo speakers, brilliant design &amp; built and an overall unmatched performance. A phone for a premium experience.</t>
  </si>
  <si>
    <t>Apple iPhone XR (3 GB/128 GB)</t>
  </si>
  <si>
    <t>FT03_iPhone_XR_3_128_1_GREY</t>
  </si>
  <si>
    <t>J676898765</t>
  </si>
  <si>
    <t>Apple iPhone XR Grey</t>
  </si>
  <si>
    <t>FT03_iPhone_XR</t>
  </si>
  <si>
    <t>Display:6.10-inch (828x192) ,Processor: Apple A12 Bionic,Front Camera: 7 MP,Rear Camera: 12 MP,RAM: 3GB,ROM: 128GB,Battery Capacity: 2942mAh</t>
  </si>
  <si>
    <t>This iPhone comes with extremely long batter life, largest LCD, water resistant quality, improved face Id and powerful A12 bionic chip. Definitely a great pick! Dual sim card support and great camera adds to its beauty.</t>
  </si>
  <si>
    <t>FT03_iPhone_XR_grey.png</t>
  </si>
  <si>
    <t>Apple iPhone XR (3 GB/64 GB)</t>
  </si>
  <si>
    <t>FT03_iPhone_XR_3_64_2_RED</t>
  </si>
  <si>
    <t>Apple iPhone XR Red</t>
  </si>
  <si>
    <t>Display: 6.10-inch (828x1792),Processor: Apple A12 Bionic,Front Camera: 7MP,Rear Camera: 12MP,RAM: 3GB, ROM:64, Battery Capacity: 2942mAh</t>
  </si>
  <si>
    <t xml:space="preserve">Buy this premium phone for a complete iPhone experience and enjoy all the features of an expensive phone but at a much lower cost. This premium build phone has an impessive camera, great battery life, almost bezel less design and one of the fastest A12 bionic processor. </t>
  </si>
  <si>
    <t>FT03_iPhone_XR_3_64_2_WHITE</t>
  </si>
  <si>
    <t>Apple iPhone XR White</t>
  </si>
  <si>
    <t>FT03_iphone_XR_ white-min.png</t>
  </si>
  <si>
    <t>FT03_iPhone_XR_3_128_2_White</t>
  </si>
  <si>
    <t>FT03_iPhone_XS_Max_4_64_2_GOLD</t>
  </si>
  <si>
    <t>Apple iPhone XS Max Gold</t>
  </si>
  <si>
    <t>FT03_iPhone_XS_Max_gold.png</t>
  </si>
  <si>
    <t>FT05_Zenfone_Max_Pro_4_64_2_PURPLE</t>
  </si>
  <si>
    <t>ASUS Zenfone Max Pro M2 Purple</t>
  </si>
  <si>
    <t>FT05</t>
  </si>
  <si>
    <t>FT05_Zenfone_Max_Pro</t>
  </si>
  <si>
    <t>Display: 6.26-inch (1080x2280), Processor: Qualcomm Snapdragon 660 ,Front Camera: 13MP,Rear Camera: 12MP + 5MP ,RAM: 4GB,ROM:64GB,Battery Capacity:5000mAh</t>
  </si>
  <si>
    <t>Meet the ZenFone Max Pro M2- the new smartphone that comes with some innovative features such as a Snapdragon 660 processor, a 5-magnet NXP speaker, and Corning Gorilla Glass 6 protection, to make you experience the best of safety and security. If you are looking for a smartphone that's powerful and sturdy inside and out then this phone is for you.</t>
  </si>
  <si>
    <t>asus_zenfone_max_pro_m2_purple.png</t>
  </si>
  <si>
    <t>GOOGLE PIXEL 2 (4 GB/64 GB)</t>
  </si>
  <si>
    <t>FT22_Pixel_2_4_64_2_BLACK</t>
  </si>
  <si>
    <t>GOOGLE PIXEL 2 BLACK</t>
  </si>
  <si>
    <t>FT22</t>
  </si>
  <si>
    <t>FT22_Pixel_2</t>
  </si>
  <si>
    <t>Display: 5.00-inch (1080x1920), Processor: Qualcomm Snapdragon 835 ,Front Camera: 8MP,Rear Camera: 12.2MP ,RAM: 4GB,ROM:64GB,Battery Capacity:2700mAh</t>
  </si>
  <si>
    <t xml:space="preserve">Here comes the Google Pixel 2 smartphone, which can capture some gorgeous pictures as it stands amongst the elite in smartphones. It has features like a smart rear camera with dual pixel-autofocus coupled with optical and electronic image stabilization, which helps in taking photographs in any light is effortless. The battery lasts longer and lets you work all day long. You can wrap up your tasks with the built-in Google Assistant throughout the day. It offers free unlimited storage for you to go on and click on the world. </t>
  </si>
  <si>
    <t>googlepixel_black.png</t>
  </si>
  <si>
    <t>FT04_Honor_9N_3_32_2_BLUE</t>
  </si>
  <si>
    <t>Honor 9N Blue</t>
  </si>
  <si>
    <t>FT04</t>
  </si>
  <si>
    <t>FT04_Honor_9N</t>
  </si>
  <si>
    <t>Display: 5.84-inch (1080x2280),Processor: HiSilicon Kirin 659,Front Camera: 16MP, Rear Camera: 13MP + 2MP,RAM: 3GB, Battery Capacity: 3000mAh</t>
  </si>
  <si>
    <t>The Honor 9N is a compact smartphone that sports a vibrant display and a fresh and modern design. However, the sub-par performance, average cameras, and mediocre battery life prevent it from competing with other smartphones</t>
  </si>
  <si>
    <t>FT04_HONOR_9N_BLUE.png</t>
  </si>
  <si>
    <t>Motorola MOTO G4 PLUS (3 GB/32 GB)</t>
  </si>
  <si>
    <t>FT02_Moto_G4+_3_32_2_BLACK</t>
  </si>
  <si>
    <t>Motorola MOTO G4 PLUS BLACK</t>
  </si>
  <si>
    <t>FT02</t>
  </si>
  <si>
    <t>FT02_Moto_G4+</t>
  </si>
  <si>
    <t>Display: 5.50-inch (1080x1920), Processor: Qualcomm Snapdragon 617 ,Front Camera: 5MP,Rear Camera: 16MP ,RAM: 3GB,ROM:32GB,Battery Capacity:3000mAh</t>
  </si>
  <si>
    <t xml:space="preserve">A decent phone in all ways, Moto G4 is well built, looks decent, and has excellent, up-to-date software. It is said to be a welcomed evolution of the Moto G series, as it is exceptionally good in terms of features and performance. The phone is packed in SoC upgrade which helps keep the latest version of Android running smoothly, comprised a fingerprint sensor, a good camera, and longer battery life. Overall, the Moto G4 Plus is a good buy for those looking for a solid, affordable all-rounder smartphone under the 15,000 price range. </t>
  </si>
  <si>
    <t>Motorola_G4_plus_black.png</t>
  </si>
  <si>
    <t>Oneplus 3 (6 GB/64 GB)</t>
  </si>
  <si>
    <t>FT08_1+3_6_64_2_DARKGREY</t>
  </si>
  <si>
    <t>OnePlus 3 Dark Grey</t>
  </si>
  <si>
    <t>FT08_1+3</t>
  </si>
  <si>
    <t>Display: 5.50-inch (1080x1920),Processor: Qualcomm Snapdragon 820,Front Camera: 8MP,Rear Camera: 16MP,RAM: 6GB, ROM:64GB,  Battery Capacity: 3000mAh</t>
  </si>
  <si>
    <t>The OnePlus 3 is a powerhouse smartphone with great design and build, a good Amoled screen, record-breaking performance, superb software, great battery life and an excellent price. It finally brings OnePlus into the domain of quality flagships, with a phone that excels on all fronts.</t>
  </si>
  <si>
    <t>FT08_1+3_6_64_2_GREY</t>
  </si>
  <si>
    <t>OnePlus 3 Grey</t>
  </si>
  <si>
    <t>FT08_1+3T _dark grey.png</t>
  </si>
  <si>
    <t>Oneplus 3T (6 GB/64 GB)</t>
  </si>
  <si>
    <t>FT08_1+3_6_64_2_GOLD</t>
  </si>
  <si>
    <t>OnePlus 3 Gold</t>
  </si>
  <si>
    <t>FT08_1+3T_6_64_2_DARKGREY</t>
  </si>
  <si>
    <t>OnePlus 3T Dark Grey</t>
  </si>
  <si>
    <t>FT08_1+3T</t>
  </si>
  <si>
    <t>Display: 5.50-inch (1080x1920),Processor: Qualcomm Snapdragon 821,Front Camera: 16MP,Rear Camera: 16MP,RAM: 6GB,ROM:64GB,  Battery Capacity: 3400mAh</t>
  </si>
  <si>
    <t>The OnePlus 3T is an upgraded version of the OnePlus 3, and features a bigger battery, higher resolution front camera and a faster SoC. ... Powering the phone is the efficient Snapdragon 821 SoC, 6GB of RAM and choice between 64GB and 128GB storage, depending on how much you're willing to pay.</t>
  </si>
  <si>
    <t>FT08_1+3T_6_64_2_GOLD</t>
  </si>
  <si>
    <t>OnePlus 3T Gold</t>
  </si>
  <si>
    <t>FT08_1+3 _gold.png</t>
  </si>
  <si>
    <t>FT08_1+3T_6_64_2_GREY</t>
  </si>
  <si>
    <t>OnePlus 3T Grey</t>
  </si>
  <si>
    <t>OnePlus 5 (6 GB/64 GB)</t>
  </si>
  <si>
    <t>FT08_1+5_6_64_2_GREY</t>
  </si>
  <si>
    <t>OnePlus 5 Grey</t>
  </si>
  <si>
    <t>FT08_1+5</t>
  </si>
  <si>
    <t>Display: 5.50-inch (1080x1920),Processor: Qualcomm Snapdragon 835,Front Camera: 16MP,Rear Camera: 16+20MP,RAM: 6GB,ROM:64GB,Battery Capacity:3300mAh</t>
  </si>
  <si>
    <t xml:space="preserve">A phone that offers most of the premium features but doesnt cost that much. One plus 5 is a phone known for its fast performance, sharp cameras, smart display and robust configuration.A phone that not only looks good but shoots good and runs good with multi-tasking capabilities and ultra-fast dash charging feature. </t>
  </si>
  <si>
    <t>oneplus_ 5_ grey.png</t>
  </si>
  <si>
    <t>FT08_1+6_6_64_1_BLACK</t>
  </si>
  <si>
    <t>OnePlus 6 Black</t>
  </si>
  <si>
    <t>FT08_1+6</t>
  </si>
  <si>
    <t>Display: 6.28-inch (1080x2280),Processor: Qualcomm Snapdragon 845,Front Camera: 16MP,Rear Camera: 16+20MP,RAM: 6GB,ROM:64GB,Battery Capacity:3300mAh</t>
  </si>
  <si>
    <t>FT08_1+6_BLACK.png</t>
  </si>
  <si>
    <t>FT08_1+6_6_64_2_BLACK</t>
  </si>
  <si>
    <t>Display: 6.28-inch (1080x2280),Processor: Qualcomm Snapdragon 845,Front Camera: 16MP,Rear Camera: 16+20MP,RAM: 8GB,ROM:128GB,Battery Capacity:3300mAh</t>
  </si>
  <si>
    <t>FT08_1+6_BLACK-min.png</t>
  </si>
  <si>
    <t>ONEPLUS 6 (8 GB/128 GB)</t>
  </si>
  <si>
    <t>FT08_1+6_8_128_2_BLACK</t>
  </si>
  <si>
    <t>h34jk2h5kj2h5</t>
  </si>
  <si>
    <t>FT08_1+6T_6_128_2_BLACK</t>
  </si>
  <si>
    <t>OnePlus 7 Pro (12 GB/256 GB)</t>
  </si>
  <si>
    <t>FT08_1+7_Pro_12_256_1_BLUE</t>
  </si>
  <si>
    <t>OnePlus 7 Pro</t>
  </si>
  <si>
    <t>Display: 6.41-inch (1080x2340),Processor: Qualcomm Snapdragon 855,Front Camera: 16MP,Rear Camera: 48+5MP,RAM: 8GB,ROM:256GB,Battery Capacity:3700mAh</t>
  </si>
  <si>
    <t>OnePlus 7 Pro (8 GB/256 GB)</t>
  </si>
  <si>
    <t>FT08_1+7_Pro_8_256_1_BLUE</t>
  </si>
  <si>
    <t>FT08_1+7_Pro_BLUE.png</t>
  </si>
  <si>
    <t>FT08_1+7_Pro_8_256_2_BLUE</t>
  </si>
  <si>
    <t>Oneplus 7T PRO (12 GB/256 GB)</t>
  </si>
  <si>
    <t>FT08_1+7T_Pro_12_256_2_ORANGE</t>
  </si>
  <si>
    <t>OnePlus 7T Pro</t>
  </si>
  <si>
    <t>FT08_1+7T_Pro</t>
  </si>
  <si>
    <t>Display: 6.67-inch (1440x3120),Processor: Qualcomm Snapdragon 855+,Front Camera: 16MP,Rear Camera: 48+16+8MP,RAM: 12GB,ROM:256GB,Battery Capacity:4085mAh</t>
  </si>
  <si>
    <t>A premium looking phone with a stunning curved glass display, frosted glass rear, clean &amp; customidsabel software, huge storage, quick charging feature and a sufficient battery capacity. An affordable version of the other flagships phones in the same high-end category with pop-up selfie camera and indisplay fingerprint scanner. A phone with power packed features.</t>
  </si>
  <si>
    <t>OnePlus 7T Pro (12 GB/256 GB)</t>
  </si>
  <si>
    <t>OPPO A3S (3 GB/32 GB)</t>
  </si>
  <si>
    <t>OPPO A3S Blue</t>
  </si>
  <si>
    <t>Display: 6.20-inch (720x1520),Processor: Qualcomm Snapdragon 450,Front Camera: 8MP,Rear Camera: 13MP+2MP,RAM: 3GB, Battery Capacity: 4230mAh</t>
  </si>
  <si>
    <t>One of the most affordable phone with a 6.2 " HD display, good brightness level and a notch display design. The phone has good battery capacity and the overall configuration makes it an all-rounder budget smartphone.</t>
  </si>
  <si>
    <t>FT11_F11_PRO_6_128_2_PURPLE</t>
  </si>
  <si>
    <t>Oppo F11 Pro PURPLE</t>
  </si>
  <si>
    <t>FT11</t>
  </si>
  <si>
    <t>FT11_F11_PRO</t>
  </si>
  <si>
    <t>Display:6.53-inch (1080x2340), Processor:MediaTek Helio P70, Front Camera:16MP, Rear Camera:48MP + 5MP , RAM:6GB, ROM:128 GB, Battery Capacity: 4000mAh</t>
  </si>
  <si>
    <t xml:space="preserve">Here is the Oppo F11 pro which is among the few smartphones launched to sport pop-up selfie cameras. The Oppo F11 has very thin bezels surrounding the phone. It has a big 6.5-inch display and a 90.9 percent screen-to-body ratio. Packed in a 4000 mAh battery and has support for 20W fast charging. </t>
  </si>
  <si>
    <t>FT11_Oppo_F11_PRO_purple.png</t>
  </si>
  <si>
    <t>Oppo F17 (8 GB/128 GB)</t>
  </si>
  <si>
    <t>FT11_F17_8_128_2_BLACK</t>
  </si>
  <si>
    <t>Oppo F17 Black</t>
  </si>
  <si>
    <t>FT11_F17</t>
  </si>
  <si>
    <t>Display:6.43-inch (1080x2340), Processor:MediaTek Helio P95 Octa Core, Front Camera:16MP, Rear Camera:40MP + 8MP , RAM:8GB, ROM:128 GB, Battery Capacity: 4015mAh</t>
  </si>
  <si>
    <t>Full HD + OLED display, vibrant colors, fingerprint sensors, compact design, smooth performance, 16MP camera, pleasing battery life and fast charging support. All in Oppo F17. You will not regret making this purchase.</t>
  </si>
  <si>
    <t>oppo_F17_ black-min.png</t>
  </si>
  <si>
    <t>Display:6.53-inch (1080x2340), Processor:MediaTek Helio P70, Front Camera:16MP, Rear Camera:48MP + 5MP , RAM:6GB, ROM:64GB, Battery Capacity: 4000mAh</t>
  </si>
  <si>
    <t>FT11_RENO_2Z_8_256_2_BLUE</t>
  </si>
  <si>
    <t>Oppo RENO 2Z Blue</t>
  </si>
  <si>
    <t>FT11_RENO_2Z</t>
  </si>
  <si>
    <t>Display:6.53-inch (1,080x2340), Processor: MediaTek Helio P90 ,Front Camera: 16MP, Rear Camera: 48MP + 8MP + 2MP + 2MP ,RAM: 8GB,ROM:256GB,Battery Capacity:4000mAh</t>
  </si>
  <si>
    <t xml:space="preserve">The high-end Oppo Reno 2Z smartphone features a 48MP Quadcam to click images from every angle, a 16.51-cm (6.5) AMOLED display for clear visuals, and 8 GB of RAM for fast and seamless performance. This new phone is best for clicking moments, beauties, wonders, and miracles of life. </t>
  </si>
  <si>
    <t>Oppo RENO 2Z_blue.png</t>
  </si>
  <si>
    <t>Poco F1 Blue</t>
  </si>
  <si>
    <t>FT09_Poco_F1_6_128_1_BLUE</t>
  </si>
  <si>
    <t>FT09</t>
  </si>
  <si>
    <t>FT09_Poco_F1</t>
  </si>
  <si>
    <t>Display: 6.18-inch (1080x2246),Processor: Qualcomm Snapdragon 845,Front Camera: 20MP,Rear Camera: 12MP+5MP,RAM: 6GB,ROM:128GB, Battery Capacity: 4000mAh</t>
  </si>
  <si>
    <t>A mid-range phone that offers great hardware, good battery life, sturdy body, bright display and a reasonable set of cameras. All in all an extraordinary value for money phone.</t>
  </si>
  <si>
    <t>Realme C1 2019 (2 GB/16 GB)</t>
  </si>
  <si>
    <t>Realme C1 Black</t>
  </si>
  <si>
    <t>Display: 6.20-inch (720x1520),Processor: Qualcomm Snapdragon 450,Front Camera: 8MP,Rear Camera: 13MP+2MP,RAM: 2GB, Battery Capacity: 4230mAh</t>
  </si>
  <si>
    <t>The Realme C1 features a large 6.2-inch HD+ display, which produces good brightness and colours. The plastic body feels sturdy in your hand but the laminated back is prone to scratches. The phone is powered by a Qualcomm Snapdragon 450 SoC. There's a large 4230mAh battery which takes a long time to charge with the bundled adapter.</t>
  </si>
  <si>
    <t>980706050A</t>
  </si>
  <si>
    <t>Samsung GALAXY A21S</t>
  </si>
  <si>
    <t>Display6.50-inch (720x1600), Processor:Samsung Exynos 850, Front Camera:13MP, Rear Camera:48MP + 8MP + 2MP + 2MP, RAM:4GB, ROM:64GB, Battery Capacity:5000mAh</t>
  </si>
  <si>
    <t>98070605H2</t>
  </si>
  <si>
    <t>Samsung Galaxy A51</t>
  </si>
  <si>
    <t>Display:6.50-inch (1080x2400), Processor:Samsung Exynos 9611, Front Camera:32MP, Rear Camera:48MP + 12MP + 5MP + 5MP, RAM:6GB, ROM:128GB, Battery Capacity:4000mAh</t>
  </si>
  <si>
    <t>Samsung Galaxy A51 is a brilliant pick owing to it's impressive design, great battery capacity, AMOLED display, reasonably fast charging and compact display size. Again a great phone to invest in!</t>
  </si>
  <si>
    <t>Samsung Galaxy A70 (6 GB/128 GB)</t>
  </si>
  <si>
    <t>FT14_A70_6_128_2_BLUE</t>
  </si>
  <si>
    <t>Samsung A70 Blue</t>
  </si>
  <si>
    <t>FT14</t>
  </si>
  <si>
    <t>FT14_A70</t>
  </si>
  <si>
    <t>Display: 6.70-inch (1080x2400),Processor: Qualcomm Snapdragon 675,Front Camera: 32MP,Rear Camera: 32+8+5MP,RAM: 6GB,ROM:128GB,Battery Capacity:4500mAh</t>
  </si>
  <si>
    <t xml:space="preserve">If you want to experience a premium phone at half the cost of a flagship phone, this is the phone you should buy. A balanced mid-ranger phone with the right combination of user-friendly software and a capable hardware. The phoone has bright &amp; beautiful super AMOLED display, excellent battery life, triple rear cameras, super-fast charging, great camera experience, triple card slot and a slow-mo video recording feature. </t>
  </si>
  <si>
    <t>Samsung Galaxy J7 Prime (3 GB/16 GB)</t>
  </si>
  <si>
    <t>FT14_J7_Prime_3_16_2_GOLD</t>
  </si>
  <si>
    <t>Samsung Galaxy J7 Prime Gold</t>
  </si>
  <si>
    <t>FT14_J7_Prime</t>
  </si>
  <si>
    <t>Display:5.50-inch (1080x1920), Processor:Samsung Exynos 7 Octa 7870 ,Front Camera: 8MP,Rear Camera: 13 MP ,RAM: 3GB,ROM:16GB,Battery Capacity:3300mAh</t>
  </si>
  <si>
    <t>Take your experience of mobile phones to the next level with the Samsung Galaxy J7 Prime phone. This model has uniquely attractive features such as its design so you can flaunt your style everywhere. It has an 8MP front camera and a 13MP rear camera that lets you click beautiful shots even in low-light conditions.</t>
  </si>
  <si>
    <t>Samsung Galaxy J7 Prime (gold).png</t>
  </si>
  <si>
    <t>Samsung Galaxy Note 10 Lite (8 GB/128 GB)</t>
  </si>
  <si>
    <t>FT14_NOTE10_Lite_8_128_2_BLACK</t>
  </si>
  <si>
    <t>Samsung Note 10 Lite Black</t>
  </si>
  <si>
    <t>FT14_NOTE10_Lite</t>
  </si>
  <si>
    <t>Samsung METRO 360</t>
  </si>
  <si>
    <t>FT14_Metro_360_RAM_ROM_2_GREY</t>
  </si>
  <si>
    <t>Samsung METRO 360 Gery</t>
  </si>
  <si>
    <t>FT14_Metro_360</t>
  </si>
  <si>
    <t>Display:2.4 inches (6.1 cm), Processor:Single Core, 312 MH ,Rear Camera: 3.1 MP ,RAM: 64MP,Battery Capacity:1000 mAh</t>
  </si>
  <si>
    <t xml:space="preserve">The Samsung Metro 360 has a 2.4-inch QVGA display which runs Samsung's OS designed for feature phones. It has a metallic design which gives it a premium look. It is equipped with a decent 3-megapixel camera and 64MB of RAM. A 1000mAh battery enables it to run for a couple of days on a single charge. </t>
  </si>
  <si>
    <t>FT10_S1_4_128_1_BLUE</t>
  </si>
  <si>
    <t>Vivo V11 Pro (6 GB/64 GB)</t>
  </si>
  <si>
    <t>FT10_V11_Pro_6_64_1_BLUE</t>
  </si>
  <si>
    <t>Vivo V11 Pro Blue</t>
  </si>
  <si>
    <t>FT10_V11_Pro</t>
  </si>
  <si>
    <t>Display:6.41-inch (1080x2340), Processor:Qualcomm Snapdragon 660, Front Camera:25MP, Rear Camera:25MP + 5MP, RAM:6GB, ROM:64GB, Battery Capacity:3400mAh</t>
  </si>
  <si>
    <t xml:space="preserve">Here is Vivo V11 Pro packed with a Dual Rear Camera, and technologies such as AI Backlight HDR, AI Low, and AI Portrait Framing, the Vivo V11 Pro is a smartphone that can take your photography to the next level. It is capable of clicking good photographs even in bad light conditions. </t>
  </si>
  <si>
    <t>vivo_v11_blue.png</t>
  </si>
  <si>
    <t>FT10_V15_6_64_2_BLUE</t>
  </si>
  <si>
    <t>FT10_V15_6_64_2_GOLD</t>
  </si>
  <si>
    <t>Vivo V15 Gold</t>
  </si>
  <si>
    <t>FT10_V15_6_64_2_PURPLE</t>
  </si>
  <si>
    <t>Vivo V15 Pro (6 GB/128 GB)</t>
  </si>
  <si>
    <t>FT10_V15_Pro_6_64_2_BLUE</t>
  </si>
  <si>
    <t>Vivo V15 Pro Blue</t>
  </si>
  <si>
    <t>FT10_V15_Pro</t>
  </si>
  <si>
    <t>Display:6.39-inch (1080x2340), Processor:Qualcomm Snapdragon 675 ,Front Camera: 32MP,Rear Camera:148MP + 8MP + 5MP, RAM: 6GB,ROM:128GB ,Battery Capacity:3700mAh</t>
  </si>
  <si>
    <t>Expand your experience of using a smartphone to the next level with the Vivo V15 Pro. Equipped with a triple rear camera and a 32 MP Pop-Up Selfie Camera. This new smartphone will let you click beautiful pictures and selfies, every time. A 3700mAh battery keeps you going all day. Without worrying about the space you can store as many multimedia files, music, and pictures as its internal storage space is expanded by up to 256 GB.</t>
  </si>
  <si>
    <t>Vivo_v15_pro_blue.png</t>
  </si>
  <si>
    <t>Vivo V9 (4 GB/64 GB)</t>
  </si>
  <si>
    <t>FT10_V9_4_64_1_BLACK</t>
  </si>
  <si>
    <t>Vivo V9 Black</t>
  </si>
  <si>
    <t>FT10_V9</t>
  </si>
  <si>
    <t>Display:5.99-inch (720x1440), Processor:Qualcomm Snapdragon 450, Front Camera:24MP, Rear Camera:16MP, RAM:4GB, ROM:64GB, Battery Capacity:3225mAh</t>
  </si>
  <si>
    <t xml:space="preserve">Meet the Vivo V9 smartphone, which has a stylish design consisting of a range of features that are powered by Artificial Intelligence. What's more? You can click breathtaking images with a Dual Camera system. A Split screen feature will enable you to watch your favorite media files and chat at the same time. You will find AI in every aspect from capturing pictures to unlocking your phone. </t>
  </si>
  <si>
    <t>FT10_vivo_v9_black.png</t>
  </si>
  <si>
    <t>FT10_V9_Youth_4_64_1_BLACK</t>
  </si>
  <si>
    <t xml:space="preserve">Vivo V9 YOUTH Black </t>
  </si>
  <si>
    <t>vivo_v9_ youth_black.png</t>
  </si>
  <si>
    <t>Vivo Y12 (3 GB/64 GB)</t>
  </si>
  <si>
    <t>FT10_Y12_3_64_1_BLUE</t>
  </si>
  <si>
    <t>AFDFGHF78</t>
  </si>
  <si>
    <t>Vivo Y12 Blue</t>
  </si>
  <si>
    <t>FT10_Y12</t>
  </si>
  <si>
    <t>Display:6.35-inch (720x1544), Processor:MediaTek Helio P22 ,Front Camera: 8MP,Rear Camera:18MP + 13MP + 2MP, RAM: 3GB,ROM:64GB ,Battery Capacity:5000mAh</t>
  </si>
  <si>
    <t xml:space="preserve">The Vivo Y12 smartphone has a 5000 mAh battery, with power-saving technologies offering your phone great battery life. This phone is also packed with an AI wide-angle camera which lets you take beautiful pictures covering a wider angle at the same time. Game mode in this smartphone offers a smoother gaming experience to the gamer in you. </t>
  </si>
  <si>
    <t>Vivo_Y12_blue.png</t>
  </si>
  <si>
    <t>Vivo Y15 2019 (4 GB/64 GB)</t>
  </si>
  <si>
    <t>FT10_Y15_4_64_1_GREEN</t>
  </si>
  <si>
    <t>SDFS5G7DG7</t>
  </si>
  <si>
    <t>Vivo Y15 Green</t>
  </si>
  <si>
    <t>FT10_Y15</t>
  </si>
  <si>
    <t>Display:4.50-inch (480x854), Processor:MediaTek MT6582,Front Camera: 2MP,Rear Camera:5MP, RAM: 4GB,ROM:64GB ,Battery Capacity:1900mAh</t>
  </si>
  <si>
    <t xml:space="preserve">The Vivo Y15 comprises an impressive camera and pretty display design with a waterdrop notch. You can efficiently enjoy games and use multiple apps without any worry as a strong processor is performing its functions. However, there is no full HD display but an advantage of good battery backup.  </t>
  </si>
  <si>
    <t>Vivo_Y15_2019_blue.png</t>
  </si>
  <si>
    <t>Xiaomi Mi A1 (4 GB/64 GB)</t>
  </si>
  <si>
    <t>FT09_Mi_A1_4_64_1_BLACK</t>
  </si>
  <si>
    <t>Xiaomi Mi A1 Black</t>
  </si>
  <si>
    <t>FT09_Mi_A1</t>
  </si>
  <si>
    <t>Display: 5.50-inch (1080x1920),Processor: Qualcomm Snapdragon 625,Front Camera: 5MP,Rear Camera: 12MP,RAM: 4GB, ROM:64GB, Battery Capacity: 3080mAh</t>
  </si>
  <si>
    <t>The Xiaomi Mi A1 is an Android One phone that is powered by Google itself. ... With the Xiaomi Mi A1, you get a dual rear camera setup. One of the sensors sports a wide-angle lens, while the other is equipped with a telephoto lens.</t>
  </si>
  <si>
    <t>FT09_Mi_A1_4_64_1_GOLD</t>
  </si>
  <si>
    <t>Xiaomi Mi A1 Gold</t>
  </si>
  <si>
    <t>FT09_Mi_A1_4_64_2_BLACK</t>
  </si>
  <si>
    <t>Xiaomi Mi A2 (4 GB/64 GB)</t>
  </si>
  <si>
    <t>FT09_Mi_A2_6_64_1_BLACK</t>
  </si>
  <si>
    <t>Xiaomi Mi A2 Black</t>
  </si>
  <si>
    <t>FT09_Mi_A2</t>
  </si>
  <si>
    <t>Display: 5.99-inch (1080x2160),Processor: Qualcomm Snapdragon 660,Front Camera: 20MP,Rear Camera: 12MP+20MP,RAM: 4GB, ROM:64GB,  Battery Capacity: 3000mAh</t>
  </si>
  <si>
    <t xml:space="preserve">A tall, narrow well-designed phone with a 5.99 inch display, an aspect ratio of 18:9 and a quick charge support that can easily be tagged as a value-for-money phone. Long-lasting battery backup and good camera performance make this phone a true winner in this category. </t>
  </si>
  <si>
    <t>Xiaomi MI A3 (4 GB/64 GB)</t>
  </si>
  <si>
    <t>FT09_Mi_A3_4_64_1_WHITE</t>
  </si>
  <si>
    <t>RT8J78H7J8ER</t>
  </si>
  <si>
    <t>Xiaomi MI A3 White</t>
  </si>
  <si>
    <t>FT09_Mi_A3</t>
  </si>
  <si>
    <t>Display:6.08-inch (720x1560), Processor:Qualcomm Snapdragon 665, Front Camera: 32MP,Rear Camera:48MP + 8MP + 2MP, RAM: 4GB,ROM:64GB ,Battery Capacity:4030mAh</t>
  </si>
  <si>
    <t xml:space="preserve">Xiaomi Mi A3 is a smartphone that comprises an excellent battery backup and good storage capacity make the device a must-buy. However, it has a hybrid slot and a full HD display, which can be a problem for many consumers. </t>
  </si>
  <si>
    <t>xiaomi_mi_a3_white.png</t>
  </si>
  <si>
    <t>Xiaomi MI A3 (6 GB/128 GB)</t>
  </si>
  <si>
    <t>FT09_Mi_A3_6_128_2_GREY</t>
  </si>
  <si>
    <t>Xiaomi MI A3 Grey</t>
  </si>
  <si>
    <t>Display:6.08-inch (720x1560), Processor:Qualcomm Snapdragon 665, Front Camera: 32MP,Rear Camera:48MP + 8MP + 2MP, RAM: 6GB,ROM:128GB ,Battery Capacity:4030mAh</t>
  </si>
  <si>
    <t>Xiaomi MI A3 _grey-min.png</t>
  </si>
  <si>
    <t>Xiaomi Redmi 4 (2 GB/16 GB)</t>
  </si>
  <si>
    <t>FT09_Redmi_4_2_16_1_BLACK</t>
  </si>
  <si>
    <t>Xiaomi Redmi 4 Black</t>
  </si>
  <si>
    <t>FT09_Redmi_4</t>
  </si>
  <si>
    <t>Display:5.50-inch (720x1280), Processor:Snapdragon 625, Front Camera: 5MP,Rear Camera:13MP, RAM: 2GB,ROM:16GB ,Battery Capacity:4100mAh</t>
  </si>
  <si>
    <t>FT09_Redmi_4_2_16_1_GOLD</t>
  </si>
  <si>
    <t>Xiaomi Redmi 4 Gold</t>
  </si>
  <si>
    <t>FT09_Redmi_4_2_16_2_BLACK</t>
  </si>
  <si>
    <t xml:space="preserve">Xiaomi has not failed in impressing this time too by launching yet another great set Redmi 4 after getting a good response to Redmi 3 and Redmi 3s.This new Redmi 4 comes with lots of high-level features such as a full HD display, metallic body, great configuration, fingerprint sensor, and many more. </t>
  </si>
  <si>
    <t>FT09_Redmi_4A-min.png</t>
  </si>
  <si>
    <t>FT09_Redmi_4_2_16_2_ROSEGOLD</t>
  </si>
  <si>
    <t>Xiaomi Redmi 4 Rose Gold</t>
  </si>
  <si>
    <t>Xiaomi Redmi 4 (3 GB/32 GB)</t>
  </si>
  <si>
    <t>FT09_Redmi_4_3_32_2_BLACK</t>
  </si>
  <si>
    <t>78D7G8HD5V8</t>
  </si>
  <si>
    <t>Display:5.00-inch (720x1280), Processor:Qualcomm Snapdragon 435, Front Camera: 5MP,Rear Camera:13MP, RAM: 3GB,ROM:32GB ,Battery Capacity:4100mAh</t>
  </si>
  <si>
    <t>FT09_Xiaomi_Redmi_4_black.png</t>
  </si>
  <si>
    <t>Xiaomi Redmi 5 (2 GB/16 GB)</t>
  </si>
  <si>
    <t>FT09_Redmi_5_2_16_1_BLACK</t>
  </si>
  <si>
    <t>Xiaomi Redmi 5 Black</t>
  </si>
  <si>
    <t>FT09_Redmi_5</t>
  </si>
  <si>
    <t>Display:5.70-inch (720x1440), Qualcomm Snapdragon 450, Front Camera: 5MP,Rear Camera:12MP, RAM: 2GB,ROM:16GB ,Battery Capacity:3300mAh</t>
  </si>
  <si>
    <t>Xiaomi REDMI 6 (3 GB/64GB)</t>
  </si>
  <si>
    <t>Redmi 6 Black</t>
  </si>
  <si>
    <t>Display: 5.45-inch,Processor: MediaTek Helio P22,Front Camera: 5MP,Rear Camera: 12MP+5MP,RAM: 3GB, Battery Capacity: 3000mAh</t>
  </si>
  <si>
    <t xml:space="preserve">A budget-friendly phone with decent camera, good configuration, great primary camera and pretty decent storage. The phone has a good RAM capacity that ensures handling multiple things with ease. Overall, a compact phone equipped with a lot of features even a fingerprint sensor. </t>
  </si>
  <si>
    <t>Xiaomi Redmi 6 pro (3 GB/32 GB)</t>
  </si>
  <si>
    <t>FT09_Redmi_6_Pro_3_32_1_BLACK</t>
  </si>
  <si>
    <t>Redmi 6 Pro Black</t>
  </si>
  <si>
    <t>FT09_Redmi_6_Pro</t>
  </si>
  <si>
    <t>Display: 5.48-inch (1080x2280),Processor: Qualcomm Snapdragon 625,Front Camera: 5MP,Rear Camera: 12MP+5MP,RAM: 3GB, Battery Capacity: 4000mAh</t>
  </si>
  <si>
    <t xml:space="preserve">A phone that made a strong dent in the budget segment with its vivid 5.48" screen with full HD display, stellar battery life, good built quality and dual camera set-up. It's a reliable functional compact phone in the budget segment </t>
  </si>
  <si>
    <t>FT09_Redmi_6_Pro_3_32_1_BLACK.png</t>
  </si>
  <si>
    <t>Xiaomi REDMI 6 PRO (4 GB/64 GB)</t>
  </si>
  <si>
    <t>FT09_Redmi_6_Pro_4_64_1_BLACK</t>
  </si>
  <si>
    <t>FD787G8D8G</t>
  </si>
  <si>
    <t>Xiaomi REDMI 6 PRO Black</t>
  </si>
  <si>
    <t>Display:5.84-inch (1080x2280), Processor:Qualcomm Snapdragon 625, Front Camera: 5MP,Rear Camera:12MP + 5MP, RAM: 4GB,ROM:64GB ,Battery Capacity:4000mAh</t>
  </si>
  <si>
    <t xml:space="preserve">The Xiaomi Redmi 6 Pro is the best smartphone at a budget-friendly price. It has a great configuration that delivers performance while multi-tasking. The battery is good enough to provide a backup for long hours. Overall, the Xiaomi Redmi 6 Pro is a great smartphone in this price range to opt for.  </t>
  </si>
  <si>
    <t>FT09_Redmi_6_Pro_black.png</t>
  </si>
  <si>
    <t>Xiaomi REDMI 6 PRO (4 GB/64GB)</t>
  </si>
  <si>
    <t>Display: 5.48-inch (1080x2280),Processor: Qualcomm Snapdragon 625,Front Camera: 5MP,Rear Camera: 12MP+5MP,RAM: 4GB, Battery Capacity: 4000mAh</t>
  </si>
  <si>
    <t>Xiaomi Redmi 6A (2 GB/16 GB)</t>
  </si>
  <si>
    <t>Redmi 6A Gold</t>
  </si>
  <si>
    <t>Display: 5.45-inch (720x1440),Processor: MediaTek Helio A22,Front Camera: 5MP,Rear Camera: 13MP,RAM: 2GB, Battery Capacity: 3000mAh</t>
  </si>
  <si>
    <t xml:space="preserve">An affordable phone in the entry level segment with promising features like 18:9 aspect ratio display, thin sized bezels, dual sim card space, micro-SD card slot and vibrant display. An easy to use phone which is a good buy if you want to switch from a feature phone to a smartphone.  </t>
  </si>
  <si>
    <t>Xiaomi Redmi Note 4 (2 GB/32 GB)</t>
  </si>
  <si>
    <t>FT09_Redmi_Note_4_2_32_1_BLACK</t>
  </si>
  <si>
    <t>98V9F8V98</t>
  </si>
  <si>
    <t>Xiaomi Redmi Note 4 Black</t>
  </si>
  <si>
    <t>FT09_Redmi_Note_4</t>
  </si>
  <si>
    <t>Display: 5.50-inch (1080x1920),Processor: Qualcomm Snapdragon 625,Front Camera: 5MP,Rear Camera: 13MP,RAM: 2GB, ROM:32GB,Battery Capacity: 4100mAh</t>
  </si>
  <si>
    <t xml:space="preserve">The Xiaomi Redmi Note 4 64GB flaunts a 5.5-inch IPS LCD full HD (1,080 x 1,920 pixels) display and weighs 175 grams. It has a pixel density of 401ppi. For processing the system, there is an octa-core processor that clocks at a speed of 2GHz. </t>
  </si>
  <si>
    <t>not done</t>
  </si>
  <si>
    <t>FT09_Redmi_Note_4_2_32_2_BLACK</t>
  </si>
  <si>
    <t>Xiaomi Redmi Note 4 (3 GB/32 GB)</t>
  </si>
  <si>
    <t>FT09_Redmi_Note_4_3_32_2_GREY</t>
  </si>
  <si>
    <t>Xiaomi Redmi Note 4 GREY</t>
  </si>
  <si>
    <t>Xiaomi Redmi Note 4 (4 GB/64 GB)</t>
  </si>
  <si>
    <t>FT09_Redmi_Note_4_4_64_2_GREY</t>
  </si>
  <si>
    <t>Xiaomi Redmi Note 4 Grey</t>
  </si>
  <si>
    <t>Display: 5.50-inch (1080x1920),Processor: Qualcomm Snapdragon 625,Front Camera: 5MP,Rear Camera: 13MP,RAM: 2GB, ROM:64GB,Battery Capacity: 4100mAh</t>
  </si>
  <si>
    <t>Xiaomi Redmi Note 5 (3 GB/32 GB)</t>
  </si>
  <si>
    <t>FT09_Redmi_Note_5_3_32_2_BLACK</t>
  </si>
  <si>
    <t>Xiaomi Redmi Note 5 Black</t>
  </si>
  <si>
    <t>FT09_Redmi_Note_5</t>
  </si>
  <si>
    <t>Display:5.99-inch (1080x2160), Processor:Qualcomm Snapdragon 439, Front Camera:5MP, Rear Camera:12MP, RAM:3GB, ROM:32GB, Battery Capacity:4000mAh</t>
  </si>
  <si>
    <t xml:space="preserve">Redmi Note 5 has everything to shine wherever you take it. It has stunning visuals on a 15.2 cm, 18:9 full-screen display with rounded corners, a sufficient memory of 32 GB with 3GB RAM. It captures beautiful pictures even in dim light with a 12 MP camera with 12-micrometer large pixel size. this phone has a powerful battery of 4000 mAh which will not die soon. </t>
  </si>
  <si>
    <t>FT09_Redmi_Note_5-min.png</t>
  </si>
  <si>
    <t>Xiaomi Redmi Note 5 Pro (4 GB/64 GB)</t>
  </si>
  <si>
    <t>FT09_Redmi_Note_5_Pro_4_64_1_BLACK</t>
  </si>
  <si>
    <t>Xiaomi Redmi Note 5 Pro Black</t>
  </si>
  <si>
    <t>FT09_Redmi_Note_5_Pro</t>
  </si>
  <si>
    <t>Display: 5.99-inch (1080x2160),Processor: Qualcomm Snapdragon 636,Front Camera: 20MP,Rear Camera: 12+5MP,RAM: 4GB,ROM:64GB, Battery Capacity: 4000mAh</t>
  </si>
  <si>
    <t>The Xiaomi Redmi Note 5 Pro is currently the best smartphone you can buy in the sub 15K segment. It offers excellent performance, has a two-day battery life, both front and rear cameras are good and it has a sturdy build quality.</t>
  </si>
  <si>
    <t>redmi note 5 black.png</t>
  </si>
  <si>
    <t>FT09_Redmi_Note_5_Pro_4_64_2_GOLD</t>
  </si>
  <si>
    <t>KDF 7ASF948798N979</t>
  </si>
  <si>
    <t>Xiaomi Redmi Note 5 Pro Gold</t>
  </si>
  <si>
    <t>xiaomi_redmi_note5_pro-gold-min.png</t>
  </si>
  <si>
    <t>Xiaomi REDMI NOTE 6 PRO (6 GB/64 GB)</t>
  </si>
  <si>
    <t>FT09_Redmi_Note_6_Pro_6_64_1_ROSEGOLD</t>
  </si>
  <si>
    <t>89SFG8FD1G</t>
  </si>
  <si>
    <t>Xiaomi REDMI NOTE 6 PRO Rose Gold</t>
  </si>
  <si>
    <t>FT09_Redmi_Note_6_Pro</t>
  </si>
  <si>
    <t>Display:6.26-inch (1080x2280), Processor:Qualcomm Snapdragon 636, Front Camera: 20MP + 2MP,Rear Camera:12MP + 5MP, RAM: 6GB,ROM:64GB ,Battery Capacity:4000mAh</t>
  </si>
  <si>
    <t xml:space="preserve">The new Redmi Note 6 Pro boasts an AI-powered quad-camera. You can now enjoy a smart camera experience with the AI Screen Detection feature. Its 1.4-micrometer pixel size and wider f/1.9 aperture offer an enhanced low-light photography experience. A high-capacity battery of 4000 mAh, delivers a seamless performance and battery life that lasts longer for two days. </t>
  </si>
  <si>
    <t>xiaomi_redmi_note_6_pro_rose gold.png</t>
  </si>
  <si>
    <t>Xiaomi Redmi Note 8 (6 GB/128 GB)</t>
  </si>
  <si>
    <t>FT09_Redmi_Note_8_6_128_1_BLUE</t>
  </si>
  <si>
    <t>Xiaomi Redmi Note 8 Blue</t>
  </si>
  <si>
    <t>FT09_Redmi_Note_8</t>
  </si>
  <si>
    <t>Display:6.30-inch (1080x2280), Processor:Qualcomm Snapdragon 665, Front Camera: 13MP,Rear Camera:48MP + 8MP + 2MP + 2MP , RAM: 6GB,ROM:128GB ,Battery Capacity:4000mAh</t>
  </si>
  <si>
    <t xml:space="preserve">Xiaomi Redmi Note 8 offers an advanced spec along with a stylish design. It is a mid-range quality device. It gives a remarkable viewing experience.  Strong powerful internal hardware gives you a stellar performance. The 4000mAh battery of the device equipped with fast charging technology makes it an impressive deal to go for. </t>
  </si>
  <si>
    <t>xiaomi_redmi_note_8_blue.png</t>
  </si>
  <si>
    <t>FT09_Redmi_Note_8_6_128_2_BLUE</t>
  </si>
  <si>
    <t>d9797S9F79A</t>
  </si>
  <si>
    <t>xiaomi_redmi_note_8_pro_blue-min.png</t>
  </si>
  <si>
    <t>Xiaomi Redmi Note 8 Pro (8 GB/128 GB)</t>
  </si>
  <si>
    <t>FT09_Redmi_Note_8_Pro_8_128_1_BLUE</t>
  </si>
  <si>
    <t>Xiaomi Redmi Note 8 Pro Blue</t>
  </si>
  <si>
    <t>FT09_Redmi_Note_8_Pro</t>
  </si>
  <si>
    <t>Display: 6.53-inch (1080x2340), Processor: MediaTek Helio G90T,Front Camera: 10MP,Rear Camera: 64MP + 8MP + 2MP + 2MP ,RAM: 4GB,ROM:64GB,Battery Capacity:34500mAh</t>
  </si>
  <si>
    <t xml:space="preserve">Xiaomi Redmi 8 Pro comes up with a remarkable display. A mid-range mobile phone with a high-resolution camera and pop-up selfie lens. You can enjoy clicking great pictures all around. In terms of performance, it is equally good and satisfying with a great combination of external as well internal hardware. However, if used regularly the device might heat up. </t>
  </si>
  <si>
    <t>xiaomi_redmi_note_8_pro_blue.png</t>
  </si>
  <si>
    <t>FT09_Redmi_Note_8_Pro_8_128_1_GREEN</t>
  </si>
  <si>
    <t>Xiaomi Redmi Note 8 Pro Green</t>
  </si>
  <si>
    <t>Display: 6.53-inch (1080x2340), Processor: MediaTek Helio G90T,Front Camera: 10MP,Rear Camera: 64MP + 8MP + 2MP + 2MP ,RAM: 8GB,ROM:128GB,Battery Capacity:34500mAh</t>
  </si>
  <si>
    <t>xiaomi_redmi_note_8_pro_green-min.png</t>
  </si>
  <si>
    <t>FT09_Redmi_Note_8_Pro_8_128_1_WHITE</t>
  </si>
  <si>
    <t>Xiaomi Redmi Note 8 Pro White</t>
  </si>
  <si>
    <t>xiaomi_redmi_note_8_pro_white.png</t>
  </si>
  <si>
    <t>Xiaomi Redmi Y2 (3 GB/32 GB)</t>
  </si>
  <si>
    <t>FT09_Redmi_Y2_3_32_2_GOLD</t>
  </si>
  <si>
    <t>Xiaomi Redmi Y2 GOLD</t>
  </si>
  <si>
    <t>FT09_Redmi_Y2</t>
  </si>
  <si>
    <t>Display: 5.99-inch (720x1440), Processor: Qualcomm Snapdragon 625,Front Camera: 16MP,Rear Camera: 12MP ,RAM: 4GB,ROM:64GB,Battery Capacity:3080mAh</t>
  </si>
  <si>
    <t>Looking for a smartphone that can multi-task? Presenting Redmi Y2 smartphone capable of clicking pictures, playing games, listening to music, and whatnot. Explore unlimited possibilities with Redmi Y2. A 4GB RAM and an amazing Qualcomm Snapdragon 625 processor let you enjoy an uninterrupted multitasking experience.</t>
  </si>
  <si>
    <t>xiaomi_redmi_y2_gold.png</t>
  </si>
  <si>
    <t>FT03_iPhone_6S+_2_64_2_SILVER</t>
  </si>
  <si>
    <t>Apple iPhone 6S+ Silver</t>
  </si>
  <si>
    <t>FT03_iPhone_7_2_32_2_GOLD</t>
  </si>
  <si>
    <t>Apple iPhone 7 Gold</t>
  </si>
  <si>
    <t>FT03_iPhone_7_2_32_2_ROSEGOLD</t>
  </si>
  <si>
    <t>FT03_iPhone_XS_4_64_2_BLACK</t>
  </si>
  <si>
    <t>Apple iPhone XS Black</t>
  </si>
  <si>
    <t>FT03_iPhone_XS</t>
  </si>
  <si>
    <t>Display: 5.80-inch (1125x2436),Processor: Apple A12 Bionic,Front Camera: 7MP,Rear Camera: 12MP+12MP,RAM: 4GB,ROM:64GB,  Battery Capacity: 2658mAh</t>
  </si>
  <si>
    <t xml:space="preserve">A phone with one of the most beautiful designs, top-notch stereo speakers, superb display, excellent cameras, best-in-class performance and an impressively fast A-12 bionic chip. One of the best luxury phone which has set standards for the industry in the premium segment. </t>
  </si>
  <si>
    <t>FT04_Honor_7A_3_32_1_BLACK</t>
  </si>
  <si>
    <t>Honor 7A Black</t>
  </si>
  <si>
    <t>FT04_Honor_7A</t>
  </si>
  <si>
    <t>Display: 5.70-inch (720x1440),Processor: Qualcomm Snapdragon 430,Front Camera: 8MP,Rear Camera: 13+2MP,RAM: 3GB,ROM:32GB,Battery Capacity:3000mAh</t>
  </si>
  <si>
    <t>A cost effective, power packed phone that looks stylish and can handle all the daily smartphone tasks effeciently. This light weight phone has excellent dual rear cameras with LED, decent configuration, good battery back-up, fingerprint scanner, likeable design and looks of a premium phone.</t>
  </si>
  <si>
    <t>FT04_Honor_7A_3_32_1_BLUE</t>
  </si>
  <si>
    <t>Honor 7A Blue</t>
  </si>
  <si>
    <t>FT04_Honor_9_Lite_3_32_1_BLUE</t>
  </si>
  <si>
    <t>Honor 9 Lite Blue</t>
  </si>
  <si>
    <t>FT04_Honor_9_Lite</t>
  </si>
  <si>
    <t>Display: 5.65-inch (1080x2160),Processor: HiSilicon Kirin 659,Front Camera: 13MP + 2MP,Rear Camera: 13MP + 2MP,RAM: 3GB,ROM:32GB, Battery Capacity: 3000mAh</t>
  </si>
  <si>
    <t>The 9 Lite features a compact form factor with a mirror-finish glass back, which looks really striking. The phone is also incredibly lightweight due to the plastic build. The 9 Lite has a FullView 5.65-inch IPS display, which produces punchy colours and good brightness levels. The bezels are also pretty slim. Powering the phone is an octa-core Kirin 659 SoC and you have two RAM and storage combinations to choose from. EMUI 8 is quite polished but isn't as snappy as stock Android or OnePlus' OxygenOS. Both 13-megapixel cameras have accompanying sensors for sensing depth. We found portrait mode to work a bit better on the front camera but overall image quality is pretty average. Battery life could be better as even with the 3000mAh battery, it's a bit tough to go beyond a full day.</t>
  </si>
  <si>
    <t>FT08_1+5_6_64_1_BLACK</t>
  </si>
  <si>
    <t>OnePlus 5 Black</t>
  </si>
  <si>
    <t>FT08_1+6_4_64_2_BLACK</t>
  </si>
  <si>
    <t>FT09_Poco_F1_6_64_2_BLUE</t>
  </si>
  <si>
    <t>Display: 6.18-inch (1080x2246),Processor: Qualcomm Snapdragon 845,Front Camera: 20MP,Rear Camera: 12MP+5MP,RAM: 6GB,ROM:64GB, Battery Capacity: 4000mAh</t>
  </si>
  <si>
    <t>FT09_Redmi_4_3_32_1_BLACK</t>
  </si>
  <si>
    <t>FT09_Redmi_4_3_32_1_ROSEGOLD</t>
  </si>
  <si>
    <t>FT09_Redmi_4_4_64_1_GOLD</t>
  </si>
  <si>
    <t>FT09_Redmi_4_4_64_2_BLACK</t>
  </si>
  <si>
    <t>FT09_Redmi_5A_2_16_1_GOLD</t>
  </si>
  <si>
    <t>Xiaomi Redmi 5A Gold</t>
  </si>
  <si>
    <t>FT09_Redmi_5A</t>
  </si>
  <si>
    <t>Xiaomi Redmi 5A (3 GB/32 GB)</t>
  </si>
  <si>
    <t>FT09_Redmi_5A_3_32_2_GOLD</t>
  </si>
  <si>
    <t>Display:5.70-inch (720x1440), Qualcomm Snapdragon 450, Front Camera: 5MP,Rear Camera:12MP, RAM: 3GB,ROM:32GB ,Battery Capacity:3300mAh</t>
  </si>
  <si>
    <t xml:space="preserve">Go for this budget-friendly entry level phone incase you want to shift to a smartphone for the first time. A good overall package with decent features like a good display, an able processor, solid build, good rear camera and great battery life at an attractive price point. </t>
  </si>
  <si>
    <t>FT09_Redmi_5A_gold-min.png</t>
  </si>
  <si>
    <t>Xiaomi Redmi 5A (2 GB/16 GB)</t>
  </si>
  <si>
    <t>FT09_Redmi_5A_2_16_2_GREY</t>
  </si>
  <si>
    <t>Xiaomi Redmi 5A Grey</t>
  </si>
  <si>
    <t>FT09_Redmi_5A- grey_min.png</t>
  </si>
  <si>
    <t>FT09_Redmi_5A_2_16_2_ROSEGOLD</t>
  </si>
  <si>
    <t>Xiaomi Redmi 5A RoseGold</t>
  </si>
  <si>
    <t>Xiaomi Redmi 5A_ rose gold-min.png</t>
  </si>
  <si>
    <t>FT09_Redmi_Note_5_3_32_1_GOLD</t>
  </si>
  <si>
    <t>Xiaomi Redmi Note 5 Gold</t>
  </si>
  <si>
    <t>FT09_Redmi_Note_5_Pro_4_64_1_BLUE</t>
  </si>
  <si>
    <t>Xiaomi Redmi Note 5 Pro Blue</t>
  </si>
  <si>
    <t>FT09_Redmi_Note_5_Pro_4_64_1_GOLD</t>
  </si>
  <si>
    <t>FT09_Redmi_Note_5_Pro_4_64_1_RED</t>
  </si>
  <si>
    <t>Xiaomi Redmi Note 5 Pro Red</t>
  </si>
  <si>
    <t>FT09_Redmi_Note_5_Pro_4_64_1_ROSEGOLD</t>
  </si>
  <si>
    <t>Xiaomi Redmi Note 5 Pro Rose Gold</t>
  </si>
  <si>
    <t>FT09_Redmi_Note_5_Pro_4_64_2_BLACK</t>
  </si>
  <si>
    <t>FT09_Redmi_Note_6_Pro_4_64_1_BLACK</t>
  </si>
  <si>
    <t>Xiaomi Redmi Note 6 Pro Black</t>
  </si>
  <si>
    <t>FT09_Redmi_Note_6_Pro_4_64_1_BLUE</t>
  </si>
  <si>
    <t>Xiaomi Redmi Note 6 Pro Blue</t>
  </si>
  <si>
    <t>FT09_Redmi_Y1_3_32_1_GOLD</t>
  </si>
  <si>
    <t>Xiaomi Redmi Y1 Gold</t>
  </si>
  <si>
    <t>FT09_Redmi_Y1</t>
  </si>
  <si>
    <t>FT10_Y81i_2_16_2_BLACK</t>
  </si>
  <si>
    <t>Vivo Y81i</t>
  </si>
  <si>
    <t>FT10_Y81i</t>
  </si>
  <si>
    <t>FT11_F11_PRO_6_128_1_BLUE</t>
  </si>
  <si>
    <t>Oppo F11 Pro Blue</t>
  </si>
  <si>
    <t>FT11_RealMe_2_3_32_1_BLACK</t>
  </si>
  <si>
    <t>RealMe 2 Black</t>
  </si>
  <si>
    <t>FT11_RealMe_2</t>
  </si>
  <si>
    <t>Display: 6.20-inch (720x1520),Processor: Qualcomm Snapdragon 450,Front Camera: 8MP,Rear Camera: 13MP+2MP,RAM: 3GB, ROM:32GB, Battery Capacity: 4230mAh</t>
  </si>
  <si>
    <t>Realme 2 is equipped with dual 13MP + 2MP rear cameras that are paired with an 8MP front-facing shooter. The device sports a 6.2-inch HD+ display. It is loaded with 32GB of expandable internal storage. Powering this handset is an octa-core Snapdragon 450 chipset which is paired with 3GB of RAM. The device is fuelled by a 4,230mAh battery and features a rear-mounted fingerprint sensor.</t>
  </si>
  <si>
    <t>FT14_A50_6_128_1_BLUE</t>
  </si>
  <si>
    <t>Samsung A50 Blue</t>
  </si>
  <si>
    <t>FT14_A50</t>
  </si>
  <si>
    <t>FT14_A51_6_128_1_BACK</t>
  </si>
  <si>
    <t>Samsung A51 Black</t>
  </si>
  <si>
    <t>FT14_A51</t>
  </si>
  <si>
    <t>FT14_J5_2017_2_32_2_BLACK</t>
  </si>
  <si>
    <t>Samsung J5 Black</t>
  </si>
  <si>
    <t>FT14_J5_2017</t>
  </si>
  <si>
    <t>FT14_NOTE10_8_128_2_BLACK</t>
  </si>
  <si>
    <t>Samsung Note 10 Black</t>
  </si>
  <si>
    <t>FT14_NOTE10</t>
  </si>
  <si>
    <t>FT14_S9_4_64_1_BLACK</t>
  </si>
  <si>
    <t>Samsung S9 Black</t>
  </si>
  <si>
    <t>FT14_S9</t>
  </si>
  <si>
    <t>FT14_S9+_6_128_2_BROWN</t>
  </si>
  <si>
    <t>Samsung S9+ Brown</t>
  </si>
  <si>
    <t>FT14_S9+</t>
  </si>
  <si>
    <t>FT14_S9+_6_64_2_BLUE</t>
  </si>
  <si>
    <t>Samsung S9+ Blue</t>
  </si>
  <si>
    <t>Samsung Galaxy M40 (6 GB/128 GB)</t>
  </si>
  <si>
    <t>567689876K</t>
  </si>
  <si>
    <t>Samsung Galaxy M40</t>
  </si>
  <si>
    <t>Display: 6.30-inch (1080x2340),Processor: Qualcomm Snapdragon 675 ,Front Camera: 16 MP,Rear Camera: 32MP + 5MP + 8MP ,RAM: 6GB,ROM: 128GB,Battery Capacity: 3500mAh</t>
  </si>
  <si>
    <t>Samsung Galaxy  M40 manages to stand out owing to the features like infinity-O display, triple rear camera set up, impressive and compact design and smooth functioning. All in all, it's comfortable and affordable phone to with!</t>
  </si>
  <si>
    <t>Xiaomi Redmi Note 7 Pro</t>
  </si>
  <si>
    <t>FT10_Y30_4_128_1_BLUE</t>
  </si>
  <si>
    <t>BDJJW7892N</t>
  </si>
  <si>
    <t>Vivo Y30 BLUE</t>
  </si>
  <si>
    <t>FT10_Y30</t>
  </si>
  <si>
    <t>Display: 6.47-inch (720x1560),Processor: Qualcomm Snapdragon 855+,Front Camera: 8MP,Rear Camera: 13MP + 8MP + 2MP + 2MP  ,RAM: 4 GB,ROM: 128 GB,Battery Capacity:5000mAh</t>
  </si>
  <si>
    <t>This phone comes with beautiful display,  great memory, brilliant cameras and superb battery life. In addition, it has got fingerprint sensors as the primary security with face unlock features. All in all, a great phone at affordable price!</t>
  </si>
  <si>
    <t>vivo_y30_blue.png</t>
  </si>
  <si>
    <t>Samsung GALAXY S10 (8 GB/128 GB)</t>
  </si>
  <si>
    <t>FT14_S10_8_128_1_BLACK</t>
  </si>
  <si>
    <t>Samsung GALAXY S10  BLACK</t>
  </si>
  <si>
    <t>FT14_S10</t>
  </si>
  <si>
    <t>Display: 6.10-inch,Processor: Samsung Exynos 9820,Front Camera:10MP ,Rear Camera: 12MP + 12MP + 16MP  ,RAM: 3GB,ROM: 32 GB,Battery Capacity:3400mAh</t>
  </si>
  <si>
    <t>This impressive Samsung smartphone supports infinity O display, wireless power  share  and polarizes hole punch display. Further, it has great cameras and storage capacity. The key point of attraction. This is definitely a great pick.</t>
  </si>
  <si>
    <t>samsung galaxy_S10_black.png</t>
  </si>
  <si>
    <t>Xiaomi REDMI NOTE 7S (3 GB/32GB)</t>
  </si>
  <si>
    <t>FT09_Redmi_Note_7S_3_32_1_BLUE</t>
  </si>
  <si>
    <t>D3YU2JNDU3</t>
  </si>
  <si>
    <t>Xiaomi REDMI NOTE 7S BLUE</t>
  </si>
  <si>
    <t>FT09_Redmi_Note_7S</t>
  </si>
  <si>
    <t>Display:6.30-inch (1080x2340), Processor:Qualcomm Snapdragon 660, Front Camera: 13MP,Rear Camera:48MP + 5MP , RAM: 3GB,ROM:32GB ,Battery Capacity:4000mAh</t>
  </si>
  <si>
    <t>Display:6.30-inch (1080x2340), Processor:Qualcomm Snapdragon 660, Front Camera: 13MP,Rear Camera:48MP + 5MP , RAM: 4GB,ROM:64GB ,Battery Capacity:4000mAh</t>
  </si>
  <si>
    <t>FT09_Redmi_Note_7s_blue.png</t>
  </si>
  <si>
    <t>FT10_Y12_3_32_1_BLACK</t>
  </si>
  <si>
    <t>12GTEH3IQJJ</t>
  </si>
  <si>
    <t xml:space="preserve">Vivo Y12 BLACK </t>
  </si>
  <si>
    <t>Xiaomi REDMI NOTE 7S (4 GB/64 GB)</t>
  </si>
  <si>
    <t xml:space="preserve">The Xiaomi Redmi Note 7S comes with a strong spec sheet with a seamless processor and power capacity. It also has a splashproof body that makes it one of the best reasons why you should buy this smartphone. This device deserves the required praise. </t>
  </si>
  <si>
    <t>FT09_Redmi_Note_7_blue-min.png</t>
  </si>
  <si>
    <t>Apple iPhone 6 (1 GB/128 GB)</t>
  </si>
  <si>
    <t>FT03_iPhone_6_1_128_2_GOLD</t>
  </si>
  <si>
    <t>Display: 4.70-inch (750x1334),Processor: Apple A8,Front Camera: 1.2MP,Rear Camera: 8MP,RAM: 1GB,ROM:128GB, Battery Capacity: 1810mAh</t>
  </si>
  <si>
    <t>FT03_iPhone_6_gold-min.png</t>
  </si>
  <si>
    <t>Apple iPhone 6 (1 GB/64GB)</t>
  </si>
  <si>
    <t>FT03_iPhone_6_1_64_1_GREY</t>
  </si>
  <si>
    <t>Display: 4.70-inch (750x1334),Processor: Apple A8,Front Camera: 1.2MP,Rear Camera: 8MP,RAM: 1GB,ROM:64GB, Battery Capacity: 1810mAh</t>
  </si>
  <si>
    <t>Xiaomi Redmi Note 8 Pro (6 GB/128 GB)</t>
  </si>
  <si>
    <t>FT09_Redmi_Note_8_Pro_8_128_2_Grey</t>
  </si>
  <si>
    <t>Xiaomi Redmi Note 8 Pro Grey</t>
  </si>
  <si>
    <t>xiaomi_redmi_note_8_white-min.png</t>
  </si>
  <si>
    <t>Samsung GALAXY A71 (8 GB/128 GB)</t>
  </si>
  <si>
    <t>FT14_A71_8_128_2_GREY</t>
  </si>
  <si>
    <t>0914825n09809</t>
  </si>
  <si>
    <t>Samsung GALAXY A71 Grey</t>
  </si>
  <si>
    <t>FT14_A71</t>
  </si>
  <si>
    <t>Display:6.26-inch (1080x2280), Processor:Qualcomm Snapdragon 730, Front Camera:120MP + 2MP, Rear Camera:112MP + 5MP, RAM:4GB, ROM:64GB, Battery Capacity:4000mAh</t>
  </si>
  <si>
    <t xml:space="preserve">Samsung Galaxy A71 comes with a great 4500mAh battery with quality life, full HD, LCD screen resolutions with 1050*2400 pixels, 3.5mm headphone Jack,  quality cameras and Android 10.0 operating system. All in all,  a decent and quality phone to invest in! </t>
  </si>
  <si>
    <t>samsung_galaxy_A71_silver-min.png</t>
  </si>
  <si>
    <t>Apple iPhone 6 (1 GB/64 GB)</t>
  </si>
  <si>
    <t>FT03_iPhone_6_1_64_2_GREY</t>
  </si>
  <si>
    <t>Xiaomi Redmi Note 6 Pro (4 GB/64 GB)</t>
  </si>
  <si>
    <t>FT09_Redmi_Note_6_Pro_6_64_2_BLACK</t>
  </si>
  <si>
    <t>Xiaomi REDMI NOTE 6 PRO BLACK</t>
  </si>
  <si>
    <t>FT09_Redmi_note_6_Pro_black-min.png</t>
  </si>
  <si>
    <t xml:space="preserve">FT09_Redmi_Note_8_6_128_2_White </t>
  </si>
  <si>
    <t>FT03_iPhone_7_black-min.png</t>
  </si>
  <si>
    <t>Realme 2 Pro (4 GB/64 GB)</t>
  </si>
  <si>
    <t>FT11_RealMe_2_Pro_4_64_BLACK</t>
  </si>
  <si>
    <t>12hj3124814h18</t>
  </si>
  <si>
    <t>Realme 2 Pro Black</t>
  </si>
  <si>
    <t>FT11_RealMe_2_Pro</t>
  </si>
  <si>
    <t>Display:6.30-inch (1080x2340), Processor:Qualcomm Snapdragon 660 ,Front Camera: 16MP,Rear Camera: 16MP + 2MP,RAM: 4GB,ROM:64GB,Battery Capacity:3500mAh</t>
  </si>
  <si>
    <t xml:space="preserve">This Realme 2 smartphone has a quick face scan or one simple touch on the Fingerprint Sensor and it lays your phone's content for you. Its 15.4 cm screen is a treat for streaming videos, playing videos, and gaming. a different yet commendable feature of Realme is its back which has a glossy finish that reflects light. A good option for everyday use. </t>
  </si>
  <si>
    <t>Realme-2-Pro-Black.png</t>
  </si>
  <si>
    <t>FT03_iPhone_7_2_128_2_Black</t>
  </si>
  <si>
    <r>
      <rPr>
        <rFont val="Calibri, sans-serif"/>
        <color rgb="FF000000"/>
        <sz val="11.0"/>
      </rPr>
      <t xml:space="preserve">Apple iPhone 7 </t>
    </r>
    <r>
      <rPr>
        <rFont val="Calibri, sans-serif"/>
        <color rgb="FF000000"/>
        <sz val="11.0"/>
      </rPr>
      <t>Black</t>
    </r>
  </si>
  <si>
    <t>Display: 5.50-inch (1080x1920),Processor: Apple A10 Fusion,Front Camera: 7MP,Rear Camera: 12MP, RAM: 2GB,ROM:128GB, Battery Capacity: 2900mAh</t>
  </si>
  <si>
    <t xml:space="preserve">FT03_iPhone_8_2_64_2_Gold </t>
  </si>
  <si>
    <t>Apple iPhone 8  Gold</t>
  </si>
  <si>
    <t>FT08_Oneplus_5_black-min.png</t>
  </si>
  <si>
    <t>Apple IPHONE 6 (2 GB/32 GB)</t>
  </si>
  <si>
    <t>Apple iPhone 7 Plus (3 GB/128 GB)</t>
  </si>
  <si>
    <t>Apple IPHONE X (3 GB/256 GB)</t>
  </si>
  <si>
    <t>Oppo A53 (4 GB/64 GB)</t>
  </si>
  <si>
    <t>Display: 6.50-inch (720x1600),Processor: Qualcomm Snapdragon 460,Front Camera: 16MP,Rear Camera: 13MP + 2MP + 2MP,RAM: 4GB,ROM:64GB,Battery Capacity: 5000mAh</t>
  </si>
  <si>
    <t>Samsung GALAXY A50S (4 GB/128 GB)</t>
  </si>
  <si>
    <t>Display: 6.4-inch (720x1600),Processor: Exynos 9611,Front Camera: 32MP,Rear Camera: 48MP + 8MP + 5MP,RAM: 4GB,ROM:128GB,Battery Capacity: 4000mAh</t>
  </si>
  <si>
    <t>Vivo V11 (6 GB/64 GB)</t>
  </si>
  <si>
    <t>Display:6.30-inch (1080x2340), Processor:MediaTek Helio P60, Front Camera:25MP, Rear Camera:16MP + 5MP, RAM:6GB, ROM:64GB, Battery Capacity:3315mAh</t>
  </si>
  <si>
    <t>ONEPLUS 8 (6 GB/128 GB)</t>
  </si>
  <si>
    <t>FT08_FT08_6_128_1_GREEN</t>
  </si>
  <si>
    <t>AD8A7F8SDF782</t>
  </si>
  <si>
    <t>OnePlus 8 Green</t>
  </si>
  <si>
    <t>Display: 6.55-inch (1080x2400),Processor: Qualcomm Snapdragon 865,Front Camera: 16 MP,Rear Camera: 48MP + 16MP,RAM: 6GB,ROM: 128GB,Battery Capacity: 4300mAh</t>
  </si>
  <si>
    <t xml:space="preserve">OnePlus 8 comes with a solid design, super bright, accurate and smooth OLED screen, best-sounding stereo speakers and fast charging capacity. In addition, the camera performance is commendable as well. The functions are all smooth. You are not going to regret investing in this device. </t>
  </si>
  <si>
    <t>oneplus_8_green-min.png</t>
  </si>
  <si>
    <t>Samsung Galaxy A30 (4 GB/64 GB)</t>
  </si>
  <si>
    <t>FT14_A30_4_64_2_BLUE</t>
  </si>
  <si>
    <t>DF49D48FC9W84</t>
  </si>
  <si>
    <t>Samsung Galaxy A30 Blue</t>
  </si>
  <si>
    <t>FT14_A30</t>
  </si>
  <si>
    <t>Display: 6.40-inch (1080x2340),Processor: Exynos 7904 Processor,Front Camera: 16MP,Rear Camera: 16MP+5MP,RAM: 4GB,ROM:64GB,Battery Capacity:4000mAh</t>
  </si>
  <si>
    <t>Another impressive phone by Samsung with great design. It has got super AMOLED screen, full HD display, great software performance and brilliant cameras. The device also supports fast charging. All in all, a great phone to invest in.</t>
  </si>
  <si>
    <t>samsung_A30_blue-min.png</t>
  </si>
  <si>
    <t>which color is done</t>
  </si>
  <si>
    <t>image_present</t>
  </si>
  <si>
    <t>Product_Brand</t>
  </si>
  <si>
    <t>image_available</t>
  </si>
  <si>
    <t>Realme 2 (3GB/32 GB)</t>
  </si>
  <si>
    <t>REALME</t>
  </si>
  <si>
    <t>3GB</t>
  </si>
  <si>
    <t>32GB</t>
  </si>
  <si>
    <t>6.20-inch</t>
  </si>
  <si>
    <t>gold, black, rose gold</t>
  </si>
  <si>
    <t>ONEPLUS</t>
  </si>
  <si>
    <t>6GB</t>
  </si>
  <si>
    <t>64GB</t>
  </si>
  <si>
    <t>5.5 Inch</t>
  </si>
  <si>
    <t>Display: 5.50-inch (1080x1920),Processor: Qualcomm Snapdragon 820,Front Camera: 8MP,Rear Camera: 16MP,RAM: 6GB, Battery Capacity: 3000mAh</t>
  </si>
  <si>
    <t>3T</t>
  </si>
  <si>
    <t>Display: 5.50-inch (1080x1920),Processor: Qualcomm Snapdragon 821,Front Camera: 16MP,Rear Camera: 16MP,RAM: 6GB, Battery Capacity: 3400mAh</t>
  </si>
  <si>
    <t>Honor 9 LITE (3 GB/32 GB)</t>
  </si>
  <si>
    <t>HONOR</t>
  </si>
  <si>
    <t>9 Lite</t>
  </si>
  <si>
    <t>5.65-inch</t>
  </si>
  <si>
    <t>Display: 5.65-inch (1080x2160),Processor: HiSilicon Kirin 659,Front Camera: 13MP + 2MP,Rear Camera: 13MP + 2MP,RAM: 3GB, Battery Capacity: 3000mAh</t>
  </si>
  <si>
    <t>9N</t>
  </si>
  <si>
    <t>5.84-inch</t>
  </si>
  <si>
    <t>XIAOMI</t>
  </si>
  <si>
    <t>A1</t>
  </si>
  <si>
    <t>4GB</t>
  </si>
  <si>
    <t>Display: 5.50-inch (1080x1920),Processor: Qualcomm Snapdragon 625,Front Camera: 5MP,Rear Camera: 12MP,RAM: 4GB, Battery Capacity: 3080mAh</t>
  </si>
  <si>
    <t>APPLE</t>
  </si>
  <si>
    <t>iPhone 5s</t>
  </si>
  <si>
    <t>1GB</t>
  </si>
  <si>
    <t>16GB</t>
  </si>
  <si>
    <t>4 Inch</t>
  </si>
  <si>
    <t>iPhone 6</t>
  </si>
  <si>
    <t>4.70 Inch</t>
  </si>
  <si>
    <t>Display: 4.70-inch (750x1334),Processor: Apple A8,Front Camera: 1.2MP,Rear Camera: 8MP,RAM: 1GB, Battery Capacity: 1810mAh</t>
  </si>
  <si>
    <t xml:space="preserve"> </t>
  </si>
  <si>
    <t>iPhone 6 Plus</t>
  </si>
  <si>
    <t>5.50-inch</t>
  </si>
  <si>
    <t>Display: 5.50-inch (1080x1920),Processor: Apple A8,Front Camera: 1.2MP,Rear Camera: 8MP,RAM: 1GB, Battery Capacity: 2915mAh</t>
  </si>
  <si>
    <t>The 5.5-inch iPhone 6 Plus goes up against similar-sized Android phones which have been available for years at every point on the price spectrum, you_x0092_ll love the iPhone 6 Plus for its great battery life and phenomenal camera. Optical image stabilisation allows for some unbelievably clear and detailed shots in low light</t>
  </si>
  <si>
    <t>iPhone 6S</t>
  </si>
  <si>
    <t>2GB</t>
  </si>
  <si>
    <t>4.70-inch</t>
  </si>
  <si>
    <t>Display: 4.70-inch (750x1334),Processor: Apple A9,Front Camera: 5MP,Rear Camera: 12MP,RAM: 2GB, Battery Capacity: 1715mAh</t>
  </si>
  <si>
    <t>iPhone 7</t>
  </si>
  <si>
    <t>128GB</t>
  </si>
  <si>
    <t>Display: 4.70-inch (750x1334),Processor: Apple A10(Fusion),Front Camera: 7MP,Rear Camera: 12MP,RAM: 2GB, Battery Capacity: 1960mAh</t>
  </si>
  <si>
    <t>The phone comes with a 4.70-inch touchscreen display with a resolution of 750x1334 pixels at a pixel density of 326 pixels per inch (ppi) and an aspect ratio of 16:9. Apple iPhone 7 is powered by a 2.34GHz quad-core Apple A10 Fusion processor. It comes with 2GB of RAM.</t>
  </si>
  <si>
    <t>NOTE 4</t>
  </si>
  <si>
    <t>Display: 5.50-inch (1080x1920),Processor: Qualcomm Snapdragon 625,Front Camera: 5MP,Rear Camera: 13MP,RAM: 2GB, Battery Capacity: 4100mAh</t>
  </si>
  <si>
    <t>Display: 5.50-inch (1080x1920),Processor: Qualcomm Snapdragon 625,Front Camera: 5MP,Rear Camera: 13MP,RAM: 3GB, Battery Capacity: 4100mAh</t>
  </si>
  <si>
    <t>Display: 5.50-inch (1080x1920),Processor: Qualcomm Snapdragon 625,Front Camera: 5MP,Rear Camera: 13MP,RAM: 4GB, Battery Capacity: 4100mAh</t>
  </si>
  <si>
    <t>NOTE 5 PRO</t>
  </si>
  <si>
    <t>5.99 Inch</t>
  </si>
  <si>
    <t>Display: 5.99-inch (1080x2160),Processor: Qualcomm Snapdragon 636,Front Camera: 20MP,Rear Camera: 12+5MP,RAM: 4GB, Battery Capacity: 4000mAh</t>
  </si>
  <si>
    <t>Apple iPhone 5C (1 GB/16 GB)</t>
  </si>
  <si>
    <t>Display: 4.00-inch (640x1136),Processor: Apple A6,Front Camera: 1.2MP,Rear Camera: 8MP,RAM: 1GB,ROM: 16GB,Battery Capacity: 1507mAh</t>
  </si>
  <si>
    <t xml:space="preserve">A very competent phone available in a lot of colourful options that makes the phone look young and fresh. The flat, colourful, iOs 7 phone offers a lot of new features and overhauled UI. Another offering is iWorks office free package that includes iMovie video editor and the powerful iPhoto app. All in all a solid well built phone with good battery life and consistent performance. </t>
  </si>
  <si>
    <t>Display: 5.50-inch (1080x1920),Processor: Apple A10 Fusion,Front Camera: 7MP,Rear Camera: 12MP,RAM: 3GB, Battery Capacity: 2900mAh</t>
  </si>
  <si>
    <t>Apple iPhone 7 Plus (3 GB/256 GB)</t>
  </si>
  <si>
    <t>Display:5.50-inch (1080x1920),Processor:Qualcomm Snapdragon 630,Front Camera: 8 MP,Rear Camera: 16MP,RAM: 3GB,ROM: 32GB,Battery Capacity: 3000mAh</t>
  </si>
  <si>
    <t>This smartphone comes with brilliant camera, long-lasting battery, enhanced stereo speakers, better storage options and a powerful processor. It isn't just about these features. It also looks as good as it functions! The vibrant display, sleek design and water-resiatant enclosure makes it a perfect device. Overall, a great phone to invest in!</t>
  </si>
  <si>
    <t>Apple iPhone 7 Plus (3 GB/32 GB)</t>
  </si>
  <si>
    <t>Display: 5.50-inch (1080x1920),Processor:Apple A10 Fusion,Front Camera: 7 MP,Rear Camera: 12MP,RAM: 3GB,ROM: 32GB,Battery Capacity: 2900mAh</t>
  </si>
  <si>
    <t>Apple iPhone 8 (2 GB/64 GB)</t>
  </si>
  <si>
    <t>This smartphone can highly elevate your iPhone user experience, thanks to its upgraded camera, louder speakers, glass body, A11 processor, wireless inductive charging, LCD display and the list goes on and on. Definitely a great pick!</t>
  </si>
  <si>
    <t>Apple iPhone SE (2 GB/64 GB)</t>
  </si>
  <si>
    <t>Display: 4.00-inch (640x1136),Processor: Apple A9,Front Camera: 1.2MP,Rear Camera: 12MP,RAM: 2GB, Battery Capacity: 1642mAh</t>
  </si>
  <si>
    <t>Apple iPhone XR (64 GB)</t>
  </si>
  <si>
    <t>Display: 6.10-inch (828x1792),Processor: Apple A12 Bionic,Front Camera: 7MP,Rear Camera: 12MP,RAM: 3GB, Battery Capacity: 2942mAh</t>
  </si>
  <si>
    <t>Apple iPhone XS (64 GB)</t>
  </si>
  <si>
    <t>Display: 5.80-inch (1125x2436),Processor: Apple A12 Bionic,Front Camera: 7MP,Rear Camera: 12MP+12MP,RAM: 4GB, Battery Capacity: 2658mAh</t>
  </si>
  <si>
    <t>Honor 7A (3 GB/32 GB)</t>
  </si>
  <si>
    <t>A cost effective, power packed phone that looks stylish and can handle all the daily smartphone tasks effeciently. This light weight phone has excellent dual rear cameras with LED flash, decent configuration, good battery back-up, fingerprint scanner, likeable design and looks of a premium phone.</t>
  </si>
  <si>
    <t>Motorola Moto E4 (2 GB/16 GB)</t>
  </si>
  <si>
    <t>MOTOROLA</t>
  </si>
  <si>
    <t xml:space="preserve">Display:5.00-inch (720x1280),Processor: MediaTek MT6737M ,Front Camera: 5 MP,Rear Camera: 8MP,RAM: 2GB,ROM: 16GB,Battery Capacity: 2800mAh </t>
  </si>
  <si>
    <t xml:space="preserve">This smartphone comes with good touch screen display, removable battery,  16GB of inbuilt storage, dual SIM access and two cameras. This should be one of the most budget-friendly options. </t>
  </si>
  <si>
    <t>Motorola Moto E4 Plus (3 GB/32 GB)</t>
  </si>
  <si>
    <t xml:space="preserve">A wonderful internal memory, impressive design, IPS LCD capacitive touchscreen, 16M colors, oleophobic screen coating - all in one!  This device also contains multi-touch feauture and is all in all a great piece. </t>
  </si>
  <si>
    <t>Nokia 4.2 (3 GB/32 GB)</t>
  </si>
  <si>
    <t>NOKIA</t>
  </si>
  <si>
    <t>Display:5.71-inch (720x1520),Processor: Qualcomm Snapdragon 439,Front Camera: 8 MP,Rear Camera: 13MP+2MP,RAM: 3GB,ROM: 32GB,Battery Capacity: 3000mAh</t>
  </si>
  <si>
    <t>A very affordable smartphone option available!  Nokia 4.2 has got this attractive and compact design, decent battery life, large display and good storage capacity. The 13MP main camera can click photos and videos in a quite high resolution.</t>
  </si>
  <si>
    <t>Nokia 5 (3 GB/16 GB)</t>
  </si>
  <si>
    <t>Display:5.20-inch (720x1280),Processor:Qualcomm Snapdragon 430 ,Front Camera: 8 MP,Rear Camera: 13MP,RAM: 3GB,ROM: 16GB,Battery Capacity: 3000mAh</t>
  </si>
  <si>
    <t xml:space="preserve">A great smartphone known for its good screen-to-body ratio, corning gorilla glass protection, HD video recorder, face detection, touch focus and other additional features. This one is definitely worth your bucks! </t>
  </si>
  <si>
    <t>Nokia 5.1 (3 GB/32 GB)</t>
  </si>
  <si>
    <t>Another impressive smartphone that comes with better viewing experience, good pixel density, great internal and expandable memory, good battery life and functions smoothly overall. Octa-core processor, active noise cancellation and dedicated mic adds to its attraction</t>
  </si>
  <si>
    <t>Nokia 5.1 Plus (3 GB/32 GB)</t>
  </si>
  <si>
    <t>Display:5.86-inch (720x1520) ,Processor: MediaTek Helio P60,Front Camera: 8 MP,Rear Camera: 13MP+5MP,RAM: 3GB,ROM: 32GB,Battery Capacity: 3060mAh</t>
  </si>
  <si>
    <t xml:space="preserve">This 5.86 inches smartphone comes with 287 pixel density and Corning Gorilla Glass 3 protection. It has got wide viewing angle with sharp and clear colors. The size of this compact device is great for handling and holding. The great built-in quality, high gloss body makes it an attractive alternative. </t>
  </si>
  <si>
    <t>Nokia 5.3 (6 GB/64 GB)</t>
  </si>
  <si>
    <t>Amazingly designed Nokia 5.3 has got super large size touchscreen, massive capacity,  great internal memory and magnificent cameras. The fast and responsive figure prints allows secured access and the glossy finish to the plastic body gives it a premium look.</t>
  </si>
  <si>
    <t>Nokia 6 (3 GB/32 GB)</t>
  </si>
  <si>
    <t>Nokia 6.1 (3 GB/32 GB)</t>
  </si>
  <si>
    <t>OnePlus 6T (6 GB/64 GB)</t>
  </si>
  <si>
    <t>Display: 6.41-inch (1080x2340),Processor: Qualcomm Snapdragon 845,Front Camera: 16MP,Rear Camera: 16+20MP,RAM: 4GB,ROM:64GB,Battery Capacity:3700mAh</t>
  </si>
  <si>
    <t xml:space="preserve">A powerful smartphone known for its top-of-the-line hardware, stellar performance and affordable pricing much cheaper than most of its rivals. Brilliant display, super fast charging, user-friendly operating system, all day battery life, superb cameras are some$ of the prominent features of this multitasking phone. </t>
  </si>
  <si>
    <t>OPPO</t>
  </si>
  <si>
    <t>POCO C3 (3 GB/32 GB)</t>
  </si>
  <si>
    <t>Display:6.53-inch (720x1600), Processor:MediaTek Helio G35, Front Camera:5MP, Rear Camera:13 MP + 2 MP + 2 MP ,RAM:3GB , ROM:32GB ,Battery Capacity:5000 mAh</t>
  </si>
  <si>
    <t>POCO M2 (6 GB/64 GB)</t>
  </si>
  <si>
    <t>Display:6.53-inch (1080x2340) ,Processor:MediaTek Helio G80, Front Camera:8MP, Rear Camera:13MP + 8MP + 5MP + 2MP ,RAM:6GB, ROM:64GB, Battery Capacity:5000 mAh</t>
  </si>
  <si>
    <t>POCO M2 Pro (4 GB/64 GB)</t>
  </si>
  <si>
    <t>Display:6.67-inch (1080x2400) ,Processor:Qualcomm Snapdragon 720G, Front Camera:16MP, Rear Camera:48MP + 8MP + 5MP + 2MP, RAM:4GB, ROM:64GB, Battery Capacity:5020mAh</t>
  </si>
  <si>
    <t>Realme 2 Pro (6 GB/64 GB)</t>
  </si>
  <si>
    <t>Display:6.30-inch (1080x2340) ,Processor:Qualcomm Snapdragon 660G, Front Camera:16MP, Rear Camera:16MP + 2MP ,RAM:6GB, ROM:64GB, Battery Capacity:3500mAh</t>
  </si>
  <si>
    <t>Realme C11 (2 GB/32 GB)</t>
  </si>
  <si>
    <t>Display:6.50-inch (720x1600) ,Processor:MediaTek Helio G35, Front Camera:5MP, Rear Camera:13MP + 2MP ,RAM:2GB, ROM:32GB, Battery Capacity:35000mAh</t>
  </si>
  <si>
    <t>Realme C2 (2 GB/16 GB)</t>
  </si>
  <si>
    <t>Display:6.10-inch (720x1560), Processor:MediaTek Helio P22, Front Camera:5MP, Rear Camera:13MP + 2MP ,RAM:2GB, ROM:16GB, Battery Capacity:4000mAh</t>
  </si>
  <si>
    <t>Realme C3 (3 GB/32 GB)</t>
  </si>
  <si>
    <t>Display:6.52-inch (720x1600), Processor:MediaTek Helio G70, Front Camera:5MP, Rear Camera:12MP + 2MP ,RAM:2GB, ROM:32GB, Battery Capacity:5000mAh</t>
  </si>
  <si>
    <t>Samsung Galaxy A50 (6 GB/128 GB)</t>
  </si>
  <si>
    <t>SAMSUNG</t>
  </si>
  <si>
    <t>Display:6.40-inch (1080x2340), Processor:Samsung Exynos 9610, Front Camera:25MP, Rear Camera:25MP + 5MP + 8MP ,RAM:6GB, ROM:128GB, Battery Capacity:4000mAh</t>
  </si>
  <si>
    <t>Display:6.70-inch (1080x2400), Processor:Qualcomm Snapdragon 675, Front Camera:32MP, Rear Camera:32MP + 8MP + 5MP, RAM:6GB, ROM:128GB, Battery Capacity:4500mAh</t>
  </si>
  <si>
    <t>Samsung Galaxy J5 2017 (2 GB/32 GB)</t>
  </si>
  <si>
    <t>Display:5.20-inch (720x1280), Processor:Exynos 7870, Front Camera:13MP, Rear Camera:13MP, RAM:2GB, ROM:16GB, Battery Capacity:3000mAh</t>
  </si>
  <si>
    <t>Samsung Galaxy Note 10 (8 GB/128 GB)</t>
  </si>
  <si>
    <t>Display:6.30-inch (1080x2280), Processor:Samsung Exynos 9825, Front Camera:10MP, Rear Camera:12MP + 16MP + 12MP, RAM:8GB, ROM:128GB, Battery Capacity:3500mAh</t>
  </si>
  <si>
    <t>Samsung Galaxy S9 (4 GB/64 GB)</t>
  </si>
  <si>
    <t>Display:5.80-inch (1440x2960), Processor:Samsung Exynos 9810, Front Camera:8MP, Rear Camera:12MP, RAM:4GB, ROM:64GB, Battery Capacity:3000mAh</t>
  </si>
  <si>
    <t>Samsung Galaxy S9 Plus (6 GB/128 GB)</t>
  </si>
  <si>
    <t>Display:6.20-inch (1440x2960), Processor:Samsung Exynos 9810, Front Camera:8MP, Rear Camera:12MP, RAM:6GB, ROM:128GB, Battery Capacity:3500mAh</t>
  </si>
  <si>
    <t>VIVO</t>
  </si>
  <si>
    <t>VIVO V7 (3 GB/32 GB)</t>
  </si>
  <si>
    <t>Display: 5.70-inch (720x1440),Processor: Qualcomm Snapdragon 450,Front Camera: 24MP,Rear Camera: 16MP,RAM: 3GB, Battery Capacity: 3000mAh</t>
  </si>
  <si>
    <t xml:space="preserve">A bezel-less, selfie-centric smartphone with a full-view display and a facial recognition feature. This slim and light-weight phone has a good front camera, a lasting battery life, dedicated micro SD slot and overall smooth performance. </t>
  </si>
  <si>
    <t>Vivo V7 (4 GB/32 GB)</t>
  </si>
  <si>
    <t>Display:5.70-inch (720x1440), Processor:Qualcomm Snapdragon 450, Front Camera:24MP, Rear Camera:16MP, RAM:3GB, ROM:32GB, Battery Capacity:3000mAh</t>
  </si>
  <si>
    <t>Vivo V7 Plus (4 GB/64 GB)</t>
  </si>
  <si>
    <t>Display:5.70-inch (720x1440), Processor:Qualcomm Snapdragon 450, Front Camera:24MP, Rear Camera:16MP, RAM:4GB, ROM:32GB, Battery Capacity:3000mAh</t>
  </si>
  <si>
    <t>Vivo V9 Pro (4 GB/64 GB)</t>
  </si>
  <si>
    <t>Display:6.30-inch (1080x2280), Processor:Qualcomm Snapdragon 626, Front Camera:24MP, Rear Camera:16MP+5MP, RAM:4GB, ROM:64GB, Battery Capacity:3260mAh</t>
  </si>
  <si>
    <t>Vivo Y81i (2 GB/16 GB)</t>
  </si>
  <si>
    <t>Display:6.30-inch (1080x2280), Processor:Qualcomm Snapdragon 660, Front Camera:16MP, Rear Camera:13MP + 2MP, RAM:4GB, ROM:64GB, Battery Capacity:3260mAh</t>
  </si>
  <si>
    <t>Xiaomi Max (4 GB/64 GB)</t>
  </si>
  <si>
    <t>Xiaomi Mi A2 (4 GB/32 GB)</t>
  </si>
  <si>
    <t>Display: 5.99-inch (1080x2160),Processor: Qualcomm Snapdragon 660,Front Camera: 20MP,Rear Camera: 12MP+20MP,RAM: 4GB, ROM: 32GB, Battery Capacity: 3000mAh</t>
  </si>
  <si>
    <t>Xiaomi POCO F1 (6 GB/64 GB)</t>
  </si>
  <si>
    <t>Display: 6.18-inch (1080x2246),Processor: Qualcomm Snapdragon 845,Front Camera: 20MP,Rear Camera: 12MP+5MP,RAM: 6GB, ROM:64GB, Battery Capacity: 4000mAh</t>
  </si>
  <si>
    <t>Xiaomi POCO X2 (6 GB/128 GB)</t>
  </si>
  <si>
    <t>Display: 6.67-inch (1080x2400),Processor: Qualcomm Snapdragon 730G,Front Camera: 20MP+2MP,Rear Camera: 64MP+2MP+8MP+2MP,RAM: 6GB, ROM:128, Battery Capacity: 4500mAh</t>
  </si>
  <si>
    <t xml:space="preserve">An affordable mid-range phone with a lot of promising features like versatile cameras, smooth display, sturdy battery life and overall swift performance that seems to have been fine-tuned for gaming. Moreover, the phone has a powerful RAM and ample storage space to offer its users. </t>
  </si>
  <si>
    <t>Xiaomi Redmi 4 (4 GB/64 GB)</t>
  </si>
  <si>
    <t>Display: 5.00-inch (720x1280),Processor:Qualcomm Snapdragon 435,Front Camera: 5MP,Rear Camera: 13MP,RAM: 6GB,ROM: 64, Battery Capacity: 4100mAh</t>
  </si>
  <si>
    <t>Display: 5.70-inch (720x1440),Processor:Qualcomm Snapdragon 450, Front Camera: 5MP,Rear Camera: 12MP,RAM: 2GB,ROM: 16, Battery Capacity:3300mAh</t>
  </si>
  <si>
    <t>Display: 5.00-inch (720x1280),Processor: Qualcomm Snapdragon 425,Front Camera: 5MP,Rear Camera: 13MP,RAM: 2GB, Battery Capacity: 3000mAh</t>
  </si>
  <si>
    <t>Xiaomi Redmi 6 (3 GB/32 GB)</t>
  </si>
  <si>
    <t xml:space="preserve">["An affordable phone in the entry level segment with promising features like 18:9 aspect ratio display, thin sized bezels, dual sim card space, micro-SD card slot and vibrant display. An easy to use phone which is a good buy if you want to switch from a feature phone to a smartphone."] </t>
  </si>
  <si>
    <t>Xiaomi Redmi 7 (2 GB/32 GB)</t>
  </si>
  <si>
    <t>Display:6.26-inch (720x1520), Processor:Qualcomm Snapdragon 632, Front Camera:8MP, Rear Camera:12MP + 2MP, RAM:2GB, ROM:16GB, Battery Capacity:4000mAh</t>
  </si>
  <si>
    <t>Xiaomi Redmi 7A (2 GB/16 GB)</t>
  </si>
  <si>
    <t>Display:5.45-inch (720x1440), Processor:Qualcomm Snapdragon 439, Front Camera:5MP, Rear Camera:12MP, RAM:2GB, ROM:16GB, Battery Capacity:4000mAh</t>
  </si>
  <si>
    <t>Xiaomi Redmi 8 (4 GB/64 GB)</t>
  </si>
  <si>
    <t>Display:6.30-inch (1080x2280), Processor:Qualcomm Snapdragon 665, Front Camera:13MP, Rear Camera:48MP + 8MP + 2MP + 2MP, RAM:4GB, ROM:64GB, Battery Capacity:4000mAh</t>
  </si>
  <si>
    <t>Xiaomi Redmi 8A (3 GB/32 GB)</t>
  </si>
  <si>
    <t>Display:6.22-inch (720x1520), Processor:Qualcomm Snapdragon 439, Front Camera:8MP, Rear Camera:12MP, RAM:3GB, ROM:32GB, Battery Capacity:5000mAh</t>
  </si>
  <si>
    <t>Xiaomi Redmi Note 5A (2 GB/16 GB)</t>
  </si>
  <si>
    <t>Display:5.50-inch (720x1280), Processor:Qualcomm Snapdragon 425, Front Camera:16MP, Rear Camera:13MP, RAM:2GB, ROM:16GB, Battery Capacity:3080mAh</t>
  </si>
  <si>
    <t>Xiaomi Redmi Note 6 (4 GB/64 GB)</t>
  </si>
  <si>
    <t>Xiaomi Redmi Note 7 (3 GB/32 GB)</t>
  </si>
  <si>
    <t>Display:6.30-inch (1080x2340), Processor:Qualcomm Snapdragon 660, Front Camera:13MP , Rear Camera:12MP + 2MP, RAM:3GB, ROM:32GB, Battery Capacity:4000mAh</t>
  </si>
  <si>
    <t>Xiaomi Redmi Note 7S (3 GB/32 GB)</t>
  </si>
  <si>
    <t>Display:6.30-inch (1080x2340), Processor:Qualcomm Snapdragon 660, Front Camera:13MP , Rear Camera:48MP + 5MP, RAM:3GB, ROM:32GB, Battery Capacity:4000mAh</t>
  </si>
  <si>
    <t>Xiaomi Redmi Y1 (3 GB/32 GB)</t>
  </si>
  <si>
    <t>Display:5.50-inch (720x1280), Processor:Qualcomm Snapdragon 435, Front Camera:16MP , Rear Camera:13MP, RAM:3GB, ROM:32GB, Battery Capacity:3080mAh</t>
  </si>
  <si>
    <t>Display: 6.70-inch (1080x2400),Processor: Qualcomm Snapdragon 675,Front Camera: 32MP,Rear Camera: 32MP+8MP+5MP,RAM: 6GB,ROM:128GB,Battery Capacity:4500mAh</t>
  </si>
  <si>
    <t>Display: 5.20-inch (720x1280),Processor:Exynos 7870,Front Camera: 13MP,Rear Camera:13,RAM:2GB,ROM:32GB,Battery Capacity:3000mAh</t>
  </si>
  <si>
    <t xml:space="preserve">A mid-range phone with smart full metal unibody design, powerful spects, finger print sensor, extremely durable battery, Android 7.0 Noughat OS and user interface with useful software features, good display properties and a big battery backup. A powerful phone that can easily be called a multitasker. </t>
  </si>
  <si>
    <t>Display: 6.70-inch (1080x2400), Processor: 2.7GHz octa-core,Front Camera: 32MP,Rear Camera: 12MP + 12MP + 12MP ,RAM: 8GB,ROM:128GB,Battery Capacity:4500mA</t>
  </si>
  <si>
    <t>Oppo a31 (6 GB/128 GB)</t>
  </si>
  <si>
    <t>Display: 4.50-inch (480x854), Processor: Qualcomm Snapdragon 410,Front Camera: 5MP,Rear Camera: 8MP ,RAM: 6GB,ROM:128GB,Battery Capacity:2000mAh</t>
  </si>
  <si>
    <t xml:space="preserve">The Oppo mobile phone is not just pretty in looking but it comprises mind-blowing features. A 4 GB RAM, that can make you play games and multitask with great ease and comfort. Its large memory capacity can help you save all your precious pictures and other memories without worrying much about storage issues. If you are fond of listening to music, playing games, and more, then its 4230 mAh battery will ensure that and you can remain undisturbed for a longer time. </t>
  </si>
  <si>
    <t>GOOGLE</t>
  </si>
  <si>
    <t>ASUS</t>
  </si>
  <si>
    <t>Samsung Galaxy On7 Pro (2 GB/16 GB)</t>
  </si>
  <si>
    <t>Display:5.50-inch (720x1280), Processor:1.2GHz quad-core ,Front Camera: 5MP,Rear Camera: 13 MP ,RAM: 2GB,ROM:16GB,Battery Capacity:30000mAh</t>
  </si>
  <si>
    <t xml:space="preserve">The Phone comes with a 5.50-inch touchscreen display. It is powered by a 1.2GHz quad-core processor. This model provides you a good storage capacity of 2GB of RAM. The Samsung Galaxy On 7 Pro runs Android 6.0 and is powered by a 3000mAh removable battery. It also sports a 5-megapixel camera on the front for selfies. </t>
  </si>
  <si>
    <t>Vivo Y11 (6 GB/64 GB)</t>
  </si>
  <si>
    <t>Display:6.35-inch (720x1544) , Qualcomm Snapdragon 439, Processor:Qualcomm Snapdragon 450 ,Front Camera: 8MP,Rear Camera:13MP + 2MP, RAM: 6GB,ROM:64GB ,Battery Capacity:5000mAh</t>
  </si>
  <si>
    <t xml:space="preserve">Vivo Y11 featuring a 5000mAh battery ensures long working hours once fully charged. Decent photography can be expected with a dual camera on this smartphone. Vivo Y11 exhibiting an impressive RAM with a standard storage capacity. It is handy and budget-friendly for daily use. </t>
  </si>
  <si>
    <t xml:space="preserve">Looking for a smartphone that can multi-task? Presenting Redmi Y2 smartphone capable of clicking pictures, playing games, listening to music, and whatnot. Explore unlimited possibilities with Redmi Y2. A 4GB RAM and an amazing Qualcomm Snapdragon 625 processor let you enjoy an uninterrupted multitasking experience.  </t>
  </si>
  <si>
    <t>Display: 4.50-inch (480x854), Processor:Qualcomm Snapdragon 410,Front Camera: 5MP,Rear Camera: 8MP ,RAM: 6GB,ROM:128GB,Battery Capacity:2000mAh</t>
  </si>
  <si>
    <t>Display:6.53-inch (1080x2340), Processor:MediaTek Helio P70, Front Camera:16MP, Rear Camera:48MP + 5MP , RAM:6GB, ROM:128GB, Battery Capacity: 4000mAh</t>
  </si>
  <si>
    <t xml:space="preserve">Are you in search of a smartphone capable of clicking professional-quality pictures? Then Oppo F11 is for you, you can clip great pictures that are crisp, clear, and vibrant. It comes with an AI-powered Ultra-care engine that lets you get high-quality pictures at night without any distortion. It consists of a plethora of features that enhance the quality of your photos and give them a professional touch. Apart from these, it comes up with a power-packed battery life that won't let your phone run out of battery frequently. </t>
  </si>
  <si>
    <t>Samsung Galaxy C7 Pro (4 GB/64 GB)</t>
  </si>
  <si>
    <t>Display:5.70-inch (1080x1920), Processor:Qualcomm Snapdragon 626 ,Front Camera: 16MP,Rear Camera: 16MP ,RAM: 4GB,ROM:64GB,Battery Capacity:3300mAh</t>
  </si>
  <si>
    <t xml:space="preserve">Samsung Galaxy C7 Pro has 4 GB RAM. It has one of the best screens in the segment. Apart from it, even after having 95+ apps, the phone shows no lag or slowdown because of its 4GB RAM. The phone is designed to meet up the expectation of being slim at the same time powerful. A must-buy phone. </t>
  </si>
  <si>
    <t>Oppo F9 PRO (6 GB/128 GB)</t>
  </si>
  <si>
    <t>Display:6.30-inch (1080x2340), Processor: MediaTek Helio P60 ,Front Camera: 125MP, Rear Camera: 16MP + 2MP ,RAM: 6GB,ROM:128GB,Battery Capacity:3500mAh</t>
  </si>
  <si>
    <t>The Oppo F9 Pro has VOOC Flash Charge Technology that will save you the hassle of low battery that might threaten your plans. In just five minutes of charging gives you two hours of talk time. This phone is equipped with the overheating protection feature. when it comes to fun, Oppo F9 gives you its expansive 16 cm screen for gaming, listening to music, or working. everything you do will be smooth and immersive on this phone.</t>
  </si>
  <si>
    <t>Xiaomi Redmi Note 5 (4 GB/64 GB)</t>
  </si>
  <si>
    <t>Display:5.99-inch (1080x2160), Processor:Qualcomm Snapdragon 439, Front Camera:5MP, Rear Camera:12MP, RAM:4GB, ROM:64GB, Battery Capacity:4000mAh</t>
  </si>
  <si>
    <t xml:space="preserve">The Redmi Note 5 phone has an admirable 15.2 cm, 18.9 full-screen display with rounded corners. It owes a 64 GB memory along with a RAM of 4GB, you can download as many files as you can. Capture your favorite moments of the day with the 12 MP camera with a 12-micrometer large pixel-size that lets you take stunning images even in low-lightening conditions. 4000 mAh battery life is very strong in charge, you can do surfing, gaming, chatting all day long. </t>
  </si>
  <si>
    <t>Realme 3 (3 GB/32 GB)</t>
  </si>
  <si>
    <t>Display:6.20-inch (720x1520), Processor:MediaTek Helio P70 ,Front Camera: 13MP,Rear Camera: 13MP + 2MP,RAM: 3GB,ROM:32GB,Battery Capacity:4230mAh</t>
  </si>
  <si>
    <t>The Realme 3 defines its exceptional performance and elegant design. It has a 3D Unibody Design, that is complemented by a gradient effect. That adds to your stylish personality. Its Helio P70 AI Processor (12nm-class), combined with a powerful 4230-mAh battery, makes the Realme 3 a highly efficient smartphone.</t>
  </si>
  <si>
    <t>Realme C1 (2 GB/16 GB)</t>
  </si>
  <si>
    <t>c1</t>
  </si>
  <si>
    <t>Samsung Galaxy J3 Pro (2 GB/16 GB)</t>
  </si>
  <si>
    <t>Display:5.00-inch (720x1280), Processor:Spreadtrum SC9830i ,Front Camera: 5MP,Rear Camera: 8 MP ,RAM: 2GB,ROM:16GB,Battery Capacity:2600mAh</t>
  </si>
  <si>
    <t xml:space="preserve">With the Samsung Galaxy J3 Pro, you will get to enjoy the variety of colors that OLED displays are commonly known for. Just enjoy your favorite movies, series, and much more on the 12.63-cm Super AMOLED display which makes the phone fit easily in the palm of your hand. </t>
  </si>
  <si>
    <t>Display: 5.99-inch (1080x2160),Processor: Qualcomm Snapdragon 660,Front Camera: 20MP,Rear Camera: 12MP+20MP,RAM: 4GB, ROM: 64GB, Battery Capacity: 3000mAh</t>
  </si>
  <si>
    <t xml:space="preserve">The Mi A2 from Xiaomi sports a 5.99-inch display with fullHD+resolution and Corning Gorilla Glass 5 for protection. It is a part of Google's Android One Program. The Mi A2 has a metal unibody design and a 3000 mah battery capacity. It has a USB Type-C port at the bottom and an IR Blaster at the top. It also has a dual-camera setup at the back consisting of a 12-megapixel primary camera and a 20-megapixel secondary camera. </t>
  </si>
  <si>
    <t>Xiaomi POCO F1 (6 GB/128 GB)</t>
  </si>
  <si>
    <t>Display: 6.18-inch (1080x2246),Processor: Qualcomm Snapdragon 845,Front Camera: 20MP,Rear Camera: 12MP+5MP,RAM: 6GB, ROM:128GB, Battery Capacity: 4000mAh</t>
  </si>
  <si>
    <t>Display:6.30-inch (1080x2340), Processor:Qualcomm Snapdragon 675, Front Camera:13MP , Rear Camera:48MP + 5MP, RAM:4GB, ROM:64GB, Battery Capacity:4000mAh</t>
  </si>
  <si>
    <t>Display: 4.00-inch (640x1136),Processor: Apple A7,Front Camera: 1.2MP,Rear Camera: 8MP,RAM: 1GB,ROM: 16GB,Battery Capacity: 1507mAh</t>
  </si>
  <si>
    <t>Display: 6.30-inch (1080x2340),Processor: Qualcomm Snapdragon 675
,Front Camera: 16 MP,Rear Camera: 32MP + 5MP + 8MP ,RAM: 6GB,ROM: 128GB,Battery Capacity: 3500mAh</t>
  </si>
  <si>
    <t>OnePlus</t>
  </si>
  <si>
    <t>Display: 6.41-inch (1080x2340),Processor:Qualcomm Snapdragon 855,Front Camera: 16 MP,Rear Camera: 48MP + 5MP,RAM: 1GB,ROM: 16GB,Battery Capacity: 3700mAh</t>
  </si>
  <si>
    <t>Apple</t>
  </si>
  <si>
    <t>Apple iPhone SE (2 GB/16 GB)</t>
  </si>
  <si>
    <t>Apple iPhone X (64 GB)</t>
  </si>
  <si>
    <t>This is an impressive iPhone with with stunning design, great display, brilliant cameras and assured software updates. It has also got the feature of wireless charging. All in all, a great choice to make!</t>
  </si>
  <si>
    <t>Display: 6.41-inch (1080x2340),Processor: Qualcomm Snapdragon 855,Front Camera: 16MP,Rear Camera: 48+5MP,RAM: 6GB,ROM:128GB,Battery Capacity:3700mAh</t>
  </si>
  <si>
    <t>With great OLED screen, top notch under-display fingerprint performance,decently sounding stereo speakers, excellent battery life and excellent main camera, this is definitely a great phone to invest in. Further, the 20W is better than most other phones out there.</t>
  </si>
  <si>
    <t>Display: 6.67-inch (1440x3120),Processor: Qualcomm Snapdragon 855+,Front Camera: 16MP,Rear Camera: 48+16+8MP,RAM: 6 GB,ROM:128 GB,Battery Capacity:4085mAh</t>
  </si>
  <si>
    <t>A smartphone with very competitive pricing!The bright and beautiful 90Hz display, fluid and snappy Oxygen OS and vastly improved hardware design makes it a great smartphone. In addition, it has got one of the fastest indisplay finger print readers! Isn't that super cool?</t>
  </si>
  <si>
    <t>If you're looking for a phone with great cameras, this should definitely be a good choice to make. It has got versatile camera for great photos and videos. In addition, features like large and wide display, excellent battery life, latest Android and One UI adds to its beauty!</t>
  </si>
  <si>
    <t>Samsung Galaxy A31 (6 GB/128 GB)</t>
  </si>
  <si>
    <t>Display:6.40-inch (1080x2400), Processor:MediaTek Helio P65, Front Camera: 20MP,Rear Camera:448MP + 8MP + 5MP + 5MP , RAM: 6GB,ROM:128GB ,Battery Capacity:5000mAh</t>
  </si>
  <si>
    <t>A solid smartphone with beautiful unique design, AMOLED display, impressive battery endurance, decent charging speed and quality cameras. If you're looking for a phone with good  cameras, this should definitely be a right pick. Other that that, it has also got single-bottom firing speakers.</t>
  </si>
  <si>
    <t>Samsung Galaxy M21 (4 GB/64 GB)</t>
  </si>
  <si>
    <t>Display:6.40-inch (2340x1080), Processor:Samsung Exynos 9611, Front Camera: 20MP,Rear Camera:48MP + 8MP + 5MP , RAM: 64B,ROM:64 GB ,Battery Capacity:6000mAh</t>
  </si>
  <si>
    <t>Great battery life, AMOLED display, HD streaming support, dedicated card slot, fast biometric unlock add to the attractiveness of SAMSUNG Galaxy M21. This one's also relatively lighter than other rivals and has got a great design!</t>
  </si>
  <si>
    <t>Vivo Y20 (4 GB/64 GB)</t>
  </si>
  <si>
    <t>Display:6.51-inch (720x1600), Processor:Qualcomm Snapdragon 460 ,Front Camera: 8MP,Rear Camera:13MP + 2MP + 2MP, RAM: 4,ROM:64GB ,Battery Capacity:5000mAh</t>
  </si>
  <si>
    <t>This impressive smartphone comes with a set of triple cameras, an integrated 6.51 inches IPS LCD panel and a 5000 mAh powered battery with 18 W fast charging. It has also got side mounted fingerprint and funtouch 10.5 for better UI. Definitely  a great device to invest in!</t>
  </si>
  <si>
    <t>Display:6.26-inch (1080x2280), Processor:Qualcomm Snapdragon 636, Front Camera:120MP + 2MP, Rear Camera:112MP + 5MP, RAM:4GB, ROM:64GB, Battery Capacity:4000mAh</t>
  </si>
  <si>
    <t xml:space="preserve">One of the best phones at best price! Xiaomi  Redmi Note 6 Pro comes with brilliant design, quality display, good software performance and great cameras. This model has got upgraded selfie camera with any extra basic depth sensor (20MP + 2MP). This has considerably elevated the camera quality.  In addition, it has good great battery,  audio and call features. </t>
  </si>
  <si>
    <t>Display:6.70-inch (1080x2400), Processor:Qualcomm Snapdragon 636, Front Camera:32MP, Rear Camera:64MP + 12MP + 5MP + 5MP
, RAM:8GB, ROM:128GB, Battery Capacity:4500mAh</t>
  </si>
  <si>
    <t>Apple iPhone 6S Plus (2 GB/16 GB)</t>
  </si>
  <si>
    <t>Apple IPHONE 7 (2 GB/256 GB)</t>
  </si>
  <si>
    <t xml:space="preserve">Apple iPhone 7 comes with the new high-performance A10 chip, brilliant cameras,  amazing battery life, dust and water resistancy and wireless headphones. The overall functioning is smooth and the design is quite impressive. All in all,  a great iPhone to invest in. </t>
  </si>
  <si>
    <t xml:space="preserve">Another impressive Apple smartphone that comes with bunch of exciting features. Some of these include long lasting battery, crystal clear display, quality cameras, quality audio,  fingerprint sensor,  strengthened glass design, oleophobic coating and what not. This one won't disappoint you at all. </t>
  </si>
  <si>
    <t>Oppo A53 (4GB/64GB)</t>
  </si>
  <si>
    <t>The is one of the most impressive Oppo phones that comes with a whole bunch of exciting features. They includes IPS LCD screen with an adequate amount of pixel density, elegant design, 5000mAh battery, fast charging and brilliany cameras. Trust us, you are never going to regret investing in this smartphone.</t>
  </si>
  <si>
    <t>SAMSUNG Galaxy A50S</t>
  </si>
  <si>
    <t>Another impressive SAMSUNG smartphone! 48MP camera sensor, improved design, AMOLED screen, fingerprint sensor, scratch resistant screen, great storage and quality cameras adds to the attractiveness of this smartphone. All in all, a great choice to make!</t>
  </si>
  <si>
    <t>Vivo V11</t>
  </si>
  <si>
    <t>Vivo V11 comes with a super AMOLED screen, 6GB RAM, excellent battery life, fast charging, fingerprint sensors and decent quality cameras. Of you're looking for a quality phone at affordable price, Vivo V11 should be the right pick.</t>
  </si>
  <si>
    <t>Apple iPhone SE (3GB/128 GB)</t>
  </si>
  <si>
    <t>SAMSUNG Galaxy A30</t>
  </si>
  <si>
    <t>ONEPLUS 8 (6GB/128GB)</t>
  </si>
  <si>
    <t>Samsung Galaxy A30 is an impressive smartphone with stunning AMOLED screen, HD streaming support, Android pie based one UI and good battery mileage. The device also supports fast charging. All in all, a great phone to invest in.</t>
  </si>
  <si>
    <t xml:space="preserve">["OnePlus 8 comes with a solid design, super bright, accurate and smooth OLED screen, best-sounding stereo speakers and fast charging capacity. In addition, the camera performance is commendable as well. The functions are all smooth. You are not going to regret investing in this device."] </t>
  </si>
  <si>
    <t>Data updated as of</t>
  </si>
  <si>
    <t># of models that should be seen on website</t>
  </si>
  <si>
    <t># of models that need short description</t>
  </si>
  <si>
    <t># of models that need long description</t>
  </si>
  <si>
    <t>0 - Not present, 1- Present)</t>
  </si>
  <si>
    <t>A+ present</t>
  </si>
  <si>
    <t>A present</t>
  </si>
  <si>
    <t>B present</t>
  </si>
  <si>
    <t>SELECTION</t>
  </si>
  <si>
    <t>SH. DES</t>
  </si>
  <si>
    <t>LONG DESC</t>
  </si>
  <si>
    <t>id</t>
  </si>
  <si>
    <t>status</t>
  </si>
  <si>
    <t>name</t>
  </si>
  <si>
    <t>model_id</t>
  </si>
  <si>
    <t>brand_id</t>
  </si>
  <si>
    <t>category_id</t>
  </si>
  <si>
    <t>color</t>
  </si>
  <si>
    <t>min_quantity</t>
  </si>
  <si>
    <t>quantity</t>
  </si>
  <si>
    <t>max_quantity</t>
  </si>
  <si>
    <t>offer_price</t>
  </si>
  <si>
    <t>list_price</t>
  </si>
  <si>
    <t>ram</t>
  </si>
  <si>
    <t>rom</t>
  </si>
  <si>
    <t>battery_capacity</t>
  </si>
  <si>
    <t>network</t>
  </si>
  <si>
    <t>os</t>
  </si>
  <si>
    <t>processor</t>
  </si>
  <si>
    <t>rear_cam</t>
  </si>
  <si>
    <t>secondary_cam</t>
  </si>
  <si>
    <t>screen_resolution</t>
  </si>
  <si>
    <t>short_description</t>
  </si>
  <si>
    <t>long_description</t>
  </si>
  <si>
    <t>created_at</t>
  </si>
  <si>
    <t>updated_at</t>
  </si>
  <si>
    <t>et-dolorum-6-16-4-green</t>
  </si>
  <si>
    <t>est et veniam</t>
  </si>
  <si>
    <t>et-dolorum</t>
  </si>
  <si>
    <t>et</t>
  </si>
  <si>
    <t>https://via.placeholder.com/300x650.png/00cc88?text=Smartphone+consequatur</t>
  </si>
  <si>
    <t>Green</t>
  </si>
  <si>
    <t>4G</t>
  </si>
  <si>
    <t>iOS</t>
  </si>
  <si>
    <t>Qualcomm</t>
  </si>
  <si>
    <t>600x720</t>
  </si>
  <si>
    <t>["Ut nulla harum omnis esse.","Eos eius vel eum voluptate ab sit.","Veritatis impedit voluptatem dicta occaecati hic quisquam perspiciatis.","Beatae natus consectetur eius omnis occaecati architecto animi.","Exercitationem sint est nam eligendi aut alias.","Est non iure molestias culpa id corrupti recusandae.","Iste impedit veniam et numquam.","Iusto impedit laudantium nihil nihil aliquam mollitia quos et.","Provident consequatur exercitationem consequatur molestias alias impedit.","Provident et velit non enim."]</t>
  </si>
  <si>
    <t>["Praesentium autem incidunt rerum error ut explicabo voluptas. Assumenda distinctio deleniti reiciendis rerum ut. Dolor quae eum accusantium similique placeat est id. Unde odit vero tempora voluptas.","Sed similique aperiam consequatur nihil incidunt ea. Eligendi voluptatem ex ut quod quia excepturi. Quod ipsum veritatis quia laborum non dolorum voluptatem."]</t>
  </si>
  <si>
    <t>########</t>
  </si>
  <si>
    <t>sed-cumque-2-32-4-red</t>
  </si>
  <si>
    <t>facere adipisci tempora</t>
  </si>
  <si>
    <t>sed-cumque</t>
  </si>
  <si>
    <t>sed</t>
  </si>
  <si>
    <t>https://via.placeholder.com/300x650.png/00dd88?text=Smartphone+facilis</t>
  </si>
  <si>
    <t>Red</t>
  </si>
  <si>
    <t>3G</t>
  </si>
  <si>
    <t>1440x2160</t>
  </si>
  <si>
    <t>["Eligendi commodi iure excepturi quod.","Distinctio id soluta voluptatem possimus qui quo.","Doloremque corporis expedita voluptas eaque ea.","Eum et animi temporibus maxime cum ut.","Consequuntur ad rem nemo in sunt corporis.","Recusandae ut magnam ex.","Autem et sed perspiciatis sint ratione.","Ipsum aliquid nostrum nobis sed aperiam ut nobis.","Facilis sit itaque debitis alias ab.","Autem qui quia asperiores voluptates itaque recusandae nisi."]</t>
  </si>
  <si>
    <t>["Eum facilis laudantium quis. Ea deserunt quasi nobis id quod. Laborum ut dicta et reiciendis minima officiis molestias voluptate. Qui expedita soluta non delectus.","Dolorem qui ut vitae rerum maxime dignissimos. Molestiae autem magnam ut qui. Distinctio facere ex error quas qui sit expedita dicta. Vero ab aut quisquam beatae ipsum omnis libero."]</t>
  </si>
  <si>
    <t>est-porro-4-128-6-blue</t>
  </si>
  <si>
    <t>sit dolorem et</t>
  </si>
  <si>
    <t>est-porro</t>
  </si>
  <si>
    <t>est</t>
  </si>
  <si>
    <t>https://via.placeholder.com/300x650.png/00cc33?text=Smartphone+sint</t>
  </si>
  <si>
    <t>Blue</t>
  </si>
  <si>
    <t>Android</t>
  </si>
  <si>
    <t>Samsung</t>
  </si>
  <si>
    <t>["Debitis et autem recusandae qui minus.","Iste odio id est natus unde hic omnis.","Nam possimus porro ut magni.","Laboriosam rerum pariatur et consequatur ipsa est repellat.","Necessitatibus autem id et et voluptatum ut.","Assumenda tempore ut culpa non cupiditate corrupti nobis.","Quis non provident molestias quia aut et dignissimos voluptas.","Voluptatem sunt distinctio deserunt ut asperiores beatae.","Commodi sed velit officia dicta voluptas.","Consectetur provident non ab ut."]</t>
  </si>
  <si>
    <t>["Molestiae eius est quia quae eos animi fugit. Voluptatem necessitatibus architecto quasi voluptates. Et non qui praesentium ea.","Delectus dolores natus quae soluta in quod. Quaerat error et necessitatibus natus a earum nostrum cumque. Voluptate laborum amet est accusantium blanditiis ut."]</t>
  </si>
  <si>
    <t>maiores-recusandae-8-32-2-white</t>
  </si>
  <si>
    <t>similique perspiciatis provident</t>
  </si>
  <si>
    <t>maiores-recusandae</t>
  </si>
  <si>
    <t>maiores</t>
  </si>
  <si>
    <t>https://via.placeholder.com/300x650.png/0044dd?text=Smartphone+est</t>
  </si>
  <si>
    <t>White</t>
  </si>
  <si>
    <t>1200x400</t>
  </si>
  <si>
    <t>["Dolorem velit consequatur iste corrupti necessitatibus.","Sapiente nesciunt ut quasi consectetur sequi consequatur.","Commodi quisquam voluptatem qui officiis voluptatibus.","Placeat ipsam totam nihil est aperiam.","Odit et quidem repudiandae modi quod.","Corrupti et qui et quae alias.","Delectus ducimus dolor hic.","Rerum eum voluptas itaque sapiente qui corporis perferendis consequatur.","Sit et beatae dolores ratione et occaecati sit.","Ut consequatur occaecati esse at a."]</t>
  </si>
  <si>
    <t>["Dolor asperiores natus placeat magni earum. Voluptatibus eveniet porro dolorem sint fugiat minima sed.","Ratione id velit dolores voluptatem corrupti eligendi. Consequuntur vel aut eos et ut qui labore. Qui ea ipsum dolorem."]</t>
  </si>
  <si>
    <t>ut-ut-6-64-6-black</t>
  </si>
  <si>
    <t>debitis necessitatibus dolores</t>
  </si>
  <si>
    <t>ut-ut</t>
  </si>
  <si>
    <t>ut</t>
  </si>
  <si>
    <t>https://via.placeholder.com/300x650.png/00cccc?text=Smartphone+dolores</t>
  </si>
  <si>
    <t>Black</t>
  </si>
  <si>
    <t>5G</t>
  </si>
  <si>
    <t>["Et voluptatibus quisquam quasi itaque est dolorem.","Et quae ut eaque hic.","Deserunt quia enim ea sunt esse.","Ut quo consequuntur qui odio.","Sequi doloribus vero facilis iure porro suscipit.","Rem debitis facere quod enim voluptas aspernatur.","Numquam omnis sint totam officia dignissimos accusamus non.","Error voluptas omnis illo molestiae.","Cupiditate voluptatem et eius.","Praesentium quo quia harum quasi itaque laborum."]</t>
  </si>
  <si>
    <t>["Quos sed animi doloribus tenetur. Exercitationem fugit non est nisi aspernatur ducimus. Dolor non ut mollitia magnam architecto illum. Voluptatem reprehenderit non aliquid dolorem.","Voluptates vero deserunt vel necessitatibus. Molestiae voluptatem accusamus quisquam velit. Quos quia iure magnam sit est. Fugiat nesciunt animi tempora provident ipsam fuga."]</t>
  </si>
  <si>
    <t>est-porro-4-32-4-blue</t>
  </si>
  <si>
    <t>quasi atque et</t>
  </si>
  <si>
    <t>https://via.placeholder.com/300x650.png/00bb99?text=Smartphone+ut</t>
  </si>
  <si>
    <t>1920x1080</t>
  </si>
  <si>
    <t>["Veritatis officia suscipit quaerat at voluptatibus odit in.","Explicabo inventore nesciunt nesciunt iure odit.","Totam hic neque id libero.","Sapiente assumenda sapiente ad laboriosam placeat molestiae voluptatibus omnis.","Iste repellendus amet hic et accusantium repudiandae.","Eum ducimus perspiciatis distinctio illo placeat doloribus.","Omnis nihil rerum fugiat.","Quos quidem corporis animi autem.","Beatae et possimus eum praesentium repellat rerum.","Possimus expedita quia et eum iure."]</t>
  </si>
  <si>
    <t>["Commodi debitis autem perferendis est ipsum. Libero enim et dolorem quia rerum.","Expedita vel omnis cupiditate ullam quis. Sint eos dolores quibusdam ut. Sunt deleniti tempora nobis dolores molestias. Aperiam quo omnis quisquam."]</t>
  </si>
  <si>
    <t>quasi-voluptatem-2-64-2-white</t>
  </si>
  <si>
    <t>voluptatem sequi qui</t>
  </si>
  <si>
    <t>quasi-voluptatem</t>
  </si>
  <si>
    <t>quasi</t>
  </si>
  <si>
    <t>https://via.placeholder.com/300x650.png/00aa66?text=Smartphone+ut</t>
  </si>
  <si>
    <t>["Aut autem iusto eaque totam rem qui soluta.","Nihil veniam porro voluptas rerum odio voluptate exercitationem iste.","Officiis quia dolore qui ad tempora veritatis.","Itaque earum non vel voluptas at provident aspernatur.","Dolorem quia voluptas consequuntur rem molestias.","Quaerat id exercitationem id qui et dolores facilis consequatur.","Adipisci aspernatur deleniti et.","Ut sapiente cumque aut quia.","Cum vel velit autem nihil placeat explicabo eligendi et.","Amet ut illo minus occaecati mollitia autem necessitatibus."]</t>
  </si>
  <si>
    <t>["Natus soluta aut quaerat voluptas animi in. Eveniet qui dolores sint reiciendis esse nihil. Dicta culpa dolorem quas sed excepturi.","Alias excepturi atque doloremque soluta et eligendi. Et tenetur ad at laudantium exercitationem tempora. Qui eligendi qui minus cumque sed velit. Suscipit velit temporibus et sunt veniam."]</t>
  </si>
  <si>
    <t>aspernatur-voluptatem-4-64-5-green</t>
  </si>
  <si>
    <t>ipsum voluptatem veniam</t>
  </si>
  <si>
    <t>aspernatur-voluptatem</t>
  </si>
  <si>
    <t>aspernatur</t>
  </si>
  <si>
    <t>https://via.placeholder.com/300x650.png/001144?text=Smartphone+voluptates</t>
  </si>
  <si>
    <t>["Qui explicabo sunt magni aspernatur voluptas consequatur officiis.","Et ut ut est cum aut velit nihil iste.","Et commodi quos numquam consequatur quia.","Quaerat omnis dolores quia suscipit et ut.","Dolore est porro molestiae ut.","Culpa et officia necessitatibus.","Voluptas et dolor dolores aut illum veniam consequuntur.","Hic qui laborum molestiae sed.","Repellendus sequi porro dolore totam doloribus.","Qui a quis voluptatibus delectus rerum."]</t>
  </si>
  <si>
    <t>["Reprehenderit magni velit et ut doloribus magni et. Amet dolore nulla dolor consectetur. Explicabo assumenda voluptatem aliquid velit iste praesentium reiciendis.","Itaque ut quidem et dolore aspernatur neque numquam. Qui in quis ut perspiciatis. Sapiente officia numquam quae et accusantium quasi sunt aut."]</t>
  </si>
  <si>
    <t>est-a-6-8-2-black</t>
  </si>
  <si>
    <t>qui est totam</t>
  </si>
  <si>
    <t>est-a</t>
  </si>
  <si>
    <t>https://via.placeholder.com/300x650.png/00bb88?text=Smartphone+incidunt</t>
  </si>
  <si>
    <t>["Rerum deserunt ut corporis voluptas et porro.","Impedit impedit enim aut sed quibusdam magnam laborum ipsam.","Nostrum nostrum earum est ipsa consectetur qui magnam.","Voluptatem facilis id aliquam tempore esse quos quis quam.","Illum autem nesciunt in doloremque occaecati illum tenetur incidunt.","Tenetur quas eos aut sequi optio aut.","Ipsum id distinctio dicta in molestias.","Quam repudiandae molestiae sunt non velit libero aliquid.","Cupiditate eaque vel soluta corrupti est.","Incidunt velit voluptatum voluptatum velit quo non laborum."]</t>
  </si>
  <si>
    <t>["Temporibus veniam non repellendus molestiae porro nihil. Eum quis deleniti totam ad voluptates iusto qui. Illum voluptatum totam temporibus nobis quo illum fugit ab. Perspiciatis quia non consequatur odio.","Aperiam qui magnam hic est. Id vero eligendi vero earum tenetur quidem. Eaque optio quam delectus assumenda quis sit illum. Perferendis ab quibusdam sed animi officia. Ratione mollitia nulla temporibus quaerat."]</t>
  </si>
  <si>
    <t>aspernatur-eum-12-512-2-black</t>
  </si>
  <si>
    <t>autem voluptatem temporibus</t>
  </si>
  <si>
    <t>aspernatur-eum</t>
  </si>
  <si>
    <t>https://via.placeholder.com/300x650.png/00cc77?text=Smartphone+voluptas</t>
  </si>
  <si>
    <t>["Esse eos accusamus ipsam.","Vitae est assumenda fugiat minima.","Qui perferendis sed quasi quia eos reiciendis.","Est ullam ut libero omnis dicta numquam.","Autem sit distinctio et doloribus magnam est.","Fugiat ad et magni est illum necessitatibus est sint.","Id consequuntur consectetur quas non rerum.","Repellendus sit et quasi voluptatem cupiditate quam.","Voluptatum ipsum in quia saepe veniam qui velit.","Consequuntur temporibus et sit eum reprehenderit qui."]</t>
  </si>
  <si>
    <t>["Ea ex rerum omnis est fuga exercitationem. Esse aspernatur voluptas aut porro voluptatem. Dolores exercitationem est labore molestiae molestias veniam. Veniam soluta dolor qui maiores et animi pariatur. Est enim voluptatem soluta.","Rem eos nam reiciendis. Est consequuntur et ipsam nobis porro. Illo sed ad amet dolore quis occaecati aliquam accusantium."]</t>
  </si>
  <si>
    <t>est-et-2-8-3-blue</t>
  </si>
  <si>
    <t>omnis impedit optio</t>
  </si>
  <si>
    <t>est-et</t>
  </si>
  <si>
    <t>https://via.placeholder.com/300x650.png/004499?text=Smartphone+numquam</t>
  </si>
  <si>
    <t>["Ut enim dolor et ad architecto exercitationem.","Placeat quas vitae rerum officiis aut et sed eum.","Consequatur voluptatibus quasi impedit et.","Enim repudiandae officiis praesentium consequuntur ut.","Rem enim minus perspiciatis rerum dolor.","Voluptas aut ut ipsam et rerum consequatur.","Qui ut ullam laudantium vitae.","Et optio fugit aperiam impedit eum totam.","Illum velit esse quas eaque illo.","Voluptatem assumenda quia repellat veritatis eligendi repudiandae ut esse."]</t>
  </si>
  <si>
    <t>["Occaecati atque vel sint voluptas possimus. Illo voluptatem perferendis omnis incidunt et vero. Accusamus necessitatibus vel non aperiam voluptate odit sunt. Quis ratione ullam minima.","Officia facere molestias aliquid quod tenetur. Placeat doloribus sed aut neque."]</t>
  </si>
  <si>
    <t>aspernatur-voluptatem-12-128-2-blue</t>
  </si>
  <si>
    <t>omnis quis nemo</t>
  </si>
  <si>
    <t>https://via.placeholder.com/300x650.png/00ee33?text=Smartphone+vero</t>
  </si>
  <si>
    <t>["Sed dolore dignissimos qui voluptas.","Eum libero quasi in temporibus.","Ratione unde dolorem ut laboriosam et.","Praesentium consectetur ea dolorem perspiciatis pariatur pariatur incidunt.","Dicta reprehenderit id dignissimos enim omnis tenetur nam.","Eveniet ab illo magni eaque esse et quisquam.","Molestiae qui rerum sed in quaerat dignissimos earum.","Delectus vitae unde modi quisquam.","Illo rerum deleniti nostrum sequi.","Dignissimos voluptate amet omnis."]</t>
  </si>
  <si>
    <t>["Quidem et aut ut eum possimus quisquam dolorem. Ea culpa magni ratione. Totam cumque quibusdam velit explicabo corporis.","Et ipsa eaque et perferendis sit. Dolor iste ipsam rerum maiores dolores. Adipisci nihil ut non incidunt ex qui. Consectetur saepe odit maxime impedit omnis aliquid. Ex voluptas et error."]</t>
  </si>
  <si>
    <t>et-natus-8-512-4-red</t>
  </si>
  <si>
    <t>ratione aut provident</t>
  </si>
  <si>
    <t>et-natus</t>
  </si>
  <si>
    <t>https://via.placeholder.com/300x650.png/00ff77?text=Smartphone+quidem</t>
  </si>
  <si>
    <t>["Ducimus est fuga veniam non voluptas.","Laudantium quam sed reiciendis soluta.","Mollitia eligendi dolorem rerum nihil quia voluptatem.","Alias eum laboriosam provident est.","Impedit eius rem amet sed modi ut.","Vero enim aut eius magnam.","Eius mollitia consequuntur ut doloribus est.","Aut atque voluptatum numquam in fugit et.","Sint enim vel voluptatem.","Minus rerum labore dolore dicta recusandae nemo aut."]</t>
  </si>
  <si>
    <t>["Repellat nobis tempore atque ullam aut accusamus quae possimus. Dignissimos est aut et unde. Impedit ex iste perspiciatis.","Impedit qui omnis adipisci minima nam necessitatibus fuga. Molestiae et in sunt quam ut eum. Sed corporis odit architecto voluptate itaque."]</t>
  </si>
  <si>
    <t>sed-necessitatibus-6-8-2-red</t>
  </si>
  <si>
    <t>ut et mollitia</t>
  </si>
  <si>
    <t>sed-necessitatibus</t>
  </si>
  <si>
    <t>https://via.placeholder.com/300x650.png/00ff99?text=Smartphone+adipisci</t>
  </si>
  <si>
    <t>["Ut aut recusandae eum perferendis corrupti dolor.","Dicta assumenda nobis fugiat laboriosam sed eos et velit.","Architecto fugit id in dolor nihil voluptatem.","Iusto dolorem aut error itaque ea architecto rerum laudantium.","Ullam quod nulla earum illo et.","Sit iste dolores minima modi qui deserunt sunt.","Dolorum aut ipsa quia non iusto.","Ut laudantium suscipit consectetur sit qui expedita eos totam.","Autem ipsum tempora voluptate est.","Modi minima doloribus soluta molestiae natus sed."]</t>
  </si>
  <si>
    <t>["Eos ullam dignissimos mollitia iure impedit. Rerum ab voluptas velit rerum odio aut. Illum autem illo qui qui.","Aut dolorum est velit quia quidem velit assumenda. Unde atque dolor perspiciatis delectus incidunt asperiores rem. Est ea non eos autem."]</t>
  </si>
  <si>
    <t>corrupti-sit-8-128-2-white</t>
  </si>
  <si>
    <t>alias praesentium ut</t>
  </si>
  <si>
    <t>corrupti-sit</t>
  </si>
  <si>
    <t>corrupti</t>
  </si>
  <si>
    <t>https://via.placeholder.com/300x650.png/00cc77?text=Smartphone+provident</t>
  </si>
  <si>
    <t>["Dolor et consequuntur dignissimos corrupti asperiores ab.","Doloremque sed ipsum dolore modi fugit.","Eos voluptas id molestiae perferendis dolor laboriosam.","Nihil aperiam quas provident a maiores enim id et.","Recusandae et hic qui in.","Expedita et qui autem eius quas velit.","Et esse nihil iste.","Voluptatem quia distinctio aut saepe et qui.","Repellendus quia voluptatibus cum nam quae inventore et.","Eaque maiores et aut quis facilis voluptatem."]</t>
  </si>
  <si>
    <t>["Et quis placeat et consequatur ipsa. Natus quo expedita facere qui sit ipsa consequatur. Ut hic enim aut quisquam explicabo. Libero similique non cupiditate qui ea commodi porro.","Maiores facere et quia placeat. Vitae culpa in autem est nemo. Est enim nihil eligendi velit aut ea."]</t>
  </si>
  <si>
    <t>sed-natus-8-512-3-green</t>
  </si>
  <si>
    <t>nesciunt labore aperiam</t>
  </si>
  <si>
    <t>sed-natus</t>
  </si>
  <si>
    <t>https://via.placeholder.com/300x650.png/002233?text=Smartphone+ullam</t>
  </si>
  <si>
    <t>["Dicta voluptatibus sit quidem aliquid dolore sit.","Eaque sint enim officiis enim illo in.","Itaque omnis atque voluptatem laborum.","Cupiditate quia sunt numquam adipisci natus enim.","Animi eius quae id similique voluptatum facere.","Sequi quis quos voluptas deleniti sit et.","Dicta et sed harum vero qui modi voluptatum.","Eos velit et doloribus dolore voluptatum distinctio eveniet.","Odit aut odio illum explicabo magnam.","Minus aperiam quisquam eveniet dolore non corrupti cupiditate."]</t>
  </si>
  <si>
    <t>["Est vel numquam et omnis. Est aut nesciunt amet tenetur mollitia similique in. Modi voluptatem et dolorem sed assumenda repellat quia. Dolore at voluptatibus eum voluptatum voluptatum animi.","Officia laborum doloremque in ab libero consequatur. Iure et velit occaecati quia aut perspiciatis aliquid. Doloremque ad sunt sunt optio."]</t>
  </si>
  <si>
    <t>illum-sed-12-512-5-green</t>
  </si>
  <si>
    <t>aut velit illum</t>
  </si>
  <si>
    <t>illum-sed</t>
  </si>
  <si>
    <t>illum</t>
  </si>
  <si>
    <t>https://via.placeholder.com/300x650.png/00ffee?text=Smartphone+est</t>
  </si>
  <si>
    <t>["Voluptatem nam vel officiis et.","Quis minus tempora aliquam.","Delectus quisquam a voluptatem autem laboriosam praesentium.","Ut asperiores maxime minima libero.","Nemo est ipsum velit velit fugit.","Eum suscipit quia quis.","Maxime similique quod reiciendis ut.","Dolorum tenetur cupiditate dolores libero dolores non accusamus.","Quam doloremque harum corrupti odit dolorem quis.","Incidunt ad repudiandae debitis quo excepturi corrupti omnis."]</t>
  </si>
  <si>
    <t>["Rerum quasi voluptatem aspernatur adipisci. Et fugiat quaerat omnis odio veniam. Velit magnam vel iusto dicta doloribus.","Et suscipit itaque et iusto voluptatum consequatur. Alias sequi voluptas assumenda et molestiae commodi."]</t>
  </si>
  <si>
    <t>aspernatur-aut-8-8-4-white</t>
  </si>
  <si>
    <t>provident inventore a</t>
  </si>
  <si>
    <t>aspernatur-aut</t>
  </si>
  <si>
    <t>https://via.placeholder.com/300x650.png/00cc22?text=Smartphone+et</t>
  </si>
  <si>
    <t>["Blanditiis et qui deleniti velit.","Quo totam laudantium corrupti recusandae eos sit illo.","Eveniet dolores et nam repellat non voluptas.","Ut voluptate nam ut dolor molestiae.","Vero minima tempora est itaque.","Explicabo quo reiciendis non totam iste esse.","Beatae possimus et voluptatem voluptatum laborum sed assumenda expedita.","Dolor error qui fugiat vel eos.","Ut corporis consequatur non adipisci est necessitatibus.","Maiores consequatur odit id ut nihil tempora."]</t>
  </si>
  <si>
    <t>["Iure error voluptas ratione error temporibus aut. Placeat et aut pariatur amet odio rem perferendis et. Hic consequatur nihil ut nesciunt rem sapiente.","Quidem et et fuga commodi quo aperiam officia. Magni illum quos soluta iste velit quisquam nemo."]</t>
  </si>
  <si>
    <t>sed-natus-12-128-5-green</t>
  </si>
  <si>
    <t>dicta asperiores perferendis</t>
  </si>
  <si>
    <t>https://via.placeholder.com/300x650.png/0077ee?text=Smartphone+molestiae</t>
  </si>
  <si>
    <t>["Veritatis quam qui expedita esse sapiente ut et.","Pariatur dolores ullam natus et possimus cumque.","Culpa accusamus et nemo sed.","Qui nobis expedita eveniet libero possimus consequatur qui saepe.","Vero ea quia ut.","Magni ducimus quia consequatur aut qui.","Quibusdam illo dolores soluta et omnis vitae consequatur.","Magni voluptatibus quos quibusdam exercitationem fugit architecto vitae.","Aut iste vero dolore eos enim eaque.","Voluptate ut maxime ipsam est."]</t>
  </si>
  <si>
    <t>["Velit eveniet eum est facere labore. Officia quia dolore voluptas dolorem et ex animi. Voluptatem corrupti doloremque commodi aut ipsam quos mollitia.","Vero et sit tenetur unde. Placeat aperiam sit cum autem id vitae. Eveniet porro et velit repellendus culpa cupiditate nihil. Sed molestias ipsam et aut qui magnam illum blanditiis. Dolores dolorem sequi fuga et voluptate dolor aperiam dolores."]</t>
  </si>
  <si>
    <t>voluptate-dicta-4-32-5-green</t>
  </si>
  <si>
    <t>voluptas voluptas minima</t>
  </si>
  <si>
    <t>voluptate-dicta</t>
  </si>
  <si>
    <t>voluptate</t>
  </si>
  <si>
    <t>https://via.placeholder.com/300x650.png/00cc22?text=Smartphone+dolore</t>
  </si>
  <si>
    <t>["Eum molestiae ad est et nobis.","Nihil amet quasi necessitatibus commodi.","Expedita cumque quasi tempore quo.","Totam hic voluptates distinctio ipsam quis.","Ut saepe error architecto ullam dolor.","Et vitae numquam autem voluptas et non vitae.","Tempore nobis voluptas sit aut quibusdam voluptatem et.","Dolor quia libero aut placeat.","Ratione in est ea et quia voluptate voluptas.","Esse dolor labore ipsam ullam."]</t>
  </si>
  <si>
    <t>["Ut expedita unde expedita distinctio voluptatem sequi amet. Tempore velit et consequatur voluptas. Et placeat consequuntur minima ut.","Exercitationem similique omnis non magni. Sunt corporis debitis debitis vel et vel exercitationem. Et et dolores itaque est. Eveniet doloremque fugiat deserunt laudantium."]</t>
  </si>
  <si>
    <t>est-dolorum-6-128-2-white</t>
  </si>
  <si>
    <t>voluptatem quasi blanditiis</t>
  </si>
  <si>
    <t>est-dolorum</t>
  </si>
  <si>
    <t>https://via.placeholder.com/300x650.png/005555?text=Smartphone+enim</t>
  </si>
  <si>
    <t>["Sint voluptatem nihil repudiandae.","Consequatur ut harum corrupti.","Quidem ipsam ut libero vel blanditiis alias laudantium et.","Suscipit nemo fugit beatae vel dolores.","Rerum facere tempore occaecati aspernatur.","Adipisci nobis hic doloribus officiis.","Qui et quo autem dignissimos quasi.","Nam itaque eum aliquid accusantium maxime.","Assumenda voluptatem laudantium repudiandae explicabo blanditiis.","Sapiente odit sint hic earum consequatur."]</t>
  </si>
  <si>
    <t>["Laboriosam nisi minima debitis dolores saepe. At dolorem ut qui neque autem doloribus consequatur exercitationem. Dolore fuga voluptas aut omnis ducimus libero.","Molestiae rerum voluptas aut adipisci nisi dolorem. Voluptas debitis quia ducimus sed et rerum."]</t>
  </si>
  <si>
    <t>est-dolorum-8-64-3-black</t>
  </si>
  <si>
    <t>nemo nemo est</t>
  </si>
  <si>
    <t>https://via.placeholder.com/300x650.png/007711?text=Smartphone+quasi</t>
  </si>
  <si>
    <t>["Culpa possimus itaque est ipsum aut ea est.","Et optio eius sit omnis.","Aut sunt magnam asperiores corporis quia distinctio ut.","Consequatur magnam soluta molestiae ad.","Molestiae quo consectetur repellendus reiciendis tenetur amet.","Praesentium ea et qui.","Saepe aut ipsam et natus.","Aperiam laborum ipsa facilis ex.","Repudiandae ipsa omnis alias veritatis.","Voluptatibus veniam quisquam commodi in magni."]</t>
  </si>
  <si>
    <t>["Eveniet ex eos ut. Quo harum nam ullam rerum laboriosam. Nobis non ea temporibus ea consequatur. Et mollitia aut cupiditate et deserunt quidem.","Sit porro mollitia nesciunt et. Voluptatum perferendis quia facilis rerum. Ut ut distinctio neque labore. Aut accusantium molestiae debitis."]</t>
  </si>
  <si>
    <t>quasi-qui-12-512-6-black</t>
  </si>
  <si>
    <t>assumenda enim sunt</t>
  </si>
  <si>
    <t>quasi-qui</t>
  </si>
  <si>
    <t>https://via.placeholder.com/300x650.png/0011aa?text=Smartphone+nemo</t>
  </si>
  <si>
    <t>["Blanditiis enim libero aspernatur.","Labore veniam sed consectetur vel minus amet amet.","Natus nesciunt voluptatem doloremque et reiciendis eos.","Et id est et sit et pariatur autem.","Quia velit odit id est quisquam.","Ipsum qui quia doloremque pariatur cumque corporis.","Sit quia hic excepturi sit laboriosam cupiditate debitis.","Corporis repellat officiis omnis impedit tempore dolore ratione.","Reprehenderit aut quia ut asperiores.","Eligendi sed quia repellat omnis id quo quas alias."]</t>
  </si>
  <si>
    <t>["Minus sapiente officia tempore laborum ea consequatur. Explicabo exercitationem unde sed est quidem. Quae voluptatem dolores inventore minus.","Iusto dolor impedit voluptas error facere omnis soluta. At ducimus sunt assumenda impedit optio. Voluptatem aspernatur est saepe debitis voluptatibus iusto unde ea."]</t>
  </si>
  <si>
    <t>aspernatur-aut-2-8-6-blue</t>
  </si>
  <si>
    <t>ut iste magnam</t>
  </si>
  <si>
    <t>https://via.placeholder.com/300x650.png/002222?text=Smartphone+aut</t>
  </si>
  <si>
    <t>["Est et qui provident dolore nesciunt.","Aut dicta laborum et eum iure aut.","Blanditiis eveniet praesentium laboriosam dolores molestiae consectetur.","Repellendus voluptatem autem quia praesentium minus nam vitae.","Vitae ex beatae blanditiis officiis omnis voluptatem exercitationem earum.","Quo dolorum doloribus sed voluptatem sapiente rem.","Deserunt eveniet temporibus voluptatem velit.","Quis sit magnam est officia.","Dolorum reiciendis veritatis aliquid enim nemo vero excepturi.","Molestiae rem minus ullam officia ullam commodi aut."]</t>
  </si>
  <si>
    <t>["Ea similique commodi consequatur facere deserunt ullam quaerat. Dolores ab dignissimos autem. Ea laborum consectetur distinctio maiores ex ut.","Ullam debitis ut ratione assumenda. Quos aut vero et vero aliquam. Culpa quia ea iusto sit. Nostrum corporis sit nostrum asperiores aut."]</t>
  </si>
  <si>
    <t>est-et-8-64-6-black</t>
  </si>
  <si>
    <t>quod suscipit quae</t>
  </si>
  <si>
    <t>https://via.placeholder.com/300x650.png/0055dd?text=Smartphone+dolore</t>
  </si>
  <si>
    <t>["Voluptatem eum qui distinctio voluptatem reprehenderit repellendus corrupti.","Qui ut ea odio voluptate officiis sit.","Maxime et sit molestias eveniet itaque iste.","Ad veniam quia animi.","Reiciendis nam possimus vero quaerat.","Est incidunt omnis cupiditate.","Iste sit optio et sed officia recusandae veritatis aut.","Perspiciatis ex possimus iure et ipsum dolorum molestiae.","Dolores dolorem corrupti rerum eos iure nulla ut.","Dicta eum sed neque explicabo."]</t>
  </si>
  <si>
    <t>["Mollitia excepturi maxime dolorem velit. Voluptatem qui repellendus eos iusto laboriosam sit. Quibusdam molestiae incidunt nobis at rerum omnis doloremque. Eius provident porro id non et ipsa nesciunt at.","Voluptatum amet consequatur blanditiis est ipsum nihil voluptatem. Quidem laboriosam dicta aut libero. Consequatur quisquam ab quaerat aliquam et."]</t>
  </si>
  <si>
    <t>et-sit-12-64-3-black</t>
  </si>
  <si>
    <t>sunt consequatur libero</t>
  </si>
  <si>
    <t>et-sit</t>
  </si>
  <si>
    <t>https://via.placeholder.com/300x650.png/00dddd?text=Smartphone+adipisci</t>
  </si>
  <si>
    <t>["Velit et ipsa aspernatur dolorum quam.","Atque aut voluptatem quas.","Dicta et veritatis praesentium magni.","Minima cumque quis aut quos.","Nam ea accusamus est voluptas.","Eius ex assumenda excepturi qui veritatis mollitia aut.","Deleniti ut consequuntur repudiandae qui quia praesentium.","Illum commodi id velit accusantium praesentium.","Omnis aliquid autem inventore numquam.","Ipsam dolores vel velit doloribus delectus mollitia debitis beatae."]</t>
  </si>
  <si>
    <t>["Alias corporis ut fugit omnis. Voluptas praesentium doloribus magni. Nemo quo aliquid et doloremque enim eaque ea et. Aut quae ut officiis et eius assumenda earum.","Aut sunt dolores minus voluptas saepe quidem. Rerum et qui magni alias nihil ut dicta et. Hic sit rerum reiciendis tenetur maiores et mollitia. Dolores velit velit dolorum est sint modi qui."]</t>
  </si>
  <si>
    <t>voluptate-similique-4-512-4-white</t>
  </si>
  <si>
    <t>tempore repellat natus</t>
  </si>
  <si>
    <t>voluptate-similique</t>
  </si>
  <si>
    <t>https://via.placeholder.com/300x650.png/00ff11?text=Smartphone+libero</t>
  </si>
  <si>
    <t>["Illo beatae fugiat minima blanditiis est numquam.","Placeat quaerat rerum similique a a voluptas.","Illum nemo et officiis sit labore incidunt tenetur.","Minus vitae commodi ut a.","Aspernatur minima quia neque quia maxime veniam.","Ad aperiam rerum animi voluptatem.","Soluta atque accusamus omnis sed reiciendis et omnis.","Beatae repudiandae cumque unde sed qui culpa voluptas.","Ratione illo qui alias molestias id.","Impedit voluptate et similique qui."]</t>
  </si>
  <si>
    <t>["Totam omnis et non. Praesentium fuga esse consequatur sed voluptatem. Est aliquam quos qui nostrum ut vel.","Nobis consequatur reiciendis similique quod. Inventore itaque deserunt ipsa aliquam magni error nihil et. Corrupti cumque repellendus debitis aut. Aut voluptas aspernatur recusandae quae et labore. Sapiente molestias quia veniam cumque magnam."]</t>
  </si>
  <si>
    <t>sed-necessitatibus-8-32-5-black</t>
  </si>
  <si>
    <t>placeat sed voluptas</t>
  </si>
  <si>
    <t>https://via.placeholder.com/300x650.png/0011cc?text=Smartphone+facere</t>
  </si>
  <si>
    <t>["Quibusdam minima autem necessitatibus at.","Quia ut aliquam placeat.","Architecto possimus dolorum rerum doloremque non.","Libero nihil voluptatem temporibus sunt voluptatum aut.","Et vel sit aut tempora esse.","Quos ea voluptatem quia id facilis.","Voluptatem voluptates maiores illum quia et voluptas et.","Sit culpa sequi exercitationem.","Nemo tempore reiciendis adipisci quas illo ut reiciendis.","Sed fugiat veritatis vel eligendi."]</t>
  </si>
  <si>
    <t>["Est rem excepturi et et. Velit sapiente nihil et eaque. Illo et exercitationem nemo dolor eius sunt incidunt. Non eligendi doloribus a perspiciatis.","Facere vitae mollitia aut dolorum accusamus modi. Et nostrum voluptas veniam adipisci sed non. Quidem sint a fuga laudantium possimus. Laboriosam culpa ullam impedit id sit itaque id vel."]</t>
  </si>
  <si>
    <t>et-ipsa-4-8-3-white</t>
  </si>
  <si>
    <t>esse quis et</t>
  </si>
  <si>
    <t>et-ipsa</t>
  </si>
  <si>
    <t>https://via.placeholder.com/300x650.png/00aaff?text=Smartphone+occaecati</t>
  </si>
  <si>
    <t>["Corrupti quod consequuntur tenetur ut.","Porro atque eos et ipsa.","Et quae nisi vel modi ea nemo.","Natus dignissimos molestiae ut saepe distinctio praesentium expedita.","Repudiandae alias aut laudantium quae sunt est sit.","Consequatur et impedit aut totam deserunt rem laboriosam.","Quia aliquid qui perferendis quidem aliquid est.","Distinctio itaque doloribus veniam repudiandae quaerat labore.","Ex repellendus sed doloribus.","Voluptatem dolores libero atque et sequi rerum."]</t>
  </si>
  <si>
    <t>["Vel commodi earum qui sint. Suscipit culpa veritatis quas voluptatum quasi tempore. Et dolores sint aut rerum velit voluptates voluptas. Sint exercitationem eius illo tenetur sunt qui.","Libero ut minima et consequatur eaque aliquam. Est velit minus deleniti. Aut eligendi aliquam harum quos sunt in."]</t>
  </si>
  <si>
    <t>quasi-qui-4-512-4-white</t>
  </si>
  <si>
    <t>quisquam cumque nam</t>
  </si>
  <si>
    <t>https://via.placeholder.com/300x650.png/00aacc?text=Smartphone+repellat</t>
  </si>
  <si>
    <t>["Eum tempora nam magnam quod exercitationem quis sed.","Debitis delectus asperiores veritatis iusto labore ratione sed quia.","Qui ducimus tenetur qui ut.","Quas quam dolor quia doloribus vitae beatae sunt.","Ducimus consequatur velit ut quis.","Sunt dolores qui consequuntur earum beatae.","Vitae accusamus adipisci sit quam quas qui architecto.","Nostrum consequatur rerum nihil consequuntur.","Earum temporibus velit dolore officiis voluptas animi ut.","Non quae praesentium consequatur neque qui eligendi voluptatibus."]</t>
  </si>
  <si>
    <t>["Enim saepe temporibus sed facilis et autem. Ullam modi rem architecto quam sapiente aut et aliquam. Laboriosam repudiandae ab iste illo quo quia ut.","Assumenda ipsam vero commodi sed eius qui autem iure. Voluptate iure labore hic. Ullam iusto tempore corporis officiis dolorum voluptatum laudantium."]</t>
  </si>
  <si>
    <t>est-maiores-8-64-6-black</t>
  </si>
  <si>
    <t>deserunt nam aliquam</t>
  </si>
  <si>
    <t>est-maiores</t>
  </si>
  <si>
    <t>https://via.placeholder.com/300x650.png/009922?text=Smartphone+ut</t>
  </si>
  <si>
    <t>["Sunt sit sunt aperiam sunt unde provident.","Dolores tempore provident veniam modi.","Repudiandae sunt facere culpa quaerat soluta cumque non quis.","Et voluptatem earum reprehenderit debitis.","Recusandae esse a et.","Et vel ipsa in quos voluptas sit voluptas.","Voluptas at nihil quibusdam facere.","Aut officia quia est aliquid magni maiores itaque.","Qui qui vel dolores distinctio doloremque nostrum.","Culpa consequatur cumque perferendis exercitationem."]</t>
  </si>
  <si>
    <t>["Quo consequatur ut quasi minus natus. Et ab veniam labore eos beatae. Accusamus consequatur eius eius accusamus facilis.","Mollitia voluptatum voluptas aspernatur dolor dolores voluptate. Vero dolor eaque minus voluptatem aperiam temporibus. Dolorum vel aut nemo sit quos. Hic sint et accusantium."]</t>
  </si>
  <si>
    <t>voluptate-velit-2-8-6-black</t>
  </si>
  <si>
    <t>autem odit at</t>
  </si>
  <si>
    <t>voluptate-velit</t>
  </si>
  <si>
    <t>https://via.placeholder.com/300x650.png/00dd99?text=Smartphone+aliquid</t>
  </si>
  <si>
    <t>["Nam voluptatem excepturi quibusdam nihil doloremque qui aperiam.","Est error eligendi autem id similique.","Asperiores consequuntur officia qui repudiandae atque.","Rerum quia ut perferendis accusantium quod voluptate.","Libero et eos rem ab.","Atque et ullam facilis velit laudantium inventore nihil.","Minima modi quia ex tempore.","Aperiam sit incidunt doloremque sed.","Recusandae perferendis totam placeat ab qui autem.","Delectus sit delectus maxime ad."]</t>
  </si>
  <si>
    <t>["Ut eaque laboriosam ex provident sit nihil debitis itaque. Ipsum repellendus rerum voluptatem veritatis quia blanditiis ea. Fugiat numquam autem quo.","Non ut consequatur dolores quia. Eius saepe dolores a culpa. Natus sunt porro velit non voluptas. Voluptatum est magni voluptatem molestiae nesciunt."]</t>
  </si>
  <si>
    <t>maiores-consequatur-6-128-6-blue</t>
  </si>
  <si>
    <t>explicabo molestias minima</t>
  </si>
  <si>
    <t>maiores-consequatur</t>
  </si>
  <si>
    <t>https://via.placeholder.com/300x650.png/008877?text=Smartphone+ab</t>
  </si>
  <si>
    <t>["Non suscipit praesentium sit tempora ipsum laborum sed.","Ut ipsum exercitationem totam sed repellat tempora ad.","Accusantium nisi aut molestiae debitis est molestiae.","Voluptate assumenda accusantium quibusdam sequi nihil.","Voluptatem omnis nostrum dolorem nobis nulla deserunt.","Voluptate occaecati magnam consectetur autem voluptas.","Dolor ea accusamus non tempora.","Qui ullam dolore est animi enim fuga qui.","Eos aliquid enim magnam laudantium sit natus molestiae.","Delectus voluptas excepturi harum autem."]</t>
  </si>
  <si>
    <t>["Aut quas voluptatibus occaecati est necessitatibus qui. Aspernatur modi similique iste illum voluptas. Numquam cumque error dolorem quaerat autem eos asperiores dolores. Accusamus soluta debitis sunt.","Pariatur aspernatur doloribus nobis. Ipsam distinctio ut est. Dolor impedit laboriosam culpa iusto quae voluptatem rerum."]</t>
  </si>
  <si>
    <t>corrupti-incidunt-6-8-6-green</t>
  </si>
  <si>
    <t>esse autem inventore</t>
  </si>
  <si>
    <t>corrupti-incidunt</t>
  </si>
  <si>
    <t>https://via.placeholder.com/300x650.png/0055ff?text=Smartphone+dolore</t>
  </si>
  <si>
    <t>["Quo voluptatibus corrupti deleniti commodi.","Eveniet et expedita et dolore quae consectetur nisi.","Reprehenderit repellendus et molestiae officia recusandae.","Repudiandae enim eveniet et repudiandae deserunt.","Corporis nulla ut consequuntur voluptates maiores.","Officia asperiores fuga culpa aut sapiente.","Pariatur eligendi qui perspiciatis ducimus iusto iste.","Et animi aliquam non consequatur vel aspernatur.","Officia et et quibusdam aperiam iusto.","Consequuntur dolorum voluptatibus pariatur quo consectetur sed ea."]</t>
  </si>
  <si>
    <t>["Quidem dolorum laboriosam id et nesciunt ut asperiores. Qui est alias voluptates saepe corporis officiis. Corporis iure sit velit.","Molestias iure enim enim modi. Iure asperiores consequatur cupiditate nobis eum. Qui illum tempore iusto eaque quo nulla."]</t>
  </si>
  <si>
    <t>est-et-12-128-3-blue</t>
  </si>
  <si>
    <t>quas omnis qui</t>
  </si>
  <si>
    <t>https://via.placeholder.com/300x650.png/00ffff?text=Smartphone+optio</t>
  </si>
  <si>
    <t>["Eius eligendi officiis labore veritatis accusantium.","Quisquam omnis pariatur quasi laudantium ducimus repudiandae dolorum.","Dolores vitae voluptatem non optio consequatur.","Rerum accusantium cupiditate a non dicta porro minima.","Ea et et inventore sit asperiores recusandae accusantium qui.","Aut et ex aut voluptas culpa beatae ut accusamus.","Illum officia voluptas facere voluptatem adipisci.","Consectetur id aliquam accusamus.","Amet blanditiis consequuntur molestias natus quia.","Id et magnam nihil."]</t>
  </si>
  <si>
    <t>["Vel architecto earum quia hic qui laboriosam et. Dolorum dolores necessitatibus sunt nam pariatur et.","Odit quaerat culpa accusamus tempore eos qui aut quia. Dignissimos quia veritatis inventore et. Ad ipsum eos ad. Corrupti et quis quia cupiditate ratione sunt ipsum id."]</t>
  </si>
  <si>
    <t>voluptate-reprehenderit-4-32-4-white</t>
  </si>
  <si>
    <t>facilis aut libero</t>
  </si>
  <si>
    <t>voluptate-reprehenderit</t>
  </si>
  <si>
    <t>https://via.placeholder.com/300x650.png/004411?text=Smartphone+id</t>
  </si>
  <si>
    <t>["Vitae ipsam perferendis suscipit corrupti vitae magnam voluptas quo.","Voluptates error voluptatem doloribus dolores voluptatem ipsam.","Rerum architecto error minus commodi facilis.","Non aut dignissimos nobis tenetur labore.","Optio in omnis dolorem sapiente voluptas eos nobis.","Laudantium voluptatem et culpa voluptatem.","Accusamus et cumque incidunt saepe ut iusto.","Architecto expedita nostrum officia voluptatibus quia nesciunt.","Non ut enim totam est dolor corporis.","Eius et recusandae illum et."]</t>
  </si>
  <si>
    <t>["Omnis consequatur voluptatibus ad voluptatem deleniti perferendis ducimus. Nulla esse rem laboriosam. Quos magnam nihil illo sunt enim non. Quo voluptas at voluptas eveniet.","Voluptate dolores illo excepturi qui voluptatem quaerat dolores. Aspernatur commodi et suscipit. Odit quod et omnis et perspiciatis."]</t>
  </si>
  <si>
    <t>sed-earum-6-128-5-red</t>
  </si>
  <si>
    <t>occaecati cupiditate vero</t>
  </si>
  <si>
    <t>sed-earum</t>
  </si>
  <si>
    <t>https://via.placeholder.com/300x650.png/003377?text=Smartphone+ducimus</t>
  </si>
  <si>
    <t>["Quaerat aspernatur quis quisquam harum ea saepe aliquam.","Et dignissimos voluptatem iusto.","Quos doloremque nemo quis.","Qui voluptatibus error et consectetur.","Aliquam iure fugit id asperiores id quisquam.","Autem consequatur quidem delectus harum dolore.","Fugit libero ut tempore modi est quaerat.","Aspernatur doloribus laborum ad et occaecati tempore corrupti.","Nostrum nisi fugiat molestias.","Doloremque iusto labore autem dolores."]</t>
  </si>
  <si>
    <t>["Sed aut fugiat nemo architecto quisquam quos eum. Placeat omnis optio dolores id porro quas.","Sit omnis tempore dicta. Et est natus consequatur ipsum corrupti nemo ipsum. Aut ratione a ipsa. Dolor accusamus rerum natus vel mollitia laborum doloremque. Dolorem est ipsum sint quasi sunt esse."]</t>
  </si>
  <si>
    <t>illum-vero-6-8-2-blue</t>
  </si>
  <si>
    <t>non quibusdam occaecati</t>
  </si>
  <si>
    <t>illum-vero</t>
  </si>
  <si>
    <t>https://via.placeholder.com/300x650.png/0022bb?text=Smartphone+id</t>
  </si>
  <si>
    <t>["Consequuntur quia consectetur ut.","Quam non fugit beatae.","Cumque ut aut ut recusandae nihil.","Temporibus nihil est eligendi dolorum sunt in.","Qui ut alias nemo iste.","Et adipisci sed iure.","Quidem ipsam sapiente sit consectetur ab facere unde.","Qui sint aliquam eos dolores minima aliquam.","Est in accusantium accusantium ut consequuntur eaque magni.","Ad dignissimos quo et ratione."]</t>
  </si>
  <si>
    <t>["Et sapiente velit est autem dicta illo. Accusantium neque dicta et tempora. Eos quia sit veritatis et et. Delectus molestias iusto excepturi.","Adipisci vero qui ex harum repellat quod ut. Odio vero blanditiis voluptatibus odio. Ratione repudiandae in labore porro. Ex magni adipisci error itaque quo aliquam voluptas commodi."]</t>
  </si>
  <si>
    <t>illum-facere-12-32-6-green</t>
  </si>
  <si>
    <t>maxime tempora ut</t>
  </si>
  <si>
    <t>illum-facere</t>
  </si>
  <si>
    <t>https://via.placeholder.com/300x650.png/001177?text=Smartphone+magnam</t>
  </si>
  <si>
    <t>["Aut exercitationem assumenda eius tempora.","Et ea similique non sunt quia quo tempore.","Perspiciatis blanditiis omnis deserunt sed.","Aut provident consequatur deleniti incidunt.","Ea assumenda vero minus quidem.","Aliquid debitis eveniet ab dolores nihil sint.","Facere nisi eligendi maxime et quisquam.","Deserunt vero enim eos voluptatem dolor.","Dolores dolores rem ea voluptatum.","Error fugit nesciunt ullam et."]</t>
  </si>
  <si>
    <t>["Voluptatem adipisci molestias eaque. Culpa est voluptatibus in illum debitis consequuntur assumenda. Placeat architecto nulla quia explicabo voluptatem. Architecto et beatae sunt itaque dolorem.","Voluptas doloremque quidem numquam explicabo facere optio. Est nisi sed voluptas non alias. Voluptatum totam sed omnis quia accusamus. Est rerum et animi mollitia nihil ea."]</t>
  </si>
  <si>
    <t>maiores-veritatis-12-32-6-red</t>
  </si>
  <si>
    <t>ratione natus soluta</t>
  </si>
  <si>
    <t>maiores-veritatis</t>
  </si>
  <si>
    <t>https://via.placeholder.com/300x650.png/0055aa?text=Smartphone+nihil</t>
  </si>
  <si>
    <t>["Vero natus et veniam magni.","Eligendi molestias quas voluptatum sint iure.","Corporis officiis fugiat alias et et sapiente necessitatibus.","Excepturi illum non dolores amet corporis odit placeat.","Qui officiis et maiores.","Aut velit odit laborum voluptatibus rerum neque exercitationem.","Amet dolores aut numquam sit inventore id ullam eos.","Illo dicta quis eligendi aut quia consequatur qui.","Et excepturi iste culpa distinctio.","Aperiam dolores placeat hic qui suscipit autem."]</t>
  </si>
  <si>
    <t>["Incidunt blanditiis ad dolorem voluptate est. Amet aut minus non. Tempora dolor corporis aperiam dolores et dolore optio.","Aut odio dolores ipsam voluptate. Nihil omnis quibusdam qui quaerat itaque animi eum. Omnis incidunt excepturi soluta voluptas et quibusdam doloribus. Sint id aliquid mollitia natus."]</t>
  </si>
  <si>
    <t>sed-id-4-512-3-blue</t>
  </si>
  <si>
    <t>modi repudiandae ut</t>
  </si>
  <si>
    <t>sed-id</t>
  </si>
  <si>
    <t>https://via.placeholder.com/300x650.png/0099cc?text=Smartphone+dignissimos</t>
  </si>
  <si>
    <t>["Tenetur ipsum distinctio rerum ut provident ea cum.","Cum dolor voluptatem quis quod animi ut et sed.","Adipisci nobis at porro repellat dolorem sit harum.","Laborum ea temporibus est tempora inventore ratione.","Minus ipsa ipsam voluptate.","Quis sit sit placeat nobis atque.","Quia aut odit iusto vero cum.","Sit excepturi quas qui vel non debitis qui.","Culpa est tempora repellendus eum.","Reprehenderit sit dolorum repellendus blanditiis sunt explicabo in."]</t>
  </si>
  <si>
    <t>["Deserunt dolorum vitae omnis cum. Voluptates qui sed in dolorem quis. Praesentium laboriosam et provident aperiam ad officiis. Qui sint ut ratione non.","Illum praesentium provident est. Deleniti tempora suscipit quasi. Quia quas occaecati dicta deserunt porro reiciendis animi."]</t>
  </si>
  <si>
    <t>est-a-2-8-6-black</t>
  </si>
  <si>
    <t>rerum et beatae</t>
  </si>
  <si>
    <t>https://via.placeholder.com/300x650.png/006699?text=Smartphone+in</t>
  </si>
  <si>
    <t>["Nemo veniam sapiente voluptas omnis.","Suscipit et exercitationem quaerat explicabo sint.","Vel pariatur animi sit quia accusamus quis.","Et laudantium odit eum error facilis aperiam doloremque.","Qui voluptatibus saepe soluta quia.","Explicabo consequatur tenetur doloribus qui velit sed sint.","Debitis non molestias omnis qui doloribus.","Commodi aperiam dolorem nemo.","Voluptatem magni veniam consequatur et et.","Modi sunt est hic in eum facilis."]</t>
  </si>
  <si>
    <t>["Omnis saepe perspiciatis ducimus quis rerum qui. Aut et alias quas ut voluptas dignissimos. Cum est sapiente perferendis voluptas veniam accusamus laborum.","Et sed quidem alias et voluptas deleniti blanditiis. Eligendi asperiores et qui perspiciatis quaerat et eos. Quo suscipit velit voluptatum veritatis. Iste aliquam suscipit aut cumque nemo qui."]</t>
  </si>
  <si>
    <t>sed-cumque-2-64-5-blue</t>
  </si>
  <si>
    <t>omnis voluptas quia</t>
  </si>
  <si>
    <t>https://via.placeholder.com/300x650.png/00ee77?text=Smartphone+recusandae</t>
  </si>
  <si>
    <t>["Inventore ut voluptatum voluptatibus modi consequatur dolorem.","Et et est qui aspernatur accusamus fuga ut similique.","Odio quibusdam doloribus quia laborum quas assumenda.","Dolorum doloribus nam incidunt id earum.","Sed laudantium earum quas sed.","Fuga assumenda rerum hic sit dolores.","Vel est vitae repellat in repellat esse.","Et quis expedita beatae sit itaque sed aut.","Sed voluptatem reprehenderit ab hic quaerat ut.","Voluptates eum ut exercitationem expedita."]</t>
  </si>
  <si>
    <t>["Quo qui culpa officiis velit molestias et. Molestias deserunt minus reiciendis eaque ea. Id tempora repellat qui labore cum officiis. Et in quia eius sed quia aut.","Neque autem ut accusamus omnis incidunt consequatur quasi. Sapiente quam atque ratione ut rerum et. Vel dolorum eos adipisci voluptatem quo dolorum. Nihil voluptatibus et laborum non sint rem architecto."]</t>
  </si>
  <si>
    <t>maiores-aut-8-512-6-black</t>
  </si>
  <si>
    <t>praesentium nesciunt corrupti</t>
  </si>
  <si>
    <t>maiores-aut</t>
  </si>
  <si>
    <t>https://via.placeholder.com/300x650.png/00ffff?text=Smartphone+non</t>
  </si>
  <si>
    <t>["Eius saepe fugit totam omnis sapiente.","Magni nulla tempora libero officiis itaque.","Fugit a et pariatur dolores amet accusamus occaecati.","Quis est iusto quisquam totam officiis ducimus ipsam.","Sit est temporibus est et provident sapiente ipsa magni.","Recusandae quo qui enim libero amet unde ut.","Ut quis libero voluptatem quia explicabo.","Ut omnis nesciunt molestiae illum perferendis sunt reprehenderit.","Reprehenderit aut praesentium velit perspiciatis iure iure.","Non optio eveniet sunt quod."]</t>
  </si>
  <si>
    <t>["Et sint deleniti doloribus quas. Sit velit itaque est qui officiis quo qui repellat. Odio sed nobis provident.","Numquam eum quia et mollitia et architecto occaecati. Quia suscipit accusantium saepe in. Architecto earum hic quisquam consequatur. Sequi quia architecto mollitia at error repellat."]</t>
  </si>
  <si>
    <t>aspernatur-voluptas-2-512-3-red</t>
  </si>
  <si>
    <t>culpa suscipit earum</t>
  </si>
  <si>
    <t>aspernatur-voluptas</t>
  </si>
  <si>
    <t>https://via.placeholder.com/300x650.png/00ee55?text=Smartphone+inventore</t>
  </si>
  <si>
    <t>["Aspernatur quasi ratione voluptatem impedit est voluptatem.","Doloribus neque officiis et maxime aut et iure.","Aut aut sit ut ad iusto quasi.","Consectetur quos consequatur commodi consequatur dolor.","Est rem sint inventore rerum est molestiae sequi.","Quia praesentium quasi enim ea quo rerum unde.","Numquam cupiditate accusamus qui atque omnis nulla enim.","Voluptates velit possimus laudantium et eveniet in ea.","Fugit sit ullam dolores ducimus sint et voluptates.","Magni a at autem adipisci."]</t>
  </si>
  <si>
    <t>["Et nisi veniam sapiente iure voluptatum dolores harum architecto. Perspiciatis veritatis et modi praesentium cum. Quisquam quae aut blanditiis officia et numquam consequatur. Repellat omnis tempora totam pariatur quidem autem.","Quae omnis alias eum numquam beatae et. Eaque eligendi quo itaque corrupti deserunt. Velit quam eum consequuntur delectus quis perspiciatis perferendis."]</t>
  </si>
  <si>
    <t>est-rerum-8-8-6-green</t>
  </si>
  <si>
    <t>quidem sit unde</t>
  </si>
  <si>
    <t>est-rerum</t>
  </si>
  <si>
    <t>https://via.placeholder.com/300x650.png/0000aa?text=Smartphone+ut</t>
  </si>
  <si>
    <t>["Expedita quo eum aut autem.","Voluptatum ut delectus aut dolor nostrum.","Adipisci eveniet et sit ipsam.","Placeat occaecati fuga libero alias velit earum.","Qui consequatur et explicabo.","Autem est vitae ea incidunt.","Et rerum nihil et aperiam dolore architecto dolores laboriosam.","Officia accusamus ad quibusdam.","Reiciendis quo nesciunt consequatur omnis assumenda.","Voluptatem harum accusamus laudantium quod."]</t>
  </si>
  <si>
    <t>["Omnis eum nobis at illo voluptatem ipsam. Error consequatur veniam perspiciatis ad et exercitationem voluptatem. Et dolores ipsum dolores eos nostrum consequatur.","Incidunt autem dolorum est ad et fuga voluptatem. Qui voluptatem provident error alias quo quo distinctio. Rem asperiores qui reprehenderit minima soluta laboriosam magni. Libero maiores sequi dolor ducimus voluptatibus illo."]</t>
  </si>
  <si>
    <t>aspernatur-asperiores-12-64-2-black</t>
  </si>
  <si>
    <t>officia optio et</t>
  </si>
  <si>
    <t>aspernatur-asperiores</t>
  </si>
  <si>
    <t>https://via.placeholder.com/300x650.png/00aa99?text=Smartphone+dolorem</t>
  </si>
  <si>
    <t>["Aut alias explicabo delectus aut doloribus illum.","Est et facere ullam impedit consequatur qui inventore.","Modi eum aut alias quia eveniet sit cum.","Soluta expedita praesentium dolor.","Consectetur dignissimos quia quisquam repellendus qui saepe qui.","Earum ratione ipsam et quo molestias aspernatur.","Culpa distinctio esse cum molestiae totam.","In molestias sed velit sit fugit odio animi.","Et ut officia ducimus minima aliquam voluptatem consequatur adipisci.","Pariatur nisi rem incidunt dicta quia."]</t>
  </si>
  <si>
    <t>["Ad et est sed unde consequuntur. Est vero blanditiis sunt eveniet.","Voluptas ullam accusantium temporibus. Eligendi blanditiis hic eos molestiae dicta. Est possimus blanditiis odio vero."]</t>
  </si>
  <si>
    <t>aspernatur-sit-12-16-4-red</t>
  </si>
  <si>
    <t>tempore incidunt enim</t>
  </si>
  <si>
    <t>aspernatur-sit</t>
  </si>
  <si>
    <t>https://via.placeholder.com/300x650.png/00aa00?text=Smartphone+dolor</t>
  </si>
  <si>
    <t>["Dolorem eum exercitationem quia eveniet animi et consectetur.","Sint quis non laudantium explicabo aut vitae deserunt et.","Est ipsum illum est eveniet natus.","Aut quia soluta maiores.","Necessitatibus voluptatem cum autem cumque aut expedita.","Quia ut natus et nulla ab voluptates.","Consequatur aperiam autem blanditiis aut laborum nam repudiandae tenetur.","Dolorum quod rerum esse tempora labore.","Soluta consequatur repudiandae deserunt necessitatibus.","Sed aspernatur beatae aliquid aliquam."]</t>
  </si>
  <si>
    <t>["Dolores molestiae voluptas quas earum fugiat ab expedita. Reiciendis rem id at soluta eum fuga vitae non. Facere et est corrupti maiores qui repellendus quam. Officia aliquam fugiat quis iste totam atque qui unde.","Omnis quis accusamus tempore quisquam dolorem aut. Veniam sed suscipit quia commodi. Assumenda recusandae et accusantium consequuntur voluptates repellendus. Ratione voluptas nobis eius porro."]</t>
  </si>
  <si>
    <t>ut-veritatis-8-64-2-green</t>
  </si>
  <si>
    <t>cumque dicta nobis</t>
  </si>
  <si>
    <t>ut-veritatis</t>
  </si>
  <si>
    <t>https://via.placeholder.com/300x650.png/00bbff?text=Smartphone+praesentium</t>
  </si>
  <si>
    <t>["Tenetur omnis corporis ad ut praesentium maxime.","Dolorem animi accusamus unde.","Sint et porro odit aut dignissimos.","Culpa eos aut et perferendis illo.","Sed porro perferendis aliquid voluptatem ut.","Dignissimos libero vero sit aut qui nemo neque.","Quas omnis pariatur accusantium omnis.","Nostrum est delectus fugit in dolore nesciunt non libero.","Soluta enim modi nostrum voluptate atque sed nisi.","Quaerat autem at eaque et et quo."]</t>
  </si>
  <si>
    <t>["Voluptatum hic et dolorem saepe ipsa sunt. Tenetur veritatis architecto sequi ad laborum eos ad quisquam. Qui atque esse quis quia magni et repellat. Placeat accusantium voluptatem aspernatur.","Quas quidem et molestiae voluptatibus voluptates hic. Sequi qui quis est corporis et nesciunt omnis aut. Voluptas dolorem nostrum magni maiores consequatur consequatur odit. Qui ut rem atque vel."]</t>
  </si>
  <si>
    <t>corrupti-qui-2-64-6-green</t>
  </si>
  <si>
    <t>non voluptas rerum</t>
  </si>
  <si>
    <t>corrupti-qui</t>
  </si>
  <si>
    <t>https://via.placeholder.com/300x650.png/00aabb?text=Smartphone+et</t>
  </si>
  <si>
    <t>["Possimus consequatur qui officia.","Sint velit quis et reprehenderit doloribus occaecati.","Qui ad non quasi vitae.","Asperiores voluptatem dolores similique.","Ratione non laudantium esse sed facilis reiciendis inventore.","Officiis earum vel quisquam ducimus.","Aspernatur et debitis voluptatum qui sed vitae.","Illo maiores sint facilis.","Enim sunt eos modi.","Quisquam veritatis sed officiis."]</t>
  </si>
  <si>
    <t>["Ab dolore velit repudiandae molestiae. Aut esse eveniet eius. Atque id modi eum reprehenderit.","Ea soluta a alias atque repellat porro. Blanditiis distinctio perspiciatis ipsam error. Sunt rerum earum voluptatum ea similique."]</t>
  </si>
  <si>
    <t>est-debitis-8-512-4-white</t>
  </si>
  <si>
    <t>ad eum magnam</t>
  </si>
  <si>
    <t>est-debitis</t>
  </si>
  <si>
    <t>https://via.placeholder.com/300x650.png/0088aa?text=Smartphone+quod</t>
  </si>
  <si>
    <t>["Exercitationem quasi rerum odit in.","Aut incidunt velit hic eos et optio.","Error iusto et laborum perspiciatis voluptas atque ut.","Possimus dolorem aut et ea cumque.","Possimus optio voluptatem architecto id.","Minima qui nemo autem quo amet saepe nesciunt itaque.","Dolorum ipsum nostrum quo corrupti necessitatibus.","Dicta cupiditate et doloremque ea ducimus fugiat nisi ut.","Aut voluptate exercitationem aut voluptas laboriosam molestiae tempore.","Sed rerum non cupiditate voluptatem rerum molestias."]</t>
  </si>
  <si>
    <t>["Nobis ut omnis accusantium nihil et odit dolorum. Consequatur consequatur iusto aspernatur distinctio vel. At aut ducimus libero. In ratione animi animi velit aperiam veniam et.","Inventore laborum incidunt quis soluta. Enim aut quos hic non laboriosam ipsa. Et harum impedit maxime. Debitis a rerum pariatur consequatur sed eos eum."]</t>
  </si>
  <si>
    <t>est-maiores-8-8-3-red</t>
  </si>
  <si>
    <t>exercitationem rerum soluta</t>
  </si>
  <si>
    <t>https://via.placeholder.com/300x650.png/003300?text=Smartphone+voluptatum</t>
  </si>
  <si>
    <t>["Aut qui repellat quaerat ut.","Aut quae modi vel.","Autem perferendis cumque sint omnis ut maiores.","Voluptatem sunt suscipit dolorum eum sed.","Aut eum doloremque magni et aliquid.","Dolore suscipit perferendis doloribus amet ut voluptatem dolores est.","Dicta impedit aperiam suscipit quas.","Voluptas maiores commodi suscipit sunt minima assumenda qui.","Illum quod alias sint unde ipsam veniam.","Reprehenderit tempore ducimus libero quia illo eaque ea."]</t>
  </si>
  <si>
    <t>["Aut dolore veritatis eos voluptatem soluta ipsam amet. A nam totam ipsum. Officiis eum dolor quam itaque et.","Rem blanditiis temporibus quia tempore itaque molestiae qui. Debitis ut temporibus nihil perferendis soluta. Error a itaque animi esse modi."]</t>
  </si>
  <si>
    <t>ut-et-8-16-6-red</t>
  </si>
  <si>
    <t>et perspiciatis dicta</t>
  </si>
  <si>
    <t>ut-et</t>
  </si>
  <si>
    <t>https://via.placeholder.com/300x650.png/0000ee?text=Smartphone+iste</t>
  </si>
  <si>
    <t>["Odit qui cumque ipsum et eum voluptatem tempore.","Corrupti et aut ut est aut necessitatibus omnis.","Asperiores sint iusto sed repudiandae veritatis earum est.","Ut ut nobis rerum corporis molestias aspernatur.","Illo alias ut eos quia maxime exercitationem vel.","Deleniti sapiente nulla optio aut.","Beatae consectetur ipsam ut voluptatibus dolore fugit omnis.","Sit maiores accusantium nihil temporibus ut id aspernatur.","Cumque velit voluptatem voluptas consequatur sed.","Sequi animi et dolorum quam ratione."]</t>
  </si>
  <si>
    <t>["Aut repellendus dolorem ullam ullam. Est iusto eaque iure atque hic. Animi sequi consequatur excepturi tempore. Qui repellat dolorem unde expedita ex.","Dolorum voluptatum cumque et eaque commodi sed magni rem. Rerum ut ipsam corporis eveniet ipsa. Eum qui maiores et et quia. Perspiciatis magni voluptate qui."]</t>
  </si>
  <si>
    <t>ut-iusto-4-64-4-white</t>
  </si>
  <si>
    <t>in est dolor</t>
  </si>
  <si>
    <t>ut-iusto</t>
  </si>
  <si>
    <t>https://via.placeholder.com/300x650.png/004400?text=Smartphone+et</t>
  </si>
  <si>
    <t>["Pariatur debitis tenetur ab cumque corrupti.","Et consequatur odit odio sint et et.","Harum sequi et eligendi est quos aspernatur recusandae ducimus.","Perspiciatis ex nam vero quis.","Doloribus explicabo at optio inventore voluptatem.","Vitae ducimus similique doloremque impedit dolor consequatur.","Culpa accusamus expedita et cupiditate facilis est veniam.","Rerum in rerum id illo et adipisci ducimus.","Id officia corporis corrupti dicta.","Voluptas expedita eum nisi veritatis dolor pariatur ea."]</t>
  </si>
  <si>
    <t>["Ex est aut vel ipsam aut molestias aliquam. Sit accusantium excepturi est numquam earum. Recusandae ut optio debitis aut ut sunt facilis consequatur. Suscipit beatae nostrum impedit similique repellendus asperiores fugiat. Animi natus sed ipsa et nisi labore.","Mollitia deserunt occaecati quis est recusandae tempore tenetur. Error et repellendus quo quisquam. Quia velit expedita dolores dolores et ut cumque voluptas."]</t>
  </si>
  <si>
    <t>et-minima-2-128-3-green</t>
  </si>
  <si>
    <t>quam fugit ut</t>
  </si>
  <si>
    <t>et-minima</t>
  </si>
  <si>
    <t>https://via.placeholder.com/300x650.png/00aa55?text=Smartphone+animi</t>
  </si>
  <si>
    <t>["Quo similique adipisci quo molestiae voluptatem.","Aut tenetur autem iusto.","Sunt repellat ipsam nihil ducimus necessitatibus quos.","Voluptatem similique sapiente et ut.","In qui qui perferendis sunt.","Atque vitae facere et quibusdam porro et eum.","Non explicabo ratione explicabo modi voluptate.","Corrupti doloribus quo omnis quibusdam blanditiis quisquam dolorem.","Quam itaque voluptatibus voluptatem.","Sequi sit voluptates impedit maxime asperiores sunt."]</t>
  </si>
  <si>
    <t>["Consequatur nam eaque explicabo. Facere consequatur ipsum vitae inventore voluptatem odit illo nobis. Sit repellendus voluptatem accusantium et molestiae. Provident sint magni numquam omnis.","Est perferendis corrupti rerum rem nesciunt sint enim. Ducimus unde recusandae facere repellendus numquam. Ea ullam laudantium animi ipsam explicabo."]</t>
  </si>
  <si>
    <t>voluptate-ratione-4-32-4-black</t>
  </si>
  <si>
    <t>corporis cupiditate et</t>
  </si>
  <si>
    <t>voluptate-ratione</t>
  </si>
  <si>
    <t>https://via.placeholder.com/300x650.png/00ff77?text=Smartphone+sequi</t>
  </si>
  <si>
    <t>["Aut perspiciatis vero dolorem eos.","Omnis numquam eaque voluptas.","Quo id sit ut.","Labore id ullam consequatur qui voluptatum qui doloribus.","Alias adipisci ut accusantium repellendus.","Perferendis eum officia asperiores itaque suscipit vitae.","Aut aut quis necessitatibus nihil.","Hic possimus modi possimus sed non repellat.","Veritatis ut nihil facilis delectus odit ad.","Et corrupti aut velit qui sint amet excepturi."]</t>
  </si>
  <si>
    <t>["Distinctio tempore at et voluptate. Dolorum qui praesentium rem et sint. Aut nesciunt dolor rerum voluptates ipsam sed accusantium. Ea consectetur blanditiis temporibus.","Et sed totam fugit. Sint delectus tenetur distinctio molestias. Est ducimus voluptas consequuntur. Consequatur id inventore dolor."]</t>
  </si>
  <si>
    <t>aspernatur-itaque-2-128-3-white</t>
  </si>
  <si>
    <t>ut doloremque incidunt</t>
  </si>
  <si>
    <t>aspernatur-itaque</t>
  </si>
  <si>
    <t>https://via.placeholder.com/300x650.png/0000bb?text=Smartphone+enim</t>
  </si>
  <si>
    <t>["Doloribus illo vero quibusdam.","Odit mollitia esse hic cupiditate.","Voluptates quas ut nobis.","Tempora aut modi omnis praesentium.","Porro temporibus nihil aut iste vero est vero.","Vitae voluptatem rerum sed voluptate in.","Quos adipisci similique sapiente voluptatem optio sed ea.","Dolorem qui officiis sunt maiores.","Vel vero sunt ab explicabo corporis veniam quas.","Temporibus ea est neque ea non."]</t>
  </si>
  <si>
    <t>["Quo odit sed rerum nesciunt possimus delectus optio non. Fugiat qui labore quas suscipit. Non impedit atque voluptatum quod voluptate quos cupiditate.","Maxime atque vitae placeat sunt voluptatem et. Minima molestias veniam maxime impedit et officiis. Porro officia accusamus animi non. Cum repellendus voluptatum placeat quasi harum. Illum officia beatae corporis sit iste omnis delectus iure."]</t>
  </si>
  <si>
    <t>est-odit-12-128-4-blue</t>
  </si>
  <si>
    <t>quae saepe dolores</t>
  </si>
  <si>
    <t>est-odit</t>
  </si>
  <si>
    <t>https://via.placeholder.com/300x650.png/000055?text=Smartphone+quo</t>
  </si>
  <si>
    <t>["Repudiandae iste laudantium tempore maxime minus ut quia.","Et quae in omnis.","Et laudantium ut aut illo hic nisi dolor.","Illum atque quia est sed sed labore.","Unde eos cum magni nobis.","Vel enim sed qui nihil.","Dicta et illo quam autem.","Et voluptatem rerum dolorum velit temporibus adipisci.","Sapiente enim sapiente aut ratione.","Nam deserunt voluptatibus excepturi qui autem repellendus deserunt."]</t>
  </si>
  <si>
    <t>["Tempore ea quasi qui aut voluptatibus. Molestias est debitis nam necessitatibus voluptate est. Non voluptas id doloremque voluptatem.","Sit aperiam repellat corporis ipsam perspiciatis. Quia voluptatum ipsa odit adipisci voluptatem. Repellendus autem nemo quas molestiae."]</t>
  </si>
  <si>
    <t>sed-vel-12-64-3-red</t>
  </si>
  <si>
    <t>assumenda repudiandae veritatis</t>
  </si>
  <si>
    <t>sed-vel</t>
  </si>
  <si>
    <t>https://via.placeholder.com/300x650.png/00bbff?text=Smartphone+ut</t>
  </si>
  <si>
    <t>["Cum sint delectus enim quasi eum quo.","Nesciunt debitis dolor consequatur doloremque temporibus illo sequi.","Aut non ipsum quisquam laudantium rerum qui consequatur cupiditate.","Soluta amet quia qui enim omnis quo.","Esse id sed eum.","Esse ut ut iste sunt totam quod.","Aliquid amet sit unde.","Sit aliquam iusto cupiditate eos.","Ad exercitationem deleniti quos veniam atque omnis.","Quia quo aut neque."]</t>
  </si>
  <si>
    <t>["Amet voluptas optio modi omnis. Sed qui eos eos repellat. Et et voluptatum nihil hic illo sunt mollitia. Optio repellat voluptatum repudiandae deserunt perspiciatis.","Et nesciunt ipsam veniam et. Porro et officiis ut quas assumenda asperiores. Dignissimos et numquam eligendi tempora totam vel accusantium."]</t>
  </si>
  <si>
    <t>et-aliquid-4-32-3-black</t>
  </si>
  <si>
    <t>rerum reiciendis omnis</t>
  </si>
  <si>
    <t>et-aliquid</t>
  </si>
  <si>
    <t>https://via.placeholder.com/300x650.png/000022?text=Smartphone+omnis</t>
  </si>
  <si>
    <t>["Nihil alias quia non eius velit.","Labore facilis reiciendis minima hic laudantium et eaque.","Praesentium sit non dicta ea suscipit porro.","Laborum autem dolorum asperiores.","Porro ut atque nostrum quibusdam natus quos.","Id quidem reprehenderit voluptatem repellendus numquam.","Architecto maiores eius sapiente.","Magnam non asperiores impedit voluptas voluptas enim placeat.","Quidem et est nostrum quos rerum voluptatem minima.","Provident neque laborum dolorem et porro quos et."]</t>
  </si>
  <si>
    <t>["Culpa quibusdam incidunt saepe asperiores commodi eos. Eum dolorem consequatur voluptates amet.","Ad quos deleniti quas ut non libero esse. Atque quaerat eum atque similique in quas."]</t>
  </si>
  <si>
    <t>illum-autem-12-32-4-green</t>
  </si>
  <si>
    <t>qui id velit</t>
  </si>
  <si>
    <t>illum-autem</t>
  </si>
  <si>
    <t>https://via.placeholder.com/300x650.png/00aaff?text=Smartphone+sunt</t>
  </si>
  <si>
    <t>["Vel ut nostrum minima numquam soluta illum dolor.","Doloremque quo ut vel.","Qui vero ea eum ea.","Dolore necessitatibus facilis ut ut est ducimus nihil.","Ipsa mollitia placeat quas.","Exercitationem et dolorem aperiam optio.","Et accusamus sint odio quisquam ratione atque corrupti.","Harum eos perspiciatis sapiente temporibus repellendus quo accusamus.","Ut quidem totam dolor quidem quidem quasi.","Et est possimus necessitatibus blanditiis blanditiis exercitationem praesentium."]</t>
  </si>
  <si>
    <t>["Eveniet culpa voluptatem culpa modi. Sit et sed et quisquam sequi ex. Deserunt ipsa nesciunt harum quia voluptatem error. Deleniti pariatur ex officia fuga quia.","Commodi accusantium placeat sit aut velit. Corporis at fugiat nulla expedita. Quia possimus iure dolorem placeat est consequatur. Consectetur ducimus est ducimus ea quis blanditiis mollitia."]</t>
  </si>
  <si>
    <t>ut-iusto-2-8-5-black</t>
  </si>
  <si>
    <t>consequatur perferendis et</t>
  </si>
  <si>
    <t>https://via.placeholder.com/300x650.png/007799?text=Smartphone+eos</t>
  </si>
  <si>
    <t>["Reiciendis enim deleniti ut non ut molestias ipsam.","Atque inventore quasi necessitatibus cumque omnis ea natus.","Modi aut eum ea ex.","Quo autem quae et praesentium labore et id possimus.","Voluptatem alias perspiciatis iste consequatur.","Ab optio expedita non numquam voluptatem rem aut.","Quaerat ipsum veritatis qui nihil facilis facere.","Numquam id qui commodi voluptatibus.","Rerum autem tempora quam magnam eum architecto maiores.","Autem ducimus maxime dolore deleniti."]</t>
  </si>
  <si>
    <t>["Occaecati rerum dolorem est quis quia. Quo in est ipsum quod libero dignissimos. Cumque dolorem ut fugiat amet porro perspiciatis velit.","Consequatur neque distinctio tempore ipsum repellendus. Cum ut blanditiis omnis omnis. Sit eos ipsam minima quo id veritatis omnis. Aut possimus enim et quis iste sit."]</t>
  </si>
  <si>
    <t>illum-facere-12-8-2-black</t>
  </si>
  <si>
    <t>ut in omnis</t>
  </si>
  <si>
    <t>https://via.placeholder.com/300x650.png/004444?text=Smartphone+eveniet</t>
  </si>
  <si>
    <t>["Doloremque ea error ipsa sit exercitationem debitis.","Ut modi saepe et consequatur.","Ea quo aperiam placeat ab.","Enim voluptas laudantium qui.","Rem dolorem rerum velit est aliquid accusamus aut ad.","Nesciunt omnis beatae repellendus ut quos quo voluptates repellendus.","Libero sed accusantium aut voluptas qui perspiciatis alias.","Vel voluptatem modi aperiam voluptas veniam ut facilis.","Perferendis alias fugit quod qui vitae eum ab.","Fuga voluptatem velit voluptatem aspernatur qui dignissimos."]</t>
  </si>
  <si>
    <t>["Voluptas ullam dicta est beatae fugit excepturi fuga. Sequi cumque facere temporibus consequatur quisquam rerum reiciendis. Deserunt fugit eveniet alias inventore.","Veniam aut nobis et. Ipsum architecto qui fuga ratione voluptatem. Voluptatem qui facere provident aut."]</t>
  </si>
  <si>
    <t>sed-sit-4-512-6-blue</t>
  </si>
  <si>
    <t>laboriosam veniam sed</t>
  </si>
  <si>
    <t>sed-sit</t>
  </si>
  <si>
    <t>https://via.placeholder.com/300x650.png/00dddd?text=Smartphone+doloremque</t>
  </si>
  <si>
    <t>["Quod vero ut voluptates eos sed.","Omnis ex dolorem voluptate nostrum consequatur optio corporis.","Dolores tenetur labore alias dicta est molestiae.","Necessitatibus dolorum reiciendis nemo ut.","Itaque voluptatem harum architecto a est.","Iste delectus ut commodi magnam omnis hic.","In sequi amet sunt voluptates voluptas praesentium.","Iusto sint eveniet aliquam magni omnis doloribus sit tempora.","Et et molestias odit eligendi.","Et velit aliquid ut qui maxime est."]</t>
  </si>
  <si>
    <t>["Amet quia neque sapiente et. Eos voluptas voluptatum omnis cupiditate. Voluptate nostrum est nihil in sunt dolores voluptas aut. Rem sapiente et omnis ex animi ad.","Amet accusantium recusandae distinctio nisi. Sit quasi deserunt odio ea recusandae vel error. Perspiciatis exercitationem et assumenda illo."]</t>
  </si>
  <si>
    <t>corrupti-sit-6-16-2-red</t>
  </si>
  <si>
    <t>laborum nihil unde</t>
  </si>
  <si>
    <t>https://via.placeholder.com/300x650.png/00cc33?text=Smartphone+et</t>
  </si>
  <si>
    <t>["Saepe qui inventore recusandae ut.","Rerum non libero et dolores voluptatem.","Quisquam nesciunt veniam vero dolores fugit consequatur consequatur.","Facilis voluptatibus molestiae accusantium tempora eos officia iusto repudiandae.","Quos assumenda doloremque eligendi similique et eveniet.","Culpa facilis beatae incidunt quisquam ea dolorum fuga.","Recusandae commodi et beatae.","Omnis et nemo est modi aspernatur ad.","Sed ut et quae deleniti sed voluptate.","Quis dolores nobis deserunt sit quaerat iusto soluta."]</t>
  </si>
  <si>
    <t>["Ad enim eveniet eum exercitationem omnis voluptatibus nihil. Soluta dignissimos voluptate est commodi et eveniet. A et et quidem vel omnis. Est rem laborum nulla praesentium corrupti voluptate.","Sunt asperiores necessitatibus ut. Nihil quas beatae id doloribus. Ut quae blanditiis soluta earum reprehenderit rem sed."]</t>
  </si>
  <si>
    <t>sed-sit-12-32-6-white</t>
  </si>
  <si>
    <t>iusto sint porro</t>
  </si>
  <si>
    <t>https://via.placeholder.com/300x650.png/005533?text=Smartphone+voluptatem</t>
  </si>
  <si>
    <t>["Laborum provident amet quidem ab quo aut.","Non minima quia quo.","Eius perferendis qui est.","Illum eaque ad minima sint suscipit eaque earum nemo.","Cum ipsam aut libero eveniet.","Et voluptates eius eveniet non.","Voluptatem fugit aliquid aspernatur aut impedit officia distinctio et.","Consequuntur quibusdam assumenda quis quod eveniet voluptas nostrum.","Quis tenetur at in quo voluptas at est.","Qui velit molestiae sit illo suscipit."]</t>
  </si>
  <si>
    <t>["Dolorem rerum nisi officiis accusantium voluptatem esse quam. Cumque quia et labore consectetur officiis. Ut voluptas eos illo dolorem magnam qui voluptate.","Qui voluptatibus ut sequi aut provident adipisci. Debitis eligendi vel quia quisquam voluptas harum. Dignissimos ut inventore qui aut."]</t>
  </si>
  <si>
    <t>quasi-perferendis-8-64-4-black</t>
  </si>
  <si>
    <t>expedita et qui</t>
  </si>
  <si>
    <t>quasi-perferendis</t>
  </si>
  <si>
    <t>https://via.placeholder.com/300x650.png/0033aa?text=Smartphone+rerum</t>
  </si>
  <si>
    <t>["Nisi non doloribus perspiciatis nihil saepe similique et.","Cum ut accusantium et dolor ea quaerat ea.","Illo et excepturi tempore delectus illo qui qui.","Quisquam rerum totam laboriosam dicta voluptate.","Sunt ullam beatae aspernatur ducimus culpa nostrum pariatur.","Beatae quia culpa harum ipsa aut voluptatem explicabo.","Repellendus unde quia quia beatae in.","Asperiores assumenda soluta ipsum dolorum beatae non.","Iure suscipit soluta quod eligendi amet a iste.","Esse laboriosam est recusandae maxime vel eum omnis quibusdam."]</t>
  </si>
  <si>
    <t>["Laborum ducimus aspernatur sequi autem explicabo in. Ad magnam sapiente repellat dolore saepe eligendi. Enim natus delectus ut quasi cum at. Id quia minus omnis quis perspiciatis quos.","Sequi aut quia omnis mollitia rem. Nihil repellat sapiente qui ratione assumenda voluptatem. Nobis ut voluptas et deleniti. Omnis non ab dolore."]</t>
  </si>
  <si>
    <t>est-dolorum-8-128-3-black</t>
  </si>
  <si>
    <t>nisi illo animi</t>
  </si>
  <si>
    <t>https://via.placeholder.com/300x650.png/008844?text=Smartphone+alias</t>
  </si>
  <si>
    <t>["Enim aut molestias amet qui reprehenderit animi.","Tenetur voluptas perferendis asperiores deleniti.","Eos inventore tenetur nihil voluptate minus.","Itaque laudantium aut id mollitia nemo.","Libero asperiores porro quia sed.","Veritatis laborum et ipsum labore.","Sit aut ut expedita eos.","Officia molestiae aut provident atque.","Distinctio nisi autem sed ut et distinctio voluptatem.","Aut nulla nemo placeat cupiditate enim."]</t>
  </si>
  <si>
    <t>["Quia nemo provident aut sint et rerum ratione soluta. Voluptatibus eum est id officiis cupiditate voluptate dolorem nobis. Modi dolorem soluta eveniet in minima.","Velit culpa nam omnis harum omnis nam enim. A perspiciatis sit ut sed magnam. Voluptatum eos aut mollitia vitae commodi dolores sunt."]</t>
  </si>
  <si>
    <t>sed-id-12-64-5-blue</t>
  </si>
  <si>
    <t>aut reiciendis id</t>
  </si>
  <si>
    <t>https://via.placeholder.com/300x650.png/00bb88?text=Smartphone+neque</t>
  </si>
  <si>
    <t>["Ut praesentium iusto labore eos rerum quidem unde.","Voluptatem ad tenetur aliquid quaerat ex.","Eveniet velit quisquam quod quod eos.","Earum adipisci voluptas harum odit corporis praesentium voluptas.","Quia quis adipisci ea.","Odit qui quia velit aliquam delectus ut.","Labore architecto recusandae voluptas.","Ipsam rerum aperiam saepe ducimus asperiores perspiciatis explicabo minus.","Aut aut magnam itaque esse quos.","Eius rerum consequatur neque."]</t>
  </si>
  <si>
    <t>["Voluptatum quo qui id laudantium eum dolore. Cum nostrum minus architecto provident dolor commodi tempore eius. Et ut aut rerum harum excepturi voluptatem. Eum est et architecto quaerat consectetur sit.","Dolore impedit consequatur quos. Quos nam qui nulla nihil. In in error in."]</t>
  </si>
  <si>
    <t>maiores-veritatis-2-8-5-blue</t>
  </si>
  <si>
    <t>quis iste error</t>
  </si>
  <si>
    <t>https://via.placeholder.com/300x650.png/007788?text=Smartphone+suscipit</t>
  </si>
  <si>
    <t>["Expedita modi praesentium voluptates quia.","In quis assumenda voluptatibus omnis corrupti provident nesciunt.","Maxime doloribus beatae earum incidunt voluptates.","Sunt voluptates asperiores ducimus eius quo.","In ducimus commodi odit et aut.","Eos atque numquam ipsa aut.","Magnam eum a expedita earum officiis et.","Ducimus officia iusto qui deleniti ipsam.","Est minus omnis doloribus at ipsum.","Autem quis est quas quas dolor."]</t>
  </si>
  <si>
    <t>["Deleniti accusantium est id autem perferendis. Quasi quis provident rerum rerum quia dolorem soluta. Non suscipit a ea et.","Unde quaerat ipsam vero quas explicabo omnis fugit. Animi voluptates velit eum voluptas voluptas. Et dignissimos veritatis nihil excepturi repudiandae voluptatem. Et non sapiente id sint dignissimos magnam placeat."]</t>
  </si>
  <si>
    <t>illum-reiciendis-6-64-5-red</t>
  </si>
  <si>
    <t>aliquam cumque earum</t>
  </si>
  <si>
    <t>illum-reiciendis</t>
  </si>
  <si>
    <t>https://via.placeholder.com/300x650.png/00ff44?text=Smartphone+voluptas</t>
  </si>
  <si>
    <t>["Repellat fuga tempora explicabo dolorem laboriosam iusto et.","Voluptatem officia qui praesentium aliquam ut.","Aut sed et et optio.","Harum dicta ut suscipit fugit est soluta.","Consequatur itaque vel maiores quo iure.","Recusandae at explicabo soluta atque sit excepturi.","Rerum quaerat numquam qui quibusdam.","Nulla officiis exercitationem asperiores tenetur.","Rerum tempora harum sint nobis.","Occaecati qui ut est qui nemo."]</t>
  </si>
  <si>
    <t>["Maxime blanditiis voluptates quia quibusdam quasi. Et ut at dolorum impedit distinctio. Nobis impedit ducimus impedit autem excepturi vitae. Est corrupti in quis.","Atque labore aperiam dolorem suscipit beatae. Blanditiis quo itaque architecto. Voluptas tenetur et voluptatem qui."]</t>
  </si>
  <si>
    <t>est-debitis-8-512-3-blue</t>
  </si>
  <si>
    <t>odio deleniti et</t>
  </si>
  <si>
    <t>https://via.placeholder.com/300x650.png/000077?text=Smartphone+voluptas</t>
  </si>
  <si>
    <t>["Debitis excepturi eveniet animi qui et cupiditate et.","Et repellat unde inventore libero rerum.","Velit et nostrum repellat corporis ut a.","Atque nulla vel esse quidem in quo quo.","Aperiam officiis ratione et dolor nulla quas qui temporibus.","Labore voluptatem et nesciunt voluptatem.","Iusto saepe eum officia voluptatem.","Aut omnis explicabo consequatur in ipsum autem quia.","Corporis cupiditate rem et adipisci ab.","Voluptatibus rerum repudiandae ut fugit exercitationem commodi."]</t>
  </si>
  <si>
    <t>["Et ad deleniti animi in veniam harum. Voluptatem voluptates quae quo maxime molestiae quia quidem nulla. Omnis tempora debitis voluptatum dolore quae. Nostrum voluptatem voluptatibus temporibus eos in quo.","Et atque officiis sunt. Similique sit eligendi qui sequi mollitia quia. Quaerat nihil quis repudiandae reprehenderit ut quia doloremque voluptas."]</t>
  </si>
  <si>
    <t>est-ex-4-32-2-white</t>
  </si>
  <si>
    <t>quo modi eaque</t>
  </si>
  <si>
    <t>est-ex</t>
  </si>
  <si>
    <t>https://via.placeholder.com/300x650.png/0022bb?text=Smartphone+necessitatibus</t>
  </si>
  <si>
    <t>["Possimus adipisci qui nostrum saepe quia.","Eos omnis libero qui excepturi.","Sequi ut voluptatem occaecati praesentium officiis provident voluptatem.","Eaque quia tempore nesciunt odit quia nihil et.","Corporis illum dolorem voluptatem id impedit molestiae sequi.","Voluptatum sed ea id officiis sed.","Maiores ipsum qui sed rerum aut sed accusantium.","Id recusandae cumque quis id placeat eaque.","Consequatur ex corporis iusto quasi ipsa vero autem.","Sapiente unde ipsum voluptates magni minus dolor ex placeat."]</t>
  </si>
  <si>
    <t>["Excepturi quos temporibus mollitia repellendus et. Id officiis consequatur at debitis esse qui tempora amet. Quia soluta natus magni vitae placeat cumque veritatis esse.","Aliquid labore eos dolores debitis quaerat at. Natus aut sequi voluptate eum vel sed. Iusto nemo aut inventore veniam ipsam velit iusto. Perferendis magni possimus minus a."]</t>
  </si>
  <si>
    <t>est-et-4-32-5-green</t>
  </si>
  <si>
    <t>voluptate sit ea</t>
  </si>
  <si>
    <t>https://via.placeholder.com/300x650.png/0099dd?text=Smartphone+repudiandae</t>
  </si>
  <si>
    <t>["Inventore in fugiat quo amet delectus.","Est quidem aliquid iusto placeat ut officiis ad.","Amet accusamus consequatur ullam suscipit voluptas.","Quia deserunt voluptates necessitatibus temporibus.","Dolore modi esse quis voluptate est tempore quis.","Possimus doloribus impedit voluptatem magnam eos.","Repellat id dignissimos aut.","Aut corporis et dolor.","Necessitatibus non sint quia voluptates voluptatem officia autem.","Voluptatem qui quia ratione quos."]</t>
  </si>
  <si>
    <t>["Perspiciatis et reprehenderit cum voluptate. Non hic eum rerum magni beatae aut modi. Beatae occaecati animi ut voluptatibus soluta consequatur nam. Maxime ut nam nam et voluptas.","Eveniet autem molestiae quae facere ipsam. Error et possimus dolores."]</t>
  </si>
  <si>
    <t>est-et-12-16-6-white</t>
  </si>
  <si>
    <t>esse distinctio voluptas</t>
  </si>
  <si>
    <t>https://via.placeholder.com/300x650.png/00cc55?text=Smartphone+velit</t>
  </si>
  <si>
    <t>["Dignissimos repellat consequatur natus unde cupiditate.","Voluptas earum nemo facere quisquam voluptatem.","Praesentium ratione quasi vel minima commodi tempore recusandae.","Et repellat repellat hic sed culpa occaecati.","Assumenda doloribus quo autem dicta.","Nihil dolor atque id omnis quia aut.","Consectetur sequi quia a fugiat.","Iure repellat omnis id sint non omnis.","Exercitationem officia maiores est mollitia quae autem repellendus placeat.","Quia est molestiae cupiditate ipsa quo quibusdam."]</t>
  </si>
  <si>
    <t>["Officiis et quibusdam dolorem ut. Architecto qui magni officia consequuntur omnis eum. Aut omnis sit ab nihil.","Quia nemo debitis impedit neque beatae ducimus ut molestiae. Est doloremque consequuntur eos aliquam. Aut ut sunt similique officia."]</t>
  </si>
  <si>
    <t>sed-reiciendis-6-16-4-red</t>
  </si>
  <si>
    <t>et aut voluptatem</t>
  </si>
  <si>
    <t>sed-reiciendis</t>
  </si>
  <si>
    <t>https://via.placeholder.com/300x650.png/0055dd?text=Smartphone+ducimus</t>
  </si>
  <si>
    <t>["Incidunt esse minus est sit consequuntur.","Porro omnis placeat nulla perspiciatis error.","Dignissimos soluta aliquam nihil laudantium.","Debitis consectetur est incidunt temporibus neque adipisci aliquam earum.","Est consectetur aliquid nihil qui eum dicta.","Et rem est nobis velit laboriosam iusto.","Et maxime accusantium provident beatae sequi facilis quis.","Provident aspernatur ut error pariatur minima esse et a.","Fuga velit deleniti quisquam fuga.","Veritatis suscipit cum nam et id quis."]</t>
  </si>
  <si>
    <t>["Nihil iure velit quo alias aut. Enim iusto nemo officia illum eaque illo aut soluta. Consequatur autem soluta cum perspiciatis est adipisci. Aut voluptatem est consequatur sed omnis labore id.","Qui et consectetur velit unde et pariatur accusamus. Molestiae temporibus dignissimos fugiat dolorum fugit aut eveniet. Vel consequatur architecto aut incidunt sed. Labore quam sequi at ab ut doloremque exercitationem."]</t>
  </si>
  <si>
    <t>voluptate-velit-6-512-2-blue</t>
  </si>
  <si>
    <t>harum velit rerum</t>
  </si>
  <si>
    <t>https://via.placeholder.com/300x650.png/00dd55?text=Smartphone+reprehenderit</t>
  </si>
  <si>
    <t>["Necessitatibus consequatur totam aspernatur commodi.","Labore corrupti quo aut delectus inventore eligendi.","Pariatur enim nisi laboriosam et vitae placeat dolor.","Dolorum laudantium sed tenetur.","Quia aspernatur consequatur minima in.","Exercitationem maxime voluptate sint.","Iste dicta amet aut quo recusandae nulla harum.","Quo id cumque ducimus aliquid.","Aut tenetur et quia perspiciatis quam distinctio asperiores.","Iste at dolores dolore et nobis."]</t>
  </si>
  <si>
    <t>["Ipsam dicta nostrum id ad. Et maxime beatae explicabo ipsa explicabo tempora debitis. Voluptas placeat ipsam molestiae cum velit consequatur corrupti vel. Minus enim ex vel tenetur.","Ut facilis id eaque aut quam aut maxime error. Alias saepe quidem consequatur et suscipit fugit quia. Et qui est est temporibus."]</t>
  </si>
  <si>
    <t>et-sit-6-64-3-green</t>
  </si>
  <si>
    <t>accusamus ut sint</t>
  </si>
  <si>
    <t>https://via.placeholder.com/300x650.png/006655?text=Smartphone+tempore</t>
  </si>
  <si>
    <t>["Sed perferendis sit consequatur.","Quam qui eum ut.","Quisquam dolores voluptas vel reprehenderit.","Quasi veritatis enim ipsam.","Aut ad amet cum minima ipsum et.","Quod repellat aut eligendi et.","Et qui molestiae aut omnis omnis iusto accusantium voluptatem.","Beatae maxime sed voluptas et corrupti cupiditate nihil.","Dolor consequatur animi quia quas.","Porro dolore velit molestias labore amet doloremque labore."]</t>
  </si>
  <si>
    <t>["Dolor occaecati magnam quo aliquid culpa ea. Provident fugiat eos perferendis autem consequatur placeat.","Sunt laudantium nulla distinctio voluptas ipsum ab non. Mollitia officia quisquam dolores et consequatur."]</t>
  </si>
  <si>
    <t>maiores-aut-12-512-6-black</t>
  </si>
  <si>
    <t>asperiores nobis quod</t>
  </si>
  <si>
    <t>https://via.placeholder.com/300x650.png/005500?text=Smartphone+dolorem</t>
  </si>
  <si>
    <t>["Ut voluptatem aliquid id amet ipsum magnam.","Similique porro voluptatibus pariatur sunt numquam voluptatem vel.","Aspernatur sint quae fuga dolore culpa rerum cum.","Praesentium vel suscipit asperiores amet modi.","Rerum a eaque est dolor aut similique laudantium.","Ipsa non nostrum itaque.","Nihil ex voluptas architecto nihil ut explicabo.","Non tenetur totam autem eius.","Quis quia nobis soluta eligendi reiciendis.","Sed cumque facere error magni est."]</t>
  </si>
  <si>
    <t>["Veniam ea dolores cupiditate blanditiis. Ipsa consequatur qui sequi. Sunt repellendus sit qui minus ipsa. Consequatur nam corrupti minus unde qui aut libero dolorem.","Deleniti et tempore neque et ut. Et officia necessitatibus aliquid. Voluptate ratione illo qui dolore rerum porro."]</t>
  </si>
  <si>
    <t>et-minima-12-8-2-white</t>
  </si>
  <si>
    <t>quos voluptatibus libero</t>
  </si>
  <si>
    <t>https://via.placeholder.com/300x650.png/007788?text=Smartphone+non</t>
  </si>
  <si>
    <t>["Id et exercitationem consectetur.","Tempora natus consequatur aut laborum ducimus dolores et.","Sunt aut et sint qui magnam exercitationem ut.","Esse et consequuntur corrupti accusantium quis omnis aliquam voluptate.","Iusto quas dolorem tempore ut.","Fugit quo tenetur consequatur facilis.","Magnam veniam fugiat pariatur et laudantium sed adipisci voluptatum.","Quia quia et est est temporibus cupiditate.","Dolor reiciendis vel consequatur ab rerum natus quibusdam.","Recusandae quo molestias autem impedit ipsa."]</t>
  </si>
  <si>
    <t>["Cumque similique aliquid voluptates porro et fuga neque. Perferendis sunt inventore id ipsum praesentium ipsam. Fugit incidunt voluptas blanditiis doloribus aspernatur debitis et dolorem.","Delectus doloribus ut aut consequuntur non. Aut adipisci rerum assumenda modi qui voluptatem officia. Cum corrupti aut esse placeat omnis officia sint."]</t>
  </si>
  <si>
    <t>est-porro-8-128-2-white</t>
  </si>
  <si>
    <t>dolorem et qui</t>
  </si>
  <si>
    <t>https://via.placeholder.com/300x650.png/008833?text=Smartphone+atque</t>
  </si>
  <si>
    <t>["Iusto et est voluptatem nobis.","Suscipit adipisci quia quasi.","Corporis adipisci perspiciatis sit error ut.","Nam qui cum vero accusamus sed.","Necessitatibus quod dolor animi ut.","Rem facere exercitationem sapiente in deleniti sint reiciendis.","Corporis sapiente mollitia iusto et tempore.","Et tempore quam voluptatibus veritatis.","Et similique excepturi iure et itaque.","Odit suscipit minima aut accusantium."]</t>
  </si>
  <si>
    <t>["Unde dignissimos temporibus ea veritatis. Aut praesentium et et aperiam adipisci aut. Molestiae culpa molestiae qui necessitatibus aut ab nesciunt.","Recusandae velit eveniet facere autem autem amet ut. Veniam quae dolor corporis nulla est odit aspernatur. Delectus esse culpa vero repudiandae qui porro asperiores. Vel enim iusto velit incidunt ab."]</t>
  </si>
  <si>
    <t>sed-dignissimos-12-32-4-white</t>
  </si>
  <si>
    <t>nobis quasi aut</t>
  </si>
  <si>
    <t>sed-dignissimos</t>
  </si>
  <si>
    <t>https://via.placeholder.com/300x650.png/0088aa?text=Smartphone+possimus</t>
  </si>
  <si>
    <t>["Ratione ipsam possimus enim tempore dolores.","Suscipit ipsam reiciendis ea nemo incidunt.","Et delectus voluptatem illo vero.","Natus similique nemo tempore adipisci accusantium numquam sit.","Dolore voluptas dolorum voluptas aut fugiat quidem aut.","Voluptas eos debitis ducimus voluptatem a sunt.","Nihil sequi omnis laudantium.","Ratione facilis cum ut nisi.","Tenetur praesentium et quo placeat veritatis quia id.","Ut et non error cumque et nihil qui et."]</t>
  </si>
  <si>
    <t>["Suscipit at eos sit ipsam. Corporis id voluptatem eum quo. Autem vel dolorum autem voluptas culpa provident assumenda. Quasi modi nesciunt ut culpa est ipsam.","Quam aut consequatur necessitatibus sint hic quos inventore. Porro sit non autem facere. Officia provident numquam consequatur quasi eum eos ex. Magni aut quidem sunt illo ut autem velit."]</t>
  </si>
  <si>
    <t>est-qui-12-128-3-black</t>
  </si>
  <si>
    <t>repellendus omnis quae</t>
  </si>
  <si>
    <t>est-qui</t>
  </si>
  <si>
    <t>https://via.placeholder.com/300x650.png/008822?text=Smartphone+veniam</t>
  </si>
  <si>
    <t>["Dolor minima accusantium distinctio repellat.","Est repudiandae quia optio est pariatur rerum.","Non aut quaerat laboriosam dolor et dolores.","Autem soluta rem cum velit aliquam ullam praesentium.","Iure illum fugit laboriosam autem recusandae veritatis.","Temporibus sapiente labore porro.","Molestias consequatur corrupti quae et dolorum enim eos.","Harum consequatur quasi placeat et nihil est.","Voluptas modi nam quia ea.","Hic dicta dolorem ducimus fugit."]</t>
  </si>
  <si>
    <t>["Voluptatum soluta qui et voluptatibus ab inventore. Qui nostrum et vel ut architecto nesciunt. Est mollitia dolorum vel doloribus voluptas aut. Laboriosam nihil dolores ipsam non cum aspernatur ea. Id qui nesciunt culpa beatae magni est eum.","Sint iste repellat dolores cumque. Qui eaque facere fugit nam quod. Dignissimos suscipit accusantium delectus quod ducimus vero omnis vel. Qui quod ut at totam."]</t>
  </si>
  <si>
    <t>est-rerum-2-128-6-white</t>
  </si>
  <si>
    <t>recusandae velit ea</t>
  </si>
  <si>
    <t>https://via.placeholder.com/300x650.png/008833?text=Smartphone+animi</t>
  </si>
  <si>
    <t>["Laboriosam assumenda omnis aut ut et cupiditate fuga.","Consequatur cumque expedita cumque laborum.","Repellendus officia cumque est unde earum.","Ea esse quam ea numquam placeat.","Quia et ut sit exercitationem.","Voluptatum sed in sequi autem quidem et.","Et error et ut quidem culpa illo.","Quae excepturi minus voluptas cupiditate cumque quia repellat.","Perspiciatis mollitia eum voluptate animi nisi dicta corporis.","Quisquam voluptatibus deleniti sit delectus accusantium reiciendis."]</t>
  </si>
  <si>
    <t>["Sapiente ut consequatur enim quo et nihil. Nostrum dolores tempora et ipsum eveniet minus. Inventore suscipit nobis similique esse laudantium.","Quas doloremque ut enim minima iste. Asperiores voluptates quae nemo voluptatibus non cumque iste. Repellendus mollitia harum autem. Quis cum qui deleniti eum."]</t>
  </si>
  <si>
    <t>quasi-et-12-128-4-red</t>
  </si>
  <si>
    <t>occaecati vero cumque</t>
  </si>
  <si>
    <t>quasi-et</t>
  </si>
  <si>
    <t>https://via.placeholder.com/300x650.png/0055cc?text=Smartphone+ab</t>
  </si>
  <si>
    <t>["Necessitatibus numquam dolorem odio praesentium a.","Et numquam iusto illum sunt quisquam velit ut.","Aperiam aut est voluptates totam tempora quis.","Optio labore qui ad ipsa maxime amet.","Voluptates dolores tempore perferendis est repudiandae est a.","Reiciendis aut pariatur aut voluptatibus et voluptatem odit.","Voluptatibus occaecati labore possimus eum eveniet enim.","Veritatis mollitia non maiores.","Ratione impedit fugiat sapiente accusantium dolorem vitae ea.","Magnam voluptatem et et aut."]</t>
  </si>
  <si>
    <t>["Magni quibusdam quos vel aperiam facere ullam eos dolorem. Ex possimus ullam corporis accusantium tempora ut blanditiis dolor. Sunt non sequi consequatur est accusantium laudantium. Ipsa et sit aperiam.","Quos vel nihil at. In aut omnis architecto quo nulla expedita. Aut deserunt nesciunt et aut culpa."]</t>
  </si>
  <si>
    <t>ut-ut-6-32-3-green</t>
  </si>
  <si>
    <t>eaque enim ipsam</t>
  </si>
  <si>
    <t>https://via.placeholder.com/300x650.png/00ff11?text=Smartphone+dicta</t>
  </si>
  <si>
    <t>["Et facilis quaerat et ullam est.","Dicta autem modi et sequi est omnis aliquam.","Molestiae enim voluptatem voluptas in perferendis.","Ut sunt dignissimos iste quia amet.","Sed velit hic omnis blanditiis necessitatibus pariatur animi.","Consectetur in possimus illo neque id.","Repellendus laboriosam aut est in sunt quas pariatur.","Et non voluptas ut.","Maxime ut explicabo suscipit fugiat quaerat ad mollitia.","Aspernatur odit enim modi dignissimos."]</t>
  </si>
  <si>
    <t>["Error ipsa provident odio. Consequatur dolores exercitationem ut sit. Dolorum mollitia itaque aspernatur quis doloremque.","Quidem velit et dolorum cupiditate incidunt incidunt quidem ea. Maxime nam officiis distinctio nihil molestias. Sequi magni dolorem harum unde."]</t>
  </si>
  <si>
    <t>sed-dolor-2-16-2-green</t>
  </si>
  <si>
    <t>officia sunt vel</t>
  </si>
  <si>
    <t>sed-dolor</t>
  </si>
  <si>
    <t>https://via.placeholder.com/300x650.png/0055dd?text=Smartphone+esse</t>
  </si>
  <si>
    <t>["Rerum et temporibus consequatur at ducimus veniam.","Expedita asperiores voluptatem amet cum et quasi labore repellendus.","Laboriosam qui id totam ducimus.","Quis quod possimus eligendi iste eaque voluptas.","Laudantium repudiandae maiores aliquam.","Qui fugit quos autem sit.","Quod esse quam velit nesciunt.","Beatae praesentium molestiae quo sit et animi.","Eius et aut enim maiores voluptates.","Ullam saepe aut quisquam et omnis sit."]</t>
  </si>
  <si>
    <t>["Qui laudantium voluptatem animi sit vel deleniti. Magnam assumenda officiis rerum. Quaerat in provident placeat nulla. Dolor quas et modi enim atque cumque expedita.","Reprehenderit laborum velit incidunt voluptatibus. Molestiae omnis qui esse et occaecati animi eos. Incidunt aperiam ea tempore vel. Est consequatur blanditiis dolores voluptatibus praesentium sunt. Facere quia doloribus praesentium qui rerum."]</t>
  </si>
  <si>
    <t>corrupti-ducimus-4-16-3-blue</t>
  </si>
  <si>
    <t>aspernatur temporibus ab</t>
  </si>
  <si>
    <t>corrupti-ducimus</t>
  </si>
  <si>
    <t>https://via.placeholder.com/300x650.png/00cc88?text=Smartphone+velit</t>
  </si>
  <si>
    <t>["Officiis laboriosam ut reprehenderit voluptas incidunt sed.","Eos autem rerum et ducimus.","Sed nemo magni nobis odio incidunt.","Repudiandae ea et id dolores.","Laboriosam optio dolore ullam incidunt.","Minima officiis nulla voluptatem animi ipsum ipsam aliquam.","Et voluptas dolores molestiae aut temporibus.","Aperiam quisquam temporibus non nisi harum voluptas voluptates.","Id maxime fugiat est necessitatibus.","Recusandae iste nihil rerum."]</t>
  </si>
  <si>
    <t>["Quae unde eum eveniet dolore laudantium non. Qui porro alias vel quo. Quae voluptatum minus repudiandae non eveniet. Iusto excepturi numquam hic ut quae tempore.","Aliquam dolore voluptas et exercitationem sed recusandae. Qui quidem fugit porro. Qui saepe ut nihil sed sequi voluptatum. Cupiditate assumenda tenetur sequi quibusdam omnis eos earum."]</t>
  </si>
  <si>
    <t>ut-eos-4-512-4-green</t>
  </si>
  <si>
    <t>fuga odio suscipit</t>
  </si>
  <si>
    <t>ut-eos</t>
  </si>
  <si>
    <t>https://via.placeholder.com/300x650.png/0011bb?text=Smartphone+cum</t>
  </si>
  <si>
    <t>["Nam ducimus quasi provident ea.","Et sint et hic qui commodi et exercitationem.","Iste et numquam aliquam nesciunt recusandae.","Architecto qui voluptas dolor distinctio eos.","Mollitia odio qui molestiae consectetur facilis et et.","Est esse illo animi harum.","Deserunt eum ut occaecati culpa vel.","Suscipit ut soluta quisquam est.","Quos omnis est tempora quam accusamus.","Debitis amet quis aperiam tempora atque occaecati id."]</t>
  </si>
  <si>
    <t>["Labore dolorem id similique nam quia. Dolor ut quae voluptatibus ab qui. Qui quod ipsam fugiat dolorum aliquam velit. Praesentium alias illum iste consequatur maiores iusto id.","In ut eum vel laudantium non qui eveniet. Ratione quia adipisci incidunt minus fugit doloribus. Optio expedita ipsum iusto qui unde voluptas."]</t>
  </si>
  <si>
    <t>aspernatur-aliquam-12-128-5-red</t>
  </si>
  <si>
    <t>et aspernatur et</t>
  </si>
  <si>
    <t>aspernatur-aliquam</t>
  </si>
  <si>
    <t>https://via.placeholder.com/300x650.png/00ccff?text=Smartphone+eos</t>
  </si>
  <si>
    <t>["Dignissimos quasi corrupti nulla.","Excepturi delectus magni excepturi ut eos aut dolores rerum.","Ea sed voluptas sint quia.","Ut et nam delectus dolores.","Ut iusto quam aspernatur ut quod exercitationem.","Consequuntur voluptas accusamus ut praesentium maxime dolorem.","Nihil sint aliquam dicta itaque.","Laboriosam alias quo et id.","Quia adipisci in quia sed.","Sapiente aut consequatur eos omnis accusantium quasi tenetur."]</t>
  </si>
  <si>
    <t>["Facere et qui sit eius. Ut officia id nostrum quia ab voluptas non. In quo et dolor voluptatem.","Quia architecto natus ea unde. Eos numquam consectetur ut itaque voluptas est. Eos nulla nostrum reprehenderit et quia. Recusandae magnam neque quos dolorem tenetur iusto."]</t>
  </si>
  <si>
    <t>aspernatur-temporibus-2-512-2-white</t>
  </si>
  <si>
    <t>ex dignissimos eaque</t>
  </si>
  <si>
    <t>aspernatur-temporibus</t>
  </si>
  <si>
    <t>https://via.placeholder.com/300x650.png/000011?text=Smartphone+veniam</t>
  </si>
  <si>
    <t>["Sed iste blanditiis ex reprehenderit.","Quibusdam dolores ducimus quis sed quia a iste.","Nihil et quo voluptatem sunt.","Est ut exercitationem est quae.","Molestias suscipit omnis est et exercitationem repellendus.","Voluptatem voluptatibus ipsum quae et quas doloremque ipsam.","Facere commodi tempore vero sint ea qui.","Sunt fugit possimus amet laborum qui eligendi ut.","Quis natus nihil et amet facere.","Eos repudiandae sequi ut."]</t>
  </si>
  <si>
    <t>["Rem dignissimos voluptate expedita cupiditate at. Et blanditiis ipsa sint sit in. Voluptates inventore magni et aut provident.","Ut inventore et modi ut qui et est quis. Sunt ut reiciendis quisquam et. Adipisci sunt eius iure id laboriosam."]</t>
  </si>
  <si>
    <t>maiores-quia-8-32-5-red</t>
  </si>
  <si>
    <t>commodi cupiditate omnis</t>
  </si>
  <si>
    <t>maiores-quia</t>
  </si>
  <si>
    <t>https://via.placeholder.com/300x650.png/000000?text=Smartphone+rerum</t>
  </si>
  <si>
    <t>["Suscipit pariatur autem pariatur voluptatem veniam numquam.","Ad atque ipsum in.","Et error ut quod voluptatum.","Consequuntur ut molestias et repellat.","Consectetur harum doloremque et reiciendis omnis.","Dicta facilis corporis occaecati aut sit rerum magni.","Odio reiciendis culpa id recusandae sit asperiores excepturi.","Natus aut possimus ipsum hic ut reprehenderit consequatur.","Sint praesentium autem quos nostrum quaerat.","Dolorem harum cupiditate aut recusandae."]</t>
  </si>
  <si>
    <t>["Et officia ducimus neque excepturi hic reprehenderit. Placeat sit dicta molestiae minus omnis non quasi sit.","Non maxime ratione sapiente voluptatum. Quibusdam blanditiis sed qui deleniti id temporibus ipsum. Cumque ipsum voluptatem officia voluptatem voluptatem."]</t>
  </si>
  <si>
    <t>est-qui-2-32-5-green</t>
  </si>
  <si>
    <t>architecto illum saepe</t>
  </si>
  <si>
    <t>https://via.placeholder.com/300x650.png/004466?text=Smartphone+quas</t>
  </si>
  <si>
    <t>["A aliquid maiores tempora.","Ea nam inventore asperiores tempore deleniti at.","Autem magni officia accusamus eos veniam.","Omnis excepturi hic aut iusto neque.","Dolorem est quam nobis eum occaecati aut id fugit.","Delectus quod omnis culpa sunt.","Enim mollitia velit asperiores sint.","Ipsam et qui et et deleniti omnis architecto.","Dolor eum error sunt eius ipsa non.","Velit amet quasi aut ut neque qui error."]</t>
  </si>
  <si>
    <t>["Est quis eveniet ipsam non eos. Ducimus voluptatem delectus quos omnis ut aut voluptatem ipsam. Totam quia nesciunt fugit quia architecto perferendis sed. Facere rerum ut et. Odit quo sunt est sit et at et.","Rerum et voluptatibus accusamus perspiciatis aliquam. Sed sit maxime commodi aliquid ipsa numquam. Est sapiente nemo qui doloribus a occaecati. Saepe quia nihil et asperiores nesciunt consequatur soluta eos."]</t>
  </si>
  <si>
    <t>aspernatur-corrupti-12-8-5-blue</t>
  </si>
  <si>
    <t>sint ad sit</t>
  </si>
  <si>
    <t>aspernatur-corrupti</t>
  </si>
  <si>
    <t>https://via.placeholder.com/300x650.png/000000?text=Smartphone+eos</t>
  </si>
  <si>
    <t>["Consequatur illum rerum distinctio assumenda eos.","Recusandae blanditiis deserunt suscipit veritatis adipisci.","Fugit modi id nam saepe voluptatem et.","Minus adipisci reiciendis sapiente.","Veritatis sequi debitis aperiam magnam dolore omnis corporis.","Laudantium eius molestias aut in occaecati voluptatem neque.","Enim dolore cum fugit eos nemo veniam.","Ullam consequuntur omnis totam ut occaecati deserunt doloremque.","Omnis incidunt vero fugiat ullam consequatur quam.","Et voluptatibus autem dicta nihil perspiciatis quia aut totam."]</t>
  </si>
  <si>
    <t>["Expedita ducimus aliquid dolorem. Eos blanditiis aperiam doloremque fugit voluptatem consequatur vel. Numquam deserunt consequuntur nam quaerat. Et praesentium minus reiciendis et vero ducimus eius.","Ex quisquam adipisci vel et quibusdam magni. Quia quidem tempore dolorem debitis consequatur laboriosam amet. Aperiam in rerum velit molestiae magni. Quis doloremque voluptate quasi blanditiis asperiores molestias ipsa neque."]</t>
  </si>
  <si>
    <t>sed-vel-8-64-5-blue</t>
  </si>
  <si>
    <t>deserunt ut minus</t>
  </si>
  <si>
    <t>https://via.placeholder.com/300x650.png/00ff55?text=Smartphone+non</t>
  </si>
  <si>
    <t>["Cupiditate culpa minima iure dolores ut quis repellat.","Et non non eum culpa ut ducimus dolores.","Cumque modi commodi ut quam quo aliquam.","Quia error et aut beatae quo dignissimos vel laudantium.","Saepe laboriosam at eligendi nam aut.","Fuga harum iusto dolore id.","Est commodi et rerum consequuntur quidem.","Esse laborum est asperiores eligendi dolor.","Est doloremque adipisci distinctio est quia dolores facilis ipsa.","Deserunt labore animi magni dolor."]</t>
  </si>
  <si>
    <t>["Provident corrupti tempora magni velit. Consequuntur earum amet occaecati sapiente voluptatem. Ea qui porro voluptas perferendis ut. Dolores commodi voluptatem omnis exercitationem aut ducimus. Hic et quis necessitatibus ut neque saepe.","Itaque quas alias neque tempore provident. Et rerum sunt optio impedit enim rem. Vero facere veritatis placeat corrupti fugit molestiae veritatis. Numquam dolor aliquam reprehenderit explicabo nostrum odio dolor."]</t>
  </si>
  <si>
    <t>voluptate-pariatur-6-16-5-green</t>
  </si>
  <si>
    <t>sequi qui quo</t>
  </si>
  <si>
    <t>voluptate-pariatur</t>
  </si>
  <si>
    <t>https://via.placeholder.com/300x650.png/0077ff?text=Smartphone+autem</t>
  </si>
  <si>
    <t>["Id ullam eos qui sed qui laboriosam.","Aut ratione voluptatem sit libero molestias ipsa.","Et deserunt rerum error non molestiae incidunt qui non.","Inventore velit et a doloremque nulla minima sunt voluptatibus.","Nam nemo dolorem alias laboriosam error et voluptas.","Porro repudiandae omnis non qui nostrum impedit voluptatem quia.","Quibusdam et voluptates distinctio.","Ut mollitia animi soluta.","Ut voluptatibus eaque culpa occaecati.","Aut sed nobis saepe."]</t>
  </si>
  <si>
    <t>["Sed cum corporis aut eos est. Molestiae est molestiae ab explicabo velit est cum. Molestiae est qui a cumque. Modi cum voluptas amet perferendis explicabo enim iusto.","Ullam ea architecto distinctio voluptas minus nulla. Veniam dolorem quis dolor voluptatem neque odio aperiam dicta."]</t>
  </si>
  <si>
    <t>maiores-quod-8-8-5-white</t>
  </si>
  <si>
    <t>sunt recusandae sed</t>
  </si>
  <si>
    <t>maiores-quod</t>
  </si>
  <si>
    <t>https://via.placeholder.com/300x650.png/00cc99?text=Smartphone+pariatur</t>
  </si>
  <si>
    <t>["Deleniti hic dolor voluptatem eius eos molestiae asperiores vitae.","Aut corporis culpa aut dolores.","Magni voluptatem excepturi veritatis.","Dolores officiis ea ipsam voluptates itaque eum.","Est deleniti autem voluptas omnis nihil.","Ab neque suscipit molestiae molestiae nihil dignissimos corporis.","Earum aliquam numquam rerum asperiores quia perspiciatis error.","Dolorum occaecati ab officiis.","Magnam ea inventore rem porro eum.","Minus nihil dolore numquam cupiditate dicta quisquam odio."]</t>
  </si>
  <si>
    <t>["Dolorum alias vitae eos mollitia et qui est. Voluptatem at officiis exercitationem. Quibusdam accusantium nihil officiis exercitationem doloribus aliquam eligendi.","Sit laborum officiis quis reiciendis odio doloremque. Velit maiores libero sunt consequuntur esse molestiae explicabo. Quae et necessitatibus laboriosam. Harum et non sint nobis."]</t>
  </si>
  <si>
    <t>illum-vero-4-64-6-red</t>
  </si>
  <si>
    <t>non sunt facilis</t>
  </si>
  <si>
    <t>https://via.placeholder.com/300x650.png/005588?text=Smartphone+dolor</t>
  </si>
  <si>
    <t>["Saepe magnam veritatis sunt maiores voluptatem et.","Et corrupti cum qui dolorum molestiae.","Asperiores cupiditate maiores natus quasi at quos ut.","Ut et qui fuga error quia consequuntur magni vel.","Dolores sint ea tempore ullam recusandae sint saepe nihil.","Et est dolorum minima alias eos ea fugiat.","Nostrum perspiciatis inventore et eos error.","Accusantium tempora non quisquam sed officia.","Quibusdam aliquam dolor iure vitae hic et ducimus fugiat.","Veritatis et animi quia omnis quod aut."]</t>
  </si>
  <si>
    <t>["Dolorum quia sit suscipit. Dolores est totam ab deserunt provident aut.","Consequatur veniam veniam accusamus itaque labore quas rerum recusandae. Asperiores aut autem et similique fugit assumenda. Eum et in ut dolores."]</t>
  </si>
  <si>
    <t>ut-sed-8-512-4-black</t>
  </si>
  <si>
    <t>quis blanditiis voluptas</t>
  </si>
  <si>
    <t>ut-sed</t>
  </si>
  <si>
    <t>https://via.placeholder.com/300x650.png/000099?text=Smartphone+repellendus</t>
  </si>
  <si>
    <t>["Enim assumenda qui illum amet.","Minima quo minima doloribus doloribus.","Sint occaecati et qui ex illo magni aut.","Fuga earum vel eum laboriosam asperiores.","Omnis ea illo qui aut atque.","Itaque beatae quo beatae repellendus provident.","Placeat occaecati omnis in rem voluptates.","Et est est sunt occaecati commodi ut.","Earum et quaerat corrupti voluptas.","Accusamus velit ullam sed excepturi."]</t>
  </si>
  <si>
    <t>["Non fugiat voluptatem ipsum libero delectus. Aut et magni molestiae quis. Fuga reiciendis quo perspiciatis molestiae delectus.","Pariatur rerum rerum odit non. Repudiandae quis eos pariatur repellendus inventore iusto. Provident harum earum pariatur veniam aperiam quis."]</t>
  </si>
  <si>
    <t>aspernatur-voluptatem-8-64-6-red</t>
  </si>
  <si>
    <t>quia minima omnis</t>
  </si>
  <si>
    <t>https://via.placeholder.com/300x650.png/001199?text=Smartphone+et</t>
  </si>
  <si>
    <t>["Quo velit enim saepe similique magnam praesentium repudiandae.","Consequatur rerum quasi incidunt expedita at et.","Sunt quia cumque hic omnis.","Provident corporis dolorem sit praesentium id sit quam repudiandae.","Et maxime dolorum distinctio repudiandae magnam.","Ea cum id impedit porro porro accusantium dignissimos laboriosam.","Sunt quo culpa maxime doloribus libero et.","Excepturi nobis veniam tempora voluptatum quis quasi.","Aut autem saepe eaque.","Sequi quia cupiditate quia omnis id officiis nemo."]</t>
  </si>
  <si>
    <t>["Consequatur laboriosam sit voluptate voluptatum hic. Molestiae error est debitis ratione aliquid. Autem pariatur harum rem ab cupiditate nisi et. Et ad ducimus vel expedita fuga est facere consectetur.","Odio et quia neque eum voluptatem. Consequuntur corporis earum veniam voluptatem eos impedit amet sunt. Nemo ut ad similique omnis. Accusamus dicta aliquid sed quibusdam."]</t>
  </si>
  <si>
    <t>sed-eligendi-2-512-4-black</t>
  </si>
  <si>
    <t>ut vero provident</t>
  </si>
  <si>
    <t>sed-eligendi</t>
  </si>
  <si>
    <t>https://via.placeholder.com/300x650.png/00bbbb?text=Smartphone+et</t>
  </si>
  <si>
    <t>["Vitae blanditiis sunt vero est.","Amet dolor fuga rerum.","Ut numquam quaerat quia facilis ipsa.","Doloribus sed sit placeat expedita.","Earum id facere similique rerum fugit aut explicabo.","Et nulla neque aliquam aut doloremque sunt et.","Minima nihil accusamus amet et rerum culpa.","Est repellendus sit maxime provident quae ut dicta.","Quibusdam sint dolor est blanditiis harum in adipisci.","Aut ea natus nemo quia consequatur."]</t>
  </si>
  <si>
    <t>["Reprehenderit facere et voluptatem maiores cumque dicta quis. Quo ullam dolorem provident officiis at hic repellat. Fugit id natus et et.","Maiores hic quia soluta nihil facere expedita. Maiores quia molestiae doloremque cupiditate commodi vero consequatur. Voluptatem tempore quaerat aperiam harum neque. Eos qui alias praesentium voluptatem vero voluptatem cupiditate."]</t>
  </si>
  <si>
    <t>sed-rerum-6-8-3-blue</t>
  </si>
  <si>
    <t>nemo iusto unde</t>
  </si>
  <si>
    <t>sed-rerum</t>
  </si>
  <si>
    <t>https://via.placeholder.com/300x650.png/0099dd?text=Smartphone+omnis</t>
  </si>
  <si>
    <t>["Tempora perspiciatis facilis nobis atque.","Velit velit suscipit placeat illum minus velit.","Asperiores ut non aut.","Amet ducimus tempora dolor sit voluptatum placeat itaque.","Enim commodi minima dolores ipsum.","Eveniet ut qui consectetur ducimus.","Mollitia voluptatem rerum error ipsam consequatur harum eaque.","Aut sint dolorem sunt unde hic eum.","Aut est quam iusto omnis sit adipisci sit.","Velit fugit dolorum molestias recusandae quo id quia."]</t>
  </si>
  <si>
    <t>["Sapiente est ratione rerum sint et. Aspernatur quos voluptatem a. Quisquam vitae possimus consectetur et quibusdam. Laudantium harum voluptatem nihil voluptas optio.","Eos saepe repudiandae numquam eligendi. Debitis molestias culpa totam corrupti totam. Eligendi aut tenetur optio et odio id."]</t>
  </si>
  <si>
    <t>est-eum-12-512-2-white</t>
  </si>
  <si>
    <t>qui aut dolorem</t>
  </si>
  <si>
    <t>est-eum</t>
  </si>
  <si>
    <t>https://via.placeholder.com/300x650.png/0055cc?text=Smartphone+beatae</t>
  </si>
  <si>
    <t>["Provident vel molestiae sapiente natus.","Corporis dolor labore rem ipsum corporis et aspernatur est.","Aperiam ducimus a animi aliquid ducimus voluptatum.","Sed repellendus quo quasi nulla ut distinctio cupiditate.","Aliquid sapiente est possimus distinctio.","Est a in aspernatur cupiditate repudiandae hic excepturi.","Dolorem rerum nulla sequi repellat qui nemo ut.","Dolorem similique nemo incidunt suscipit.","Et veritatis pariatur soluta dolores molestiae nam quae.","Illo beatae officia molestiae corporis qui voluptatem quia."]</t>
  </si>
  <si>
    <t>["Omnis expedita totam qui tempora tempore. Fugiat laboriosam labore eos est nostrum. Animi dolorum fugiat minima beatae. Delectus tempora culpa dignissimos neque eligendi.","Incidunt consectetur sint iste dignissimos omnis praesentium. Aut sed fuga perferendis illo et est. Perspiciatis id voluptas adipisci. Et eligendi magnam ipsum ratione aut nemo."]</t>
  </si>
  <si>
    <t>est-ex-4-64-6-white</t>
  </si>
  <si>
    <t>exercitationem et harum</t>
  </si>
  <si>
    <t>https://via.placeholder.com/300x650.png/00ddcc?text=Smartphone+totam</t>
  </si>
  <si>
    <t>["Consequatur aliquam eius quaerat quos optio quae.","Quas qui quae molestiae omnis.","Provident minima quis totam numquam.","Rerum labore cumque eligendi.","Facere est officia in aut nemo.","Aperiam adipisci accusamus sed est sint deserunt.","Voluptatem nobis possimus modi nisi et placeat.","Numquam fugiat ea voluptatem ea doloremque ut.","Ut est necessitatibus adipisci magnam quidem officiis omnis.","Molestiae ut tempore nisi."]</t>
  </si>
  <si>
    <t>["Maiores possimus ex dolorem quibusdam omnis nulla. Iste sunt est maiores aut laudantium dolores sint. Ut consequatur sit expedita sint. Recusandae explicabo id aliquam voluptatum ut voluptas aliquam.","Quaerat quos vero expedita harum eius similique dolor. Ut praesentium mollitia iusto adipisci cum. Eveniet vero suscipit vel hic. Explicabo velit quia ducimus et dolorum ratione."]</t>
  </si>
  <si>
    <t>sed-quae-12-512-2-green</t>
  </si>
  <si>
    <t>et excepturi earum</t>
  </si>
  <si>
    <t>sed-quae</t>
  </si>
  <si>
    <t>https://via.placeholder.com/300x650.png/006633?text=Smartphone+excepturi</t>
  </si>
  <si>
    <t>["Accusamus ut ut esse.","Totam ratione aut amet quia accusamus est.","Doloribus consequatur et debitis quisquam tempora.","Molestiae quo est quia occaecati dolore illo nihil.","Corporis voluptate qui numquam delectus.","Ut nihil quidem sit nemo ea.","Iste cum dolore iusto ut voluptas accusamus dolores.","Nulla aliquam quod est in consequatur quos blanditiis.","Repellendus accusantium eos provident autem ea sint.","Dicta et non blanditiis."]</t>
  </si>
  <si>
    <t>["Et veniam porro nam cum quia sed. Aut quibusdam molestiae fugit eveniet non et perferendis. Atque adipisci enim saepe voluptas natus perspiciatis.","Cupiditate ut ut aspernatur rerum est odit. Est aut laboriosam nesciunt minima suscipit. Assumenda vel porro impedit voluptatem sit aut perspiciatis eligendi. Sit quisquam deserunt ad voluptatibus necessitatibus."]</t>
  </si>
  <si>
    <t>est-dolorum-8-512-5-blue</t>
  </si>
  <si>
    <t>ullam voluptatem ipsam</t>
  </si>
  <si>
    <t>https://via.placeholder.com/300x650.png/002211?text=Smartphone+assumenda</t>
  </si>
  <si>
    <t>["Esse commodi quia natus porro.","Totam voluptatem possimus magnam ea.","Vero vitae molestiae quod facilis neque illum fuga.","Aut error minima labore blanditiis.","Inventore autem sint praesentium.","Officiis a consequatur animi excepturi quia non ab.","Id accusantium eveniet adipisci laboriosam.","Quia fugit corrupti est vel sit cumque.","Dolorem delectus quia at tenetur qui optio odit.","Aliquid doloribus dicta praesentium."]</t>
  </si>
  <si>
    <t>["Repellat ut ut cumque aut dolores aperiam voluptas. Sunt doloribus excepturi vel quia. Aliquam magni modi odio eaque ipsa.","Alias maiores cumque nostrum et. Laborum sequi corporis vel amet quaerat totam. Commodi sapiente nisi qui eaque reprehenderit aut."]</t>
  </si>
  <si>
    <t>ut-et-8-64-3-white</t>
  </si>
  <si>
    <t>quia corrupti illum</t>
  </si>
  <si>
    <t>https://via.placeholder.com/300x650.png/00bb88?text=Smartphone+minima</t>
  </si>
  <si>
    <t>["Dolores explicabo repellendus qui error aspernatur.","Nesciunt recusandae cumque aut ea doloribus laudantium.","Qui perspiciatis eaque sint esse quis.","Atque commodi aut perspiciatis praesentium id earum dolorem.","Quia laboriosam magnam incidunt doloremque aut sit sed.","Quo a voluptatibus consequatur ea.","Qui harum qui doloribus optio similique est optio.","Culpa et perferendis quas corrupti.","Iusto rerum numquam unde reiciendis.","Et ea molestiae tempore nam nostrum."]</t>
  </si>
  <si>
    <t>["Voluptas expedita beatae deleniti consectetur cupiditate dignissimos quasi. Harum ea repellendus quam magnam ullam excepturi hic voluptatem. Quia eum numquam voluptatibus dolor. Tenetur tenetur ad voluptatem enim ipsam sint.","Rerum tenetur eius tempora sunt. Exercitationem id nisi beatae aspernatur est. Tempore molestiae culpa quas quisquam aut. Ratione sunt temporibus dicta impedit."]</t>
  </si>
  <si>
    <t>corrupti-occaecati-2-32-2-green</t>
  </si>
  <si>
    <t>et sed architecto</t>
  </si>
  <si>
    <t>corrupti-occaecati</t>
  </si>
  <si>
    <t>https://via.placeholder.com/300x650.png/0088cc?text=Smartphone+a</t>
  </si>
  <si>
    <t>["Eveniet minus molestiae voluptatem omnis aperiam aliquid.","Nam saepe impedit omnis occaecati exercitationem repellendus.","Fuga aliquid illo sint quia ab eaque officiis molestiae.","Consequatur excepturi et in rerum dolorem.","Earum voluptatem voluptas officia vero aut et sint.","Adipisci dolor facere impedit eius.","Ex voluptates culpa ipsum eum aliquam quisquam.","Tempora reprehenderit qui numquam.","Amet ab et veniam qui recusandae magni.","Culpa ducimus veniam quis delectus."]</t>
  </si>
  <si>
    <t>["Et aliquam explicabo ratione qui voluptates distinctio commodi. Est quo et vitae. Sit quibusdam quis consectetur commodi perferendis. Consequatur autem facere exercitationem fugiat qui quis.","Est et aut id ad recusandae. Molestias eum eligendi eaque porro. Consectetur non necessitatibus sit aut neque eos. Vel sed et eum deserunt."]</t>
  </si>
  <si>
    <t>aspernatur-sit-2-128-6-green</t>
  </si>
  <si>
    <t>culpa occaecati est</t>
  </si>
  <si>
    <t>https://via.placeholder.com/300x650.png/00cc88?text=Smartphone+repellat</t>
  </si>
  <si>
    <t>["Ea corporis sunt laudantium nobis exercitationem.","Voluptatem delectus id et porro.","Ut quasi minima maxime numquam in velit est.","Culpa qui consequatur officia voluptas.","Quis cupiditate magnam atque recusandae aperiam.","Inventore repudiandae est et quo ab et.","Perferendis laboriosam maiores aut alias et suscipit.","Veniam dolorum vero ut cupiditate et et.","Asperiores nisi sunt dolores beatae adipisci iusto.","Sit iusto quo sit repellat."]</t>
  </si>
  <si>
    <t>["Fugit vel nesciunt aliquid laborum cum. Magni ipsa quidem ut ut sunt. Commodi repellendus qui recusandae tempora eum. Enim non commodi magni excepturi dolores quia itaque.","Nobis et beatae qui dolorum voluptas eos veniam. Eum suscipit aliquid officia quos provident eius. Excepturi voluptatum adipisci est at. Quaerat voluptates aut voluptatem ex."]</t>
  </si>
  <si>
    <t>voluptate-aut-12-128-4-white</t>
  </si>
  <si>
    <t>ut repellendus deleniti</t>
  </si>
  <si>
    <t>voluptate-aut</t>
  </si>
  <si>
    <t>https://via.placeholder.com/300x650.png/00eeff?text=Smartphone+maxime</t>
  </si>
  <si>
    <t>["A in maxime eaque consequatur autem.","Adipisci sit non vitae.","Corrupti consequuntur recusandae a error quidem voluptatem ea.","Sit iste praesentium omnis nihil et aut repellendus.","Exercitationem voluptatibus delectus magnam commodi unde.","Dolorem perferendis quisquam quod et ad ut.","Modi quasi rerum sed sapiente nemo assumenda accusantium.","Tempore molestiae et iste ut ab.","Reiciendis fugiat delectus rerum asperiores minus.","Dignissimos cum optio dolorum sequi est nihil molestias."]</t>
  </si>
  <si>
    <t>["Dolore numquam harum accusamus quisquam. Dolorem deleniti modi qui commodi. Odio iusto vitae consequatur. Quia in quasi tempore aut soluta expedita necessitatibus. Distinctio consequatur vel ut expedita.","Deserunt sint id ea blanditiis consectetur. Quos earum quidem rerum."]</t>
  </si>
  <si>
    <t>maiores-consequatur-2-128-6-black</t>
  </si>
  <si>
    <t>quod sequi quo</t>
  </si>
  <si>
    <t>https://via.placeholder.com/300x650.png/002211?text=Smartphone+dolorem</t>
  </si>
  <si>
    <t>["Officiis neque perferendis eum occaecati labore repudiandae.","Temporibus sit dolores labore hic sunt.","Voluptatem dolor qui occaecati quis placeat a perspiciatis.","Unde error quae facilis minima a ea.","Ea ea eaque suscipit blanditiis unde numquam perspiciatis.","Libero et laborum aut molestiae et.","Necessitatibus ullam asperiores eum iste nulla quia atque.","Veniam ut beatae aut soluta.","Velit assumenda adipisci aut pariatur consequatur et.","Et consequatur ratione molestias."]</t>
  </si>
  <si>
    <t>["Illum aut soluta inventore dicta aut qui quia. Odit libero sint et omnis dolores esse quo inventore.","Nulla et incidunt quia natus accusantium sed repellat. Qui cumque eos id eius. Velit vitae ut tempora possimus."]</t>
  </si>
  <si>
    <t>maiores-quia-2-32-6-black</t>
  </si>
  <si>
    <t>provident asperiores voluptate</t>
  </si>
  <si>
    <t>https://via.placeholder.com/300x650.png/0022cc?text=Smartphone+ratione</t>
  </si>
  <si>
    <t>["Aut quo veniam eaque vero blanditiis.","Fugiat nulla et illo impedit dolor ut.","Ratione rerum vel laborum fugit fugiat.","Qui eaque dolorum soluta minima.","Voluptatem aut optio aut repellendus et voluptatem.","Ex ea distinctio cum voluptas nisi inventore.","Voluptatem recusandae itaque corrupti delectus maiores.","Adipisci dolores in minus cumque quam sed.","Quidem incidunt nisi fugit nobis nihil et quas.","Consequuntur aut laboriosam rem ullam unde explicabo dignissimos voluptatem."]</t>
  </si>
  <si>
    <t>["Expedita voluptatem excepturi tempora qui non quas est. Est necessitatibus eaque optio quo voluptatum. Minus repudiandae sint temporibus sit ratione vel.","Repellat libero quis autem iste qui quis. Odio eligendi natus cupiditate fugit perspiciatis. Expedita et officia inventore eveniet quibusdam."]</t>
  </si>
  <si>
    <t>voluptate-ratione-6-128-2-green</t>
  </si>
  <si>
    <t>optio quisquam aspernatur</t>
  </si>
  <si>
    <t>https://via.placeholder.com/300x650.png/00bbcc?text=Smartphone+officiis</t>
  </si>
  <si>
    <t>["At vitae non vel vel est optio tenetur atque.","Distinctio illo vel ut qui est.","Dolorem deserunt accusamus et.","Quo aut ullam facere odio nemo omnis.","Nisi sunt assumenda ea rerum ducimus maiores aut.","Voluptas culpa delectus qui vel vel et.","Qui ratione nihil rerum minima est dolorum.","Rerum delectus ut adipisci laborum et omnis veniam in.","Blanditiis expedita qui consequatur suscipit voluptatem et non.","Consectetur nesciunt omnis labore nisi voluptatem vitae."]</t>
  </si>
  <si>
    <t>["Dignissimos est eaque laboriosam. Aut consequuntur officia quasi tenetur libero sint nihil. Animi aut aspernatur aperiam consequatur nihil. Rerum sapiente quibusdam autem enim.","Praesentium blanditiis autem distinctio explicabo vero pariatur consequatur. Quos iure ut molestiae eligendi est quia itaque. Omnis qui esse ut sit natus facilis."]</t>
  </si>
  <si>
    <t>est-debitis-6-128-6-red</t>
  </si>
  <si>
    <t>iste repellendus labore</t>
  </si>
  <si>
    <t>https://via.placeholder.com/300x650.png/007755?text=Smartphone+voluptatum</t>
  </si>
  <si>
    <t>["Tenetur ipsam ipsam ipsa.","Voluptatem recusandae dolorem quia accusamus rerum dolor.","Enim quia et vitae amet rerum beatae.","Dolorum id et soluta rerum et sunt.","Fuga aut ab minus eveniet exercitationem est aut.","Facilis nesciunt eos impedit aut autem eum qui.","Voluptas rerum corporis explicabo quaerat nisi praesentium beatae.","Quas sit voluptatem est non inventore.","A libero cum quia fuga cupiditate accusantium nihil dolores.","Aliquam harum ratione dolorem est optio est blanditiis."]</t>
  </si>
  <si>
    <t>["Aliquid dolore voluptatem vel rerum ex quia quaerat. Quia molestiae vel mollitia recusandae nobis et. Molestias officiis dolor nulla labore ea perspiciatis.","Odio commodi hic odit. Velit aut saepe consequatur blanditiis laborum et. Qui voluptatem velit molestias doloremque ut et. Odio qui magni sit asperiores."]</t>
  </si>
  <si>
    <t>maiores-aut-6-128-6-red</t>
  </si>
  <si>
    <t>ad perferendis nisi</t>
  </si>
  <si>
    <t>https://via.placeholder.com/300x650.png/00ffcc?text=Smartphone+ea</t>
  </si>
  <si>
    <t>["Nemo aperiam recusandae est qui sapiente nesciunt tempora.","Rerum et animi ut cum quo enim enim.","Perspiciatis itaque incidunt sint nobis dolorem omnis.","Dignissimos voluptatem facilis adipisci nihil ut et.","Voluptatem est dolores rem nihil reprehenderit maiores itaque.","Tenetur maiores et placeat non.","Fuga corrupti rerum consequuntur omnis laborum molestias.","Nemo aliquam in quas animi est tempora culpa suscipit.","Et eius illum odio labore voluptas.","Dolorum vel velit atque est qui ipsum."]</t>
  </si>
  <si>
    <t>["Qui eligendi ut mollitia quia sequi dolores et. Et aut possimus similique sed. Adipisci necessitatibus hic quis deleniti voluptatem ipsum accusantium.","Repellendus qui rem provident ut sed. Laudantium ut natus exercitationem id nobis. Est nemo repellat suscipit expedita rerum. Labore eaque facere iure voluptatem et."]</t>
  </si>
  <si>
    <t>illum-reiciendis-8-32-6-red</t>
  </si>
  <si>
    <t>aut animi ea</t>
  </si>
  <si>
    <t>https://via.placeholder.com/300x650.png/0066ee?text=Smartphone+voluptatem</t>
  </si>
  <si>
    <t>["Quasi earum eaque voluptatem.","Dolorem beatae tempore qui.","Nam et officia voluptas est assumenda nam voluptatem.","Quas explicabo a iusto deleniti tempora veritatis expedita laborum.","Qui dolorum voluptatum dolorem nemo.","Repudiandae qui cum quo consequatur aut veniam dolorem.","Sunt excepturi aliquid in sint provident.","Commodi sequi pariatur magni cumque consequuntur adipisci dolorum.","Architecto sunt corporis iusto qui molestias fugiat.","Blanditiis vel consequatur exercitationem et nisi."]</t>
  </si>
  <si>
    <t>["Molestiae odit ut rerum aspernatur consequuntur. Beatae quisquam placeat quasi veritatis eaque. Animi minima dicta exercitationem aut deleniti.","Corporis sed consequuntur quisquam eius. Placeat voluptas incidunt eos eveniet. Officiis ex rem nobis exercitationem."]</t>
  </si>
  <si>
    <t>illum-sed-4-512-2-white</t>
  </si>
  <si>
    <t>soluta consequatur amet</t>
  </si>
  <si>
    <t>https://via.placeholder.com/300x650.png/00aa00?text=Smartphone+a</t>
  </si>
  <si>
    <t>["Eos aspernatur quia nulla.","Rerum molestias dignissimos molestiae praesentium.","Vero repudiandae commodi sint dolores cupiditate ratione placeat.","Voluptates ratione vel optio sequi omnis ex voluptatum.","Nostrum sequi voluptatem ipsum animi accusamus provident alias.","Debitis recusandae mollitia et unde aliquid incidunt consequuntur.","Dolores sint et hic consequatur.","Ipsam quam vel temporibus cumque.","Sed veniam quo aliquid dignissimos nobis est.","Et animi doloremque et facere voluptatum et."]</t>
  </si>
  <si>
    <t>["Error voluptatum numquam nulla repellat. Architecto labore nesciunt voluptatibus dolores. Ut corporis dolor expedita dolores quasi nihil. Culpa debitis aut illo reprehenderit inventore dolores tempora cum.","Expedita et nulla ut porro rem. Quibusdam quis doloremque sit adipisci consequuntur omnis iste. Dicta et facere dolorem delectus quibusdam eligendi. Dignissimos incidunt error aut ullam dicta dolor facilis."]</t>
  </si>
  <si>
    <t>maiores-in-8-32-2-green</t>
  </si>
  <si>
    <t>incidunt sed et</t>
  </si>
  <si>
    <t>maiores-in</t>
  </si>
  <si>
    <t>https://via.placeholder.com/300x650.png/0000bb?text=Smartphone+distinctio</t>
  </si>
  <si>
    <t>["Excepturi explicabo non in culpa magnam.","Aut sed quo aut et non quia sequi distinctio.","Ad eaque molestiae ratione.","Deserunt doloribus hic optio nam.","Mollitia animi odio hic.","Praesentium illum ea facere officiis est illo.","Est aut commodi mollitia aut.","Porro quam eos inventore ullam consequatur eos.","Officia voluptas commodi in.","Qui sed vel quasi animi sed vitae consequatur."]</t>
  </si>
  <si>
    <t>["Neque et deserunt non ab ipsam fuga ut autem. Temporibus aut sint alias sit. Molestias ipsa nobis veritatis. Recusandae autem qui et totam corporis iste rerum.","Repellendus veniam nesciunt laudantium et sint. Culpa sapiente ipsam voluptatem eum. Sint et eius aut sint. A rem ut voluptatem dolor."]</t>
  </si>
  <si>
    <t>sed-dolor-12-128-2-white</t>
  </si>
  <si>
    <t>qui ut nemo</t>
  </si>
  <si>
    <t>https://via.placeholder.com/300x650.png/007799?text=Smartphone+rerum</t>
  </si>
  <si>
    <t>["Et voluptas est voluptatem quibusdam similique dicta voluptas.","Rerum nisi voluptates soluta possimus explicabo iste quibusdam.","Magni placeat sunt saepe quibusdam.","Nobis iusto autem omnis voluptas itaque a rerum.","Debitis et sed sapiente eius sint dolorem et et.","Soluta aliquam et perspiciatis recusandae error consequatur facilis.","At corporis exercitationem aut voluptatem et et.","Nulla et molestias est ad quia consequatur mollitia.","Quod quasi saepe dolorem qui voluptatibus voluptate suscipit.","Voluptate fugit veniam architecto incidunt est."]</t>
  </si>
  <si>
    <t>["Quaerat non iste velit sed quia repudiandae. Vero quas nulla numquam omnis delectus eveniet. Quis dolores magni accusantium sint.","Saepe pariatur asperiores recusandae autem deserunt quos quidem. Reprehenderit numquam ut soluta culpa beatae impedit a."]</t>
  </si>
  <si>
    <t>ut-sed-6-64-6-red</t>
  </si>
  <si>
    <t>recusandae voluptate rerum</t>
  </si>
  <si>
    <t>https://via.placeholder.com/300x650.png/00ff66?text=Smartphone+voluptatem</t>
  </si>
  <si>
    <t>["Quia temporibus iusto et dolorem esse.","Ea aut vitae enim consequatur sit voluptate saepe.","Non fugiat reiciendis ullam veniam sed et.","Suscipit laborum fugiat consequatur rerum ipsam.","Nulla a blanditiis consequuntur impedit a.","Placeat autem et corrupti est fugit at odio.","Occaecati id reiciendis qui ex.","Sit numquam fugit velit hic.","Aut cum enim et unde.","Reiciendis atque iusto nostrum nesciunt praesentium aspernatur."]</t>
  </si>
  <si>
    <t>["Magni rem fugit quasi dicta voluptatem dolor consequatur. Est doloribus minus placeat quasi. Porro animi suscipit vero fugit quasi in. Voluptatem autem sed non et occaecati est fugiat.","Sit enim harum quas laboriosam possimus quis et. Sed et nulla quo sit. Ratione labore sit aspernatur."]</t>
  </si>
  <si>
    <t>aspernatur-voluptatem-6-64-5-red</t>
  </si>
  <si>
    <t>maiores tempore veniam</t>
  </si>
  <si>
    <t>https://via.placeholder.com/300x650.png/006655?text=Smartphone+alias</t>
  </si>
  <si>
    <t>["Velit similique est aut commodi vel possimus magni.","Quo sit corporis ratione.","Provident assumenda earum voluptatem sunt suscipit veniam similique.","Sed quasi dolores officiis nihil.","Laboriosam ut cumque sapiente consectetur.","Est eos ut eveniet ipsum facilis qui.","Ad ut aut nihil.","Ratione facilis expedita et voluptatibus id culpa explicabo.","Praesentium ut ut et consequuntur ipsa voluptatem aspernatur.","Ab labore at aperiam et delectus consequatur blanditiis."]</t>
  </si>
  <si>
    <t>["Omnis qui nihil cum quisquam quis qui molestias. Consequatur dolores culpa perferendis magnam quis. Quaerat quia reprehenderit omnis provident deserunt aut fugiat.","Porro maiores id consequatur tempora laboriosam sint et sit. Porro nemo saepe molestias corporis reprehenderit quis."]</t>
  </si>
  <si>
    <t>corrupti-qui-6-8-3-blue</t>
  </si>
  <si>
    <t>qui facere dolorem</t>
  </si>
  <si>
    <t>https://via.placeholder.com/300x650.png/006655?text=Smartphone+ad</t>
  </si>
  <si>
    <t>["Corporis aliquid quaerat enim vero fugiat ex nobis vel.","Rerum tempora error magnam vero nesciunt quos et et.","Ea fugit molestiae repudiandae beatae cum itaque.","Voluptatem recusandae excepturi nesciunt ea.","Omnis eos consequatur tenetur eaque neque sed et.","Consequuntur earum accusamus pariatur perspiciatis totam.","Dolores et eaque ab in.","Minus neque esse quia nam sint omnis.","Ratione dolores optio molestiae quia nostrum qui omnis.","Assumenda magni in voluptates unde ut adipisci odio at."]</t>
  </si>
  <si>
    <t>["Nobis nihil minus facere rerum repellendus non. Ea enim quo tenetur dolore in. Tenetur explicabo aut delectus beatae quo debitis quibusdam aut.","Et voluptas ea quae. Officiis nam sequi sint vel. Ut voluptatem officia cumque enim."]</t>
  </si>
  <si>
    <t>sed-vel-8-16-4-black</t>
  </si>
  <si>
    <t>recusandae qui molestiae</t>
  </si>
  <si>
    <t>https://via.placeholder.com/300x650.png/00ccbb?text=Smartphone+voluptatem</t>
  </si>
  <si>
    <t>["Adipisci impedit ratione autem.","Nam aut eaque perspiciatis omnis non architecto facilis.","Voluptas dignissimos consequatur sed.","Qui voluptatum saepe vel occaecati similique itaque illum.","Et placeat minima ad est in.","Quia laboriosam enim facilis at et nihil temporibus.","Commodi ut rerum eius.","Est molestiae ex qui voluptates beatae delectus et.","Quod autem delectus accusantium modi.","Aliquam accusamus et vero illo quis rerum."]</t>
  </si>
  <si>
    <t>["Voluptatibus et impedit ut accusantium. Sit omnis corrupti consequuntur.","Modi et illo commodi natus. Voluptatibus aut dolorem vel ea. Nihil quae nisi animi fugit blanditiis temporibus pariatur. Dolorum et voluptates saepe consequatur. Est qui distinctio praesentium."]</t>
  </si>
  <si>
    <t>sed-eligendi-12-64-2-red</t>
  </si>
  <si>
    <t>quisquam est ut</t>
  </si>
  <si>
    <t>https://via.placeholder.com/300x650.png/0033aa?text=Smartphone+magnam</t>
  </si>
  <si>
    <t>["Eligendi esse eius odit enim iste est.","In quisquam laboriosam quasi in animi.","Sit adipisci eos ratione molestias maxime autem qui.","Numquam modi dolor qui impedit.","Praesentium quia consequatur odit quis recusandae alias eos non.","Ipsam recusandae quisquam reprehenderit sunt et sint nesciunt.","A ut enim quia sit quis.","Non consequatur error saepe doloribus repellat.","Pariatur sunt quibusdam assumenda officia error accusantium.","Odit eum deserunt in iure."]</t>
  </si>
  <si>
    <t>["Dolor veniam dolorum doloribus iusto reiciendis illo. Nobis tempore est sunt mollitia quia quis debitis. Impedit veritatis sint quam accusamus a et. Quia et odio quod perspiciatis ut neque similique.","Maxime pariatur placeat et consequuntur ipsam nihil. Error omnis quis unde aut ut. Dignissimos enim qui recusandae voluptas aperiam. Voluptas ducimus ut beatae harum quibusdam."]</t>
  </si>
  <si>
    <t>est-rerum-4-32-4-blue</t>
  </si>
  <si>
    <t>asperiores totam sed</t>
  </si>
  <si>
    <t>https://via.placeholder.com/300x650.png/002288?text=Smartphone+nostrum</t>
  </si>
  <si>
    <t>["Et vero repellat sed dolor sunt suscipit.","Reprehenderit a voluptas asperiores ut ea.","Nobis officiis harum repellat aspernatur iusto occaecati.","Nulla et voluptatem temporibus unde tempora iste maxime alias.","Ab voluptatem hic ut vero est.","Nisi accusamus est qui quas eligendi quibusdam dolores.","Voluptate soluta nobis qui ut ut et.","Ullam sed iusto eos aspernatur aut qui non nobis.","In aperiam autem voluptates autem similique voluptatem cupiditate.","Ut et ipsa vel voluptas."]</t>
  </si>
  <si>
    <t>["Placeat nostrum modi velit fugit velit exercitationem incidunt. Est sequi modi ullam dolorem corporis aut. Vero deleniti in explicabo. Vitae quis occaecati est voluptate repudiandae deleniti ut.","Quas doloribus in nihil. Laborum dolores illo officia sed vel voluptate aut. Quod ut et nostrum ut omnis quasi tempora."]</t>
  </si>
  <si>
    <t>aspernatur-aut-4-8-2-black</t>
  </si>
  <si>
    <t>quaerat quo id</t>
  </si>
  <si>
    <t>https://via.placeholder.com/300x650.png/004466?text=Smartphone+sunt</t>
  </si>
  <si>
    <t>["Iusto qui vel voluptas culpa reprehenderit.","Suscipit qui possimus nemo quo.","Aut accusamus repellat id inventore saepe qui ullam.","Ut quod quia explicabo id.","Veniam nemo sit doloremque hic.","Aut sint est numquam est.","Doloremque modi et maxime qui exercitationem nostrum eveniet dolor.","Voluptates et aspernatur expedita neque consequatur.","Nam accusamus aperiam ad velit a voluptas.","Fugiat esse sequi sit aut."]</t>
  </si>
  <si>
    <t>["Amet amet aut tempora omnis corrupti exercitationem nulla. Magni temporibus tempore nihil possimus voluptas provident. Ut nulla corporis veniam aut sed. Voluptatum illo consequatur eum ut unde.","Esse temporibus eaque adipisci neque repellendus voluptas. Ullam nemo atque consequuntur sint. Qui quia qui in. Fugit culpa eos iste vel."]</t>
  </si>
  <si>
    <t>illum-reiciendis-2-64-3-green</t>
  </si>
  <si>
    <t>quia culpa veritatis</t>
  </si>
  <si>
    <t>https://via.placeholder.com/300x650.png/00aadd?text=Smartphone+quam</t>
  </si>
  <si>
    <t>["Quia veniam laboriosam praesentium quia maxime.","Sint nam voluptatibus illo recusandae voluptas autem quo.","Et at iste rem sit voluptas.","Minima quidem maxime eos recusandae sit dignissimos veritatis.","Ducimus aut et totam.","Eius doloribus nam aut laboriosam possimus aut blanditiis.","Expedita necessitatibus aut at in quasi reiciendis.","Perferendis iure libero ut et eum modi.","Necessitatibus recusandae quisquam accusantium atque blanditiis quidem in.","Adipisci nihil rerum quis quia id."]</t>
  </si>
  <si>
    <t>["Quidem repellendus est repellat. Non fugiat id laudantium sint commodi numquam. Est assumenda neque dolorem non quia alias itaque.","Incidunt sed iusto at consectetur corporis. Tenetur voluptatum pariatur molestiae. Alias sequi ut ratione possimus."]</t>
  </si>
  <si>
    <t>sed-cumque-12-128-3-red</t>
  </si>
  <si>
    <t>ut voluptatem quia</t>
  </si>
  <si>
    <t>https://via.placeholder.com/300x650.png/007799?text=Smartphone+eaque</t>
  </si>
  <si>
    <t>["Minima aut quidem error commodi.","Autem architecto voluptates eligendi similique quos.","Sint nesciunt harum ipsa velit id sapiente.","Est qui consequatur repellat dolorum ab quia.","Et est ipsa aliquid eius ullam nulla quis.","Est aut reprehenderit molestiae amet et culpa quisquam et.","Suscipit reiciendis ex et voluptates.","Quae facere quia corrupti at.","Quaerat placeat quas voluptatem adipisci.","Repellat eaque iusto eos quidem ipsam itaque."]</t>
  </si>
  <si>
    <t>["Cupiditate tempore omnis ut. Aperiam enim nemo adipisci aut explicabo consectetur. Ab repudiandae doloribus aspernatur praesentium vel ullam.","Atque et non ab alias enim. Asperiores cum laborum sed saepe placeat molestias repellendus. Provident molestias sit omnis et et placeat. Consequuntur quis et est consequatur quo."]</t>
  </si>
  <si>
    <t>voluptate-voluptatem-2-8-3-black</t>
  </si>
  <si>
    <t>repellendus natus aut</t>
  </si>
  <si>
    <t>voluptate-voluptatem</t>
  </si>
  <si>
    <t>https://via.placeholder.com/300x650.png/0099ff?text=Smartphone+at</t>
  </si>
  <si>
    <t>["Rerum vitae excepturi ipsam et consectetur unde rem.","Quo sint mollitia praesentium non ut.","Est assumenda voluptatem illo quo reprehenderit officia.","Ut et quod dolores voluptatum id eos ratione voluptatem.","A ut occaecati ea rerum iusto aut fugit.","Enim ratione id aliquid et blanditiis ipsa ut.","Sint ipsa rerum quo vero voluptatum velit sed.","Aspernatur delectus dignissimos ea voluptate laborum voluptatibus aut.","Harum enim possimus exercitationem dolores.","Magni autem saepe quidem error."]</t>
  </si>
  <si>
    <t>["Dolore accusamus quas odio praesentium ut quia. Beatae libero esse earum placeat sunt aliquam. Non dolor qui dolor impedit dolore ut occaecati. Reprehenderit qui ipsa odio aut est sequi.","Beatae sed sint autem veniam culpa autem in officiis. Et libero ut quos unde et aperiam reiciendis adipisci. Qui dolorum voluptas quod ad. Ut est non ex. Doloribus sit voluptatum dolore unde illo possimus."]</t>
  </si>
  <si>
    <t>aspernatur-eos-6-16-5-green</t>
  </si>
  <si>
    <t>quibusdam provident assumenda</t>
  </si>
  <si>
    <t>aspernatur-eos</t>
  </si>
  <si>
    <t>https://via.placeholder.com/300x650.png/0055bb?text=Smartphone+odio</t>
  </si>
  <si>
    <t>["Quod ex sit placeat consequatur vero.","Nesciunt ipsam asperiores provident cupiditate neque alias.","Porro laboriosam est nobis sed nesciunt et omnis.","Neque quis qui distinctio.","Enim laborum similique perspiciatis neque unde dignissimos aut.","Rerum deleniti at earum sunt optio voluptatem doloribus porro.","Aut aliquid quae qui sed eos incidunt ipsum a.","Quas temporibus rerum quia error nostrum pariatur quia ex.","Odit et saepe voluptatem laboriosam ex quaerat.","Dolor placeat repudiandae repudiandae commodi ratione numquam."]</t>
  </si>
  <si>
    <t>["Eum quis rerum est voluptate ut. Dolorem omnis et rerum dolores ea dolore. Et est placeat fugiat deserunt harum beatae quis voluptatem. Facere id rerum nihil consequatur accusamus omnis.","Sint architecto consequuntur voluptatibus accusantium architecto nemo ducimus perferendis. Sunt culpa nihil fuga ut quisquam soluta qui. Harum maiores est vel recusandae explicabo. Eligendi voluptatem esse dignissimos consequuntur id sit alias id."]</t>
  </si>
  <si>
    <t>voluptate-itaque-8-64-6-white</t>
  </si>
  <si>
    <t>ut perferendis voluptatem</t>
  </si>
  <si>
    <t>voluptate-itaque</t>
  </si>
  <si>
    <t>https://via.placeholder.com/300x650.png/005522?text=Smartphone+magnam</t>
  </si>
  <si>
    <t>["Est laudantium quam blanditiis.","Debitis quidem voluptas recusandae et vitae reprehenderit perspiciatis.","Assumenda aut eum iusto in.","Nam nemo natus vero placeat.","Quas molestiae tempora ab sunt.","Tenetur nobis sint laudantium et.","Impedit consequatur et ut sit perferendis ea.","Architecto explicabo ut porro facere.","Totam incidunt officia sapiente dolores aliquam voluptas voluptatem corrupti.","Eos in maxime nemo voluptas voluptas quis."]</t>
  </si>
  <si>
    <t>["Cum dolores id quis odit atque natus sint. Corporis sed omnis veritatis dicta quia consequuntur. Sapiente veritatis magni ea libero voluptates ut accusamus. Sunt consequuntur dicta dolorem est et praesentium voluptate.","Ducimus consequatur nostrum et. Et numquam et illum rem. Est exercitationem non voluptatibus."]</t>
  </si>
  <si>
    <t>ut-et-4-64-6-black</t>
  </si>
  <si>
    <t>expedita accusantium reiciendis</t>
  </si>
  <si>
    <t>https://via.placeholder.com/300x650.png/001122?text=Smartphone+quod</t>
  </si>
  <si>
    <t>["Ut modi est mollitia est architecto.","Omnis deserunt non voluptate.","Officiis qui explicabo corporis sed molestias ratione quasi.","Voluptas delectus iusto iure labore sit id doloribus ex.","Et maxime et praesentium pariatur.","Molestiae culpa dicta dolores minus harum esse.","Qui doloremque vero et sint accusamus id et.","Ullam explicabo distinctio et nobis illum.","Dolorem voluptates nulla dolorum inventore.","Atque sunt sed voluptates quasi temporibus."]</t>
  </si>
  <si>
    <t>["Hic dolor quam nulla hic id rerum. Incidunt rerum aut ut voluptatem officiis. Provident ducimus error optio nisi.","Aut quidem sit quaerat neque autem est maxime optio. Ipsum nesciunt consequatur libero sint error. Quod dicta recusandae iure quia."]</t>
  </si>
  <si>
    <t>corrupti-sit-2-32-6-white</t>
  </si>
  <si>
    <t>enim quisquam dolorem</t>
  </si>
  <si>
    <t>https://via.placeholder.com/300x650.png/0055aa?text=Smartphone+nobis</t>
  </si>
  <si>
    <t>["Et perferendis laudantium et.","Ut magni aliquid distinctio assumenda tempore.","Reprehenderit facere et minima commodi.","Optio qui id sequi voluptatem et corrupti porro.","Dolorem dolores id quo maxime.","Occaecati modi enim odit quo consequuntur.","Tempore vero voluptates ut corrupti rerum tempora.","Non necessitatibus amet dolore nemo.","Tempore commodi sint autem.","Ad sapiente eveniet consequatur omnis ipsam placeat."]</t>
  </si>
  <si>
    <t>["Autem sint recusandae ipsum vitae est. Asperiores vitae dolorem sed et. Ratione sit aliquam sit quis odio et ipsum.","Cum sit impedit ut blanditiis. Est aut dolor similique et veniam. Officiis veniam quam magni ad voluptatem facere sit. Assumenda enim assumenda aliquam."]</t>
  </si>
  <si>
    <t>ut-veritatis-4-16-5-red</t>
  </si>
  <si>
    <t>sed quis deserunt</t>
  </si>
  <si>
    <t>https://via.placeholder.com/300x650.png/0077dd?text=Smartphone+est</t>
  </si>
  <si>
    <t>["Consequatur illo qui distinctio fuga architecto.","Laudantium voluptatem repellat amet nobis.","Sed ut consequatur necessitatibus maiores.","Eos facilis odit non blanditiis.","Quod nihil et consequuntur quia et quos nobis.","Voluptas voluptatibus laudantium sunt sequi enim voluptatem.","Voluptatem quod minima aut quod beatae dolor.","Mollitia quidem nihil error aperiam rerum aut illum sed.","Praesentium ducimus est quis dolorum.","A voluptatem qui ut dicta."]</t>
  </si>
  <si>
    <t>["Soluta iusto maxime saepe beatae omnis vero. Et aut ipsa error praesentium tempore enim.","Recusandae iure ut ut minima dolorum hic accusantium. Quasi quia consequatur placeat molestiae. Quos labore doloremque voluptatum assumenda."]</t>
  </si>
  <si>
    <t>est-ex-6-32-5-black</t>
  </si>
  <si>
    <t>exercitationem alias enim</t>
  </si>
  <si>
    <t>https://via.placeholder.com/300x650.png/00bbdd?text=Smartphone+et</t>
  </si>
  <si>
    <t>["Id ducimus architecto natus veritatis.","Deleniti sed pariatur maxime ea deserunt voluptas et qui.","Animi enim libero rerum tempore quo unde porro.","Assumenda molestiae nulla architecto provident.","Rem inventore ullam distinctio autem molestias aut voluptatibus.","Quaerat libero debitis rerum quo quidem quaerat velit.","Et qui at cumque temporibus.","Ducimus et ex voluptas blanditiis est.","Ad natus totam consequatur est fugit.","Magni aut laborum temporibus voluptas sed et."]</t>
  </si>
  <si>
    <t>["Beatae vitae labore iure excepturi quos nisi. Fugiat consequatur quasi molestias quo provident delectus ipsum. Odio esse blanditiis qui quis deleniti hic.","Omnis sunt dolorum magnam non velit quod ex. Quos aut porro dolorem eius rerum ullam porro. Quisquam laboriosam provident animi minima. Molestiae magni eligendi ab commodi."]</t>
  </si>
  <si>
    <t>corrupti-odit-8-64-5-black</t>
  </si>
  <si>
    <t>rem saepe est</t>
  </si>
  <si>
    <t>corrupti-odit</t>
  </si>
  <si>
    <t>https://via.placeholder.com/300x650.png/00dd00?text=Smartphone+ratione</t>
  </si>
  <si>
    <t>["Tempore unde facilis aut libero voluptatem exercitationem sed.","Et at ea eius ipsam.","A nostrum vitae sed doloremque natus ut rerum magnam.","Sit voluptatibus similique dignissimos.","Architecto voluptatibus alias ea in.","Ullam aut voluptates ut vel nisi amet.","Natus enim laudantium praesentium occaecati ipsam sint vel.","Corporis ipsa ab sint quisquam enim.","Quisquam sed eum reprehenderit occaecati quibusdam voluptatem asperiores.","Corrupti ratione ut qui eos."]</t>
  </si>
  <si>
    <t>["Quasi et dolorem non provident soluta asperiores nisi. Voluptatem quo nulla dicta aperiam perferendis enim ea. Harum provident error dolorem minus unde labore.","Ipsa ab exercitationem libero animi facilis. Quas qui nobis pariatur odio aperiam voluptatem a corporis. Aut est facilis corrupti deserunt porro nihil quos. Aut enim architecto dolorem id praesentium."]</t>
  </si>
  <si>
    <t>corrupti-sit-2-64-4-red</t>
  </si>
  <si>
    <t>corporis consectetur consequatur</t>
  </si>
  <si>
    <t>https://via.placeholder.com/300x650.png/000033?text=Smartphone+reiciendis</t>
  </si>
  <si>
    <t>["Expedita alias et expedita expedita adipisci voluptate.","Quia autem et maiores delectus.","Repellat consequatur et dolor dolor ipsam omnis corporis.","Quibusdam quidem est labore unde.","Quo quos dolor illo id omnis eum esse.","Aut amet reiciendis architecto omnis neque autem dolores.","Est beatae eum officiis quos.","Ipsa dolore est laudantium.","Cum autem officiis ut beatae.","Rerum repudiandae quia sit consequatur asperiores quidem dolor."]</t>
  </si>
  <si>
    <t>["Molestias fuga est non dolorem. Sit dicta ut rerum molestiae aut modi. Et dicta rem molestiae. Dolore ut in aspernatur.","Modi quos distinctio fuga ut sunt. Nulla et placeat magni quo quis earum ad. Tempore qui voluptates accusantium occaecati vel et. Nulla possimus quo culpa porro."]</t>
  </si>
  <si>
    <t>voluptate-velit-8-32-4-red</t>
  </si>
  <si>
    <t>nisi ullam et</t>
  </si>
  <si>
    <t>https://via.placeholder.com/300x650.png/008855?text=Smartphone+ullam</t>
  </si>
  <si>
    <t>["Qui omnis voluptate possimus.","Aut quae rerum eveniet consequatur rerum rerum porro.","Est quidem nam rerum repellat dolorem error sint.","Ut nihil nulla non eveniet dolorem sed dolorum.","Quaerat possimus quia qui sed pariatur.","Sint magnam non omnis.","Ipsum odio aliquam soluta dolor.","Aliquid veritatis fugit et dolor.","Commodi magni qui rerum aut eaque.","Et aut et enim nam sit omnis."]</t>
  </si>
  <si>
    <t>["At eum eligendi odio ut dignissimos illum. Quibusdam numquam doloribus molestiae a recusandae in. Eum excepturi perspiciatis est amet voluptatem minus.","Eaque libero optio corrupti voluptatem rerum qui. Corrupti voluptatem sunt dolorum sequi. Enim sapiente culpa quis ratione eius eveniet consequatur ut. Eum doloremque quam rerum quas."]</t>
  </si>
  <si>
    <t>voluptate-voluptatem-8-16-3-blue</t>
  </si>
  <si>
    <t>reprehenderit occaecati qui</t>
  </si>
  <si>
    <t>https://via.placeholder.com/300x650.png/000044?text=Smartphone+molestiae</t>
  </si>
  <si>
    <t>["Voluptate nam et vero ex quis.","Consectetur voluptatem sint iusto dolores enim et est.","Velit eum ad impedit totam earum consequatur.","Aut consequuntur nostrum dignissimos doloremque harum.","Ut laudantium sapiente sint ipsum dolores commodi.","Et officia qui omnis omnis magni cumque.","Mollitia nam voluptatem sint necessitatibus soluta nemo.","Minus ex quas tenetur assumenda qui tempore.","Voluptas ut doloremque eos autem quia.","Repellat minima velit dolorum eos eius nobis voluptas."]</t>
  </si>
  <si>
    <t>["Iste ea exercitationem expedita voluptas harum. Iusto sapiente et accusamus vel natus ut est dolores.","Harum sapiente voluptas facilis amet accusamus qui. Voluptatum tempora autem quibusdam vero necessitatibus iure sed. Ipsum reprehenderit ipsam ad. Modi magni maxime voluptas possimus ea."]</t>
  </si>
  <si>
    <t>maiores-quod-4-128-3-black</t>
  </si>
  <si>
    <t>labore inventore est</t>
  </si>
  <si>
    <t>https://via.placeholder.com/300x650.png/0044ff?text=Smartphone+ullam</t>
  </si>
  <si>
    <t>["Id est laudantium autem assumenda et quo veritatis dolores.","Dolores ad et non vitae.","Necessitatibus eligendi vel in qui inventore ut ut.","Voluptas illum ullam asperiores dolore et assumenda autem.","Velit quod error ipsam ab officiis consequuntur repellat.","Tempora laudantium facere dolorem quia amet molestias tempore nihil.","Numquam et id reprehenderit laborum et rerum.","Reiciendis natus aut possimus et quibusdam sint ut velit.","Qui sunt perferendis rerum nam harum.","Quia quos fugiat qui id illum quaerat qui."]</t>
  </si>
  <si>
    <t>["Aut libero voluptatem magni et soluta harum. Ut ea et omnis explicabo. Enim qui deleniti molestiae suscipit tenetur eligendi maxime.","Ab quo dolor voluptatum tempore qui adipisci corporis. Fugit ea voluptate consequatur deserunt corrupti labore exercitationem ullam. Et fugit eos et consequatur laudantium odio sit."]</t>
  </si>
  <si>
    <t>sed-id-4-128-2-blue</t>
  </si>
  <si>
    <t>illum sapiente minima</t>
  </si>
  <si>
    <t>https://via.placeholder.com/300x650.png/004411?text=Smartphone+quidem</t>
  </si>
  <si>
    <t>["Et vero qui facere consequuntur enim aut.","Placeat nisi unde quisquam eius nemo.","Non ipsam aperiam aut perspiciatis.","Voluptatum hic sint incidunt laboriosam at delectus fugit.","Atque rerum qui et recusandae.","Tenetur non velit sit est voluptatibus non.","Dicta architecto at eos qui debitis.","Quam nemo optio sint enim nulla quam.","Consequuntur beatae inventore nisi corporis quas commodi omnis.","Quia quo neque dolores accusantium."]</t>
  </si>
  <si>
    <t>["In facere vel delectus placeat dolor sed. Voluptas quod minima voluptatibus reiciendis dolores dolores eaque. Dolor laborum omnis quis corrupti nostrum.","Et quibusdam incidunt expedita ipsa quasi. Iste sed qui vero qui soluta eos dicta. Odit quo veniam et. Explicabo qui vel voluptatem asperiores ipsa laudantium culpa."]</t>
  </si>
  <si>
    <t>et-non-2-128-6-red</t>
  </si>
  <si>
    <t>iste et et</t>
  </si>
  <si>
    <t>et-non</t>
  </si>
  <si>
    <t>https://via.placeholder.com/300x650.png/00cc33?text=Smartphone+culpa</t>
  </si>
  <si>
    <t>["Consectetur iusto tempora eius dolor facere et.","Consequuntur voluptas nemo alias quos facilis id.","Et distinctio animi minus.","Minima animi laudantium dolores autem natus.","Aliquid quidem voluptatem quaerat non.","Est enim natus excepturi enim labore et inventore.","Excepturi incidunt et repellendus est laboriosam architecto et quis.","Est itaque tempore quis.","Suscipit sit qui dolorem a praesentium.","Dolore nemo numquam consequuntur tempore quam."]</t>
  </si>
  <si>
    <t>["Ab minima corporis repudiandae voluptatem et eos doloribus sunt. Omnis pariatur rerum consequuntur neque. Exercitationem non qui itaque quae rem.","Sed placeat est quia veritatis est. Et debitis tenetur distinctio officiis consectetur. Nam a ducimus quos laudantium delectus sed. Quis voluptas omnis dolorem eos quod. Eum quia qui magni quibusdam aut veniam ipsa."]</t>
  </si>
  <si>
    <t>maiores-veritatis-12-16-2-black</t>
  </si>
  <si>
    <t>quia sit eveniet</t>
  </si>
  <si>
    <t>https://via.placeholder.com/300x650.png/008800?text=Smartphone+iste</t>
  </si>
  <si>
    <t>["Delectus et qui excepturi enim excepturi dolorem sit.","Blanditiis omnis perferendis molestias vel laborum est.","Odio nostrum earum aut quis molestias non.","Ut quis voluptatem sit.","Et provident iste qui blanditiis.","Ut ut voluptatem quisquam suscipit.","In natus rerum cum odit officia.","Saepe veniam sed ut ipsum quidem maxime eos fugiat.","Sit eum possimus dolore eligendi ullam cupiditate.","Qui atque et molestiae possimus."]</t>
  </si>
  <si>
    <t>["Consectetur quas accusamus consequuntur. Voluptatem et quas ipsum accusantium aut iusto. Non hic nisi animi autem eligendi eius mollitia totam. Nostrum beatae est iure non.","Excepturi aspernatur tenetur et corrupti corrupti dolor omnis. Harum eligendi nulla magnam quisquam. Nisi velit omnis quo aspernatur."]</t>
  </si>
  <si>
    <t>et-natus-8-16-2-green</t>
  </si>
  <si>
    <t>quam delectus quisquam</t>
  </si>
  <si>
    <t>https://via.placeholder.com/300x650.png/00dd99?text=Smartphone+quasi</t>
  </si>
  <si>
    <t>["Et earum sed eaque magnam ad.","Unde nisi sed voluptatibus vitae nostrum cupiditate qui omnis.","Harum repellendus aperiam sed consequuntur aut.","Qui sint molestiae fugit maiores.","Veniam eos inventore ut voluptatum consequatur.","Ex corporis voluptates sed iste sed.","Libero pariatur et animi nihil aspernatur accusantium sit.","Ducimus reprehenderit iure et consectetur laudantium tenetur autem.","Quaerat soluta vel dignissimos eius enim blanditiis.","Voluptates quae molestias ipsam."]</t>
  </si>
  <si>
    <t>["Harum numquam deserunt aut pariatur quod. Esse omnis dolorum mollitia. Doloremque et hic sequi.","Minus quod rerum quis iure perferendis. Rerum aliquid fuga ipsa delectus totam a."]</t>
  </si>
  <si>
    <t>corrupti-occaecati-4-128-3-green</t>
  </si>
  <si>
    <t>aut alias quas</t>
  </si>
  <si>
    <t>https://via.placeholder.com/300x650.png/00eedd?text=Smartphone+voluptatem</t>
  </si>
  <si>
    <t>["Nulla perspiciatis possimus eos placeat possimus assumenda aliquid.","Dolor quas et est debitis.","Eveniet sit quia sapiente pariatur sed est.","Nam voluptas quis tenetur enim ex aut.","Ut nam saepe delectus voluptatem adipisci soluta iste id.","Fugiat in saepe consequatur dolores voluptas.","Totam possimus consectetur nam distinctio sit.","Occaecati molestiae possimus sed eum et qui.","Debitis in possimus consequatur ut.","Sint et rerum hic eius iste sit culpa."]</t>
  </si>
  <si>
    <t>["Qui numquam est mollitia veritatis totam. Qui et distinctio praesentium repellendus iste deleniti est architecto. Nesciunt aut occaecati optio eos dolores eum repellat. Enim veniam qui pariatur vero sapiente sit doloremque. Eos mollitia magni voluptate eum.","Provident voluptatum sequi voluptates vel. Iusto ipsam quod est optio."]</t>
  </si>
  <si>
    <t>aspernatur-corrupti-8-512-5-black</t>
  </si>
  <si>
    <t>aspernatur voluptatem quia</t>
  </si>
  <si>
    <t>https://via.placeholder.com/300x650.png/001122?text=Smartphone+rerum</t>
  </si>
  <si>
    <t>["Quam quisquam voluptatum eaque qui atque.","Et commodi voluptas quis necessitatibus ipsum.","Iste voluptatem est cupiditate ad omnis.","A magni ducimus eos est.","Aut aut nesciunt ut iure facilis.","Corporis culpa id facilis doloribus adipisci hic omnis sit.","Qui aliquam id voluptate hic.","Architecto quia ea qui eius.","Molestiae voluptatem repellat iusto.","Rerum aut et voluptatem ex ipsam porro quod."]</t>
  </si>
  <si>
    <t>["Et cupiditate velit mollitia consectetur molestiae saepe. Fugiat velit aut eum sunt incidunt fugiat odio ut. Maiores et numquam recusandae.","Pariatur enim qui sunt ex laudantium. Quo magni itaque quis laudantium dolorem assumenda et. Delectus nisi labore et veniam esse atque. Facere sed omnis et rerum neque non temporibus non."]</t>
  </si>
  <si>
    <t>ut-ut-2-128-2-blue</t>
  </si>
  <si>
    <t>voluptas omnis autem</t>
  </si>
  <si>
    <t>https://via.placeholder.com/300x650.png/007700?text=Smartphone+est</t>
  </si>
  <si>
    <t>["Fugiat inventore vel beatae id doloremque.","Natus saepe dolorum molestias veritatis quasi et.","Assumenda quas et et sunt voluptas magnam dolorem qui.","Quibusdam reiciendis cupiditate ut necessitatibus.","Possimus natus aut quo blanditiis officiis neque.","Perspiciatis excepturi ipsam omnis est tempore nihil.","Facilis earum commodi quas nisi sequi eum ut pariatur.","Omnis enim officia suscipit quos temporibus.","Recusandae quas totam voluptas eius nam.","Odit eum iure numquam est tenetur beatae dicta."]</t>
  </si>
  <si>
    <t>["Error rem vel debitis labore sapiente. Exercitationem autem cum debitis fuga deleniti. Quam voluptas voluptatibus nisi expedita quod. Quos amet quia itaque dignissimos cupiditate temporibus dolorem.","Nihil fugit quis voluptatem cupiditate non. Inventore maiores aut aliquid sunt sequi accusamus. Saepe aperiam tenetur quam. Maxime mollitia aut quis voluptas vel."]</t>
  </si>
  <si>
    <t>maiores-iure-8-32-2-blue</t>
  </si>
  <si>
    <t>aliquam quas sint</t>
  </si>
  <si>
    <t>maiores-iure</t>
  </si>
  <si>
    <t>https://via.placeholder.com/300x650.png/0088aa?text=Smartphone+modi</t>
  </si>
  <si>
    <t>["Aut fugiat beatae at consectetur impedit sed.","Expedita sit amet alias.","Ipsam vero aperiam temporibus minima incidunt nihil dignissimos beatae.","Consequuntur est necessitatibus maiores expedita sit voluptatibus maxime reprehenderit.","Rem molestias consequatur aut repellendus qui impedit.","Necessitatibus iusto et nam ducimus.","Incidunt voluptatem voluptatem illum aut ut ipsum error.","Beatae aliquid est atque sed.","Dolorem ipsa minus vel rerum voluptatem iste quia.","Sed nisi deserunt aut quia rerum omnis laborum."]</t>
  </si>
  <si>
    <t>["Sunt dicta est quas eos voluptas odit necessitatibus. Aperiam quis consequatur quo et minus. Ullam odit illum dicta. Dicta quo reprehenderit quia.","Voluptates est dolores laborum incidunt. Ipsum esse voluptatum hic temporibus nihil ipsum. Velit eius quis dolorum id error quo doloremque."]</t>
  </si>
  <si>
    <t>voluptate-nemo-8-8-2-red</t>
  </si>
  <si>
    <t>debitis culpa rerum</t>
  </si>
  <si>
    <t>voluptate-nemo</t>
  </si>
  <si>
    <t>https://via.placeholder.com/300x650.png/002299?text=Smartphone+autem</t>
  </si>
  <si>
    <t>["Qui non dolorum nisi.","Iste culpa nam ea enim maiores quas vitae.","Aliquid aut corrupti reiciendis eum neque.","Pariatur illum earum corporis illum aut quibusdam.","Sed nesciunt voluptates nemo praesentium.","Placeat incidunt dicta delectus est voluptates deserunt et quia.","Debitis autem quos ratione quis nostrum libero.","Neque tempora fugiat qui beatae occaecati necessitatibus sint.","Iste dignissimos ipsa tenetur placeat incidunt maxime.","Qui vitae et ab dolor dolor."]</t>
  </si>
  <si>
    <t>["Illum omnis et fugiat sapiente voluptatum perferendis aut. Omnis distinctio non reprehenderit eveniet fugit esse sunt excepturi. Velit consequatur pariatur ducimus voluptas rerum eius. Et aut veritatis dicta quasi.","Fugit optio suscipit numquam aut. Sed vel odio temporibus impedit autem omnis dolores. Quo quasi officia aut aut est sint et."]</t>
  </si>
  <si>
    <t>sed-rerum-4-512-3-white</t>
  </si>
  <si>
    <t>sunt sit est</t>
  </si>
  <si>
    <t>https://via.placeholder.com/300x650.png/004400?text=Smartphone+voluptas</t>
  </si>
  <si>
    <t>["Ipsam ipsum excepturi aut voluptas nam.","Cumque recusandae consequuntur rerum expedita in illum.","Similique aut deserunt est quae expedita.","Qui autem necessitatibus nesciunt autem laborum quaerat.","Et sapiente ut illo suscipit blanditiis consequatur.","Quis repudiandae perspiciatis fugiat.","Dolorem atque fugiat soluta.","Animi corporis suscipit sit dolor et eum corporis.","Qui id numquam suscipit vero pariatur.","Modi voluptate similique placeat sapiente aperiam laboriosam id."]</t>
  </si>
  <si>
    <t>["Ut quas quam velit et corporis. Ducimus iure delectus molestias et eum similique. Molestiae qui et ut ratione est qui atque. Exercitationem officiis quaerat quidem iste.","In officia corporis libero. Totam error dolorem non temporibus quia neque. Distinctio assumenda dolore blanditiis officia."]</t>
  </si>
  <si>
    <t>maiores-aut-6-16-2-black</t>
  </si>
  <si>
    <t>rem atque rem</t>
  </si>
  <si>
    <t>https://via.placeholder.com/300x650.png/00ff88?text=Smartphone+nobis</t>
  </si>
  <si>
    <t>["Quae et est quia ut.","Quidem exercitationem dolores est commodi in omnis.","Quia quaerat nam aliquid autem architecto nemo.","Et rerum est occaecati quia.","Iusto voluptatum ea iusto sit architecto cumque natus.","Veritatis suscipit molestiae odit reiciendis.","Veniam repellat mollitia sit.","Et consequatur deleniti iure assumenda adipisci possimus est.","Voluptatum adipisci unde omnis molestiae occaecati eveniet id.","Blanditiis et eligendi eos."]</t>
  </si>
  <si>
    <t>["Dolorem nihil ut quae aut officiis provident est. Quasi qui non rerum culpa id quaerat qui velit. Quo accusantium in fugiat repellat et sapiente itaque.","Quibusdam esse quaerat et tempora ea saepe. Officia sint delectus dignissimos dolorem non harum possimus. Omnis voluptatum voluptas voluptatem amet facilis dolores numquam."]</t>
  </si>
  <si>
    <t>illum-ullam-12-16-3-white</t>
  </si>
  <si>
    <t>consequuntur velit facilis</t>
  </si>
  <si>
    <t>illum-ullam</t>
  </si>
  <si>
    <t>https://via.placeholder.com/300x650.png/0055dd?text=Smartphone+quibusdam</t>
  </si>
  <si>
    <t>["Suscipit dicta vel illo rerum.","Earum commodi est ex rem.","Fugiat voluptatum ullam tenetur blanditiis voluptas qui.","Aut illo occaecati optio qui natus.","Illo animi aut sint ullam labore.","Voluptatem qui soluta nisi.","Voluptatem provident dolores excepturi unde rerum.","Tempora qui nobis autem magnam.","Mollitia deleniti soluta necessitatibus perferendis dolore animi maiores illum.","Dolores deleniti nulla soluta fugit expedita est molestias est."]</t>
  </si>
  <si>
    <t>["Vero earum animi ut fuga quod. Sed eum dicta quis quam nihil sed. Occaecati doloremque repellendus impedit. Adipisci temporibus rerum magnam quia laborum a.","Ducimus facilis dolor repellendus aut beatae. Est dolorem vel fuga minima molestiae inventore. Molestiae quia minima veritatis sequi et rerum magnam."]</t>
  </si>
  <si>
    <t>maiores-sed-8-64-3-red</t>
  </si>
  <si>
    <t>aut dolores aliquid</t>
  </si>
  <si>
    <t>maiores-sed</t>
  </si>
  <si>
    <t>https://via.placeholder.com/300x650.png/002255?text=Smartphone+voluptatibus</t>
  </si>
  <si>
    <t>["Expedita voluptates qui praesentium aut.","Asperiores voluptatem id nisi nisi eos.","Est dolorem libero sit commodi et libero quod.","Ducimus tenetur sit vitae eum deserunt.","Quis ratione quam animi.","Blanditiis consequatur blanditiis fugiat perspiciatis animi minus fugit.","Aut rerum cupiditate enim.","Aut non sequi ex ea et.","Doloremque architecto nihil sed nemo.","Ratione recusandae nulla quidem minima ipsa."]</t>
  </si>
  <si>
    <t>["Nemo iste quae fuga maxime totam. Sed omnis voluptatem est veniam. Placeat incidunt aut vel facilis autem eius. Quidem recusandae tenetur debitis fuga. Debitis nihil temporibus sed ea.","Ab perferendis nihil dolores excepturi sit consequuntur. Ut facere officiis facilis fugiat. Aspernatur impedit necessitatibus fugit."]</t>
  </si>
  <si>
    <t>maiores-deleniti-8-64-5-white</t>
  </si>
  <si>
    <t>minus ut consequatur</t>
  </si>
  <si>
    <t>maiores-deleniti</t>
  </si>
  <si>
    <t>https://via.placeholder.com/300x650.png/00bb22?text=Smartphone+adipisci</t>
  </si>
  <si>
    <t>["In occaecati corrupti alias at totam.","Rem magni et quos quia.","Qui reprehenderit dolore voluptatem.","Facilis voluptates eos possimus dicta molestiae recusandae et id.","Voluptas beatae molestiae ipsum quia assumenda odit voluptas ea.","In nulla sunt blanditiis est.","Maiores debitis est nihil est dicta repudiandae perferendis.","Sit consequatur neque inventore aut.","Aliquam vel eligendi est maxime autem.","Quibusdam temporibus assumenda quisquam quis autem."]</t>
  </si>
  <si>
    <t>["Excepturi rerum et repudiandae et aperiam quae eligendi. Ex rem ut cum consectetur incidunt voluptates suscipit qui. Et itaque quia aut quas.","Aut delectus corrupti eum repudiandae velit. Aliquid perspiciatis in possimus asperiores et ad. At omnis quis quis nam."]</t>
  </si>
  <si>
    <t>est-ex-8-64-4-white</t>
  </si>
  <si>
    <t>praesentium cum earum</t>
  </si>
  <si>
    <t>https://via.placeholder.com/300x650.png/001144?text=Smartphone+et</t>
  </si>
  <si>
    <t>["Facere quidem quis minima ex est et.","Est magni autem tempora eaque eligendi.","Atque alias voluptates eius pariatur dolore nobis.","Dolor impedit qui quae totam.","Repellendus quis est non at magni.","Est est inventore facere temporibus voluptas veniam.","Et nostrum nisi quasi cumque omnis.","Doloribus est voluptas aliquam.","Consequuntur repudiandae est in.","A debitis rerum delectus quae quo."]</t>
  </si>
  <si>
    <t>["Deserunt ut incidunt aut voluptatem nihil. Voluptatem eos repellat qui amet. Sit id eum quisquam corrupti nesciunt doloribus et ea. Est molestiae dolores consequatur accusamus.","Ipsum ab rerum et. Autem cumque voluptas at est atque. Non aut voluptatum velit assumenda blanditiis aperiam commodi."]</t>
  </si>
  <si>
    <t>maiores-quia-12-16-2-black</t>
  </si>
  <si>
    <t>impedit pariatur ipsam</t>
  </si>
  <si>
    <t>https://via.placeholder.com/300x650.png/00bb55?text=Smartphone+quia</t>
  </si>
  <si>
    <t>["Vel et aliquid libero ullam.","Impedit pariatur dignissimos nemo.","Totam soluta voluptas temporibus eum id vero et.","Sit laboriosam sequi numquam voluptas et perspiciatis.","Molestiae qui quod provident dolorem odio iure.","Qui enim ipsa minus commodi officiis.","Culpa officia totam aliquid maiores et voluptatibus.","Sed animi repellat omnis.","Totam esse rem explicabo ducimus.","Rem eos dolorem quia ut odio."]</t>
  </si>
  <si>
    <t>["Voluptas sint nostrum quam illo non blanditiis. Porro voluptatem quos cupiditate repellendus doloremque voluptate. Repellat temporibus voluptatibus alias magnam assumenda. Unde et voluptatem natus eum.","Voluptas consectetur dolores autem sit quas ab qui animi. Ut aut aut deserunt earum molestiae natus. Commodi cupiditate consequatur veniam laudantium saepe deleniti. Molestiae explicabo hic vitae est et eum maiores."]</t>
  </si>
  <si>
    <t>sed-vel-2-16-4-green</t>
  </si>
  <si>
    <t>sunt eligendi ipsam</t>
  </si>
  <si>
    <t>https://via.placeholder.com/300x650.png/00ffff?text=Smartphone+odio</t>
  </si>
  <si>
    <t>["Blanditiis molestiae numquam rerum libero ipsa.","Autem voluptatibus assumenda molestias ratione mollitia velit deleniti.","Sed et qui dolore pariatur.","Minus iste consectetur quis maxime.","Quas qui saepe est mollitia accusantium id omnis.","Nihil exercitationem ut incidunt eaque repellat et quis aperiam.","Dolores cum officia tempora aut dolores accusantium impedit tempora.","Nobis molestiae sequi et nulla quas.","Voluptatem nesciunt quia laboriosam quia autem quia.","Neque iure est aspernatur maxime."]</t>
  </si>
  <si>
    <t>["Amet incidunt itaque facere quisquam unde quae. Laboriosam voluptate qui quisquam dolorem eligendi sequi. Accusamus qui sequi possimus doloremque dicta.","Sequi dolore cum provident sint et aliquam quasi. Eum adipisci aut soluta rerum quis. Id odit et ut autem optio id est."]</t>
  </si>
  <si>
    <t>voluptate-sunt-6-128-5-red</t>
  </si>
  <si>
    <t>et quia ut</t>
  </si>
  <si>
    <t>voluptate-sunt</t>
  </si>
  <si>
    <t>https://via.placeholder.com/300x650.png/00aa99?text=Smartphone+molestiae</t>
  </si>
  <si>
    <t>["Aliquid dicta alias eius culpa velit consectetur magnam voluptas.","Saepe esse tempora fuga quasi ipsa.","Quidem est omnis autem id delectus.","Suscipit natus aspernatur dolores et omnis fuga dolorem.","Id non ex autem non laudantium praesentium maxime.","Culpa sed suscipit nihil voluptate maiores ut.","Eos accusantium maiores sequi voluptatibus cum est occaecati.","Asperiores quia dignissimos et suscipit doloribus.","Debitis impedit ea nemo dignissimos vitae.","Ea libero voluptas sed ullam."]</t>
  </si>
  <si>
    <t>["Maiores suscipit consequatur architecto libero placeat qui libero. Magni et impedit quaerat quidem id mollitia. Qui quae molestias eum in corrupti qui.","Molestiae pariatur ullam corporis at enim asperiores aut. Nesciunt numquam aperiam aperiam qui est. Aut debitis ipsa in facere. Magnam eius possimus ut assumenda nobis sint sequi."]</t>
  </si>
  <si>
    <t>est-a-2-16-2-white</t>
  </si>
  <si>
    <t>quo eaque ab</t>
  </si>
  <si>
    <t>https://via.placeholder.com/300x650.png/009900?text=Smartphone+accusamus</t>
  </si>
  <si>
    <t>["Nemo fugit est officia reprehenderit ab.","Dolorem ipsum maiores et et omnis aut unde et.","Architecto nihil velit aut quo quod placeat ducimus corrupti.","Iusto optio non earum unde vitae.","Tenetur dolores qui iure aut et voluptatem illum animi.","Nisi eveniet rem voluptatem debitis placeat laudantium aut.","Rerum voluptatum pariatur atque voluptatem.","Dolorum ipsum sit ut laboriosam non dolor eius.","Nulla impedit id saepe adipisci magni.","Est vero libero est perspiciatis quam neque necessitatibus."]</t>
  </si>
  <si>
    <t>["Autem minima architecto est corporis quod porro. Aut et magni exercitationem voluptatum autem. Rerum eum corporis tempore sequi repellat.","Ut eaque totam quasi quis blanditiis quae dicta. Dolores sequi qui soluta harum earum perspiciatis. Officia quas ex possimus odit accusamus repellat nihil. Ut quidem ut ex provident architecto numquam exercitationem."]</t>
  </si>
  <si>
    <t>ut-et-2-128-3-green</t>
  </si>
  <si>
    <t>ut ea maiores</t>
  </si>
  <si>
    <t>https://via.placeholder.com/300x650.png/00bb66?text=Smartphone+sunt</t>
  </si>
  <si>
    <t>["Totam saepe repellendus provident ut atque.","Maiores hic eligendi voluptas.","Rerum voluptas eius quia quia.","Est est illum quos nostrum.","Omnis ad voluptas aperiam saepe eaque.","Nostrum necessitatibus velit ea quia ullam ullam consequatur.","Nisi eum minus qui officia ullam.","Voluptas perferendis et quibusdam esse molestias accusantium eum.","Mollitia molestias est ut.","Ab error laboriosam totam ut est quam incidunt."]</t>
  </si>
  <si>
    <t>["Quia atque repellendus magnam voluptate possimus error expedita. Et veniam quasi velit. Cum officiis id voluptatem in.","Eligendi quibusdam tempora iusto exercitationem. Incidunt voluptates voluptates quaerat. Voluptas quis nulla magnam ratione ut modi dolorem. A quaerat vitae tenetur error veritatis aut. Vitae hic officiis beatae fugit qui."]</t>
  </si>
  <si>
    <t>est-et-6-32-3-red</t>
  </si>
  <si>
    <t>quam corporis dolor</t>
  </si>
  <si>
    <t>https://via.placeholder.com/300x650.png/0033cc?text=Smartphone+ut</t>
  </si>
  <si>
    <t>["Nulla iste qui facilis voluptatem maxime in.","Ipsa sunt explicabo suscipit aut eum explicabo.","Qui qui dolorem aliquid et alias quibusdam.","Officiis expedita maxime placeat voluptates ut nihil quae.","Autem illum rerum at.","Omnis suscipit velit assumenda rerum rem autem qui eum.","In reiciendis quo alias ut.","Minima eos ullam modi cupiditate est sit.","Occaecati et debitis mollitia facere ullam quis.","Eum vel qui soluta aut saepe molestiae ea."]</t>
  </si>
  <si>
    <t>["Labore reprehenderit dolor harum facere odit rerum molestiae quis. Sint illo asperiores nesciunt nobis accusantium fugit sit. Quasi nesciunt cupiditate perspiciatis architecto neque animi. Tenetur quo nulla ullam alias voluptatum.","Ipsa ea qui porro ratione dolor atque. Placeat eum sequi reiciendis voluptatem tenetur sunt in. Rem voluptatem porro iure. Enim nulla harum labore sed."]</t>
  </si>
  <si>
    <t>maiores-recusandae-6-128-4-green</t>
  </si>
  <si>
    <t>occaecati odio velit</t>
  </si>
  <si>
    <t>https://via.placeholder.com/300x650.png/00dd44?text=Smartphone+ratione</t>
  </si>
  <si>
    <t>["Voluptatem eos quas sapiente voluptates voluptates autem aperiam.","Perspiciatis magnam quod itaque sit.","Nihil aut aperiam et non saepe vel et dolores.","Mollitia illum iusto qui animi.","Dolore fugiat ipsum explicabo laborum est.","Quasi repellendus aliquid amet aut.","Tempore accusantium molestiae rem corporis optio.","Molestias quo facilis consectetur.","Voluptatem dolor voluptas dolor fugit temporibus nihil.","Culpa in tempore omnis ullam ipsum illo quasi quia."]</t>
  </si>
  <si>
    <t>["Eius error suscipit assumenda nemo et. At fuga totam odit corrupti temporibus exercitationem. Aut tempore est voluptatem quibusdam voluptas. Impedit qui aut deleniti tempore voluptatem excepturi est.","Eveniet quo ea adipisci ut ullam quis dolorum. Dignissimos perferendis iste minus est ut est vitae. Pariatur amet ipsum placeat ullam."]</t>
  </si>
  <si>
    <t>illum-id-2-512-3-blue</t>
  </si>
  <si>
    <t>reiciendis aut nisi</t>
  </si>
  <si>
    <t>illum-id</t>
  </si>
  <si>
    <t>https://via.placeholder.com/300x650.png/00ff22?text=Smartphone+nihil</t>
  </si>
  <si>
    <t>["Inventore impedit omnis eaque dolorum nihil.","Est doloremque magni consequatur aut in eos.","Ad commodi commodi voluptas aut id voluptatibus commodi qui.","Commodi eius nostrum error est.","Nulla molestias est eum a molestiae quae minus.","Ipsa et est quasi eaque quia modi.","Quis aperiam voluptas rerum dolorem.","Repellat eos inventore aut aut minus natus.","Aperiam excepturi quis eos.","Sit tenetur repellendus rerum veniam doloremque autem."]</t>
  </si>
  <si>
    <t>["Beatae autem sapiente ut sed repellat ut minima. Saepe voluptatem vel quis dolores repellat. Est vero ad dolorem et sunt. Non est debitis et modi sit.","Molestias enim est totam esse. Laudantium adipisci ratione consequuntur minus. Doloribus deleniti et corporis rerum. Delectus voluptas nisi sed in modi. Laudantium nobis odio tempore esse perspiciatis rerum."]</t>
  </si>
  <si>
    <t>sed-neque-2-8-6-red</t>
  </si>
  <si>
    <t>dolores quasi cum</t>
  </si>
  <si>
    <t>sed-neque</t>
  </si>
  <si>
    <t>https://via.placeholder.com/300x650.png/005566?text=Smartphone+quam</t>
  </si>
  <si>
    <t>["Est ducimus illo hic dicta doloremque eos esse.","Commodi illo dolorem quam quis voluptatem.","Saepe omnis fugiat illum eveniet est dolore expedita.","Aliquam eveniet totam est quae molestias magnam harum.","Omnis omnis sit est aliquid sit velit ut.","Quia sit accusamus atque similique eveniet aperiam praesentium.","Enim ab dolores voluptatibus deleniti ratione.","Incidunt neque nihil explicabo earum.","Ipsum amet explicabo quos alias nesciunt maiores fugiat.","Nobis voluptas eveniet officiis voluptas."]</t>
  </si>
  <si>
    <t>["Vitae odio amet ipsa sit. Sit ut inventore blanditiis quo quae. Dignissimos deserunt quo dolor quae et. Amet ex odio est rem error ut.","Et error odio quaerat iste. Natus voluptatem ipsa expedita quod accusamus. Est cumque occaecati a."]</t>
  </si>
  <si>
    <t>voluptate-ratione-2-64-3-green</t>
  </si>
  <si>
    <t>non magni eveniet</t>
  </si>
  <si>
    <t>https://via.placeholder.com/300x650.png/006600?text=Smartphone+mollitia</t>
  </si>
  <si>
    <t>["Tempora officiis molestias aperiam non non repudiandae.","Omnis commodi assumenda distinctio rerum aut aspernatur.","Vero qui delectus est aperiam nostrum.","Et iste ea tempora praesentium.","Necessitatibus voluptas corrupti est quas error enim est velit.","Impedit dignissimos eum earum eos.","Enim laboriosam ut asperiores quaerat ut.","Esse laborum sit quam.","Vel odit enim maiores aut quia.","Soluta quia assumenda inventore."]</t>
  </si>
  <si>
    <t>["Quos et sed similique eveniet distinctio magni tenetur rerum. Commodi perspiciatis quaerat blanditiis dolore. Dolore quaerat architecto delectus et.","Aliquid voluptates sed culpa harum. Possimus consectetur alias et in quia eligendi accusantium. Qui nihil voluptatum maxime dolorum et officia. Quisquam est est ea placeat id quam."]</t>
  </si>
  <si>
    <t>ut-et-12-64-5-black</t>
  </si>
  <si>
    <t>voluptas adipisci placeat</t>
  </si>
  <si>
    <t>https://via.placeholder.com/300x650.png/0022dd?text=Smartphone+autem</t>
  </si>
  <si>
    <t>["Adipisci voluptate ipsam porro iusto est quaerat cum sit.","Sint veniam consequuntur itaque porro totam.","Hic aut aperiam veniam libero nemo.","Quae fugit nam esse atque quam dolore.","Magni amet occaecati sit non esse odit.","Qui voluptatem cum aspernatur velit.","Vel rerum nemo blanditiis vero sequi dignissimos qui.","Aut est vel qui error fugiat aut in.","Molestiae in harum delectus qui sed.","In sit est quis."]</t>
  </si>
  <si>
    <t>["Pariatur ut aspernatur ipsam est omnis laboriosam. Consequuntur illo ipsum blanditiis pariatur. Esse exercitationem doloremque officiis consequatur eum est porro.","Fugit sed ratione enim consequatur ut sed. Rerum fugit nesciunt sequi quas consequatur. Dolores et sint dolores doloribus."]</t>
  </si>
  <si>
    <t>est-debitis-4-512-2-red</t>
  </si>
  <si>
    <t>veritatis et vel</t>
  </si>
  <si>
    <t>https://via.placeholder.com/300x650.png/00bb66?text=Smartphone+veniam</t>
  </si>
  <si>
    <t>["Id sint consequatur voluptas corporis autem aperiam quia.","Dolorem beatae dolores eos doloremque.","Voluptatem distinctio aliquam iure fugit eaque.","Sit facere molestiae nemo omnis.","Totam eos consectetur aut cupiditate.","Iusto consequatur eos aut ea ad voluptas ad.","Aliquam saepe sunt facere voluptatibus dolore.","Autem dolorem reiciendis quia.","Hic molestiae et assumenda aut non nostrum.","Nobis sapiente nesciunt dolor quo magni."]</t>
  </si>
  <si>
    <t>["Sed consequuntur ullam ut. Nihil magni in magnam cupiditate. Dolorem earum aliquam mollitia temporibus ea.","Corporis eum quaerat repellat non sapiente voluptatum quo. Voluptas aut suscipit distinctio voluptate iure labore. Nemo facere quo quo nemo illum."]</t>
  </si>
  <si>
    <t>est-odit-4-128-5-red</t>
  </si>
  <si>
    <t>ea ullam ipsa</t>
  </si>
  <si>
    <t>https://via.placeholder.com/300x650.png/0055bb?text=Smartphone+commodi</t>
  </si>
  <si>
    <t>["Quia dolore ea voluptas ipsum harum aut.","Qui tenetur et et debitis repudiandae iste tenetur.","Consequatur consequatur voluptas ut qui ipsam nihil.","Odit velit error aliquid aut.","Dolorum est est fuga modi.","Veniam aut eaque ut quaerat.","Maxime veniam at excepturi quia odit esse rem ut.","Id fugiat et repellat itaque odio et.","Fuga est autem quae voluptatibus velit ut.","Harum laudantium aspernatur voluptas."]</t>
  </si>
  <si>
    <t>["Dolor ut voluptas est itaque qui. Omnis ut hic aut error libero. Illo eveniet officia eos. Et repellat numquam qui odio occaecati incidunt.","Autem ratione possimus incidunt quam. Accusantium quia commodi vero ad. Molestiae explicabo labore et velit in."]</t>
  </si>
  <si>
    <t>voluptate-similique-12-128-2-red</t>
  </si>
  <si>
    <t>consequatur aspernatur suscipit</t>
  </si>
  <si>
    <t>https://via.placeholder.com/300x650.png/0044bb?text=Smartphone+beatae</t>
  </si>
  <si>
    <t>["Voluptatem cum a nam suscipit deleniti excepturi perferendis.","Quis a et ad perferendis aut.","Ut quia labore voluptatem qui voluptatem magni sed.","Suscipit repellat magni sunt quos pariatur repellat voluptatem.","Dolore placeat voluptatem suscipit ex asperiores.","Voluptas voluptas rerum corporis porro libero.","Aut ullam necessitatibus ut ratione eum rerum qui qui.","Id similique architecto architecto omnis consequatur mollitia.","Sit velit aut ipsa explicabo aperiam.","Nulla qui voluptate ducimus rem suscipit."]</t>
  </si>
  <si>
    <t>["Tempora quia nulla alias. Cupiditate eos molestiae sint architecto. Culpa qui aspernatur praesentium odio. Pariatur eos odit doloribus eaque architecto nihil fugit voluptas.","Inventore nesciunt eius similique. Fugiat quae consectetur veniam aspernatur. Rerum laborum doloremque ipsa accusantium occaecati esse enim."]</t>
  </si>
  <si>
    <t>sed-reiciendis-2-16-5-white</t>
  </si>
  <si>
    <t>sint explicabo qui</t>
  </si>
  <si>
    <t>https://via.placeholder.com/300x650.png/009911?text=Smartphone+impedit</t>
  </si>
  <si>
    <t>["Fugit aut est at non.","Sit quae dicta natus voluptatem molestiae animi.","Temporibus hic et dolore repellat voluptas.","Alias tempore aut ea nisi voluptatibus excepturi odit.","Quam provident quis autem repellat.","Maiores fugit temporibus nulla.","Vero quisquam illo eos iste est perferendis doloribus.","Impedit ut voluptatem reprehenderit magnam.","Voluptatem doloribus repellendus sed fugiat quo maiores.","Ut consequuntur rerum odit blanditiis."]</t>
  </si>
  <si>
    <t>["Porro est consequuntur veniam et qui ut voluptatum. Odio voluptate nesciunt rem non minima. Alias quia ut non quaerat.","Esse vel modi doloremque ipsa. Fugit eum quidem saepe sint harum reprehenderit. Deleniti dolor quas aliquam cumque sed ex. Ut consequatur ea voluptatem dolorum ipsum dolores omnis."]</t>
  </si>
  <si>
    <t>voluptate-dicta-8-8-3-blue</t>
  </si>
  <si>
    <t>qui rerum quibusdam</t>
  </si>
  <si>
    <t>https://via.placeholder.com/300x650.png/000088?text=Smartphone+perspiciatis</t>
  </si>
  <si>
    <t>["Maxime similique autem est dignissimos fuga.","Sint fuga commodi architecto beatae vitae.","Illum sequi est aliquam qui enim facilis quos.","Dolore tempora et ab ut nulla natus nostrum nihil.","Distinctio quisquam mollitia vel in totam.","Autem aut magni quia esse pariatur.","Ea blanditiis aut non qui dolores delectus.","Consequatur totam similique et quae delectus dolore.","Tempore quibusdam adipisci eos non nobis mollitia.","Dolor est rerum qui assumenda."]</t>
  </si>
  <si>
    <t>["Ut laudantium deleniti sapiente quos ipsa omnis exercitationem. Doloribus qui ut quidem suscipit autem ex aut. Consequatur quis alias reprehenderit odit. Natus nostrum architecto maxime provident commodi voluptate.","Vel et ipsam dolorem rerum et eum deserunt. Dolorem velit tempore eveniet. Suscipit sunt sit numquam aliquam iste et ipsum. Nam sint aut omnis fuga libero."]</t>
  </si>
  <si>
    <t>est-debitis-8-32-3-blue</t>
  </si>
  <si>
    <t>non quis sed</t>
  </si>
  <si>
    <t>https://via.placeholder.com/300x650.png/009988?text=Smartphone+deleniti</t>
  </si>
  <si>
    <t>["Quia voluptatem non est numquam libero esse.","Molestiae minima ut earum vel esse.","Enim debitis aspernatur neque aperiam tenetur.","Asperiores id mollitia iste vitae quisquam asperiores dolore.","Voluptatem laborum nemo nulla quo voluptas.","Distinctio officiis a illo corporis est.","Provident exercitationem reiciendis sequi sequi a sed laborum.","Qui id vero nesciunt quos.","Placeat beatae architecto est aliquam.","Ut dolorum aliquam omnis quos a qui omnis adipisci."]</t>
  </si>
  <si>
    <t>["Et et omnis consequatur animi. Quas ipsa perferendis et incidunt. Harum et non minima voluptas dolorem consectetur doloribus. Quo vel quo repellendus doloribus qui natus qui quisquam.","Ipsa hic delectus rerum. Tempora incidunt odio libero voluptate ut enim ad. Aliquid omnis qui nam maiores dolores impedit unde. Inventore et eos eligendi quibusdam."]</t>
  </si>
  <si>
    <t>sed-reiciendis-8-16-2-red</t>
  </si>
  <si>
    <t>tenetur doloribus quidem</t>
  </si>
  <si>
    <t>https://via.placeholder.com/300x650.png/006600?text=Smartphone+sit</t>
  </si>
  <si>
    <t>["Cumque ut earum exercitationem reiciendis nobis iste ea saepe.","Hic doloribus tempora dicta optio expedita esse excepturi.","Et earum sed modi qui quasi eum.","Et maiores ipsa aliquam saepe.","Repellat similique nam voluptas accusamus consectetur illum.","Nihil eos quia est quo hic accusantium tenetur.","Et pariatur et asperiores aut quo consequatur.","Ut nemo velit fugiat quaerat fuga ab.","Voluptatibus iusto iste magni blanditiis dolor nam quisquam omnis.","Et quibusdam eaque nisi et sapiente."]</t>
  </si>
  <si>
    <t>["Est quibusdam et adipisci. Id dignissimos eligendi dolor vel. Atque maxime molestiae nemo omnis explicabo consequatur enim vel.","Consequatur ex repudiandae id veritatis voluptates. Sed sed nihil eos dolores cum ut unde aut. Aut dolorem ullam totam ullam rerum dolores."]</t>
  </si>
  <si>
    <t>voluptate-voluptatem-6-8-2-green</t>
  </si>
  <si>
    <t>dolorem facere quia</t>
  </si>
  <si>
    <t>https://via.placeholder.com/300x650.png/0088cc?text=Smartphone+et</t>
  </si>
  <si>
    <t>["Suscipit aspernatur non aliquam exercitationem dignissimos iste aut.","Suscipit amet fuga dolor expedita quaerat atque.","Ullam fuga qui iure aliquam soluta velit.","Ullam et nostrum dolores est.","Quae iusto voluptas adipisci.","Architecto sit sint quia.","Odio esse quia enim illo.","Eaque quo sequi illum rerum recusandae et perspiciatis.","Modi eum voluptatum unde assumenda ipsa quaerat beatae.","Voluptas voluptatibus qui quas."]</t>
  </si>
  <si>
    <t>["Quia iure ullam facilis sunt voluptatem repellendus. Eum cupiditate omnis repudiandae molestias nulla. Est cupiditate quos fugiat et id accusantium iure.","Dolores debitis deleniti doloribus delectus ut necessitatibus. Ut voluptas ut et dolor. Rem ut deleniti ipsum ut est."]</t>
  </si>
  <si>
    <t>illum-facere-2-512-3-green</t>
  </si>
  <si>
    <t>pariatur harum sapiente</t>
  </si>
  <si>
    <t>https://via.placeholder.com/300x650.png/004400?text=Smartphone+placeat</t>
  </si>
  <si>
    <t>["Sed repellendus corrupti culpa sit nihil magnam.","Est nihil iure iusto qui sequi.","Est aperiam veniam voluptate aliquid occaecati ipsa voluptate.","Modi iste enim voluptate incidunt voluptatem qui debitis.","Possimus illum ipsa quaerat dolore voluptatem doloribus ipsum.","Et a natus corporis excepturi veritatis dicta quis.","Iusto perferendis nihil aspernatur et.","Natus incidunt provident non nulla.","Molestiae fugiat commodi qui unde quia nemo dolorum.","Et quibusdam itaque deleniti nulla voluptates repellat."]</t>
  </si>
  <si>
    <t>["Ipsam cumque explicabo dolorem inventore architecto hic qui. Fugiat error velit officiis nihil. Laudantium facere animi molestiae voluptatibus. Sapiente aperiam repudiandae id consequatur non dolore quia.","Modi deleniti voluptatum veritatis voluptates doloremque odit. Molestiae esse quam commodi. Odio consequatur maxime voluptatem repellat. Accusantium eveniet dolor molestias ea aut deleniti quisquam."]</t>
  </si>
  <si>
    <t>voluptate-nemo-4-8-3-black</t>
  </si>
  <si>
    <t>voluptates et sunt</t>
  </si>
  <si>
    <t>https://via.placeholder.com/300x650.png/007799?text=Smartphone+officia</t>
  </si>
  <si>
    <t>["Quis quae quia rerum sit reprehenderit.","Modi ea delectus neque veniam quam repudiandae.","Sit cupiditate libero eveniet minima omnis accusamus et eum.","Vero reiciendis at nostrum ducimus numquam quia at sapiente.","Nostrum nisi nostrum repellat veniam soluta quia ut.","Eaque quibusdam dolorem non id enim.","Debitis ea in reiciendis fuga itaque sint eos.","Possimus et ut eligendi corrupti beatae.","Eos autem eveniet et non itaque nostrum debitis.","Quas esse ab ex architecto."]</t>
  </si>
  <si>
    <t>["Vero velit ea et nulla. Dolores et aut delectus velit alias. Ea qui tempora explicabo qui impedit.","Omnis qui qui ab voluptas voluptatem quo facilis. Aliquam amet voluptatem cupiditate. Inventore velit recusandae esse nobis harum dolor illo. Vitae nihil alias qui rerum autem corporis."]</t>
  </si>
  <si>
    <t>maiores-sed-2-16-5-blue</t>
  </si>
  <si>
    <t>sed maiores expedita</t>
  </si>
  <si>
    <t>https://via.placeholder.com/300x650.png/0055aa?text=Smartphone+sapiente</t>
  </si>
  <si>
    <t>["Et in odio sint est neque non rem.","Harum non eum assumenda debitis deserunt debitis dignissimos.","Sapiente ullam ut est ea aut.","Beatae eveniet illum ducimus neque iusto.","Est qui praesentium consequatur qui.","Nisi a ut et quae cumque provident qui ad.","Voluptatibus et cum quia sapiente voluptatum perferendis ut.","Quia dignissimos pariatur exercitationem dolorem.","Rerum aliquid commodi aliquid qui quia voluptates accusamus quas.","Dolore culpa quia et eos."]</t>
  </si>
  <si>
    <t>["Ab error illum cupiditate saepe nihil ut delectus. Dolores ipsa esse saepe ullam tempore. Et cum possimus et consequatur.","Aut qui deleniti totam asperiores numquam. Dolorem beatae at corporis facere. Aperiam omnis vitae sint quod voluptatem nihil autem."]</t>
  </si>
  <si>
    <t>sed-earum-8-8-3-black</t>
  </si>
  <si>
    <t>at sit qui</t>
  </si>
  <si>
    <t>https://via.placeholder.com/300x650.png/0000cc?text=Smartphone+laboriosam</t>
  </si>
  <si>
    <t>["Sed at consectetur enim voluptatum.","Odio et optio nemo dolor eos.","Consequatur eos commodi aut.","Fugiat et quod vel cumque aspernatur.","Corporis pariatur et placeat at.","Quam sint et sed adipisci.","In dolorem ea id perferendis iure voluptatem delectus quisquam.","Debitis ad vel impedit asperiores reiciendis.","Ut et voluptatem dolorum.","Impedit blanditiis nulla deleniti."]</t>
  </si>
  <si>
    <t>["Eveniet optio est non perspiciatis minima eaque. Excepturi sequi et modi accusantium suscipit vitae. Et asperiores voluptatum dolor debitis expedita. Totam recusandae pariatur ipsam maiores distinctio.","Corporis tempora provident est nemo dolorem. Nihil voluptas sit quia et."]</t>
  </si>
  <si>
    <t>quasi-qui-8-64-3-black</t>
  </si>
  <si>
    <t>maiores quia repellendus</t>
  </si>
  <si>
    <t>https://via.placeholder.com/300x650.png/00ffee?text=Smartphone+nihil</t>
  </si>
  <si>
    <t>["Esse qui consequatur corporis qui.","Aut voluptates aut quos facere adipisci id tempore.","Eos quasi id illum in.","Voluptate nisi nobis quod ut quasi.","Delectus distinctio suscipit tempore ut.","Deleniti aspernatur ut autem enim consequatur.","Blanditiis dolorem saepe nobis eveniet voluptas sunt.","Recusandae reiciendis blanditiis animi est ab sint dolor officia.","Harum deleniti culpa sint neque libero.","Animi perspiciatis facilis aut minus."]</t>
  </si>
  <si>
    <t>["Et voluptatem quaerat fugiat animi suscipit voluptas. Eligendi ducimus quibusdam et maxime atque.","Et et ut fuga ea et suscipit repellat. Ut id exercitationem consectetur ullam excepturi. Dolores quidem inventore eum a vitae qui velit."]</t>
  </si>
  <si>
    <t>est-odit-2-128-2-green</t>
  </si>
  <si>
    <t>architecto molestiae qui</t>
  </si>
  <si>
    <t>https://via.placeholder.com/300x650.png/004455?text=Smartphone+expedita</t>
  </si>
  <si>
    <t>["Consequuntur voluptas ratione est saepe maiores sit.","Nam nisi nulla iste dicta eos doloribus.","Consequatur quia aspernatur amet eos.","Dolorum praesentium qui magni minima.","Deleniti recusandae vitae eaque minus dolorum.","Alias delectus perspiciatis quis quis omnis aperiam.","Hic aut dignissimos impedit exercitationem in quia consectetur.","Nesciunt quia provident sed consequatur vel non eum.","Vero voluptate necessitatibus provident voluptatem laboriosam.","Pariatur aut commodi temporibus fugit id autem ut."]</t>
  </si>
  <si>
    <t>["Minus nulla fugit magnam pariatur beatae enim. Numquam similique perspiciatis vero ipsam iste et. Qui provident velit quaerat minima aperiam quia quasi. Debitis maxime enim quas doloremque non aut vel.","Veniam dolores illo officia at. Voluptatem architecto quo commodi sit qui in. Est et minima beatae temporibus quo. Ut voluptatem et in voluptates facilis magni at."]</t>
  </si>
  <si>
    <t>aspernatur-corrupti-12-128-5-black</t>
  </si>
  <si>
    <t>sunt magni exercitationem</t>
  </si>
  <si>
    <t>https://via.placeholder.com/300x650.png/0033ee?text=Smartphone+culpa</t>
  </si>
  <si>
    <t>["Omnis ipsum tenetur nemo qui possimus.","Consequatur mollitia facere at iusto.","Aliquid odio sit quaerat.","Voluptatem eius sapiente tenetur.","Ex harum et minus a voluptates et omnis aut.","Omnis eveniet tempore quidem ut eveniet.","Dolorem velit dolores consequatur alias.","Sint saepe earum laborum.","Id rerum rerum sed harum officia.","Magni quisquam asperiores odio magni."]</t>
  </si>
  <si>
    <t>["Vel quis in itaque quaerat magnam repellat. Ut fugiat voluptatibus tempora dolores. Eligendi similique est rem beatae deleniti dolores non. Quia optio optio quaerat sunt esse aut.","Quis et vel consequuntur. Similique qui impedit sint voluptatem. Dolorem et porro ut deleniti et autem et. Dolorem autem dolores fugiat qui sint."]</t>
  </si>
  <si>
    <t>ut-blanditiis-6-512-3-blue</t>
  </si>
  <si>
    <t>quis harum ullam</t>
  </si>
  <si>
    <t>ut-blanditiis</t>
  </si>
  <si>
    <t>https://via.placeholder.com/300x650.png/001122?text=Smartphone+assumenda</t>
  </si>
  <si>
    <t>["Vero dolores explicabo illum voluptate non dolor itaque.","Fugit blanditiis cum et aperiam.","Esse ea recusandae qui similique et qui aut id.","Deleniti maxime aut porro perspiciatis quo optio.","Praesentium consequatur sapiente dolor unde.","Dicta a ex nisi cupiditate.","Inventore excepturi est voluptas.","Velit consectetur ut perferendis.","Nihil aliquam ut omnis sed et.","Nam odit adipisci officiis magni qui molestiae deserunt."]</t>
  </si>
  <si>
    <t>["Accusantium quisquam cumque qui rerum tenetur. Magni ex voluptas atque est. Optio commodi cupiditate ea sit eos tempore.","Animi rerum a optio praesentium pariatur. Pariatur omnis ut fuga explicabo ut maiores. Ullam rerum sed error placeat voluptas. Voluptatibus dolor mollitia magni itaque modi sunt aut sunt. Vel nihil quia sit ad quia."]</t>
  </si>
  <si>
    <t>est-rerum-12-128-5-blue</t>
  </si>
  <si>
    <t>ut et ipsum</t>
  </si>
  <si>
    <t>https://via.placeholder.com/300x650.png/00ddee?text=Smartphone+ea</t>
  </si>
  <si>
    <t>["In et soluta soluta reprehenderit ex.","Quos occaecati modi ut dicta iusto et.","Omnis harum eius neque qui.","Et officiis ut dolorem voluptatem.","Nobis minima ipsum et est et unde.","Commodi iste culpa repellendus qui.","Ut suscipit at sint quisquam sint iure.","Architecto expedita ad doloribus qui et.","Minima praesentium mollitia enim ipsa exercitationem nemo voluptas.","Harum necessitatibus vel esse dignissimos nulla quia voluptas."]</t>
  </si>
  <si>
    <t>["Eligendi libero et excepturi animi odio magni sit. Est quia at voluptas voluptatem molestiae voluptatem. Non facere non repudiandae tempora quisquam fuga itaque. Magni ut et esse facilis.","Enim rerum cum sequi ipsum. Quisquam rerum molestiae dolorem molestiae quasi. Similique vitae eos ad et id. Aut doloremque corrupti nesciunt ea minus."]</t>
  </si>
  <si>
    <t>corrupti-sint-12-8-5-black</t>
  </si>
  <si>
    <t>provident debitis rerum</t>
  </si>
  <si>
    <t>corrupti-sint</t>
  </si>
  <si>
    <t>https://via.placeholder.com/300x650.png/002255?text=Smartphone+eius</t>
  </si>
  <si>
    <t>["Corrupti reprehenderit tempora quam voluptatibus amet adipisci.","Pariatur id hic eaque et perspiciatis neque sunt.","Sequi voluptatem magnam iste pariatur.","Qui non aperiam ea sequi autem.","Quis unde quaerat deleniti repellendus.","A veritatis autem explicabo rem sapiente et.","Possimus minima totam commodi et.","Voluptatibus asperiores sapiente est laudantium facilis.","Ea id est saepe cumque recusandae voluptatem.","Minus cum tempora pariatur atque deserunt."]</t>
  </si>
  <si>
    <t>["Facilis velit et et fugit quasi. Eligendi architecto nam itaque vero. Quis quae amet soluta.","Voluptas vero rerum et expedita molestiae voluptatem. Qui ut dolores et saepe. Corporis maxime ipsa aut velit ea et iusto."]</t>
  </si>
  <si>
    <t>sed-necessitatibus-6-16-5-red</t>
  </si>
  <si>
    <t>repudiandae sit consequatur</t>
  </si>
  <si>
    <t>https://via.placeholder.com/300x650.png/00bbdd?text=Smartphone+doloremque</t>
  </si>
  <si>
    <t>["In totam id aut dolore dolore.","Enim in omnis veritatis ratione.","Voluptas deleniti non aut ut accusamus.","Nihil culpa fugit dolorem id optio.","Iste dolorem modi architecto vel doloribus cupiditate.","Quidem similique aspernatur dolor laboriosam illo expedita consequuntur.","Eveniet velit magnam aut in.","Doloremque eum aspernatur dolor ab at et optio.","Debitis numquam quos quia officia cumque.","Laborum nostrum neque dolore nulla nesciunt quia ea."]</t>
  </si>
  <si>
    <t>["Voluptatem quos qui quia autem voluptas id molestiae. Officiis provident provident explicabo quasi dolorem non occaecati.","Fugiat ea ab totam dignissimos exercitationem. Fugit neque aut suscipit assumenda est. Enim voluptatum magni enim corrupti autem voluptates. Neque repudiandae accusamus debitis voluptas nihil."]</t>
  </si>
  <si>
    <t>voluptate-ratione-2-512-5-black</t>
  </si>
  <si>
    <t>omnis est aut</t>
  </si>
  <si>
    <t>https://via.placeholder.com/300x650.png/008833?text=Smartphone+maiores</t>
  </si>
  <si>
    <t>["Provident et vel sit.","Velit consequatur expedita illo vel quia quia officiis.","Repellat quo accusamus qui molestiae mollitia.","Voluptates magni impedit ex excepturi dolor culpa.","Corporis illum et quas labore impedit.","Aliquam veniam asperiores magnam.","Sequi id et voluptatem amet optio modi in.","Est voluptatem ut ea qui pariatur voluptas.","Ut qui qui sunt sunt voluptatem quis est.","Vero consequatur qui maxime ratione aperiam."]</t>
  </si>
  <si>
    <t>["Minima esse fuga commodi dolore et vel veniam qui. Quia non sit ut aperiam quia. Nulla et tempora nihil. Tempora ab accusamus omnis sit impedit reiciendis sunt delectus.","Officia perspiciatis dolorum doloremque voluptatem sequi molestiae officia. Consequuntur explicabo assumenda ratione dignissimos nihil voluptates consequatur totam. Illo velit et rerum."]</t>
  </si>
  <si>
    <t>voluptate-ratione-6-32-4-white</t>
  </si>
  <si>
    <t>omnis fugit possimus</t>
  </si>
  <si>
    <t>https://via.placeholder.com/300x650.png/00ff66?text=Smartphone+odit</t>
  </si>
  <si>
    <t>["Placeat dolor et facilis occaecati ullam voluptatem porro.","Voluptas debitis ut numquam qui.","Qui repellendus praesentium odit vitae.","Deserunt dolor commodi sed voluptatem et quos.","Dolores pariatur voluptatum officiis iusto.","Est quisquam voluptatem aut similique molestias.","Vitae quia fuga et harum qui quaerat est quia.","Nam ullam ea temporibus asperiores eum quidem dignissimos numquam.","Deleniti doloremque debitis et.","Quasi ut aliquid ut maxime officiis perferendis quaerat est."]</t>
  </si>
  <si>
    <t>["Autem laudantium ullam iste in aperiam quasi aperiam. Culpa dolores suscipit quidem enim. Voluptatem nihil id doloremque voluptas enim aut. Nihil non quia ipsa quae sit consequatur.","Omnis rerum aut distinctio aut cum rerum. Est non non sed eius commodi vero. Natus veritatis minus sapiente exercitationem maxime. Assumenda sint cumque quidem illo deleniti soluta."]</t>
  </si>
  <si>
    <t>ut-sed-2-16-4-red</t>
  </si>
  <si>
    <t>sed cumque harum</t>
  </si>
  <si>
    <t>https://via.placeholder.com/300x650.png/0088ff?text=Smartphone+est</t>
  </si>
  <si>
    <t>["Qui optio quia repellendus qui veritatis.","Impedit quia facere quisquam ut.","Accusantium rerum est et nostrum sit.","Vel sint neque tempora tempore.","Tenetur iste ratione repellat.","Rem eos amet quisquam animi voluptatem facere voluptas.","Quisquam et facere omnis officiis est eius.","Expedita ut magni aut optio natus recusandae molestiae voluptatem.","Earum neque aut qui nihil consectetur.","Consequuntur quis voluptates eligendi laudantium minus quod ex."]</t>
  </si>
  <si>
    <t>["Itaque fugiat maxime odit molestiae hic asperiores nostrum vero. Labore sunt saepe quo et perspiciatis non. Neque sint iste fugiat eaque necessitatibus omnis. Et ut reprehenderit quia hic omnis repellat hic. Asperiores iusto nam quia voluptatem rerum.","Aliquid similique ea molestiae eum sequi. Ullam voluptatum quia sit mollitia in voluptatibus. Labore labore alias omnis velit. Distinctio eligendi pariatur autem a."]</t>
  </si>
  <si>
    <t>voluptate-reprehenderit-4-16-3-green</t>
  </si>
  <si>
    <t>autem eligendi alias</t>
  </si>
  <si>
    <t>https://via.placeholder.com/300x650.png/00dd88?text=Smartphone+sunt</t>
  </si>
  <si>
    <t>["Et et rerum adipisci ipsam.","Facilis vero excepturi ut voluptas.","Quas doloremque aspernatur corrupti.","Aut sapiente tempore at voluptatem nemo qui.","Molestiae laboriosam suscipit mollitia doloremque reprehenderit totam.","Eum dignissimos sapiente ullam nulla unde hic mollitia.","Fugit odit vero esse velit.","Rem est delectus pariatur ea ullam consequatur.","Corrupti totam aut voluptas beatae.","Omnis aut magni aut sit."]</t>
  </si>
  <si>
    <t>["Doloribus iste est libero nobis dolorum eligendi. Ut et eius accusantium natus. Exercitationem aspernatur ducimus sit delectus. Repellendus ipsum dolorum in quas exercitationem eaque sit. Tempora delectus blanditiis nesciunt.","Dolor provident eum nesciunt velit enim. Ad quis quos quibusdam quasi. Nihil laboriosam vel in minima cumque aut."]</t>
  </si>
  <si>
    <t>ut-et-4-8-3-black</t>
  </si>
  <si>
    <t>fuga velit illo</t>
  </si>
  <si>
    <t>https://via.placeholder.com/300x650.png/00cc22?text=Smartphone+quis</t>
  </si>
  <si>
    <t>["Odit numquam voluptatem amet sit.","Aperiam et facilis dolores deleniti molestiae et totam.","Architecto aut omnis quidem pariatur quia ut dignissimos.","Reiciendis aut laborum ratione reprehenderit.","Commodi dolorum id quaerat provident dignissimos eaque.","Unde illum consequuntur dolores aut rerum dolorem provident.","Neque sint possimus aut autem est ea dolorum.","Alias aperiam porro consequatur.","Earum et aut nesciunt dolor dolor dolores eligendi.","Cumque consequuntur aperiam ipsa nesciunt."]</t>
  </si>
  <si>
    <t>["Iste soluta voluptas quibusdam et et excepturi sit. Voluptatem unde in odio aperiam non. Minima rerum dolores quia.","Qui quia voluptatem asperiores deserunt. Culpa harum harum odit id velit neque. Non reiciendis atque consectetur minima iusto et."]</t>
  </si>
  <si>
    <t>corrupti-ex-2-8-4-red</t>
  </si>
  <si>
    <t>quam similique molestiae</t>
  </si>
  <si>
    <t>corrupti-ex</t>
  </si>
  <si>
    <t>https://via.placeholder.com/300x650.png/00ccbb?text=Smartphone+quis</t>
  </si>
  <si>
    <t>["Ipsum natus rerum error esse suscipit ad.","Quis illo ut odit ut blanditiis sit iste consequuntur.","Quas porro adipisci id hic vel exercitationem tempore.","Non nesciunt enim exercitationem enim cum vel.","Quos soluta veniam perspiciatis et eveniet rerum placeat.","At et expedita et quis.","Eos numquam odio et non magnam.","Quibusdam consectetur similique ut veniam.","Nisi et dicta vel inventore ipsam sed.","Nihil provident ea iusto et."]</t>
  </si>
  <si>
    <t>["Eveniet soluta ut corporis tempore unde. Molestiae nulla impedit accusamus porro. Aut nihil nisi doloremque expedita. Quia molestiae consequuntur delectus id quia.","Et eius occaecati qui repudiandae sit. Sit sapiente quia dolorem est quo quidem. Aut explicabo quaerat consequatur tempora facilis ipsum necessitatibus. Ab ad laudantium in neque laboriosam."]</t>
  </si>
  <si>
    <t>sed-dolor-6-8-3-red</t>
  </si>
  <si>
    <t>inventore minus eum</t>
  </si>
  <si>
    <t>https://via.placeholder.com/300x650.png/0088cc?text=Smartphone+itaque</t>
  </si>
  <si>
    <t>["Sequi rerum excepturi id ipsum accusantium.","Sunt et praesentium harum suscipit dolorem.","Rem in optio sed quasi tempore.","Nisi inventore rem distinctio laudantium.","In eaque quod eum quae et quia.","Et eius nostrum et id suscipit.","Nisi facilis et cum cumque dolorem nisi.","Autem a debitis alias omnis qui qui iste.","Cum labore mollitia temporibus officiis ipsum voluptatem.","Omnis ut iure amet dignissimos soluta non."]</t>
  </si>
  <si>
    <t>["Facere corrupti accusamus suscipit quidem voluptas. Aliquam dolorum quas eum consequatur. Omnis nulla illo voluptas laborum quasi qui.","Impedit a vero doloribus quia officiis. In in fugiat ipsa distinctio aspernatur. Qui accusamus sint non non. Et in labore nobis beatae expedita."]</t>
  </si>
  <si>
    <t>maiores-quia-6-64-3-blue</t>
  </si>
  <si>
    <t>iste voluptas eveniet</t>
  </si>
  <si>
    <t>https://via.placeholder.com/300x650.png/009977?text=Smartphone+dolorem</t>
  </si>
  <si>
    <t>["Hic esse similique est est.","Impedit quod eligendi explicabo praesentium a.","Ratione eum ipsa architecto labore ut nobis laborum minima.","Et totam enim qui et.","Repellat sapiente est vel reprehenderit voluptatibus.","Quod voluptas maxime voluptatibus sit commodi et.","Et consequatur sint dolores aut voluptatibus est quaerat.","Et molestiae voluptas quia vel.","Eaque itaque repellendus alias vel at.","Tempora ea laudantium rerum distinctio."]</t>
  </si>
  <si>
    <t>["Nobis quod ab sit quas qui ipsa deleniti consequatur. Qui voluptatibus saepe velit est ut. Officia modi recusandae voluptatibus inventore et fuga placeat.","Laboriosam eveniet ea atque aliquam. Quis et fuga maiores qui. Ratione quo porro sunt accusantium."]</t>
  </si>
  <si>
    <t>maiores-voluptatum-6-64-5-green</t>
  </si>
  <si>
    <t>alias dolor quia</t>
  </si>
  <si>
    <t>maiores-voluptatum</t>
  </si>
  <si>
    <t>https://via.placeholder.com/300x650.png/0011cc?text=Smartphone+neque</t>
  </si>
  <si>
    <t>["Laudantium tempora ullam ipsam neque porro.","Sapiente sint ut vel.","Reprehenderit minima neque nihil molestiae est ut dolore minus.","Sit ea inventore ut est in assumenda necessitatibus.","Dicta aperiam qui dolores quas est.","Qui eum laboriosam ut doloribus modi tempore.","Quibusdam placeat voluptates dolores blanditiis aut iusto impedit.","Perspiciatis soluta et animi ipsam minima.","Modi reiciendis eos doloribus nisi omnis eveniet tempora nihil.","Aspernatur sint quasi maiores omnis voluptatibus animi rerum et."]</t>
  </si>
  <si>
    <t>["Atque inventore veniam sit reiciendis sint fugiat. Natus repellat occaecati quibusdam ut minima neque. Est eius eum necessitatibus qui ullam quia minima.","Illum vitae nemo voluptate nostrum nobis accusamus. Rerum deleniti officiis accusamus nisi eius quis omnis. Et ut impedit eos assumenda. Illo non ab autem corporis odio facere."]</t>
  </si>
  <si>
    <t>sed-dignissimos-4-512-3-red</t>
  </si>
  <si>
    <t>quas aliquid voluptatum</t>
  </si>
  <si>
    <t>https://via.placeholder.com/300x650.png/009911?text=Smartphone+quidem</t>
  </si>
  <si>
    <t>["Numquam quam in quo facilis et ipsa repellendus.","Dolorum quia qui aliquid nemo autem temporibus ut et.","Sint voluptatem amet et quas cumque autem mollitia perspiciatis.","Id tempora hic id nam enim molestiae.","Ut et eos quidem et.","Aperiam omnis sequi qui voluptatibus repellendus voluptatum.","Non veritatis officia enim voluptate molestiae animi labore.","Non vel voluptate deleniti.","Tenetur numquam sit omnis unde error.","Saepe est voluptatibus omnis soluta similique officia provident."]</t>
  </si>
  <si>
    <t>["Eaque ut accusamus quaerat labore rerum consectetur cumque dolorum. Corporis perferendis est recusandae eum. Aperiam iusto similique occaecati veniam perspiciatis libero ratione. Consequatur quia ut enim.","Et reiciendis eos quasi iusto molestiae reiciendis cupiditate. Repellat perspiciatis aspernatur minus. Doloremque nulla sapiente voluptatem quia eius assumenda consectetur voluptatem. Sunt sapiente maxime voluptatem fugiat fugiat."]</t>
  </si>
  <si>
    <t>quasi-voluptatem-8-8-4-green</t>
  </si>
  <si>
    <t>ut id nihil</t>
  </si>
  <si>
    <t>https://via.placeholder.com/300x650.png/004455?text=Smartphone+fugit</t>
  </si>
  <si>
    <t>["Totam et sit est.","Fugit reprehenderit sint vero ad odit repellendus vitae.","Dolore et libero in aliquid.","Nobis sed enim sunt sint aut facere.","Aut velit id ut amet esse ut.","Aut rerum esse neque inventore qui veniam qui.","Rerum et quisquam ab et.","Sit blanditiis placeat sed autem eius.","Vel error dolores doloremque culpa in exercitationem.","Fugit adipisci sit necessitatibus dolor."]</t>
  </si>
  <si>
    <t>["Magni atque ratione illum cumque debitis nihil. Quia maiores quidem error. Quisquam fugit adipisci a qui aut commodi vel et. Sed incidunt id ut qui.","Deserunt omnis hic voluptatem rerum quis tempore blanditiis. Et pariatur quas necessitatibus veritatis."]</t>
  </si>
  <si>
    <t>maiores-in-6-512-2-red</t>
  </si>
  <si>
    <t>qui repellendus consequatur</t>
  </si>
  <si>
    <t>https://via.placeholder.com/300x650.png/00aabb?text=Smartphone+animi</t>
  </si>
  <si>
    <t>["Sunt doloremque qui sit nesciunt voluptatem adipisci numquam.","Vel ut eos sed neque error ducimus.","Ducimus cupiditate sed inventore possimus.","Voluptates debitis sit in in enim recusandae.","Consectetur dignissimos est commodi sed illo earum.","Nostrum sit dignissimos qui numquam dolores inventore quia recusandae.","Error ab fugiat porro rem provident laudantium voluptas.","Autem sint quos nostrum labore dicta ut consectetur.","Aperiam ipsum sequi cupiditate quasi dignissimos quia temporibus.","Ea eligendi accusamus non est dolorum natus."]</t>
  </si>
  <si>
    <t>["Repudiandae recusandae accusamus eum et dolore. Eos perferendis molestiae voluptate asperiores et ipsam. Omnis rerum repellendus vel deserunt qui quidem. Laudantium maxime quaerat animi veritatis nam laborum.","Et excepturi quod velit labore adipisci non mollitia. Ipsum fuga quia voluptatem sunt. Molestias optio alias assumenda provident aperiam eos fugit. Ex id aut similique quia vero."]</t>
  </si>
  <si>
    <t>corrupti-incidunt-12-512-6-blue</t>
  </si>
  <si>
    <t>rerum dolore praesentium</t>
  </si>
  <si>
    <t>https://via.placeholder.com/300x650.png/00cc44?text=Smartphone+id</t>
  </si>
  <si>
    <t>["Praesentium maiores dolor voluptatem dolor.","Vero ut sapiente quasi aut.","Adipisci minus quasi aut harum ratione.","Reiciendis est dolor reiciendis fugit ipsa quibusdam ex.","Vitae ut fugit eos sed.","Aut et sit sit omnis et.","Quas necessitatibus aut saepe blanditiis.","A unde sapiente animi quo magnam eos nostrum aut.","Molestias minus rerum odit delectus.","Odio sint sint rerum eveniet perferendis architecto incidunt."]</t>
  </si>
  <si>
    <t>["Quas totam sit neque occaecati inventore. Officia corrupti voluptatem non ad natus sit deleniti. Voluptatibus velit molestiae provident enim. Molestias sunt laboriosam earum est voluptatibus excepturi illum nostrum. Expedita aut quae animi in est delectus necessitatibus.","Sapiente aliquid consequuntur deleniti quia. Sed nam culpa maiores possimus. Et cupiditate consectetur perspiciatis fuga est culpa autem. Aut quae quasi quod vitae et. Est voluptatem et cupiditate ut voluptatem numquam rerum."]</t>
  </si>
  <si>
    <t>voluptate-fuga-12-16-4-red</t>
  </si>
  <si>
    <t>et quaerat ut</t>
  </si>
  <si>
    <t>voluptate-fuga</t>
  </si>
  <si>
    <t>https://via.placeholder.com/300x650.png/000000?text=Smartphone+id</t>
  </si>
  <si>
    <t>["Rerum est quo sed nam nihil odio possimus.","Veniam totam illo sapiente.","Sit occaecati aut rerum eaque.","Qui et suscipit sed sed ea quia quod blanditiis.","Laborum a ullam ipsam et libero quis hic esse.","Similique dolores iusto dicta molestias.","Laudantium consequatur earum autem.","Alias eum numquam voluptatem ea.","Et voluptas dolores consequatur assumenda.","Dolor ipsa cumque aut odit ut odit pariatur."]</t>
  </si>
  <si>
    <t>["At praesentium assumenda debitis non cum. Ut cum illo maiores libero consequatur. Beatae quia maxime maiores quia nihil eos qui. Occaecati in perferendis ut assumenda.","Sit pariatur voluptates rem qui amet. Ut at ad sed libero doloremque. Sunt deserunt ut distinctio cupiditate a aliquid quo. Eos possimus possimus in laudantium."]</t>
  </si>
  <si>
    <t>et-voluptate-8-64-6-blue</t>
  </si>
  <si>
    <t>corporis consequuntur sed</t>
  </si>
  <si>
    <t>et-voluptate</t>
  </si>
  <si>
    <t>https://via.placeholder.com/300x650.png/00ff00?text=Smartphone+voluptas</t>
  </si>
  <si>
    <t>["Est accusantium quam ut officiis nihil ipsam.","Repellat rerum vitae doloremque rerum nostrum perferendis.","Est delectus incidunt praesentium necessitatibus.","Sunt velit nihil qui autem in.","Consequatur qui repudiandae quia ea velit repudiandae.","Qui magni saepe nemo quos maxime corporis.","Quo repellat dolores dicta necessitatibus sint fugit.","Enim temporibus est quam et et eligendi.","Sunt et qui nam.","Assumenda ea rerum eaque ad ut odit."]</t>
  </si>
  <si>
    <t>["Quibusdam et odio quo nulla. Nesciunt rerum sed reiciendis iure facere rerum.","Aut cupiditate quasi enim error est non et. Quis nobis consequuntur harum autem. Suscipit perspiciatis velit deleniti quo animi et voluptates."]</t>
  </si>
  <si>
    <t>est-vel-2-512-2-green</t>
  </si>
  <si>
    <t>voluptas laudantium hic</t>
  </si>
  <si>
    <t>est-vel</t>
  </si>
  <si>
    <t>https://via.placeholder.com/300x650.png/000044?text=Smartphone+excepturi</t>
  </si>
  <si>
    <t>["Expedita aut ad cumque totam necessitatibus rerum.","Natus aliquid laudantium quos voluptatem.","Magni aut laboriosam sunt et corporis ut.","Illum neque autem ea laboriosam.","Ut ut et odit quam nobis.","Quisquam culpa numquam nihil qui quia quia.","Aut velit id minima eos.","Minus culpa nemo soluta rerum rem occaecati consequuntur.","Ducimus commodi dolorum molestias accusamus voluptatum ut ut.","Qui assumenda est ex soluta iste."]</t>
  </si>
  <si>
    <t>["Cumque aut vero quia voluptate quisquam earum. A voluptas quisquam aliquam. Unde aut iste deserunt corporis tempore suscipit. Odio in dignissimos sint in voluptates doloribus.","Voluptates voluptatem minima nisi. Quam non deleniti nihil aut."]</t>
  </si>
  <si>
    <t>illum-ullam-6-128-3-green</t>
  </si>
  <si>
    <t>accusantium non et</t>
  </si>
  <si>
    <t>https://via.placeholder.com/300x650.png/004400?text=Smartphone+quam</t>
  </si>
  <si>
    <t>["Et provident eius voluptate eligendi nesciunt mollitia accusantium.","Qui qui unde assumenda dolor quod.","Amet sit molestiae et labore aspernatur nisi.","Et sequi incidunt doloremque fugit autem.","Consectetur provident doloremque rem eum rem excepturi nemo quia.","Optio est blanditiis voluptatem id.","Labore veniam hic ut sit beatae rerum expedita.","Illum aut cum cum necessitatibus.","Harum blanditiis non quod est ut.","Eligendi quia porro nihil cumque inventore est."]</t>
  </si>
  <si>
    <t>["Enim laudantium dolorem ducimus ex similique quo. Repudiandae aliquid et aliquam sed atque tempore. Sapiente molestiae facere in commodi sed. Et odit eum aut eius.","Modi est eos qui. A maiores explicabo ut quas perferendis vitae. Porro repellendus ea veniam."]</t>
  </si>
  <si>
    <t>ut-veritatis-6-64-2-red</t>
  </si>
  <si>
    <t>provident dignissimos nobis</t>
  </si>
  <si>
    <t>https://via.placeholder.com/300x650.png/00ee88?text=Smartphone+molestias</t>
  </si>
  <si>
    <t>["Ab dolores corrupti porro rerum nulla eum voluptate quia.","Voluptas sunt omnis sint odio consequatur quasi animi.","Voluptatem atque sunt aut aliquid dolorem dolorum.","Id doloremque dolor perspiciatis iste laboriosam voluptates aut.","Est aut tempora vel dolor.","Id ab veritatis consequatur illo iure optio.","Perspiciatis reiciendis laboriosam molestiae aut dicta consectetur eum quis.","Perferendis est est molestias aut accusantium debitis.","Praesentium dignissimos qui eius.","Quibusdam cupiditate qui nesciunt omnis impedit."]</t>
  </si>
  <si>
    <t>["A velit nisi aliquid non quam blanditiis architecto. Necessitatibus atque accusantium enim suscipit. Aspernatur et possimus repellat nulla non ut doloribus. Quod occaecati molestias dolor quam eum repudiandae velit. Consequatur ut dolor at.","Est ut molestiae est. Ut ex fugiat ad explicabo voluptatum vel ea asperiores. Laborum beatae sit itaque. Vitae sunt debitis ad vitae ad accusamus consequuntur voluptatem."]</t>
  </si>
  <si>
    <t>voluptate-dicta-8-64-6-black</t>
  </si>
  <si>
    <t>delectus et adipisci</t>
  </si>
  <si>
    <t>https://via.placeholder.com/300x650.png/0066aa?text=Smartphone+quo</t>
  </si>
  <si>
    <t>["Dolor hic labore possimus et voluptate nostrum.","Ad ut esse accusantium ratione qui est molestiae.","Ut perspiciatis eum aut id quisquam impedit nam.","Quae qui quo dolor qui nostrum harum.","Architecto nihil praesentium voluptatem id.","Non debitis sunt nihil quia possimus dignissimos odit.","Et dolor magni totam sunt non quasi a.","Voluptatem perspiciatis exercitationem ea sunt enim voluptatibus.","Ea neque ut adipisci error optio.","Laudantium magnam vitae sunt est occaecati vitae."]</t>
  </si>
  <si>
    <t>["Necessitatibus harum voluptas ab laborum quia eum. Minima atque quidem possimus blanditiis in voluptatem. Ullam aut nobis ut debitis.","Deleniti libero maiores nam voluptatem corrupti fuga tempora assumenda. Quis impedit aut doloribus id. Excepturi eum accusamus dicta aliquam. Rerum sapiente culpa ut et. Molestiae est aut eos vel sit rerum totam."]</t>
  </si>
  <si>
    <t>voluptate-aut-12-64-5-white</t>
  </si>
  <si>
    <t>quasi sequi dolorum</t>
  </si>
  <si>
    <t>https://via.placeholder.com/300x650.png/006688?text=Smartphone+dolores</t>
  </si>
  <si>
    <t>["Adipisci qui adipisci libero animi dolores magnam.","Nisi qui maiores neque iure.","Expedita veritatis quia quibusdam laudantium.","Odit eum maxime officiis ut nam.","Harum quasi exercitationem est dolorem at.","Necessitatibus porro iusto repellat sit est.","Doloribus mollitia beatae libero explicabo consequuntur nam.","Velit nemo ut necessitatibus doloremque.","Voluptatum qui veniam a maxime iste.","Eveniet ipsum eos aliquid in impedit est voluptatem."]</t>
  </si>
  <si>
    <t>["Officiis voluptas et esse cupiditate voluptates. Quasi ea accusantium amet quae rerum. Velit ad facilis voluptatibus ratione voluptatem.","Provident est asperiores esse soluta delectus ea rerum voluptate. Quod eveniet placeat nulla."]</t>
  </si>
  <si>
    <t>et-voluptate-12-16-6-red</t>
  </si>
  <si>
    <t>error fuga veniam</t>
  </si>
  <si>
    <t>https://via.placeholder.com/300x650.png/009955?text=Smartphone+sit</t>
  </si>
  <si>
    <t>["Laudantium vitae omnis sunt excepturi.","Neque necessitatibus voluptatem tempore qui atque ipsum ea omnis.","Qui qui voluptates ut quibusdam saepe nam quidem.","Vel dolores tempore molestias ut quisquam non.","Ut et voluptas rerum repellat asperiores quo voluptates.","Explicabo consequatur accusamus fugit aut nihil sint adipisci.","Iusto possimus maiores voluptatum officia consequatur.","Nulla qui reiciendis laborum.","Explicabo doloribus neque aut qui nihil.","Dolores sit neque inventore occaecati enim sint modi minus."]</t>
  </si>
  <si>
    <t>["Magni error qui officia ut omnis. Similique odio asperiores est rerum sed. Voluptas quidem nobis maiores ea esse temporibus qui.","Et repudiandae nihil aut vel incidunt consectetur quia. Adipisci in maxime consequuntur iusto voluptas sequi. Sit quo molestias consequatur molestiae voluptatem. Alias voluptatum optio cumque quaerat tempore veniam sint."]</t>
  </si>
  <si>
    <t>aspernatur-corrupti-2-64-5-red</t>
  </si>
  <si>
    <t>ipsum est voluptatem</t>
  </si>
  <si>
    <t>https://via.placeholder.com/300x650.png/0066bb?text=Smartphone+voluptatem</t>
  </si>
  <si>
    <t>["Atque quod distinctio enim.","Necessitatibus quia hic cum.","Est aperiam vitae asperiores fuga libero molestias.","Necessitatibus veniam incidunt ipsa architecto quo sed.","Aspernatur maiores exercitationem culpa ratione.","Consequuntur repellat tempore quo aut ea.","Dolor ipsum id quidem corrupti numquam minus.","Voluptates voluptatem enim sint molestias laborum aliquam.","Explicabo distinctio laudantium est voluptates ipsum sequi harum.","Labore quasi dolore doloremque nesciunt sunt sunt optio quam."]</t>
  </si>
  <si>
    <t>["Ipsam facere asperiores quis nihil vel dolorem. Aspernatur animi doloremque dolorum occaecati qui dolore est. Quis voluptates ea ratione magnam aut asperiores dicta. Eum at esse modi et recusandae temporibus.","Odit doloribus velit rem incidunt quo ullam repellendus tempora. Inventore quas quia ad illo qui praesentium ut. Sed et alias doloremque perspiciatis. Optio aperiam quibusdam alias qui ipsum autem."]</t>
  </si>
  <si>
    <t>est-vel-12-128-5-blue</t>
  </si>
  <si>
    <t>harum natus fugit</t>
  </si>
  <si>
    <t>https://via.placeholder.com/300x650.png/004466?text=Smartphone+optio</t>
  </si>
  <si>
    <t>["Ea aut quia voluptatem sed.","Dolorum aut voluptatem incidunt corporis.","Ut voluptas et aut et dolores soluta ipsum.","Et sunt laboriosam molestiae repellendus repellat et.","Animi occaecati blanditiis hic ut.","Voluptatem facilis reprehenderit ut qui a hic.","Similique suscipit eligendi ratione id impedit.","Porro quis qui deserunt est.","Unde dicta rerum voluptates voluptas doloremque sint error error.","Itaque et quia sed at."]</t>
  </si>
  <si>
    <t>["Consequatur doloribus debitis quisquam tenetur. Expedita non inventore excepturi. Quia consequatur facere rerum. Esse ut id provident.","Dolores harum omnis veritatis recusandae. Harum exercitationem nobis libero laboriosam reprehenderit sunt excepturi. Facere assumenda fugiat perspiciatis libero."]</t>
  </si>
  <si>
    <t>est-porro-8-32-4-red</t>
  </si>
  <si>
    <t>error facere minus</t>
  </si>
  <si>
    <t>https://via.placeholder.com/300x650.png/0077ff?text=Smartphone+dolores</t>
  </si>
  <si>
    <t>["Deleniti reiciendis et veniam sunt vel perferendis.","Exercitationem quisquam id sint ex sed corporis exercitationem.","Laboriosam sapiente sint nulla cum.","Enim rerum eos rerum minus.","Nihil officia suscipit consequuntur voluptas dolores at.","Esse ipsam sit iusto et qui debitis suscipit.","Nesciunt soluta vero inventore expedita tempora nostrum aut.","Aut placeat placeat voluptas iusto consequatur.","Sint sapiente eius cumque.","Necessitatibus dicta reprehenderit vitae qui veniam dolores."]</t>
  </si>
  <si>
    <t>["Praesentium quia vero ut illo. Possimus ipsa unde temporibus optio doloremque asperiores. Eius et neque et molestiae sapiente sed mollitia recusandae. Ullam aut accusamus unde quo non et aut.","Repellat aut quos minus commodi. Omnis odio impedit id ut numquam. Iste rerum vero voluptatem eum. Dolores sunt facilis et pariatur eligendi."]</t>
  </si>
  <si>
    <t>maiores-aut-6-16-3-white</t>
  </si>
  <si>
    <t>autem sed rerum</t>
  </si>
  <si>
    <t>https://via.placeholder.com/300x650.png/00aa44?text=Smartphone+qui</t>
  </si>
  <si>
    <t>["Adipisci sed est ratione.","Vero rerum et velit quia facere et consequatur.","Non deleniti ducimus et eum quis vero.","Aut omnis sit modi nam occaecati accusantium voluptatem.","Sit est ea dolor asperiores et.","Consequuntur possimus alias consequuntur beatae.","Ut doloremque consequatur quae quisquam enim qui.","Enim tempore consequatur est aspernatur eos animi.","Iure numquam quo nesciunt in.","Voluptatem sint at rerum et animi."]</t>
  </si>
  <si>
    <t>["Aspernatur ad soluta nesciunt est vel eos dolores. Nostrum sed voluptatem consequatur ratione. Quod voluptatem laborum totam illum sint quas numquam. Et debitis iusto quos sed officia delectus enim nam.","Est ipsum explicabo praesentium repudiandae dolor quam. Blanditiis iusto dolorum quae repellendus. Aspernatur et dicta enim."]</t>
  </si>
  <si>
    <t>quasi-et-4-32-4-black</t>
  </si>
  <si>
    <t>doloremque qui quidem</t>
  </si>
  <si>
    <t>https://via.placeholder.com/300x650.png/00bb99?text=Smartphone+perferendis</t>
  </si>
  <si>
    <t>["A nisi est enim nostrum commodi tenetur vitae.","Et recusandae quo illum nesciunt sunt quasi sunt.","Sunt molestiae aspernatur quia in.","Voluptates dolor ut minima unde excepturi accusamus.","Magnam quae ullam quia sint omnis ipsam optio.","Eos est ea dolorum temporibus.","Quia rerum blanditiis officia vel modi voluptatem reiciendis.","Non molestiae amet reprehenderit mollitia.","Aut consectetur qui fuga quas incidunt.","Eum iusto voluptatem nisi architecto unde."]</t>
  </si>
  <si>
    <t>["Expedita eum voluptas quis veniam. Expedita asperiores odio quibusdam sint est. Ut ducimus nam corrupti harum omnis temporibus.","Explicabo nisi consequuntur doloribus consequatur placeat eos explicabo. Deleniti quisquam cumque ab minima explicabo. Reiciendis ea laboriosam soluta ducimus et non tempora."]</t>
  </si>
  <si>
    <t>est-maiores-4-128-6-red</t>
  </si>
  <si>
    <t>fuga quia expedita</t>
  </si>
  <si>
    <t>https://via.placeholder.com/300x650.png/0088aa?text=Smartphone+nihil</t>
  </si>
  <si>
    <t>["Nihil eius modi fuga quibusdam ipsum quasi.","Tenetur et repellendus assumenda quas.","Libero voluptatem est minus voluptatem.","Non alias deleniti maiores aliquid ut autem.","Minus laborum occaecati est.","Et ducimus et similique voluptatibus sit repellendus earum.","Eveniet reprehenderit eius aut qui quia aut vero.","Voluptas voluptas provident est ut id dolor totam.","Et eum voluptates et dolor magni ducimus expedita.","Officiis quae non qui non sint enim."]</t>
  </si>
  <si>
    <t>["Omnis id aut ex officia itaque dolorem. Impedit fuga qui quos blanditiis ipsam. Rem corrupti aut veniam nostrum sint.","Quis sed modi iusto corrupti consequuntur. Culpa asperiores quas voluptatem minima vero. Nisi minima earum ratione quam. Fugit optio corporis exercitationem voluptatum qui ut illum."]</t>
  </si>
  <si>
    <t>illum-ab-6-32-5-red</t>
  </si>
  <si>
    <t>maxime consectetur qui</t>
  </si>
  <si>
    <t>illum-ab</t>
  </si>
  <si>
    <t>https://via.placeholder.com/300x650.png/008899?text=Smartphone+quo</t>
  </si>
  <si>
    <t>["Illum repellat maxime ea ea doloribus.","Aut veniam voluptas magni ut enim.","Voluptas tempore quia sed voluptatem consequuntur dignissimos.","Unde aliquam et et aperiam quo possimus et.","Dignissimos nam mollitia corporis amet et rem aliquid.","Quia molestiae modi officia.","Dignissimos et totam aspernatur sint quam.","Voluptatem quibusdam numquam repudiandae voluptatem necessitatibus culpa molestiae.","Consequuntur et incidunt magnam pariatur velit natus.","Earum esse libero necessitatibus quis doloremque."]</t>
  </si>
  <si>
    <t>["Repellendus voluptate eaque aut aliquid at ratione quia. Rerum error quia accusamus est ipsam. Ut est delectus natus est.","Et quaerat provident repellendus ipsam consequuntur culpa quaerat. Aut asperiores ipsa enim autem sequi ut dignissimos. Iusto qui omnis provident labore nam sed. Vitae deserunt est dolorem esse in est dolor similique."]</t>
  </si>
  <si>
    <t>illum-ab-8-512-6-red</t>
  </si>
  <si>
    <t>consequatur voluptatem deleniti</t>
  </si>
  <si>
    <t>https://via.placeholder.com/300x650.png/005555?text=Smartphone+dolore</t>
  </si>
  <si>
    <t>["Ipsum doloremque accusantium itaque blanditiis.","Nam dolorem eaque deleniti aut.","Aut eos et temporibus.","Doloribus provident eum harum iusto.","Explicabo voluptate laboriosam est et qui dolorem.","Ut dolores qui maxime quibusdam est voluptatibus aut.","Sit placeat modi commodi vero.","Amet id beatae eum officiis velit necessitatibus voluptate nemo.","Quibusdam sapiente id unde assumenda omnis.","Et omnis minus in omnis hic itaque reiciendis."]</t>
  </si>
  <si>
    <t>["Architecto consequatur ipsum labore voluptas excepturi quis. Aliquam et voluptatem itaque vel molestias itaque.","Inventore quaerat rem ipsum. Blanditiis debitis tenetur sint temporibus enim. Neque hic aut corrupti magni necessitatibus vitae similique totam. Architecto a architecto animi dolores doloribus laborum. Iure aut soluta dolores error qui repellendus."]</t>
  </si>
  <si>
    <t>voluptate-velit-2-16-2-red</t>
  </si>
  <si>
    <t>veritatis deserunt facere</t>
  </si>
  <si>
    <t>https://via.placeholder.com/300x650.png/003355?text=Smartphone+eum</t>
  </si>
  <si>
    <t>["Perspiciatis eaque quia iure eos quia inventore sint sit.","Provident reiciendis id nihil saepe voluptas doloribus.","Autem molestias alias inventore qui.","Totam quia hic maxime.","Recusandae magni quam ut labore.","Optio et molestias eaque voluptatem.","Ut voluptas vero consequuntur.","Quam ut ut laborum eos itaque qui.","Enim tempore recusandae voluptas eum et.","Ut qui sunt sit dignissimos."]</t>
  </si>
  <si>
    <t>["Harum est quia officia sed culpa sit id. Id deleniti corrupti dolor vel. Excepturi provident a aut impedit unde beatae. Magnam eaque voluptatem amet ut minus atque ducimus modi.","Nisi culpa et accusantium et cum. Et quam pariatur est exercitationem ut. Eveniet excepturi excepturi qui occaecati placeat voluptatum."]</t>
  </si>
  <si>
    <t>sed-eligendi-6-32-4-black</t>
  </si>
  <si>
    <t>qui deleniti quas</t>
  </si>
  <si>
    <t>https://via.placeholder.com/300x650.png/004433?text=Smartphone+numquam</t>
  </si>
  <si>
    <t>["Eaque occaecati velit qui enim perspiciatis exercitationem animi.","Voluptatibus quis officia magnam et atque quia voluptate.","Dolores non omnis culpa ut quis et ut.","Cupiditate quia repudiandae amet nihil.","Dolor dolorem recusandae sequi deleniti possimus.","Qui ut temporibus odit assumenda.","Aliquam doloremque non id ipsa molestias qui.","Suscipit et odit sapiente.","Tenetur sint dignissimos et quia voluptas corporis quod.","Sint molestiae autem reprehenderit assumenda possimus ea."]</t>
  </si>
  <si>
    <t>["Ex voluptas molestiae nihil tenetur quisquam quas. Eum sint sunt culpa quae. Ea hic dolorem magni sapiente et ab. Rerum facere excepturi atque quos autem.","Illo nulla voluptate nisi consequatur. Aut non qui debitis quidem recusandae omnis eligendi. Aliquid tempora vel ullam possimus nam."]</t>
  </si>
  <si>
    <t>aspernatur-asperiores-12-8-6-blue</t>
  </si>
  <si>
    <t>sapiente error corrupti</t>
  </si>
  <si>
    <t>https://via.placeholder.com/300x650.png/00bb88?text=Smartphone+officiis</t>
  </si>
  <si>
    <t>["Accusamus voluptatem ipsum nulla nulla quo omnis facilis.","Maiores deserunt quis quos doloremque dignissimos.","Veritatis quidem quod aut et eos libero tempore.","Eaque id saepe ratione voluptates est eum.","Et consectetur voluptatem ipsum soluta sunt rerum consequatur.","Et aut laborum cum ipsum at est.","Aut aliquid delectus deserunt est sunt.","Est tenetur ab deserunt consequatur labore impedit.","Aliquid placeat corporis rerum in.","Quo soluta nihil minima mollitia molestias minus."]</t>
  </si>
  <si>
    <t>["Sit saepe et aut. Et deserunt voluptatem et molestiae maiores ratione. Voluptatum earum illum quaerat temporibus et.","Illum tempore voluptatem et voluptas eos. Nam est ex quis nam et occaecati. Id tempore sed at rerum est. Hic voluptatum quia harum occaecati nisi assumenda et."]</t>
  </si>
  <si>
    <t>maiores-voluptatum-2-512-5-red</t>
  </si>
  <si>
    <t>accusantium rerum animi</t>
  </si>
  <si>
    <t>https://via.placeholder.com/300x650.png/000077?text=Smartphone+cupiditate</t>
  </si>
  <si>
    <t>["Distinctio sed debitis deleniti tempora.","Ducimus repellat qui qui dolor.","Itaque quod nam at quam eius.","Excepturi eligendi corporis provident iure doloribus.","Ea ipsum qui officiis.","Voluptatem soluta repellendus vel voluptatem minus reprehenderit amet nesciunt.","Quia minus ad laboriosam explicabo placeat voluptatum praesentium.","Saepe veniam et animi reprehenderit quam optio sed.","Possimus qui necessitatibus doloribus omnis.","Molestiae quis rerum possimus nam."]</t>
  </si>
  <si>
    <t>["Id omnis ipsum non molestias eius debitis occaecati. Maiores illum cumque dolorem aspernatur sint quas voluptas eum. Quo dolorem et eum optio illum qui perferendis.","Nemo optio perferendis exercitationem temporibus praesentium iste. Assumenda excepturi et nisi. Eaque molestiae cumque itaque autem."]</t>
  </si>
  <si>
    <t>aspernatur-voluptatem-12-8-4-black</t>
  </si>
  <si>
    <t>nobis consectetur iure</t>
  </si>
  <si>
    <t>https://via.placeholder.com/300x650.png/0044ff?text=Smartphone+distinctio</t>
  </si>
  <si>
    <t>["Natus quae ab magni et ea dignissimos similique.","Minima et voluptatem sunt facere doloremque perspiciatis itaque corrupti.","Placeat nobis harum in accusamus molestiae excepturi cum.","Sequi qui quia beatae aliquam rerum.","Et eius consequatur aut.","Ut quaerat laudantium enim tenetur quasi et vel nostrum.","Quis perspiciatis asperiores dolor repudiandae facilis.","Id vel odio est molestiae.","Et asperiores omnis et impedit tenetur enim repudiandae ea.","Sint illum vel et libero sint."]</t>
  </si>
  <si>
    <t>["Vitae exercitationem nulla vel iure et animi alias. Eos iusto fugit et recusandae maiores. Fugiat molestias dolorum iure voluptas temporibus consectetur. Est assumenda blanditiis quia ratione aut.","Qui accusantium quos incidunt debitis veritatis occaecati. Eum dolores sed aut neque natus exercitationem esse. Voluptas nemo placeat tempora occaecati esse quia. Laborum voluptas animi fuga autem placeat tempore."]</t>
  </si>
  <si>
    <t>est-porro-12-32-3-black</t>
  </si>
  <si>
    <t>vel ad ipsum</t>
  </si>
  <si>
    <t>https://via.placeholder.com/300x650.png/003344?text=Smartphone+consequatur</t>
  </si>
  <si>
    <t>["Omnis molestiae repellat commodi animi.","Possimus molestiae aperiam nihil qui autem.","Et aspernatur quae itaque.","Incidunt eligendi minima sapiente rem omnis aliquam.","Assumenda eum labore excepturi temporibus in quo perferendis.","Id ut aut veritatis mollitia adipisci.","Magnam vel quidem hic et id et perspiciatis velit.","In ratione quia qui fugiat.","Error voluptas quis sed sapiente.","Laborum iste et non sit placeat."]</t>
  </si>
  <si>
    <t>["Voluptatum iure aliquid nostrum nisi. Repudiandae libero impedit in aut quae cupiditate repellendus non. Expedita aut pariatur ipsam minus odit voluptatum. Qui excepturi necessitatibus tempora recusandae ut quod vel.","Corporis sed nesciunt vero doloribus ipsam itaque. Rerum at in eaque eaque alias nam tempore explicabo. Sapiente quia aut odio minima earum voluptas."]</t>
  </si>
  <si>
    <t>illum-ab-8-128-4-white</t>
  </si>
  <si>
    <t>reiciendis nam error</t>
  </si>
  <si>
    <t>https://via.placeholder.com/300x650.png/002200?text=Smartphone+commodi</t>
  </si>
  <si>
    <t>["Qui est necessitatibus optio error cupiditate totam libero et.","Rerum voluptas rerum distinctio sit et occaecati.","Voluptatem necessitatibus voluptate doloribus ex ut rerum voluptatum.","Et placeat qui aut autem tempora.","Autem aut tenetur voluptas hic ullam reiciendis dolores deleniti.","Ab quia dolorem quia sint.","Quisquam id dicta ut dolores quia.","Sint numquam aliquid rerum dolorum dolorem.","Praesentium aut repellat voluptas culpa sed suscipit dolorum quia.","Modi reiciendis aut dolor delectus laborum."]</t>
  </si>
  <si>
    <t>["Qui molestias eveniet sed voluptatibus et rem. Autem quis fugiat ut velit aut sunt molestiae. Itaque eum inventore debitis quas. Magni exercitationem vero voluptatem facilis dolorem illum.","Libero itaque ducimus consectetur qui. Omnis neque eius ut labore aut rem inventore. Quam et at aut fugiat sit."]</t>
  </si>
  <si>
    <t>et-minima-2-64-3-blue</t>
  </si>
  <si>
    <t>corrupti aut vel</t>
  </si>
  <si>
    <t>https://via.placeholder.com/300x650.png/00ee22?text=Smartphone+quidem</t>
  </si>
  <si>
    <t>["Consequuntur consequatur exercitationem maxime praesentium itaque.","Dolor perferendis omnis nemo beatae nulla veniam perferendis.","Quis consequuntur rerum perferendis totam.","Dolores ex aut saepe et aut inventore voluptatem.","Ex rerum aut perspiciatis porro earum.","Explicabo molestiae qui quibusdam autem et omnis.","Ipsa vel sunt qui alias enim reprehenderit voluptatum.","Laboriosam molestiae ut velit vero sed quaerat voluptatem.","Ea fuga natus velit maxime.","Porro quia ea rerum culpa aut sunt."]</t>
  </si>
  <si>
    <t>["Quia repudiandae sed facere nam iusto. Quos magni eveniet accusamus.","Fuga illum pariatur eligendi excepturi minus aut beatae. Sit omnis iure qui officia aut impedit. Illum inventore mollitia consequatur blanditiis quisquam. Eum debitis odit libero et architecto."]</t>
  </si>
  <si>
    <t>illum-perspiciatis-6-64-4-black</t>
  </si>
  <si>
    <t>itaque sequi est</t>
  </si>
  <si>
    <t>illum-perspiciatis</t>
  </si>
  <si>
    <t>https://via.placeholder.com/300x650.png/00ee00?text=Smartphone+animi</t>
  </si>
  <si>
    <t>["Dolor et soluta reprehenderit sit cum.","Doloremque perspiciatis labore harum aut omnis veniam rerum modi.","Cum exercitationem voluptas libero officia suscipit.","Rerum aut recusandae veniam a sit harum.","Autem commodi voluptas sunt.","Saepe deleniti quam sed ut voluptates id.","Unde ut voluptas ab temporibus quo unde nihil.","Odit nihil ut molestiae omnis id sit.","Qui voluptates non nihil similique.","Illum quisquam similique cumque vel."]</t>
  </si>
  <si>
    <t>["Atque commodi doloribus maiores quasi ut aliquid. Perspiciatis quas non laborum eligendi. Velit et nam aut molestiae praesentium omnis. Sapiente molestias sint quia ut fugiat hic.","Et minus et temporibus sint repellendus unde. Nisi et nulla ab est consequatur sapiente. Ipsa sed dolores et error nulla. Atque omnis ut dicta impedit odio consequatur non."]</t>
  </si>
  <si>
    <t>sed-necessitatibus-12-512-3-red</t>
  </si>
  <si>
    <t>eos ipsum voluptatum</t>
  </si>
  <si>
    <t>https://via.placeholder.com/300x650.png/00ccee?text=Smartphone+eum</t>
  </si>
  <si>
    <t>["Ad corrupti id cum ut fugit molestiae voluptate perferendis.","Et vel aut facilis voluptas est facilis dolores.","Animi ea voluptates praesentium voluptas autem et voluptatum.","Et possimus perspiciatis enim sunt.","Porro saepe rem assumenda fugiat.","Quisquam corporis doloribus consequatur officiis iusto officiis deserunt reiciendis.","Rerum qui est provident neque et ipsa.","Laudantium nostrum at sit.","Facere dolorem velit consequatur eligendi.","Odio ut fugit assumenda odio."]</t>
  </si>
  <si>
    <t>["Laudantium ut eaque vero itaque id officia. Inventore consequuntur ipsum et. Occaecati ad non cupiditate.","Quo ut natus repellendus nulla perspiciatis. Praesentium minus minus natus in. Aut eos voluptatem dolore. Placeat ipsum at et aut odit occaecati ut."]</t>
  </si>
  <si>
    <t>est-debitis-8-8-5-red</t>
  </si>
  <si>
    <t>consequatur consectetur recusandae</t>
  </si>
  <si>
    <t>https://via.placeholder.com/300x650.png/005555?text=Smartphone+et</t>
  </si>
  <si>
    <t>["Atque omnis qui ab quas commodi.","Aliquam officiis optio eius voluptatem.","Nam quisquam eaque doloribus culpa.","Blanditiis necessitatibus earum commodi voluptatem.","Ex officia neque qui quisquam doloremque ab aut.","Maxime cum non ad amet ea at dolorem nobis.","Ut consectetur nihil tenetur iure est.","Corporis iusto voluptatem porro itaque.","Nesciunt officiis voluptatem consectetur non reiciendis.","Molestiae et voluptates eum inventore quaerat eius impedit."]</t>
  </si>
  <si>
    <t>["Suscipit assumenda alias assumenda aliquam. Et quaerat eius earum maiores praesentium culpa incidunt id. Reiciendis laboriosam molestias beatae reiciendis quaerat velit. Rerum quibusdam molestiae sapiente consequuntur ut voluptatem.","Consequatur doloremque distinctio eius commodi ratione quia vitae. Sit esse nemo in suscipit. Similique eum non voluptate et qui quis fugiat ad. Adipisci minima ad minima labore eius dolores."]</t>
  </si>
  <si>
    <t>corrupti-qui-6-32-5-blue</t>
  </si>
  <si>
    <t>et quos error</t>
  </si>
  <si>
    <t>https://via.placeholder.com/300x650.png/0055ee?text=Smartphone+possimus</t>
  </si>
  <si>
    <t>["Aut rerum dolore tempore.","Qui est nisi distinctio saepe beatae.","Veritatis soluta architecto at in.","Eaque sit illum numquam doloremque atque.","Explicabo non cum et vitae ut quidem possimus.","Sed rerum aperiam aut nostrum.","Totam vero ea nostrum nostrum et.","Alias ipsum voluptate ex non ullam quasi adipisci laborum.","Error sint perferendis quibusdam quod voluptatibus temporibus sapiente.","Rem dolor eligendi molestiae sint consectetur."]</t>
  </si>
  <si>
    <t>["Blanditiis voluptatibus sed quidem nihil. Reiciendis qui sed ut debitis. Neque exercitationem aspernatur dolorum eligendi.","Necessitatibus cumque tenetur qui ut commodi reprehenderit. Dolore omnis fugit sapiente rerum. Sed rem ad necessitatibus et aspernatur sunt."]</t>
  </si>
  <si>
    <t>sed-rerum-12-8-2-red</t>
  </si>
  <si>
    <t>voluptate corporis consequuntur</t>
  </si>
  <si>
    <t>https://via.placeholder.com/300x650.png/00eeaa?text=Smartphone+aut</t>
  </si>
  <si>
    <t>["Aut qui harum aliquid accusantium.","Voluptatem velit praesentium veniam consequuntur.","Consequatur numquam dolore sint.","Nostrum et blanditiis nemo et corporis vitae.","Rerum debitis aut ab corrupti autem in.","Saepe beatae laudantium quidem suscipit.","Ut placeat culpa tenetur qui quis.","Esse quasi itaque laboriosam et sed molestiae.","Dolorum dicta quod excepturi praesentium enim numquam.","Consequuntur quas soluta et autem itaque pariatur."]</t>
  </si>
  <si>
    <t>["Eaque temporibus accusamus sint ut consequatur minus sit reprehenderit. Ut sunt rem in tempore perferendis distinctio. Fugit labore et quaerat deserunt voluptates ut.","Fugit aut odio autem ut dolore. Dignissimos itaque natus non accusantium. Tempore architecto ad sed exercitationem enim iusto et. Eligendi aut sunt unde nulla quisquam odit."]</t>
  </si>
  <si>
    <t>corrupti-incidunt-8-32-2-white</t>
  </si>
  <si>
    <t>nulla quo ea</t>
  </si>
  <si>
    <t>https://via.placeholder.com/300x650.png/00bb77?text=Smartphone+molestiae</t>
  </si>
  <si>
    <t>["Odit ut delectus expedita optio ipsam dicta.","Dolorem harum omnis consectetur aut ut dolor maiores.","Ut quia distinctio qui.","Natus modi fugit corrupti autem.","Ea saepe voluptatum rerum doloribus quasi eum id.","Saepe accusantium qui autem eos ea expedita culpa.","Excepturi dolor ut ut placeat ratione neque sunt.","Enim quia modi eum magni consequatur nobis sit distinctio.","Vitae ad dolore ratione alias quia.","Et consequatur eos dolores."]</t>
  </si>
  <si>
    <t>["Qui exercitationem dolores distinctio praesentium et. Magnam quis quia itaque ex.","Nisi consequatur vitae aut et accusamus est beatae. Est reprehenderit molestiae voluptas neque ex. Voluptatibus et quidem impedit excepturi consequuntur."]</t>
  </si>
  <si>
    <t>aspernatur-voluptatem-4-8-2-black</t>
  </si>
  <si>
    <t>repellendus fuga saepe</t>
  </si>
  <si>
    <t>https://via.placeholder.com/300x650.png/00cc33?text=Smartphone+nihil</t>
  </si>
  <si>
    <t>["Hic qui esse ut non in voluptatem in.","Dolores vitae sit voluptate aperiam consectetur.","Perferendis rerum repudiandae unde consequatur accusamus aliquam.","Perspiciatis accusantium est asperiores laboriosam et eaque natus.","Consequatur deserunt aut consectetur impedit officia.","Perspiciatis soluta quibusdam quisquam repudiandae quas numquam.","Excepturi vero hic quia qui aut aliquam.","Exercitationem rerum sequi id nesciunt a quaerat.","Dolorum qui labore repellendus.","Voluptatibus magnam dolor et."]</t>
  </si>
  <si>
    <t>["Cupiditate dolor et occaecati expedita odit. Repellat consequatur vel eveniet. Vel ipsum corrupti ut qui aut. Laudantium reprehenderit esse earum aut alias voluptas hic.","Nulla eius autem optio earum explicabo. Consequuntur error dignissimos vel voluptatem. Id eaque commodi nemo soluta."]</t>
  </si>
  <si>
    <t>et-non-8-16-3-white</t>
  </si>
  <si>
    <t>pariatur itaque eveniet</t>
  </si>
  <si>
    <t>https://via.placeholder.com/300x650.png/009922?text=Smartphone+voluptatem</t>
  </si>
  <si>
    <t>["Aut ab cumque sit veritatis mollitia sequi tempore.","Recusandae mollitia velit molestiae minima voluptas quam.","Perferendis repudiandae et id occaecati dolore ut quos.","Dolor rerum beatae beatae id totam.","Debitis a sint quis magnam deserunt.","Ea ex consequatur voluptatibus fugiat voluptate.","Est et omnis fugiat rem rerum id tempora.","Voluptas unde reprehenderit in fuga temporibus et iste.","Minima ut tempora consequatur omnis et natus consectetur.","Ex dicta id voluptatem accusantium ut non."]</t>
  </si>
  <si>
    <t>["Perspiciatis aliquid eum illo rem doloribus iure. Voluptatum molestiae possimus distinctio non dolorem. Nisi facilis accusantium animi et ducimus aspernatur fugiat.","Reprehenderit quia cum eos aspernatur adipisci. Aut blanditiis voluptatem quibusdam fuga. Corrupti vitae ratione consequatur. Aliquid aperiam omnis ratione. Impedit dolor ipsam fugit."]</t>
  </si>
  <si>
    <t>ut-iusto-12-16-4-red</t>
  </si>
  <si>
    <t>placeat quia a</t>
  </si>
  <si>
    <t>https://via.placeholder.com/300x650.png/00ffdd?text=Smartphone+voluptatibus</t>
  </si>
  <si>
    <t>["Quidem fugiat error ipsum impedit rerum vel repellendus et.","Quam odit inventore quo eos omnis sit.","Libero quaerat dolore deleniti unde quo est aut.","Aperiam atque ut accusantium velit.","Nemo dolore accusamus expedita quis.","Nisi sint dolores doloribus.","Ducimus minus facilis error autem temporibus sint amet.","Possimus inventore eos dicta.","In quas reprehenderit id cumque doloribus nihil atque.","Odit aliquid dicta est voluptas omnis."]</t>
  </si>
  <si>
    <t>["Aut velit exercitationem alias dolorem ratione officiis ab. Velit nemo aut et culpa laboriosam sunt impedit. Earum et id quia et dolores nemo. Numquam ratione est velit.","Provident rerum iusto at exercitationem deserunt atque voluptate. Et excepturi illo nulla quia et officia. Ut quia quae quisquam minima illum delectus. Voluptatum aut eum consequatur soluta alias qui quisquam."]</t>
  </si>
  <si>
    <t>illum-ullam-2-32-4-red</t>
  </si>
  <si>
    <t>omnis est iste</t>
  </si>
  <si>
    <t>https://via.placeholder.com/300x650.png/001199?text=Smartphone+possimus</t>
  </si>
  <si>
    <t>["Et eum qui porro.","Necessitatibus dolor est molestias.","Dolorem et voluptas sunt ex consequatur.","Distinctio debitis est quasi soluta est.","Minus sed porro quia omnis.","Facere neque ea vero dolore aut dolores.","Illum repellat ea aut vel sunt odio quo.","Voluptatibus quos et debitis deleniti.","Beatae nihil fugiat ullam et necessitatibus odio.","Ipsam nisi quo sit doloribus quasi."]</t>
  </si>
  <si>
    <t>["Temporibus ad est voluptatem adipisci impedit omnis reiciendis. Et et facilis quod provident. Consequuntur deserunt et et facere doloremque saepe laboriosam aut. Reiciendis reprehenderit sapiente iste voluptas.","Eos molestias ipsum quia molestiae iusto iste quo. Tempora in eum soluta maiores vero aperiam. Consequatur aliquid ut porro quis delectus a molestiae."]</t>
  </si>
  <si>
    <t>voluptate-magnam-12-32-5-green</t>
  </si>
  <si>
    <t>et sit omnis</t>
  </si>
  <si>
    <t>voluptate-magnam</t>
  </si>
  <si>
    <t>https://via.placeholder.com/300x650.png/00bb99?text=Smartphone+voluptate</t>
  </si>
  <si>
    <t>["Culpa nulla non ipsam earum vitae.","Optio quia accusantium dignissimos odit sapiente assumenda voluptatem.","Qui debitis tempore hic laboriosam voluptatem.","Reprehenderit consectetur et velit.","Cumque qui saepe id possimus odit.","Possimus soluta sed qui ex.","Temporibus rem aperiam sunt doloribus.","Quod maxime ut molestiae dicta repudiandae quos.","Illo unde tempore amet possimus.","Nisi nemo velit ut rem tenetur unde aut neque."]</t>
  </si>
  <si>
    <t>["Possimus eum voluptas architecto sit. Ad exercitationem qui quia est tenetur sed. Velit minima repellendus modi voluptas.","Est qui temporibus facere voluptatem explicabo nihil temporibus. Nesciunt impedit earum sapiente et sunt qui. Fugiat ex similique facilis nihil cumque dolore aliquid id. Nobis tempore eum quaerat quod ut vel. Provident aut vel esse qui odit atque."]</t>
  </si>
  <si>
    <t>voluptate-velit-2-16-6-blue</t>
  </si>
  <si>
    <t>in tempora reprehenderit</t>
  </si>
  <si>
    <t>https://via.placeholder.com/300x650.png/00aa00?text=Smartphone+neque</t>
  </si>
  <si>
    <t>["Laboriosam non dolor possimus error ut enim.","Commodi qui in placeat dolores suscipit quibusdam.","Voluptatum natus aliquid veniam dolor iure reprehenderit.","Est ipsa est quibusdam qui quibusdam possimus.","Et repellat et alias repellat.","Quo natus voluptas voluptatem non.","Sapiente praesentium velit asperiores laborum et.","Accusantium rerum error laudantium et mollitia quia.","Voluptatum culpa sint qui suscipit cumque ut molestiae.","Recusandae ab rerum odit culpa et praesentium earum."]</t>
  </si>
  <si>
    <t>["Voluptatem non itaque error eos. Vel dignissimos autem omnis mollitia dolores. Inventore tempore at consequuntur perspiciatis.","Dolorem a veniam quis pariatur et sed architecto. Laborum omnis et dolorum vitae cum. Expedita mollitia corporis dolorem ipsam eos."]</t>
  </si>
  <si>
    <t>aspernatur-asperiores-12-128-6-green</t>
  </si>
  <si>
    <t>mollitia dicta architecto</t>
  </si>
  <si>
    <t>https://via.placeholder.com/300x650.png/00bbdd?text=Smartphone+mollitia</t>
  </si>
  <si>
    <t>["Nulla ea et molestiae repellendus dolore sunt.","Quibusdam facilis mollitia in possimus recusandae.","Cumque incidunt assumenda aperiam veritatis omnis.","Saepe aliquid numquam sequi delectus animi quia et.","Enim expedita tempore ut corporis voluptatem.","Ea nobis et perspiciatis itaque blanditiis eum doloremque.","Laborum consequatur ullam quis aliquid quis.","Voluptas voluptate neque porro eligendi in.","Doloribus est nesciunt aut blanditiis voluptas accusamus.","Tempora aut velit occaecati accusamus sed dignissimos."]</t>
  </si>
  <si>
    <t>["Autem sed numquam veniam velit voluptates perspiciatis est autem. Recusandae modi vero nihil non commodi. Ut veniam sit eos.","Suscipit corporis libero rerum esse. Ut sit esse voluptas nostrum pariatur optio. Expedita mollitia qui aut illo officia. Earum dolor sit iure blanditiis doloribus fuga fuga."]</t>
  </si>
  <si>
    <t>sed-dignissimos-6-32-6-red</t>
  </si>
  <si>
    <t>qui ipsa et</t>
  </si>
  <si>
    <t>https://via.placeholder.com/300x650.png/003322?text=Smartphone+molestias</t>
  </si>
  <si>
    <t>["Est veniam ut vero impedit inventore nihil.","Culpa eum in maxime non recusandae.","Ab ut consectetur ad ratione expedita aut.","In et atque ipsum sed est sed.","Quia quas molestias quam sunt.","Harum qui quibusdam alias et reprehenderit cumque.","Modi est id earum sit natus est facere.","Maxime non suscipit impedit veniam asperiores dolorem voluptatem.","In incidunt magnam nobis voluptate ratione vero.","Non ipsum quam expedita temporibus est rem quod."]</t>
  </si>
  <si>
    <t>["Architecto eligendi aut vitae unde et. Sed molestiae sunt est tempore ex est eos. Culpa quis sed ea pariatur non.","Ut excepturi aut ut ab. Assumenda velit veniam voluptate. Natus inventore consequatur qui vero."]</t>
  </si>
  <si>
    <t>illum-et-2-512-4-blue</t>
  </si>
  <si>
    <t>et at ex</t>
  </si>
  <si>
    <t>illum-et</t>
  </si>
  <si>
    <t>https://via.placeholder.com/300x650.png/00eeaa?text=Smartphone+illo</t>
  </si>
  <si>
    <t>["Esse laboriosam consequatur fuga enim.","Mollitia ipsa et molestiae assumenda itaque autem nobis.","Recusandae dolorum non qui similique consequatur voluptatem quidem.","Repudiandae praesentium omnis voluptas.","Illum ea quis voluptatibus vel maxime repellat quaerat.","Enim quia et molestiae aut.","Quos corrupti molestiae pariatur velit exercitationem.","Omnis aut eum dolores dignissimos mollitia iste.","Vitae esse aliquam odio nihil.","Et repudiandae et libero rerum et fugiat."]</t>
  </si>
  <si>
    <t>["Et nisi soluta veritatis velit consequuntur quo. Dolorum sit provident voluptatibus et cupiditate veritatis. Doloremque ducimus ullam et et eveniet.","Error est doloremque eos dolor. Voluptas accusantium reprehenderit expedita et. Consequatur exercitationem exercitationem voluptate quia. Vero dignissimos voluptates iste quia."]</t>
  </si>
  <si>
    <t>illum-perspiciatis-12-512-6-white</t>
  </si>
  <si>
    <t>necessitatibus delectus qui</t>
  </si>
  <si>
    <t>https://via.placeholder.com/300x650.png/0011cc?text=Smartphone+nesciunt</t>
  </si>
  <si>
    <t>["Excepturi eum beatae fuga quia sapiente et.","Quia et quia quia mollitia accusamus aperiam.","Sunt sunt incidunt incidunt aut.","Itaque dolorum est reprehenderit ut.","Quaerat maiores iure laudantium quam vero.","Ratione iste quia enim sint soluta consequuntur ut ratione.","Ut magnam qui et veniam vel et quibusdam.","Necessitatibus consectetur fuga natus.","Illo a et non et est dolorem impedit dignissimos.","Sunt est sint praesentium dolor dolore."]</t>
  </si>
  <si>
    <t>["Eos reprehenderit aut rerum suscipit dolore id. Id ut necessitatibus debitis consequatur et aut dolore. Placeat ut accusantium in sunt repellat.","Soluta neque saepe rerum fugiat architecto vitae. Minima modi ipsa ipsum illo. Et error necessitatibus doloribus delectus recusandae sequi vel repellat. Est reiciendis id dignissimos nam similique qui."]</t>
  </si>
  <si>
    <t>et-natus-6-64-2-blue</t>
  </si>
  <si>
    <t>facere cum quia</t>
  </si>
  <si>
    <t>https://via.placeholder.com/300x650.png/009944?text=Smartphone+ut</t>
  </si>
  <si>
    <t>["Ea illum ducimus id dolorem quis esse.","Porro animi reiciendis saepe.","Asperiores sed commodi delectus natus sunt eaque sint.","Id voluptatum mollitia praesentium dolores.","At explicabo dolor dolor dicta ut.","Ipsum corporis perspiciatis sed maxime eaque est soluta.","Accusamus aut beatae dignissimos error ipsam sunt qui.","Enim totam in necessitatibus minima esse nihil dicta.","Aut et commodi odio quasi ullam soluta omnis quod.","Dolor aperiam ipsam necessitatibus et laborum."]</t>
  </si>
  <si>
    <t>["Fugiat et quas quaerat eaque incidunt rem quibusdam dolor. Dolores qui doloremque ut necessitatibus. Commodi quo ut perspiciatis dolor nihil culpa iusto.","Ducimus neque quia fuga voluptatem occaecati rerum provident. Praesentium ipsa voluptas ex molestiae error quidem. Facilis rerum neque itaque consequatur qui molestias ratione."]</t>
  </si>
  <si>
    <t>voluptate-nemo-4-512-2-black</t>
  </si>
  <si>
    <t>aperiam voluptas rerum</t>
  </si>
  <si>
    <t>https://via.placeholder.com/300x650.png/0011ff?text=Smartphone+repellendus</t>
  </si>
  <si>
    <t>["Quia nisi corrupti ducimus iusto nesciunt perspiciatis.","Magnam quisquam sunt et sit animi facilis ab.","Et quam sunt numquam ut dolores dolor est soluta.","Quod totam inventore officiis fuga mollitia ut dolor.","Temporibus nesciunt et fugit eligendi cum.","Nam et qui magnam nihil quia ipsum et.","Aut voluptate aut ducimus ea.","Aperiam occaecati quisquam eos nisi esse.","Doloribus ea quia laborum quo.","Exercitationem non et ullam dolorum."]</t>
  </si>
  <si>
    <t>["Labore ipsam itaque eum deserunt fugiat odit ipsa minima. Laboriosam est explicabo et voluptatem quae. Debitis beatae eos et maxime nostrum. Dolor enim laborum exercitationem deleniti fugiat.","Laudantium magni similique odit placeat vel eius in. Velit voluptatum sunt dolor et. Quia minus corrupti sapiente debitis eum."]</t>
  </si>
  <si>
    <t>illum-reiciendis-6-64-2-white</t>
  </si>
  <si>
    <t>rerum nihil doloribus</t>
  </si>
  <si>
    <t>https://via.placeholder.com/300x650.png/00ccbb?text=Smartphone+ipsum</t>
  </si>
  <si>
    <t>["Rerum minus ad animi vel.","Voluptates harum veniam ea aut rerum et minima maiores.","Voluptas quasi quibusdam est dolore maxime quo officiis.","Quos cumque distinctio rem.","Est fuga adipisci id assumenda.","Eos quis sapiente officiis.","Et quam dolores quia natus quis molestiae eius.","Ipsam nulla soluta voluptatem.","Et quia ad iure facilis nesciunt.","Hic iure possimus quas unde."]</t>
  </si>
  <si>
    <t>["Alias omnis explicabo vitae harum possimus aliquid atque. Quaerat est eum itaque fuga sapiente odio perferendis voluptatem. Maiores saepe sunt sint soluta aliquam consequatur cumque aut. Et laborum dignissimos ipsum repellat.","Est quisquam eius quas eius commodi ullam et. Est aspernatur exercitationem cum accusamus. Eveniet consequatur sit sit sit quis laudantium fuga. Amet omnis a dolor autem adipisci soluta."]</t>
  </si>
  <si>
    <t>voluptate-nemo-6-16-6-white</t>
  </si>
  <si>
    <t>enim dolorum temporibus</t>
  </si>
  <si>
    <t>https://via.placeholder.com/300x650.png/00ee99?text=Smartphone+et</t>
  </si>
  <si>
    <t>["Cupiditate ullam consequatur qui porro dolore sit.","Debitis ea laborum ut expedita error accusamus.","Et aut voluptates aliquam.","Tempore excepturi officiis molestias velit temporibus sit adipisci laudantium.","Reprehenderit consequatur voluptas et consequatur ipsa sed.","Id natus rerum consequuntur quis eum facilis et.","Est at adipisci quod architecto temporibus ab.","Ab pariatur optio quasi quia voluptatem commodi.","Nisi rem nihil et.","Porro dignissimos eius rem dolorem unde provident quidem pariatur."]</t>
  </si>
  <si>
    <t>["Voluptatem et voluptas sunt id. Et culpa fuga deserunt eveniet minima. Doloremque dolorem quod quasi in architecto voluptates. Nobis ex sint praesentium exercitationem doloremque voluptatem iure.","Ut esse numquam in accusamus nihil. Facilis voluptatum ea dolores velit quam ut."]</t>
  </si>
  <si>
    <t>illum-id-12-128-4-blue</t>
  </si>
  <si>
    <t>sit aliquid adipisci</t>
  </si>
  <si>
    <t>https://via.placeholder.com/300x650.png/005533?text=Smartphone+est</t>
  </si>
  <si>
    <t>["Tempora ipsa ut amet qui voluptas minus temporibus assumenda.","Optio est rerum laboriosam fuga nesciunt quidem.","Unde magni eum quia ut.","Sint odio dolorum est pariatur ut.","Alias ut dolor officia in.","Quas rerum porro nobis tempora iusto architecto beatae.","Quibusdam ut quia sapiente illo.","Quas nostrum enim soluta veniam itaque.","Quibusdam maxime repellat non nostrum.","Qui dolorem dignissimos sit earum."]</t>
  </si>
  <si>
    <t>["Asperiores sint aut dolores voluptatem eum libero. Ipsam quod molestiae commodi ea aut. Commodi libero ut cumque nesciunt laborum dolor laudantium.","Magnam similique eum ut ipsam qui quas maiores. Eligendi eius atque molestias quibusdam aliquam est et eos. Velit expedita dolor est tempora quia nostrum."]</t>
  </si>
  <si>
    <t>voluptate-reprehenderit-8-128-6-white</t>
  </si>
  <si>
    <t>autem deserunt consequatur</t>
  </si>
  <si>
    <t>https://via.placeholder.com/300x650.png/009900?text=Smartphone+asperiores</t>
  </si>
  <si>
    <t>["Ea animi modi temporibus culpa est sit quis illum.","Voluptates dolores fugit sunt veniam.","Omnis est earum dignissimos voluptas porro quibusdam laudantium.","Est vel et labore est voluptates nesciunt.","Adipisci molestiae molestiae voluptatum minima odit.","Aliquam aliquid ea voluptas.","Nihil nemo consequuntur qui sit aut et.","Eos veritatis accusantium sunt sint quae adipisci.","Dolorum cum quia impedit dolor.","Sint dolor delectus quia."]</t>
  </si>
  <si>
    <t>["Enim assumenda ab et unde et id. Et tempore pariatur voluptate eligendi quidem aspernatur. Debitis optio ex quia deserunt hic quo.","Deleniti voluptates dolores ratione. Sed sunt enim aliquam ut in. Harum quibusdam earum beatae repellat laudantium."]</t>
  </si>
  <si>
    <t>maiores-veritatis-8-128-6-blue</t>
  </si>
  <si>
    <t>illum ut reprehenderit</t>
  </si>
  <si>
    <t>https://via.placeholder.com/300x650.png/0033dd?text=Smartphone+voluptas</t>
  </si>
  <si>
    <t>["Aliquam illo perspiciatis culpa qui voluptate itaque voluptatem aspernatur.","Perferendis unde sit autem laboriosam.","Fugiat officiis aut consequatur eligendi aut explicabo ut.","Perspiciatis quasi et maxime sint temporibus.","Aut nemo molestiae dignissimos doloremque cum.","Dignissimos quisquam nihil aut repudiandae maiores numquam.","Omnis suscipit iste aliquam ullam recusandae quasi.","Porro quasi facere quia rerum voluptas laudantium.","Itaque sint et vel eum.","Velit et temporibus odit doloribus vero consequatur."]</t>
  </si>
  <si>
    <t>["Quia praesentium iusto eum alias. Unde occaecati itaque voluptatem est odio dolorem. Et ut distinctio aut vel voluptatem dolorem quo qui.","Ea hic quibusdam et dolores eum et veritatis tempora. Fugiat sed omnis eum et ut et sed. Rerum ut magnam eos velit vitae sint consequatur. Est ea quia tempore."]</t>
  </si>
  <si>
    <t>sed-neque-4-64-2-green</t>
  </si>
  <si>
    <t>nihil fuga maxime</t>
  </si>
  <si>
    <t>https://via.placeholder.com/300x650.png/002277?text=Smartphone+voluptatibus</t>
  </si>
  <si>
    <t>["Enim natus consequuntur magnam in assumenda architecto veritatis.","Et culpa et soluta ut alias.","Alias voluptates eaque at qui voluptas.","Eum neque ratione blanditiis numquam est.","Quam reiciendis qui sed id minima totam in.","Aut accusantium deleniti ut et adipisci molestiae.","Impedit tenetur eos vel aspernatur unde dicta.","Quam eum officiis eum qui ratione.","Est ut totam quia doloremque ullam quia vel.","Recusandae ducimus earum aliquam saepe amet a."]</t>
  </si>
  <si>
    <t>["Cupiditate assumenda fugiat inventore nulla ratione sed. Quae assumenda culpa cum suscipit voluptatum.","Consequatur earum sed quam quam sed. Autem ipsum sit est molestias. Ut recusandae laborum rerum sunt eligendi quos maiores rerum. Ea illum perspiciatis cum explicabo optio unde repudiandae."]</t>
  </si>
  <si>
    <t>maiores-aspernatur-6-128-6-red</t>
  </si>
  <si>
    <t>et omnis dicta</t>
  </si>
  <si>
    <t>maiores-aspernatur</t>
  </si>
  <si>
    <t>https://via.placeholder.com/300x650.png/00bbaa?text=Smartphone+saepe</t>
  </si>
  <si>
    <t>["Rem sapiente neque earum quis fuga expedita quisquam.","Consequatur distinctio voluptates ut velit qui molestias perspiciatis ea.","Temporibus blanditiis omnis et labore assumenda sint sit quidem.","Qui corporis quia ullam quia.","Et ab impedit et officiis optio sapiente placeat sed.","Quia voluptas non laboriosam vero non eligendi corporis.","Non et dolor accusantium sunt.","Eaque dolorum vero sed fuga.","Alias facere blanditiis quod asperiores eligendi sit odio.","Quibusdam enim ut sint est."]</t>
  </si>
  <si>
    <t>["Error ut incidunt quae optio consequatur reiciendis molestiae placeat. Doloremque perferendis qui est dolorem blanditiis voluptates. Alias adipisci excepturi ipsa et. Voluptates consequatur dignissimos culpa exercitationem dolor.","Nulla blanditiis vel beatae ullam iusto itaque. Ut porro deserunt deleniti omnis quo earum quia. Vitae eius velit similique occaecati iure. Libero facere laboriosam veniam ut similique nostrum provident."]</t>
  </si>
  <si>
    <t>illum-et-6-128-2-green</t>
  </si>
  <si>
    <t>quos autem vel</t>
  </si>
  <si>
    <t>https://via.placeholder.com/300x650.png/00ee66?text=Smartphone+consectetur</t>
  </si>
  <si>
    <t>["Dicta tempore veritatis aperiam assumenda.","Corporis nisi cumque accusamus impedit.","Corrupti consectetur facilis odit error ut.","Iste enim sint suscipit ipsum aut cupiditate quos.","Est eius aut iste aliquid totam.","Similique et dolores rerum numquam.","Sit commodi et eos quis incidunt aut.","Maxime fugiat tempora eos voluptas odit.","Quo nisi debitis fugiat aliquid.","Sit repellendus cupiditate ad quas sint est fugit."]</t>
  </si>
  <si>
    <t>["Et maxime officiis rerum et assumenda atque sequi. Delectus quia velit eius blanditiis et blanditiis adipisci ut. Sed eum voluptatem sapiente tenetur voluptates minus ab.","Et reprehenderit ducimus natus sit omnis. Harum minus illum maiores dicta corrupti qui nihil excepturi. Ex quia quia quas."]</t>
  </si>
  <si>
    <t>illum-ullam-2-512-5-green</t>
  </si>
  <si>
    <t>voluptatum voluptatem ipsa</t>
  </si>
  <si>
    <t>https://via.placeholder.com/300x650.png/0022cc?text=Smartphone+tempore</t>
  </si>
  <si>
    <t>["Rerum omnis dolorem et et consequatur recusandae.","Modi tempora rerum numquam est in ipsum.","Qui aliquid commodi et minima sit sed ut.","Praesentium soluta voluptas quo sapiente voluptatem.","Sit impedit consequatur nemo illum.","Autem et voluptatum a in.","Quae consequuntur sequi qui sapiente pariatur laboriosam ducimus consequuntur.","Minus perferendis ea consequatur ab dolorum laudantium.","Non quo et illum ipsum delectus.","Et molestiae incidunt laboriosam voluptate quas qui aut quia."]</t>
  </si>
  <si>
    <t>["Unde quis cumque aut. Sed corrupti explicabo placeat asperiores. Doloribus qui sit animi qui sunt. Tempora similique facere ut quia saepe aspernatur. Possimus sit exercitationem asperiores earum voluptatem.","Ea iure optio accusamus magni in et quae eveniet. Veniam quia et quis odio sit temporibus. Minus voluptatem enim eaque dolorem veniam non eius."]</t>
  </si>
  <si>
    <t>quasi-perferendis-4-512-4-black</t>
  </si>
  <si>
    <t>vitae molestiae laudantium</t>
  </si>
  <si>
    <t>https://via.placeholder.com/300x650.png/00bb66?text=Smartphone+voluptatem</t>
  </si>
  <si>
    <t>["Minus et est voluptas cumque.","Et odit tenetur laborum sequi.","Fuga fuga sed distinctio ut et.","Tempora est illo commodi ut ut.","Praesentium cupiditate harum earum sint perferendis aut voluptatem.","Eos modi quod vel ex molestias ducimus.","Non omnis officia quidem quo et deserunt dolorem.","Et necessitatibus est dignissimos perferendis.","Sint dolor eos delectus consequatur enim quas.","Et eum aut sed voluptatum."]</t>
  </si>
  <si>
    <t>["Ipsa sed autem non perspiciatis. Ad quis natus nobis quia asperiores at. Dolor quos voluptatem voluptatem sint suscipit culpa repudiandae sunt. Nihil beatae culpa autem iure ipsum aut.","Corporis ad et vel eum a. Quidem in et consectetur. Eaque non illo et rem nam."]</t>
  </si>
  <si>
    <t>corrupti-occaecati-12-32-4-blue</t>
  </si>
  <si>
    <t>et et facere</t>
  </si>
  <si>
    <t>https://via.placeholder.com/300x650.png/00dd00?text=Smartphone+quis</t>
  </si>
  <si>
    <t>["Reiciendis laborum veniam non eum.","Delectus accusantium nesciunt voluptatem labore.","Quisquam accusamus consequatur sapiente deleniti.","Et est pariatur nulla vel optio.","Perspiciatis nulla qui accusamus quos nobis cupiditate harum.","Ut rerum sed exercitationem qui quo quasi.","Ea qui dolorem ad neque quibusdam doloribus.","Cupiditate voluptas omnis ex asperiores magni qui facilis doloremque.","Eveniet illum tempora qui aut.","Sint aut eos dolorum sint facere vero."]</t>
  </si>
  <si>
    <t>["Quis et dolor totam provident. Similique sint eum omnis voluptatem in deserunt dignissimos. Quasi delectus magnam quod nihil a est. Excepturi quia rerum quia cupiditate nisi eum.","Qui voluptates quo voluptate iste. Dolore quaerat maxime sit magni ut qui. Officiis laborum illo ut et eius."]</t>
  </si>
  <si>
    <t>et-non-2-128-2-blue</t>
  </si>
  <si>
    <t>culpa itaque eligendi</t>
  </si>
  <si>
    <t>https://via.placeholder.com/300x650.png/00aa66?text=Smartphone+inventore</t>
  </si>
  <si>
    <t>["Dolorem reiciendis sit est ut soluta dolore placeat.","Porro neque nesciunt rerum itaque molestias.","Ut accusantium alias ut quae quo soluta.","Commodi vel libero vitae excepturi eius dolores.","Et natus maiores non sed modi velit.","Earum earum ut error.","Nemo sint impedit odio molestias dolorum nisi.","Est ipsa odit consequatur.","Ut delectus ut qui voluptatibus eius sint.","Quam cupiditate facilis sint qui tenetur sunt."]</t>
  </si>
  <si>
    <t>["Aut maxime cum quam dolor. Ut nam minima ea aliquid illum doloremque adipisci.","Vel optio earum temporibus accusamus nam rerum quia. Velit iste praesentium eaque deleniti optio. Explicabo et recusandae mollitia odit magni necessitatibus nemo voluptatem."]</t>
  </si>
  <si>
    <t>ut-iusto-4-64-2-white</t>
  </si>
  <si>
    <t>voluptas quia beatae</t>
  </si>
  <si>
    <t>https://via.placeholder.com/300x650.png/003388?text=Smartphone+doloribus</t>
  </si>
  <si>
    <t>["Adipisci molestias similique est minima necessitatibus dolore est.","Natus voluptatibus minima est rerum.","Cupiditate accusantium et minima alias dolor ullam est.","Eaque enim dolor ab est soluta dolores non.","Eos unde est et quaerat laborum laboriosam.","Voluptatem repellat sed qui unde sint suscipit.","Qui tempora voluptate non eum enim.","Id velit qui rerum quaerat.","Nesciunt iure nesciunt eaque labore.","Praesentium sit facere soluta tempore dolores."]</t>
  </si>
  <si>
    <t>["Eaque sit quia fuga natus impedit qui. In est dolorem veritatis ab deleniti ut. Ratione ipsa adipisci sit eveniet facere.","Nam sit quis esse dolorum. Est quam quia ex et."]</t>
  </si>
  <si>
    <t>est-porro-4-64-2-blue</t>
  </si>
  <si>
    <t>est rem cupiditate</t>
  </si>
  <si>
    <t>https://via.placeholder.com/300x650.png/001166?text=Smartphone+iusto</t>
  </si>
  <si>
    <t>["Ullam qui et doloribus.","Aperiam eum mollitia distinctio in similique.","Ad perferendis illum sit blanditiis.","Libero ut sed expedita fugit ut eius impedit rem.","Deleniti rem tempore aliquam in tempora aperiam.","Qui magnam dicta commodi et.","Sed sit iusto dolorem consequuntur doloremque molestiae velit.","Voluptates et et sit eum quibusdam.","Minima sapiente repudiandae autem asperiores iste exercitationem nihil ipsum.","Quia in accusamus quia quis dolorem est assumenda."]</t>
  </si>
  <si>
    <t>["Suscipit et amet praesentium quod sed voluptatem. Quidem accusamus placeat qui magnam dolores. Velit nihil sed et et omnis. Aut corporis aut explicabo fugit ea sapiente rerum.","Repudiandae incidunt harum architecto recusandae facilis aut. Veritatis facilis sed qui enim magnam culpa. Beatae est rem qui atque."]</t>
  </si>
  <si>
    <t>corrupti-incidunt-4-512-5-black</t>
  </si>
  <si>
    <t>sed et voluptatem</t>
  </si>
  <si>
    <t>https://via.placeholder.com/300x650.png/00cccc?text=Smartphone+minima</t>
  </si>
  <si>
    <t>["Nisi vel facere dolor aliquid eligendi temporibus soluta.","Reiciendis quos sapiente suscipit nesciunt fugiat non saepe molestiae.","Harum necessitatibus sunt optio repellat.","Porro eveniet soluta ea necessitatibus facilis.","Rerum voluptates quam aut omnis qui.","Laboriosam qui unde sit repellendus dolores sint nostrum corrupti.","Placeat et voluptas voluptate distinctio natus sit sequi.","Est aut voluptate nam nesciunt.","Necessitatibus voluptatem eos inventore.","Facilis facilis tempora qui fugit id magni."]</t>
  </si>
  <si>
    <t>["Sunt architecto incidunt aut illo nihil. Facere quia maxime quia est error voluptatem. Non veritatis nostrum corrupti velit.","Distinctio consequatur eligendi autem similique qui et. Laudantium optio saepe vel eos enim et fugit. Sequi facilis eos quam at. Voluptatem modi quae expedita."]</t>
  </si>
  <si>
    <t>sed-dignissimos-6-16-4-red</t>
  </si>
  <si>
    <t>laudantium dolores tenetur</t>
  </si>
  <si>
    <t>https://via.placeholder.com/300x650.png/007799?text=Smartphone+quia</t>
  </si>
  <si>
    <t>["Qui sed porro temporibus quasi sint tempore ducimus.","Enim dolores architecto incidunt quibusdam.","Non mollitia itaque dolore eaque.","Vero enim qui veritatis nobis dolore dolor.","Distinctio vel id soluta aut et commodi et iusto.","Dolore quisquam ratione eum ut aspernatur.","Ipsam consequatur vel sit accusamus similique culpa.","Et nam blanditiis quis molestias libero ipsum.","Officiis sed minus quia porro odit.","Et qui consequuntur non iste molestiae."]</t>
  </si>
  <si>
    <t>["Delectus qui cum beatae quis occaecati. Repellendus est illum dolorem quod eum. Animi id qui eos et facere atque doloremque.","Illo qui cum corporis. Et dolor exercitationem cupiditate ut quam consequatur. Doloremque ab perspiciatis ad qui omnis sit eos. Impedit dolorem expedita impedit aliquid."]</t>
  </si>
  <si>
    <t>et-non-2-512-2-blue</t>
  </si>
  <si>
    <t>reprehenderit molestias quos</t>
  </si>
  <si>
    <t>https://via.placeholder.com/300x650.png/006688?text=Smartphone+dolor</t>
  </si>
  <si>
    <t>["Voluptates excepturi aliquam recusandae maxime.","Ea in aut quidem et quia neque itaque.","Neque quia autem illo.","Saepe et dolor ratione illo consequatur.","Id dicta explicabo rerum et ipsum incidunt.","Architecto nostrum nihil sequi ut dolorum dolor.","Non ea quia quo nostrum a dolores.","Cum est rerum et exercitationem quisquam sit.","Voluptatibus qui esse laborum unde.","Numquam corporis placeat sequi voluptatem."]</t>
  </si>
  <si>
    <t>["Asperiores ea vero corporis sint et sit. Harum odit odio voluptatem officia aperiam possimus reprehenderit. Odit sapiente possimus fugit. Quos et vel qui distinctio incidunt.","Autem ipsam enim vitae deleniti sed sint. Ab et natus error aut explicabo. Veniam officiis ut labore praesentium repellendus fugit illum. Sunt vel quaerat facere atque eveniet voluptate. Tempora ratione repellendus in ut dolor aut."]</t>
  </si>
  <si>
    <t>sed-sit-12-64-2-white</t>
  </si>
  <si>
    <t>dolor id veritatis</t>
  </si>
  <si>
    <t>https://via.placeholder.com/300x650.png/00bbbb?text=Smartphone+in</t>
  </si>
  <si>
    <t>["Neque suscipit ipsam voluptatem eligendi neque culpa qui.","Consectetur fuga dolores neque est id cupiditate beatae.","Natus molestias praesentium qui fugiat exercitationem dolores.","Et asperiores vel voluptas sed.","Id ipsam repellendus reiciendis libero praesentium.","Et sequi dolor numquam consequuntur laborum molestiae illo.","Aut explicabo dolores sit eaque est eum.","Aut omnis occaecati corrupti quia non ut tempore nihil.","Debitis et quo voluptatem ut velit aut.","Et praesentium hic possimus nemo reiciendis."]</t>
  </si>
  <si>
    <t>["Id et voluptatum aut dicta. Aspernatur deserunt quam et quos dolores occaecati. Voluptatum provident enim est ut quae ab. Excepturi tempore et modi dolorem suscipit nulla libero ducimus.","Eius velit officia et dignissimos dicta. Nostrum et tempore ut rerum et modi voluptatem. Rerum voluptas consequuntur eius qui quos enim. Numquam eius sed officiis."]</t>
  </si>
  <si>
    <t>corrupti-ut-4-8-3-red</t>
  </si>
  <si>
    <t>voluptatem voluptate nobis</t>
  </si>
  <si>
    <t>corrupti-ut</t>
  </si>
  <si>
    <t>https://via.placeholder.com/300x650.png/001188?text=Smartphone+aliquam</t>
  </si>
  <si>
    <t>["Sit corrupti facere omnis dolores quis aut delectus enim.","Quia numquam inventore ut illo.","Et pariatur eaque omnis et molestiae nihil.","Quis et numquam minima voluptates.","Neque et consequatur et illum dolor placeat corporis.","Omnis repellat repudiandae cum accusantium numquam.","Voluptatem reprehenderit voluptatem est occaecati qui quidem.","Molestiae itaque cupiditate rerum commodi animi distinctio.","Nisi ipsam et tempore suscipit autem et.","Perspiciatis dolor pariatur quae et qui earum."]</t>
  </si>
  <si>
    <t>["Sapiente molestiae quos repellat vel praesentium ipsam amet. Neque dicta occaecati ut dolore hic. Sunt ducimus fugiat quod sit.","Labore quidem culpa tenetur ullam et sit velit. Qui deserunt perspiciatis suscipit aspernatur."]</t>
  </si>
  <si>
    <t>maiores-consequatur-8-32-6-blue</t>
  </si>
  <si>
    <t>delectus iste consectetur</t>
  </si>
  <si>
    <t>https://via.placeholder.com/300x650.png/008822?text=Smartphone+eligendi</t>
  </si>
  <si>
    <t>["Voluptatem doloremque ut voluptatem dignissimos sed.","Possimus est sed maiores doloremque consequatur.","Et non non aut.","Incidunt cupiditate minima enim repellat omnis earum.","Architecto sit possimus et eos quam tenetur voluptatem corporis.","Quia placeat dolores impedit ipsa veritatis nulla.","Placeat at id mollitia excepturi delectus.","Ea id ut magnam ipsam.","Harum voluptas ab impedit eaque et voluptatem.","Deleniti debitis harum reprehenderit excepturi."]</t>
  </si>
  <si>
    <t>["Inventore suscipit dolores pariatur dolorem laboriosam quod sed. Ut nam nihil harum quia. Quia repudiandae sit quia quo numquam.","Omnis nostrum non cum et aut animi quas. Quo non ea reprehenderit eius vel dicta. Aperiam praesentium velit ipsa sed. Molestias ex et vel vero at explicabo facere."]</t>
  </si>
  <si>
    <t>aspernatur-eos-8-16-4-blue</t>
  </si>
  <si>
    <t>excepturi fugit voluptas</t>
  </si>
  <si>
    <t>https://via.placeholder.com/300x650.png/009922?text=Smartphone+dolor</t>
  </si>
  <si>
    <t>["Aut omnis molestiae molestiae.","Voluptatem possimus debitis quis ipsa.","Debitis eaque voluptas magni.","Reiciendis ipsa maxime aut quia.","Repudiandae delectus quia dicta dolor et.","Et error laudantium velit inventore animi ea vel.","Et dolores quia et est.","Voluptates dolor est nobis perferendis.","Et quia architecto et expedita consequatur rerum eos.","Rerum delectus sunt a et natus illo."]</t>
  </si>
  <si>
    <t>["Alias dolorem vero alias et. Sit voluptas blanditiis maxime at earum ad. Qui eligendi et accusamus eum nam alias eligendi. Autem vel corrupti aut voluptatem quia tempore.","Quia fugit ullam temporibus quibusdam. Molestias autem et nihil et qui illo harum. Ratione illo voluptas cupiditate ut nam dicta ut. Odit eius esse natus hic."]</t>
  </si>
  <si>
    <t>quasi-qui-2-8-4-black</t>
  </si>
  <si>
    <t>quibusdam hic similique</t>
  </si>
  <si>
    <t>https://via.placeholder.com/300x650.png/00ffcc?text=Smartphone+quisquam</t>
  </si>
  <si>
    <t>["Repellat recusandae officia adipisci qui quibusdam voluptates.","Mollitia et est eaque.","Corporis voluptas est autem libero dignissimos rem.","Quibusdam enim non temporibus.","Iusto officia facere ab quia non voluptas accusamus qui.","Atque aliquam nostrum ex est sunt officia.","Maiores a non est laborum ratione sit.","Nihil eligendi ut quod voluptatem quos.","Dignissimos ab deleniti officia sunt aut est.","Dolorum dolorem molestiae officia ullam."]</t>
  </si>
  <si>
    <t>["Sed excepturi voluptatem dicta ipsam molestias iure. Temporibus vel ex officiis nostrum ipsam sit. Vel explicabo numquam velit dolores molestias. Necessitatibus fugit sunt recusandae.","Aut ipsam enim vel maiores dolor commodi ullam omnis. Quaerat nam exercitationem consequatur et adipisci commodi. Modi at quia eum neque doloribus earum."]</t>
  </si>
  <si>
    <t>est-odit-2-64-4-white</t>
  </si>
  <si>
    <t>architecto distinctio voluptatem</t>
  </si>
  <si>
    <t>https://via.placeholder.com/300x650.png/000055?text=Smartphone+distinctio</t>
  </si>
  <si>
    <t>["Ipsum voluptas officiis quia saepe incidunt.","Delectus sed sed ab commodi voluptatibus.","Fugit ut aut non dolorum omnis.","Accusantium molestiae aut itaque tempore nihil et molestias aut.","Cumque aut natus commodi soluta impedit.","Eaque sunt eum voluptatem ipsa laboriosam voluptates.","Architecto alias perspiciatis aut dolorem.","Velit voluptas soluta et est magni deserunt nesciunt.","Beatae impedit pariatur nam nihil quas.","Est cum magni et veritatis distinctio qui."]</t>
  </si>
  <si>
    <t>["Dolore consequatur quo et illum adipisci ut totam. Doloremque asperiores reprehenderit qui minus et omnis excepturi. Est eligendi voluptatem inventore maiores magnam cum sequi. Accusantium est omnis consequatur occaecati asperiores minus.","Consequatur ut repellendus atque. Est quia libero est vero. Reiciendis consectetur veniam quasi expedita. Dolorum quisquam minima vitae deleniti temporibus laborum. Odio quis voluptatem veniam occaecati nihil."]</t>
  </si>
  <si>
    <t>voluptate-itaque-12-128-6-green</t>
  </si>
  <si>
    <t>pariatur non iure</t>
  </si>
  <si>
    <t>https://via.placeholder.com/300x650.png/000099?text=Smartphone+et</t>
  </si>
  <si>
    <t>["Quia non autem necessitatibus iusto incidunt mollitia.","Id et odit natus fuga enim.","Vel et vero at eos ea sed.","Sit aut laudantium sed nesciunt deleniti nostrum.","Natus harum minima sapiente.","Facere tempora possimus alias expedita non.","Modi omnis illo ipsa delectus et at aut.","Quasi culpa vel beatae.","Odit voluptates quaerat consectetur recusandae aperiam et vel.","Officia accusantium ut est vitae aspernatur quia."]</t>
  </si>
  <si>
    <t>["Nisi impedit sed autem sapiente nisi eveniet et. Ipsam modi et aut.","Et officia neque possimus vero. Dicta temporibus temporibus ut harum at eius. Et soluta ut quia. Ipsa sit debitis ad commodi quasi ab quibusdam dolor."]</t>
  </si>
  <si>
    <t>maiores-quod-2-512-2-green</t>
  </si>
  <si>
    <t>velit quia odit</t>
  </si>
  <si>
    <t>https://via.placeholder.com/300x650.png/0088cc?text=Smartphone+explicabo</t>
  </si>
  <si>
    <t>["Sunt quasi ipsa molestias sunt aperiam distinctio magni.","Consequatur id nam eos iste tempore.","Explicabo commodi ullam veritatis aut delectus recusandae laborum.","Architecto aut architecto tenetur consequatur.","Necessitatibus at distinctio modi voluptatem provident ut.","Quisquam dolor dolorem eveniet aut earum.","Voluptatem porro et quo et exercitationem ducimus est.","Eligendi iste repellat eum tenetur veritatis.","Porro eius consequatur tenetur sunt quia autem.","Ea libero nihil et voluptas laboriosam."]</t>
  </si>
  <si>
    <t>["Repellat et non ut ut consectetur et. Velit qui et laborum accusamus reprehenderit nesciunt quia. Quos fugit nesciunt aut sit.","Magnam voluptatum et illum suscipit. Et doloremque officiis voluptas eum est. Natus itaque id non exercitationem vel est magni. Eum deserunt non velit iste incidunt aut aperiam."]</t>
  </si>
  <si>
    <t>maiores-in-8-64-6-blue</t>
  </si>
  <si>
    <t>vero et facilis</t>
  </si>
  <si>
    <t>https://via.placeholder.com/300x650.png/0011aa?text=Smartphone+voluptas</t>
  </si>
  <si>
    <t>["Repellat ea voluptatum asperiores reprehenderit nisi autem.","Ipsa modi doloremque aperiam officiis.","Sequi omnis odio hic dolor et pariatur.","Consectetur vero voluptatem autem eum est impedit.","Ullam est aut nobis blanditiis cum sit.","Voluptatem molestiae labore exercitationem.","Expedita quisquam aut asperiores aut ullam voluptas veritatis.","Ad possimus harum velit occaecati autem autem corrupti.","Molestias qui dolore velit voluptatum blanditiis labore nihil.","Nihil aspernatur error quis."]</t>
  </si>
  <si>
    <t>["Libero ratione nihil porro quis architecto enim. Nobis aperiam autem vitae esse. Explicabo voluptatem quibusdam iste libero repellendus accusamus.","Temporibus ut id porro perspiciatis ducimus. Ut maiores omnis cumque expedita sequi et consequatur veniam. Consequatur et quasi nemo eveniet."]</t>
  </si>
  <si>
    <t>sed-neque-6-128-4-red</t>
  </si>
  <si>
    <t>vel ut distinctio</t>
  </si>
  <si>
    <t>https://via.placeholder.com/300x650.png/006611?text=Smartphone+et</t>
  </si>
  <si>
    <t>["Autem molestias harum ea rerum et.","Nam deserunt adipisci quo sequi commodi voluptate.","Laudantium tempore aut accusantium inventore illo et dignissimos officiis.","Rem culpa iure dicta quasi consequuntur ab omnis.","Numquam facilis aut ea.","Rem corporis possimus aut dolores esse possimus.","Non corrupti aliquam totam beatae maxime porro aut rem.","Quaerat eius explicabo rem exercitationem ea qui.","Placeat perferendis illo qui eveniet accusantium.","Optio et et iusto ducimus deleniti et."]</t>
  </si>
  <si>
    <t>["Doloremque ab minima perspiciatis exercitationem maiores placeat sit. Ducimus voluptatem explicabo impedit alias sit praesentium. Nihil qui maiores officiis molestias velit temporibus. Deserunt voluptas facere velit nam earum non vitae.","Et inventore minima ducimus aliquam quas et. Quam sapiente autem qui. Et deserunt laudantium officia provident expedita culpa."]</t>
  </si>
  <si>
    <t>sed-neque-4-128-2-red</t>
  </si>
  <si>
    <t>dolore est sint</t>
  </si>
  <si>
    <t>https://via.placeholder.com/300x650.png/009944?text=Smartphone+adipisci</t>
  </si>
  <si>
    <t>["Ipsam provident accusantium dignissimos et et deserunt.","Non assumenda quia nesciunt ullam atque ut cumque cupiditate.","Soluta dolores quia labore hic vel dicta voluptas.","Eaque architecto soluta quo quo.","Vitae et sit voluptas id quis voluptatum.","Commodi nostrum autem in repellat.","Ipsum ut autem velit quod reiciendis.","Vel aut qui veritatis in earum amet impedit.","Iure possimus mollitia quisquam laudantium qui voluptatem consequatur.","Error debitis tempore fugit."]</t>
  </si>
  <si>
    <t>["Minus ducimus ipsa ut dolor. Optio id maxime reprehenderit dolorem qui. Et rerum totam sit omnis vero quaerat.","Dolorem doloremque et aut omnis veniam harum ex. Sed fugit provident tempora dolor sit aperiam enim. Aut enim ea molestiae occaecati similique ex est."]</t>
  </si>
  <si>
    <t>corrupti-odit-8-32-2-blue</t>
  </si>
  <si>
    <t>ratione eius dolores</t>
  </si>
  <si>
    <t>https://via.placeholder.com/300x650.png/00bb88?text=Smartphone+reprehenderit</t>
  </si>
  <si>
    <t>["Reiciendis neque culpa est provident cum nesciunt.","Id dolor corporis minima qui consequuntur est pariatur.","Expedita ipsam qui velit voluptate.","Et et sequi in voluptatibus molestiae animi.","Quidem voluptatem explicabo ut rerum impedit.","Cupiditate repellendus quia quaerat aliquid est vero et.","Qui possimus nihil minima molestiae error.","Qui quia voluptates iure dolorem accusantium facere.","Qui repudiandae sint sed ea ipsa sed.","Est possimus qui aspernatur sequi id eligendi."]</t>
  </si>
  <si>
    <t>["Et voluptatem sunt quis. Quam dolor autem repellat occaecati corrupti aut. Omnis iusto ipsa dicta magni.","Qui minima velit sint et qui. Dolorem veniam voluptates in aut velit exercitationem. Illum optio nulla accusantium voluptas vel consequuntur."]</t>
  </si>
  <si>
    <t>corrupti-incidunt-2-32-2-red</t>
  </si>
  <si>
    <t>cupiditate asperiores dolor</t>
  </si>
  <si>
    <t>https://via.placeholder.com/300x650.png/0066cc?text=Smartphone+rerum</t>
  </si>
  <si>
    <t>["Consequuntur consequatur voluptas tempore aut est non.","Ipsa iure nulla autem error aspernatur maxime.","Soluta consequatur perspiciatis quia sit quo debitis.","Dicta dolore voluptatem impedit voluptas at.","Aliquid dolorum et omnis aut molestiae animi qui eos.","In fuga nihil fugiat sunt.","Sit error non illum nulla ad.","Est earum facere velit culpa omnis.","Iste vel quae voluptas quia ut tenetur iste.","Nisi dolores non similique consequatur quia ipsam quidem voluptas."]</t>
  </si>
  <si>
    <t>["Unde quia sapiente eos quod. Rerum nihil rerum maxime adipisci hic. Quia exercitationem rerum vel cum omnis sit. Sint aliquid ex ipsam assumenda. Sint repellat debitis magnam possimus.","Sequi et est aut. Fugit quo et architecto maxime aut expedita. Iusto iste repellendus dicta dolorum omnis."]</t>
  </si>
  <si>
    <t>illum-sed-4-512-4-red</t>
  </si>
  <si>
    <t>dolor molestias iure</t>
  </si>
  <si>
    <t>https://via.placeholder.com/300x650.png/000000?text=Smartphone+aut</t>
  </si>
  <si>
    <t>["Id blanditiis consectetur quam non optio consequuntur.","At non sit dolorem recusandae illo.","In nam perferendis eaque.","Molestias enim laboriosam eaque laudantium repellendus facilis.","Modi aperiam reiciendis autem et rerum.","Eveniet et enim ipsa.","Vel sed sequi totam qui.","Suscipit quia et maiores quasi accusantium dicta in.","Quisquam in a unde nam.","Repudiandae ea sint dolorem occaecati."]</t>
  </si>
  <si>
    <t>["Qui hic repellendus et rem deleniti perferendis. Voluptas officiis aut similique sit corporis voluptates quia. Rerum consequatur nemo quo nesciunt. Alias hic voluptas ad dolores id atque vel.","Quia ipsam nulla quo ut laboriosam. Sit optio velit assumenda quam. Odio sit libero aliquid. Est magni inventore qui aliquam."]</t>
  </si>
  <si>
    <t>ut-et-2-128-4-blue</t>
  </si>
  <si>
    <t>quam et sit</t>
  </si>
  <si>
    <t>https://via.placeholder.com/300x650.png/0055ee?text=Smartphone+expedita</t>
  </si>
  <si>
    <t>["Aut sit aut molestiae sunt.","Amet non et libero rerum maiores.","Officia necessitatibus debitis laboriosam neque dolorem occaecati.","Ipsum alias nesciunt et inventore impedit et consequatur.","Sed vel expedita quam et consequatur.","Debitis similique qui et id assumenda nobis quae.","Quasi ut in non et et nihil ut.","Omnis deleniti perspiciatis quis odit iste.","Similique in laboriosam maiores.","Expedita optio veniam sunt autem animi consequatur."]</t>
  </si>
  <si>
    <t>["Voluptatibus tempore doloremque nulla nihil. Sint sit hic laborum et nesciunt nemo ab. Nam sit nihil veritatis illum molestiae rem ea. Facilis occaecati quidem quis sed dolores voluptatibus.","Numquam excepturi nemo labore sed nihil sequi amet. Eos est quas optio suscipit voluptatem reprehenderit maiores. Soluta consequuntur eligendi nam eum voluptas consequuntur possimus. Atque deserunt dolores animi architecto perspiciatis quam."]</t>
  </si>
  <si>
    <t>est-debitis-4-16-4-black</t>
  </si>
  <si>
    <t>quo debitis quisquam</t>
  </si>
  <si>
    <t>https://via.placeholder.com/300x650.png/008866?text=Smartphone+magnam</t>
  </si>
  <si>
    <t>["Sint dolor blanditiis dolores.","Tempore culpa quia qui minus sint.","Eum dolorum est dolorum sunt.","Voluptatem debitis ut dolor.","Neque est minima qui soluta quam deserunt ea.","Aut nemo sunt ea asperiores enim.","Fuga consequuntur quos quam et.","Et quisquam eum deleniti suscipit eum repudiandae dolorum.","Qui eos accusamus veniam cupiditate.","Ducimus earum laborum consequatur debitis omnis pariatur."]</t>
  </si>
  <si>
    <t>["Non magni eum asperiores consectetur. Voluptas expedita nam sed nostrum. Sed quo enim consequuntur numquam ut animi qui.","Est quas nobis totam aliquam sint. Cumque veniam quidem magnam et molestiae repellendus. Suscipit modi iure soluta placeat velit et. Qui laudantium aliquam sapiente qui delectus."]</t>
  </si>
  <si>
    <t>corrupti-ducimus-8-16-6-blue</t>
  </si>
  <si>
    <t>non libero unde</t>
  </si>
  <si>
    <t>https://via.placeholder.com/300x650.png/002299?text=Smartphone+soluta</t>
  </si>
  <si>
    <t>["Autem quia dignissimos fuga qui.","Dolorem numquam molestiae numquam officiis saepe ut ipsum.","Nemo dolorem expedita similique modi aut laboriosam exercitationem ut.","Dolorem aliquam numquam vitae illum.","Officia vero quia natus.","Est nisi quas expedita eveniet ipsum.","Id dolorem ea ut necessitatibus reiciendis atque commodi.","Et qui consectetur ab exercitationem voluptatem est officia.","Rerum est magnam nemo vero voluptate laudantium.","Ab soluta eligendi dolorem neque consequatur sed debitis repudiandae."]</t>
  </si>
  <si>
    <t>["Harum quaerat quidem ea qui enim mollitia. At ut quibusdam et et recusandae.","Accusamus veniam fuga aut iure. Molestiae ipsa eum quia et soluta quae odit aut. Sed cum sed temporibus non. Fugit molestiae et dolore amet at odio. Labore repellat dolorem qui quia minus repudiandae ut."]</t>
  </si>
  <si>
    <t>illum-id-12-8-2-blue</t>
  </si>
  <si>
    <t>libero assumenda vitae</t>
  </si>
  <si>
    <t>https://via.placeholder.com/300x650.png/00eedd?text=Smartphone+debitis</t>
  </si>
  <si>
    <t>["Tenetur consequuntur enim pariatur dolorem.","Dignissimos quis totam incidunt rerum quod rerum.","Velit ut ullam in numquam.","Ea mollitia quas natus aut facilis nihil praesentium.","Illum est consequatur et inventore id consequuntur eveniet.","Voluptas velit eveniet laudantium facere doloremque sed qui.","Nisi eos atque et quam.","Distinctio corrupti quis in consequuntur ut culpa.","Quidem quis numquam nam dolorem fugit rerum ut.","Est ipsam saepe qui ipsam."]</t>
  </si>
  <si>
    <t>["Harum recusandae temporibus dolorem soluta. Tempore fuga eum dolor et.","Rem quod in minima expedita possimus voluptates accusamus suscipit. Ab accusantium iste saepe sequi. Nulla dolorem eos ut excepturi."]</t>
  </si>
  <si>
    <t>et-ipsa-2-64-3-black</t>
  </si>
  <si>
    <t>provident ut at</t>
  </si>
  <si>
    <t>https://via.placeholder.com/300x650.png/004433?text=Smartphone+sequi</t>
  </si>
  <si>
    <t>["Incidunt omnis officiis recusandae et animi.","Tempore dicta quo voluptatem et quae voluptatem aut.","Consequatur commodi quo quae qui et voluptatem.","Tenetur dolores aut debitis totam minus voluptas eveniet.","Eligendi recusandae veritatis veritatis aut dolorem.","Debitis consequatur fugiat corporis eius sit ut.","Quod dolorem nemo ab fugiat.","Ducimus et quae blanditiis minima.","Omnis eos voluptatum hic consequuntur.","Exercitationem ut consectetur eius ut temporibus vero qui."]</t>
  </si>
  <si>
    <t>["Voluptas quo enim est aut. Est odit qui quia aspernatur deserunt iste vero. Ad sit similique labore aut dolorem. Non quia ullam qui.","Distinctio qui porro et facere quia eum. Modi quibusdam et est. Corporis harum mollitia sed."]</t>
  </si>
  <si>
    <t>aspernatur-eos-8-64-4-white</t>
  </si>
  <si>
    <t>modi veritatis ea</t>
  </si>
  <si>
    <t>https://via.placeholder.com/300x650.png/0099dd?text=Smartphone+voluptatibus</t>
  </si>
  <si>
    <t>["Dolorem placeat sunt enim deserunt.","Enim adipisci at quaerat possimus et.","Praesentium eum voluptatem molestias tenetur enim inventore.","Modi amet autem quia aut.","Temporibus deserunt voluptas consequatur repellat voluptas itaque rerum.","Commodi alias aut debitis qui rerum voluptas eum.","Sapiente voluptatem nihil ea exercitationem sit doloremque nostrum.","Voluptatibus rerum consequatur praesentium deserunt temporibus aut beatae.","Quae eum voluptatem porro error.","Quasi quia commodi expedita eligendi quo quam sunt."]</t>
  </si>
  <si>
    <t>["Omnis rem aspernatur saepe tempore quisquam. Occaecati eum ratione excepturi voluptas aut consequatur sit. Ea consectetur est tempora possimus natus laboriosam. Est excepturi facilis et.","Tempora quas velit occaecati error cupiditate officiis quis esse. Perspiciatis ut non modi expedita. Hic distinctio in dolorem perferendis omnis quasi sint. Quisquam dicta est quod consequatur molestiae et laborum aspernatur. Mollitia magni omnis quae sint dolore."]</t>
  </si>
  <si>
    <t>ut-iusto-4-64-5-red</t>
  </si>
  <si>
    <t>optio suscipit deserunt</t>
  </si>
  <si>
    <t>https://via.placeholder.com/300x650.png/00aaee?text=Smartphone+voluptate</t>
  </si>
  <si>
    <t>["Fuga aut fugiat praesentium ratione temporibus.","Deserunt doloribus omnis quia aut aut voluptas cum.","Eius et est id voluptas corporis.","Tempora hic corporis est non aut.","Aliquid aut qui quod veritatis.","Est ut enim veniam animi.","Et sunt rerum hic molestiae.","Beatae eius non saepe nostrum.","Modi consequatur et saepe accusamus.","Dolor qui beatae soluta nisi itaque ea."]</t>
  </si>
  <si>
    <t>["Rerum nisi ad voluptates sunt ipsum velit cum. Sit consectetur autem ratione omnis. Dolores corrupti eum quis et mollitia ea libero.","Commodi sit doloribus eveniet unde. Saepe magni voluptatum rerum. Rerum delectus repudiandae soluta cum sapiente mollitia voluptate."]</t>
  </si>
  <si>
    <t>voluptate-aut-6-32-2-red</t>
  </si>
  <si>
    <t>et non harum</t>
  </si>
  <si>
    <t>https://via.placeholder.com/300x650.png/0000cc?text=Smartphone+recusandae</t>
  </si>
  <si>
    <t>["Aut perspiciatis voluptate nihil rerum.","Iste distinctio natus laudantium error sint ratione nam.","Accusantium commodi voluptatem tenetur rerum laudantium.","Ut temporibus ut quam quae temporibus consectetur quod.","Aut assumenda veniam reprehenderit aut expedita dolorem voluptate.","Eveniet praesentium deleniti quia dolor unde.","Quaerat praesentium molestiae qui.","Veniam veritatis voluptatibus vero doloremque architecto impedit corporis.","Id sit ipsum sapiente vero aut.","Hic culpa laborum dolores distinctio nemo."]</t>
  </si>
  <si>
    <t>["Quae aliquid modi voluptates reprehenderit minima accusantium assumenda aperiam. Iusto expedita tempore porro repellendus ipsa. Voluptatem veritatis nihil possimus eos commodi minus repellat. Omnis qui amet voluptas similique ut quos porro quis.","Perspiciatis aut alias modi accusantium reprehenderit expedita atque. Pariatur sunt consequatur deserunt quia aspernatur."]</t>
  </si>
  <si>
    <t>sed-dignissimos-6-64-2-green</t>
  </si>
  <si>
    <t>maiores repellendus quia</t>
  </si>
  <si>
    <t>https://via.placeholder.com/300x650.png/00aa66?text=Smartphone+eos</t>
  </si>
  <si>
    <t>["Magni voluptate at itaque sint velit sed eos.","Quos et ut voluptas iste itaque error ut.","Officia dolor ut et est velit.","Dolorem vero dolorem autem quas.","Qui minima iure ut est laboriosam vel.","Nemo iusto deserunt recusandae hic.","Id dolor autem illum nisi.","Eos assumenda ut possimus molestiae rerum aut numquam.","Sit distinctio est voluptatibus amet recusandae eos sunt et.","Deserunt aut natus qui aliquid impedit."]</t>
  </si>
  <si>
    <t>["Ipsam molestias at est consequatur ipsum nesciunt. Vero distinctio ullam ducimus voluptates. Magnam aut eligendi vel ratione sed possimus.","Nulla voluptate consequuntur rerum ut. Aut autem optio aspernatur autem. Ea dolor enim voluptate fugiat et."]</t>
  </si>
  <si>
    <t>et-voluptate-12-16-5-white</t>
  </si>
  <si>
    <t>molestiae illo quia</t>
  </si>
  <si>
    <t>https://via.placeholder.com/300x650.png/002222?text=Smartphone+optio</t>
  </si>
  <si>
    <t>["Velit veritatis laborum cumque sit.","Eos beatae minus dolores quis fuga voluptatem officiis.","Fugiat nulla tenetur commodi impedit.","In ab voluptatem qui rerum nesciunt.","Enim maxime unde quis officia nisi ut impedit labore.","Ut maiores dolores sit ratione sint ipsam amet.","Aut nisi sed distinctio cum fugit et.","Et dolores fugit culpa voluptas perferendis impedit velit praesentium.","Doloribus quisquam voluptatem fugiat ea dolore odio dolor rerum.","Minima et veritatis dolor facere ut."]</t>
  </si>
  <si>
    <t>["Rerum et et est perferendis quisquam unde earum et. Et dignissimos eos rem asperiores. Veniam at id ut neque consequatur nostrum.","Quo odit blanditiis et ut odit. In enim ducimus nesciunt quo ex. Consequatur est nobis voluptatem quia eos ea assumenda."]</t>
  </si>
  <si>
    <t>corrupti-ex-12-8-2-green</t>
  </si>
  <si>
    <t>repudiandae natus at</t>
  </si>
  <si>
    <t>https://via.placeholder.com/300x650.png/0033ee?text=Smartphone+error</t>
  </si>
  <si>
    <t>["Qui voluptas molestiae sequi aliquam.","Ullam qui est voluptatem natus.","Voluptatem quam magni aliquam repudiandae est aspernatur.","Quo unde sed molestias molestiae sit.","Quidem provident molestiae rerum.","Odio voluptatem dolorem nam et possimus facilis voluptatem qui.","Veritatis tempore voluptatum sunt voluptatem doloremque et.","Qui quia et et incidunt harum non non voluptatibus.","Molestias optio sunt commodi est optio enim officiis.","Enim veritatis unde ut."]</t>
  </si>
  <si>
    <t>["Veniam fugiat dolor ut rerum nemo debitis qui. Aliquam est porro voluptatibus deserunt placeat cupiditate. Nam expedita non accusamus. Quo sint rerum accusamus et reprehenderit. Praesentium totam aut qui accusantium.","Aut corporis facere libero voluptatem ea. Consequatur in debitis voluptatibus eius. Fugiat totam recusandae sed perferendis nam. Voluptate quam corrupti at vel qui."]</t>
  </si>
  <si>
    <t>et-voluptate-4-64-4-white</t>
  </si>
  <si>
    <t>non architecto fuga</t>
  </si>
  <si>
    <t>https://via.placeholder.com/300x650.png/003366?text=Smartphone+illo</t>
  </si>
  <si>
    <t>["Minus sed asperiores quod soluta voluptas.","Aut in consequatur non totam error esse.","Minus rem aperiam id eos velit qui nihil.","Rem perferendis est fuga dicta sint quo.","Omnis amet velit sapiente maiores ea vero.","Amet architecto eaque nisi sed autem et soluta.","Doloremque quae voluptatem ut sint nobis.","Quibusdam beatae est rem quas eos illum cupiditate tenetur.","Consequatur similique et alias inventore rerum molestias.","Suscipit quis eos blanditiis reiciendis quis esse."]</t>
  </si>
  <si>
    <t>["Id eius delectus quis fuga dolore. Dolor et et ut repellat saepe animi vitae. Voluptates corporis veritatis in voluptatum voluptas ut commodi facere.","Ut qui laudantium quia deserunt consequatur. Autem nesciunt a voluptas. Nobis voluptas aut impedit eos."]</t>
  </si>
  <si>
    <t>ut-ut-8-64-2-red</t>
  </si>
  <si>
    <t>voluptas nemo qui</t>
  </si>
  <si>
    <t>https://via.placeholder.com/300x650.png/00aa33?text=Smartphone+explicabo</t>
  </si>
  <si>
    <t>["Adipisci itaque excepturi eum quo commodi.","Impedit dolores minus qui.","Ab asperiores at itaque dolorem modi.","Corporis vel reiciendis maxime molestias eligendi.","Explicabo et consequatur quos corrupti ducimus repellendus quo.","Ea ex dolor voluptatibus ab autem quasi.","Recusandae deserunt optio maiores eum enim ut iusto.","Corporis quia dicta inventore.","Aut aliquid dolorem perspiciatis.","Tempora sit quod ipsum dolor maiores."]</t>
  </si>
  <si>
    <t>["Eum veritatis dolor eum maiores. Aut sit nam deleniti earum atque iure molestias.","Laboriosam qui odio ex ut. Aut magnam occaecati quia aliquid nisi. Beatae non tenetur cupiditate est aut. Quos est facere quibusdam qui consequatur distinctio sunt. Ipsa sed corporis animi nulla ipsam asperiores."]</t>
  </si>
  <si>
    <t>aspernatur-corrupti-6-16-3-blue</t>
  </si>
  <si>
    <t>id ea quis</t>
  </si>
  <si>
    <t>https://via.placeholder.com/300x650.png/00ccbb?text=Smartphone+enim</t>
  </si>
  <si>
    <t>["Architecto facilis accusamus architecto tempore temporibus.","Et sequi rerum est.","Sit quam voluptatum quidem veniam.","Quia excepturi aut numquam doloremque porro.","Amet voluptatem soluta velit.","Explicabo accusamus sint voluptatem nihil incidunt laborum iste.","Laboriosam accusantium nobis atque ipsum temporibus enim unde placeat.","Consequatur magnam culpa saepe vero.","Nisi voluptas veniam perferendis velit.","Nobis eos et ad quaerat sint blanditiis."]</t>
  </si>
  <si>
    <t>["Perferendis ipsum ea quas ullam odio ducimus. Beatae itaque hic minus voluptas numquam et. Aut tempore recusandae consequatur voluptatem ut iste mollitia. Ut consequatur odit explicabo perferendis saepe.","Qui ut doloremque voluptatum. Sed commodi consequatur aut culpa velit dolorem vitae."]</t>
  </si>
  <si>
    <t>aspernatur-eum-2-512-3-blue</t>
  </si>
  <si>
    <t>recusandae aut possimus</t>
  </si>
  <si>
    <t>https://via.placeholder.com/300x650.png/007733?text=Smartphone+facere</t>
  </si>
  <si>
    <t>["Ut sapiente vitae reiciendis distinctio quas commodi et sit.","Velit ullam vero id aut quasi repellendus omnis.","Id aut alias iusto ad esse quia voluptatibus.","Ut sed unde nisi quam non.","Quis aspernatur ut vitae quia itaque.","In enim unde alias provident quia.","Distinctio est consequatur alias.","Ipsa ut aut natus sequi voluptas in.","Ut illum et quae sint voluptas dolorem delectus.","Enim soluta ullam harum provident earum."]</t>
  </si>
  <si>
    <t>["Facere velit ad repellendus aliquam. Sapiente error dignissimos voluptatum totam aut eos quos et. Dicta vero unde temporibus molestiae odio. Mollitia veritatis harum accusantium possimus fuga.","Eaque est repudiandae debitis voluptatem. Soluta natus ad voluptas sit. Odio quo qui dolor in modi sint maiores."]</t>
  </si>
  <si>
    <t>maiores-voluptatum-8-16-3-white</t>
  </si>
  <si>
    <t>totam est non</t>
  </si>
  <si>
    <t>https://via.placeholder.com/300x650.png/006611?text=Smartphone+assumenda</t>
  </si>
  <si>
    <t>["Atque sint exercitationem amet sapiente nobis.","Error rerum qui similique esse sequi.","Laudantium consequatur et inventore enim corporis.","Beatae et necessitatibus voluptates tenetur modi vero illo.","Recusandae unde eum distinctio repellendus qui quaerat quia cum.","Dolor voluptatem facilis doloribus hic et.","Earum quae sunt ipsam quia enim omnis consectetur.","Numquam ratione repellendus delectus sit.","Eos qui doloribus eos consequuntur quis.","Id repellat vero dolor."]</t>
  </si>
  <si>
    <t>["Commodi esse eaque minus. Pariatur autem qui rerum voluptas consequatur id. Eum ullam inventore eveniet ea.","Et pariatur eligendi tenetur. Necessitatibus ut quia ullam sint ab sed eum ducimus. Molestiae quam illum autem. Eligendi eaque labore voluptates et. Eaque sint consequatur praesentium et est et."]</t>
  </si>
  <si>
    <t>illum-vero-8-512-3-green</t>
  </si>
  <si>
    <t>distinctio aut quasi</t>
  </si>
  <si>
    <t>https://via.placeholder.com/300x650.png/0000aa?text=Smartphone+et</t>
  </si>
  <si>
    <t>["Qui nihil ducimus dolore animi.","Consectetur qui ducimus harum nulla sint nemo distinctio fuga.","Omnis consectetur est et numquam.","Perferendis et mollitia maiores suscipit ea eligendi.","Voluptas sit explicabo tempore non animi omnis quam id.","Et nesciunt minus voluptatum et officia nobis.","Tempore expedita et explicabo dolore temporibus.","Et numquam pariatur aliquam doloremque saepe consectetur assumenda.","Aut consequuntur dolores et magni.","Aperiam et similique facere eos consequatur mollitia quisquam."]</t>
  </si>
  <si>
    <t>["Quam itaque atque cupiditate facilis non. Aut quia sit veritatis dolorem. Quaerat sunt error voluptatem et sint excepturi.","Vel officia et voluptate. Odio alias quasi dignissimos aut quas. Eos voluptatem rerum quod porro. Est aut autem voluptatibus vel illum ut."]</t>
  </si>
  <si>
    <t>quasi-et-6-512-6-green</t>
  </si>
  <si>
    <t>dolores vitae qui</t>
  </si>
  <si>
    <t>https://via.placeholder.com/300x650.png/00aa66?text=Smartphone+tempore</t>
  </si>
  <si>
    <t>["Inventore officiis esse animi rem minus enim quidem.","Pariatur nam sit provident autem voluptatum rerum harum.","Quos quo placeat necessitatibus architecto ipsa eveniet quo.","Sunt suscipit qui tenetur dolore ut magnam.","Molestiae quia deserunt delectus voluptatum quo tempore culpa.","Et eveniet repellat ducimus quos et enim rerum.","Omnis dignissimos sint ea quia aut possimus.","Sit repellendus quia ipsum a.","Debitis sit porro libero quia atque corporis sit.","Et non voluptas pariatur expedita ab quis occaecati."]</t>
  </si>
  <si>
    <t>["Sint voluptatibus autem iure harum ex autem numquam pariatur. Fugit aut aut non quas qui praesentium beatae. Aut quasi ut officia ut aperiam sequi exercitationem. Totam recusandae culpa asperiores est blanditiis.","Possimus quis est quisquam et alias. Aut eligendi modi ut ipsa. Velit ut vitae aut. Dicta asperiores amet error impedit ut illo cum."]</t>
  </si>
  <si>
    <t>corrupti-odit-4-16-4-green</t>
  </si>
  <si>
    <t>perspiciatis ut sapiente</t>
  </si>
  <si>
    <t>https://via.placeholder.com/300x650.png/00ff77?text=Smartphone+eum</t>
  </si>
  <si>
    <t>["Aut voluptatibus velit iure exercitationem voluptas ipsam.","Quis earum aut dignissimos dolores consectetur.","Voluptatibus nulla distinctio voluptatem quod labore sit et.","Numquam est quibusdam rerum et quia.","Deserunt quia porro ab eos sint aliquid.","Non esse pariatur sed sequi et molestiae qui est.","Aliquam earum quam enim nihil quod itaque.","Quia sit ducimus iure voluptas.","Delectus qui laudantium molestiae dolor repudiandae.","Sint beatae hic soluta."]</t>
  </si>
  <si>
    <t>["Nobis dolores deserunt ea aliquam animi voluptas incidunt. Ipsa veritatis placeat cupiditate quaerat maiores eveniet voluptate. Soluta et laboriosam sed sit aliquam voluptatem mollitia. Maxime aut quam modi labore esse.","Rem tempora aliquam nulla animi nihil illum earum. Dolorem iure quidem ipsum eos. Mollitia ut saepe quisquam. Quae dolorem tempora minus eum molestiae facilis iure."]</t>
  </si>
  <si>
    <t>quasi-voluptatem-6-32-6-red</t>
  </si>
  <si>
    <t>nemo quis et</t>
  </si>
  <si>
    <t>https://via.placeholder.com/300x650.png/001166?text=Smartphone+voluptas</t>
  </si>
  <si>
    <t>["Ratione enim eum modi animi quibusdam non corrupti molestiae.","Deserunt quidem tenetur ut nihil quia similique inventore.","Quo veniam quibusdam ut saepe quia dolores eos.","Non est eos suscipit sed id nam consequuntur.","Et ex quidem optio itaque quo nesciunt facilis.","Ipsam ipsa voluptatem debitis ex adipisci.","Ducimus reiciendis amet iure qui.","Minus recusandae consectetur et rerum nostrum magnam.","Perspiciatis nihil omnis placeat a sit a architecto voluptatem.","Dolor necessitatibus quis labore."]</t>
  </si>
  <si>
    <t>["Aut quibusdam mollitia distinctio. Nulla occaecati corporis repudiandae ullam quos ducimus. Dignissimos voluptatum sed eveniet voluptatum.","Molestiae enim sit corporis iusto deserunt doloribus reiciendis. Officiis dolorem quae debitis quia consequatur magni. Excepturi perferendis minima iure ut."]</t>
  </si>
  <si>
    <t>illum-ab-8-64-3-blue</t>
  </si>
  <si>
    <t>necessitatibus omnis eligendi</t>
  </si>
  <si>
    <t>https://via.placeholder.com/300x650.png/008899?text=Smartphone+doloremque</t>
  </si>
  <si>
    <t>["Aut aspernatur non quisquam blanditiis.","Atque explicabo eos non voluptas non nam.","Eum accusantium libero ipsam mollitia.","Porro ut ullam quis.","Incidunt ducimus nihil id et possimus reprehenderit.","Aut ut enim recusandae quia magnam similique distinctio.","Voluptas quia odio sunt excepturi.","Tempora ut aliquam veniam accusantium et.","Rerum non sunt nostrum saepe ipsa saepe.","Maiores aliquam eius tenetur totam et odit."]</t>
  </si>
  <si>
    <t>["Qui autem ut consequatur quam dolorem maxime. Id eos inventore modi. Voluptas et ipsa quis hic autem.","Temporibus doloremque dolor magni animi dolores. Eos explicabo enim assumenda ut. Recusandae perferendis minima aut et quo."]</t>
  </si>
  <si>
    <t>ut-blanditiis-6-512-4-blue</t>
  </si>
  <si>
    <t>rerum quos blanditiis</t>
  </si>
  <si>
    <t>https://via.placeholder.com/300x650.png/00ff33?text=Smartphone+accusamus</t>
  </si>
  <si>
    <t>["Sit sed quia suscipit blanditiis facere eaque.","Et praesentium possimus et fuga vero minima.","Voluptatibus reiciendis laudantium optio sapiente enim eos.","Corrupti aut atque culpa odio repellat.","Quam quia molestiae atque adipisci optio.","Ut ad incidunt consequuntur est sint corrupti est.","Mollitia et repellat molestiae corrupti.","Fuga vel aliquid nam sunt enim quia.","Cum enim ipsam nisi dolorem sint impedit eaque.","Molestiae aut et molestiae rem quas eligendi dolore dolorem."]</t>
  </si>
  <si>
    <t>["Perspiciatis voluptatem quibusdam ut aperiam. Qui aut beatae reprehenderit aut. Assumenda ratione velit voluptas facere neque. Tempore dignissimos et explicabo mollitia.","Dolores quasi vel quo eum. Maxime cumque velit aspernatur nostrum eaque. Ipsum id nulla dolorem dicta praesentium sit. Ipsa libero error ducimus non enim."]</t>
  </si>
  <si>
    <t>maiores-voluptatum-4-128-2-white</t>
  </si>
  <si>
    <t>assumenda explicabo sed</t>
  </si>
  <si>
    <t>https://via.placeholder.com/300x650.png/009933?text=Smartphone+eos</t>
  </si>
  <si>
    <t>["Ad in veniam ut tempora tempora odio.","Repudiandae ipsum odio et.","Itaque quo dolore consequatur quaerat.","Officia unde accusamus facere odio.","Quo accusantium omnis molestiae ipsum quasi.","Et magni sint velit.","Vel dolores unde alias dolores temporibus.","Cumque fuga illo autem quasi.","Magnam voluptatem quasi quisquam ipsa aliquid cupiditate.","Pariatur ea illum repellat."]</t>
  </si>
  <si>
    <t>["Voluptates ullam tempora quos est nostrum magnam corrupti cumque. Possimus ipsum sit est consequatur recusandae soluta asperiores officia. Est impedit magnam animi hic consequuntur ut.","Voluptatum mollitia et et nisi incidunt. Explicabo eos non qui nostrum ullam eos quisquam et. Velit qui temporibus consequatur."]</t>
  </si>
  <si>
    <t>corrupti-qui-4-8-2-red</t>
  </si>
  <si>
    <t>nobis eligendi odit</t>
  </si>
  <si>
    <t>https://via.placeholder.com/300x650.png/00aabb?text=Smartphone+dolorum</t>
  </si>
  <si>
    <t>["Unde sed non dolore expedita.","In odit doloribus accusantium.","Iure reiciendis quas non veritatis aut dolor nesciunt.","Odit provident quia doloribus expedita eaque labore.","Rerum omnis omnis occaecati et quas voluptas.","Itaque animi culpa aliquid nulla rerum occaecati aut.","Dicta quos qui rem reiciendis nisi nisi.","Est vel velit assumenda aliquam.","Fuga aut ea odit.","Qui optio et vero esse."]</t>
  </si>
  <si>
    <t>["Quae quae quam distinctio qui ipsam. Dignissimos sunt architecto doloribus quidem quis. Qui repellendus est ducimus debitis labore. Vel et aliquam tempora sunt omnis error. Facere consequatur ut praesentium et.","Suscipit deserunt ab sint totam quaerat totam. Blanditiis id quae enim eaque. Ut deserunt soluta unde quaerat ut."]</t>
  </si>
  <si>
    <t>maiores-voluptatum-8-16-3-green</t>
  </si>
  <si>
    <t>vel a voluptatem</t>
  </si>
  <si>
    <t>https://via.placeholder.com/300x650.png/0077ff?text=Smartphone+vero</t>
  </si>
  <si>
    <t>["Id non fugiat quisquam velit.","Ut enim qui excepturi vel.","Facilis dolorem illum incidunt quos qui alias iure delectus.","In quis voluptatem dolores.","Et enim maiores similique sint.","Soluta ipsa at explicabo laborum culpa ea.","Ea modi et incidunt quis omnis ea.","Qui et praesentium repudiandae vero dolorem.","Quasi quibusdam iure similique sed.","Qui et fugit et nam rem voluptas totam."]</t>
  </si>
  <si>
    <t>["Et in autem eveniet laborum cumque non. Rerum dolor rerum cupiditate voluptas sit incidunt. Vel officiis maiores ratione ipsam.","Eum molestiae voluptate eaque sit deserunt in ut veritatis. Possimus accusantium necessitatibus voluptas alias. Ex qui nihil dolorum. Debitis quia aperiam modi est."]</t>
  </si>
  <si>
    <t>maiores-recusandae-2-32-4-black</t>
  </si>
  <si>
    <t>doloremque sint et</t>
  </si>
  <si>
    <t>https://via.placeholder.com/300x650.png/00ff88?text=Smartphone+qui</t>
  </si>
  <si>
    <t>["Blanditiis accusamus modi voluptatem dolorum adipisci.","Repellat corporis et voluptas natus.","Sint iste sed error numquam praesentium dolore beatae.","Maxime et eum non reprehenderit.","Ut minima et veritatis sapiente.","Ut aperiam accusantium autem est optio.","Vitae sit consectetur tenetur.","Cupiditate id pariatur eaque magni necessitatibus quia.","Eos quibusdam et distinctio autem itaque.","Consequatur veniam rerum ut laudantium."]</t>
  </si>
  <si>
    <t>["Qui omnis voluptate quo ipsam porro similique porro. Qui commodi sunt a quo ut. Suscipit ad optio rerum facilis. Est in cupiditate quia et qui.","Corporis et qui ipsum quae voluptates. Molestiae repudiandae rerum et at et et voluptatem. Numquam quis quia eaque suscipit. Sed qui commodi placeat occaecati enim sapiente et."]</t>
  </si>
  <si>
    <t>voluptate-ratione-6-128-2-green-1</t>
  </si>
  <si>
    <t>voluptatum non dignissimos</t>
  </si>
  <si>
    <t>https://via.placeholder.com/300x650.png/005522?text=Smartphone+occaecati</t>
  </si>
  <si>
    <t>["Aut dolore possimus perspiciatis.","Assumenda nesciunt dicta et et.","Fuga quae praesentium voluptatem sunt.","Doloremque dolorem est quas nam molestiae dicta officiis.","A possimus illum voluptatem fugiat.","Ipsum excepturi dolor sit et aspernatur tempore.","Aut dicta ut iure voluptas.","Dolore et maxime vel.","Beatae quia doloribus modi veniam.","Nihil repellat aut quo ut reiciendis."]</t>
  </si>
  <si>
    <t>["Omnis et quo harum et voluptatem dolorem officiis. Est dolores esse eos sunt. Incidunt iure sed veniam consequatur sed. Illum sapiente temporibus cupiditate sit deserunt ut.","Beatae sint quia officia qui facilis dignissimos. Nisi dolorem quis debitis quae. Officia dolor et odit consequatur enim alias."]</t>
  </si>
  <si>
    <t>voluptate-similique-4-128-6-black</t>
  </si>
  <si>
    <t>aut quas at</t>
  </si>
  <si>
    <t>https://via.placeholder.com/300x650.png/001199?text=Smartphone+est</t>
  </si>
  <si>
    <t>["Omnis nemo quidem quia et et.","Deserunt amet sit atque ut iste.","Beatae et necessitatibus ut aperiam ab et.","Ullam minima facere dolores rerum sed.","Ut omnis ex ipsa dignissimos non a alias rerum.","Qui fuga expedita enim nostrum ut vero.","Aperiam sunt reprehenderit repudiandae in.","Atque qui repudiandae id voluptatem tenetur.","Eum at molestiae distinctio sit officiis suscipit.","Nisi vitae itaque ea."]</t>
  </si>
  <si>
    <t>["Non sequi sed veritatis quibusdam illum fugiat vitae voluptas. Animi ab consequatur et quo adipisci mollitia labore. Nam facilis corporis dolore eos voluptatem quae consequatur.","Fugiat eum doloribus eius dignissimos distinctio odit minima. Dolore ex natus possimus quia dolorem et. Et consequatur ea accusamus quo alias. Eum odit unde fuga quam quae."]</t>
  </si>
  <si>
    <t>maiores-deleniti-8-128-4-red</t>
  </si>
  <si>
    <t>molestiae voluptatibus consequatur</t>
  </si>
  <si>
    <t>https://via.placeholder.com/300x650.png/00cc99?text=Smartphone+aut</t>
  </si>
  <si>
    <t>["Voluptatibus consequatur sint quas soluta asperiores nam.","Omnis sapiente dolor omnis numquam labore blanditiis illo.","Voluptas facere voluptatem sit suscipit et sed voluptas.","Maiores et iste ullam in facere praesentium voluptatem.","Beatae et aliquam aliquam blanditiis voluptatem.","Ut voluptatum occaecati explicabo et.","Est id dolorem velit adipisci omnis laudantium aliquam.","Rerum sunt et a amet placeat dignissimos.","Blanditiis quo culpa et voluptatibus veritatis inventore.","Qui qui doloremque est voluptatibus."]</t>
  </si>
  <si>
    <t>["Sequi ab architecto a omnis maiores ut cupiditate eos. Corporis deserunt est magni saepe delectus et hic ullam. Et et numquam at rerum eligendi. Ut eum aut voluptatem ipsam.","Porro aut ab minus inventore. Ad porro ea maiores voluptatibus. Non aperiam veritatis aut. Rerum est praesentium vitae. Exercitationem sit dolores ipsum distinctio sequi minima et."]</t>
  </si>
  <si>
    <t>aspernatur-voluptas-4-64-5-white</t>
  </si>
  <si>
    <t>nemo in et</t>
  </si>
  <si>
    <t>https://via.placeholder.com/300x650.png/000099?text=Smartphone+eveniet</t>
  </si>
  <si>
    <t>["Dignissimos nobis debitis quas cum nihil assumenda perferendis.","Nemo commodi culpa modi accusantium.","Animi qui velit eius esse eum beatae reprehenderit.","Et quae corporis ea minus repudiandae.","Fugit possimus doloribus repudiandae ab maiores et at.","Architecto est ea et et quo laudantium earum.","Ipsa corporis illum libero maxime autem officiis.","Cum sed delectus velit labore adipisci.","Iusto in rerum voluptatem quidem.","Hic nihil illum fuga est eum quo."]</t>
  </si>
  <si>
    <t>["Rem nihil voluptates sunt. Qui sapiente iure dolorem repellat fuga et doloribus voluptates. Nihil nam et quia similique rem repellat minus. Inventore quidem voluptatum veritatis dolores placeat voluptas.","Et reprehenderit magnam repellat molestiae ut numquam. Unde fuga ea voluptate praesentium voluptates autem suscipit. Eum modi voluptate necessitatibus est magni qui. Sapiente cum sed aut voluptates est."]</t>
  </si>
  <si>
    <t>aspernatur-temporibus-2-64-6-white</t>
  </si>
  <si>
    <t>ut asperiores est</t>
  </si>
  <si>
    <t>https://via.placeholder.com/300x650.png/000088?text=Smartphone+sunt</t>
  </si>
  <si>
    <t>["Consequuntur maiores quasi consequatur molestias.","Officiis ut praesentium ea et aut consequatur.","Aspernatur nobis dignissimos aut fugit maiores eum.","Esse quae deserunt ipsa ratione ut omnis.","Architecto animi voluptatem dolores beatae.","Laboriosam quas inventore ex eligendi molestias.","Omnis consequatur quo aspernatur eum laborum.","Ex assumenda autem in voluptatem sit.","Nulla velit aut eos explicabo pariatur placeat.","Est quis dolorem est."]</t>
  </si>
  <si>
    <t>["At nisi illum molestiae vitae voluptatem debitis. Eos expedita labore fugit nihil. Nihil possimus voluptate numquam deserunt. Rem quis aut dolor ad qui eos.","Tempore cum suscipit quia alias alias. Dolor aliquam eaque deleniti voluptas corrupti velit qui."]</t>
  </si>
  <si>
    <t>corrupti-ex-4-512-4-blue</t>
  </si>
  <si>
    <t>molestiae alias id</t>
  </si>
  <si>
    <t>https://via.placeholder.com/300x650.png/00eeff?text=Smartphone+optio</t>
  </si>
  <si>
    <t>["Tempore optio quas aliquam enim dignissimos odio velit.","Quia non pariatur quia velit ut omnis quas repudiandae.","Consequatur eum perspiciatis non nam commodi doloribus necessitatibus.","Ut maiores sit excepturi vitae.","Laboriosam ut nisi aut cum.","Eius dolores ullam reiciendis expedita.","Quidem quidem quasi ex quasi sed accusantium.","Numquam corrupti aspernatur reprehenderit corrupti quod ipsam asperiores.","Ut fugit dolorem officia.","Vel vitae voluptatum nihil aut omnis aspernatur."]</t>
  </si>
  <si>
    <t>["Facilis quia inventore alias architecto repellendus enim aut. Iusto maiores accusamus rerum inventore. Molestiae soluta voluptatem rerum a et dolores.","Soluta est dolores iste tempore neque optio et quasi. Omnis aut aut modi itaque assumenda. Suscipit nobis accusamus facere. Veniam qui sed corrupti quas."]</t>
  </si>
  <si>
    <t>est-ex-2-8-2-red</t>
  </si>
  <si>
    <t>aut debitis placeat</t>
  </si>
  <si>
    <t>https://via.placeholder.com/300x650.png/00ff99?text=Smartphone+quia</t>
  </si>
  <si>
    <t>["Officia ipsa minus blanditiis laborum.","Repellat deserunt sed rem ipsa voluptatem sit atque impedit.","Quo et dolor quod libero voluptas vel.","Voluptates voluptatibus perspiciatis eligendi sed.","Quod rerum voluptate dolore laboriosam soluta.","Accusantium dolores et et repellat aut culpa.","Sit dicta quo laudantium aliquid accusamus dolor.","Delectus dolore dolores nulla quia dolorem voluptatem sint.","Qui neque voluptas libero amet illo.","Ullam et magnam voluptatem quo."]</t>
  </si>
  <si>
    <t>["Rerum et molestiae eos dolor accusamus qui vero. Voluptatem officiis repellat id qui eius ab. Nihil et et laboriosam. Harum consequatur harum maxime.","Rem nulla sit quia consequatur beatae et nisi. Nam est dolor corporis. Nam debitis ratione laboriosam perspiciatis consequuntur unde nostrum. Modi nobis numquam omnis voluptate nobis nulla et explicabo."]</t>
  </si>
  <si>
    <t>illum-reiciendis-2-64-5-black</t>
  </si>
  <si>
    <t>harum magni facilis</t>
  </si>
  <si>
    <t>https://via.placeholder.com/300x650.png/002211?text=Smartphone+exercitationem</t>
  </si>
  <si>
    <t>["Rem quia libero corporis impedit numquam et et.","Eum provident dolor ut.","Ad quod deserunt a asperiores dolore adipisci modi quo.","Perferendis ea esse adipisci hic.","Quia corrupti aut ut expedita.","Fuga natus voluptate veniam aut accusantium ad iure.","Qui et ullam et ad enim.","Nulla eveniet et vel aut et a atque.","Rerum quos est sit in fugit.","Laboriosam et et velit sequi id qui ea."]</t>
  </si>
  <si>
    <t>["Recusandae eos sed harum qui. Dolorem impedit nobis occaecati culpa qui quasi dolores minus. Nisi cum voluptatem atque aut rerum magni voluptatem. Corporis velit aliquam nihil ut rerum officia.","Eveniet molestias qui veritatis quae et. Commodi eum voluptas pariatur et similique. Facere tenetur autem consequatur delectus praesentium. Odit impedit suscipit et maiores debitis ut hic."]</t>
  </si>
  <si>
    <t>maiores-veritatis-8-8-4-blue</t>
  </si>
  <si>
    <t>iusto nisi sit</t>
  </si>
  <si>
    <t>https://via.placeholder.com/300x650.png/003300?text=Smartphone+ipsam</t>
  </si>
  <si>
    <t>["Libero deserunt adipisci totam dolorem incidunt.","Velit cupiditate voluptas velit pariatur ipsam.","Quos inventore vero consequatur repellat excepturi voluptas asperiores.","Expedita voluptatibus dolorum quam placeat reiciendis quisquam.","Occaecati ex perferendis sit at.","Cumque molestiae et molestiae occaecati esse.","Dolor odio vero repellendus sint eveniet ut consequatur dolorem.","Labore totam delectus unde excepturi.","Voluptates voluptas quo vel provident voluptatum repellat aspernatur.","Magni eligendi est omnis rerum velit et."]</t>
  </si>
  <si>
    <t>["Cum porro et quos rem dolor repudiandae vitae. Quod repellat nobis nihil enim aspernatur non pariatur. Voluptas ipsam esse tempora velit recusandae doloremque.","Eum unde delectus ipsam qui animi. Maiores vel sed similique sed et accusantium sed consequatur. Sed nesciunt consequatur blanditiis. Quo voluptatibus blanditiis excepturi suscipit provident est dolores autem. Ut quia ea nihil aliquid sit eos."]</t>
  </si>
  <si>
    <t>maiores-iure-8-8-4-white</t>
  </si>
  <si>
    <t>culpa rerum aut</t>
  </si>
  <si>
    <t>https://via.placeholder.com/300x650.png/0033ff?text=Smartphone+laudantium</t>
  </si>
  <si>
    <t>["Consequatur quo id et nihil iste ipsa.","Aliquam eius voluptatem nostrum fugiat eligendi dicta.","Vitae ipsam nihil occaecati voluptatum odit nobis.","Autem et nobis culpa laboriosam.","Maxime quaerat placeat voluptatem voluptas.","Blanditiis omnis possimus in omnis ad exercitationem.","Qui et molestiae laudantium reprehenderit harum animi.","Ducimus provident iure natus.","Laboriosam dolores officia eaque sint dolores sint quasi numquam.","Eligendi eum praesentium voluptas illum porro."]</t>
  </si>
  <si>
    <t>["Voluptatem fuga consectetur incidunt eius sequi et consectetur. Quo et suscipit quia asperiores. Deleniti nisi magni temporibus exercitationem dolores nihil.","Expedita tenetur quibusdam velit soluta rerum provident. Qui distinctio qui pariatur id qui. Ipsa non eum culpa illum eos unde doloremque. Consequatur voluptas et quo ipsa quod molestias et."]</t>
  </si>
  <si>
    <t>sed-id-4-16-4-green</t>
  </si>
  <si>
    <t>sit blanditiis et</t>
  </si>
  <si>
    <t>https://via.placeholder.com/300x650.png/00bb44?text=Smartphone+quia</t>
  </si>
  <si>
    <t>["Debitis tenetur consequuntur quo rerum.","Error labore officia omnis earum qui ut impedit.","Ipsa iure quis molestias consequatur repellat et officiis.","In distinctio sequi odit itaque voluptatem tempore sit at.","Mollitia praesentium rerum consequatur et.","Tempora quia dolores voluptatem voluptas est.","Quis aut vel dolor animi.","Voluptatem omnis repellendus doloremque architecto eligendi accusamus molestiae.","Ut quam architecto iste qui.","Dolore molestiae placeat natus sequi."]</t>
  </si>
  <si>
    <t>["Quisquam quisquam numquam rerum tenetur nobis. Minima alias vel quod qui. Saepe deserunt rerum recusandae tempore tempora repellat incidunt.","Atque beatae corporis voluptatem. Libero voluptatum at cum incidunt est aut. Aliquam aut harum sed ipsum. In quod dolores et velit eveniet recusandae non."]</t>
  </si>
  <si>
    <t>et-aliquid-8-32-4-white</t>
  </si>
  <si>
    <t>beatae est recusandae</t>
  </si>
  <si>
    <t>https://via.placeholder.com/300x650.png/0022aa?text=Smartphone+et</t>
  </si>
  <si>
    <t>["Nihil quos optio blanditiis molestiae nulla qui.","Aliquid aut enim est.","Fugit eveniet ut expedita consectetur voluptatibus.","Quo repellat rerum commodi cumque ullam officia id.","Repudiandae commodi nemo ad praesentium qui reprehenderit sunt.","Est consequatur ut magnam autem quaerat explicabo omnis.","Voluptatibus molestiae aut soluta sit doloribus aut.","Enim itaque labore modi magni iusto sunt.","Eveniet consequatur necessitatibus ut.","Modi non reprehenderit doloremque doloremque dolorem quia."]</t>
  </si>
  <si>
    <t>["Fugit animi esse excepturi qui dolorem. Velit quae atque consectetur qui. Eveniet omnis eum vitae non.","Quis vel ipsa nulla. Sunt voluptas velit eaque debitis sequi tenetur. Cumque debitis nobis molestias voluptatibus voluptatem. Sed et sunt qui eum. Ipsam qui aperiam illo."]</t>
  </si>
  <si>
    <t>et-natus-4-16-2-white</t>
  </si>
  <si>
    <t>neque eos enim</t>
  </si>
  <si>
    <t>https://via.placeholder.com/300x650.png/00dd44?text=Smartphone+quaerat</t>
  </si>
  <si>
    <t>["Illum cum quia dolorem et nisi doloribus.","Molestiae maiores iure quas cum consectetur fuga qui.","Modi similique excepturi occaecati vero pariatur totam voluptatibus autem.","Magni culpa maxime voluptatem.","Quibusdam molestias voluptatem ut magnam tempora.","Voluptatibus ut aliquid commodi voluptate corrupti.","Sunt illo ullam ipsum voluptatum est repudiandae laborum.","Iusto alias voluptate sint ullam.","Consequatur suscipit quasi aut provident laborum deserunt.","Ab officiis distinctio ea explicabo est qui consequatur ut."]</t>
  </si>
  <si>
    <t>["Non doloremque in voluptates repellendus beatae. Est nesciunt nesciunt eum dolor. Minus et porro quia ex doloremque modi laudantium tenetur.","Ipsum laboriosam quam neque officia qui. Deserunt et nesciunt quaerat odit natus. Harum explicabo asperiores libero maxime ipsa earum illum. Corrupti velit mollitia deserunt eos odio."]</t>
  </si>
  <si>
    <t>est-a-12-32-5-blue</t>
  </si>
  <si>
    <t>qui corrupti non</t>
  </si>
  <si>
    <t>https://via.placeholder.com/300x650.png/007799?text=Smartphone+aut</t>
  </si>
  <si>
    <t>["Error sapiente corporis aut ab consectetur.","Dignissimos quas eligendi nihil asperiores ea quia modi.","Dolorem dicta labore voluptatem similique rerum eum ex iste.","Earum ut aut accusantium totam odit provident.","Nihil ut dolorem rerum et sit ducimus qui.","Suscipit soluta nam nobis quae sit molestias.","Est tempore maiores vel voluptas dolor eaque tempora.","Reiciendis consectetur iure ad officiis qui et.","Omnis qui molestiae aut amet exercitationem tempora et dignissimos.","Alias aut porro distinctio possimus ipsam aut."]</t>
  </si>
  <si>
    <t>["Aut non unde ut doloremque. Ab rem voluptas sequi sequi.","Qui itaque qui quasi ducimus. Pariatur dolorem et corrupti error."]</t>
  </si>
  <si>
    <t>corrupti-ex-6-32-5-green</t>
  </si>
  <si>
    <t>sit quos facilis</t>
  </si>
  <si>
    <t>https://via.placeholder.com/300x650.png/00aa11?text=Smartphone+non</t>
  </si>
  <si>
    <t>["Quo nihil minima fugiat.","Quisquam amet dignissimos optio quam.","Voluptatem nihil aperiam sunt placeat.","Vel quis voluptate nihil.","Qui ea vitae adipisci sint.","Animi qui nemo qui accusantium est eum saepe.","Libero et enim quas impedit in aliquam quaerat fugit.","Aliquid quisquam provident tenetur non reiciendis dolor aut.","Voluptatibus ut sint culpa harum est.","Id atque perspiciatis natus eaque est."]</t>
  </si>
  <si>
    <t>["Ullam et voluptatem eaque quis. Sed mollitia accusamus ab ad corrupti vitae aperiam ut. At cupiditate placeat ad laboriosam pariatur. Quae ut magni dicta excepturi qui maiores.","Eos id accusantium ex nemo omnis est. Tempora quam sit ea. Aliquam omnis eaque non animi. Et laboriosam rerum sunt accusantium."]</t>
  </si>
  <si>
    <t>est-ex-6-32-2-green</t>
  </si>
  <si>
    <t>temporibus non fugit</t>
  </si>
  <si>
    <t>https://via.placeholder.com/300x650.png/00cc55?text=Smartphone+temporibus</t>
  </si>
  <si>
    <t>["Perspiciatis sit eaque culpa quidem quod.","Deleniti totam quia ut et soluta et facere veniam.","Sit laboriosam quisquam debitis delectus sed eos fuga.","Porro dolorem veniam laborum quia.","Officia omnis est dolorum amet nihil.","Occaecati dolores necessitatibus corporis delectus rem dolorem qui.","Soluta perferendis nihil et aut qui eum labore.","Eos assumenda fugit natus tempora.","Tempore molestiae et consequatur minus ex assumenda.","Ratione sed qui possimus facere modi."]</t>
  </si>
  <si>
    <t>["Ut est eveniet rem consequatur. At id sit distinctio.","Corrupti et voluptatem quis sunt aut et voluptate. Iusto ad vitae aliquid. Perspiciatis consectetur maxime molestias accusamus officiis consectetur inventore. Perferendis ipsum enim quam magni aut exercitationem aut."]</t>
  </si>
  <si>
    <t>aspernatur-asperiores-2-16-3-blue</t>
  </si>
  <si>
    <t>autem autem iure</t>
  </si>
  <si>
    <t>["Error officiis rerum minus iusto libero.","Explicabo nobis et maxime.","Mollitia enim reiciendis et illo perspiciatis dolorem.","Voluptatum eligendi veritatis laudantium ab quis.","Voluptatum maiores voluptatem doloribus similique.","Beatae aut reiciendis laborum molestias dolores sed alias quos.","Ex ea illum eligendi quasi autem.","Fuga in aut error et consequatur.","Excepturi quidem autem eligendi esse.","Aut cumque aut qui voluptate et expedita et error."]</t>
  </si>
  <si>
    <t>["Quia odit dolorem expedita qui voluptates repellendus. Molestiae voluptatem provident laudantium incidunt blanditiis. Rerum laborum illo cumque nobis eum corporis.","Veniam corporis eius sunt animi ab. Odio excepturi eos aut sit perferendis architecto. Non veniam assumenda adipisci rerum dolores. Hic consequuntur est esse quis cupiditate corrupti."]</t>
  </si>
  <si>
    <t>sed-reiciendis-6-16-4-black</t>
  </si>
  <si>
    <t>qui vero odit</t>
  </si>
  <si>
    <t>https://via.placeholder.com/300x650.png/006622?text=Smartphone+velit</t>
  </si>
  <si>
    <t>["Non incidunt quia sed.","Vero nesciunt repudiandae debitis.","Quidem porro ut cupiditate.","Est iusto quia beatae non voluptate sit.","Temporibus commodi aliquam nostrum consequatur minima.","Ipsam voluptate accusamus omnis.","Magni omnis sed et est et minus temporibus.","Aut ut voluptate voluptatem quisquam.","Id et rem distinctio voluptas ut sit.","Omnis et aut eum minus."]</t>
  </si>
  <si>
    <t>["Totam odit aut quae impedit quod sint. Sed a quis autem rem explicabo. Vitae qui enim est doloribus.","Unde odio libero id dolores. Eos molestiae voluptatem voluptatem dolorem tempore. Temporibus dolorum eveniet quia maxime error repellat."]</t>
  </si>
  <si>
    <t>illum-facere-6-16-4-white</t>
  </si>
  <si>
    <t>ad vitae quisquam</t>
  </si>
  <si>
    <t>https://via.placeholder.com/300x650.png/00ffcc?text=Smartphone+animi</t>
  </si>
  <si>
    <t>["Excepturi placeat earum facere dicta.","Soluta voluptas et eius non eum labore facilis ut.","Et enim unde repudiandae ut fuga non velit ipsum.","Animi inventore ut provident.","Voluptas alias cupiditate repellat sed ut molestias.","Fuga laborum consequatur quia iusto et aut.","Corrupti in nihil aperiam sit unde.","Alias libero praesentium magnam voluptatibus enim at dolores harum.","Libero quasi illum voluptate labore perspiciatis sint.","Qui omnis et totam debitis enim."]</t>
  </si>
  <si>
    <t>["Nisi possimus est dolorum veritatis et consequuntur. Optio quibusdam qui quo iusto voluptatem quibusdam. Id mollitia nulla cum voluptatem vitae. Atque et sed sunt ea officiis.","Id molestiae quia non quis quia quia earum. Nam est nisi veniam et beatae dolor. Laboriosam voluptatem at qui ut fugiat. Explicabo voluptatem sunt id in possimus minus ut."]</t>
  </si>
  <si>
    <t>sed-id-4-512-4-black</t>
  </si>
  <si>
    <t>natus illo aut</t>
  </si>
  <si>
    <t>https://via.placeholder.com/300x650.png/00ccee?text=Smartphone+nostrum</t>
  </si>
  <si>
    <t>["Est incidunt voluptates vitae quo exercitationem molestias error.","Molestias iusto iusto vero.","Velit voluptatem officia velit et.","Doloremque inventore enim voluptatem maiores ad.","Quia nam exercitationem cupiditate esse error vel.","Reprehenderit eligendi est qui nostrum qui facere.","Maxime voluptatem repellat tempora necessitatibus incidunt nihil.","Voluptate soluta aliquid dolorem quo natus unde.","Ut facilis soluta voluptas.","Nostrum quidem inventore ut voluptas enim est est."]</t>
  </si>
  <si>
    <t>["Qui facere quas tempora magnam quia doloribus libero. Et et esse aliquam repellat ipsam minima rerum. Sunt repellat rerum laborum repudiandae sequi. Eum est sequi necessitatibus culpa atque assumenda.","Magnam ut nemo blanditiis dignissimos aut. Temporibus nemo voluptas facilis nam."]</t>
  </si>
  <si>
    <t>voluptate-ratione-6-64-6-red</t>
  </si>
  <si>
    <t>ipsam illum ipsa</t>
  </si>
  <si>
    <t>https://via.placeholder.com/300x650.png/00ff99?text=Smartphone+possimus</t>
  </si>
  <si>
    <t>["Ut placeat quisquam error reiciendis enim atque molestiae.","Cumque tempora autem quo ut delectus atque.","Praesentium quasi eligendi hic iure.","Omnis itaque tempore eligendi eligendi.","Ea culpa odit voluptatem beatae.","Dolor vitae labore ex blanditiis voluptatem quia aliquam labore.","Et aut et possimus dicta voluptatibus rerum explicabo repellendus.","Libero dolores itaque eius.","Qui ut aspernatur illo soluta magnam sint sint.","Aspernatur harum nemo incidunt et aperiam quos."]</t>
  </si>
  <si>
    <t>["Sint quaerat ut molestias exercitationem veniam aliquid. Architecto non fuga enim et. Dignissimos eum modi corporis. Voluptatem ipsum facere omnis dolore quia id et. Quia et et et voluptas tenetur quaerat.","Quidem recusandae illo est nemo nam. Non nihil nesciunt a quidem aperiam cum. Modi atque voluptatem quos qui cumque et quo. Ratione perferendis excepturi omnis eum consequatur qui aut."]</t>
  </si>
  <si>
    <t>corrupti-sint-2-128-3-white</t>
  </si>
  <si>
    <t>quod quaerat qui</t>
  </si>
  <si>
    <t>https://via.placeholder.com/300x650.png/0066bb?text=Smartphone+odio</t>
  </si>
  <si>
    <t>["Quas doloremque tenetur atque possimus et mollitia.","Maiores praesentium deserunt reiciendis officia.","Maiores dolores commodi maiores sit.","Aperiam delectus nemo quis vel ut.","Quae laboriosam repellat ratione sunt magnam.","Ea sapiente sed distinctio eaque rerum.","Eos eos sunt harum.","Aut ad perspiciatis velit sapiente blanditiis non.","Eum sed quae ut rerum dolores nesciunt.","Et non dolor veniam id cumque."]</t>
  </si>
  <si>
    <t>["Animi aut id est assumenda. Qui incidunt id sed quae eveniet. Asperiores natus temporibus facere sapiente possimus nihil. Voluptatum ea et quaerat eos consectetur.","Quia dolore libero pariatur. Corrupti nostrum hic voluptates eos eveniet. Et quibusdam et dicta ullam. Tempora recusandae fuga repellendus expedita assumenda suscipit eos."]</t>
  </si>
  <si>
    <t>ut-ut-4-16-3-black</t>
  </si>
  <si>
    <t>quia natus omnis</t>
  </si>
  <si>
    <t>https://via.placeholder.com/300x650.png/00aaaa?text=Smartphone+itaque</t>
  </si>
  <si>
    <t>["Beatae rerum facere mollitia necessitatibus.","A iure quis deserunt saepe nulla eum debitis reiciendis.","Iure quia possimus modi corporis.","Velit unde repudiandae voluptatibus dolor ut omnis.","Earum consequuntur ut est sunt.","Ipsam eligendi ut ut exercitationem.","Ex a quasi dolor modi explicabo ullam nobis quas.","Quidem ex harum amet.","Voluptatum beatae sunt molestias quaerat rerum veniam ea.","Omnis natus est et."]</t>
  </si>
  <si>
    <t>["Nihil earum voluptas id nulla. Nihil non sed aut illum eaque ducimus dolores omnis. Dolor est minus ut explicabo.","Et facilis excepturi reprehenderit temporibus recusandae rerum possimus. Minus aut dignissimos sed fugit consectetur."]</t>
  </si>
  <si>
    <t>et-minima-12-64-4-green</t>
  </si>
  <si>
    <t>id voluptate ut</t>
  </si>
  <si>
    <t>https://via.placeholder.com/300x650.png/003333?text=Smartphone+eaque</t>
  </si>
  <si>
    <t>["Eaque et et officiis excepturi omnis omnis nisi.","Est molestiae non rerum.","Occaecati ad consequuntur mollitia repellendus id necessitatibus.","Libero saepe dolorem voluptatem.","Incidunt quia ea velit omnis qui neque sint est.","Temporibus blanditiis exercitationem est itaque velit.","Molestias sint aut nisi dolorem voluptatem.","Cum ipsam impedit odit modi omnis voluptas.","Dolores sed asperiores est atque ut.","Deleniti temporibus corporis neque."]</t>
  </si>
  <si>
    <t>["Minus iusto quo sit id fugit nam. Vel ut vel quo et voluptates qui delectus.","Nisi molestiae dolores est ut voluptates. Quas nihil quis doloribus tempora quis voluptatem dolorem. Facere possimus sunt excepturi doloremque eum."]</t>
  </si>
  <si>
    <t>maiores-voluptatum-4-8-6-black</t>
  </si>
  <si>
    <t>quisquam perferendis ad</t>
  </si>
  <si>
    <t>https://via.placeholder.com/300x650.png/0055bb?text=Smartphone+illo</t>
  </si>
  <si>
    <t>["Consequatur dolor qui itaque et.","Sit sed qui amet sequi.","Ut qui voluptatem ut sint officiis modi quae.","Quisquam porro illum perspiciatis commodi ut.","Iste culpa a eos alias est.","Dolores iusto soluta quam qui.","Est a rerum dignissimos et.","Quas voluptatem minus atque aut similique quibusdam eos.","Molestiae quis aut eos est provident.","Possimus quaerat et laudantium suscipit cumque voluptate voluptatem."]</t>
  </si>
  <si>
    <t>["Nesciunt vel tenetur earum nostrum quasi. Fuga perspiciatis sapiente impedit occaecati perferendis. Eum laborum dolorem eius vel. Iste nesciunt ab reiciendis amet et. Ratione distinctio aut hic voluptatem.","Qui molestiae culpa aut adipisci. Quia magni non nesciunt eligendi aliquid ad repudiandae. Aperiam omnis cumque quod magni praesentium. Aut facilis aut et consequatur quos hic."]</t>
  </si>
  <si>
    <t>quasi-et-12-32-5-red</t>
  </si>
  <si>
    <t>modi velit delectus</t>
  </si>
  <si>
    <t>https://via.placeholder.com/300x650.png/007799?text=Smartphone+mollitia</t>
  </si>
  <si>
    <t>["Illo fuga mollitia placeat dolorum quis inventore dolor perspiciatis.","Totam sint aut officiis.","Quo sint sunt error nihil ab qui vel.","Magni nostrum rerum perferendis qui odit ea fugit.","Quia ut ut perferendis debitis facere.","Eos impedit dolor molestiae.","Qui saepe omnis inventore sint ut molestiae.","Incidunt quaerat facere nihil neque.","Reprehenderit laudantium debitis sed quisquam quae impedit ab vero.","Ab facere velit quam distinctio."]</t>
  </si>
  <si>
    <t>["Nemo corrupti nobis ad hic. Dicta sunt optio numquam et quae consequuntur recusandae. Dolor necessitatibus aut delectus debitis totam iste vitae.","Ratione totam ea quo voluptates suscipit. Explicabo quibusdam laborum sit quidem. Porro impedit aliquam molestias consequuntur sed. Ratione dolorum repellendus repellendus et ea."]</t>
  </si>
  <si>
    <t>voluptate-sunt-2-128-3-blue</t>
  </si>
  <si>
    <t>quis quis qui</t>
  </si>
  <si>
    <t>https://via.placeholder.com/300x650.png/001155?text=Smartphone+delectus</t>
  </si>
  <si>
    <t>["Non sint odio voluptates dignissimos.","Quo tenetur dignissimos perferendis incidunt maxime quae.","Ut et natus eos amet.","Laborum qui totam quia error nihil veritatis sapiente.","Aut quos voluptas quaerat cupiditate in.","Vitae in velit quia tempora qui possimus.","Quis sit quod quod quo temporibus provident.","Maxime vel perferendis maiores est corrupti omnis nostrum soluta.","Odio enim aut fuga.","Ut doloribus vel fuga fuga optio."]</t>
  </si>
  <si>
    <t>["Temporibus ut soluta aut quos iste quia. Animi ducimus blanditiis minus facere. Quasi et cupiditate cupiditate rerum.","Et soluta aut sed non distinctio dolore. Provident earum quia a voluptatem. Eveniet voluptatum ad dolorem voluptatem rerum."]</t>
  </si>
  <si>
    <t>et-sit-2-16-2-blue</t>
  </si>
  <si>
    <t>officia dolorem consequatur</t>
  </si>
  <si>
    <t>https://via.placeholder.com/300x650.png/000088?text=Smartphone+sed</t>
  </si>
  <si>
    <t>["Provident quia doloremque et perspiciatis.","Voluptas assumenda et iusto et.","Earum ut nobis vel quia facere impedit veniam.","Aliquam dolores suscipit distinctio molestias.","Odit et ut assumenda perferendis reprehenderit.","Reiciendis qui eaque consequatur eius recusandae.","Dolores qui omnis ad odio.","Maiores excepturi veniam est aut voluptates.","Voluptatem et consequatur ea.","Placeat voluptates aut magnam facilis."]</t>
  </si>
  <si>
    <t>["Vitae rerum nobis atque ut minus ut. Nisi impedit eum et animi aut velit. Non nemo quae neque quis soluta eos quo. Quibusdam quaerat id necessitatibus maxime vel illum.","Porro sapiente quis aperiam quasi in autem quia. Magnam qui soluta sed nisi officia corporis ut. Repudiandae doloribus sit rem consequuntur ea quae unde. Debitis esse qui labore incidunt hic accusantium."]</t>
  </si>
  <si>
    <t>maiores-aspernatur-6-128-2-red</t>
  </si>
  <si>
    <t>voluptas et debitis</t>
  </si>
  <si>
    <t>["Eaque dicta nam debitis cumque possimus quis molestias.","Repellendus accusantium qui omnis aut.","Et labore ratione excepturi quos.","Iste aut provident voluptates illum qui.","Quidem qui delectus sint qui cumque ullam.","Quo quisquam unde quae et illum repellat perspiciatis debitis.","Aliquam rerum dolorum impedit sit qui.","Nisi magnam est ea omnis iste.","Et fugiat voluptatibus nam optio odio veritatis consequuntur.","Labore deserunt porro rerum consequatur."]</t>
  </si>
  <si>
    <t>["Soluta commodi omnis et rem ut ipsa ullam. Laudantium eius animi itaque aut sint. Aperiam reiciendis dolorem quo veniam ex expedita. Voluptatem quam rerum et accusamus tenetur.","Sapiente consequatur aut est beatae. Eos laboriosam cupiditate officia perferendis. Fugit ullam amet quos quasi id nisi minima quo. Dolor consequatur saepe facere."]</t>
  </si>
  <si>
    <t>voluptate-voluptatem-6-512-2-white</t>
  </si>
  <si>
    <t>aperiam itaque nobis</t>
  </si>
  <si>
    <t>https://via.placeholder.com/300x650.png/00ff99?text=Smartphone+esse</t>
  </si>
  <si>
    <t>["Quia similique voluptatem harum voluptates tenetur.","Qui eum et sit consequatur earum voluptas.","Sed architecto dolores enim quidem.","Officiis voluptates ducimus animi qui suscipit.","Et et aut eaque veritatis reiciendis sunt hic inventore.","Est sit molestiae ea dignissimos sunt aliquam.","Amet animi libero ut.","Neque fuga iure sint voluptate deleniti voluptas sit.","Et aut nulla quasi ab ipsam omnis quidem mollitia.","Ullam cupiditate nulla quasi."]</t>
  </si>
  <si>
    <t>["Porro dolor iusto voluptatum perspiciatis. Voluptas libero asperiores corrupti a labore autem reprehenderit.","Mollitia magni aut et officiis vel ipsam similique. Ipsam voluptatem sint quos illum et. Tenetur optio ut perferendis facere qui alias. Esse dolores inventore veritatis consectetur voluptatem iure et et."]</t>
  </si>
  <si>
    <t>voluptate-similique-12-16-6-red</t>
  </si>
  <si>
    <t>velit ad et</t>
  </si>
  <si>
    <t>https://via.placeholder.com/300x650.png/00bbff?text=Smartphone+consectetur</t>
  </si>
  <si>
    <t>["Dignissimos assumenda laboriosam qui delectus iusto.","Qui ad voluptatem sapiente repudiandae.","Qui molestiae et inventore cupiditate aliquid beatae itaque omnis.","Exercitationem incidunt laborum tempora omnis pariatur laborum ut.","Sit accusamus qui aliquid omnis aspernatur corporis.","Ipsa a deserunt adipisci ducimus animi.","Et distinctio fuga facilis est saepe.","Illum a rerum fugiat.","Cumque qui omnis facilis non et necessitatibus.","Dignissimos eos est rerum odio consequatur fuga molestias incidunt."]</t>
  </si>
  <si>
    <t>["Maxime tempora modi consequatur dolores rerum corrupti quasi. Fugiat delectus laborum nisi ad nostrum quos. Vel nemo labore id non ipsa repellat dolor quod. Rerum aliquid ea earum doloribus qui molestiae.","Odio repellendus est velit enim possimus voluptatem ipsam. Deleniti fugit dolores et fugit delectus veniam laboriosam quisquam."]</t>
  </si>
  <si>
    <t>est-eum-8-128-5-white</t>
  </si>
  <si>
    <t>error sed blanditiis</t>
  </si>
  <si>
    <t>https://via.placeholder.com/300x650.png/00bbaa?text=Smartphone+perspiciatis</t>
  </si>
  <si>
    <t>["Consequuntur natus necessitatibus qui ut explicabo et a corporis.","Et cupiditate velit non.","Eaque ut rem eligendi quia.","Architecto recusandae modi voluptatum magnam eligendi.","A culpa hic ratione rerum est dicta perferendis.","Et optio commodi rerum nulla voluptas.","Animi odio veniam et rerum at autem ratione ullam.","Molestias omnis ut autem eligendi soluta nam non delectus.","Aut numquam quis nihil.","Tempora ratione delectus quod nesciunt rerum molestias et."]</t>
  </si>
  <si>
    <t>["Qui omnis ipsa ut est earum. Dolorem id cum voluptatibus aliquam sed architecto sit.","Sequi nostrum consectetur culpa debitis esse sunt a. Repellat fugiat dicta dolores molestiae consequatur praesentium. Necessitatibus neque sit quis similique et. Eos quis earum quod voluptates fugiat aut. Eaque eum saepe quos autem temporibus sit."]</t>
  </si>
  <si>
    <t>corrupti-odit-4-128-3-red</t>
  </si>
  <si>
    <t>voluptatem qui temporibus</t>
  </si>
  <si>
    <t>https://via.placeholder.com/300x650.png/00eedd?text=Smartphone+architecto</t>
  </si>
  <si>
    <t>["Quo molestiae sapiente exercitationem rerum laborum.","Nesciunt iusto voluptatem nobis optio tempore.","Veniam quis eveniet autem earum ut omnis.","Suscipit itaque et dolorum.","Dolorum quia tenetur voluptatem reprehenderit et accusantium.","Animi qui sed quibusdam nam suscipit.","Sit commodi sed consequatur dolorum veniam natus et.","Velit esse vitae repellat expedita dolores tenetur.","Veniam omnis consequatur iste voluptate non vel sed.","Ab itaque odit nam error dolorem ut animi."]</t>
  </si>
  <si>
    <t>["Id aut nulla distinctio quo dignissimos delectus. Est quam debitis et quos incidunt et rerum. Alias ut quidem labore alias nisi est provident. Tempore occaecati voluptatum atque fugiat sed laudantium.","Sint deserunt atque ab dicta et minima et. Maxime voluptas ut officiis occaecati enim dolores. Enim et voluptatem porro qui illo qui. Velit ut et non."]</t>
  </si>
  <si>
    <t>corrupti-odit-8-8-2-red</t>
  </si>
  <si>
    <t>et quasi aut</t>
  </si>
  <si>
    <t>https://via.placeholder.com/300x650.png/00aa77?text=Smartphone+perspiciatis</t>
  </si>
  <si>
    <t>["Ab ut sapiente ipsa libero temporibus eum.","Omnis libero ea delectus itaque voluptas vitae.","Est debitis voluptatem cum molestiae ipsum.","Quaerat omnis tenetur facilis nihil enim.","Dolores modi laboriosam explicabo voluptatum.","Nihil voluptatem quia est velit explicabo quae.","Placeat odio quia qui numquam fugit temporibus et.","Nulla quis ea ut.","Ut expedita rerum optio dolor dolor.","Nostrum et numquam esse rem."]</t>
  </si>
  <si>
    <t>["Fugit aliquam voluptatem fuga quia. Et in molestiae et qui quia dolorum qui. Aut sed aut quam distinctio accusantium totam. Aspernatur illum aliquam neque dicta velit.","Sapiente consequatur laboriosam possimus est quia nesciunt velit. Consequatur totam suscipit impedit. Est eligendi repudiandae aperiam est autem. Repudiandae omnis rerum mollitia praesentium et."]</t>
  </si>
  <si>
    <t>aspernatur-aliquam-4-64-4-red</t>
  </si>
  <si>
    <t>quis laudantium fugit</t>
  </si>
  <si>
    <t>https://via.placeholder.com/300x650.png/00ccaa?text=Smartphone+labore</t>
  </si>
  <si>
    <t>["Quia quis nobis quidem fugit et.","Totam doloremque labore enim fugiat animi incidunt.","Rem corporis natus vel quis dolorum.","Et accusamus occaecati esse cumque minus itaque assumenda.","Ex voluptatum eius ducimus exercitationem vel.","Eos vitae minus voluptas animi est incidunt tempora.","Voluptatum dolores aperiam doloribus exercitationem similique.","Perferendis omnis qui aspernatur est vel dolores nostrum.","Debitis repudiandae qui fugiat sequi ea.","Dolorum ducimus molestias eum porro nihil hic."]</t>
  </si>
  <si>
    <t>["Non modi maxime mollitia ea iusto commodi sed. Nihil unde consequuntur rerum porro autem sint consectetur. Sunt aut commodi sit amet laborum.","Ea voluptas cumque mollitia nihil et nobis. Sed commodi illo atque doloribus. Nulla perspiciatis natus commodi id quo dolor."]</t>
  </si>
  <si>
    <t>est-odit-2-8-4-green</t>
  </si>
  <si>
    <t>et omnis voluptatem</t>
  </si>
  <si>
    <t>https://via.placeholder.com/300x650.png/006655?text=Smartphone+iste</t>
  </si>
  <si>
    <t>["Adipisci pariatur nemo aspernatur enim sapiente qui deserunt.","Ex corrupti fugiat quos voluptatem rerum sed.","Ex aliquid qui perspiciatis vel ut consequatur.","Error delectus minima laborum repudiandae soluta ipsam quia.","Suscipit laborum sed expedita vitae.","Molestias ut ab laudantium.","Iste ad et velit ducimus amet.","Magnam animi eius iste velit sit perspiciatis.","Quos eos eum accusantium maiores earum.","Dolorum ducimus aut hic maxime ab et dolorum."]</t>
  </si>
  <si>
    <t>["Ut quia ad accusamus quo debitis. Dolore omnis nemo praesentium repellendus. Ea et sint ut nostrum et esse. Et voluptatem ut non.","Amet est ipsum facere occaecati sunt. Accusantium ipsum deserunt sint laboriosam. Sint quo quaerat est quos cupiditate."]</t>
  </si>
  <si>
    <t>et-voluptate-8-512-2-red</t>
  </si>
  <si>
    <t>est ullam rerum</t>
  </si>
  <si>
    <t>https://via.placeholder.com/300x650.png/00bbbb?text=Smartphone+dolores</t>
  </si>
  <si>
    <t>["Perspiciatis iste inventore voluptas pariatur aspernatur deserunt excepturi ducimus.","Doloremque asperiores sit repudiandae quidem.","Alias officiis sapiente excepturi facilis fugiat.","Itaque doloribus numquam eius minima dolores.","Facilis quis vero facilis dolores aperiam aut assumenda.","Excepturi doloremque deleniti dicta aut enim.","Fugit perferendis maiores aut quam tenetur placeat delectus.","Aperiam sit aut eos dolores cum ipsa perferendis error.","Ipsam autem perspiciatis laudantium.","Voluptatem exercitationem dolorem exercitationem dicta iure eum dolorem."]</t>
  </si>
  <si>
    <t>["Modi repudiandae ut voluptates eum magnam. Molestias est quis eos illo quo. Ex consequatur dolor et.","Esse aliquid sed quia. Laborum culpa quos sint."]</t>
  </si>
  <si>
    <t>sed-vel-8-8-5-green</t>
  </si>
  <si>
    <t>aut voluptas mollitia</t>
  </si>
  <si>
    <t>https://via.placeholder.com/300x650.png/0055ee?text=Smartphone+laborum</t>
  </si>
  <si>
    <t>["Et debitis vel placeat explicabo.","Et odit ut tenetur qui voluptatem aspernatur.","Consequatur est occaecati quis sint voluptate.","Sequi sit porro ducimus aut fugiat.","Ea vitae consectetur tempore et repellat.","Consectetur commodi aut omnis.","Nesciunt amet consectetur possimus rem sapiente voluptas autem non.","Autem earum assumenda inventore et.","Sint veritatis ut tenetur consectetur labore sunt.","Quaerat dolorem ad nostrum molestiae cum id doloremque."]</t>
  </si>
  <si>
    <t>["Possimus nobis ea unde non natus. Sunt ea iure neque facere aliquid magni. Modi error et quo libero atque at. Voluptas excepturi aut odit natus.","Doloremque laboriosam voluptas sapiente quo. Veritatis optio esse aut dolore. Est quibusdam debitis omnis excepturi dolores."]</t>
  </si>
  <si>
    <t>quasi-perferendis-2-128-4-green</t>
  </si>
  <si>
    <t>qui dolor sit</t>
  </si>
  <si>
    <t>https://via.placeholder.com/300x650.png/00ffdd?text=Smartphone+est</t>
  </si>
  <si>
    <t>["Modi corrupti et culpa ut magnam earum.","Qui aut est itaque dolorem omnis velit.","Inventore aperiam iure magnam provident doloremque.","Magnam sint molestiae et error sapiente aspernatur.","Molestiae odio commodi deleniti corporis hic.","Hic repellendus repellat voluptas amet eum.","Voluptatibus porro itaque ut ut sed.","Suscipit consequatur veritatis quia labore libero.","Possimus in dolorem quod autem.","Dolorem suscipit natus quis."]</t>
  </si>
  <si>
    <t>["Explicabo fugiat veniam accusamus debitis non dolor assumenda. Occaecati nihil a maxime enim sed. Error cum error perferendis commodi excepturi.","Similique eligendi qui voluptatibus expedita provident non. Error est ut at unde explicabo consequatur pariatur non. Dolor quo aperiam sapiente quos ea. Repudiandae sint sit vitae repudiandae occaecati magni."]</t>
  </si>
  <si>
    <t>maiores-quia-8-16-6-white</t>
  </si>
  <si>
    <t>sapiente facilis expedita</t>
  </si>
  <si>
    <t>https://via.placeholder.com/300x650.png/003388?text=Smartphone+provident</t>
  </si>
  <si>
    <t>["Ut rerum eos ut veritatis.","Qui odio dolorum ullam placeat.","Unde ut ut nobis quia.","Aperiam qui totam tenetur.","Eum quam ea et delectus laudantium.","Et quae est et officiis.","Quia cupiditate perspiciatis aut numquam consequatur repudiandae praesentium vel.","Ullam molestiae totam inventore molestiae minima harum ratione.","Sed et et nisi voluptatem non sit.","In minus perspiciatis atque necessitatibus."]</t>
  </si>
  <si>
    <t>["Commodi est quibusdam id accusamus laudantium sunt. Molestiae consequatur ut quis.","Aut non dicta sequi. Ut non expedita eveniet illo. Et magnam vero consequuntur hic sed autem. Id consequatur temporibus aut est et consequatur."]</t>
  </si>
  <si>
    <t>illum-autem-8-128-4-blue</t>
  </si>
  <si>
    <t>modi qui rerum</t>
  </si>
  <si>
    <t>https://via.placeholder.com/300x650.png/00cc66?text=Smartphone+id</t>
  </si>
  <si>
    <t>["Minus odio beatae illum qui qui ut sint omnis.","Rerum vero laborum tempora non maiores doloremque.","Ad dolor est vero error repellendus.","Debitis harum explicabo maxime laudantium ut ullam officia.","Hic molestiae non quo nisi.","Quas voluptatem autem veritatis officia nihil occaecati tenetur.","Minima minima est delectus voluptatem sint.","Quos similique omnis neque sunt omnis hic sunt.","Quasi qui sit cum.","Id ut et voluptatem vero expedita et iste."]</t>
  </si>
  <si>
    <t>["Vero est aut officia pariatur dolor suscipit mollitia. Ad iusto eveniet et maiores a. Provident et dignissimos ipsa magnam magni consequatur eaque. Sed nostrum illum saepe dolor qui qui ullam.","Eum molestiae aperiam doloribus sequi omnis. Nulla ut labore sint distinctio et delectus labore soluta. Voluptate ipsam autem voluptas eum reprehenderit pariatur. Eius cumque alias aliquam et aut incidunt. Exercitationem animi et ex delectus ea optio rerum."]</t>
  </si>
  <si>
    <t>illum-reiciendis-8-64-5-red</t>
  </si>
  <si>
    <t>fugit voluptatem nisi</t>
  </si>
  <si>
    <t>https://via.placeholder.com/300x650.png/0055ee?text=Smartphone+praesentium</t>
  </si>
  <si>
    <t>["Et eligendi quia dolorem.","Repellat rem incidunt animi asperiores.","Porro est quaerat est aut voluptatem.","Molestiae quis ullam numquam omnis.","Est ratione consequatur veritatis id labore quod.","Ducimus possimus qui consequatur repudiandae est harum.","Quisquam quis dignissimos sint exercitationem aut nihil et.","Dolor suscipit repellendus placeat consequuntur.","Laudantium ex inventore architecto.","Quas non quas voluptatem."]</t>
  </si>
  <si>
    <t>["Magnam praesentium adipisci eius dolores assumenda in itaque. Veritatis in id unde officiis sed aut. Porro cum eum qui labore mollitia quod. Aspernatur molestias nisi quas quia iste. Labore error alias praesentium sint error reprehenderit et ea.","Minima deleniti et consectetur eos modi quo qui. Numquam doloremque sint non enim. Error ipsa et cupiditate et sed tempore facere. Dolores facere quidem eius est."]</t>
  </si>
  <si>
    <t>maiores-deleniti-6-32-2-black</t>
  </si>
  <si>
    <t>quia sint nostrum</t>
  </si>
  <si>
    <t>https://via.placeholder.com/300x650.png/00aabb?text=Smartphone+earum</t>
  </si>
  <si>
    <t>["A soluta quos iure quia.","Quam rerum eveniet architecto.","Tempore sequi amet excepturi voluptas illo blanditiis.","Deserunt minima dolorum expedita maxime nam perferendis.","Recusandae qui voluptatibus at illum ex consequatur natus ea.","Ullam dicta recusandae ut.","Aspernatur voluptatibus sint deleniti voluptas veniam.","Rerum placeat deleniti et explicabo ea quisquam.","Accusantium aliquam fugiat velit dolorem omnis mollitia.","Reiciendis ad nesciunt laborum dolore."]</t>
  </si>
  <si>
    <t>["Repellendus itaque qui odit ut. Maiores dignissimos maxime asperiores aperiam. Sequi voluptas debitis magnam autem. Enim inventore quidem eum laborum quo et fugit.","Molestiae voluptatem dolor soluta labore inventore in. Minima hic id est cupiditate quos ipsum perferendis. Quia qui ipsam quos suscipit velit neque ducimus. Tenetur ut quod omnis voluptatum."]</t>
  </si>
  <si>
    <t>corrupti-sit-2-16-5-green</t>
  </si>
  <si>
    <t>officia sapiente sit</t>
  </si>
  <si>
    <t>https://via.placeholder.com/300x650.png/00bbaa?text=Smartphone+adipisci</t>
  </si>
  <si>
    <t>["Accusamus aperiam corrupti expedita facilis harum.","Voluptatum porro eaque amet doloremque ut ad.","Pariatur omnis odit voluptatem sint.","Est quia beatae et velit est.","Dolorum qui quia dignissimos eum eveniet incidunt quia.","Et voluptatem non mollitia distinctio omnis.","Impedit porro harum ut.","Sed illum quo nulla facere laborum animi et.","Molestiae necessitatibus nihil eveniet vitae provident autem eaque.","Omnis molestiae enim et nihil voluptas illum."]</t>
  </si>
  <si>
    <t>["Iste quo a earum alias fugit totam. Quis dolorem vitae libero. Quia voluptate debitis esse autem eum consequuntur.","Non ut eum id omnis saepe qui. Iusto id id adipisci. Excepturi qui voluptatum ex tempore nobis."]</t>
  </si>
  <si>
    <t>est-dolorum-4-512-5-green</t>
  </si>
  <si>
    <t>similique quos ea</t>
  </si>
  <si>
    <t>https://via.placeholder.com/300x650.png/00ff99?text=Smartphone+perferendis</t>
  </si>
  <si>
    <t>["Itaque sunt a animi veritatis.","Dignissimos aspernatur voluptates adipisci.","Debitis quaerat architecto dolorem et.","Est dolores itaque qui harum.","Animi vitae praesentium veritatis culpa nobis et tenetur.","Dicta nulla dignissimos non autem in iusto.","Voluptates consequatur est maxime qui blanditiis.","Soluta impedit nihil pariatur quo tempore voluptatem vero culpa.","Illo debitis officia voluptas nihil.","Ea voluptas aliquid voluptas est id."]</t>
  </si>
  <si>
    <t>["Asperiores nam repellat vero. Quas atque quam iusto laboriosam minima dolores est. Impedit porro eos et.","A quasi blanditiis quis. Non provident quos et aut est tenetur sed. Iure aperiam dolorem omnis minus id veritatis. Et reprehenderit ut harum et officia dolorum quo."]</t>
  </si>
  <si>
    <t>est-debitis-8-32-3-green</t>
  </si>
  <si>
    <t>est est at</t>
  </si>
  <si>
    <t>https://via.placeholder.com/300x650.png/00dd22?text=Smartphone+eligendi</t>
  </si>
  <si>
    <t>["Debitis eaque fuga eos consectetur ex.","Aspernatur quasi quo quis.","Eum quia aliquid qui.","Ut enim est dolores molestiae similique perspiciatis dolores.","Dolore sint culpa delectus a explicabo voluptas.","Sed labore impedit nemo laboriosam adipisci necessitatibus aliquam.","Voluptatum incidunt at vel illo voluptatem sunt.","Fuga aut modi libero dolorem optio quia.","Magnam eos in similique sed assumenda.","Nemo quisquam natus at consequatur vero accusamus occaecati."]</t>
  </si>
  <si>
    <t>["Autem doloribus ducimus temporibus dolor dignissimos dolorem. Qui sed optio inventore voluptate. Et soluta magnam eum numquam in mollitia. Voluptates in non odit quam provident.","Et veniam labore voluptate omnis labore. Enim itaque qui ipsa sint explicabo. Illo quibusdam quas magnam nihil."]</t>
  </si>
  <si>
    <t>sed-dignissimos-2-64-2-blue</t>
  </si>
  <si>
    <t>alias tempora magnam</t>
  </si>
  <si>
    <t>https://via.placeholder.com/300x650.png/000077?text=Smartphone+quam</t>
  </si>
  <si>
    <t>["Aspernatur et provident sit et a.","Sed modi ut possimus deserunt eaque maiores.","Ipsam perspiciatis iste reprehenderit repellendus.","Vitae consequatur ut autem ratione officia.","Vero quod aliquid et exercitationem expedita quas maiores ut.","Ab enim magni cupiditate voluptate maxime velit modi minus.","Ipsum quo beatae est deserunt.","Ipsam sed sint et voluptates alias quod.","Vitae quo suscipit velit qui minus sunt pariatur nemo.","Harum asperiores aperiam accusamus possimus repellat."]</t>
  </si>
  <si>
    <t>["Sapiente aperiam dolor eius a labore iusto voluptatum. In rerum saepe reprehenderit sit quis. Nostrum non est voluptas laboriosam qui quidem.","Molestiae quisquam modi ea doloremque inventore possimus. Aut est totam non ex sunt quia deserunt. Ducimus quia est placeat vero id voluptas perferendis ullam. Nesciunt mollitia neque iusto similique eum et. Eum consectetur id est qui aut est."]</t>
  </si>
  <si>
    <t>corrupti-qui-8-512-2-blue</t>
  </si>
  <si>
    <t>autem aut recusandae</t>
  </si>
  <si>
    <t>https://via.placeholder.com/300x650.png/00ee66?text=Smartphone+dolorem</t>
  </si>
  <si>
    <t>["Et id quis officia perferendis ut praesentium eaque molestiae.","Ut aut sed eos consequatur voluptatem.","Deserunt doloremque rerum eum qui labore perferendis corporis et.","Aut ipsa placeat minus.","A nihil possimus praesentium doloribus laboriosam cumque distinctio.","Voluptates aut quia qui eos.","Autem voluptatem fuga voluptatem accusantium.","Dolor officia nostrum velit maxime adipisci.","Velit quo dignissimos libero ut ipsam ratione.","Quas saepe et consequatur ut quia occaecati dolorem."]</t>
  </si>
  <si>
    <t>["Magnam vel explicabo et ad. Dolore minus dolorem provident ipsum quasi ullam aut. Tempora et consequatur reprehenderit eius.","Sint atque nobis natus quo. Corrupti ipsum doloribus sit voluptatem. Ipsum itaque unde eos sequi autem facilis."]</t>
  </si>
  <si>
    <t>aspernatur-sit-6-16-2-red</t>
  </si>
  <si>
    <t>sed esse earum</t>
  </si>
  <si>
    <t>https://via.placeholder.com/300x650.png/00aaff?text=Smartphone+eveniet</t>
  </si>
  <si>
    <t>["Voluptas aut et magni veritatis vitae.","Quibusdam illo culpa itaque est.","Nihil consequatur occaecati vel eius voluptate reprehenderit ipsum.","Cum dolores sit laudantium eos aliquid et.","Et commodi soluta rerum omnis et commodi sit id.","Eveniet optio numquam laudantium et ab.","Natus veniam et et velit nihil maiores cum iusto.","Tenetur in earum quaerat asperiores non.","Dolore omnis necessitatibus libero voluptatum illo.","Velit harum quam rem impedit."]</t>
  </si>
  <si>
    <t>["Nesciunt et repellat voluptas rerum quo. Sit dolores aut natus soluta labore et. Qui aperiam ipsam consequatur voluptatem voluptate quos. Consequatur eligendi voluptate est sint amet dolor.","Quis quia quis et sint non debitis distinctio. Dolorem consequatur exercitationem esse minus aliquid corrupti. Quia deleniti sunt consequuntur voluptate et."]</t>
  </si>
  <si>
    <t>maiores-iure-6-16-2-blue</t>
  </si>
  <si>
    <t>est quo quam</t>
  </si>
  <si>
    <t>https://via.placeholder.com/300x650.png/00aabb?text=Smartphone+ea</t>
  </si>
  <si>
    <t>["Id est animi molestiae vel.","Perferendis voluptas et eum modi necessitatibus.","Itaque qui sunt quis et molestiae.","Ut dolore reprehenderit dolores velit.","Nulla ut quae rerum quisquam deleniti deleniti.","Eius aliquam voluptates id earum voluptatem.","Iure assumenda et ex pariatur.","Corporis non nostrum suscipit sapiente.","Iusto quibusdam architecto harum distinctio aut.","Distinctio quo eveniet magnam et eveniet."]</t>
  </si>
  <si>
    <t>["Ipsa non at rerum voluptates voluptas nobis. Iste sit ad incidunt tempore itaque.","Cum ratione incidunt dolore porro possimus. Voluptas iusto quidem ab officia accusamus libero quia. Aperiam quos dignissimos veritatis nihil incidunt vitae."]</t>
  </si>
  <si>
    <t>aspernatur-asperiores-8-64-6-red</t>
  </si>
  <si>
    <t>est eum asperiores</t>
  </si>
  <si>
    <t>https://via.placeholder.com/300x650.png/0088aa?text=Smartphone+ipsam</t>
  </si>
  <si>
    <t>["Molestiae expedita sunt voluptatibus ea dolor.","Ut ut voluptas omnis similique est.","Laboriosam nostrum sit sit debitis.","Sint blanditiis et ut.","Maxime vitae natus et ratione eum rerum quo magnam.","Incidunt iure ratione iste magnam cumque.","At ea ut labore labore ut sunt.","Ullam odit deserunt numquam blanditiis.","Praesentium ipsam quia dolor dolor.","Necessitatibus quia laboriosam blanditiis laborum totam et."]</t>
  </si>
  <si>
    <t>["Et veniam nemo nobis voluptatibus numquam. Corporis velit omnis repellendus eum dolores. Et dolores sit asperiores facere.","Odit ea error consequatur porro autem. Et facilis quia eos sit cum earum. Enim qui maxime quibusdam odio nesciunt. Laborum temporibus sint unde et eaque doloribus repellat."]</t>
  </si>
  <si>
    <t>illum-perspiciatis-12-64-2-green</t>
  </si>
  <si>
    <t>tempore aut sit</t>
  </si>
  <si>
    <t>https://via.placeholder.com/300x650.png/0000aa?text=Smartphone+illum</t>
  </si>
  <si>
    <t>["Quidem assumenda ut ex accusantium ut non.","Vitae sunt sed qui enim optio et architecto aut.","Aliquam est reprehenderit ipsa sit aut eos doloribus.","Autem fugiat velit officia iure dolore pariatur libero.","Tenetur et veniam id qui.","Consequatur aut qui quod.","Fugit vero delectus sunt quia recusandae.","Architecto id voluptas sunt iusto similique sint.","Odio facilis et aut ut consectetur facere.","Aut qui veniam ipsa molestiae aspernatur."]</t>
  </si>
  <si>
    <t>["Recusandae commodi voluptatem cum ad. Id quis totam rerum non. Ut occaecati neque maiores est facilis.","Laboriosam error ut autem et. Praesentium eos est sit. Ipsum voluptatem laborum officia autem occaecati excepturi."]</t>
  </si>
  <si>
    <t>aspernatur-voluptas-8-16-4-white</t>
  </si>
  <si>
    <t>voluptatem qui ut</t>
  </si>
  <si>
    <t>https://via.placeholder.com/300x650.png/00aacc?text=Smartphone+autem</t>
  </si>
  <si>
    <t>["Atque itaque harum magnam sit rerum.","Adipisci ad est molestias aut doloribus molestias molestias nam.","Molestiae ea nam ipsum id.","Fugiat nesciunt eius quos id laboriosam.","Incidunt eum magni cumque et voluptatem sapiente.","Voluptatem aut et repellat et amet.","Qui accusamus aut enim ratione rerum ullam.","Incidunt quam unde et quia aperiam et quo.","Sapiente officiis commodi accusantium est culpa.","Facilis quos ducimus est."]</t>
  </si>
  <si>
    <t>["Est molestiae eaque ratione voluptate. Non ut voluptatum deserunt numquam quas iste quia. Veniam et nostrum nostrum.","Voluptate sunt cupiditate libero dolorem aliquid nemo. Vel eligendi tempora quos exercitationem sit aut ut. Reprehenderit tempora hic quis exercitationem laudantium ut. Praesentium quae ad ut tenetur ut perferendis."]</t>
  </si>
  <si>
    <t>sed-sit-2-8-5-white</t>
  </si>
  <si>
    <t>eaque ex non</t>
  </si>
  <si>
    <t>https://via.placeholder.com/300x650.png/006655?text=Smartphone+aliquid</t>
  </si>
  <si>
    <t>["Occaecati dolore blanditiis veniam debitis.","Expedita sint quod deleniti veniam libero.","Ut quia debitis perspiciatis et.","Eum quibusdam temporibus nesciunt delectus laboriosam maxime tenetur.","Porro cupiditate nihil cupiditate tempore.","Vero sit excepturi perferendis recusandae ut asperiores numquam.","Eum voluptatem et eos cum accusamus architecto.","Dolores nam omnis qui et ratione aliquid odio.","Cum molestias unde exercitationem aspernatur.","Atque unde iusto cumque consequuntur sed distinctio aperiam."]</t>
  </si>
  <si>
    <t>["Autem architecto repudiandae rerum nisi. Similique iure nisi est delectus.","Iste nam quas vel sit nam commodi. Doloribus nam pariatur voluptate consequatur distinctio odit accusamus culpa. Eligendi recusandae rerum ea qui sed deleniti veniam."]</t>
  </si>
  <si>
    <t>corrupti-ex-2-512-3-green</t>
  </si>
  <si>
    <t>perspiciatis numquam sit</t>
  </si>
  <si>
    <t>https://via.placeholder.com/300x650.png/0066cc?text=Smartphone+velit</t>
  </si>
  <si>
    <t>["Necessitatibus voluptatem consequatur sit deleniti occaecati similique impedit necessitatibus.","Et aspernatur sit qui sit commodi.","Quis beatae sed aut cumque nobis sint dicta.","Et maiores voluptatem occaecati aspernatur recusandae sunt cupiditate porro.","Est consequatur enim tenetur.","Nisi tenetur illo consequatur.","Modi qui vero distinctio nihil.","Minus suscipit deserunt quo quod veritatis veniam.","Ullam veritatis laborum aut.","Ratione molestiae dolores recusandae quisquam debitis quia."]</t>
  </si>
  <si>
    <t>["Et perferendis itaque omnis debitis. Earum omnis atque adipisci repellendus deleniti soluta. Beatae dignissimos tenetur rerum placeat quas. Ut iure et nihil suscipit.","Sint saepe saepe minus ut tempore consequuntur natus dolores. Soluta necessitatibus ut nam fuga impedit qui suscipit. Velit et exercitationem rem rerum. Ipsum natus dolores in saepe."]</t>
  </si>
  <si>
    <t>illum-ab-4-128-6-white</t>
  </si>
  <si>
    <t>sed voluptatem ab</t>
  </si>
  <si>
    <t>https://via.placeholder.com/300x650.png/00bb99?text=Smartphone+qui</t>
  </si>
  <si>
    <t>["Consequatur vero dolor voluptatibus totam aut vel.","Et est placeat placeat rem.","Ab quaerat nam et ipsa hic impedit.","Non sit vitae error ipsa quidem.","Fugiat iusto libero omnis hic tempore et.","Quos dolor at asperiores voluptatem perspiciatis debitis.","Nihil atque eum asperiores qui sed quia soluta ea.","Cupiditate quia nesciunt sunt magni.","Cupiditate aut magnam ut impedit quia alias.","Et quas sint aut quia."]</t>
  </si>
  <si>
    <t>["Aliquam accusamus est ut sit. Aliquam qui perferendis voluptatem. Nobis quia amet soluta adipisci. Optio a est nam rem.","Necessitatibus eligendi sint est possimus ad cum. Sunt et provident et officia. Omnis in consequatur libero illum voluptatibus sit. Et quasi tenetur ut impedit omnis saepe quaerat ut."]</t>
  </si>
  <si>
    <t>aspernatur-asperiores-6-8-5-green</t>
  </si>
  <si>
    <t>quia quidem tempora</t>
  </si>
  <si>
    <t>https://via.placeholder.com/300x650.png/00eeaa?text=Smartphone+neque</t>
  </si>
  <si>
    <t>["Neque debitis enim minus earum quam cum sit.","Vero dolore iusto et recusandae.","Quibusdam rerum a reiciendis est perferendis dolorum.","Commodi et saepe fugiat qui autem autem.","Qui aliquam vero quibusdam rem est adipisci consequatur.","Quis qui consequatur molestias sunt voluptate.","Quaerat temporibus et odio voluptas enim facere maiores.","Dolorem dolor animi aliquid facere dolorum.","Laboriosam ex dolorem earum accusantium libero non mollitia.","Dignissimos cumque assumenda repellat aut alias optio."]</t>
  </si>
  <si>
    <t>["Assumenda harum quis natus voluptate quae a dolorem accusamus. Odit dolore quidem dolor necessitatibus exercitationem quia soluta. Ducimus consectetur ducimus neque voluptatem cumque molestias.","Iure et distinctio dicta sit non quam sed deserunt. Et provident tenetur eos aliquid. Culpa dolorem qui est enim. Alias qui minima aperiam id iusto commodi consectetur."]</t>
  </si>
  <si>
    <t>corrupti-odit-4-512-5-black</t>
  </si>
  <si>
    <t>quo assumenda cum</t>
  </si>
  <si>
    <t>https://via.placeholder.com/300x650.png/002233?text=Smartphone+ducimus</t>
  </si>
  <si>
    <t>["Illo quas quis aperiam doloremque ex accusantium voluptatem illo.","Recusandae quod assumenda error.","Voluptas deleniti illo qui inventore expedita.","Quam voluptatem dolorum sit iusto explicabo.","Ipsum sunt et aliquid et voluptas harum esse.","Doloremque perspiciatis quisquam cum eum quia.","In laborum sint porro nobis vero.","Veritatis ipsa sed non eos dolore.","Voluptatibus eaque omnis praesentium eum animi rerum.","Magni ut dolorem officiis quis dolorem."]</t>
  </si>
  <si>
    <t>["Perferendis deleniti voluptate ducimus iste expedita sed praesentium earum. Nihil adipisci eveniet voluptas id et optio. Animi voluptatem nisi ab officia animi nisi. Optio fugit rem repellat odit quod.","Qui architecto corrupti aut fugiat. Sequi eos inventore cum. Aliquam consequatur voluptas quas et eligendi eligendi."]</t>
  </si>
  <si>
    <t>maiores-voluptatum-6-32-4-white</t>
  </si>
  <si>
    <t>quaerat vel ad</t>
  </si>
  <si>
    <t>https://via.placeholder.com/300x650.png/0011dd?text=Smartphone+esse</t>
  </si>
  <si>
    <t>["Velit illo at saepe est tempore aut.","Quo minus soluta suscipit asperiores quis.","Dignissimos in quia magni dolore ea modi aspernatur.","Laborum accusamus incidunt aut nobis facere nam delectus sit.","Necessitatibus facilis non fuga non.","Ut eveniet laboriosam et ipsa.","Molestias dolorem deleniti dolor nobis autem dolores in.","Non optio suscipit distinctio dolores repudiandae quasi perspiciatis.","Consectetur consequatur dolores necessitatibus sint dolores.","Aut omnis facilis officiis incidunt voluptatem autem quisquam impedit."]</t>
  </si>
  <si>
    <t>["Ratione neque rerum et enim error. Earum praesentium sit dolore vero dolorum quaerat veritatis aspernatur. Laborum harum eos nihil numquam voluptatum praesentium. Molestias dolorem repellat suscipit nulla.","Repudiandae ut voluptatibus ad cumque. Est nemo odit sunt vero aut consequatur occaecati. Et assumenda modi consequuntur tenetur itaque repellendus tenetur. Sed iusto repellendus dicta ut ab illum."]</t>
  </si>
  <si>
    <t>voluptate-itaque-12-64-2-blue</t>
  </si>
  <si>
    <t>natus porro nihil</t>
  </si>
  <si>
    <t>https://via.placeholder.com/300x650.png/008899?text=Smartphone+dolor</t>
  </si>
  <si>
    <t>["Qui illo et aut accusantium.","Dolorem doloremque animi iste.","Minima omnis qui aliquam aut.","Voluptas repudiandae sed voluptatem tempore alias quos.","Voluptatum voluptatem dolorum est eligendi eos omnis blanditiis earum.","Velit provident sequi dolorem.","Ea enim et est in.","Iure laborum ratione praesentium.","Praesentium sed veritatis omnis enim ullam alias ut.","Deserunt magni nihil voluptatem inventore."]</t>
  </si>
  <si>
    <t>["Sequi nihil accusantium est eum quia dolor quidem ipsum. Mollitia enim similique aut voluptatum. Cum quod voluptates aut totam.","Officiis ducimus modi quia ut numquam nemo dolorem facilis. Ut quam tenetur laborum incidunt quo ea. Architecto doloribus et ipsa. Nulla eaque expedita impedit quasi laudantium amet."]</t>
  </si>
  <si>
    <t>sed-natus-12-512-5-red</t>
  </si>
  <si>
    <t>provident fugiat qui</t>
  </si>
  <si>
    <t>https://via.placeholder.com/300x650.png/00bb11?text=Smartphone+assumenda</t>
  </si>
  <si>
    <t>["Et et qui culpa sunt repellat quisquam.","Quo officiis commodi placeat est aut et.","Molestiae adipisci repudiandae nobis doloremque.","Tenetur necessitatibus ab et est eum odio iusto.","Quod et expedita eum reiciendis quam.","Quia voluptatum officia deleniti magnam velit eaque aut.","Ut eligendi pariatur quibusdam quis qui.","Occaecati similique vero architecto aspernatur officiis.","Soluta doloribus optio corporis praesentium beatae.","Qui eius itaque ea suscipit et."]</t>
  </si>
  <si>
    <t>["Dicta aperiam fugiat neque dolor quo exercitationem sed. Voluptatem necessitatibus minus ullam aliquid. Molestiae ut cum nulla sequi quia occaecati nam.","Laborum et sint et accusamus similique modi. Dolore facilis quaerat vel quae. Alias fugiat possimus ipsam autem eaque vel nobis."]</t>
  </si>
  <si>
    <t>aspernatur-aut-8-64-5-red</t>
  </si>
  <si>
    <t>cumque nisi aut</t>
  </si>
  <si>
    <t>https://via.placeholder.com/300x650.png/008800?text=Smartphone+eos</t>
  </si>
  <si>
    <t>["Temporibus ducimus qui a quo.","Labore esse quae excepturi consectetur ut sed similique.","Tempora labore nostrum quidem explicabo necessitatibus.","Ratione et suscipit neque porro.","Itaque sed aut impedit consequatur quisquam explicabo autem enim.","Voluptas voluptatem placeat vel dolores est hic.","Voluptas in et eum veritatis corrupti dolorem eos.","Reprehenderit illo quia necessitatibus consequuntur soluta.","Alias eaque deleniti sequi ut voluptate illum fugit.","Commodi dignissimos qui minus in dolore deleniti."]</t>
  </si>
  <si>
    <t>["Omnis ea sed minima ut dolor tempore quasi. Optio in molestiae veniam unde rerum. Voluptatem ducimus sint alias nemo facere cupiditate at ea. Est exercitationem officiis cupiditate autem.","Et sequi quasi omnis. Sunt voluptates voluptatibus odio consectetur. Facilis non iste qui. Est perferendis libero qui voluptatum dolore reprehenderit adipisci."]</t>
  </si>
  <si>
    <t>voluptate-itaque-8-64-6-blue</t>
  </si>
  <si>
    <t>qui fugiat amet</t>
  </si>
  <si>
    <t>https://via.placeholder.com/300x650.png/008888?text=Smartphone+dolorem</t>
  </si>
  <si>
    <t>["Et rem voluptates maxime illum veniam qui ut ut.","Et consequuntur est harum.","Doloribus et fuga totam in.","Id non aut minima dolores.","Maxime alias debitis nisi iusto molestias totam.","Ea voluptas id cum cupiditate dolores.","Ullam natus ea voluptas inventore odit a.","Ipsum est quis ea ipsum.","Quaerat sunt rerum minima quaerat aut ducimus voluptatibus at.","Quo porro velit ipsam omnis."]</t>
  </si>
  <si>
    <t>["Qui quidem eos aut neque adipisci est alias. Voluptatem amet quibusdam nobis aspernatur. Autem est accusantium expedita iure aliquid in. Odit excepturi occaecati optio sed quia.","Et nostrum quas placeat culpa. Facere autem nostrum sed quis pariatur quas. Sit ex ullam optio quae modi. Cumque voluptatem et quaerat ipsa ut."]</t>
  </si>
  <si>
    <t>illum-et-6-128-4-black</t>
  </si>
  <si>
    <t>placeat impedit eos</t>
  </si>
  <si>
    <t>https://via.placeholder.com/300x650.png/00eeee?text=Smartphone+quos</t>
  </si>
  <si>
    <t>["Recusandae ducimus aut laborum sit modi exercitationem.","Aut numquam corrupti voluptatem et est omnis consequatur.","Voluptate quae exercitationem molestias inventore.","Et ea dicta nulla porro in vel quis.","In sunt adipisci molestiae nobis et iusto.","Eum dolorem est itaque molestiae sit voluptatem.","Necessitatibus aut voluptas accusamus in esse animi aut.","Natus nemo non ab et occaecati saepe autem.","Voluptas quia dicta excepturi qui eius tempora harum.","Quia aut ut sit pariatur."]</t>
  </si>
  <si>
    <t>["Earum sit provident ipsa voluptatum. In reprehenderit nihil et placeat magnam ut. Sit aut autem neque corporis vero id. Maxime est officia corrupti quia at molestiae.","Blanditiis est tenetur eligendi. Minus omnis omnis sint magnam minus impedit excepturi ipsam. Et et autem aut voluptas perferendis quis quibusdam. Praesentium eum non qui eligendi explicabo."]</t>
  </si>
  <si>
    <t>illum-sed-12-64-5-blue</t>
  </si>
  <si>
    <t>temporibus voluptas vero</t>
  </si>
  <si>
    <t>https://via.placeholder.com/300x650.png/0011cc?text=Smartphone+consectetur</t>
  </si>
  <si>
    <t>["Quasi maxime laboriosam ut laudantium modi explicabo et.","Et voluptates odit enim sit voluptatem error.","Et aut nulla doloremque libero modi.","Qui nesciunt voluptatem est ut.","Illum voluptas doloribus quibusdam.","Molestias consequatur harum quia inventore aliquid.","Veniam nostrum blanditiis amet accusamus ipsum at blanditiis.","Aut deserunt ad qui sed qui qui ut.","Animi pariatur deleniti ullam est omnis cupiditate.","Nesciunt voluptas dolores quia tempora dicta."]</t>
  </si>
  <si>
    <t>["At aut itaque occaecati quaerat. Veritatis sit reiciendis facilis tenetur. Autem est ducimus et voluptates facilis id. Quasi quo iusto autem impedit non.","Dignissimos voluptatem non explicabo perspiciatis harum quis aut. Magnam inventore architecto illum voluptatum ex facere. Nisi aut officia sit laudantium. Voluptatem tempora eum animi similique qui perferendis iure harum."]</t>
  </si>
  <si>
    <t>voluptate-similique-8-128-4-blue</t>
  </si>
  <si>
    <t>facilis placeat sint</t>
  </si>
  <si>
    <t>https://via.placeholder.com/300x650.png/002255?text=Smartphone+sed</t>
  </si>
  <si>
    <t>["Sit eos nemo quasi dolores blanditiis distinctio sunt.","Maxime in eum laborum quis.","Omnis impedit modi ea ducimus.","Ex deleniti ex impedit dolorem a fugiat nemo.","Sed sit minima amet et dolores.","Sit qui expedita eum.","Deleniti itaque facilis et accusamus esse.","Et modi ea sit cumque possimus optio deserunt.","Libero molestiae repellendus est eveniet consequatur qui.","Consectetur tempora dolor dicta voluptatibus et minima."]</t>
  </si>
  <si>
    <t>["Molestiae sit dolorum aut quasi. Et aliquam nostrum quaerat eius eum saepe. Adipisci ipsum reprehenderit aut et modi.","Voluptas laudantium et repudiandae. Ipsa quod magnam laborum fugiat pariatur vero. Est quidem praesentium distinctio incidunt voluptates vel odio."]</t>
  </si>
  <si>
    <t>sed-natus-12-32-3-black</t>
  </si>
  <si>
    <t>doloribus et facilis</t>
  </si>
  <si>
    <t>https://via.placeholder.com/300x650.png/0066ee?text=Smartphone+consequuntur</t>
  </si>
  <si>
    <t>["Nesciunt sed sequi aut incidunt voluptate.","Qui consequuntur quos reiciendis quod.","Consequatur et debitis dolorem architecto dolorem.","Tenetur nesciunt quia soluta aspernatur delectus alias.","Nisi et est dolores dolores.","Doloribus commodi possimus quis.","Ad odit unde reiciendis sint porro vel exercitationem.","Quo adipisci odit reiciendis voluptate modi asperiores ipsa.","Corrupti officiis perspiciatis sit et expedita nam.","Ipsam corporis occaecati ratione nisi sit."]</t>
  </si>
  <si>
    <t>["Et eum repellat voluptas debitis minus neque commodi ipsa. Quidem quidem dicta porro vel voluptas a molestias. Quia deserunt rerum nihil perferendis iste. Et nam enim atque voluptates. Eum amet sunt veritatis aut beatae aliquam ipsa.","Iusto blanditiis accusantium alias et sit consequuntur reprehenderit. Est dolores repellendus sit temporibus rerum vitae vel. Et corporis perferendis at provident. Libero incidunt minus impedit quo et sunt autem."]</t>
  </si>
  <si>
    <t>voluptate-nemo-8-16-5-white</t>
  </si>
  <si>
    <t>impedit consequatur harum</t>
  </si>
  <si>
    <t>https://via.placeholder.com/300x650.png/002277?text=Smartphone+voluptas</t>
  </si>
  <si>
    <t>["Dolorum perferendis nam eius.","Quidem magnam nihil quis eveniet ipsum quo earum.","Quo qui molestias et cupiditate sit voluptatem.","Optio officia deserunt et aut.","Praesentium sunt sint aut.","Dicta iusto totam ut cupiditate quam ratione et.","Fugit omnis animi sunt blanditiis quas.","Accusantium sint labore quod qui id debitis modi.","Ut et odio dolor dolor.","Totam velit animi aperiam voluptatem."]</t>
  </si>
  <si>
    <t>["Tenetur quam architecto magni eius. Eligendi recusandae repellendus aut et ut. Occaecati eum consequatur est voluptatibus. Libero alias asperiores ut voluptas iure iste. Recusandae nostrum ab iste et.","Ut voluptate et repellat fugiat commodi fugit voluptates. Natus perferendis fugiat voluptatem perspiciatis quae saepe occaecati. Quo voluptatem est nam. Tenetur et et et assumenda corrupti commodi nemo ex."]</t>
  </si>
  <si>
    <t>ut-sed-8-64-5-white</t>
  </si>
  <si>
    <t>et et dolores</t>
  </si>
  <si>
    <t>https://via.placeholder.com/300x650.png/006622?text=Smartphone+dolor</t>
  </si>
  <si>
    <t>["Reprehenderit maxime iusto ut.","Occaecati voluptatum autem perspiciatis quam sequi.","Libero qui ullam nobis minus.","Nemo explicabo odit eos provident.","Sint nam et vel animi ut enim quia.","Soluta velit eveniet exercitationem ad.","Ducimus velit voluptates recusandae laudantium ut consequuntur sed.","Eos est nihil ipsum commodi.","Et et libero dolorem nihil occaecati et consequuntur.","Et omnis harum nulla provident dolores aperiam magni."]</t>
  </si>
  <si>
    <t>["Et perspiciatis doloremque laborum voluptatem. Voluptatibus tempore neque rerum in ipsa dolores et. Sint accusantium voluptate voluptatum quae totam. Necessitatibus autem debitis labore quidem perferendis aut.","Asperiores numquam omnis sit unde nesciunt debitis. Sed illo autem qui earum laboriosam atque quis. Repellendus aut et eaque enim nobis dolor dicta atque."]</t>
  </si>
  <si>
    <t>illum-vero-6-8-2-black</t>
  </si>
  <si>
    <t>et molestiae qui</t>
  </si>
  <si>
    <t>https://via.placeholder.com/300x650.png/006633?text=Smartphone+iure</t>
  </si>
  <si>
    <t>["Repellendus architecto quia quas corporis odio nulla nisi.","Aut placeat harum voluptas eius.","Fuga natus rerum vitae voluptatum ex.","Velit a dolor quis aliquid atque quam maxime consequatur.","Quia qui velit et quidem aut dolore molestiae.","Molestias dolor impedit molestias veritatis quo et.","Alias iusto harum modi sit culpa inventore.","Rerum velit tenetur sed ipsum et commodi.","Non rerum ut facilis odit et cum cupiditate.","Mollitia minima qui dolor deserunt facere."]</t>
  </si>
  <si>
    <t>["Eveniet neque numquam consequatur minus error consequatur voluptas. Nulla et aliquam veritatis laboriosam fugiat. Dolores velit unde praesentium natus dolorem nostrum quos. Est officia ut occaecati ipsa ut. Et et ut corrupti et velit accusantium nemo.","Deleniti qui consectetur quam repellendus doloremque debitis voluptas. Sed facere voluptatem eius magnam fugit voluptas libero ipsa. Voluptas inventore odio ratione at ut."]</t>
  </si>
  <si>
    <t>est-debitis-6-8-5-white</t>
  </si>
  <si>
    <t>deleniti cupiditate est</t>
  </si>
  <si>
    <t>https://via.placeholder.com/300x650.png/005555?text=Smartphone+similique</t>
  </si>
  <si>
    <t>["Consectetur explicabo ipsa totam harum laborum.","Quo eveniet ea qui vel.","Voluptate cupiditate nemo reprehenderit sit culpa qui enim.","Dolorem aliquid suscipit dolore vitae nihil.","Et quis qui et tenetur eveniet.","Voluptatem nisi et non.","Voluptas commodi laborum omnis suscipit quo illo.","Harum sint nesciunt quod ea nihil eveniet iure.","Qui dignissimos non voluptatem placeat sit est minus.","Occaecati commodi aperiam et libero nisi."]</t>
  </si>
  <si>
    <t>["Beatae animi enim aut. Quasi in totam atque quo consequatur praesentium quia voluptas. Tempore ea voluptate necessitatibus accusamus est. Necessitatibus nobis quod eveniet nam id sit modi praesentium.","Quia et consectetur ab assumenda architecto repellendus nulla. Eius consequatur voluptas sit. Id reprehenderit non excepturi ea."]</t>
  </si>
  <si>
    <t>maiores-recusandae-8-8-3-green</t>
  </si>
  <si>
    <t>quibusdam hic beatae</t>
  </si>
  <si>
    <t>https://via.placeholder.com/300x650.png/009911?text=Smartphone+facere</t>
  </si>
  <si>
    <t>["Aperiam necessitatibus nam maiores aspernatur.","Aut expedita ut amet.","Quis sit id qui aperiam.","Ut dolor non similique facere.","Et non et eos eius quae doloribus.","Ut inventore ut ratione.","Consectetur magni fuga ex voluptatem non voluptatem.","Voluptas quo rerum in ut et accusantium voluptatem.","Aliquid omnis in et numquam aut enim iure possimus.","Sit autem explicabo velit aut odio."]</t>
  </si>
  <si>
    <t>["Sed veritatis amet aut veniam eveniet consequatur. Voluptatem aut quaerat quia harum veritatis quae. Rerum itaque veritatis et recusandae culpa. Tempore architecto assumenda maxime laborum non exercitationem vitae. Esse laborum tenetur amet sint eligendi quod sint autem.","Commodi repellat exercitationem ad quia autem tempora. Libero a atque commodi sint. Quibusdam exercitationem eligendi iure nisi atque."]</t>
  </si>
  <si>
    <t>est-odit-8-16-5-white</t>
  </si>
  <si>
    <t>quia doloribus qui</t>
  </si>
  <si>
    <t>https://via.placeholder.com/300x650.png/0088ff?text=Smartphone+similique</t>
  </si>
  <si>
    <t>["Quos perferendis ipsa repudiandae doloribus et.","Dolorem est qui et.","Exercitationem fuga accusantium atque itaque.","Saepe libero dolorem explicabo aspernatur hic.","Veritatis distinctio aliquam sunt.","Et sint placeat qui consequuntur consectetur.","Unde suscipit et sunt architecto optio exercitationem.","Aut non officia veniam.","Ex fuga molestiae delectus non.","Laudantium voluptatum exercitationem qui error."]</t>
  </si>
  <si>
    <t>["Perferendis quaerat libero aliquid saepe laborum laudantium minus. Impedit et sapiente autem cupiditate. Ut expedita est possimus saepe accusamus quis. Maiores asperiores voluptas sed esse unde et enim.","Dolorem fugiat et suscipit quisquam. Sint quisquam dicta omnis expedita sequi."]</t>
  </si>
  <si>
    <t>sed-id-2-128-5-green</t>
  </si>
  <si>
    <t>accusamus quos porro</t>
  </si>
  <si>
    <t>https://via.placeholder.com/300x650.png/00aa88?text=Smartphone+quis</t>
  </si>
  <si>
    <t>["Et praesentium architecto sed in et tenetur aperiam fuga.","Ipsum quo et et placeat neque.","Repellat sint eum debitis aut provident rerum beatae.","In cum voluptate qui quisquam perspiciatis.","Dolor reiciendis nihil exercitationem voluptas sit.","Totam tempora architecto repudiandae.","Officiis iste repudiandae earum est veniam repudiandae.","Saepe labore tempora eum consequatur dolorum hic eligendi.","Natus rerum ut natus eveniet ipsam.","Aliquam eaque quis est mollitia minus aut."]</t>
  </si>
  <si>
    <t>["Quam corporis fuga asperiores non voluptatum occaecati blanditiis. Dolores eum aliquid eligendi voluptatibus. Provident et consequatur ad.","Sit a tempore quis fugiat. Ipsa aliquid repellendus veniam qui corporis distinctio. Architecto eaque aut illum soluta. Et dolor odit dolores."]</t>
  </si>
  <si>
    <t>et-dolorum-6-32-5-green</t>
  </si>
  <si>
    <t>quis sed sunt</t>
  </si>
  <si>
    <t>https://via.placeholder.com/300x650.png/001177?text=Smartphone+voluptate</t>
  </si>
  <si>
    <t>["Molestias vel possimus molestiae suscipit autem excepturi quo in.","Distinctio non odit quia mollitia.","Explicabo enim voluptas quaerat tempora ut enim est.","Dolorem dignissimos excepturi sit delectus nostrum et rerum.","Sed rerum impedit ipsam.","Porro placeat enim nostrum provident voluptas voluptatem.","Ut maxime commodi aliquid iure architecto ut vitae.","In quos consequatur quia aut eius labore ipsum nobis.","Id et quibusdam recusandae est quasi autem.","Et consequatur eveniet modi ut reprehenderit quisquam ducimus."]</t>
  </si>
  <si>
    <t>["Autem voluptatem illo nesciunt quia quis ullam. Voluptates soluta praesentium veritatis autem. Qui voluptas in cumque aut. Aut itaque dolore earum nisi odit similique sit accusamus.","Vitae vero cum soluta. Ea cupiditate error ut vitae est eveniet. Aut aut debitis corrupti aut cupiditate. Eligendi est velit tenetur quia."]</t>
  </si>
  <si>
    <t>sed-quae-6-8-3-black</t>
  </si>
  <si>
    <t>aut consequatur esse</t>
  </si>
  <si>
    <t>https://via.placeholder.com/300x650.png/00ddbb?text=Smartphone+cumque</t>
  </si>
  <si>
    <t>["Vero eaque quia rerum cum dolorem voluptatem hic.","Magni voluptatum sit consequatur aut est rem est.","Nisi mollitia in et voluptas error.","Sed vitae autem in dolorum.","Corporis distinctio deserunt labore et delectus voluptatem quis.","Aut et cum ut rerum sint.","Quia laboriosam sed error deserunt ea adipisci doloribus.","Iure culpa autem explicabo non harum.","Explicabo facere sunt dolorem tempore cumque repellendus.","Quia perspiciatis aut eaque asperiores animi quis minima perferendis."]</t>
  </si>
  <si>
    <t>["Sint dolore facilis doloribus dolor accusantium sint non. Officiis quos voluptas enim repudiandae itaque. Non assumenda sunt nostrum molestiae. Id quia asperiores ut sint nesciunt fugit. Quae illo est qui ut commodi dolor.","Eligendi eius magni et iusto fugit autem quia. Magnam qui sed voluptas enim est. Eligendi dolorem et magnam non."]</t>
  </si>
  <si>
    <t>corrupti-odit-8-512-2-black</t>
  </si>
  <si>
    <t>et at sint</t>
  </si>
  <si>
    <t>https://via.placeholder.com/300x650.png/0022dd?text=Smartphone+aut</t>
  </si>
  <si>
    <t>["Iste error quidem cupiditate unde vero laborum maiores.","Delectus quas quae omnis repudiandae.","Vel consectetur rerum pariatur est voluptas.","Sed perspiciatis id non sequi deserunt amet eaque.","Deleniti et necessitatibus cum delectus laborum.","Quas delectus quisquam iste ipsum sit vero ut.","Autem in earum necessitatibus aut sed nihil nisi.","Nostrum eos omnis quasi omnis totam iste doloremque.","Sit accusamus expedita ratione fugiat velit vero accusantium.","Doloribus voluptate et illo vel minus."]</t>
  </si>
  <si>
    <t>["Fugit earum possimus dignissimos necessitatibus ut aspernatur facilis. Consequuntur asperiores cupiditate delectus maxime quia sapiente. Nisi sint in laudantium ut voluptatem est dignissimos id.","Harum dolorum officia omnis saepe magni quia qui. Earum ea exercitationem aliquid eaque maiores. Exercitationem voluptatum consectetur eos laboriosam. Corporis ipsa eaque optio fugiat atque veritatis. Rerum est eos minima aut autem magnam quis."]</t>
  </si>
  <si>
    <t>ut-et-6-8-5-red</t>
  </si>
  <si>
    <t>incidunt nulla est</t>
  </si>
  <si>
    <t>https://via.placeholder.com/300x650.png/00cc22?text=Smartphone+voluptate</t>
  </si>
  <si>
    <t>["Esse mollitia cupiditate minus eveniet totam.","Voluptatem ut consequuntur consequatur totam quo rem quod beatae.","Nisi cumque in est voluptatibus.","Placeat consequatur iste est neque maxime accusantium laudantium.","Ut eius et beatae ea consequatur quia est.","In magnam rerum adipisci vel.","Ipsam sunt ex eos non et expedita.","Facilis placeat adipisci accusantium perferendis.","Maiores ducimus architecto distinctio eum maxime eveniet aliquam.","Rem saepe quas voluptas iure voluptatum quia est."]</t>
  </si>
  <si>
    <t>["Doloremque ut maxime incidunt architecto quo neque ipsam et. Ut in dolores est. Et doloremque ipsum cumque ratione reiciendis. Suscipit exercitationem sed sint.","Et veniam mollitia rerum vel ut molestiae distinctio. Delectus reiciendis est ut sint. Dignissimos saepe voluptas qui perspiciatis modi quidem. Possimus animi tempora exercitationem error aut."]</t>
  </si>
  <si>
    <t>maiores-aspernatur-4-64-4-blue</t>
  </si>
  <si>
    <t>eius sit id</t>
  </si>
  <si>
    <t>https://via.placeholder.com/300x650.png/00cc22?text=Smartphone+aut</t>
  </si>
  <si>
    <t>["Atque et repellat perferendis unde.","Quae quas accusamus eaque.","Quos aperiam sit magni sed cum labore.","Illo possimus eum saepe cupiditate quae.","Quidem tempora qui nulla facere voluptas ea.","Voluptas ut ullam ipsam quos.","Vero officia aperiam nostrum similique autem.","Sit voluptates totam eos rerum esse.","Nobis doloremque dolor sapiente similique.","Reiciendis consequuntur qui velit maxime deleniti atque."]</t>
  </si>
  <si>
    <t>["Sint illum voluptatem quo placeat aspernatur. Numquam suscipit veniam ad esse. Enim est perspiciatis quas sit.","Ut eum sed dolorum totam. Id magni quasi molestiae aliquid repellat nesciunt autem et. Est incidunt cum libero officia. Veniam qui nemo aut aut quos culpa nisi."]</t>
  </si>
  <si>
    <t>aspernatur-temporibus-12-16-5-black</t>
  </si>
  <si>
    <t>dolore consequatur dolor</t>
  </si>
  <si>
    <t>https://via.placeholder.com/300x650.png/007799?text=Smartphone+non</t>
  </si>
  <si>
    <t>["Corporis ut aut illo.","Consequatur nulla cupiditate deleniti minima optio optio.","Tempora est veniam accusamus libero assumenda.","Id repellat ut et perferendis commodi.","Dolores harum id eos minus.","Et vitae quia animi nulla.","Aliquam in et qui est suscipit.","Tempore placeat qui numquam.","Adipisci repellat magnam voluptas cumque.","Sint consequuntur omnis doloremque neque impedit rerum animi."]</t>
  </si>
  <si>
    <t>["Occaecati nisi repellat suscipit enim. Sit officia distinctio quia tempore maxime vitae quas. Blanditiis magnam voluptate debitis a et ullam. Nihil doloribus in amet consequuntur nisi. Quod explicabo assumenda dolor aut molestiae vero.","Cum reiciendis quia cumque dolor laudantium vel. Qui cupiditate id architecto maxime provident eos asperiores."]</t>
  </si>
  <si>
    <t>et-voluptate-4-16-2-white</t>
  </si>
  <si>
    <t>laboriosam voluptatem quia</t>
  </si>
  <si>
    <t>https://via.placeholder.com/300x650.png/007788?text=Smartphone+et</t>
  </si>
  <si>
    <t>["Ad blanditiis eum vero et.","Et dolores amet et.","Cupiditate ut doloremque exercitationem corrupti optio cumque sit qui.","Eos optio mollitia quo libero.","Iure quasi sed enim soluta itaque.","Molestias dolore nesciunt omnis sed dolor.","Quod explicabo sunt molestiae quidem voluptatum aut qui.","Expedita veniam odio repudiandae animi.","Eos sapiente possimus eos dicta quis.","Et eos alias harum placeat dolores."]</t>
  </si>
  <si>
    <t>["Magnam et officiis non impedit. Ab sit vel culpa. Et quod quisquam et.","Rerum excepturi saepe est occaecati laboriosam quia ipsam. Enim omnis sint quaerat necessitatibus vitae."]</t>
  </si>
  <si>
    <t>maiores-deleniti-2-32-6-white</t>
  </si>
  <si>
    <t>ex quas dolor</t>
  </si>
  <si>
    <t>https://via.placeholder.com/300x650.png/00ff22?text=Smartphone+unde</t>
  </si>
  <si>
    <t>["Quia enim saepe cumque voluptatum voluptatibus ut perspiciatis officiis.","Qui sequi expedita molestias eum incidunt mollitia blanditiis.","Aspernatur est officia et magni est quia.","Aut illo saepe sed quidem.","Similique nulla omnis necessitatibus ut.","Aut quia est consequatur.","Molestias minus voluptatum aut qui officiis voluptas dolorem.","Fugit totam unde dolorum dolorem dolores et.","Maxime modi provident eaque molestias consequatur voluptatem.","Iusto illum quasi nulla quam quo corrupti."]</t>
  </si>
  <si>
    <t>["Et dolorum hic aut minima qui corporis minus. Est non fugit totam totam. Sed voluptatem asperiores minima sapiente rerum. Sint eum dicta iure provident commodi tempore.","Explicabo est et expedita necessitatibus sunt. Ea ut officia nemo unde aspernatur labore earum. Saepe totam doloribus ut eius repellendus nihil nemo dolorum."]</t>
  </si>
  <si>
    <t>maiores-aspernatur-8-16-4-black</t>
  </si>
  <si>
    <t>labore qui consequatur</t>
  </si>
  <si>
    <t>https://via.placeholder.com/300x650.png/00bb99?text=Smartphone+totam</t>
  </si>
  <si>
    <t>["Et et accusantium reprehenderit nostrum eum.","Repellendus qui soluta et quaerat quos.","Aliquam quis nihil iure id.","Fugiat exercitationem aperiam ut sunt delectus voluptatum quia.","Velit et odio mollitia at.","Quam perferendis eveniet aut aut tenetur maxime beatae.","Autem tenetur pariatur autem dolor iusto quibusdam nesciunt.","Aut eaque dolorem veniam natus rerum amet omnis.","Omnis eum occaecati libero eaque laboriosam quis omnis.","Eius vero fugiat autem blanditiis qui consectetur sit."]</t>
  </si>
  <si>
    <t>["Voluptatem consequatur molestias odit doloremque ipsa ut illum sunt. Magni praesentium quia et ut accusamus optio dignissimos. Quam et cum ipsam laborum quis ut repudiandae libero. Ut necessitatibus sed necessitatibus deleniti quibusdam.","Mollitia sed illum consequatur vero voluptates ea nihil. Excepturi sit dolorem maiores cupiditate quisquam. Pariatur magni nesciunt aut quos sed aliquid repudiandae. Quod tenetur minus magni."]</t>
  </si>
  <si>
    <t>illum-id-8-128-5-green</t>
  </si>
  <si>
    <t>voluptate iure laboriosam</t>
  </si>
  <si>
    <t>https://via.placeholder.com/300x650.png/00ee88?text=Smartphone+quasi</t>
  </si>
  <si>
    <t>["Non cum repudiandae qui quaerat reiciendis.","Velit eum eaque et et soluta et consectetur.","Cumque animi omnis provident debitis dolores aliquid.","Quod quas neque aut illum dignissimos voluptas.","Consequatur reprehenderit odit odit placeat aliquid delectus alias a.","Aut explicabo tempora autem eum.","Tenetur est voluptas expedita tenetur.","Harum in est impedit odio nam dignissimos.","Asperiores quidem est incidunt.","Quisquam ea non aperiam voluptatum."]</t>
  </si>
  <si>
    <t>["Sed fuga consequatur architecto. Suscipit et suscipit voluptas. Architecto mollitia officiis doloribus fugiat et.","Veritatis dolorem corporis aut ipsam quod. Id aspernatur enim asperiores itaque officia tempore. Placeat ipsam atque sunt quia. Magni facilis debitis tenetur nulla eos a."]</t>
  </si>
  <si>
    <t>est-odit-6-32-6-green</t>
  </si>
  <si>
    <t>itaque accusamus qui</t>
  </si>
  <si>
    <t>https://via.placeholder.com/300x650.png/000033?text=Smartphone+harum</t>
  </si>
  <si>
    <t>["Consequatur qui earum tempore ut.","Aliquid autem pariatur animi eos praesentium sunt.","Fugiat voluptas mollitia quia eaque inventore repudiandae.","Error sit cumque aut labore et.","Rerum saepe culpa earum non culpa et.","Hic totam aut animi velit.","Saepe provident cupiditate nemo nam praesentium.","Ex inventore iure minus ducimus nisi et.","Beatae odio hic labore molestiae aut totam ducimus.","Hic vitae beatae omnis cum omnis."]</t>
  </si>
  <si>
    <t>["Error voluptates vel omnis eum libero perspiciatis. Voluptates enim ducimus molestiae molestiae culpa ipsa.","Fugit corporis blanditiis repellat id ut. Recusandae corporis quos aliquam assumenda sint. Eveniet incidunt est ut voluptatem recusandae. Dicta sint corrupti aliquid eaque quaerat ducimus eligendi. Sint adipisci neque id repellat earum."]</t>
  </si>
  <si>
    <t>ut-veritatis-12-16-5-blue</t>
  </si>
  <si>
    <t>officia dolore assumenda</t>
  </si>
  <si>
    <t>https://via.placeholder.com/300x650.png/006655?text=Smartphone+voluptatum</t>
  </si>
  <si>
    <t>["Suscipit voluptates vel aut suscipit veritatis eius qui.","Quibusdam ut voluptatem quis voluptatum eius rerum.","Non quia eos esse qui labore fugiat necessitatibus.","Nisi et unde enim quo corporis.","Debitis nulla ipsam nam sunt ut est.","Enim exercitationem ducimus perferendis et aut est.","Ex labore labore fugit expedita.","Itaque illo maxime aut qui in.","Id voluptatibus nisi enim delectus.","Aliquid velit consectetur libero fugit quod."]</t>
  </si>
  <si>
    <t>["Architecto vel repellat recusandae et. Alias dolorem et rerum suscipit. Ut sunt fugiat amet dolores.","Alias sed dolores dolorem dolore necessitatibus nesciunt eos. Non voluptas placeat facilis ea harum. Blanditiis sed molestias reiciendis at non vitae. Magni nihil alias molestiae at omnis qui."]</t>
  </si>
  <si>
    <t>sed-neque-2-128-6-blue</t>
  </si>
  <si>
    <t>velit expedita accusantium</t>
  </si>
  <si>
    <t>https://via.placeholder.com/300x650.png/001133?text=Smartphone+magni</t>
  </si>
  <si>
    <t>["Dolore eveniet alias facere aut est nesciunt optio.","Odit non officiis dolore provident ipsum qui atque molestiae.","Nesciunt sapiente corporis possimus aut ullam.","Necessitatibus in reprehenderit aperiam illum beatae.","Nobis et aut architecto natus aut commodi laboriosam.","Alias omnis aut ullam.","Corporis ipsum quaerat consequatur vitae.","Quae adipisci et possimus rerum quia magni.","Quis sunt culpa eveniet inventore et et.","Modi maxime dignissimos ea nulla ea magni iusto."]</t>
  </si>
  <si>
    <t>["Ipsum sunt vel quis ut eaque non sed. Eligendi unde suscipit earum temporibus aut est quod qui. Quia voluptatem et quis eum quam unde. Et aperiam culpa voluptatem enim et voluptatem vel.","Dicta ab deleniti recusandae officia et natus modi. Aut et fugit tempora non molestias quod numquam repudiandae. Quis dolore minima totam nesciunt ducimus distinctio libero."]</t>
  </si>
  <si>
    <t>illum-id-8-32-5-green</t>
  </si>
  <si>
    <t>et quo quibusdam</t>
  </si>
  <si>
    <t>https://via.placeholder.com/300x650.png/008877?text=Smartphone+facilis</t>
  </si>
  <si>
    <t>["Et aut consequatur natus officiis.","Rerum ea qui soluta rerum enim ducimus.","Nulla velit corporis et quibusdam ut corporis esse.","Est autem sunt non voluptatibus accusamus.","Dolores et eum voluptas cum et beatae.","Odit consequatur nostrum quia accusantium in aut vel.","Optio sequi sunt magni soluta est.","Consectetur odit eos suscipit.","Eligendi libero at fugiat natus velit debitis odio.","Officiis officia odit tenetur rerum est."]</t>
  </si>
  <si>
    <t>["Ipsa nihil et molestias est rerum aperiam animi. Dolorum voluptas occaecati nam natus necessitatibus illum autem et. Voluptas ab eius eos. Sed asperiores in ad rerum.","Ut aperiam vero a. Id ad et qui nobis. Dolorum molestias magni qui nihil aut aut maiores. Nobis et aut consequatur qui. Eos maiores in rerum at eius."]</t>
  </si>
  <si>
    <t>voluptate-pariatur-12-32-2-black</t>
  </si>
  <si>
    <t>et et ut</t>
  </si>
  <si>
    <t>https://via.placeholder.com/300x650.png/00ee22?text=Smartphone+nisi</t>
  </si>
  <si>
    <t>["Atque animi quis corrupti aliquid rerum voluptatem veritatis.","Deleniti ipsa mollitia nemo nisi quae sed praesentium.","Eligendi doloremque explicabo sapiente saepe et ut qui.","Quisquam iusto rerum sit voluptates nisi aut fugit.","Consectetur modi officiis qui dolor.","Quia iure odit consequuntur molestiae et ea nesciunt.","Aut maxime labore voluptatibus quasi.","Voluptates placeat aut rem aliquid.","Nulla nisi ipsum et voluptas.","Labore odit officia et."]</t>
  </si>
  <si>
    <t>["Laboriosam reprehenderit et et debitis facilis ipsum soluta. Nulla nesciunt veritatis alias qui ut. Facere occaecati eveniet quos voluptatem et.","Voluptas mollitia unde ex quis ut voluptatem. Sit eos et vero maiores eum est. Dolor et autem omnis earum recusandae aliquid labore."]</t>
  </si>
  <si>
    <t>illum-et-8-128-6-green</t>
  </si>
  <si>
    <t>voluptatum nostrum nihil</t>
  </si>
  <si>
    <t>https://via.placeholder.com/300x650.png/000077?text=Smartphone+eveniet</t>
  </si>
  <si>
    <t>["Vitae reprehenderit quis veniam earum et voluptatum quod voluptas.","Est aut accusamus in totam suscipit.","Omnis odit quia quibusdam dolor.","Ab nisi ut eaque eos quas nostrum dicta.","Qui voluptatibus consequatur incidunt fugit consequatur maxime veritatis.","Porro voluptas aperiam alias sit est occaecati et recusandae.","Consequatur ipsum repellendus praesentium aliquam quia.","Vero error consequatur nisi voluptatibus rerum quia natus aperiam.","Modi sint voluptatem tempora tempora est.","Quidem voluptas atque temporibus architecto."]</t>
  </si>
  <si>
    <t>["Ullam fugit et aspernatur ullam nisi in earum. Quos ipsam dolorem fuga sapiente. Vel assumenda quia et id aut consequatur eos.","Recusandae id est ut voluptas illo. Cum quia sapiente quisquam facere nemo modi. Et cum molestias nesciunt quia sed. Animi ipsa nostrum eum rerum sapiente."]</t>
  </si>
  <si>
    <t>et-natus-12-8-3-red</t>
  </si>
  <si>
    <t>facere maxime saepe</t>
  </si>
  <si>
    <t>https://via.placeholder.com/300x650.png/0099aa?text=Smartphone+praesentium</t>
  </si>
  <si>
    <t>["A nostrum temporibus libero eaque sint.","A vero amet delectus quis qui corporis.","Aut aut quia sed cupiditate aut aut.","Expedita laboriosam adipisci eum tempore.","Nihil incidunt ea aliquam consequatur in porro sit.","Maiores rem sint voluptatibus beatae.","Enim accusantium enim minus at exercitationem.","Laboriosam maiores doloribus ipsa aliquid quasi impedit est.","Molestias nulla fuga similique doloribus.","Placeat excepturi et enim voluptas et et nobis."]</t>
  </si>
  <si>
    <t>["Beatae et ut doloribus id velit possimus vitae. Minus error hic mollitia voluptatem pariatur consequatur quis. Consectetur dolores sunt assumenda omnis qui. Id nesciunt excepturi qui.","Id eligendi veritatis architecto tenetur quae doloremque vitae perspiciatis. Et officia ratione corrupti error nulla minima ut. Unde exercitationem ipsa repellat tenetur inventore. Doloremque praesentium omnis vitae itaque placeat officia fuga."]</t>
  </si>
  <si>
    <t>voluptate-magnam-8-64-4-white</t>
  </si>
  <si>
    <t>ut molestias debitis</t>
  </si>
  <si>
    <t>https://via.placeholder.com/300x650.png/002211?text=Smartphone+occaecati</t>
  </si>
  <si>
    <t>["Vel veritatis expedita ipsam porro.","Repellendus aut illum distinctio quis at voluptatem.","Asperiores eum quo dignissimos voluptatem non ad dolores quos.","Ut voluptates non maxime ex quam.","Labore aut qui quis temporibus quibusdam quia pariatur.","Aut aut corrupti occaecati sit.","Consequatur unde hic exercitationem temporibus aut.","Blanditiis dolores sed aspernatur quod quasi voluptas.","Qui repellendus iusto earum rerum.","Vel alias repudiandae iure a esse nulla."]</t>
  </si>
  <si>
    <t>["Omnis similique quibusdam velit libero nobis tenetur. Aut error similique fugiat. Doloribus voluptatem sint minima ullam.","Reprehenderit dolor et unde ipsam. Tenetur voluptatem harum ea molestiae. Ut illo et inventore vel cum."]</t>
  </si>
  <si>
    <t>sed-earum-8-64-4-black</t>
  </si>
  <si>
    <t>enim eos non</t>
  </si>
  <si>
    <t>https://via.placeholder.com/300x650.png/0066cc?text=Smartphone+natus</t>
  </si>
  <si>
    <t>["Fuga et eius occaecati.","Est eaque eligendi tenetur nam.","Voluptas ex in eum incidunt soluta tenetur id.","Earum ducimus velit suscipit culpa.","Tenetur voluptatem ducimus maxime consequatur.","Dolorem nam quo sint vel dolorem tempore qui.","Quia reprehenderit aperiam consectetur atque reprehenderit voluptatum tenetur vel.","Molestias qui quasi ullam omnis et eum beatae.","Placeat facilis nostrum aut reiciendis praesentium provident.","Laborum earum omnis non quis consequatur nostrum."]</t>
  </si>
  <si>
    <t>["Et eum laborum libero repellat est consequuntur vero. Quas cum sit nisi quae. Aliquam aliquam vel est aliquam similique adipisci ut excepturi. Dolor aut id officia est quam ullam.","Ex velit officiis molestias rerum eum aut mollitia deleniti. Ut dicta quia sunt soluta voluptas nihil. Perferendis dolorem ad exercitationem adipisci eos qui ex."]</t>
  </si>
  <si>
    <t>corrupti-qui-6-64-5-black</t>
  </si>
  <si>
    <t>magnam voluptas aspernatur</t>
  </si>
  <si>
    <t>https://via.placeholder.com/300x650.png/00dd00?text=Smartphone+quasi</t>
  </si>
  <si>
    <t>["Aut delectus neque consectetur unde velit voluptas in eum.","Est cumque aut nesciunt facere beatae commodi.","Fuga dolores labore maiores dolores sit omnis.","Velit aut aut autem ut maiores voluptas harum.","Laborum voluptatem a voluptatem quia ipsum unde dolorem dolores.","Cum enim quo natus illo delectus.","Provident accusantium magnam nihil impedit.","Ea quia officiis quis.","Ut sed veniam molestiae eveniet autem ut vel error.","Sint quo quo veniam esse."]</t>
  </si>
  <si>
    <t>["Facere beatae iure vel voluptate. Est illo omnis qui et dolores non rerum. Voluptates iusto est voluptas commodi. Sunt omnis et labore sequi.","Et quia eum omnis quia voluptatem magnam. Eius ut nihil consequatur sunt hic. Architecto cumque laudantium libero. Ipsum odio quaerat impedit at cupiditate. Quia aut occaecati sequi fugiat aliquam dolorem."]</t>
  </si>
  <si>
    <t>maiores-veritatis-12-8-4-red</t>
  </si>
  <si>
    <t>rerum aut tempore</t>
  </si>
  <si>
    <t>https://via.placeholder.com/300x650.png/00aa55?text=Smartphone+voluptas</t>
  </si>
  <si>
    <t>["Labore omnis aspernatur nam sint architecto eos quis.","Veritatis quidem eaque quod alias.","Quis debitis maxime aspernatur cupiditate.","Aut ut dolor optio atque fugit nihil quia.","Numquam impedit commodi ipsum.","Quia cupiditate in iste ea pariatur vero voluptatem.","Tempore eum sint non voluptatum qui.","Nobis molestias quos aut.","Et consequatur quia rerum rerum ducimus.","Dicta omnis consequuntur voluptatem doloribus facere dolores."]</t>
  </si>
  <si>
    <t>["Molestias quo rem nulla natus minus ex. Dolorem fugit ut earum. Sequi reiciendis nesciunt ducimus quam autem sapiente qui. Adipisci omnis numquam eum veniam id rerum beatae.","Aut dolorum fugit qui sed molestiae autem maxime. Repellat eius quos culpa vel exercitationem earum praesentium. Aut eligendi dolorum sint dolorem cupiditate. Ut optio earum blanditiis ea soluta."]</t>
  </si>
  <si>
    <t>est-porro-6-16-3-white</t>
  </si>
  <si>
    <t>unde nesciunt magnam</t>
  </si>
  <si>
    <t>https://via.placeholder.com/300x650.png/00ffbb?text=Smartphone+deserunt</t>
  </si>
  <si>
    <t>["Sed totam velit dolorem temporibus expedita rerum est.","Dignissimos error facere aut earum dolor error.","Cum nemo quos voluptas deserunt explicabo ipsa quas quo.","Quia laudantium exercitationem distinctio et dignissimos.","Sunt consequatur unde aut est quo.","Omnis iusto reprehenderit ex molestiae odit veritatis.","Sit aut praesentium quos et.","Ut expedita qui tenetur officia expedita.","Ut unde eos quia officiis alias cumque voluptatem ut.","Veritatis est aut qui non cum qui et."]</t>
  </si>
  <si>
    <t>["Rerum quo illum dolores sint quia. Non nesciunt nam quam quia. Qui nam sunt laborum cumque quo.","Omnis aspernatur illum laborum est voluptas voluptas. Maiores ea numquam consequatur sit rerum. Omnis dolores distinctio ut vero eos molestiae dignissimos."]</t>
  </si>
  <si>
    <t>voluptate-dicta-6-32-2-white</t>
  </si>
  <si>
    <t>asperiores at voluptatem</t>
  </si>
  <si>
    <t>https://via.placeholder.com/300x650.png/008822?text=Smartphone+ea</t>
  </si>
  <si>
    <t>["Et autem consequatur perspiciatis ut est.","Autem voluptatem omnis porro beatae ex esse architecto.","Velit eligendi impedit temporibus quod et quia et laborum.","Vero ratione incidunt dolores odit voluptas est consectetur rerum.","Non quas architecto sunt explicabo dolorum.","Omnis voluptatibus labore dolorum in quidem.","Reprehenderit veniam illum vel architecto natus.","Et consequatur optio voluptatem repellendus assumenda suscipit.","Molestiae molestias sunt ut neque.","Labore cumque voluptas rerum maxime nobis provident."]</t>
  </si>
  <si>
    <t>["Eos dolor fugit quidem distinctio quo itaque. Beatae aut quis repudiandae. Illum ea commodi quaerat cum ut molestiae hic.","Totam porro similique repudiandae quia exercitationem aut aspernatur saepe. Consequatur consequatur voluptatum quisquam quo qui perspiciatis. Omnis sapiente voluptatum delectus assumenda. Et enim quia ipsum quas debitis quod qui. Maxime quia repudiandae totam ducimus."]</t>
  </si>
  <si>
    <t>maiores-in-12-32-5-green</t>
  </si>
  <si>
    <t>aut eligendi voluptatem</t>
  </si>
  <si>
    <t>https://via.placeholder.com/300x650.png/00bb44?text=Smartphone+aut</t>
  </si>
  <si>
    <t>["Et voluptatibus et a quisquam.","Magnam aperiam incidunt consequatur deserunt et quam laudantium.","Asperiores eum qui corrupti vel.","Eligendi velit in voluptate est necessitatibus perspiciatis.","Voluptas minima et eius aut.","Id facere veniam occaecati voluptatem.","Vitae quidem ut molestiae nihil et consectetur totam.","Exercitationem explicabo id eveniet sapiente pariatur et eos est.","Voluptatum officia quos optio est voluptates ut laboriosam.","Reprehenderit est corporis sapiente et."]</t>
  </si>
  <si>
    <t>["Voluptatem doloremque perferendis veritatis harum laudantium atque quia corporis. Quis ut eaque id minus quis. Et voluptatum nihil reprehenderit iure in voluptatem cupiditate. Corporis magnam omnis error voluptate non.","Sint perspiciatis est cum alias et. Iusto commodi nemo corrupti quia. Necessitatibus est impedit ut sed aut veniam. Expedita molestias quasi at dicta."]</t>
  </si>
  <si>
    <t>sed-id-8-16-4-black</t>
  </si>
  <si>
    <t>reiciendis rerum placeat</t>
  </si>
  <si>
    <t>https://via.placeholder.com/300x650.png/003344?text=Smartphone+maxime</t>
  </si>
  <si>
    <t>["Enim sed sunt qui et voluptatem.","Magnam consequatur iusto vel in dolores.","Pariatur velit aut sed est voluptas.","Necessitatibus ullam odit necessitatibus nostrum dolores modi.","Quia numquam consequatur architecto qui neque et.","Quod expedita officiis quo quidem possimus nam culpa et.","Ipsam reiciendis quod amet quia.","Magnam quam at architecto soluta natus eius.","Quidem quidem earum sed consequatur aperiam.","Doloribus sequi tenetur sint consequatur voluptatum quidem."]</t>
  </si>
  <si>
    <t>["Ut nesciunt porro quae alias. Ea est non natus. Alias veritatis ex harum similique soluta pariatur. Est rem autem quibusdam est neque recusandae sint dolorem.","Et quod magni porro enim dignissimos ab odio. Quos sunt eos quis enim minima et. Labore provident nihil exercitationem eos."]</t>
  </si>
  <si>
    <t>illum-id-12-64-2-red</t>
  </si>
  <si>
    <t>qui a voluptas</t>
  </si>
  <si>
    <t>https://via.placeholder.com/300x650.png/004444?text=Smartphone+suscipit</t>
  </si>
  <si>
    <t>["Fugit eius nam est ut.","Omnis ut nostrum accusamus nostrum magni.","Debitis omnis quasi libero iusto qui natus dolor.","Aliquam quia nesciunt quas molestiae accusamus est sed.","Quia exercitationem mollitia ad illum quo amet.","Rem vitae non id.","Suscipit minima est et sint magnam.","Omnis eligendi facilis at.","Blanditiis voluptatem temporibus autem.","Id quasi velit odit iure rerum."]</t>
  </si>
  <si>
    <t>["Ab autem corrupti aut molestias. Qui quod debitis saepe animi. Sit enim expedita perferendis qui quidem. Dolorum eligendi minima quasi sit aliquam nemo ea.","Suscipit veniam magni soluta dolore assumenda. Eligendi quis voluptatem porro perspiciatis."]</t>
  </si>
  <si>
    <t>est-et-12-128-3-black</t>
  </si>
  <si>
    <t>at non laborum</t>
  </si>
  <si>
    <t>https://via.placeholder.com/300x650.png/00eecc?text=Smartphone+voluptas</t>
  </si>
  <si>
    <t>["Voluptas rerum nobis rerum iusto.","Blanditiis a explicabo provident perspiciatis error.","Sapiente eum eaque laboriosam dolorem consequatur omnis fugit quaerat.","Itaque numquam atque quia ut quos enim natus.","Est aliquam recusandae architecto perferendis modi.","Laboriosam veniam dignissimos ea odit.","Veniam omnis aut rerum.","Tenetur dolorem aspernatur qui ipsum eum nam.","Voluptas et quia sequi ut officia.","Excepturi dolores incidunt quis quae."]</t>
  </si>
  <si>
    <t>["Qui labore et asperiores aut dolorem reprehenderit. Nemo velit et architecto voluptatem. Non error vel voluptatem perspiciatis facilis illo.","Maiores aut et ut laudantium et hic repellat. Ad doloremque ipsa perspiciatis. Quis quia unde eum eos asperiores cupiditate voluptatem."]</t>
  </si>
  <si>
    <t>voluptate-dicta-2-64-6-white</t>
  </si>
  <si>
    <t>neque cum tempore</t>
  </si>
  <si>
    <t>https://via.placeholder.com/300x650.png/006699?text=Smartphone+pariatur</t>
  </si>
  <si>
    <t>["At harum architecto sunt aut explicabo.","Culpa libero autem animi consequatur aperiam.","Deleniti nisi vel officia asperiores similique.","Cum vero quia voluptatum occaecati molestias facere dignissimos.","Enim quia dolorum sapiente distinctio.","Qui dignissimos non optio cumque laboriosam consequuntur pariatur dicta.","Laborum et minima cum voluptas nihil.","Et sint voluptas excepturi error facilis nam placeat.","Amet et eum labore.","Consequatur accusantium numquam minima omnis provident voluptas."]</t>
  </si>
  <si>
    <t>["Dolor eius dicta est a repellat nostrum quis porro. Incidunt dolorem aut omnis corporis assumenda molestiae neque. Atque quo et earum aut quisquam et vitae omnis.","Voluptatem et vel odit natus ut quo ipsum voluptatem. Dolor ut aliquam earum et."]</t>
  </si>
  <si>
    <t>est-ex-6-64-2-green</t>
  </si>
  <si>
    <t>accusamus eos aspernatur</t>
  </si>
  <si>
    <t>https://via.placeholder.com/300x650.png/00aadd?text=Smartphone+enim</t>
  </si>
  <si>
    <t>["Sunt magni voluptatem ab dicta quaerat.","Molestias temporibus non ab nemo quibusdam debitis voluptatem.","Dolorem molestiae dolorem ut optio sit.","Inventore occaecati alias molestiae iure error optio unde.","Eligendi accusantium incidunt voluptatem nisi quibusdam.","Quia quae architecto sunt ut tempore.","Omnis vero reiciendis reiciendis vel.","Repellendus maiores voluptatem corporis autem.","Beatae ipsum accusantium libero veniam magnam impedit.","Nam voluptas ut porro qui."]</t>
  </si>
  <si>
    <t>["Ut ut at sunt repellat qui. Esse sapiente voluptas maiores temporibus est ducimus impedit. Et quibusdam esse reprehenderit aut doloremque.","Ut animi cumque eaque sit suscipit voluptas in. Nihil ipsum saepe eius. Dolor ut temporibus et."]</t>
  </si>
  <si>
    <t>corrupti-ex-2-64-3-blue</t>
  </si>
  <si>
    <t>quibusdam qui maiores</t>
  </si>
  <si>
    <t>https://via.placeholder.com/300x650.png/00eeaa?text=Smartphone+et</t>
  </si>
  <si>
    <t>["Magni numquam aspernatur voluptatem dolores harum.","Alias quasi quia est magnam in.","Omnis nobis rerum ex voluptatem sit voluptatum.","Unde molestiae odit repudiandae numquam velit qui voluptate itaque.","Atque vel et quod non corporis dolor ea.","Nostrum fugit in non unde fuga labore.","Architecto dolorem autem velit deserunt quas illum.","Ipsum quo eum ab quasi reiciendis.","Et repudiandae tenetur dolorem blanditiis quam nemo enim.","Esse quas qui voluptatem."]</t>
  </si>
  <si>
    <t>["Id architecto hic harum quaerat magni. Fugit vero voluptatem explicabo itaque sunt eaque natus. In dolores est reiciendis.","Veritatis enim aut corporis odio voluptates necessitatibus. Id dolor quos possimus aut officiis optio."]</t>
  </si>
  <si>
    <t>maiores-consequatur-2-32-4-red</t>
  </si>
  <si>
    <t>ea ipsum deleniti</t>
  </si>
  <si>
    <t>https://via.placeholder.com/300x650.png/00dd33?text=Smartphone+deserunt</t>
  </si>
  <si>
    <t>["Repellendus quisquam odit iure qui assumenda corrupti accusamus qui.","Commodi et quod aperiam quis quia.","Expedita libero doloribus provident dolores aspernatur.","Quas explicabo quis eveniet sed.","Provident sapiente nemo excepturi.","Quia et architecto nam inventore sint.","Impedit rerum voluptas voluptas officiis unde.","Sunt temporibus est explicabo vel eos rem dolor et.","Fugiat dolores quia et.","Aliquam rerum autem labore dolores enim et aut."]</t>
  </si>
  <si>
    <t>["Vel officiis qui voluptate. Id deleniti nihil fugiat ea deleniti tenetur inventore. Quidem omnis non et quidem. Mollitia quia quia id culpa dolorem.","Aliquam est quo voluptates facilis voluptatem. Provident et vel sunt sit. Eos assumenda officiis a mollitia nisi molestiae. Distinctio quisquam praesentium tempore recusandae reiciendis dolorem sint."]</t>
  </si>
  <si>
    <t>et-minima-4-16-2-green</t>
  </si>
  <si>
    <t>ex at non</t>
  </si>
  <si>
    <t>https://via.placeholder.com/300x650.png/00bb88?text=Smartphone+error</t>
  </si>
  <si>
    <t>["Et id omnis repellendus voluptatem suscipit.","Non doloribus quidem dicta ducimus eligendi qui et.","Inventore molestias perspiciatis omnis.","Porro atque deserunt veritatis veniam omnis voluptatem.","Illo quo minus dignissimos consequatur.","Suscipit sapiente aut cupiditate.","Itaque iste asperiores ipsam molestiae ipsum aut quis.","Adipisci nihil modi blanditiis aspernatur.","Omnis minima consequatur ut aut qui.","Illo sed dolorem repellat asperiores."]</t>
  </si>
  <si>
    <t>["Rerum ab voluptas excepturi dignissimos iste natus. Id aut doloremque autem corporis. Nemo autem atque et voluptatem veniam modi quo ea. Aliquid sit adipisci cupiditate fugiat.","Eum officiis labore inventore veritatis. Quisquam consequatur et vel animi excepturi. Harum facere quis voluptates laborum deleniti."]</t>
  </si>
  <si>
    <t>illum-reiciendis-8-32-4-white</t>
  </si>
  <si>
    <t>expedita ducimus voluptas</t>
  </si>
  <si>
    <t>https://via.placeholder.com/300x650.png/0033aa?text=Smartphone+minus</t>
  </si>
  <si>
    <t>["Aut aut qui quia tenetur beatae repellendus.","Et omnis hic adipisci rerum inventore molestiae nam quas.","In quia aut minima optio sed aspernatur.","Sit enim alias repudiandae et dolor et.","Sint accusantium enim et enim.","Corrupti quod enim provident praesentium et est a.","Quo excepturi quas ut ut dolor aliquid voluptatem excepturi.","Adipisci earum ab laboriosam voluptatem aut sed.","Facere quia ut quia in.","Voluptate minima voluptatum ut nam."]</t>
  </si>
  <si>
    <t>["Dolores ratione dolor iure ipsum temporibus. Molestiae fugit quaerat rerum qui tenetur sequi. Necessitatibus sapiente in molestiae omnis harum voluptatum ad. Ut voluptatem ut culpa magni mollitia temporibus quia.","Quis est quo aut repellendus eum. Dolor laborum esse qui consequatur. Velit dolorem accusamus fuga cupiditate quae."]</t>
  </si>
  <si>
    <t>est-maiores-4-64-6-black</t>
  </si>
  <si>
    <t>eos eius esse</t>
  </si>
  <si>
    <t>https://via.placeholder.com/300x650.png/0077dd?text=Smartphone+numquam</t>
  </si>
  <si>
    <t>["Quam est distinctio assumenda ducimus aspernatur architecto voluptatem.","Aut pariatur magni fugiat ullam.","Quam deserunt ea perferendis consequatur soluta sit et.","Placeat nostrum ipsa sit quia eos unde.","Dolorum quia eos sunt dolore ad quo excepturi.","Asperiores qui rerum occaecati voluptate.","Magni sed vel iste.","Qui qui facere inventore ea ut sapiente nostrum.","Qui laboriosam quibusdam et deleniti quibusdam.","Minus provident et placeat dignissimos qui placeat ea."]</t>
  </si>
  <si>
    <t>["Delectus nihil at in nesciunt. Et ut tempore animi voluptas quo molestiae. Deserunt eligendi saepe aut non et cumque.","Rerum aut consequuntur recusandae error ratione rem sint. Voluptates atque rem est aut est quibusdam sit. Minus sunt in modi qui aut quas molestiae. Ipsa quis saepe animi nostrum."]</t>
  </si>
  <si>
    <t>quasi-qui-6-64-3-red</t>
  </si>
  <si>
    <t>corrupti earum molestias</t>
  </si>
  <si>
    <t>https://via.placeholder.com/300x650.png/008877?text=Smartphone+nihil</t>
  </si>
  <si>
    <t>["Id aut velit numquam odit dolores eaque non aut.","Totam voluptatem tenetur nobis blanditiis inventore est dignissimos.","Sit sed iste possimus eveniet et.","Quas eveniet et porro id unde est a.","Inventore quas minima dolor nisi magni.","Quia nostrum vero dolores hic.","Aspernatur error tempora corrupti qui rerum alias et.","Enim inventore repudiandae autem voluptatibus odit omnis consequatur velit.","Et tenetur minima illum quidem.","Optio sequi alias et perferendis aspernatur vero et."]</t>
  </si>
  <si>
    <t>["Explicabo non voluptate asperiores. Cum voluptas reiciendis dignissimos minus. Facere harum vero temporibus est. Quisquam cumque quia et est quo aperiam.","Qui sed a iure molestias. Nihil harum minus illum consequatur. Ipsa enim est aut molestiae. Quidem omnis vel et atque accusamus et nobis."]</t>
  </si>
  <si>
    <t>corrupti-ducimus-6-8-6-red</t>
  </si>
  <si>
    <t>harum deserunt unde</t>
  </si>
  <si>
    <t>https://via.placeholder.com/300x650.png/00dd33?text=Smartphone+eum</t>
  </si>
  <si>
    <t>["Magnam quis sit quia omnis veniam aut aliquam.","Ut ea illum nihil itaque.","Enim blanditiis ratione voluptates quia voluptatem nihil molestiae.","Nobis et est ullam quis iure.","Beatae at qui est pariatur earum veritatis.","Asperiores architecto ut suscipit eos ipsam aliquam error.","In adipisci animi sed in.","Aut qui sint quo provident sequi iusto.","Dolores deserunt totam in quod quia.","Quae dolores nesciunt occaecati consequatur sit aut ad."]</t>
  </si>
  <si>
    <t>["Dolores unde et repudiandae minima doloribus autem a. Numquam ratione facilis incidunt doloribus consequatur. Commodi mollitia aut voluptatem laboriosam autem aut sit. Delectus assumenda ratione aut iste dolores cum.","Eum accusamus facilis omnis rem quos eum quam. Possimus aperiam voluptatem consequatur. Alias mollitia et nihil non consequatur."]</t>
  </si>
  <si>
    <t>et-sit-8-32-6-green</t>
  </si>
  <si>
    <t>voluptatem dolorem rerum</t>
  </si>
  <si>
    <t>https://via.placeholder.com/300x650.png/0011ee?text=Smartphone+omnis</t>
  </si>
  <si>
    <t>["A illo ab eum.","Et quo quam est et est nemo.","Corrupti veniam impedit quis distinctio sit numquam delectus.","Corporis sunt est aspernatur.","Sed amet velit rerum excepturi et voluptatum sapiente quis.","Odio amet accusamus in placeat cupiditate est modi.","Recusandae deserunt dolore quam beatae.","Quo sed quo cumque maiores.","Voluptas enim labore provident consectetur.","Iusto voluptatem laboriosam sint id."]</t>
  </si>
  <si>
    <t>["Laudantium repudiandae ratione non ut ea accusantium qui. Reprehenderit corporis amet harum maxime ut autem unde. Fugit temporibus veritatis saepe qui. Ad harum velit a fugiat numquam hic rerum.","Esse dicta atque aliquid assumenda ut fugiat. Deleniti qui explicabo ea et ab reprehenderit minima. A repudiandae cumque ad. Possimus officia sed assumenda expedita in odit ut quos."]</t>
  </si>
  <si>
    <t>sed-eligendi-12-8-2-white</t>
  </si>
  <si>
    <t>non omnis harum</t>
  </si>
  <si>
    <t>https://via.placeholder.com/300x650.png/002222?text=Smartphone+tempore</t>
  </si>
  <si>
    <t>["Voluptate ut rerum vel id enim reiciendis.","Est voluptas ut aspernatur iusto.","Recusandae qui illum porro.","Velit enim omnis libero odit maiores fugit.","Sed commodi necessitatibus error voluptatibus velit.","Numquam pariatur hic ut ab et repudiandae molestias modi.","Saepe explicabo exercitationem officiis blanditiis vero officiis.","Autem eos voluptas doloremque a.","Ipsum vitae architecto maiores id quas.","Quis aspernatur earum minima atque distinctio quis."]</t>
  </si>
  <si>
    <t>["Sapiente sunt non est quod et ut minus. Eaque sed reiciendis autem. Qui necessitatibus rerum aut quia praesentium repudiandae assumenda et.","Rem nobis deleniti dolores eius maxime harum autem. In voluptatem laboriosam quasi aspernatur vitae consectetur rerum. Commodi molestiae quia est saepe. Enim iste aut quisquam delectus est."]</t>
  </si>
  <si>
    <t>sed-vel-12-64-2-red</t>
  </si>
  <si>
    <t>cupiditate mollitia quia</t>
  </si>
  <si>
    <t>https://via.placeholder.com/300x650.png/00ff99?text=Smartphone+libero</t>
  </si>
  <si>
    <t>["Eum et quae reiciendis esse voluptates.","Qui est aut laborum dolore amet.","Odio aspernatur est aut voluptatem quidem inventore.","Et iusto est ea asperiores laudantium illo aperiam.","Numquam natus sed est sequi nulla numquam tempore voluptatem.","Sunt commodi vero commodi dolores officia corporis rerum.","Porro atque ut fuga consectetur inventore voluptatem.","Sequi consectetur maiores laudantium laboriosam consequatur minus deserunt.","Qui praesentium ut et porro repellat corporis fugiat.","Ducimus asperiores ipsam distinctio facere."]</t>
  </si>
  <si>
    <t>["Quia minima sed dolorem perferendis consequatur non. Est voluptatem nisi facilis vel reiciendis quia quas. In nemo ad quaerat dolor eum. Iusto autem dolores dolore autem.","Aut est error velit et inventore ut. Amet ullam deserunt rem hic fuga. Error est labore est. Magni id quis itaque ut rerum dolor doloribus."]</t>
  </si>
  <si>
    <t>maiores-quod-12-8-3-white</t>
  </si>
  <si>
    <t>consequatur aut veritatis</t>
  </si>
  <si>
    <t>https://via.placeholder.com/300x650.png/00ffff?text=Smartphone+iure</t>
  </si>
  <si>
    <t>["Sunt reiciendis quasi aut.","Hic doloremque explicabo aspernatur.","Et velit aliquam ipsam at.","Nulla modi incidunt et debitis quia voluptas voluptas voluptas.","Est ut cupiditate beatae recusandae dolor consequatur sint voluptatibus.","Cumque quo repudiandae aut nihil ratione.","Et dolor ea in est ad dolor ad.","Eum quia in officiis nihil veniam ipsum.","Deserunt non non error placeat.","Quia dolorum et ullam a."]</t>
  </si>
  <si>
    <t>["Aut mollitia eos magni. Qui exercitationem esse consequuntur repellat. Possimus accusantium quis officiis harum voluptatem molestiae. Iste est consequatur necessitatibus laborum et quia nihil.","Quo nemo occaecati quibusdam est laudantium explicabo voluptates. Vero odit asperiores eligendi ut optio. Doloremque repudiandae inventore itaque tenetur et voluptatem architecto ut."]</t>
  </si>
  <si>
    <t>est-qui-2-512-3-red</t>
  </si>
  <si>
    <t>rerum ipsum molestiae</t>
  </si>
  <si>
    <t>https://via.placeholder.com/300x650.png/0099cc?text=Smartphone+porro</t>
  </si>
  <si>
    <t>["Aut blanditiis aut ratione.","Dignissimos eum at doloribus quam itaque nam.","Eius dolorem et praesentium explicabo asperiores in.","Dolorem nihil quas quisquam vero consequuntur iure.","Cum pariatur non porro consequatur.","Rerum et rerum quis et esse sint.","Sed impedit ducimus repellat sit.","Distinctio praesentium officiis hic itaque.","Provident eveniet reprehenderit labore quis sed cupiditate esse suscipit.","Aut excepturi inventore asperiores veritatis iusto."]</t>
  </si>
  <si>
    <t>["Magnam rerum veniam vel sit iure aut molestias. Reprehenderit et molestias harum earum culpa. Ea itaque provident error accusamus perspiciatis. Molestias cumque molestiae quidem.","Nostrum atque quia blanditiis corrupti porro quidem. Architecto vero officiis officia cupiditate voluptas aperiam est ipsam. Rerum beatae dolores et aut facere distinctio repudiandae commodi. Nam ipsa eos cupiditate consequatur."]</t>
  </si>
  <si>
    <t>ut-ut-6-16-2-white</t>
  </si>
  <si>
    <t>at saepe molestias</t>
  </si>
  <si>
    <t>https://via.placeholder.com/300x650.png/00eedd?text=Smartphone+ipsum</t>
  </si>
  <si>
    <t>["Voluptatem id laboriosam voluptatum cupiditate animi voluptate nobis.","Vitae necessitatibus et recusandae fugit porro hic ut id.","Et voluptatem earum unde non.","Ut possimus maxime fuga magni minima placeat.","Et veritatis aut ut et.","Doloribus culpa iure voluptatem consequatur fuga qui.","Fuga harum ea et quia rerum.","Consequatur quia totam qui doloremque praesentium.","Ullam nulla magnam et voluptatem est perferendis et.","Eum fugit omnis sunt et."]</t>
  </si>
  <si>
    <t>["Nulla maiores et est autem omnis eum. Blanditiis in eius qui expedita unde veniam voluptas. Rerum quo atque iste sed quod sint id.","Amet consequatur enim quo. Odit molestias facere cum nihil expedita soluta aut. Illo soluta velit eum sint."]</t>
  </si>
  <si>
    <t>corrupti-ducimus-12-512-3-black</t>
  </si>
  <si>
    <t>aut placeat id</t>
  </si>
  <si>
    <t>https://via.placeholder.com/300x650.png/00ff88?text=Smartphone+debitis</t>
  </si>
  <si>
    <t>["Quod et nam voluptatem voluptatem.","Vitae et cupiditate illum commodi.","In corrupti tempore aut laudantium ipsum.","Nihil voluptatum et eligendi perspiciatis nobis ipsum.","Totam magni et hic aut.","Ut dolore unde eum nisi.","Molestiae qui nulla sint numquam quia quia.","Omnis ut consequatur et assumenda architecto unde et.","Ullam vel perspiciatis facilis.","Consequuntur porro maiores ut qui reiciendis sint dolor."]</t>
  </si>
  <si>
    <t>["Repellendus consequatur accusantium qui. Sequi similique sint eos laboriosam. Dicta nulla in mollitia aut dolore temporibus temporibus.","Autem dolorem fuga ex. Sed adipisci voluptatem iusto et praesentium impedit. Rerum aut reiciendis voluptas assumenda."]</t>
  </si>
  <si>
    <t>quasi-voluptatem-4-16-6-blue</t>
  </si>
  <si>
    <t>vel ut nihil</t>
  </si>
  <si>
    <t>https://via.placeholder.com/300x650.png/0088aa?text=Smartphone+sit</t>
  </si>
  <si>
    <t>["Et quos quos quia ut est reiciendis.","Voluptas et aut corrupti illum omnis qui.","Veniam et sunt id quibusdam quia quia.","Dolores voluptas inventore quibusdam.","Saepe quibusdam error consequatur.","Vero fugiat nesciunt corrupti et non.","Omnis distinctio cupiditate aliquid distinctio ea voluptate.","Eveniet laudantium et ad tempora amet.","Voluptatem enim omnis optio totam et corrupti commodi possimus.","Quis cupiditate sint est qui et autem."]</t>
  </si>
  <si>
    <t>["Optio sunt quod beatae veniam rerum amet. Deleniti in commodi dolore tenetur in eos modi.","Quasi culpa inventore soluta commodi. Fugiat est reiciendis neque officiis sit cumque distinctio. At assumenda tenetur est ipsum. Eveniet earum quia dolor voluptas eaque."]</t>
  </si>
  <si>
    <t>et-sit-6-8-6-green</t>
  </si>
  <si>
    <t>quae sunt alias</t>
  </si>
  <si>
    <t>https://via.placeholder.com/300x650.png/008822?text=Smartphone+consequatur</t>
  </si>
  <si>
    <t>["Non dolorem omnis atque qui fuga.","Architecto voluptatem quae nulla odit necessitatibus.","Recusandae cum eos qui aut ipsum.","Iusto dolorem amet dolorem.","Et hic blanditiis sit aliquam nobis.","Soluta consequuntur inventore accusantium rerum et molestiae laborum.","Modi ipsa qui quasi.","Et voluptas magnam repellendus tempore ut consequuntur.","Velit omnis et sunt dolorum.","Nostrum magni inventore voluptatem quidem."]</t>
  </si>
  <si>
    <t>["Ut saepe voluptatem voluptatem. Quos molestias non doloribus quaerat iusto corrupti. Illo soluta aperiam consequatur nobis maxime. Sunt harum omnis sit in sit et eos.","Fuga est nihil et quidem adipisci qui. Pariatur nam molestiae in rerum asperiores ipsum. Modi cumque molestiae omnis. Eligendi sint perspiciatis est dolor ea corporis nihil. Repudiandae cupiditate omnis explicabo mollitia reprehenderit sit."]</t>
  </si>
  <si>
    <t>corrupti-ducimus-4-64-3-white</t>
  </si>
  <si>
    <t>velit repudiandae deserunt</t>
  </si>
  <si>
    <t>https://via.placeholder.com/300x650.png/0099dd?text=Smartphone+delectus</t>
  </si>
  <si>
    <t>["Minus cum est maiores perferendis et iure.","Recusandae nulla reiciendis sed debitis atque earum.","Consequatur omnis corporis a accusantium.","Ut vel non ut quia qui facilis.","Dolorum incidunt commodi non nihil necessitatibus fugit.","Doloremque magni libero soluta quam tempora incidunt aspernatur.","Et mollitia qui eos quo voluptatem.","In corporis omnis mollitia animi et.","Sed ut magnam nobis consequuntur quis.","Incidunt ullam consequatur eligendi eius consequatur."]</t>
  </si>
  <si>
    <t>["Tempore ullam architecto modi et harum quod unde. Explicabo vel nostrum magnam voluptatem libero. Facere fuga delectus nulla beatae consectetur eos ducimus reiciendis.","Qui quia facere qui commodi et molestiae repellat. Ratione inventore ratione rerum saepe quibusdam. Et molestiae eligendi deleniti tempore est. Veritatis deserunt sint autem quibusdam assumenda."]</t>
  </si>
  <si>
    <t>voluptate-velit-4-64-5-green</t>
  </si>
  <si>
    <t>officiis fuga quidem</t>
  </si>
  <si>
    <t>https://via.placeholder.com/300x650.png/00eeee?text=Smartphone+et</t>
  </si>
  <si>
    <t>["Aliquam dicta nulla fugiat aperiam cum.","Enim nobis soluta iste quae corporis fuga deleniti.","At cumque ipsam est repellendus sed sunt omnis.","Sapiente est dolor totam.","Animi quam dignissimos modi nemo laboriosam.","Dolorum reprehenderit magni repellat fuga reprehenderit ut.","Molestiae voluptas quam ducimus cum et sed asperiores dolor.","Sint neque qui laborum sapiente magni harum sit.","Rerum quaerat adipisci doloribus architecto.","Voluptate voluptatibus assumenda corporis officiis reprehenderit nemo ducimus."]</t>
  </si>
  <si>
    <t>["Quia quam aliquam voluptatem sunt. Enim consequatur doloribus eos vel voluptatem et. Ut architecto placeat deleniti aut excepturi debitis et. Ut unde minus est accusantium aut eveniet et. Voluptatem repudiandae quo eos eum et nihil.","Totam ut ut sed nesciunt natus rerum. Doloribus sed ut non. Maxime error voluptate eum."]</t>
  </si>
  <si>
    <t>voluptate-velit-8-32-6-blue</t>
  </si>
  <si>
    <t>autem maiores qui</t>
  </si>
  <si>
    <t>["Itaque accusantium porro dolorem deserunt error voluptates consequatur.","Eos eius facilis sed dolore quaerat impedit consequatur.","Ea omnis sint deserunt et.","Consequatur rerum eos libero assumenda quia illum eum.","Est ea ipsam doloribus possimus.","Explicabo et consequatur molestiae optio voluptas fuga.","Culpa qui voluptas maxime officia neque.","Dolorum et unde natus magni dolores et.","Tenetur consequuntur aspernatur tenetur suscipit.","Ut velit voluptatem autem est."]</t>
  </si>
  <si>
    <t>["In in quos quisquam quas. In distinctio sed voluptas debitis sed. Expedita quas earum natus et blanditiis quod quo.","Id rerum magnam molestias repellat veritatis officia. Qui quis facere quibusdam dicta magni illum et. Eligendi facilis eos fuga maxime odio doloribus omnis."]</t>
  </si>
  <si>
    <t>voluptate-sunt-6-64-6-white</t>
  </si>
  <si>
    <t>blanditiis similique incidunt</t>
  </si>
  <si>
    <t>https://via.placeholder.com/300x650.png/007788?text=Smartphone+eveniet</t>
  </si>
  <si>
    <t>["Eaque architecto rerum ea doloremque omnis mollitia inventore.","Voluptatem veniam consequatur repellendus voluptatem molestias tempore quis sequi.","Officiis autem omnis quae reprehenderit voluptas est.","Dolores hic distinctio eos.","Placeat mollitia esse quis.","Cupiditate soluta inventore culpa quae suscipit.","Eos cumque magni reprehenderit voluptates possimus nisi.","Reiciendis laboriosam nostrum sint quo praesentium rerum non et.","Quisquam nemo dolor neque iure incidunt.","Dolorem molestias et consequatur tenetur quis dignissimos amet."]</t>
  </si>
  <si>
    <t>["Soluta pariatur et repellat id vitae rerum. Ipsum dignissimos placeat aspernatur nihil dolor est fugiat voluptas. Ut inventore et omnis fugiat ut sequi sed. Laborum sequi suscipit aut quas officia.","Minus illo quis magnam dolorum. Tempora quo sunt qui soluta possimus aliquam aut."]</t>
  </si>
  <si>
    <t>et-voluptate-8-512-6-green</t>
  </si>
  <si>
    <t>pariatur qui sunt</t>
  </si>
  <si>
    <t>https://via.placeholder.com/300x650.png/0066dd?text=Smartphone+ipsum</t>
  </si>
  <si>
    <t>["Et quibusdam occaecati enim.","Dolor in nulla ut magnam mollitia inventore praesentium.","Molestias nihil aut non provident veritatis.","Ut aspernatur voluptatem officia non.","At eum quo tenetur reprehenderit.","Aut facere magnam maiores molestias in et.","Animi provident dolorum ipsum eveniet sint natus.","Quibusdam praesentium corrupti tempora vero aliquid alias consequatur neque.","Fugiat commodi qui recusandae maxime pariatur enim libero.","Voluptatum omnis temporibus tenetur repellat."]</t>
  </si>
  <si>
    <t>["Et sint enim unde saepe. Deleniti aut repudiandae cupiditate est consequuntur aut eveniet. Sint dolore voluptas aut laudantium amet inventore cum qui.","Molestias non architecto consequuntur et quam est in. Ex qui et omnis ipsum. Vero nulla magni aperiam."]</t>
  </si>
  <si>
    <t>ut-ut-2-512-2-white</t>
  </si>
  <si>
    <t>autem provident molestiae</t>
  </si>
  <si>
    <t>https://via.placeholder.com/300x650.png/00aacc?text=Smartphone+iste</t>
  </si>
  <si>
    <t>["Totam quae aut natus.","Eligendi quis numquam voluptate sint praesentium.","Vel in maiores quidem ad.","Similique sit tempora dolore dolores animi nihil.","Quasi ex ducimus et fuga.","Dolores consectetur in qui ipsum occaecati qui.","Qui quia velit esse et.","Distinctio voluptas possimus alias.","Tempore ut totam et nam fugiat.","Ipsam consequatur iusto nihil suscipit repellendus vitae quia laboriosam."]</t>
  </si>
  <si>
    <t>["Non omnis exercitationem nemo voluptatem aliquam. Est neque tenetur est est ut vero sunt. Labore voluptatem minima et recusandae perferendis sit.","Dolorum vel error et voluptas dolore. Hic dignissimos sit quis ut blanditiis. Sit rem est laboriosam voluptate in enim libero."]</t>
  </si>
  <si>
    <t>est-ex-6-128-6-blue</t>
  </si>
  <si>
    <t>sunt sit cum</t>
  </si>
  <si>
    <t>https://via.placeholder.com/300x650.png/0022cc?text=Smartphone+amet</t>
  </si>
  <si>
    <t>["Eum natus dolore nisi consequuntur itaque ex alias consequuntur.","Ut ut quia rem vel ratione.","Pariatur quos sed est.","Facere quia in earum quia cupiditate accusamus esse.","Voluptate ab quia maxime itaque tenetur non dignissimos.","Pariatur eveniet deleniti reiciendis.","Culpa eum odit repellendus dignissimos nam facere eum.","Ipsum non neque non est voluptas repudiandae corporis.","Qui debitis quam odit.","Et fugit in ullam aut."]</t>
  </si>
  <si>
    <t>["Rem nobis inventore laborum et. Quod qui suscipit alias qui recusandae sunt soluta. Quisquam eum praesentium sunt nisi voluptatem id facere. Provident totam animi doloribus.","Quae rerum reprehenderit et voluptatum et eum cum. Perferendis eveniet quibusdam fugiat sed et et assumenda. Sit consequatur cumque eos. Et similique ut consectetur facilis aliquid nam non."]</t>
  </si>
  <si>
    <t>est-debitis-6-512-6-green</t>
  </si>
  <si>
    <t>expedita explicabo ipsum</t>
  </si>
  <si>
    <t>https://via.placeholder.com/300x650.png/00ee11?text=Smartphone+non</t>
  </si>
  <si>
    <t>["In at officia sed aut quasi ullam.","Voluptas enim vel nihil voluptatum.","Sint facilis voluptatibus ad qui non molestiae dolores non.","Molestias nesciunt qui consectetur occaecati odio consectetur culpa.","Est vero dicta est voluptatum.","Quia laboriosam laborum fugiat ullam sunt amet.","Sunt sequi nesciunt qui quisquam.","Eligendi et velit quae.","Odit animi qui quasi error autem consectetur.","Iusto adipisci et ipsum tempore voluptatibus."]</t>
  </si>
  <si>
    <t>["Veniam sequi ut sint occaecati pariatur voluptas voluptas. Commodi vel sit natus aut deserunt ex distinctio. Quaerat qui fugiat quam qui voluptas illum praesentium. Praesentium sed accusantium consequatur saepe quidem eos.","Qui quaerat qui laborum quod. Ea nisi pariatur molestiae sit aliquam. Et voluptates corporis sed sed expedita sint labore dolorum. Reprehenderit nisi minima reiciendis neque ipsa voluptatum."]</t>
  </si>
  <si>
    <t>corrupti-sit-8-16-6-white</t>
  </si>
  <si>
    <t>et fugiat pariatur</t>
  </si>
  <si>
    <t>https://via.placeholder.com/300x650.png/009988?text=Smartphone+maxime</t>
  </si>
  <si>
    <t>["Esse cupiditate quia ut itaque quis similique.","Accusantium sed dolor maiores tempora officia minus.","A aperiam exercitationem velit quas dicta.","Recusandae velit alias dolorem aut ex accusamus.","Quidem molestiae dignissimos quis repellat.","Nobis temporibus ipsum mollitia molestiae facilis quibusdam qui.","Soluta dicta veniam quis qui quaerat expedita.","Autem labore iste dolor voluptas omnis eaque.","Doloribus animi iste iusto.","Quibusdam hic repudiandae aliquam pariatur culpa."]</t>
  </si>
  <si>
    <t>["Sint est vitae et atque iure quasi. Tempore eos officiis voluptatum rerum ipsam.","Ut et aliquam eligendi est est et iusto. Tempora pariatur quia doloremque exercitationem id facere ullam. Accusamus voluptatem ipsum reprehenderit officiis. In dolores laboriosam optio consequuntur aperiam occaecati."]</t>
  </si>
  <si>
    <t>sed-rerum-2-512-3-green</t>
  </si>
  <si>
    <t>est repudiandae rerum</t>
  </si>
  <si>
    <t>https://via.placeholder.com/300x650.png/005500?text=Smartphone+veritatis</t>
  </si>
  <si>
    <t>["Omnis aliquid tempore deserunt.","Aut occaecati aut aut excepturi non temporibus adipisci.","Adipisci quia ut temporibus corporis ipsa ipsa accusantium dolor.","Possimus ut non minima voluptas unde.","Corrupti perferendis deserunt laborum explicabo maiores laudantium quam.","Sit cum nisi magni est assumenda in et.","Labore perspiciatis quia aut illo sunt nihil suscipit.","Cum voluptatem officia et modi quisquam dolorum sunt.","Velit quas labore consequatur quisquam aut qui nemo.","Necessitatibus voluptates minus amet eveniet."]</t>
  </si>
  <si>
    <t>["Voluptatem error unde eum qui quaerat dicta. Molestiae dolorum sunt sapiente et ipsam inventore veniam. Harum consequatur facilis accusantium aspernatur alias ut. Cum occaecati ut nihil debitis.","Aut et assumenda modi ipsa. Facilis ab odit sapiente odit. Vitae repudiandae provident rerum fugiat dolores accusamus et nobis."]</t>
  </si>
  <si>
    <t>aspernatur-aliquam-2-512-5-green</t>
  </si>
  <si>
    <t>veniam qui vel</t>
  </si>
  <si>
    <t>https://via.placeholder.com/300x650.png/00bb00?text=Smartphone+ut</t>
  </si>
  <si>
    <t>["Aut voluptate consequuntur voluptate cum asperiores ut velit quis.","Distinctio est qui minima.","Sunt vel quisquam aspernatur fuga ab ut.","Recusandae qui est temporibus provident ipsam rem assumenda perspiciatis.","Et laborum sed optio est qui ut ipsa.","Minus assumenda eius facere.","Omnis molestiae debitis numquam possimus maxime id.","Quia rerum tenetur quis nemo.","Magnam pariatur totam sed et a architecto.","Ullam voluptatibus accusantium eligendi eum tempora."]</t>
  </si>
  <si>
    <t>["Iure et reprehenderit aut deserunt consequatur animi. Consequatur odio voluptatem ex et autem nemo vel esse. Quisquam expedita ut earum ut.","Similique qui debitis quia ullam beatae deserunt. Est est in dolor dolor in architecto. Consequatur sapiente quas nemo dolorem officia. Amet excepturi laudantium omnis animi aut voluptatem."]</t>
  </si>
  <si>
    <t>illum-facere-4-16-6-black</t>
  </si>
  <si>
    <t>et exercitationem tempora</t>
  </si>
  <si>
    <t>https://via.placeholder.com/300x650.png/00dd88?text=Smartphone+quos</t>
  </si>
  <si>
    <t>["Quis nisi beatae autem rerum repellendus.","Quae omnis nobis enim impedit voluptas est explicabo.","Itaque quae officiis eligendi unde qui.","Cum beatae est occaecati.","Qui exercitationem eum et eligendi explicabo beatae animi.","Rerum voluptas adipisci voluptatem laudantium aut doloremque.","Itaque laudantium expedita sint eius odit magnam harum debitis.","Ipsa sapiente praesentium natus ducimus nisi at modi quia.","Adipisci ea sint exercitationem deleniti maiores esse enim.","Provident laboriosam commodi exercitationem consectetur."]</t>
  </si>
  <si>
    <t>["Cumque sed nemo sequi. Necessitatibus qui magni culpa qui. Quasi molestias tempore ipsum et praesentium. Facilis sint modi ducimus dolorem quibusdam.","Corporis provident nulla soluta quae quae necessitatibus. Odit dolor doloribus maiores a. Facilis voluptatem omnis aperiam hic quod. Recusandae repudiandae eum neque eveniet quo."]</t>
  </si>
  <si>
    <t>maiores-iure-8-128-3-white</t>
  </si>
  <si>
    <t>fugiat architecto nemo</t>
  </si>
  <si>
    <t>https://via.placeholder.com/300x650.png/001144?text=Smartphone+quaerat</t>
  </si>
  <si>
    <t>["Reiciendis nesciunt placeat voluptatum earum modi.","Voluptatem aut rerum quisquam incidunt voluptates.","Quis ipsum recusandae dolores aliquid vel cum.","Ex expedita illo dolorem quia.","Repudiandae atque fugiat deleniti illo sed molestias et.","Reiciendis aspernatur et non autem facilis alias ipsum.","Corrupti nulla quia reprehenderit error at mollitia praesentium.","Autem tenetur ea deleniti enim.","Ipsum quia dignissimos explicabo nobis laboriosam temporibus.","Reiciendis ea earum voluptatem illo."]</t>
  </si>
  <si>
    <t>["Et tempore et quod. Perferendis ut asperiores et aperiam exercitationem veniam culpa ad. Mollitia nostrum impedit porro libero natus. Nulla quae maxime dolorem.","Eius non et facere recusandae quia eligendi. Repellat et esse quasi provident ut modi eos. In iusto quas id iste nostrum."]</t>
  </si>
  <si>
    <t>aspernatur-aliquam-6-16-4-blue</t>
  </si>
  <si>
    <t>enim ut voluptatem</t>
  </si>
  <si>
    <t>https://via.placeholder.com/300x650.png/0099cc?text=Smartphone+qui</t>
  </si>
  <si>
    <t>["Saepe sunt fuga dignissimos dolores.","Voluptatibus iusto libero sed rerum.","At velit molestiae id.","Consequatur eum similique perspiciatis.","Eius necessitatibus et reprehenderit eveniet.","Velit eius fugit odio voluptates unde qui delectus.","Et atque voluptas molestiae illo sit possimus.","Ducimus soluta similique ut.","Et error quis occaecati dolores similique ipsam.","Vero iste nisi quo impedit."]</t>
  </si>
  <si>
    <t>["Et aspernatur ut voluptatem nostrum dolorem. Repellendus qui vel nemo exercitationem. Itaque est eaque ut eius qui perspiciatis.","Impedit et tempore sequi. Eum incidunt est id a et hic sint. Id ut voluptatem necessitatibus vel occaecati at."]</t>
  </si>
  <si>
    <t>maiores-veritatis-6-512-4-white</t>
  </si>
  <si>
    <t>similique quisquam fugit</t>
  </si>
  <si>
    <t>https://via.placeholder.com/300x650.png/00dd00?text=Smartphone+natus</t>
  </si>
  <si>
    <t>["Voluptates et atque laborum ratione.","Iste numquam aspernatur voluptatibus quam.","Voluptate quaerat quis saepe eligendi possimus numquam illum.","Aspernatur eligendi sed veniam quia.","Suscipit quia nihil omnis ullam et accusamus corrupti.","Suscipit quaerat eaque facere consectetur cupiditate quia voluptas.","Commodi numquam dolores autem et vel.","Quo numquam dolorem enim voluptatum fugiat similique qui.","Voluptates ex voluptas corporis non consequuntur magni et.","Aut quos unde doloremque architecto nisi et et minus."]</t>
  </si>
  <si>
    <t>["In dicta velit corrupti voluptas fuga quos magnam cum. Aut adipisci placeat corrupti et odio dolorem. Voluptatem quos est sit eius totam aliquid repellendus. Ducimus eius rerum optio inventore et et libero itaque.","Non molestias delectus quae praesentium dolores et aperiam. Neque autem explicabo qui corporis et doloribus. Enim earum quo suscipit incidunt ut. Suscipit vitae id officiis tempora."]</t>
  </si>
  <si>
    <t>aspernatur-voluptas-8-8-5-blue</t>
  </si>
  <si>
    <t>vitae quae sint</t>
  </si>
  <si>
    <t>https://via.placeholder.com/300x650.png/001177?text=Smartphone+sint</t>
  </si>
  <si>
    <t>["Ea consequuntur natus rem explicabo culpa omnis.","Ea magnam cumque et recusandae distinctio iusto.","Ea dolorem nihil deserunt autem velit porro.","Dicta libero voluptatum ea consequatur.","Sed magnam at qui velit.","Dignissimos nam corporis ullam molestiae.","Recusandae quasi aut voluptas ut accusantium.","Consequuntur perferendis aut possimus reiciendis fugit.","A velit magnam alias sequi recusandae hic.","Ex corrupti distinctio molestias vero et eveniet rem."]</t>
  </si>
  <si>
    <t>["Animi facere eaque qui aliquam incidunt repellendus velit eos. Officia atque quos ea aut exercitationem earum ipsa. Voluptatum nesciunt deleniti tenetur et esse modi. Illum quis harum repellat molestiae veniam placeat omnis deleniti. Aut quae libero aut dignissimos et suscipit.","At autem neque numquam id. Perferendis porro id molestias totam molestiae asperiores molestiae. Illum ut odit voluptate autem rerum minus."]</t>
  </si>
  <si>
    <t>corrupti-occaecati-12-32-6-blue</t>
  </si>
  <si>
    <t>alias delectus aliquid</t>
  </si>
  <si>
    <t>https://via.placeholder.com/300x650.png/006622?text=Smartphone+est</t>
  </si>
  <si>
    <t>["Culpa neque ratione magnam doloribus dolorem.","Atque ex quia dolorem in et perspiciatis et quia.","Voluptate quod qui dignissimos corporis voluptate nemo.","Laborum nisi tempora et est esse.","Illum fugiat dolorem aut quo.","Consectetur quasi necessitatibus ipsa et.","Quibusdam aliquid ipsa qui recusandae et.","Qui ipsa rerum eos.","Eius placeat optio voluptas id quia.","Mollitia maxime vero dolores velit."]</t>
  </si>
  <si>
    <t>["Beatae dolorem deserunt iure in nesciunt. Eveniet aspernatur expedita magni similique optio. Repellendus qui ipsa corrupti ducimus maxime. Voluptatem autem nostrum modi perspiciatis.","Neque vitae minus tenetur. Iste est voluptas repellat. Commodi reiciendis iste sed eum et. Vel et vero quis aut tenetur ullam. Distinctio iusto modi quo omnis reiciendis sed."]</t>
  </si>
  <si>
    <t>illum-sed-2-32-4-white</t>
  </si>
  <si>
    <t>aut quis ipsum</t>
  </si>
  <si>
    <t>https://via.placeholder.com/300x650.png/0055bb?text=Smartphone+ipsum</t>
  </si>
  <si>
    <t>["At quis quas qui aliquid quia totam consequatur.","Veritatis quod quia soluta voluptas odio.","Id est harum saepe vel.","Dolores architecto veniam libero quis.","Aliquid fuga quibusdam eaque facilis voluptas.","Modi et dolorum recusandae.","Quis sint enim excepturi quod.","Dicta eos beatae accusamus odio.","Aut ad perspiciatis hic dicta non.","Rerum tempora labore explicabo vitae doloremque explicabo inventore."]</t>
  </si>
  <si>
    <t>["Rerum sequi illo aperiam temporibus. Eos repellendus architecto corporis doloremque at. Voluptas est nulla itaque dolorem. Consequuntur voluptatem aspernatur quia ullam.","At amet sed aut. Perferendis reiciendis aspernatur explicabo voluptatum. Vel quos beatae itaque ea consequuntur cum. Odit sed ipsam laborum sint eius."]</t>
  </si>
  <si>
    <t>est-ex-6-16-5-blue</t>
  </si>
  <si>
    <t>et voluptatum temporibus</t>
  </si>
  <si>
    <t>https://via.placeholder.com/300x650.png/00ddaa?text=Smartphone+dolores</t>
  </si>
  <si>
    <t>["Fuga error aperiam distinctio odit consequatur ducimus quis.","Blanditiis iste qui quo quo numquam.","Odio consequatur debitis aperiam aperiam pariatur id mollitia.","Ducimus modi id nobis optio accusantium.","Qui nobis similique veritatis molestias adipisci.","Voluptas velit recusandae ducimus ea accusamus.","Pariatur at voluptatem quia temporibus nihil voluptatem.","Vero sed illo recusandae accusamus quibusdam.","Corrupti corrupti velit blanditiis officiis.","Atque veritatis velit laborum aperiam a sunt."]</t>
  </si>
  <si>
    <t>["Officia iste soluta tempora consectetur provident et. Consequuntur aut molestiae velit earum recusandae perspiciatis. Voluptatem quia ex dolores qui est et. Quos quod molestias possimus voluptas nostrum dolor. Enim aliquam esse adipisci.","Facere soluta perferendis sequi dolor enim. Consectetur est libero modi itaque unde. Autem eligendi iure nostrum quaerat illum aut recusandae. Possimus necessitatibus et est perferendis esse qui aut dolor."]</t>
  </si>
  <si>
    <t>maiores-sed-6-128-4-black</t>
  </si>
  <si>
    <t>asperiores est magnam</t>
  </si>
  <si>
    <t>https://via.placeholder.com/300x650.png/004477?text=Smartphone+aut</t>
  </si>
  <si>
    <t>["Repellendus est officiis quia voluptatem porro.","Illo voluptatem sunt explicabo ullam.","Sit ut exercitationem voluptas commodi quod ut tenetur consequatur.","Sit non dolores labore consequuntur debitis provident.","Beatae placeat odit aperiam quo sit.","Nostrum eum dolorem ex fugit.","Nam et rerum culpa ut cumque.","Rem vel quasi consequuntur eligendi tempora maxime.","Suscipit error quia recusandae quos eum.","Voluptas eos est accusantium laborum."]</t>
  </si>
  <si>
    <t>["Nihil accusamus atque qui et veniam doloremque. Et unde adipisci necessitatibus est quasi dicta. Id minima provident et natus ut vitae incidunt. Est accusamus praesentium tempore esse.","Nesciunt odio doloribus eligendi numquam. Earum omnis provident et nisi sequi dolorem modi. Qui numquam quis veniam eos qui voluptas vitae."]</t>
  </si>
  <si>
    <t>voluptate-ratione-4-16-2-white</t>
  </si>
  <si>
    <t>labore veritatis quo</t>
  </si>
  <si>
    <t>https://via.placeholder.com/300x650.png/00ee11?text=Smartphone+nisi</t>
  </si>
  <si>
    <t>["Dolores sint dicta nulla sint.","Corrupti itaque quia et fugiat ipsum sequi saepe.","Est laborum ducimus veritatis et dolorem accusantium distinctio.","Incidunt sed nemo id labore perferendis ab.","Doloribus impedit autem et et eveniet deleniti eos.","Voluptas sapiente tenetur voluptatem eum doloribus possimus.","Omnis est id numquam magni labore.","Nesciunt dolorem corporis error.","Ea architecto est et non ut amet explicabo.","Debitis debitis voluptatem quam."]</t>
  </si>
  <si>
    <t>["Neque at sint sequi ad. Laboriosam praesentium dolorum voluptates quia optio ut voluptas facere. Dolore non dolorem ab. Necessitatibus exercitationem quia quo molestiae sequi voluptate quam.","Possimus consequatur accusamus et ab dolores. Consequatur voluptas eos minus unde. Et ut magnam consequuntur. Voluptas quam omnis dolorem veritatis neque commodi."]</t>
  </si>
  <si>
    <t>est-ex-2-32-2-blue</t>
  </si>
  <si>
    <t>et excepturi numquam</t>
  </si>
  <si>
    <t>https://via.placeholder.com/300x650.png/0099ff?text=Smartphone+inventore</t>
  </si>
  <si>
    <t>["Praesentium quia sint qui explicabo qui.","Explicabo voluptate nostrum repellendus ex.","Nobis sint blanditiis fugit debitis vel quo qui.","Consequatur fuga harum eos quo accusamus quia.","Non voluptas quo et perspiciatis incidunt ut aut.","Non ipsam recusandae enim minima.","Consequatur quo beatae repellat est sint beatae.","Enim ut ullam voluptas commodi sunt quidem.","Qui consectetur laborum pariatur.","Quod impedit blanditiis qui ut unde qui."]</t>
  </si>
  <si>
    <t>["Accusamus amet itaque minima illum veniam placeat. Sit ea et quam a ad quia. Perferendis et nam sit et rerum qui. Dolorem odio vitae praesentium pariatur est.","Ducimus et earum laboriosam aut exercitationem. Quod et et nobis tempore aut excepturi suscipit."]</t>
  </si>
  <si>
    <t>illum-autem-6-16-5-green</t>
  </si>
  <si>
    <t>provident aut quidem</t>
  </si>
  <si>
    <t>https://via.placeholder.com/300x650.png/002288?text=Smartphone+voluptatibus</t>
  </si>
  <si>
    <t>["Vel voluptatem est iure placeat necessitatibus officia accusamus.","In quod qui qui itaque est reiciendis eos.","Laborum culpa quidem tenetur saepe rerum impedit quia.","Odit cumque et quos enim delectus voluptatem voluptas asperiores.","Voluptatibus quod excepturi ipsum officiis.","Inventore aut aut perspiciatis et et nihil.","Incidunt pariatur excepturi repellendus molestiae iste.","Harum sit sequi optio eaque.","Consequuntur vel quam perspiciatis sequi.","Magnam est a voluptatem mollitia ut."]</t>
  </si>
  <si>
    <t>["Ipsam aut temporibus enim voluptatem. Aut esse odio earum id qui omnis beatae beatae. Possimus deserunt at quia recusandae.","Veniam dolores voluptatem ad corporis doloremque ipsum. Culpa tenetur qui est soluta qui consectetur sed eaque."]</t>
  </si>
  <si>
    <t>sed-quae-8-16-2-black</t>
  </si>
  <si>
    <t>impedit qui dolor</t>
  </si>
  <si>
    <t>https://via.placeholder.com/300x650.png/0011ff?text=Smartphone+non</t>
  </si>
  <si>
    <t>["Facilis quo iusto est velit aut mollitia quos.","Laudantium animi tenetur et ullam.","Quis consequatur delectus cumque voluptas sequi consequatur.","Esse voluptate pariatur eveniet similique.","Quae ullam quo et.","Quas in reprehenderit tempore rerum officiis molestiae dolores.","Illum quas at illo nihil id non.","Odio veritatis doloremque autem aut est temporibus est.","Aut veniam nobis tempora fugit consectetur.","Non repudiandae provident perspiciatis praesentium sed sit dolorem."]</t>
  </si>
  <si>
    <t>["Impedit placeat rerum eius ad aliquid blanditiis fugiat. Iure consequatur harum est molestiae saepe quibusdam fuga error. Quos nemo est totam ratione alias sed impedit et. Hic reiciendis iste molestias vero eveniet.","Quo eos aspernatur aut velit cum ratione. Labore praesentium ipsa et repellat molestiae. Quia cupiditate numquam sint quia quia sequi neque reprehenderit."]</t>
  </si>
  <si>
    <t>aspernatur-corrupti-4-512-4-blue</t>
  </si>
  <si>
    <t>quae rem veniam</t>
  </si>
  <si>
    <t>https://via.placeholder.com/300x650.png/00ee00?text=Smartphone+natus</t>
  </si>
  <si>
    <t>["Voluptas voluptates maiores amet ut.","Qui labore nemo esse dolorem.","Autem labore quam rem quasi itaque ut a aut.","Voluptas eos voluptates est sunt.","Excepturi ea necessitatibus et non eius minima et.","Cumque sint unde quia qui quisquam.","Et reprehenderit quia consequatur quod.","Praesentium et explicabo mollitia excepturi quia suscipit id.","Impedit doloremque harum minus porro quisquam debitis.","Voluptates ipsum occaecati molestias reprehenderit ut omnis maiores optio."]</t>
  </si>
  <si>
    <t>["Beatae enim omnis ut ab. Dolor esse quisquam exercitationem explicabo sed. Sed sed cupiditate ipsum est consequatur. Incidunt deserunt optio odio qui suscipit perferendis et.","Id omnis consequatur laboriosam voluptatem quidem recusandae. Praesentium modi et doloribus voluptatem inventore animi. Fugiat qui occaecati hic amet iure numquam."]</t>
  </si>
  <si>
    <t>quasi-et-4-16-5-green</t>
  </si>
  <si>
    <t>aut illum iusto</t>
  </si>
  <si>
    <t>https://via.placeholder.com/300x650.png/009977?text=Smartphone+aut</t>
  </si>
  <si>
    <t>["Maxime velit excepturi dolorem magnam laudantium facere odit.","Sit distinctio mollitia laudantium sunt odit.","Rerum sint iure corrupti voluptatem suscipit quod voluptate.","Illo odit ut consectetur eveniet sint.","Est nihil facilis doloremque odio suscipit.","Tenetur quis modi ipsam qui ipsa sunt.","Aut alias occaecati atque omnis autem.","Deleniti adipisci laborum qui sunt.","Ut inventore omnis tempore voluptate incidunt exercitationem iusto.","Vel officiis consequatur rem voluptates aut aut velit."]</t>
  </si>
  <si>
    <t>["Vel sed molestiae aperiam voluptatem. Eum voluptates soluta rerum voluptas et ut. Alias nihil at qui quia ut facere autem. Dolores quis enim id recusandae provident ut omnis.","Et ut quasi ratione assumenda debitis voluptatibus. Tempora temporibus assumenda provident. Est non dolores dolorum qui doloribus laboriosam magnam et."]</t>
  </si>
  <si>
    <t>voluptate-velit-4-8-5-blue</t>
  </si>
  <si>
    <t>et quo ut</t>
  </si>
  <si>
    <t>https://via.placeholder.com/300x650.png/00ee88?text=Smartphone+tenetur</t>
  </si>
  <si>
    <t>["Aut est debitis ea expedita quis.","Distinctio assumenda sequi dignissimos aperiam vel ab.","Aut sequi qui iusto ea assumenda culpa eum.","Eum fugiat occaecati qui mollitia suscipit quasi.","Facere qui magnam exercitationem aut officia repudiandae.","Rerum sed sint blanditiis quis.","Molestias laborum sapiente voluptates natus quasi explicabo ad qui.","Odio molestias quis omnis ipsam adipisci.","Ullam velit non voluptatum.","Repellendus laudantium eveniet aliquid quo voluptatem."]</t>
  </si>
  <si>
    <t>["Libero nemo sunt animi eligendi labore. Ut eos nihil reiciendis neque et et. Dolorem laudantium error excepturi libero voluptate.","Tempore error eveniet et alias itaque. Vero laboriosam est ducimus alias ducimus quia. Ea aut ducimus reprehenderit minus."]</t>
  </si>
  <si>
    <t>aspernatur-itaque-4-128-6-red</t>
  </si>
  <si>
    <t>omnis voluptatem quae</t>
  </si>
  <si>
    <t>https://via.placeholder.com/300x650.png/005599?text=Smartphone+blanditiis</t>
  </si>
  <si>
    <t>["Doloribus soluta facere quis quod.","Iure consequuntur eveniet dignissimos voluptatibus fuga.","Aliquid dolor eaque officia et id et dolorem saepe.","Aut veniam saepe libero corporis voluptatem.","Veniam numquam consequatur veritatis quo delectus.","Rerum cupiditate autem assumenda blanditiis aut.","Ut eius voluptas accusamus molestias sit deserunt quisquam.","Quae quo nobis et deleniti.","Recusandae vero nisi pariatur eligendi ut.","Laborum iusto quia optio error."]</t>
  </si>
  <si>
    <t>["At porro quos laudantium corporis veritatis facere amet. Cupiditate sequi deleniti error doloribus. Iure modi minima consectetur sed et. Quae aut tempora sed quasi assumenda quis.","Laborum iusto odio adipisci non ratione occaecati. At sequi modi tenetur esse exercitationem porro. Natus eum repellendus veritatis repellat voluptas sed."]</t>
  </si>
  <si>
    <t>est-rerum-2-64-3-red</t>
  </si>
  <si>
    <t>sint suscipit sunt</t>
  </si>
  <si>
    <t>https://via.placeholder.com/300x650.png/000055?text=Smartphone+animi</t>
  </si>
  <si>
    <t>["Quidem et molestiae et ut voluptatem consequuntur pariatur.","Dolorem aperiam corporis fugiat laudantium aut.","Ex necessitatibus voluptatem non quis libero aut.","Deleniti cum sit fuga aliquid laborum est.","Iusto velit cumque quidem omnis aut possimus magni et.","Non molestiae provident voluptas deleniti ex ea.","Aut aut praesentium totam reprehenderit velit.","Ratione nulla ut consequatur atque consequuntur minima amet.","Distinctio qui fugiat explicabo non.","In doloremque quae rerum eius ut."]</t>
  </si>
  <si>
    <t>["Sed aut iure quod quis odio. Minus sint deserunt aperiam doloribus sint maiores et. Nesciunt voluptatem sint est dolores aut. Quia eaque in aut consequatur officiis.","Quia in sed inventore id omnis debitis dolores. Ut nobis aliquam maxime vero soluta placeat et. Officiis et in facilis delectus vel."]</t>
  </si>
  <si>
    <t>corrupti-sit-6-64-5-white</t>
  </si>
  <si>
    <t>quia eos voluptatem</t>
  </si>
  <si>
    <t>https://via.placeholder.com/300x650.png/008899?text=Smartphone+iusto</t>
  </si>
  <si>
    <t>["Quasi aut sit sapiente laborum et laborum.","Fuga possimus pariatur voluptas consectetur cumque ut voluptates.","Qui deserunt maxime pariatur placeat veniam ullam quo sequi.","Blanditiis id odit officiis ipsam officiis quidem facere.","Qui illo omnis et aut adipisci.","Exercitationem dolores atque quia similique distinctio quis occaecati.","Qui quasi hic ex totam sit.","Molestiae aliquid optio occaecati repellat mollitia molestiae.","A cupiditate natus a in eos velit architecto.","Placeat dignissimos voluptas nihil necessitatibus delectus saepe quos."]</t>
  </si>
  <si>
    <t>["Quibusdam voluptas blanditiis sit non debitis. Commodi autem beatae sunt. Accusantium dolores aut aspernatur vel. Nihil assumenda quo aspernatur sint.","Quis sint inventore veritatis non quos. Quidem impedit dolores incidunt explicabo corrupti sequi. Temporibus dolorum velit delectus quisquam porro velit maxime. Eum non est qui temporibus doloribus maiores dignissimos."]</t>
  </si>
  <si>
    <t>corrupti-sint-12-512-5-green</t>
  </si>
  <si>
    <t>ut ipsam alias</t>
  </si>
  <si>
    <t>https://via.placeholder.com/300x650.png/003355?text=Smartphone+et</t>
  </si>
  <si>
    <t>["Soluta quos necessitatibus et enim dignissimos ipsum eum.","Molestiae et ducimus non expedita.","Atque et est et molestiae.","Saepe et quos et et.","Et iusto quis enim tenetur officia voluptas quia aliquam.","Et id et fugit aut iure excepturi.","Eveniet optio fuga dolores dolor maiores voluptatem.","Ut dolores totam dolor praesentium dolor.","Ratione est animi ipsam autem.","Eveniet eveniet qui inventore sit cum libero voluptas."]</t>
  </si>
  <si>
    <t>["Qui et atque nam quia odit nemo fugit. Odio aut eligendi nihil debitis alias. Aspernatur harum hic consequuntur vel. Odio quo minima perspiciatis porro ut aut esse.","Corrupti quo voluptate aut aut omnis in. Totam vitae earum alias sed eos architecto. Eaque qui impedit vel molestiae. Fuga nobis et id at eveniet impedit ab. Laboriosam ab tenetur et veniam."]</t>
  </si>
  <si>
    <t>aspernatur-aliquam-2-512-5-green-1</t>
  </si>
  <si>
    <t>ea provident voluptatum</t>
  </si>
  <si>
    <t>https://via.placeholder.com/300x650.png/00ee88?text=Smartphone+labore</t>
  </si>
  <si>
    <t>["Voluptatem pariatur debitis ipsam adipisci quis quam ipsa.","Nesciunt omnis iusto laborum ducimus nam aut porro.","Fugit ullam impedit velit reiciendis.","Quia officia commodi voluptas voluptatem rerum et temporibus.","Esse qui et dolores officia vel.","Aut velit incidunt consequatur impedit saepe optio officiis.","Assumenda animi quia et dolorem ipsam sit dolorem ab.","Ut possimus aliquam perspiciatis deserunt non sit.","Culpa dolor ab et eos ab eaque explicabo.","Quia similique voluptatum quas voluptatum."]</t>
  </si>
  <si>
    <t>["Dolore amet ratione qui quidem repellendus. Tempore occaecati tenetur voluptatem impedit cum aut. Quo deleniti odio nesciunt.","Rerum modi eos quasi eveniet. Enim qui mollitia maiores. Et ea voluptatem aut ratione. Qui ut autem ullam debitis id ad rerum dicta. Officia repudiandae fuga sapiente temporibus in saepe odio dolorem."]</t>
  </si>
  <si>
    <t>sed-necessitatibus-8-64-3-black</t>
  </si>
  <si>
    <t>corrupti molestiae magnam</t>
  </si>
  <si>
    <t>https://via.placeholder.com/300x650.png/00eeaa?text=Smartphone+cupiditate</t>
  </si>
  <si>
    <t>["Debitis praesentium magnam et rerum sit.","Ab exercitationem voluptatem quae commodi doloremque totam repellendus.","Tempora asperiores excepturi illo quis.","Ea ut amet error adipisci voluptas esse.","Ad libero eaque cum officiis sit.","Quae quia accusantium alias nobis a voluptatem.","Assumenda sit cumque ea necessitatibus sit.","Voluptas molestiae ea aut.","Rem qui suscipit quo consectetur qui facere et.","Consequuntur sint inventore qui aliquam."]</t>
  </si>
  <si>
    <t>["Nobis harum voluptatibus perspiciatis maxime reprehenderit. Voluptatem aut excepturi totam ex voluptates. Eos molestiae voluptatem rerum sint. Quaerat reiciendis porro exercitationem quis et minima dolores. Officiis est placeat molestiae.","Dolorum dolor corrupti ut voluptatem dignissimos necessitatibus. Est sunt et qui officia omnis. Consequuntur similique dolore nihil et accusantium ut. Reprehenderit qui impedit doloremque sit veritatis dolores esse. At id iste est sit."]</t>
  </si>
  <si>
    <t>voluptate-similique-6-64-4-green</t>
  </si>
  <si>
    <t>temporibus qui sit</t>
  </si>
  <si>
    <t>https://via.placeholder.com/300x650.png/003366?text=Smartphone+voluptatem</t>
  </si>
  <si>
    <t>["Ut quisquam reprehenderit eum.","Tenetur autem et omnis eveniet asperiores.","Ut nisi expedita nesciunt.","Aliquid et dolorum maiores excepturi nihil.","Commodi possimus error necessitatibus alias fugit.","Ut similique unde ut culpa nulla.","Quibusdam sit necessitatibus alias voluptatem vel omnis voluptates.","Est modi repellat sit omnis fuga deleniti.","Nemo sed minus quas ut qui enim consequatur dolorem.","Atque id et sit fuga hic maxime sunt."]</t>
  </si>
  <si>
    <t>["Qui soluta harum eos et. Necessitatibus saepe dolorum id ipsam et nulla laboriosam. At sit aut rem sapiente ut.","Sed ratione doloribus dolorem ex dolores aut. Explicabo esse occaecati nulla amet natus error. Nobis autem fuga labore libero. Sunt nisi aut cupiditate sunt necessitatibus inventore laborum."]</t>
  </si>
  <si>
    <t>quasi-perferendis-12-128-2-red</t>
  </si>
  <si>
    <t>recusandae deserunt adipisci</t>
  </si>
  <si>
    <t>https://via.placeholder.com/300x650.png/008811?text=Smartphone+quia</t>
  </si>
  <si>
    <t>["Autem cum repellendus officiis voluptates delectus qui autem.","A natus sapiente est voluptates.","Dignissimos voluptatem reiciendis possimus ipsam ea sed voluptates.","Tempora et corrupti dolorem quas rem nihil.","Ab veniam dolores atque.","Delectus hic molestias ea rerum aut.","Eum inventore voluptas facilis inventore excepturi nam.","Laborum optio eos temporibus quia eos quis excepturi.","Vel voluptatibus corporis laborum consequatur mollitia reprehenderit.","Porro id magnam laboriosam voluptas."]</t>
  </si>
  <si>
    <t>["Qui dolores sunt modi aliquam cumque tenetur. Vitae facilis modi sint sunt adipisci odio vitae. Delectus tempore non enim autem. Laborum totam fugiat cumque sit deleniti.","Consequatur earum reprehenderit hic distinctio atque assumenda voluptas. Nesciunt est necessitatibus et voluptas. Tempora similique quia odit voluptatem facilis doloremque expedita qui."]</t>
  </si>
  <si>
    <t>aspernatur-corrupti-8-64-3-black</t>
  </si>
  <si>
    <t>sed recusandae cumque</t>
  </si>
  <si>
    <t>https://via.placeholder.com/300x650.png/00ddee?text=Smartphone+dolor</t>
  </si>
  <si>
    <t>["Cumque quia rerum recusandae esse in sed aut velit.","Ullam blanditiis nulla iste laudantium est.","Ullam nemo et ipsa ducimus.","Sunt laudantium quibusdam similique dolores voluptatem quasi.","Repellendus est reprehenderit qui vel.","Laudantium nesciunt excepturi vel veniam itaque.","Vel sunt dolores aut quam sequi modi sint quia.","Et placeat ea sed omnis.","Qui aliquid non tempora excepturi iste facilis id nihil.","Et iste eligendi atque."]</t>
  </si>
  <si>
    <t>["Deserunt voluptas pariatur illo id voluptatem. Sint sit repudiandae sint et quas consequatur quam voluptate. Aliquid necessitatibus laudantium nisi. Pariatur qui dicta ad pariatur voluptas dolore fugiat fuga.","Omnis minus qui quas. Et eos voluptates ut quia rem minus omnis facilis. Saepe reiciendis suscipit eum quia voluptatem architecto. Ducimus ipsum recusandae laboriosam quae est."]</t>
  </si>
  <si>
    <t>aspernatur-eum-8-16-3-white</t>
  </si>
  <si>
    <t>nihil iste perspiciatis</t>
  </si>
  <si>
    <t>https://via.placeholder.com/300x650.png/006699?text=Smartphone+facilis</t>
  </si>
  <si>
    <t>["Vero eum cumque et iure dolor veritatis aut.","Non aperiam voluptas nisi omnis neque quaerat perferendis.","Non similique eos nobis rerum dolor maiores.","Et magni iste eveniet corrupti.","Aliquam dolor nisi natus cupiditate.","Sit libero ut suscipit.","Voluptates iusto itaque non quas.","Doloribus culpa et molestiae voluptatem.","Facilis maxime dolor soluta et.","Et explicabo eius eum voluptatum sunt cumque."]</t>
  </si>
  <si>
    <t>["Voluptatem voluptatibus cumque laborum in. Quos rem eaque tempore blanditiis. Ipsum eos qui atque sapiente officiis aut autem maiores. Aliquid ipsam dolore repudiandae mollitia. Libero eveniet quo qui.","Quam dolorem sit sed nam est. Laboriosam rerum sequi asperiores blanditiis necessitatibus. Occaecati ut et pariatur tempore molestias inventore sit. Culpa impedit rerum ipsa harum sed recusandae."]</t>
  </si>
  <si>
    <t>quasi-qui-4-64-5-white</t>
  </si>
  <si>
    <t>reprehenderit qui sint</t>
  </si>
  <si>
    <t>https://via.placeholder.com/300x650.png/0022cc?text=Smartphone+doloribus</t>
  </si>
  <si>
    <t>["Tempore est cum ut commodi.","Quod voluptas consectetur et aspernatur.","Nesciunt molestias molestias numquam minima excepturi.","Eveniet blanditiis odio nulla delectus qui dolor.","Dolorem consectetur iure ut eum reprehenderit.","Omnis ea vero porro aut.","Cupiditate nobis beatae quo quae.","Natus labore repellat rerum eos illo.","Fugit quo aut sit minima et assumenda.","Aut vero autem rerum voluptas vel voluptate ex."]</t>
  </si>
  <si>
    <t>["Est cupiditate enim nostrum ut exercitationem. Et at molestiae in eos aliquam totam consequuntur. Aliquam rerum velit aliquam vero maxime sapiente et excepturi.","Nobis occaecati a rerum et eligendi dignissimos. Esse mollitia dignissimos velit et sint doloremque veritatis. Suscipit qui aut similique nihil et qui est. Molestiae quas temporibus omnis nam quia voluptates ipsum."]</t>
  </si>
  <si>
    <t>ut-sed-12-8-6-green</t>
  </si>
  <si>
    <t>eligendi sapiente ut</t>
  </si>
  <si>
    <t>https://via.placeholder.com/300x650.png/004400?text=Smartphone+ipsum</t>
  </si>
  <si>
    <t>["Ducimus qui suscipit veritatis voluptatem.","Quibusdam consectetur illum tempora veritatis rerum corporis harum.","Architecto nulla voluptatibus quis voluptatum tempore accusantium.","Eum tenetur quaerat recusandae magnam repudiandae.","Libero qui rerum quas.","Accusantium qui consectetur aut consequatur.","Ipsa esse voluptas quia sed non.","Nihil dignissimos labore ipsum adipisci non corrupti praesentium.","Recusandae quia ut aut repudiandae corrupti molestiae nulla dolores.","Velit beatae molestias sint debitis."]</t>
  </si>
  <si>
    <t>["Non odio esse ut ut. Et autem ducimus a id mollitia suscipit. Ea quae nihil excepturi magnam doloremque. Repellendus quasi est inventore neque quisquam et. Perspiciatis nisi sit sequi unde.","Optio labore molestiae eos iste ipsum. Id occaecati quia nihil autem vero. Tempora commodi enim qui odio labore beatae dolores. Necessitatibus consectetur non aut et magni iste ullam ipsa."]</t>
  </si>
  <si>
    <t>voluptate-velit-12-32-6-black</t>
  </si>
  <si>
    <t>vel blanditiis autem</t>
  </si>
  <si>
    <t>https://via.placeholder.com/300x650.png/00dd00?text=Smartphone+quidem</t>
  </si>
  <si>
    <t>["Est eligendi unde modi.","Nam repellat placeat autem voluptas sint excepturi consequatur.","Perferendis eveniet soluta et quam dolorem.","Dolorum fuga eum aut beatae molestias sunt.","Vel libero iure dolorum eum qui atque.","Dicta rerum itaque odit repellendus.","Repellat sed ea quas non dolores blanditiis.","Ab a debitis est dolorem vero qui eligendi et.","Optio quia possimus deserunt dolorum ea molestias officiis.","Porro tempora non vel hic."]</t>
  </si>
  <si>
    <t>["Quia minus ex accusantium quia quaerat beatae. Eos dolores fugit reiciendis et omnis. Quae tempore pariatur autem quos aliquid omnis distinctio. Inventore quis dicta qui nulla facere velit et earum.","Quia eos officia excepturi est et accusantium. Repellendus cumque et labore nihil."]</t>
  </si>
  <si>
    <t>voluptate-similique-4-8-4-red</t>
  </si>
  <si>
    <t>quaerat omnis quis</t>
  </si>
  <si>
    <t>https://via.placeholder.com/300x650.png/009933?text=Smartphone+autem</t>
  </si>
  <si>
    <t>["Quia enim facilis veritatis et molestias labore.","Debitis qui nesciunt possimus.","Consequatur officiis natus et ex qui consequatur.","Saepe vitae facilis quis temporibus dolor officiis.","Commodi illo explicabo id illo est dolores et.","Esse ducimus molestiae rerum ex molestiae.","Reiciendis nostrum eaque voluptatem vitae velit rerum dolores.","Et non voluptas voluptatem ipsam.","Sed voluptates temporibus numquam quam laudantium.","Tenetur aliquid nulla et sed harum sit id."]</t>
  </si>
  <si>
    <t>["Nulla soluta qui debitis ducimus. Et quos aut sed non qui consequatur quia aut. Pariatur non magnam iure placeat. Libero ut veniam ullam molestias blanditiis nisi est.","Fugiat necessitatibus qui saepe voluptatum. Dicta ut consequatur est consequatur consequatur soluta. Ut assumenda eum eius. Quis recusandae incidunt est dolores."]</t>
  </si>
  <si>
    <t>corrupti-occaecati-12-64-3-black</t>
  </si>
  <si>
    <t>est blanditiis ratione</t>
  </si>
  <si>
    <t>https://via.placeholder.com/300x650.png/0099bb?text=Smartphone+culpa</t>
  </si>
  <si>
    <t>["Aliquid hic consequatur labore.","Molestiae suscipit accusantium aliquid aut.","Cumque qui harum qui optio possimus.","Ut minus est reiciendis ut et suscipit.","Vitae odio recusandae id.","Rerum aut enim fugiat est et eos sit.","Est velit aliquid voluptates qui.","Et dolorem quaerat fugiat provident.","Inventore reiciendis odit repellat sint dolor.","Et repellendus ut unde eos."]</t>
  </si>
  <si>
    <t>["Aperiam quam assumenda ut saepe. Quos voluptates libero exercitationem non. Ea pariatur fugiat qui excepturi at voluptatem.","Ullam architecto dolorum fugiat error placeat quibusdam eaque. Nostrum eligendi et ut id tenetur nostrum. Dicta ut quia dolor reprehenderit et. Id beatae dignissimos eius repudiandae omnis eaque voluptatem."]</t>
  </si>
  <si>
    <t>sed-earum-4-64-2-black</t>
  </si>
  <si>
    <t>quod perferendis laborum</t>
  </si>
  <si>
    <t>https://via.placeholder.com/300x650.png/005566?text=Smartphone+autem</t>
  </si>
  <si>
    <t>["Quasi autem eos temporibus ex similique atque doloribus.","Et ex quis hic possimus officiis molestias culpa aliquid.","Praesentium earum reprehenderit quis totam.","Magnam alias molestias eos ipsam labore esse.","Labore rem sint exercitationem.","Harum expedita qui fuga accusantium cumque.","Incidunt et amet animi et velit molestiae necessitatibus.","Necessitatibus necessitatibus id soluta veniam.","Laborum tempora voluptatum in.","Est sed nihil sit laboriosam qui quibusdam sunt exercitationem."]</t>
  </si>
  <si>
    <t>["Consequuntur sit vel deserunt voluptatem. Aut incidunt eligendi illo molestias aut aliquid. Rerum necessitatibus et nemo eum. Dolor enim culpa magni rem.","Et aut ut quis itaque. Praesentium et doloremque in minus. Qui ex vero ducimus animi error debitis rerum."]</t>
  </si>
  <si>
    <t>ut-blanditiis-2-128-2-blue</t>
  </si>
  <si>
    <t>qui facilis ut</t>
  </si>
  <si>
    <t>https://via.placeholder.com/300x650.png/00cc77?text=Smartphone+dolore</t>
  </si>
  <si>
    <t>["Est aut ad dolor minima qui.","Aut inventore iusto atque id velit quia.","Et maxime ea maiores optio ipsum vitae.","Tenetur est nihil omnis iste.","Atque sint et et neque qui beatae.","Omnis accusamus cum hic vel autem enim.","Maiores rerum sapiente laborum temporibus.","Praesentium minus ut saepe sed ipsum id dolorem.","Consequatur autem autem non blanditiis assumenda.","Rerum id iste repellendus et expedita."]</t>
  </si>
  <si>
    <t>["Mollitia id doloremque temporibus. Rerum temporibus qui in sunt officiis dolorum veritatis officia. Recusandae quis consequatur architecto repellendus.","Voluptates quia et velit nostrum culpa harum. Et tempore possimus temporibus est. Quo esse rerum odit et eum minima. Voluptatem omnis maxime et accusamus vel labore."]</t>
  </si>
  <si>
    <t>est-qui-6-512-2-green</t>
  </si>
  <si>
    <t>porro maiores est</t>
  </si>
  <si>
    <t>https://via.placeholder.com/300x650.png/007711?text=Smartphone+omnis</t>
  </si>
  <si>
    <t>["Fugit voluptatem et repellat repellendus facilis.","Sit delectus optio voluptatum harum rem aut.","Ducimus sunt veniam sit corrupti.","Ipsam repudiandae est qui et dicta et at ea.","Minus aut omnis tempore consequatur.","Quia odio autem nihil ipsa iure et pariatur.","Iure ut rerum assumenda aspernatur et cumque in.","Magnam id ab id dolores placeat.","Sunt corporis perferendis non.","Est quisquam et possimus enim."]</t>
  </si>
  <si>
    <t>["Animi laboriosam provident iusto aspernatur ut laborum quo beatae. Corporis minima ut vel optio explicabo quisquam. Facilis quas dolores quos et at molestias qui.","Est dolorem ut iure nisi iusto quia. Veritatis at neque nemo autem similique est. Tempore et praesentium culpa laborum. Voluptates molestias tenetur omnis quia aut adipisci animi."]</t>
  </si>
  <si>
    <t>ut-ut-6-8-3-black</t>
  </si>
  <si>
    <t>porro totam architecto</t>
  </si>
  <si>
    <t>https://via.placeholder.com/300x650.png/0022aa?text=Smartphone+quasi</t>
  </si>
  <si>
    <t>["Sed consequatur dolor perspiciatis consequatur quo veritatis.","Deserunt velit necessitatibus iste voluptatem et reprehenderit dolores enim.","Ullam animi distinctio beatae id aliquam error.","Temporibus molestiae aut consequatur quos.","Eos laudantium reprehenderit molestiae aut aspernatur aperiam dolor.","Qui nam ipsum quaerat iure.","Laboriosam eligendi sed nemo.","Non eveniet iusto accusantium tenetur aut esse.","Quas laboriosam fuga impedit aut consequatur quae libero.","Maxime voluptas optio et autem placeat ut at."]</t>
  </si>
  <si>
    <t>["Perferendis omnis earum ratione numquam adipisci hic incidunt. Velit illo quasi dicta voluptatem quas velit. Odit sint consequatur deleniti beatae.","Nihil minima odio laborum dolorem ut quia possimus corrupti. Doloremque iste sequi provident. Voluptatem aspernatur beatae placeat quia maiores corporis rerum. Soluta eveniet ex repellat et. Fuga voluptatem odit quos eligendi totam cum et sed."]</t>
  </si>
  <si>
    <t>voluptate-voluptatem-4-64-3-blue</t>
  </si>
  <si>
    <t>velit eveniet sunt</t>
  </si>
  <si>
    <t>https://via.placeholder.com/300x650.png/006699?text=Smartphone+et</t>
  </si>
  <si>
    <t>["Voluptates quis quis quod consequatur eius.","Dolores nulla tempore et amet.","Sunt ut laborum porro corporis tenetur libero qui itaque.","Voluptates sed quia sed.","Id at eligendi velit eum ea qui.","Eos qui nostrum et.","Et maiores porro nihil aut.","Omnis sit vero et laboriosam voluptas.","Itaque veritatis quisquam voluptas.","Non dolores hic mollitia eos libero deleniti."]</t>
  </si>
  <si>
    <t>["Deleniti et voluptatem repudiandae voluptatem quia quia quo modi. Blanditiis incidunt officia totam facere. Optio debitis rem quidem vero. Rerum consequatur ut at praesentium omnis aut tempora.","Totam ut est nobis est distinctio odio ducimus. Ut error consectetur minus corrupti dolore. Inventore eveniet sit sed omnis adipisci ex consequatur."]</t>
  </si>
  <si>
    <t>maiores-voluptatum-8-64-2-green</t>
  </si>
  <si>
    <t>autem repudiandae voluptate</t>
  </si>
  <si>
    <t>https://via.placeholder.com/300x650.png/00ff33?text=Smartphone+explicabo</t>
  </si>
  <si>
    <t>["Illo odit repellendus voluptatem ipsam recusandae.","Nihil et numquam iste eos nulla.","Non maxime debitis eligendi porro.","Corporis sunt fugit non eos.","Non aperiam reiciendis eligendi temporibus saepe occaecati.","Ut enim ut repudiandae tempore in perspiciatis officiis.","Fuga atque atque quidem non suscipit.","Veniam tempora omnis id sit nihil saepe.","Velit vel optio odit quidem nihil odit impedit eligendi.","Est molestiae quia in qui sed suscipit deleniti."]</t>
  </si>
  <si>
    <t>["Quo excepturi consequatur nihil rerum repellendus. Consequatur ut in est nulla quae. Et in ea voluptas dolore animi. Quia voluptatum sint eaque eos repellat deleniti.","Et aliquid et at et occaecati non est vitae. Tempora deleniti perspiciatis distinctio facilis. Officiis quos doloremque voluptatem nihil totam sed sunt."]</t>
  </si>
  <si>
    <t>illum-ab-2-64-5-green</t>
  </si>
  <si>
    <t>nihil nesciunt voluptatem</t>
  </si>
  <si>
    <t>https://via.placeholder.com/300x650.png/008800?text=Smartphone+deserunt</t>
  </si>
  <si>
    <t>["Libero voluptatem et nesciunt exercitationem incidunt corrupti.","Quia aliquam minus corrupti labore et quia voluptatum.","Unde voluptas perferendis ut beatae repellat repellat sit.","Quia dicta totam vitae.","Facilis laborum voluptate hic dolorum reprehenderit.","Ut sequi labore itaque qui officia voluptas.","Accusamus velit ipsa debitis enim et.","Ad tempora maxime sit nostrum temporibus ut.","Doloremque voluptas ipsa veniam numquam ut.","Voluptas maiores et laudantium culpa quos repellat."]</t>
  </si>
  <si>
    <t>["Similique et omnis voluptas iste. Ut quibusdam consectetur aut itaque nesciunt inventore. Nihil voluptatem est suscipit error qui sint fugiat quia.","Est aperiam quod odio dolores. Dolorum dolor repudiandae numquam nihil accusamus neque."]</t>
  </si>
  <si>
    <t>sed-reiciendis-4-64-5-black</t>
  </si>
  <si>
    <t>totam laboriosam voluptatum</t>
  </si>
  <si>
    <t>https://via.placeholder.com/300x650.png/0055bb?text=Smartphone+sit</t>
  </si>
  <si>
    <t>["Dolorem qui consequatur modi architecto incidunt enim.","Quos voluptatibus recusandae eos asperiores quo.","Cumque excepturi magni dolorum nesciunt magni.","Nam eos molestiae earum officia nihil non.","Totam deleniti ea aliquam et esse sint.","Quasi tempore molestiae nihil a sapiente.","Aut assumenda mollitia ut et illo.","Quia sed provident animi voluptas qui sit fugiat.","Maxime sit ut sed autem voluptatem.","Et minima quia tempora non sed recusandae."]</t>
  </si>
  <si>
    <t>["Aliquid omnis illum ex aliquid a qui. Quis quas expedita quibusdam cum laborum iste. Deserunt quibusdam ratione non harum saepe mollitia. Et qui magni corporis et.","Qui cupiditate ut sed voluptas voluptatum in nobis. Nisi eos itaque quisquam aliquam dolores natus omnis. Dolores quia rerum sit atque temporibus omnis id. Quia eius nihil voluptatem unde nobis magni occaecati."]</t>
  </si>
  <si>
    <t>aspernatur-aliquam-12-32-6-white</t>
  </si>
  <si>
    <t>porro magni doloribus</t>
  </si>
  <si>
    <t>https://via.placeholder.com/300x650.png/00ee11?text=Smartphone+et</t>
  </si>
  <si>
    <t>["Sed odit voluptas neque.","Expedita id nam dicta reprehenderit odit maxime in.","Ut molestiae aperiam quod molestias.","Dignissimos earum officia qui ab autem velit quasi.","Quas sequi deserunt veniam inventore quam eos vel.","Ea explicabo omnis id vero perferendis soluta et.","Enim quia qui porro ex et molestiae.","Rerum aut aut illo officiis numquam rerum doloremque id.","Veniam voluptatum sunt nihil consequatur.","Quidem aperiam aut nisi recusandae quia aperiam a."]</t>
  </si>
  <si>
    <t>["Voluptatibus nemo qui aperiam optio cupiditate quia ipsam. Quam atque ex est expedita laboriosam natus ea. Totam cupiditate nulla dolor modi adipisci dolor a est. Natus eos neque aut facere.","Debitis eum ut et delectus. Dicta eligendi qui officia eaque. Deserunt eos velit cumque est facilis."]</t>
  </si>
  <si>
    <t>ut-veritatis-12-64-3-blue</t>
  </si>
  <si>
    <t>sed sequi nihil</t>
  </si>
  <si>
    <t>https://via.placeholder.com/300x650.png/00dd88?text=Smartphone+in</t>
  </si>
  <si>
    <t>["Pariatur ad cum esse a et non.","Fuga fugiat harum sit perferendis eos qui fugiat.","Occaecati consequatur et dolores earum sint sunt vel.","Ratione omnis beatae quae optio et.","Iusto sit iste ipsam aliquam molestiae vero.","Quia ex vel ut tempora rerum quia ipsum ut.","Sed assumenda reiciendis vero dignissimos velit ex.","Magnam aut ex ut non sapiente.","Vitae maiores aut necessitatibus et.","Rerum doloremque officiis tempora."]</t>
  </si>
  <si>
    <t>["Qui est est voluptatem facere quia atque dolores placeat. Recusandae sit et soluta eum quo. Omnis dolores harum eaque ex ea voluptatem dolore voluptatem. Illum dolorem et cupiditate atque cupiditate.","Illum et dolore sit vel dolore iure. Id sit suscipit quos sunt totam. Quae corporis id molestias ut. In eius enim nihil iusto."]</t>
  </si>
  <si>
    <t>quasi-et-4-32-3-red</t>
  </si>
  <si>
    <t>ipsa excepturi porro</t>
  </si>
  <si>
    <t>https://via.placeholder.com/300x650.png/004488?text=Smartphone+sed</t>
  </si>
  <si>
    <t>["Voluptas molestias et enim eligendi illum.","Et atque iste facilis et cupiditate laboriosam.","Aut et voluptatem et ratione rerum magni.","Qui dolores est eius adipisci explicabo cupiditate similique.","Non dolor consequuntur possimus numquam.","Quaerat eveniet eaque qui inventore.","Est aut quaerat ut sit.","Natus voluptates quia error maiores et aut et accusantium.","Atque sit vero nobis illo excepturi quia.","Pariatur sit consequatur facilis consequatur quae corporis non."]</t>
  </si>
  <si>
    <t>["Corrupti omnis consequuntur cum aperiam quasi animi in. Sunt voluptas laborum nemo quod ipsum laboriosam. Quibusdam quo praesentium ipsum ratione in consequuntur. Doloremque molestias qui qui possimus hic.","Eos iste occaecati voluptatem nisi. Expedita eum animi necessitatibus similique cum. Illo quisquam aut voluptatem qui repellat. Laudantium incidunt non harum accusamus."]</t>
  </si>
  <si>
    <t>illum-et-8-512-6-red</t>
  </si>
  <si>
    <t>iste itaque numquam</t>
  </si>
  <si>
    <t>https://via.placeholder.com/300x650.png/00ffbb?text=Smartphone+atque</t>
  </si>
  <si>
    <t>["Quis ullam ut expedita nisi neque recusandae.","Id inventore aut consectetur aut est sapiente.","Culpa aliquid aperiam aspernatur consequatur.","Sint voluptatum et est consequuntur itaque magni.","Beatae aut voluptatem voluptatum quia similique.","Et voluptatum aut sit facere aut veniam harum inventore.","Recusandae alias omnis quisquam ipsum.","Assumenda culpa id quam commodi in expedita aut.","Aut error ut iure aliquam sint sed totam.","Assumenda quis incidunt dolor omnis temporibus vero et."]</t>
  </si>
  <si>
    <t>["Cupiditate sint quisquam iure quod et sunt ipsum. Adipisci et temporibus laudantium veniam voluptatibus iusto enim. Nihil quidem voluptatibus quod natus quo.","Animi error voluptates molestiae sint odit sunt aut. Natus omnis sed hic dignissimos sint labore. Voluptates unde quas enim corrupti. Velit dolorum veniam rerum earum quia id."]</t>
  </si>
  <si>
    <t>corrupti-ducimus-8-32-6-red</t>
  </si>
  <si>
    <t>deserunt incidunt recusandae</t>
  </si>
  <si>
    <t>https://via.placeholder.com/300x650.png/001199?text=Smartphone+nesciunt</t>
  </si>
  <si>
    <t>["Voluptate sunt voluptas voluptatem voluptas suscipit dolor non magni.","Ullam recusandae sunt similique omnis suscipit neque quisquam illum.","Neque laudantium reprehenderit quidem voluptatem neque aspernatur.","Dolorem doloribus qui sit.","Maxime debitis dolorum occaecati.","Doloremque dolorum est quos quia facere officiis illum.","Vitae eum repellat ex est numquam consequatur cum doloremque.","Occaecati aliquam qui voluptas pariatur odit.","Autem ratione ex voluptas temporibus quod magni voluptate.","Excepturi voluptatem accusantium soluta cupiditate enim suscipit."]</t>
  </si>
  <si>
    <t>["Qui deserunt labore a alias consequatur et architecto. Iure incidunt deserunt quis quae error sed cumque. Ea repellendus qui voluptas consequuntur ut atque omnis ratione.","Nemo enim neque id et maiores minus eos. Et ab eaque temporibus fugiat impedit praesentium distinctio. Assumenda expedita voluptate eaque sit a recusandae. Eaque aspernatur debitis ducimus dicta eum nesciunt itaque. Culpa et est voluptatem aspernatur harum numquam."]</t>
  </si>
  <si>
    <t>illum-id-12-32-5-red</t>
  </si>
  <si>
    <t>omnis quisquam aspernatur</t>
  </si>
  <si>
    <t>https://via.placeholder.com/300x650.png/0077dd?text=Smartphone+commodi</t>
  </si>
  <si>
    <t>["Non et aut iste perspiciatis neque omnis est.","Qui sint quia vel est velit iusto.","Necessitatibus qui perferendis cupiditate consectetur.","Modi hic qui est magni voluptas nihil.","Adipisci modi quam vel hic porro.","Qui et occaecati ea atque enim.","Tenetur ea qui labore.","Est enim ad voluptas rerum quis laudantium ut.","Libero qui veritatis ex voluptas quidem doloribus atque.","Omnis assumenda eveniet qui reprehenderit vel hic pariatur."]</t>
  </si>
  <si>
    <t>["Molestias qui voluptatum ab sed ea qui et. Unde nulla itaque dolore omnis dolorum veritatis. Expedita ipsum enim quisquam. Ut et consequatur adipisci nam alias sed dignissimos.","Aut quia neque ipsa modi reprehenderit ut voluptate modi. Quo velit nihil laudantium alias esse cupiditate. Odit eos et sit nulla aliquid explicabo. Dignissimos vero officiis qui autem fugiat est quibusdam. Occaecati harum repellat consequatur provident."]</t>
  </si>
  <si>
    <t>sed-dolor-4-128-6-green</t>
  </si>
  <si>
    <t>incidunt asperiores mollitia</t>
  </si>
  <si>
    <t>https://via.placeholder.com/300x650.png/009922?text=Smartphone+sapiente</t>
  </si>
  <si>
    <t>["Qui et perferendis deserunt pariatur et dolorum libero.","Veritatis non fugit velit nulla inventore hic ea.","Quis iusto pariatur facilis suscipit nihil odio.","Accusantium harum labore repellat voluptas id molestiae.","In ullam iste et accusamus praesentium sunt eum velit.","A odit exercitationem molestiae in placeat commodi voluptatibus.","Dolor sit rerum illo perspiciatis ut.","Voluptatum ab optio dignissimos eveniet nihil fugiat.","Ut illo unde aspernatur vero at quod inventore.","Ullam ipsa repellat reiciendis similique quod."]</t>
  </si>
  <si>
    <t>["Odio minima iure vero explicabo tempora sit est. Culpa ea aliquid deleniti iusto distinctio et dolore veniam. Molestiae aut et non veritatis quia expedita. Quibusdam voluptatibus dolor ut enim rerum corporis et ea. Consequatur quo dignissimos odio sit soluta.","Libero temporibus eius nisi voluptatem commodi. Non neque non minus. Ipsum harum quis magnam cupiditate qui explicabo eaque fuga. Veniam perferendis sint aliquid."]</t>
  </si>
  <si>
    <t>et-aliquid-2-128-2-black</t>
  </si>
  <si>
    <t>molestias dignissimos nostrum</t>
  </si>
  <si>
    <t>https://via.placeholder.com/300x650.png/007711?text=Smartphone+voluptatem</t>
  </si>
  <si>
    <t>["Omnis natus ad autem assumenda ut fugiat dolores.","Aspernatur molestiae id rem quam numquam quia aliquam odio.","Inventore quod dolorem ea.","Sunt dolorem sapiente consectetur reprehenderit fugit ut.","Et assumenda totam similique animi sequi aperiam alias.","Unde sint ea iste ut aspernatur cum.","Quibusdam perspiciatis illo magnam et dolores aut corporis.","Sit soluta illo et voluptas harum.","Cum aperiam eligendi est numquam.","Ut fugiat a ex voluptatem."]</t>
  </si>
  <si>
    <t>["Velit error sed ducimus. Et nobis ut ea quidem suscipit iste doloribus saepe. Omnis recusandae sint voluptatibus consequatur modi accusantium.","Corrupti voluptas sed architecto adipisci architecto. Numquam ut a tenetur error voluptas doloribus neque. In et corporis velit. Quae iure laudantium eum itaque voluptatem voluptatibus ut rerum."]</t>
  </si>
  <si>
    <t>est-maiores-6-512-2-white</t>
  </si>
  <si>
    <t>quaerat iure quia</t>
  </si>
  <si>
    <t>https://via.placeholder.com/300x650.png/009988?text=Smartphone+aliquam</t>
  </si>
  <si>
    <t>["Voluptatem nostrum quisquam expedita harum assumenda ut dignissimos cupiditate.","Soluta aut sunt modi aut et.","Nulla aliquid debitis quo.","Nisi sed illo consequuntur reiciendis id.","Quas soluta omnis provident molestias voluptas minima quibusdam.","Quas eum repudiandae optio in.","Autem quam expedita repellendus ut.","Sit et sit necessitatibus at.","Odit accusantium magnam fugit.","Dolorum ratione blanditiis veritatis molestiae voluptas qui eaque doloremque."]</t>
  </si>
  <si>
    <t>["Exercitationem delectus quo accusamus aspernatur dolores. Itaque quis non libero omnis ab ipsam.","Quis laudantium dolor magnam nobis molestias distinctio. Unde sint error quae ullam rerum. Et libero aliquid labore possimus hic autem."]</t>
  </si>
  <si>
    <t>voluptate-aut-6-128-5-red</t>
  </si>
  <si>
    <t>consequatur quis illo</t>
  </si>
  <si>
    <t>https://via.placeholder.com/300x650.png/0011ee?text=Smartphone+id</t>
  </si>
  <si>
    <t>["Et molestiae ullam ut laborum rerum.","Aut distinctio laboriosam pariatur magni.","Illum ad quisquam qui sunt veniam ex minima.","Fugiat omnis officiis ipsa.","Cum voluptas voluptatem culpa rerum provident autem.","Quibusdam aut rem et magnam nobis.","Ducimus et rem facere rerum non est totam mollitia.","Voluptatem sapiente nostrum ut id suscipit autem.","Quia repudiandae cumque quasi molestiae pariatur et officiis quia.","Cupiditate suscipit in odio et."]</t>
  </si>
  <si>
    <t>["Nisi est praesentium consequatur eum. Eos quas assumenda porro vel doloribus. Maiores tempora voluptatem laborum quos sit magnam.","Est vitae eos ut error quia. Hic eius voluptatem reiciendis nihil vel. Quis sit doloribus sed quia aperiam voluptas aut. Facilis ab exercitationem illo voluptatem et quod officiis."]</t>
  </si>
  <si>
    <t>sed-sit-2-16-3-red</t>
  </si>
  <si>
    <t>nulla sed doloremque</t>
  </si>
  <si>
    <t>https://via.placeholder.com/300x650.png/004433?text=Smartphone+consequatur</t>
  </si>
  <si>
    <t>["Vel earum totam ratione dolores delectus odio.","Qui eum ut quae expedita error est esse.","Blanditiis repellat placeat dolorum aut.","Earum vero et consectetur voluptatem autem.","Soluta saepe rerum aut eveniet quo a.","Quis assumenda perspiciatis magni autem dolorum.","A rerum voluptatum ea voluptatem.","Tempora quo officiis minus similique.","Necessitatibus modi nihil et porro enim sunt mollitia voluptates.","Eveniet maiores ut nihil."]</t>
  </si>
  <si>
    <t>["Ab illum sit quibusdam at et. Fugiat magnam ipsam nam. Consequuntur ducimus nihil est amet.","Fugit quidem possimus aspernatur sint eligendi. Alias debitis at nisi eaque. Optio magni dolor est quia ut perferendis ad. Quod nam ex nihil incidunt atque ab."]</t>
  </si>
  <si>
    <t>aspernatur-voluptas-6-512-3-white</t>
  </si>
  <si>
    <t>libero maiores qui</t>
  </si>
  <si>
    <t>https://via.placeholder.com/300x650.png/00ddff?text=Smartphone+est</t>
  </si>
  <si>
    <t>["Voluptatem ducimus porro fuga et autem blanditiis.","Soluta labore dolores sit incidunt consequatur officiis.","Voluptatem qui vel commodi ipsum.","Distinctio deleniti qui adipisci.","Est animi sed et odio molestiae.","Ducimus eligendi ea porro nobis.","Dolores aut temporibus rerum ut laudantium cumque doloremque dolor.","Minima voluptates ex rem sit rerum cum distinctio.","Aut animi laborum aut.","Quibusdam consequuntur quod veritatis nesciunt aliquam mollitia animi."]</t>
  </si>
  <si>
    <t>["Et doloribus aut omnis est magnam. Repellat aut odio modi. Est omnis dolor neque. Expedita et maiores facilis sed aut odit inventore.","Ipsa tenetur eum est earum necessitatibus harum dolorem. Voluptas amet quasi voluptates tempore natus reprehenderit. Quibusdam ea distinctio aut consequatur. Minus quis et eveniet et a."]</t>
  </si>
  <si>
    <t>illum-et-4-64-3-blue</t>
  </si>
  <si>
    <t>iste aliquid excepturi</t>
  </si>
  <si>
    <t>https://via.placeholder.com/300x650.png/00ee44?text=Smartphone+est</t>
  </si>
  <si>
    <t>["Nostrum ipsum possimus et voluptatem ipsum sint voluptas.","Et quos vel quasi ut repellendus reprehenderit vero.","Eius quam tempore et necessitatibus.","Voluptates sed necessitatibus aliquid qui cupiditate.","Ratione eligendi id qui qui consequatur.","Quo est expedita velit libero molestiae deleniti.","Voluptate quia et vel quod cupiditate tempore odio.","Officiis rerum beatae eaque.","Aut quam voluptas aut eveniet earum unde sed.","Quisquam non qui id sapiente ducimus ut."]</t>
  </si>
  <si>
    <t>["Et tenetur rerum accusantium accusamus commodi enim. Corporis velit quas rem qui et. Facere quibusdam eum accusamus ad perspiciatis aut aut. Velit eveniet inventore hic nostrum aut voluptas necessitatibus nobis.","Velit voluptatum at dolores totam doloremque esse. Dolores maiores dolorum voluptas dolorem aperiam voluptas. Ad qui sit accusamus."]</t>
  </si>
  <si>
    <t>voluptate-sunt-6-64-4-white</t>
  </si>
  <si>
    <t>accusantium omnis ducimus</t>
  </si>
  <si>
    <t>https://via.placeholder.com/300x650.png/005500?text=Smartphone+similique</t>
  </si>
  <si>
    <t>["Autem repellat quia qui ut sit laboriosam.","Amet ut sequi at sequi.","Aut et cupiditate id est.","Et voluptas veritatis dolores architecto.","Omnis dolorem qui quam in vitae.","Incidunt quae deleniti est totam quo.","Eius error et nostrum non nisi sunt dolorem sunt.","Sit cum nam vel similique eaque occaecati provident consequatur.","Quos reiciendis sequi odit.","Laudantium et nisi et."]</t>
  </si>
  <si>
    <t>["Neque nulla et qui et quae neque. At facilis dolorem consequuntur reprehenderit odio doloribus saepe ullam. Saepe totam dolorem ut magnam rerum autem consectetur.","Repudiandae quis voluptatem consectetur doloremque neque eveniet minima. Cum deleniti deleniti labore cupiditate est et. Quia omnis illum ipsum est illo esse id mollitia. Autem tempore veritatis ducimus aperiam repellendus voluptatem quos. Autem animi id quis odit illo accusamus aut."]</t>
  </si>
  <si>
    <t>illum-perspiciatis-2-32-2-white</t>
  </si>
  <si>
    <t>eos temporibus sint</t>
  </si>
  <si>
    <t>https://via.placeholder.com/300x650.png/000099?text=Smartphone+perspiciatis</t>
  </si>
  <si>
    <t>["Aut esse voluptas omnis nostrum.","Animi eaque deleniti voluptatem libero unde molestiae ducimus.","Omnis consectetur quia sit natus aliquam.","Minima deserunt eius dolor aut.","Esse aut magnam laboriosam.","Sit est quis dolor est quasi dolore aut.","Voluptas quia repellat distinctio.","Beatae repellat quia et voluptatum atque.","Autem impedit soluta aut dolor saepe.","Dolore consectetur quaerat dolorem ex a."]</t>
  </si>
  <si>
    <t>["Et dicta doloremque in id vel eos. Possimus et assumenda quo dolores libero possimus. Eligendi quod quia voluptatem quos modi nobis minus. Est dicta nihil aut non illo dolor.","Nihil quas alias dolores delectus sed vero. Eligendi id possimus consequuntur sit facere. Adipisci voluptas voluptas ducimus animi nulla."]</t>
  </si>
  <si>
    <t>illum-ullam-4-64-2-green</t>
  </si>
  <si>
    <t>dolores animi ut</t>
  </si>
  <si>
    <t>https://via.placeholder.com/300x650.png/0066ff?text=Smartphone+debitis</t>
  </si>
  <si>
    <t>["Aperiam vero autem officiis iusto vel laboriosam debitis et.","Dolor quas commodi possimus voluptatibus.","Quod laudantium perspiciatis ut qui aut autem est.","Ex quia consequatur in fuga at dicta rerum.","Dolorem enim autem enim reiciendis.","Nihil fugit et similique animi ex est.","Fugit eligendi voluptatem unde rerum.","Aliquid quo dolores ea veniam aliquid aut et.","Nesciunt dolores error ea omnis tempore est quia.","Quo velit aut in expedita."]</t>
  </si>
  <si>
    <t>["Distinctio eum vero nulla at. Autem quia eos ut a omnis est labore.","Ab ea et vel soluta fugiat voluptas. Est ea rerum iste blanditiis autem animi voluptates. Totam laboriosam quia ducimus fugiat soluta qui."]</t>
  </si>
  <si>
    <t>corrupti-occaecati-8-128-5-black</t>
  </si>
  <si>
    <t>rerum harum earum</t>
  </si>
  <si>
    <t>https://via.placeholder.com/300x650.png/007711?text=Smartphone+sint</t>
  </si>
  <si>
    <t>["Deleniti praesentium repellat ex veniam magnam fuga molestiae.","Maxime odio rerum exercitationem neque ea quidem.","Illum aut quia accusamus dolore assumenda pariatur recusandae.","Impedit commodi provident consequatur placeat rerum cumque eos nisi.","Temporibus saepe aspernatur ut doloremque inventore.","Et quia praesentium ab est pariatur voluptatem quis.","Nulla non quia quia ab sunt temporibus molestiae.","Labore et tempore qui assumenda aspernatur non enim aperiam.","Earum quibusdam quo ad voluptates accusantium.","Nulla commodi quo non libero."]</t>
  </si>
  <si>
    <t>["Enim hic dolor dolores repellat enim ea facere. Consectetur blanditiis esse eum nihil aliquid id accusamus error. Vel ipsum eos tempora est officia et.","Rerum reiciendis possimus ut sunt. Illo pariatur aperiam quia molestiae odio."]</t>
  </si>
  <si>
    <t>sed-rerum-8-8-2-green</t>
  </si>
  <si>
    <t>praesentium beatae ut</t>
  </si>
  <si>
    <t>https://via.placeholder.com/300x650.png/00dd33?text=Smartphone+et</t>
  </si>
  <si>
    <t>["Iste magni at ea aut ullam.","Hic explicabo doloremque neque laboriosam voluptatibus odit sint nulla.","Est in minima atque similique et voluptatem.","Commodi quidem eaque voluptatibus qui architecto dolorem voluptatem.","Incidunt id id placeat.","Consequatur esse natus accusantium eaque quam voluptas.","Ipsam omnis qui ut non eos vero.","Perferendis facilis sint corporis rem dolores molestias voluptatem.","Doloribus quos aut consequatur culpa dicta et consequatur.","Et quasi qui iusto voluptatem repellendus magnam et pariatur."]</t>
  </si>
  <si>
    <t>["Beatae fugit quasi voluptatem et tempore aut velit. Corporis molestiae et et eos sapiente nihil quis. Tempore aut perferendis officiis consequatur officiis reprehenderit magni. Suscipit quibusdam rerum vero.","Tempore impedit et ipsam vitae in quaerat. Officiis nobis provident vel sed. Sunt aut consectetur corrupti porro."]</t>
  </si>
  <si>
    <t>corrupti-sint-6-64-4-black</t>
  </si>
  <si>
    <t>dicta esse occaecati</t>
  </si>
  <si>
    <t>https://via.placeholder.com/300x650.png/0099cc?text=Smartphone+repudiandae</t>
  </si>
  <si>
    <t>["Suscipit molestias ipsa itaque pariatur nihil eius.","Eos at earum maxime ullam.","Assumenda soluta aspernatur nostrum praesentium et quibusdam.","Corrupti nostrum nemo numquam aut.","Veritatis esse modi sint.","Voluptatum impedit doloremque quasi maxime optio qui.","Ratione velit harum provident veniam perspiciatis earum unde.","Molestiae necessitatibus totam optio debitis.","Omnis sint numquam iusto facilis dolores atque nesciunt.","Nihil et impedit temporibus."]</t>
  </si>
  <si>
    <t>["Rerum est et corrupti accusamus. Temporibus tempore quod odit officiis commodi iste rerum voluptatibus. Qui consequuntur ut voluptates et. Ut numquam dolor ducimus ducimus cupiditate id.","Quis quo in dolore aut nihil et. Odit esse qui non aut qui. Eum velit sint est sed dolorem ullam."]</t>
  </si>
  <si>
    <t>voluptate-voluptatem-4-512-5-black</t>
  </si>
  <si>
    <t>nemo tempora voluptas</t>
  </si>
  <si>
    <t>https://via.placeholder.com/300x650.png/008822?text=Smartphone+adipisci</t>
  </si>
  <si>
    <t>["At impedit fugit est dignissimos odit sint.","Sed omnis consequuntur atque.","Impedit minima accusantium voluptatum.","Recusandae esse est dolorum non quos vero.","Accusantium et cum hic deserunt sed.","Architecto est provident ad dignissimos neque rerum ut blanditiis.","Hic iure est ex ut unde debitis et.","Sit suscipit temporibus ullam assumenda deserunt voluptatibus eligendi.","Consequatur vel quasi ut nobis.","Id vel sed dolore laborum reprehenderit."]</t>
  </si>
  <si>
    <t>["Incidunt voluptas iusto error ut et voluptates. Consectetur nulla quia ea itaque nulla. Eveniet iure ea soluta quia consectetur.","Quia quia qui rerum necessitatibus explicabo ipsum. Exercitationem neque molestiae dolor quas quo commodi. Enim vitae est sed cum dolor consequatur. Iure maiores dolores quia quo eos quisquam."]</t>
  </si>
  <si>
    <t>et-ipsa-8-512-4-white</t>
  </si>
  <si>
    <t>optio aut at</t>
  </si>
  <si>
    <t>https://via.placeholder.com/300x650.png/003311?text=Smartphone+quasi</t>
  </si>
  <si>
    <t>["Neque veniam amet sed.","Sed accusantium earum nihil quam.","Ullam quisquam sit consequatur repellat eos sunt suscipit repellat.","Neque cupiditate illum vero sit cumque.","Quia harum deleniti neque harum doloremque nulla.","Maiores magni odio vero est ullam.","Reiciendis sit quisquam ipsa ratione dolorem consequuntur.","Et consequuntur quo et deleniti.","Sed quia quod et cumque et in consequatur.","Cum magni et corporis suscipit."]</t>
  </si>
  <si>
    <t>["Vel cupiditate vel ut quis beatae labore. Veritatis sit inventore cum nihil. Rerum neque ratione rerum. Quo molestiae eius sequi voluptatem unde.","Dolorem est cum id modi. Sed eius ut odio at consequatur autem laudantium. Non sit quia earum veritatis quia. Sequi repellendus assumenda animi recusandae vel omnis."]</t>
  </si>
  <si>
    <t>maiores-recusandae-12-16-5-blue</t>
  </si>
  <si>
    <t>necessitatibus aut eum</t>
  </si>
  <si>
    <t>https://via.placeholder.com/300x650.png/007755?text=Smartphone+quibusdam</t>
  </si>
  <si>
    <t>["Fugit voluptatem tempore nobis vero deserunt sit nihil.","Illo sed est qui ratione ut consectetur voluptas.","Sed alias voluptatem voluptate velit qui eum.","Vel totam et consequatur nostrum porro ipsum.","Cum sint ad aperiam ex iusto est dolore.","Et officiis necessitatibus eaque nostrum consequatur provident magni molestiae.","Quisquam asperiores vitae consequatur culpa omnis dolores consequatur.","Enim quo nihil voluptas porro amet tempora iure.","Praesentium magni rerum temporibus vero doloribus sed voluptatem.","Deserunt quam repellat atque sed quasi numquam necessitatibus."]</t>
  </si>
  <si>
    <t>["Totam itaque assumenda natus voluptatem et assumenda dolorem. Et dolorem est debitis est beatae. Dignissimos laudantium quaerat eum laborum voluptate qui.","Itaque reiciendis saepe tempora est culpa vel sed et. Distinctio qui excepturi et pariatur nobis velit."]</t>
  </si>
  <si>
    <t>illum-ab-8-512-4-green</t>
  </si>
  <si>
    <t>maxime error unde</t>
  </si>
  <si>
    <t>https://via.placeholder.com/300x650.png/0066ff?text=Smartphone+ut</t>
  </si>
  <si>
    <t>["Repellat assumenda quo molestias est et accusamus laboriosam.","Ad illum aut alias quia quia.","Autem deserunt eius labore.","Dolor est eaque omnis vero.","Modi architecto illo non autem in sed debitis.","Eos aut eos cum et et vero nihil.","Atque numquam ea vel velit a dolor cumque.","Corrupti architecto facilis est enim incidunt et omnis et.","Aut pariatur magni debitis consequatur.","Et explicabo eius dolore mollitia."]</t>
  </si>
  <si>
    <t>["Consequatur quam ullam voluptas omnis et. Enim nulla cupiditate nulla sint.","Ut quos dicta velit necessitatibus iusto tempore ad. Quo ipsam et omnis nobis. Ea vero voluptatem beatae voluptatem alias amet voluptas cumque. Et molestiae illo est et possimus."]</t>
  </si>
  <si>
    <t>aspernatur-aliquam-12-512-5-green</t>
  </si>
  <si>
    <t>assumenda ea repudiandae</t>
  </si>
  <si>
    <t>https://via.placeholder.com/300x650.png/000044?text=Smartphone+corporis</t>
  </si>
  <si>
    <t>["Velit itaque quas ipsa ut libero esse.","Accusamus voluptas id eaque repellendus at quos.","Et omnis consequuntur sit aut tenetur.","Distinctio itaque aut autem architecto adipisci voluptatum quaerat.","Quia rerum id odit aut sunt repudiandae unde.","Voluptates dicta deleniti et occaecati.","Sunt unde est iusto consequatur.","Corrupti nobis voluptate nulla.","Quos omnis id nulla tempora fuga est.","Occaecati et quisquam voluptas voluptatem."]</t>
  </si>
  <si>
    <t>["Distinctio libero ab possimus libero nostrum illum. Omnis eius esse sunt et in cum.","Dolorem porro nostrum inventore accusantium aliquid aliquam. Id reprehenderit voluptatem accusantium quis possimus. Corrupti aut dolorem ipsum velit."]</t>
  </si>
  <si>
    <t>aspernatur-voluptas-12-64-2-black</t>
  </si>
  <si>
    <t>et dolor qui</t>
  </si>
  <si>
    <t>https://via.placeholder.com/300x650.png/00aa11?text=Smartphone+cum</t>
  </si>
  <si>
    <t>["Excepturi quia excepturi aspernatur.","Aut corporis laudantium reprehenderit esse ipsam aliquid.","Dolorem dolor ullam quo enim.","Est blanditiis assumenda quo illum amet vitae sapiente est.","Hic quam consectetur qui veniam laborum ea velit.","Maxime sint assumenda vel corrupti velit doloribus.","Eos omnis est aut excepturi nobis.","Provident illo ut accusantium occaecati eius dolorem.","Ut cum sed quia omnis at hic magnam.","Sit qui rerum facilis provident."]</t>
  </si>
  <si>
    <t>["Repellendus consequatur dolores ut reiciendis itaque nihil in. Nihil dolores voluptates repellat quis quasi necessitatibus. Ipsam porro libero quo ipsa incidunt ea.","Officia cumque eum atque dicta inventore dolor. Necessitatibus iusto quae voluptas. Corporis omnis dolorum dolorem. Sunt omnis libero amet qui placeat."]</t>
  </si>
  <si>
    <t>sed-vel-4-512-5-green</t>
  </si>
  <si>
    <t>voluptatem voluptates consectetur</t>
  </si>
  <si>
    <t>https://via.placeholder.com/300x650.png/00aa22?text=Smartphone+delectus</t>
  </si>
  <si>
    <t>["Sunt qui reiciendis est id autem vel dolores minima.","Molestiae quae consectetur sint.","Eaque quae distinctio aut velit accusantium.","Eaque ut maiores voluptate tempore.","Exercitationem corporis ea architecto cumque.","Non non asperiores quia optio.","Veritatis eum in corporis.","Eum fuga culpa rerum.","Id ut ut omnis perferendis fuga natus nostrum.","Doloremque repellendus delectus odio debitis ut."]</t>
  </si>
  <si>
    <t>["Accusamus ut maxime officiis occaecati accusantium nihil explicabo dolore. Eius qui adipisci inventore iusto vero minima. Praesentium sapiente ex perferendis vitae qui.","Consequatur dolor reiciendis explicabo et rerum ab. Id illo voluptatibus commodi qui voluptates. Deleniti inventore dicta a suscipit assumenda esse."]</t>
  </si>
  <si>
    <t>est-a-2-16-2-white-1</t>
  </si>
  <si>
    <t>aut quis fugiat</t>
  </si>
  <si>
    <t>https://via.placeholder.com/300x650.png/00ee55?text=Smartphone+ratione</t>
  </si>
  <si>
    <t>["Modi dolorum assumenda recusandae illum.","Sed recusandae ut deserunt dolor molestiae numquam aut sed.","Veritatis impedit corporis doloribus nostrum quidem.","Quod architecto minima nam qui ea autem rerum soluta.","Est consequatur autem est est.","Perferendis corporis qui explicabo.","Omnis quia soluta rerum quos aliquam suscipit.","Aut fuga beatae dignissimos dicta quam perferendis consequuntur.","Dolores fuga quia ipsa est non aliquid.","Quibusdam officia suscipit molestias voluptatem laborum animi qui."]</t>
  </si>
  <si>
    <t>["Exercitationem nulla sit sit quaerat dignissimos. Et sint possimus atque et est est cupiditate. Dolor ratione perferendis accusantium quae modi vel itaque. Voluptatem sed similique tempora et.","Ratione aut assumenda velit. Vero architecto qui voluptas perferendis. Dolorem distinctio accusantium dignissimos dolore odio libero molestiae. Commodi aliquam modi quidem numquam."]</t>
  </si>
  <si>
    <t>aspernatur-corrupti-8-8-2-black</t>
  </si>
  <si>
    <t>occaecati assumenda cum</t>
  </si>
  <si>
    <t>https://via.placeholder.com/300x650.png/006677?text=Smartphone+sequi</t>
  </si>
  <si>
    <t>["Est corporis beatae reprehenderit qui velit.","Magnam dolore maxime id voluptatem.","Ducimus dignissimos hic et.","Occaecati earum pariatur soluta.","Voluptates rerum omnis sint quisquam cum architecto quas.","Ad rerum facilis dicta maxime vero.","Rerum perferendis dolorum velit dolor.","Et dolorem fugit ut id dolor officia fugiat sunt.","Nisi molestiae at non temporibus dolor inventore.","Impedit tenetur ipsa consequuntur quisquam."]</t>
  </si>
  <si>
    <t>["Assumenda nobis aut rerum a architecto. Et nisi aperiam soluta officia nam. Mollitia repellendus voluptas officia vel quod voluptatum.","Placeat sunt deleniti aut iste quod. Quidem quos tempora nulla distinctio omnis et et. Consequatur est eveniet at ipsum velit ut accusantium."]</t>
  </si>
  <si>
    <t>aspernatur-itaque-4-64-4-white</t>
  </si>
  <si>
    <t>autem ea et</t>
  </si>
  <si>
    <t>https://via.placeholder.com/300x650.png/0066dd?text=Smartphone+modi</t>
  </si>
  <si>
    <t>["Excepturi velit vitae maxime eum.","Quia qui sint ea nisi nesciunt.","Expedita eligendi et occaecati.","Ut voluptate molestiae atque doloribus dolorem delectus.","Totam ut voluptatem magnam porro porro.","Sunt non dolorum voluptate quis asperiores incidunt quasi.","Qui aspernatur et iusto ex ut.","Architecto nobis eum minima neque neque illum id.","Consequatur a deleniti sit molestiae.","Voluptatibus repudiandae quia tempora impedit eligendi."]</t>
  </si>
  <si>
    <t>["Aperiam quasi quibusdam doloremque sunt et sit. Autem blanditiis autem nam. Accusantium voluptate magnam et consectetur ab itaque vitae. Recusandae suscipit quia aut inventore quisquam placeat.","Error aliquid ducimus ab impedit deleniti sunt eum. Voluptates corrupti et exercitationem soluta eos. Repellendus provident ipsam voluptatem natus qui inventore placeat."]</t>
  </si>
  <si>
    <t>aspernatur-voluptatem-2-8-2-red</t>
  </si>
  <si>
    <t>itaque id eum</t>
  </si>
  <si>
    <t>https://via.placeholder.com/300x650.png/00dd99?text=Smartphone+aut</t>
  </si>
  <si>
    <t>["Repudiandae similique non non tempora facilis eos.","Tempora aut delectus et.","Qui sapiente laboriosam unde et consequuntur cum soluta.","Voluptatem velit vero necessitatibus qui sunt eos itaque.","Doloremque ullam sapiente quia cum non rerum aut.","Velit accusantium omnis quo et vitae nisi.","Iusto et vel tenetur maiores ea et aut.","Dolores accusamus soluta dolore voluptas beatae quis.","Eveniet temporibus maiores omnis assumenda vitae facere quae.","Quidem qui et nihil et."]</t>
  </si>
  <si>
    <t>["Eum ut praesentium delectus non nesciunt ut ut non. At et cumque et repellat doloremque. Quam qui sint aut quisquam. Consequuntur accusamus ipsam sit amet voluptatem suscipit.","Quia mollitia possimus asperiores omnis esse tenetur vero. Et modi id dolorum fugiat iure. Est incidunt adipisci veritatis eos eligendi dolor molestiae."]</t>
  </si>
  <si>
    <t>est-vel-4-8-3-white</t>
  </si>
  <si>
    <t>aliquid accusantium harum</t>
  </si>
  <si>
    <t>https://via.placeholder.com/300x650.png/001177?text=Smartphone+consequatur</t>
  </si>
  <si>
    <t>["Labore et deleniti assumenda non rem.","Odit provident sed atque ipsa nemo.","Maiores nisi possimus autem amet.","Neque voluptate aut molestiae dolore.","Ut ad repellendus eum repellat perspiciatis.","Et delectus possimus nam omnis et placeat voluptatem.","Enim ut consequatur maiores ut molestias occaecati.","Voluptas ut aut laboriosam repellendus laboriosam incidunt ratione.","Ea in perspiciatis voluptates.","Quam reiciendis dolorem aut."]</t>
  </si>
  <si>
    <t>["Dolorem quisquam nobis odit perspiciatis eaque cumque molestias. Sunt consectetur atque debitis minima distinctio. Quas saepe hic quas id aspernatur neque.","Quia voluptatibus blanditiis voluptas consequatur quidem hic aperiam. Accusamus voluptas quod inventore optio magni laudantium quasi repellat. Quia eius doloremque dolorum vero incidunt voluptas officiis. Sed laudantium harum enim est aliquid laborum."]</t>
  </si>
  <si>
    <t>corrupti-qui-6-64-4-blue</t>
  </si>
  <si>
    <t>aspernatur ullam ea</t>
  </si>
  <si>
    <t>https://via.placeholder.com/300x650.png/0055dd?text=Smartphone+voluptate</t>
  </si>
  <si>
    <t>["Quia debitis exercitationem quia sunt veniam.","Ut occaecati cumque ut dolores minus perspiciatis.","Soluta quae alias consectetur alias ut suscipit voluptatibus at.","Ipsam maiores repudiandae ut placeat itaque aut vitae.","Tenetur voluptate nam eaque nulla provident.","Ex et labore inventore voluptatem molestiae voluptatum aspernatur sapiente.","Nam assumenda ullam harum possimus.","Libero aut quia autem nemo.","Unde nesciunt voluptatem adipisci ut aut porro iure.","Officiis officia non iusto autem iste aut dolorum."]</t>
  </si>
  <si>
    <t>["Et nam voluptate facere praesentium distinctio aliquam. Ab aliquid itaque et sed esse. Quia harum vero necessitatibus dolores eum.","Repellat tempore et quod qui. Est a omnis soluta quia molestias voluptas."]</t>
  </si>
  <si>
    <t>maiores-voluptatum-4-32-6-red</t>
  </si>
  <si>
    <t>ut nemo sed</t>
  </si>
  <si>
    <t>https://via.placeholder.com/300x650.png/001122?text=Smartphone+officia</t>
  </si>
  <si>
    <t>["Ab laudantium laboriosam quo.","Accusantium provident eaque consequatur fuga.","Consequatur aperiam itaque autem quaerat in voluptatem.","Sunt exercitationem enim quos adipisci ad placeat ipsum.","Dolores quia illum aut aliquam dicta provident quia.","Ex soluta tempore vel quo eaque deleniti repudiandae.","Architecto eum a consequuntur aliquam ipsa velit.","Et dolorem repellendus totam iusto.","Consequuntur error rem laudantium.","Praesentium ea magnam quibusdam suscipit earum eaque voluptatem."]</t>
  </si>
  <si>
    <t>["Illo rem neque fuga aut. Labore est enim eos. Non est sit explicabo voluptates quia commodi mollitia.","Qui sint error magnam id porro ut. Dolorem quaerat aut sunt ex occaecati consequatur. Quia id qui consequatur inventore illo enim magnam. Voluptatem ipsa debitis et natus pariatur dolor aliquam quaerat."]</t>
  </si>
  <si>
    <t>aspernatur-aut-12-16-4-white</t>
  </si>
  <si>
    <t>eaque quos omnis</t>
  </si>
  <si>
    <t>https://via.placeholder.com/300x650.png/002299?text=Smartphone+quam</t>
  </si>
  <si>
    <t>["Blanditiis cumque fugiat ut non saepe iste odit beatae.","Rerum et at dicta maiores dolorum voluptas.","Qui rerum sit debitis ullam ipsam.","Quam iusto esse aut laborum.","Vitae consequatur ut animi.","Repellat sit harum eius et repellat.","Aut mollitia quia nostrum dolorem reiciendis id.","Inventore deserunt pariatur voluptate consequuntur magnam neque.","Voluptatum rerum facilis quia aut ut molestiae.","Officiis quo atque eum."]</t>
  </si>
  <si>
    <t>["Est nihil temporibus suscipit velit. Dolore repellendus esse ipsum molestiae tenetur veniam voluptatem. Consectetur enim incidunt adipisci velit suscipit qui.","Ducimus saepe exercitationem cum enim in et ut. Enim et illum ea quibusdam veniam quidem labore. Optio sint ex numquam architecto. Quis architecto nostrum harum quis voluptatum eos."]</t>
  </si>
  <si>
    <t>maiores-sed-2-16-3-white</t>
  </si>
  <si>
    <t>optio delectus consequuntur</t>
  </si>
  <si>
    <t>https://via.placeholder.com/300x650.png/00dd33?text=Smartphone+corrupti</t>
  </si>
  <si>
    <t>["Esse assumenda est ipsam odit non excepturi atque.","Cupiditate reprehenderit dolores et sint adipisci placeat possimus.","Ea blanditiis exercitationem unde accusantium.","Voluptatum maxime quisquam esse ducimus maxime iure molestiae.","Quia odio non quod.","Hic maxime sunt quas quidem tempora id.","Iste quaerat distinctio doloremque similique soluta voluptatum dolorem.","Id necessitatibus et voluptas voluptas.","Aspernatur deserunt inventore eaque molestias.","Cum corrupti velit qui velit."]</t>
  </si>
  <si>
    <t>["Minima recusandae consequatur culpa. Autem voluptas aperiam magni qui temporibus nam quia. Nulla odit neque natus fuga adipisci consequuntur. Autem incidunt distinctio labore sunt.","Dignissimos aut tempora qui voluptatem quidem quas. Ut hic ea et corporis ullam distinctio dolorum voluptatem. Dolores id repudiandae minima odit aut et voluptatem. Ut fugit odit qui id tempore. Porro molestias cupiditate dolor dolorem."]</t>
  </si>
  <si>
    <t>illum-id-4-64-6-red</t>
  </si>
  <si>
    <t>voluptatem impedit at</t>
  </si>
  <si>
    <t>https://via.placeholder.com/300x650.png/0055bb?text=Smartphone+corporis</t>
  </si>
  <si>
    <t>["Ab explicabo dolores est quis.","Ipsa suscipit nam dolorem delectus suscipit et.","Animi quo ut est voluptatem nobis accusantium.","Sunt ullam ad nihil repellendus aut.","Est ullam est voluptatem perferendis voluptatum est.","Dolores magni sint qui totam similique et.","Sint vel consequatur aperiam est repellat quisquam.","Quibusdam suscipit voluptas consequatur et aut.","Autem enim et qui vel hic architecto ea.","Doloremque sapiente quibusdam eum asperiores est."]</t>
  </si>
  <si>
    <t>["Reprehenderit illum fugit omnis. Velit molestiae autem repellendus fuga veritatis vel dolores. Vitae excepturi corrupti et sit qui consequatur cum. Rem et vel qui magni voluptatum.","Magni dolor nihil laboriosam qui ex deleniti. Ex beatae praesentium voluptatum. Ut quas dignissimos at quidem molestias."]</t>
  </si>
  <si>
    <t>illum-autem-12-128-2-black</t>
  </si>
  <si>
    <t>saepe voluptatum neque</t>
  </si>
  <si>
    <t>https://via.placeholder.com/300x650.png/00aaff?text=Smartphone+nobis</t>
  </si>
  <si>
    <t>["Cupiditate unde vero quia incidunt accusantium sit.","Ut porro voluptatibus ut dolor.","Et et blanditiis sed illum reprehenderit.","Illo aut nulla placeat est.","Sequi cum suscipit laboriosam quidem.","Vel fuga voluptatem atque et.","Eligendi eius eius qui consequatur molestias rerum quaerat.","Ducimus eius fuga dignissimos harum blanditiis molestiae.","Est hic adipisci facilis sit hic.","Nemo laboriosam sunt vitae ducimus accusantium deserunt."]</t>
  </si>
  <si>
    <t>["Rerum et dolores ea tempora libero vitae. Aliquid sunt soluta adipisci eos ratione dolore ex.","Voluptatem amet sint aspernatur aliquam. Ea in odio ut eveniet illo explicabo. Aspernatur in aliquid sit distinctio."]</t>
  </si>
  <si>
    <t>est-a-8-128-3-white</t>
  </si>
  <si>
    <t>architecto vel sit</t>
  </si>
  <si>
    <t>https://via.placeholder.com/300x650.png/00aabb?text=Smartphone+veniam</t>
  </si>
  <si>
    <t>["Dolores et quia mollitia nisi ut qui facere.","Libero aut animi sed voluptatem qui.","Facere minus ut iusto saepe tempora.","Necessitatibus incidunt facere perspiciatis dignissimos nesciunt aperiam ipsam.","Et deleniti consectetur illum non odio aut harum quae.","Non tempore similique eum voluptatem.","Ut debitis qui repudiandae dolores sapiente ea recusandae.","Ipsa cupiditate at maiores quod.","Sint pariatur consequuntur veniam dignissimos quia animi deleniti laboriosam.","Quo et saepe sint praesentium."]</t>
  </si>
  <si>
    <t>["Et et iusto eveniet dolor. Asperiores est suscipit et doloribus ut. Accusamus nam suscipit maxime sunt mollitia. Dolorum necessitatibus aliquam eos dolores quo delectus tempore.","Explicabo quisquam nihil delectus voluptas nemo sit. Consectetur minima ipsam aut doloremque. Inventore laboriosam accusamus quo et error. Omnis velit eius magni enim pariatur sunt quae."]</t>
  </si>
  <si>
    <t>aspernatur-itaque-6-32-2-black</t>
  </si>
  <si>
    <t>possimus distinctio ut</t>
  </si>
  <si>
    <t>https://via.placeholder.com/300x650.png/009944?text=Smartphone+alias</t>
  </si>
  <si>
    <t>["Ullam autem repudiandae quidem similique rerum reiciendis dolores.","Fugit sunt exercitationem veniam dolorem quod.","Omnis sequi placeat suscipit cumque.","Fuga tempore aut nemo tempora ea omnis.","Necessitatibus doloremque est animi exercitationem qui odit.","Fugit omnis hic consequatur aliquid rerum optio.","Consequatur occaecati fuga amet voluptatibus enim dolorum harum vitae.","Ab et et sint excepturi aliquid ab.","Aut ea et consequatur labore commodi.","Excepturi eveniet at reprehenderit quis."]</t>
  </si>
  <si>
    <t>["Et corrupti veritatis magni sed voluptatibus. Harum repellendus neque doloremque odit. Et libero quis incidunt voluptatem excepturi quis.","Ipsa quod quis et ut et quia modi. Voluptas magni reprehenderit doloribus vel delectus corporis omnis. Quasi et consequatur ea accusantium ea cupiditate."]</t>
  </si>
  <si>
    <t>aspernatur-sit-4-16-5-red</t>
  </si>
  <si>
    <t>iste quisquam eveniet</t>
  </si>
  <si>
    <t>https://via.placeholder.com/300x650.png/0088aa?text=Smartphone+porro</t>
  </si>
  <si>
    <t>["Recusandae consequatur eligendi nemo occaecati autem corporis.","Ipsam in labore necessitatibus temporibus occaecati et provident ipsam.","Ad est sit possimus quos officia qui.","Earum non nisi minus distinctio.","Sequi sed minus et ut consequatur eos alias.","Libero sint possimus omnis ducimus et.","A fugiat sequi sequi et.","Molestiae vel soluta voluptas saepe illum repellendus sed quia.","Qui quia et inventore non vero non.","Soluta natus consequatur similique cum."]</t>
  </si>
  <si>
    <t>["Qui incidunt beatae incidunt tenetur. Similique a nesciunt ut amet. Incidunt dignissimos saepe sed ullam suscipit. Commodi est qui aut facere nemo.","Necessitatibus iusto laboriosam ducimus velit atque rerum. Enim qui doloribus repellat. Impedit quam consequatur ullam."]</t>
  </si>
  <si>
    <t>est-eum-2-128-4-red</t>
  </si>
  <si>
    <t>officia quas sapiente</t>
  </si>
  <si>
    <t>https://via.placeholder.com/300x650.png/006633?text=Smartphone+vero</t>
  </si>
  <si>
    <t>["Quia rerum repellat iste veniam nisi sed doloribus.","Tenetur veniam delectus assumenda aut.","Praesentium architecto quos sequi vel explicabo.","Sed ut quam ratione doloremque dolorem ad.","Animi sed amet sint a autem.","Laudantium aut blanditiis cumque.","Optio ad sed eveniet.","Id nostrum eaque nostrum atque labore fugiat maxime aut.","Perspiciatis molestias voluptas iste numquam consectetur esse.","Alias quia id qui dignissimos doloribus."]</t>
  </si>
  <si>
    <t>["Enim debitis libero quia sunt suscipit id voluptates ex. Atque vitae id in quia voluptatem. Et aliquam repellendus qui rem ipsa facilis. Reprehenderit numquam sed laudantium.","Sit temporibus deserunt magnam repellat. At ex ipsa possimus qui velit. Et doloremque earum voluptatibus deserunt. Vel ut ipsum eius vitae enim at quas."]</t>
  </si>
  <si>
    <t>sed-necessitatibus-6-64-5-red</t>
  </si>
  <si>
    <t>recusandae et et</t>
  </si>
  <si>
    <t>https://via.placeholder.com/300x650.png/000033?text=Smartphone+illo</t>
  </si>
  <si>
    <t>["Dignissimos minima beatae amet unde molestiae iste.","Est error harum rerum non at cupiditate.","Ullam at quia voluptas deleniti id tempore soluta.","Non dolores vel perspiciatis nulla non sed.","Molestiae officia ut sunt similique ab.","Occaecati eaque quo reprehenderit.","Ab tempore veritatis qui ab.","Laborum ex magnam corporis voluptates.","Consequuntur at facere magnam vitae.","Aperiam sed qui distinctio sed fuga."]</t>
  </si>
  <si>
    <t>["Porro suscipit qui sint praesentium. Autem ipsa esse atque.","Corrupti velit rerum velit officiis qui et. Perferendis quod omnis cum eveniet aut adipisci dignissimos. Ullam ea odio quia facere nostrum doloribus voluptatem voluptatem."]</t>
  </si>
  <si>
    <t>voluptate-aut-2-8-2-red</t>
  </si>
  <si>
    <t>est voluptas sint</t>
  </si>
  <si>
    <t>https://via.placeholder.com/300x650.png/00aa77?text=Smartphone+voluptas</t>
  </si>
  <si>
    <t>["Necessitatibus rerum corrupti consequatur consequatur fugiat unde et nemo.","At vel provident non adipisci voluptate eius.","Fugiat dolores eum rerum repudiandae dolorem.","Nostrum ut eum laborum est repudiandae eum quas.","Et mollitia sed quis est dicta ipsa.","Nostrum quas voluptatem saepe et vel nihil.","Rem tenetur officiis non harum dolorem optio dicta.","Necessitatibus consequuntur placeat nemo natus omnis.","Provident eaque fugiat voluptatem.","Doloremque sed ut porro culpa ea doloribus."]</t>
  </si>
  <si>
    <t>["Qui similique quae molestiae sit id. Nostrum possimus quidem officia. Quidem tempore dolorum doloribus quibusdam enim et enim.","Dolore suscipit enim aut quas quae. Rerum et quas qui id neque. Sed eius officiis quia voluptatem. Vero quis ea ut sequi labore et."]</t>
  </si>
  <si>
    <t>illum-et-2-16-3-blue</t>
  </si>
  <si>
    <t>ex voluptas saepe</t>
  </si>
  <si>
    <t>https://via.placeholder.com/300x650.png/000055?text=Smartphone+assumenda</t>
  </si>
  <si>
    <t>["Ipsum veniam dicta distinctio est expedita et.","Labore voluptas nulla atque laborum voluptatem consequuntur ut.","Esse earum sit eligendi odio cumque rerum est.","Quo non tenetur amet rerum culpa hic dolorem.","Qui quasi quam temporibus voluptatibus veniam non.","Aliquid laborum voluptatem molestias et.","Alias velit laboriosam aperiam doloribus odit.","Voluptatum perspiciatis commodi voluptatum quia fugit non.","Ipsum enim incidunt ut nihil.","Voluptatem culpa facilis mollitia molestiae."]</t>
  </si>
  <si>
    <t>["Et voluptas non et et soluta excepturi consequatur possimus. Occaecati sed nihil eum corporis maxime. Aut iusto nulla voluptate accusamus corrupti eum architecto. Voluptatem ullam esse modi et quisquam.","Officiis alias aliquid magni. Tempora quia assumenda hic. Quis rerum dolores dolorem. Sequi magni eum quisquam dolor."]</t>
  </si>
  <si>
    <t>aspernatur-itaque-8-32-6-red</t>
  </si>
  <si>
    <t>vel autem minus</t>
  </si>
  <si>
    <t>https://via.placeholder.com/300x650.png/007755?text=Smartphone+officia</t>
  </si>
  <si>
    <t>["Est occaecati quo iure incidunt nisi ullam.","Libero sed est tempora ducimus ea.","Libero expedita nulla omnis odit.","Enim qui eum corporis dolorum.","Culpa voluptates et autem praesentium et voluptates vitae provident.","Doloribus perspiciatis quos et voluptatum hic quis nulla sunt.","Dolor est veritatis qui corrupti vitae rerum non quaerat.","Tempora harum natus sint qui dolorem quia.","Quibusdam iure et necessitatibus molestiae mollitia ex.","Et ad est provident nostrum molestiae."]</t>
  </si>
  <si>
    <t>["Velit reiciendis necessitatibus et ea rem ducimus possimus iusto. Autem sit aut sunt quod. Rerum placeat repellat maxime odit vero fugiat.","Quia soluta dicta distinctio voluptatem maiores suscipit. Assumenda sunt necessitatibus unde vel. Minima molestiae numquam aut quia. Odit esse temporibus dignissimos ut nobis ut ex."]</t>
  </si>
  <si>
    <t>est-rerum-2-64-2-black</t>
  </si>
  <si>
    <t>repudiandae dicta numquam</t>
  </si>
  <si>
    <t>https://via.placeholder.com/300x650.png/008800?text=Smartphone+accusamus</t>
  </si>
  <si>
    <t>["Dolor aut quidem temporibus.","Eveniet perspiciatis cupiditate molestiae neque quidem.","Saepe quaerat cupiditate numquam ea quaerat nihil quis.","Unde odio rem omnis nihil.","A enim voluptatibus voluptates commodi.","Doloremque magnam dolore modi et voluptas debitis odio.","Facilis cupiditate explicabo quam accusamus.","Sed velit optio accusantium dolores nihil.","Neque non est molestiae enim temporibus necessitatibus.","Ut pariatur est sequi architecto."]</t>
  </si>
  <si>
    <t>["Illo omnis autem in. Qui doloremque inventore molestiae quis. Omnis suscipit soluta et voluptatum.","Repellendus ut est esse illo qui sed ea. Ut asperiores ea eum. Autem nobis animi sit et."]</t>
  </si>
  <si>
    <t>sed-sit-8-64-2-black</t>
  </si>
  <si>
    <t>accusamus dicta quod</t>
  </si>
  <si>
    <t>https://via.placeholder.com/300x650.png/005500?text=Smartphone+non</t>
  </si>
  <si>
    <t>["Porro quas et possimus accusamus harum nulla et.","Repudiandae necessitatibus molestiae unde ut.","Voluptas et commodi quaerat consectetur itaque rerum.","Perspiciatis dolorem accusamus ut sed at unde officiis.","Sed aut impedit aut fuga ut et neque.","Et ipsa quidem architecto non doloribus.","Sint omnis veniam minus tempora omnis et in.","Dolorum ut cupiditate corporis autem quibusdam optio nesciunt.","Sint aut eos in porro ex sint reiciendis.","Ipsum occaecati praesentium et et voluptatem natus."]</t>
  </si>
  <si>
    <t>["Eum qui aut accusantium quibusdam ut. Harum quo aspernatur non debitis quaerat eos non optio. Cupiditate deserunt debitis autem quia vel eligendi aut.","Aperiam et aut provident excepturi dolores quasi id. Fugit omnis harum qui natus."]</t>
  </si>
  <si>
    <t>sed-id-12-64-4-green</t>
  </si>
  <si>
    <t>esse laudantium exercitationem</t>
  </si>
  <si>
    <t>https://via.placeholder.com/300x650.png/008800?text=Smartphone+reiciendis</t>
  </si>
  <si>
    <t>["Quam numquam quaerat facilis sed ad aliquid.","Beatae ea harum aut tenetur impedit.","Eum molestiae nostrum eum consequuntur maiores dolores rerum.","Vero illum molestias ex dolorem dolorum.","Magni quisquam iste dolorum quia ut.","Magni id exercitationem voluptas est voluptas.","Omnis occaecati molestiae esse esse tempora.","Architecto molestiae est voluptatem vitae.","Dignissimos minima voluptatibus error culpa.","Ea qui architecto id repellat."]</t>
  </si>
  <si>
    <t>["Magnam et itaque cum. Dignissimos asperiores omnis ut consequuntur praesentium. Hic quod facere doloremque voluptatum voluptatem aut perferendis.","Numquam possimus ullam nisi quis. Et quis provident consequatur eaque ad minima."]</t>
  </si>
  <si>
    <t>sed-natus-2-512-2-black</t>
  </si>
  <si>
    <t>nemo non pariatur</t>
  </si>
  <si>
    <t>https://via.placeholder.com/300x650.png/005555?text=Smartphone+odio</t>
  </si>
  <si>
    <t>["Enim aliquam et molestiae ullam nobis.","Harum mollitia aut enim illo sint sequi ad.","Enim sit quidem a totam quis qui.","Quibusdam in cupiditate voluptatibus hic dicta odio et.","Nesciunt quia vel qui quia voluptatem magnam quas.","Accusantium debitis aspernatur ab dolorum.","Est qui non temporibus sunt.","Ut quia et occaecati qui.","Culpa minima blanditiis qui architecto.","Dolorum quia assumenda iure ut dolor quisquam."]</t>
  </si>
  <si>
    <t>["Ea dicta molestias ducimus hic dolor rerum. Temporibus non eveniet quo. Debitis et reprehenderit inventore eos consequatur excepturi.","Aliquam eum autem expedita odio facilis placeat voluptatem qui. Tempora consequatur maxime explicabo ut omnis nisi. Veniam qui et voluptatem culpa."]</t>
  </si>
  <si>
    <t>voluptate-nemo-6-64-5-red</t>
  </si>
  <si>
    <t>minus asperiores et</t>
  </si>
  <si>
    <t>https://via.placeholder.com/300x650.png/001122?text=Smartphone+vitae</t>
  </si>
  <si>
    <t>["Dolores totam molestiae aperiam nostrum quisquam repellendus debitis.","Ipsum alias et ea et voluptas repudiandae.","Molestiae accusantium consequatur laboriosam non.","Molestiae unde qui incidunt sint.","Quaerat nostrum error placeat qui facere omnis nihil.","Aliquid consectetur libero non vero ducimus voluptas dolorem.","Aut corrupti ratione vitae ex voluptas.","Rerum dolorum delectus itaque tempore.","Necessitatibus tempora eligendi et nesciunt ea aut aperiam ipsam.","Dignissimos mollitia laboriosam repudiandae ut eos."]</t>
  </si>
  <si>
    <t>["Enim culpa eum hic cumque. Temporibus itaque dolore voluptates nihil exercitationem velit ratione. Vitae consequuntur pariatur expedita placeat id omnis numquam.","Officiis quae numquam libero est sunt quod repudiandae. Sint eum dolore eligendi rerum ducimus. Beatae ducimus et omnis doloremque. Totam dolor minima quod consequuntur ea."]</t>
  </si>
  <si>
    <t>est-porro-2-32-5-red</t>
  </si>
  <si>
    <t>et voluptatem aut</t>
  </si>
  <si>
    <t>https://via.placeholder.com/300x650.png/000066?text=Smartphone+beatae</t>
  </si>
  <si>
    <t>["Facilis ea magnam dolores vitae explicabo similique.","Dolores eius distinctio libero perferendis.","Dolorem quod dolorem eos similique possimus.","Dolorem eveniet et ab error.","Quos qui cumque dicta impedit minima.","Et sint adipisci id iusto.","Nihil incidunt iure est pariatur sequi nihil tempora sint.","Laboriosam consequatur sint temporibus non.","Atque iste dolore et quibusdam dolorem quia quis possimus.","Et qui molestias non doloribus voluptatibus rerum vitae accusamus."]</t>
  </si>
  <si>
    <t>["Velit deserunt quibusdam quam odio. Nostrum est sint voluptas expedita. Ut nostrum repellat iure non distinctio consequatur error.","Culpa et repellat quia quia. Fuga est in adipisci fugit similique eos. Aut voluptatem accusamus voluptas minus asperiores saepe illo voluptatibus."]</t>
  </si>
  <si>
    <t>sed-earum-2-16-3-green</t>
  </si>
  <si>
    <t>aut dolores delectus</t>
  </si>
  <si>
    <t>https://via.placeholder.com/300x650.png/002299?text=Smartphone+in</t>
  </si>
  <si>
    <t>["Eos nostrum aspernatur quibusdam alias et.","Enim omnis eos quae in rem culpa.","Officia impedit sed suscipit sunt.","Accusamus hic incidunt accusamus nihil molestiae dolores.","Sed ut aperiam molestiae eos.","Quas nam quia magni ut cupiditate sit.","Quos aut dolorem sequi soluta quo qui non.","Quo error rem eligendi et.","Nesciunt facere tempore sint.","Sunt eaque eum sed eius eum et voluptatem."]</t>
  </si>
  <si>
    <t>["Quis ea sint accusamus quibusdam omnis quo soluta. Atque omnis molestiae dolorem aliquam. Fugit possimus quisquam consequuntur ut facilis atque ab. Harum et facilis et consectetur iusto ducimus veniam.","Reiciendis nihil quasi modi aut dolorum. Rerum asperiores est reiciendis ut ut. Aspernatur provident animi id dicta dolorum tenetur."]</t>
  </si>
  <si>
    <t>sed-sit-12-16-4-green</t>
  </si>
  <si>
    <t>expedita quisquam iusto</t>
  </si>
  <si>
    <t>https://via.placeholder.com/300x650.png/00aa00?text=Smartphone+asperiores</t>
  </si>
  <si>
    <t>["Perferendis impedit rerum impedit optio.","Libero ea asperiores quam assumenda et.","Suscipit consectetur voluptatibus culpa natus doloribus architecto necessitatibus.","Similique ea voluptatem magni.","Aut voluptatem quis sed vero nulla commodi.","Consequatur reiciendis aut velit cum eius consectetur.","Ratione et voluptates voluptatum eos cupiditate cupiditate.","Commodi incidunt enim officiis recusandae neque odio debitis assumenda.","Corporis quam ullam quae excepturi.","Non dolor est accusamus occaecati blanditiis itaque quo est."]</t>
  </si>
  <si>
    <t>["Exercitationem voluptatem ut ut et velit neque. Tempora velit quia nihil modi id qui sit. Maxime tenetur nemo dolor vel nam itaque. Assumenda neque commodi consequatur facilis placeat quia sint.","Et libero facilis et consequatur nostrum. Est cum deserunt et doloribus magni nesciunt laborum. Quia velit est quo pariatur suscipit fuga. Necessitatibus aut iure consequatur suscipit in est. Non iusto molestias alias iusto quisquam."]</t>
  </si>
  <si>
    <t>et-aliquid-4-16-4-white</t>
  </si>
  <si>
    <t>distinctio necessitatibus facilis</t>
  </si>
  <si>
    <t>https://via.placeholder.com/300x650.png/00ee22?text=Smartphone+aliquam</t>
  </si>
  <si>
    <t>["Debitis ab repellendus alias ipsam eaque quisquam.","Ut impedit occaecati nesciunt officiis rem.","Sed aut laborum officia.","Repellat iure officiis fuga et hic dolores accusamus.","Aliquid excepturi velit expedita ipsa.","Earum quod blanditiis ipsam veritatis libero reprehenderit.","Maiores quae vel voluptatem similique tempore in est neque.","Itaque placeat debitis nihil eos.","Id eveniet laborum qui quos recusandae numquam sint.","Qui est tenetur nobis dolores accusamus amet."]</t>
  </si>
  <si>
    <t>["Quis illo adipisci maiores. Odit aut voluptas accusamus sed. Ad sunt corrupti dolorem et. Eum a et tempora cumque.","Fugiat ea nihil dolor sed. Dolores reprehenderit nulla consectetur. Voluptatem voluptatibus est qui corporis maxime est. Veniam non ut id consequatur cumque sit."]</t>
  </si>
  <si>
    <t>sed-cumque-4-512-3-green</t>
  </si>
  <si>
    <t>commodi voluptatibus laborum</t>
  </si>
  <si>
    <t>https://via.placeholder.com/300x650.png/00ee55?text=Smartphone+qui</t>
  </si>
  <si>
    <t>["Numquam suscipit deleniti architecto qui quia.","Quis sunt sint odit et.","Nihil facere corporis alias veniam.","Enim doloremque dolorum doloribus voluptatem expedita quo omnis.","Nihil eos ad odit error voluptatem.","Perferendis consequatur accusantium debitis.","Dolorum excepturi quis odit accusamus explicabo molestiae.","Est rerum molestias quae praesentium harum facilis quae.","Eos qui nostrum dicta ad.","Nobis possimus et nisi et."]</t>
  </si>
  <si>
    <t>["Autem rerum quo dolorum dolorem aut. Est aut et qui vel maxime rerum. Sapiente corrupti nisi maiores atque ipsam reiciendis. Laboriosam a fugiat at quia necessitatibus.","Distinctio aut ipsam veritatis qui odit. Alias dolorem nobis corporis esse. Enim ut deserunt culpa ipsam maiores ea et. Hic rem impedit nihil id beatae."]</t>
  </si>
  <si>
    <t>illum-autem-4-64-3-green</t>
  </si>
  <si>
    <t>odio itaque consectetur</t>
  </si>
  <si>
    <t>https://via.placeholder.com/300x650.png/006633?text=Smartphone+minus</t>
  </si>
  <si>
    <t>["Rerum natus aliquam beatae voluptatem ipsam iste.","Sapiente quis blanditiis voluptatem dicta facilis cum eaque.","Corporis officiis corrupti aut esse.","Qui non perferendis reiciendis iure laboriosam.","Eaque quia atque aspernatur iste consequatur eos id nemo.","Repellendus est explicabo sed nihil.","Nihil distinctio non quis.","Et occaecati ut distinctio nulla doloribus nisi sequi.","Nihil nisi voluptatum aliquam occaecati optio quaerat doloremque dolorum.","Ex exercitationem voluptatem unde autem pariatur."]</t>
  </si>
  <si>
    <t>["Veritatis aliquid quibusdam culpa aut. Provident occaecati inventore quod id recusandae impedit corrupti. Libero laborum excepturi molestias adipisci corporis nulla et.","Exercitationem occaecati velit est culpa voluptatem maxime cum. Voluptatibus facilis omnis consequatur alias eos exercitationem eos. Sequi soluta ea et omnis. Quo quod sunt qui quia reiciendis autem."]</t>
  </si>
  <si>
    <t>est-ex-12-64-3-white</t>
  </si>
  <si>
    <t>rerum voluptatem minima</t>
  </si>
  <si>
    <t>https://via.placeholder.com/300x650.png/00ccff?text=Smartphone+quos</t>
  </si>
  <si>
    <t>["Aut provident aut occaecati delectus earum numquam ea.","Possimus sint quaerat ipsa rem.","Quaerat repellendus totam totam ipsum atque.","Maiores reprehenderit numquam ipsa veritatis.","Porro hic sed inventore cumque hic dolores eius.","Neque quo aut non vitae illum nesciunt quas.","Ea veritatis ut illo officia.","Facere magnam blanditiis ut.","Sunt quae in quibusdam voluptas fuga voluptatum deserunt.","Velit doloremque ut nemo odio veniam sint tenetur et."]</t>
  </si>
  <si>
    <t>["Alias deleniti eos ex veritatis quod. Maiores dolores ut magni sunt recusandae. Natus voluptate aut harum error quis quam. Sit cum vel eum.","Omnis omnis aut neque et molestiae. Voluptatem repudiandae ut ut ipsam repellat."]</t>
  </si>
  <si>
    <t>sed-rerum-6-8-4-black</t>
  </si>
  <si>
    <t>totam nihil ex</t>
  </si>
  <si>
    <t>https://via.placeholder.com/300x650.png/0044ee?text=Smartphone+est</t>
  </si>
  <si>
    <t>["Aut quia et et.","Velit enim qui harum ea explicabo sed corrupti.","Consequatur veniam ipsum magni aspernatur expedita est qui.","Est et laudantium quas doloremque et autem.","Molestias qui illo enim porro facilis repudiandae cum.","Tempora ut et autem.","Quae sunt omnis eum libero laboriosam quia eveniet.","Porro inventore dolores sit aut accusantium.","Cupiditate qui eos voluptas cumque.","Quaerat sint molestias voluptatem molestiae."]</t>
  </si>
  <si>
    <t>["Quaerat voluptatem sit eos excepturi. Voluptates ut nostrum quis labore molestiae rerum. Nulla autem sint molestiae ullam.","Cumque consequuntur ut ex voluptatem ad voluptas beatae. Sapiente repudiandae molestias nulla at amet. Nemo hic vero et sit odio."]</t>
  </si>
  <si>
    <t>illum-facere-4-16-3-blue</t>
  </si>
  <si>
    <t>eos ea inventore</t>
  </si>
  <si>
    <t>https://via.placeholder.com/300x650.png/008877?text=Smartphone+est</t>
  </si>
  <si>
    <t>["Voluptatem reiciendis incidunt quis voluptatem eum perspiciatis.","Et quis enim beatae non.","Aspernatur minima quia ducimus iusto autem totam ut.","Optio odio reiciendis consequatur nesciunt.","Sint nulla expedita voluptas quidem illum ut.","Incidunt et distinctio et quod voluptatem ad.","Est officiis accusamus sit et.","Delectus quia eius explicabo et.","Sit totam qui fuga aut sed rerum.","Provident laudantium ut repellendus et temporibus."]</t>
  </si>
  <si>
    <t>["Laboriosam nam soluta earum doloremque. Beatae ullam accusantium nemo labore ratione. Facilis illum est ex molestiae sed omnis nulla.","Et repellendus quo laudantium non. Molestiae id cum dolores consequatur esse. Vel odio quia fugit non autem. Nisi veniam molestiae enim aut molestiae qui repudiandae enim."]</t>
  </si>
  <si>
    <t>maiores-recusandae-4-8-4-black</t>
  </si>
  <si>
    <t>dignissimos eos ullam</t>
  </si>
  <si>
    <t>https://via.placeholder.com/300x650.png/0088cc?text=Smartphone+nisi</t>
  </si>
  <si>
    <t>["Reiciendis veritatis velit officiis molestias quia consequatur veritatis.","Quos reiciendis occaecati sunt tenetur minus culpa.","Error culpa officiis aut nihil blanditiis accusamus.","Vitae dignissimos sapiente nesciunt omnis ut quos.","Ad non reprehenderit temporibus placeat neque illo aspernatur.","Et quidem non quam repudiandae magnam unde.","Voluptas quibusdam ipsum qui id omnis sint magni.","Consequatur delectus inventore quasi quia repellendus saepe.","Voluptatem atque vitae iste velit magnam mollitia facere accusamus.","Quaerat et odit voluptatem vel tempore et nostrum."]</t>
  </si>
  <si>
    <t>["Doloremque non quas dolorum temporibus. Magnam maxime similique laborum magni quis corporis. Ex unde consequuntur facilis. Sit corporis neque eos nesciunt.","Eum qui est voluptas qui qui non. Aut laudantium asperiores rerum dolorum dicta consequatur fugiat saepe. Aut qui voluptate vel quibusdam vero voluptatem soluta vel. Deserunt consequatur repellat aut nobis enim quia."]</t>
  </si>
  <si>
    <t>voluptate-reprehenderit-12-128-6-white</t>
  </si>
  <si>
    <t>delectus et voluptate</t>
  </si>
  <si>
    <t>https://via.placeholder.com/300x650.png/004444?text=Smartphone+explicabo</t>
  </si>
  <si>
    <t>["Ut rerum occaecati sunt eligendi quis.","Libero recusandae laboriosam nostrum.","Dolorem et voluptas ex delectus magnam molestiae dolore.","Libero earum quidem deserunt esse.","Animi sint quo ut ea eos soluta aspernatur.","Iusto quisquam exercitationem soluta voluptates.","Dolor quia non quasi dolor vitae eos non.","Labore dolore voluptatem quis non.","Ducimus quia non ut cupiditate voluptas perferendis est.","Veritatis veritatis ratione accusantium sapiente vero qui esse eum."]</t>
  </si>
  <si>
    <t>["Consequuntur corrupti at veniam reprehenderit. Eos sit iure quo ipsum accusantium. Fugit provident dolore quasi est reiciendis.","Cupiditate rerum quisquam incidunt eaque excepturi harum. Ipsum porro nobis ipsum neque necessitatibus. Rerum quam minima nesciunt. Molestias delectus beatae quis nisi facilis."]</t>
  </si>
  <si>
    <t>corrupti-ex-2-512-5-blue</t>
  </si>
  <si>
    <t>et ex soluta</t>
  </si>
  <si>
    <t>https://via.placeholder.com/300x650.png/007733?text=Smartphone+libero</t>
  </si>
  <si>
    <t>["Non voluptatem ea neque harum praesentium unde.","Libero natus iste libero voluptas blanditiis adipisci.","Et iure voluptas nihil non nihil qui.","Dolorem nemo quisquam et at ut eos et.","Ut et praesentium et eaque aut.","Beatae et expedita dolores quas doloribus qui.","Aliquid sequi cum veniam modi dolor.","Ullam nisi sit debitis aut.","Delectus ex ratione vel et non voluptates.","Quidem necessitatibus ut ut repudiandae beatae."]</t>
  </si>
  <si>
    <t>["Minus eum aut et consequatur qui. Quia sit voluptatem nisi aspernatur et. Ex rerum molestiae itaque qui quo ullam aperiam. Similique totam molestiae maxime laboriosam.","Quidem illo mollitia expedita quia dolorem cumque doloribus. Cupiditate eos necessitatibus sed sed esse magnam non voluptatem. Eius sunt quam est mollitia aspernatur occaecati ut natus. Magnam est aut quis dolore doloremque sunt dignissimos. Ex qui enim expedita sed rerum sed error consequatur."]</t>
  </si>
  <si>
    <t>et-minima-12-32-2-red</t>
  </si>
  <si>
    <t>deleniti qui placeat</t>
  </si>
  <si>
    <t>https://via.placeholder.com/300x650.png/00cc55?text=Smartphone+facere</t>
  </si>
  <si>
    <t>["Et fugit necessitatibus sed recusandae.","Aut veniam cum veniam aut est enim esse.","Dolorem quibusdam aspernatur et officia debitis dicta.","Qui perferendis impedit qui assumenda.","Dolorem distinctio omnis voluptatem unde et dolores rerum.","Reiciendis quia repellat doloremque minima veritatis.","Omnis sed quam est est quibusdam.","Ut perferendis eum fugiat temporibus commodi provident cumque quis.","Quae aut enim omnis quidem.","Hic nobis placeat quo."]</t>
  </si>
  <si>
    <t>["Enim autem aut quisquam ullam aperiam. Porro et architecto quibusdam fugiat totam et accusantium. Unde et aut illo omnis.","Quia quis culpa dolore dicta nihil nemo deserunt. Culpa ea non consequatur eos."]</t>
  </si>
  <si>
    <t>aspernatur-sit-2-32-3-red</t>
  </si>
  <si>
    <t>et beatae in</t>
  </si>
  <si>
    <t>https://via.placeholder.com/300x650.png/00bbbb?text=Smartphone+porro</t>
  </si>
  <si>
    <t>["Temporibus ut vel incidunt non.","Corporis et est delectus commodi.","Et ratione ratione voluptatem repudiandae ea esse dicta quia.","Praesentium saepe est reiciendis voluptates qui.","Nemo dignissimos et debitis architecto nihil incidunt.","Impedit odio quos quidem explicabo iste velit saepe.","Reprehenderit consectetur iste laudantium et.","Et sint consequatur nihil consequatur et maxime quia culpa.","Exercitationem soluta dolor et itaque corrupti optio.","Voluptas praesentium quos laboriosam enim est iste quam."]</t>
  </si>
  <si>
    <t>["Deleniti eveniet quidem cupiditate est aut. Qui eum quasi explicabo eum provident ipsam. Aperiam in animi vero. Velit corporis sed pariatur eius architecto.","Quibusdam aut dolorem perferendis sint. Consequatur numquam sint amet quia. Esse dolor ut exercitationem ratione sunt totam modi. Consectetur et a aspernatur omnis eum ducimus dolorem."]</t>
  </si>
  <si>
    <t>est-ex-2-16-5-red</t>
  </si>
  <si>
    <t>ut occaecati eligendi</t>
  </si>
  <si>
    <t>https://via.placeholder.com/300x650.png/00bb66?text=Smartphone+ut</t>
  </si>
  <si>
    <t>["Facilis perspiciatis sed officiis iure minima dolore sit.","Esse magnam architecto provident corporis aut quam.","Voluptas odit sapiente qui nulla doloribus ut.","Provident possimus nobis consequatur aut nulla voluptatem architecto recusandae.","Vitae vel dolores in modi.","Saepe est minima quos dolores commodi.","Iusto sit aliquam accusantium a quo.","Doloribus eos harum nemo ratione sunt consectetur.","Et maxime saepe nemo praesentium a.","Voluptatem sit quia eligendi."]</t>
  </si>
  <si>
    <t>["Ipsam consequatur qui eum blanditiis quis aspernatur necessitatibus assumenda. Maiores nulla aut ipsa itaque debitis quos. Aut rem ut adipisci ut.","Cumque rem qui assumenda molestiae assumenda est ea. Voluptas omnis ipsum laudantium. Consequatur cum quisquam fugit voluptatem mollitia. Saepe maxime repellendus eligendi tempore ipsam perspiciatis et."]</t>
  </si>
  <si>
    <t>quasi-et-2-512-3-green</t>
  </si>
  <si>
    <t>aliquid magni quo</t>
  </si>
  <si>
    <t>https://via.placeholder.com/300x650.png/0055ee?text=Smartphone+quaerat</t>
  </si>
  <si>
    <t>["Non est ut consequatur.","Dolorem blanditiis et atque et qui sit quibusdam.","Et nesciunt sunt fugit nemo velit.","Dolor quo non dolore delectus.","Nihil ipsa sit repellendus consequatur iusto esse nisi.","Voluptatum molestiae est numquam neque blanditiis libero.","Laborum officia nulla optio quia aut eaque et.","Incidunt quos veritatis aut fuga voluptatum nihil soluta.","Corporis quaerat quia minima quam tenetur.","Excepturi sed aut minima asperiores et."]</t>
  </si>
  <si>
    <t>["Ea sed ratione earum molestiae. Quae ut aut sint numquam fugit occaecati vel. Quam dicta hic exercitationem cum qui voluptatem laudantium. Tempora doloremque possimus facere qui harum quo placeat esse.","Eius id quam voluptatem optio accusantium aspernatur placeat. Pariatur libero neque et. In quia nulla non aut magnam praesentium voluptatum. Eligendi fugiat et et ab et."]</t>
  </si>
  <si>
    <t>corrupti-qui-4-8-5-blue</t>
  </si>
  <si>
    <t>maiores id est</t>
  </si>
  <si>
    <t>https://via.placeholder.com/300x650.png/00dd66?text=Smartphone+et</t>
  </si>
  <si>
    <t>["Occaecati repellat ipsa ut molestias.","Voluptates qui quo vel amet est ratione.","Optio ut aut accusamus incidunt.","Quidem in laboriosam expedita vel ea aspernatur maiores.","Repellendus est quas et eligendi.","Maxime quibusdam amet sed neque excepturi quia.","Quia optio perspiciatis neque deserunt et.","Quod alias et dolores voluptatem quo autem.","Quo impedit at libero earum ut in rerum atque.","Quia quae omnis delectus esse."]</t>
  </si>
  <si>
    <t>["Voluptatem harum cumque assumenda deleniti natus porro culpa qui. Quasi sed dolores deleniti ducimus nihil omnis aut quam. Quibusdam tenetur vel animi quo mollitia et vitae. Et et minima esse eum.","Est fugit omnis voluptatem culpa sit. Quas explicabo dolores dicta eum ut reiciendis cum. Voluptate officia blanditiis maiores qui fuga."]</t>
  </si>
  <si>
    <t>corrupti-sit-12-64-6-white</t>
  </si>
  <si>
    <t>omnis ut quaerat</t>
  </si>
  <si>
    <t>https://via.placeholder.com/300x650.png/00ffbb?text=Smartphone+voluptatem</t>
  </si>
  <si>
    <t>["Provident deleniti et sapiente quia modi sit.","Et nesciunt dolores eveniet eum reiciendis.","Itaque quo autem illum qui asperiores quo.","Placeat aut itaque tempore in quisquam nesciunt.","Eius beatae laborum ex numquam.","Repellendus labore quas vitae ipsum asperiores ad consequatur.","Non tempora ab placeat voluptatem consequatur rerum.","Rerum illo quas sint aspernatur aspernatur quos tempore.","Earum et quasi dolore id veniam.","Commodi natus dolor nihil at repellat eum voluptatem eius."]</t>
  </si>
  <si>
    <t>["Molestiae autem dolores quia nihil. Dolorem animi quia et enim in aliquid voluptatem. Reprehenderit aliquam id illo sunt atque doloribus rerum.","Eveniet est voluptatem ut. Quia temporibus aliquid quae. Nisi quidem eos animi et autem in corporis sunt. Et iusto sed tempore vitae earum vero et est. Nemo laborum id tempora accusantium assumenda et omnis aliquid."]</t>
  </si>
  <si>
    <t>corrupti-sint-8-32-5-white</t>
  </si>
  <si>
    <t>ut aspernatur voluptas</t>
  </si>
  <si>
    <t>https://via.placeholder.com/300x650.png/00aa11?text=Smartphone+ut</t>
  </si>
  <si>
    <t>["Labore laborum amet id qui repellat nostrum et.","Reprehenderit blanditiis corporis cum aliquam omnis neque.","Cumque reprehenderit aspernatur est id.","Repellendus sit officia ipsam odio.","Distinctio vel et est est qui.","Ratione voluptatem ea placeat est quam et.","Sunt sed quia numquam saepe est ea.","Ex ut alias inventore enim aut.","Non repellendus ut et ipsam quo error dolore.","Fuga neque eum dolor id eos reiciendis."]</t>
  </si>
  <si>
    <t>["Modi dolores quis aut autem sit nam laborum. Veniam non facilis asperiores magnam quia ipsam. Pariatur et esse consequatur rerum.","Unde placeat sequi est adipisci. Voluptatem molestiae et atque enim. Rerum praesentium consequatur nisi asperiores dolor. Vitae cupiditate quis consequuntur delectus voluptates eum. Et dolor iure facilis architecto tenetur nobis voluptatibus."]</t>
  </si>
  <si>
    <t>et-natus-6-8-4-red</t>
  </si>
  <si>
    <t>corporis laboriosam saepe</t>
  </si>
  <si>
    <t>https://via.placeholder.com/300x650.png/00ddbb?text=Smartphone+aut</t>
  </si>
  <si>
    <t>["Repudiandae et aperiam quidem.","Exercitationem laborum dolorem quis et.","Quo dolor repellat facilis perspiciatis dolor a et.","Minus sit labore minus tenetur odit.","Sit sunt voluptas alias maxime eum illum autem sit.","Sapiente ipsa possimus illum ullam in nihil iusto.","Officiis deleniti molestiae cum.","Nesciunt repudiandae sed animi quis necessitatibus minus corrupti pariatur.","Accusamus dolorem consectetur nesciunt eius et.","Voluptas qui mollitia error modi at est dolor."]</t>
  </si>
  <si>
    <t>["Sunt neque in eveniet saepe tempore. Veritatis velit in perferendis vitae. Ducimus repellat ut earum aut. Cumque natus non et vel hic.","Porro nihil vel ut est quo. Enim illo unde nisi sed. Ut vitae ut ipsa sunt quia minima. Dolorem modi quia asperiores aut cumque."]</t>
  </si>
  <si>
    <t>est-eum-4-32-2-white</t>
  </si>
  <si>
    <t>minus veniam odio</t>
  </si>
  <si>
    <t>https://via.placeholder.com/300x650.png/004444?text=Smartphone+nihil</t>
  </si>
  <si>
    <t>["Beatae asperiores qui et laudantium.","Nesciunt voluptatem quia voluptatem.","Incidunt hic officiis adipisci asperiores.","Rem maxime molestias esse reiciendis minima.","Ipsum ut nisi ad officia accusamus numquam eum.","Quos minima corporis provident.","Vel maiores dolorem in excepturi quia.","Voluptatibus ipsam et consectetur sequi et nam expedita amet.","Qui est dicta eos tempora consequuntur quae dicta.","Qui non quas quis voluptates itaque cupiditate."]</t>
  </si>
  <si>
    <t>["Aliquam sit possimus aliquid natus ad voluptatem. Inventore ad a officia voluptas quia. Voluptatum quidem quasi nulla facere et porro.","Voluptas aut in qui enim ipsa atque maiores velit. Ab doloremque placeat eos quia. Laudantium sunt eum doloremque repellat. Omnis aut id molestiae qui cum ut excepturi."]</t>
  </si>
  <si>
    <t>sed-earum-8-32-6-red</t>
  </si>
  <si>
    <t>odio fugit odio</t>
  </si>
  <si>
    <t>https://via.placeholder.com/300x650.png/008833?text=Smartphone+velit</t>
  </si>
  <si>
    <t>["Harum soluta odio tempore architecto praesentium culpa.","Aperiam voluptatum corrupti est quidem sit.","Omnis qui enim voluptate impedit vel quaerat aut.","Culpa est nulla veniam dolorem nemo pariatur qui.","Enim animi quos hic voluptatem explicabo qui consequatur provident.","Rerum quis laboriosam rerum ut at autem eligendi.","Non asperiores praesentium eveniet quo pariatur dolor possimus.","Cumque blanditiis pariatur quidem iusto.","Veniam ratione iste rerum et vero nam deserunt quis.","Officiis voluptatum aut quo commodi repudiandae et quia."]</t>
  </si>
  <si>
    <t>["Autem iusto ut impedit. Harum consequatur voluptatem assumenda doloremque sit maiores et. Optio et aut iste voluptatem aut.","Dolores quos in vitae aut et sunt. Ut error ex ducimus quia saepe rerum. Possimus similique at quibusdam repellat officiis porro qui."]</t>
  </si>
  <si>
    <t>ut-veritatis-8-128-2-red</t>
  </si>
  <si>
    <t>nostrum est fuga</t>
  </si>
  <si>
    <t>https://via.placeholder.com/300x650.png/004499?text=Smartphone+ut</t>
  </si>
  <si>
    <t>["Omnis odio neque aut voluptas.","Cupiditate qui consequatur laborum accusantium.","Amet laudantium repellendus qui.","Minus a dolor et cumque dicta optio ut necessitatibus.","Illum mollitia atque quis et atque et qui.","Ut velit aut ea assumenda aut ratione.","Nisi beatae pariatur sequi et.","Aspernatur impedit quasi enim dolor.","Sit aut quod aspernatur ut doloribus est omnis.","Quae debitis ex ratione dolorem ut suscipit aut."]</t>
  </si>
  <si>
    <t>["Dolorem eos quidem nobis deserunt saepe beatae aut quam. Enim ex inventore labore alias est minima facilis rerum. Quos consequatur sunt deserunt magnam iusto eum sed molestias. Pariatur mollitia aut eveniet aliquid assumenda non. Corporis voluptatibus unde dolorem voluptatem.","Modi molestiae sapiente totam. Ut et qui atque odio ab recusandae. Est voluptates repudiandae similique. Fugit a provident vel harum quo consequatur velit. Quis nobis ut molestias beatae a illo."]</t>
  </si>
  <si>
    <t>aspernatur-corrupti-4-64-2-red</t>
  </si>
  <si>
    <t>voluptatem nobis cumque</t>
  </si>
  <si>
    <t>https://via.placeholder.com/300x650.png/003355?text=Smartphone+odio</t>
  </si>
  <si>
    <t>["Labore et laudantium voluptas quia dolorem cum.","Qui doloribus a voluptatem.","Adipisci nam ea ducimus provident necessitatibus.","Modi consequatur perferendis distinctio.","Illo suscipit nesciunt pariatur repellat perferendis.","At et porro quis sunt ullam et aut.","Dolor consequatur voluptas tempora et.","Illo saepe eligendi aut aliquam vitae in.","Ut vel dignissimos tempore incidunt ipsa expedita reiciendis.","Ducimus consequatur rerum aut exercitationem et placeat dolorem ut."]</t>
  </si>
  <si>
    <t>["Consequuntur est ex autem quae. Expedita at accusamus quam ab. Commodi commodi impedit in quae ipsam est dolor. Quos eligendi nesciunt nobis id quo nulla voluptates id.","Provident odio doloribus sed itaque commodi. Dolor recusandae beatae voluptas consectetur dicta. Consequatur excepturi vitae quia."]</t>
  </si>
  <si>
    <t>aspernatur-voluptas-8-64-3-green</t>
  </si>
  <si>
    <t>cum quia laboriosam</t>
  </si>
  <si>
    <t>https://via.placeholder.com/300x650.png/0077bb?text=Smartphone+repellat</t>
  </si>
  <si>
    <t>["Adipisci totam molestiae in sit.","Sit quam libero tempore repudiandae.","Sed et quasi aut sed aut rerum reprehenderit.","Necessitatibus molestias id mollitia cum.","Quisquam totam magni ea et quod ut.","Temporibus in alias quod consectetur voluptates.","Vero id aut ipsum dicta eaque fugiat quam.","Ut est mollitia ratione eum.","Quia odio qui ut eos eaque quis.","Quia eum molestiae recusandae omnis ea quos et ipsum."]</t>
  </si>
  <si>
    <t>["Molestiae occaecati voluptatem quia. Unde exercitationem eaque voluptas cum aliquam.","Molestias libero ipsum autem aspernatur inventore. Ipsa explicabo sed ex qui hic eaque. Vero aspernatur animi incidunt rerum aut aut animi laboriosam. Sint a vel aut earum totam. Dolorem fugit id placeat iste possimus."]</t>
  </si>
  <si>
    <t>aspernatur-eum-12-8-4-green</t>
  </si>
  <si>
    <t>ut rerum perferendis</t>
  </si>
  <si>
    <t>https://via.placeholder.com/300x650.png/005522?text=Smartphone+aperiam</t>
  </si>
  <si>
    <t>["Atque perspiciatis aperiam cupiditate tempore quisquam sed.","Qui est facere culpa et doloremque error.","Hic accusamus quo voluptates recusandae non fuga.","Et rerum eos accusamus reiciendis vitae reiciendis voluptatem.","Nihil eveniet numquam voluptas maxime totam similique culpa corrupti.","Consequatur doloribus consequatur sunt veniam dolorum ipsum.","Iure architecto ut nam sapiente consequuntur voluptatum quasi dolorem.","Cumque aut iure id asperiores omnis suscipit ut.","Impedit magnam nostrum et.","Et architecto sed in excepturi et sed sed."]</t>
  </si>
  <si>
    <t>["Debitis in adipisci dicta corrupti a pariatur similique. Cumque et temporibus ut soluta id labore. Magni ex corrupti facere.","Et repellendus velit deserunt quibusdam voluptates aspernatur vero. Nesciunt ut sint et minus. Laborum dolorem blanditiis temporibus iure incidunt. Eaque distinctio excepturi voluptas et."]</t>
  </si>
  <si>
    <t>est-odit-6-32-4-red</t>
  </si>
  <si>
    <t>facilis nulla ipsa</t>
  </si>
  <si>
    <t>https://via.placeholder.com/300x650.png/00ff11?text=Smartphone+sapiente</t>
  </si>
  <si>
    <t>["Veniam expedita provident autem natus quis eos.","Culpa aut officiis id quia non ea expedita.","Voluptas natus hic maiores aperiam rem vitae ullam.","Sed voluptas placeat voluptate.","Est ipsam expedita dolores molestias est.","Nisi natus quos asperiores.","Neque dolor temporibus est hic qui ad fugiat.","Odit sint vel minus est.","Officia a autem incidunt quisquam.","Eos ut recusandae enim optio nihil."]</t>
  </si>
  <si>
    <t>["Omnis et est rerum molestiae adipisci dolor. Inventore et est maiores consequuntur. Expedita pariatur necessitatibus enim sed ut odit possimus. Aut necessitatibus quidem alias sed in doloremque dicta velit.","Magnam consequuntur dolore non. Eum vel minima modi quod itaque perspiciatis. Quia beatae non recusandae velit aut quis."]</t>
  </si>
  <si>
    <t>voluptate-velit-6-16-6-blue</t>
  </si>
  <si>
    <t>voluptatum quis consectetur</t>
  </si>
  <si>
    <t>["Rerum rem qui facere dolorem eveniet cum.","Nostrum cum laudantium sequi.","Enim eveniet distinctio dolor dolor.","Placeat non impedit id tempore reprehenderit quo.","Consequatur veritatis autem et delectus perferendis cum.","Magni sed commodi enim fuga nihil.","Ex ut ratione quos est voluptatem saepe atque.","Molestias sunt perspiciatis eum nesciunt.","Explicabo maxime repudiandae maiores ut.","Error et accusamus enim et et aut."]</t>
  </si>
  <si>
    <t>["Deserunt corrupti velit autem voluptas ipsam in. Hic earum doloribus fugiat aliquam cupiditate doloribus ut inventore.","Odit consequatur sit voluptas nobis. Veritatis iste et veritatis accusamus consequatur possimus eaque. Est qui sequi rem reprehenderit. Voluptates quia omnis aliquam nesciunt."]</t>
  </si>
  <si>
    <t>quasi-perferendis-12-16-3-black</t>
  </si>
  <si>
    <t>corporis quas praesentium</t>
  </si>
  <si>
    <t>https://via.placeholder.com/300x650.png/00ff55?text=Smartphone+libero</t>
  </si>
  <si>
    <t>["Repudiandae nulla corrupti voluptatum enim.","Tempore quasi voluptates voluptate esse.","Laboriosam odit aut perferendis et.","Velit eum eligendi commodi consequatur architecto est.","Vero dolores et aperiam nihil at ut ullam sed.","Repellendus veniam omnis iste officiis.","Similique molestiae cumque voluptates consequuntur dignissimos voluptas sunt.","Temporibus sit et quia omnis doloremque ipsam possimus qui.","Sit adipisci et dolorem ullam blanditiis.","Similique laboriosam odio qui eos."]</t>
  </si>
  <si>
    <t>["Provident autem cumque ducimus incidunt necessitatibus ab a. Et repellat quis nemo nemo quia esse. Ipsam est animi explicabo repudiandae qui unde qui et. Reprehenderit nostrum illo porro pariatur molestias.","Qui quia laborum et minus molestiae esse. Blanditiis qui ut qui quo nam. Nihil ipsa labore voluptatibus corrupti velit fuga nobis. A nam deserunt ad earum cumque id illum nulla."]</t>
  </si>
  <si>
    <t>corrupti-odit-6-512-5-green</t>
  </si>
  <si>
    <t>eos similique rem</t>
  </si>
  <si>
    <t>https://via.placeholder.com/300x650.png/007755?text=Smartphone+adipisci</t>
  </si>
  <si>
    <t>["Veritatis adipisci fugiat tempora unde debitis.","Est quam ut molestiae et officia ea et.","Vel laboriosam quia labore odit quia impedit qui.","Aut distinctio iure voluptatem doloribus corrupti eveniet sed.","Aliquid quam dolorem repellat.","Molestiae est ea iste.","Ut sed sunt sapiente architecto.","Voluptatem aliquid et adipisci temporibus natus qui numquam.","Nihil nihil rem exercitationem et nesciunt voluptates illo.","Temporibus nihil laboriosam sed quod saepe."]</t>
  </si>
  <si>
    <t>["Non aut mollitia delectus expedita libero veritatis. Perspiciatis nobis voluptas eius ex consequatur. Esse dolor expedita id ipsa ut dolorem sunt. Sed autem quo maxime suscipit non nam praesentium.","Est ipsam aliquid quos et est nemo eveniet. Alias tenetur illum voluptatibus. Voluptatem rerum et iste aut. Quia dolores optio nihil asperiores iste dolorem consequuntur."]</t>
  </si>
  <si>
    <t>corrupti-ut-2-512-3-green</t>
  </si>
  <si>
    <t>excepturi quibusdam aliquid</t>
  </si>
  <si>
    <t>https://via.placeholder.com/300x650.png/0000bb?text=Smartphone+delectus</t>
  </si>
  <si>
    <t>["Eum id quia et vitae fugiat quis.","Eum aspernatur unde repudiandae iusto quas distinctio rem sed.","Voluptatem placeat libero blanditiis delectus.","Voluptatem eius eligendi nulla beatae omnis nostrum.","Ut sapiente autem illo cumque quam dolor.","Architecto dolorum qui tempore.","Sint voluptatum accusantium et non adipisci delectus.","Eum adipisci ut laboriosam dicta velit facilis corrupti.","Esse ex praesentium quam aut eveniet error.","Voluptatem voluptas qui ea aut vero animi."]</t>
  </si>
  <si>
    <t>["Quibusdam ab molestias quis qui harum ea. Laboriosam cumque laborum dolores placeat eos rerum. Sint neque voluptate animi ut et inventore voluptas.","Velit repellat nihil animi sed. Est est ipsam eum ipsa explicabo. Reprehenderit et veritatis quos tenetur dolorem corporis."]</t>
  </si>
  <si>
    <t>corrupti-qui-6-32-3-blue</t>
  </si>
  <si>
    <t>quaerat inventore omnis</t>
  </si>
  <si>
    <t>https://via.placeholder.com/300x650.png/00aa55?text=Smartphone+necessitatibus</t>
  </si>
  <si>
    <t>["Dolorum officiis a rem a.","Eligendi perspiciatis similique architecto vero autem consequatur.","Quia dolorum ipsam sit praesentium dolores.","Autem voluptas earum sint non omnis optio aperiam.","Quo alias quidem blanditiis consequuntur ut iure.","Commodi ipsam iusto fugit architecto incidunt neque sit.","Quas cum iste beatae.","Dolor sit ex qui quas delectus.","Quidem earum eos dolore qui ipsum nihil sit.","Iusto libero illo aperiam suscipit vel."]</t>
  </si>
  <si>
    <t>["Tempora veniam doloribus recusandae. Est voluptatem ut quasi officia. Quos quaerat nisi perferendis porro. Aperiam perferendis fuga dolor unde dignissimos rerum magni dignissimos.","Accusamus qui impedit enim molestiae officia maiores assumenda veritatis. Qui est omnis quis hic. Ducimus ipsa consequatur et voluptas assumenda dolorum et qui. Similique reprehenderit saepe ea numquam molestias."]</t>
  </si>
  <si>
    <t>maiores-recusandae-2-8-5-black</t>
  </si>
  <si>
    <t>labore velit excepturi</t>
  </si>
  <si>
    <t>https://via.placeholder.com/300x650.png/00bb33?text=Smartphone+cum</t>
  </si>
  <si>
    <t>["Nam enim expedita quam est non dolorem.","Pariatur molestiae ut commodi facilis repellendus sint adipisci est.","Deleniti minima beatae et earum eveniet quo.","Necessitatibus temporibus rem quidem soluta neque dolorum.","Amet et totam recusandae inventore tenetur sunt similique et.","Voluptatibus aut aut earum quia quasi.","Qui nihil nobis doloribus earum accusamus sequi quasi.","Repudiandae ut dolorum sequi eveniet mollitia quia.","Quisquam ut quia at sit non est minima.","Veritatis qui suscipit at cupiditate qui et et."]</t>
  </si>
  <si>
    <t>["Odio exercitationem qui dicta. Ut est ratione rerum. Aut sit iste qui quia quaerat accusamus. Sit aut suscipit possimus natus.","Dolores aliquid enim debitis qui neque. Corrupti distinctio recusandae illum animi quia optio. Quis veniam voluptas sit magni. Voluptatem facere debitis est repudiandae."]</t>
  </si>
  <si>
    <t>maiores-veritatis-6-128-4-blue</t>
  </si>
  <si>
    <t>aut quos labore</t>
  </si>
  <si>
    <t>https://via.placeholder.com/300x650.png/0022bb?text=Smartphone+odit</t>
  </si>
  <si>
    <t>["Officiis ipsum corrupti quia.","Est ipsa illum corrupti dolores voluptatum sint.","Enim consequatur pariatur et sapiente ipsa quidem.","Ea at odit voluptas nemo et illo fugit.","Et necessitatibus non qui perferendis.","Et perferendis optio illo quod consequatur.","Ratione a quisquam suscipit at reprehenderit.","Nostrum qui incidunt aut voluptatem similique.","A quo illo amet sed sit in quos.","Aut architecto qui modi voluptatem rerum."]</t>
  </si>
  <si>
    <t>["Aspernatur quo autem consequatur quis. Fugiat rerum est voluptate. Dolorum id et nisi aperiam possimus maxime. Possimus suscipit velit autem exercitationem quasi unde omnis.","Assumenda et ipsa error. Tempore molestiae fugit neque nisi ipsam. Dicta occaecati accusantium quo exercitationem qui repellendus exercitationem. Aspernatur incidunt quae debitis impedit qui tempore necessitatibus."]</t>
  </si>
  <si>
    <t>est-vel-12-16-5-blue</t>
  </si>
  <si>
    <t>excepturi omnis explicabo</t>
  </si>
  <si>
    <t>https://via.placeholder.com/300x650.png/00bb22?text=Smartphone+quasi</t>
  </si>
  <si>
    <t>["Animi quo iusto hic dolores omnis.","Consequatur beatae vel sit ipsum nobis nihil.","Et optio quia totam et.","Labore autem et est reiciendis ea consequatur id.","Magni magni totam aliquam reiciendis et.","Excepturi iste quos eos quisquam recusandae magni non.","Error nulla ullam consequatur enim est.","Neque corporis ut in aut architecto.","Quo voluptatem iste impedit tenetur sapiente.","Corrupti nam vitae molestiae iste fugit dolores."]</t>
  </si>
  <si>
    <t>["Sit sit est pariatur. Ea tempora et sint repudiandae vitae dolor nobis. Aut est non a quo et. Doloremque molestias rerum minus iusto possimus magni dicta.","Beatae odio ut perferendis eius. Vel est ut voluptatum. Quia tempora non eos veritatis et odio earum dolorem."]</t>
  </si>
  <si>
    <t>est-odit-6-16-3-red</t>
  </si>
  <si>
    <t>dolorum ut quis</t>
  </si>
  <si>
    <t>["Nobis necessitatibus repudiandae est rerum.","Nulla non in dicta ea nam et.","Qui blanditiis molestiae repellat amet et officia.","Velit natus quo in fuga ut molestiae.","Asperiores non quo aliquid a perferendis ipsum eligendi.","Dolore vero dolor sunt.","Perferendis fugiat id et facilis.","Eius consequatur praesentium quia.","Cupiditate ea qui commodi autem voluptatibus.","Et rerum cupiditate assumenda aut molestiae et vitae."]</t>
  </si>
  <si>
    <t>["Quis in voluptatem illo perspiciatis dolores. Et laborum reiciendis quia sunt. Officiis tempora est voluptatem corrupti sed qui. Ullam voluptatem rerum eius provident et ut.","Corporis unde omnis rerum et unde beatae. Veritatis expedita recusandae vitae vero est. Sit fugit id soluta voluptas. Quibusdam et delectus illo id. Tempora sit ratione repellendus similique et."]</t>
  </si>
  <si>
    <t>et-natus-6-512-6-red</t>
  </si>
  <si>
    <t>vel nisi qui</t>
  </si>
  <si>
    <t>https://via.placeholder.com/300x650.png/0077bb?text=Smartphone+iusto</t>
  </si>
  <si>
    <t>["Odit quaerat ullam ut qui quis illo.","Repellendus error doloremque accusantium qui mollitia ea.","Minus occaecati aut iure.","Qui maxime mollitia qui.","Quia nihil fugit ducimus quia non est iure molestiae.","Quidem nihil minus dicta molestiae dolores nam.","Consequatur architecto autem sunt.","Possimus minus quae error aut voluptatem sunt nulla.","Consequuntur vero quia officia rerum.","Beatae facilis rerum est voluptas impedit laudantium."]</t>
  </si>
  <si>
    <t>["Vitae praesentium vitae ipsam ut itaque. Corporis itaque esse harum aliquam. Quod quis ducimus laborum sit consequatur.","Et perspiciatis hic impedit dolor eligendi quisquam aliquam. Placeat placeat sint rem enim excepturi quae accusamus. Ex exercitationem velit sint eos aut. Sint accusantium est dicta."]</t>
  </si>
  <si>
    <t>maiores-iure-6-512-2-black</t>
  </si>
  <si>
    <t>earum quis non</t>
  </si>
  <si>
    <t>https://via.placeholder.com/300x650.png/0033ff?text=Smartphone+consequatur</t>
  </si>
  <si>
    <t>["Explicabo et est repellat.","Dolores aperiam officiis voluptas praesentium ducimus labore voluptatem.","Dicta delectus fugit saepe quos quia qui.","Nemo sed omnis et iusto eaque.","Adipisci et ut dolores expedita harum.","Tempore minima omnis quae.","Consequatur autem qui pariatur eos laudantium adipisci voluptates.","Numquam dolorem quia a facere architecto.","Eaque iure aut excepturi et molestias dolorem cumque quo.","Quaerat est consequatur nostrum molestiae et."]</t>
  </si>
  <si>
    <t>["Esse consequatur ut praesentium voluptatum non aliquid tempora. Aut quae dicta aperiam.","Consectetur in enim quaerat temporibus officia. Ratione in illo hic incidunt mollitia qui consequatur. In cumque voluptatem iure beatae nobis odit repudiandae."]</t>
  </si>
  <si>
    <t>maiores-aut-4-32-2-white</t>
  </si>
  <si>
    <t>aut harum dolorum</t>
  </si>
  <si>
    <t>https://via.placeholder.com/300x650.png/008800?text=Smartphone+eaque</t>
  </si>
  <si>
    <t>["Minima excepturi numquam veritatis et neque perspiciatis doloribus voluptatem.","Numquam voluptatum cum officiis nam.","Temporibus reiciendis culpa harum ut a.","Et ex eum aut rerum.","Quasi a adipisci accusantium animi animi.","Et officiis quia ad blanditiis dolores accusantium.","Reiciendis voluptatem quibusdam qui dolorem natus.","Sunt qui blanditiis rerum nam incidunt commodi.","Aliquid harum illo amet molestias.","Velit alias quia voluptas laudantium numquam."]</t>
  </si>
  <si>
    <t>["Tenetur a nulla dolor qui accusamus nobis. Atque quia necessitatibus nihil molestiae quod est id. Et est officia quaerat qui.","Omnis voluptate nobis esse nulla dolor veritatis sunt. Corporis dolores cum porro voluptas. Aut accusamus itaque in blanditiis voluptates omnis deserunt id."]</t>
  </si>
  <si>
    <t>et-voluptate-2-32-3-red</t>
  </si>
  <si>
    <t>dolor placeat nisi</t>
  </si>
  <si>
    <t>https://via.placeholder.com/300x650.png/004455?text=Smartphone+molestiae</t>
  </si>
  <si>
    <t>["Nulla enim possimus corporis cumque dolores inventore quas doloremque.","Excepturi dolore nam porro enim et et.","Maxime repellat fugit illo repellendus sit ullam debitis.","Et nesciunt voluptatem id qui non dolores.","Suscipit aliquid fugit temporibus autem.","Repellendus minus quis autem et in odit laboriosam et.","Sint ex suscipit dignissimos assumenda.","Ut iste sit laboriosam quis.","Et quaerat velit aut occaecati iure illo et.","Dolores labore id non adipisci est ullam temporibus."]</t>
  </si>
  <si>
    <t>["Est beatae nisi voluptatem aspernatur tenetur iste aperiam. Ipsum exercitationem ratione voluptatem est maiores sequi. Sapiente quaerat quo eligendi expedita voluptatem consequatur error. Cum natus nihil vel. Aut ut voluptas perspiciatis corrupti explicabo delectus.","Autem sed ut fuga minus est earum. Ipsam molestias laudantium aut explicabo deleniti ut. Dolores ducimus ut sint occaecati sequi quis rerum."]</t>
  </si>
  <si>
    <t>voluptate-ratione-6-16-4-green</t>
  </si>
  <si>
    <t>nobis soluta rerum</t>
  </si>
  <si>
    <t>https://via.placeholder.com/300x650.png/00ffee?text=Smartphone+laboriosam</t>
  </si>
  <si>
    <t>["Temporibus quasi sint minima quibusdam ipsam repellat quidem.","Est dicta ut neque qui dolorem.","Voluptatem expedita inventore vitae quod.","Qui laboriosam id nemo et at ut sed est.","Atque ipsum temporibus atque nihil dolore.","Ut et quis dolor laudantium debitis reiciendis.","Harum quis dolore doloribus vitae expedita ipsa.","Laborum recusandae et cumque ullam ullam ut et nihil.","Et consequuntur officia doloribus incidunt.","Tempore asperiores soluta omnis nisi ut."]</t>
  </si>
  <si>
    <t>["Est nobis omnis quam quas. Omnis consectetur dolorum necessitatibus dolores accusantium doloribus. Quia consequatur porro eaque fuga sint temporibus ut.","Cum dolores quod necessitatibus quas facere. Asperiores qui dolor et iste laboriosam. Odio quo ex consequatur iure dolorem quos ipsam."]</t>
  </si>
  <si>
    <t>corrupti-ex-12-8-2-white</t>
  </si>
  <si>
    <t>quis omnis asperiores</t>
  </si>
  <si>
    <t>https://via.placeholder.com/300x650.png/00ccee?text=Smartphone+commodi</t>
  </si>
  <si>
    <t>["Qui quia consequatur quis sint totam quas.","Est dicta ratione ipsa et similique.","Commodi et voluptatum laudantium sequi labore exercitationem aliquid.","Quis dolorem ad et minima facere et sunt hic.","Numquam ut rerum qui.","Et eum quis est sint voluptatem provident ut.","Maiores laudantium optio consequatur consectetur.","Exercitationem ut fugiat et quia et inventore maxime.","Facilis et ipsam ut adipisci magni.","Autem commodi repellendus non velit."]</t>
  </si>
  <si>
    <t>["Aut et non doloremque sit voluptas qui eius. Libero veritatis ratione iure nam vitae alias qui. Adipisci beatae consequatur neque cumque velit enim.","Dolor sunt soluta officia. Culpa ullam voluptatem voluptatibus. Voluptatibus asperiores velit eum eveniet officiis porro. Quod illum perspiciatis expedita recusandae nesciunt est."]</t>
  </si>
  <si>
    <t>ut-iusto-2-16-3-black</t>
  </si>
  <si>
    <t>alias beatae eum</t>
  </si>
  <si>
    <t>https://via.placeholder.com/300x650.png/009999?text=Smartphone+non</t>
  </si>
  <si>
    <t>["Consequatur saepe deleniti est doloremque in voluptate reiciendis est.","Aut odit et nam distinctio illum magnam.","Assumenda voluptatum omnis voluptas est aut.","Occaecati impedit sit soluta et aperiam iusto ipsa.","Voluptatem possimus odio quasi.","Ut quidem facere voluptatem voluptatum architecto.","Ea iure dicta dicta dignissimos doloremque ut.","Magni velit ducimus labore et fugiat eos.","Natus quo qui sed quae.","Corporis eos cumque nemo unde quo."]</t>
  </si>
  <si>
    <t>["Provident ea sit reprehenderit est. Quia perferendis quia iusto molestias est quas recusandae. Voluptatem et non perspiciatis voluptatibus beatae est corporis. Sint rerum aspernatur quia et sed et reiciendis.","Illum quae sit laudantium itaque. Fugit nobis quasi consequatur facilis. Et quisquam autem deserunt ut dolor. Saepe debitis quia nulla consequuntur."]</t>
  </si>
  <si>
    <t>sed-id-12-64-4-blue</t>
  </si>
  <si>
    <t>minima minus sit</t>
  </si>
  <si>
    <t>https://via.placeholder.com/300x650.png/0099ff?text=Smartphone+amet</t>
  </si>
  <si>
    <t>["Aut et hic sequi eos quia.","Ex saepe autem quis laborum non.","Incidunt eos voluptatum repellat dolores sit voluptatem accusamus.","Quia ex tempora inventore quaerat et vero laudantium.","Dolores est vel id qui.","Eius rerum nam a voluptas.","Et incidunt dolor non laudantium ducimus commodi.","Incidunt mollitia id facere aut.","Ut nisi omnis omnis et id labore sunt.","Ipsam quia ut sit dolorem totam et asperiores."]</t>
  </si>
  <si>
    <t>["Ut et aut cupiditate sit. Qui doloremque est reiciendis. Commodi exercitationem in magni iure fuga et. Nihil aut non a minima omnis mollitia sapiente.","Eius et ea exercitationem cupiditate voluptates autem. Labore voluptatem consequuntur molestiae qui nam maiores. Velit id sint dolorem nisi. Fugit voluptatum deserunt nisi ipsam reprehenderit ut nulla."]</t>
  </si>
  <si>
    <t>corrupti-incidunt-4-512-6-white</t>
  </si>
  <si>
    <t>nobis sit sed</t>
  </si>
  <si>
    <t>https://via.placeholder.com/300x650.png/0033dd?text=Smartphone+sit</t>
  </si>
  <si>
    <t>["Aperiam eos ad qui quae.","Accusantium assumenda dolores quisquam vel pariatur quae ab.","Quasi tempore velit sapiente et eaque tempora.","Eveniet quas qui sunt.","Vel velit qui neque architecto laborum aliquam provident.","Nemo voluptas magni minus.","Dolores architecto omnis dolores omnis.","Non voluptates provident sit aperiam corrupti et.","Veniam labore neque consequatur et et eos sit.","Id atque cupiditate voluptatem rem nulla unde aut deserunt."]</t>
  </si>
  <si>
    <t>["Est est velit quis fugit itaque vel aut. Natus consectetur et autem a.","Unde est est totam necessitatibus atque. Veniam placeat omnis voluptas. Totam perferendis vel cumque libero magni reprehenderit provident. Excepturi qui dolores qui."]</t>
  </si>
  <si>
    <t>aspernatur-aliquam-2-8-2-green</t>
  </si>
  <si>
    <t>iure quia magni</t>
  </si>
  <si>
    <t>https://via.placeholder.com/300x650.png/0077dd?text=Smartphone+iste</t>
  </si>
  <si>
    <t>["Perspiciatis reprehenderit rerum laborum.","Quos beatae soluta mollitia saepe nisi sapiente.","Dignissimos error natus porro nostrum qui expedita voluptatem.","Placeat fugiat ut accusantium cupiditate est earum.","Illum sit enim quidem facere animi.","Quibusdam illum repudiandae perferendis veniam at quia molestiae.","Minus eaque alias fuga et labore sint ea dolores.","Magnam sequi quia animi mollitia animi sapiente.","Accusamus repudiandae facere autem et.","Et ullam magni quia assumenda maiores perspiciatis nihil."]</t>
  </si>
  <si>
    <t>["Delectus sunt eum culpa cum. Eveniet labore quibusdam voluptas aut.","Necessitatibus error at quia id voluptatem. Eum et quam dolorum. Assumenda neque expedita tenetur quo."]</t>
  </si>
  <si>
    <t>voluptate-magnam-2-64-4-black</t>
  </si>
  <si>
    <t>veritatis est architecto</t>
  </si>
  <si>
    <t>https://via.placeholder.com/300x650.png/00ccaa?text=Smartphone+ratione</t>
  </si>
  <si>
    <t>["Veniam fuga ratione at fugiat non.","Totam culpa quibusdam aut dolore voluptas quia sed.","Non nesciunt sunt velit eos numquam.","Fugiat aut et et.","Praesentium quia fugit molestias veritatis ut consequatur recusandae ea.","Officiis necessitatibus laudantium similique optio sit maxime est.","Voluptatem commodi quaerat repudiandae enim ea.","Maxime sunt alias ex atque tenetur dignissimos sequi.","Est dolores voluptatum quidem vitae non eaque.","Et dolor optio voluptates atque voluptatem rerum."]</t>
  </si>
  <si>
    <t>["Aut quidem quae omnis autem aperiam saepe dolorum totam. Et et quam quod quo quisquam quidem. Consequatur deserunt corrupti id quod et aperiam aperiam.","Eos iure aut incidunt dolor a qui facere in. Sapiente et corrupti accusantium aut voluptatem adipisci pariatur. Omnis aut aut aut ad sit soluta."]</t>
  </si>
  <si>
    <t>et-natus-8-8-2-green</t>
  </si>
  <si>
    <t>ex facilis laboriosam</t>
  </si>
  <si>
    <t>https://via.placeholder.com/300x650.png/0066ee?text=Smartphone+cupiditate</t>
  </si>
  <si>
    <t>["Dolores placeat ab eveniet voluptatem temporibus.","Cum cumque nostrum magni voluptatem amet autem repellendus.","Eaque modi consequatur ea a laborum non.","Sed ducimus dolorem sit.","Nostrum aperiam impedit accusamus temporibus sit et voluptatem.","Quidem voluptatem ut a commodi.","Quo ipsum quia debitis culpa.","Sed repudiandae enim in quis cumque illum tempore.","Enim qui corrupti et quibusdam.","Quia quas sed est exercitationem neque."]</t>
  </si>
  <si>
    <t>["Debitis praesentium facilis non deleniti nobis nobis est. Et numquam assumenda eos exercitationem. Excepturi quia omnis eos reiciendis ipsam quisquam. Qui omnis optio itaque fuga sed quae voluptates voluptatibus. Facilis sequi eos iusto consequatur non necessitatibus.","Cumque facere vitae saepe. Officiis consequatur officiis omnis qui eaque. Temporibus et animi qui impedit ad."]</t>
  </si>
  <si>
    <t>est-rerum-12-512-5-green</t>
  </si>
  <si>
    <t>qui voluptates sunt</t>
  </si>
  <si>
    <t>https://via.placeholder.com/300x650.png/00ffaa?text=Smartphone+modi</t>
  </si>
  <si>
    <t>["Hic nisi quis aliquid dolores.","Ipsum commodi et ut nam beatae labore in.","Tempore tempora a minus repellat mollitia et sed.","Ipsam aut illum eligendi quia.","Id sit ut incidunt quisquam iusto enim nobis.","Magni nobis qui consectetur repudiandae hic.","Quaerat amet laboriosam dolor labore a et.","Possimus odio reiciendis saepe quia quod voluptatem.","Ipsam sapiente dolorem error ut dolor.","Quasi ea voluptates nulla nostrum blanditiis facilis."]</t>
  </si>
  <si>
    <t>["Qui nemo qui qui autem accusantium. Pariatur hic consequatur culpa fuga vel fuga tempora. Repellendus corrupti omnis earum odio quisquam minus consequuntur.","Excepturi qui libero accusamus alias labore velit ut architecto. Ea eveniet laboriosam eum harum. Voluptatum excepturi tenetur exercitationem eaque."]</t>
  </si>
  <si>
    <t>voluptate-similique-6-32-6-green</t>
  </si>
  <si>
    <t>itaque consequuntur est</t>
  </si>
  <si>
    <t>https://via.placeholder.com/300x650.png/003333?text=Smartphone+reprehenderit</t>
  </si>
  <si>
    <t>["Iste necessitatibus culpa ut in autem sit nostrum.","Ex reiciendis culpa harum commodi maxime.","Error vel sunt sed eos.","Cum illum esse occaecati dignissimos et et est.","Distinctio molestias voluptas praesentium voluptatem officia eos.","Omnis minima occaecati officia rerum.","Natus ipsum consequatur velit ea.","Fugit ab aut eveniet ea voluptates.","Sit distinctio minima dolor itaque.","Eaque voluptates eius ut non accusantium quam quis et."]</t>
  </si>
  <si>
    <t>["Vel enim similique fuga possimus. Est id at distinctio qui. Maxime tenetur dolore inventore qui quis. Ut illum aperiam tempore maiores accusamus ipsa hic laborum.","Qui magni mollitia sunt quo assumenda asperiores in molestiae. Aut tenetur quod maiores ut velit debitis. Minima doloribus cum qui facilis hic quaerat."]</t>
  </si>
  <si>
    <t>quasi-qui-4-64-3-red</t>
  </si>
  <si>
    <t>aut quis exercitationem</t>
  </si>
  <si>
    <t>https://via.placeholder.com/300x650.png/000066?text=Smartphone+aliquid</t>
  </si>
  <si>
    <t>["Quia tempora dicta exercitationem molestiae deleniti incidunt earum.","Quia consequatur placeat fugiat id qui aliquid autem.","Ratione optio eum nihil perspiciatis.","Eaque totam possimus libero ipsa dolorem.","Animi animi odio laudantium.","Vero ut quibusdam tenetur impedit.","Enim perferendis sed dignissimos magnam facere numquam.","Recusandae quia temporibus cumque voluptas quis cumque.","In quas animi esse dolores.","Et sint tenetur quod ut aut soluta similique."]</t>
  </si>
  <si>
    <t>["Assumenda quia nulla aliquam voluptatem rem quis. Similique sunt beatae corrupti eligendi. Aspernatur laboriosam animi consequatur animi delectus.","In et possimus ab temporibus quia quidem est. Voluptatem sapiente et ducimus earum mollitia. Necessitatibus maiores ea ex eum saepe."]</t>
  </si>
  <si>
    <t>maiores-in-8-32-3-red</t>
  </si>
  <si>
    <t>qui vitae recusandae</t>
  </si>
  <si>
    <t>https://via.placeholder.com/300x650.png/000033?text=Smartphone+eligendi</t>
  </si>
  <si>
    <t>["Qui nam harum ut rerum beatae rem qui cupiditate.","Aut sed animi quibusdam placeat ut.","Ipsam labore vel quis inventore.","Quis quia quidem distinctio sed.","Consequatur debitis ex et ab autem.","Officiis eum veniam perferendis aut repellat saepe beatae.","Consequuntur praesentium deleniti ut maiores similique doloribus quia.","Officia temporibus a quam suscipit rerum.","Libero id autem et in est magnam.","Ea vel repudiandae commodi eius alias esse sequi."]</t>
  </si>
  <si>
    <t>["Autem velit quia earum rem. Aliquam repellat reprehenderit inventore blanditiis magni quos. Ea est tempora aut molestias sit optio qui natus.","Quis qui consequatur sed qui saepe placeat qui. Dolorem fugiat voluptatibus consequatur sit earum ut. Ipsum non est magni aliquam soluta deserunt."]</t>
  </si>
  <si>
    <t>voluptate-dicta-12-128-5-red</t>
  </si>
  <si>
    <t>dolorum quibusdam ipsa</t>
  </si>
  <si>
    <t>https://via.placeholder.com/300x650.png/00cc55?text=Smartphone+omnis</t>
  </si>
  <si>
    <t>["Corporis voluptates quidem dicta quam.","Ut molestiae rerum et ex vero perspiciatis placeat.","Ex quisquam magnam quod amet quia aut sunt.","Ratione fuga repellat et voluptatem eaque esse culpa.","Eos sapiente optio omnis et quaerat.","Asperiores fugit sapiente ut voluptas perferendis.","Rerum inventore velit magni id delectus natus.","Possimus ipsa minima officia libero dolorum eius a deserunt.","Eligendi libero sit consequuntur laboriosam numquam totam est.","Aut sit fugiat inventore velit."]</t>
  </si>
  <si>
    <t>["Et enim voluptas voluptas voluptas. Voluptas eaque sit quos culpa cupiditate odio. Culpa velit eius qui et velit quibusdam.","Voluptas repudiandae magni error cupiditate sunt est libero. Ullam quia quaerat minima sint. Dolor doloribus ut occaecati fugiat."]</t>
  </si>
  <si>
    <t>corrupti-occaecati-2-32-3-red</t>
  </si>
  <si>
    <t>exercitationem ducimus maxime</t>
  </si>
  <si>
    <t>https://via.placeholder.com/300x650.png/0044dd?text=Smartphone+laudantium</t>
  </si>
  <si>
    <t>["Sed ipsum expedita minus porro deserunt adipisci.","Non deleniti sit qui enim quod quia architecto atque.","Labore iure eligendi doloremque veritatis illum consequuntur impedit omnis.","Ea velit doloribus rerum quasi ipsam.","Nisi atque ea in enim omnis eos amet.","Doloremque voluptatem perferendis mollitia incidunt quia magnam.","Qui vel accusamus quaerat non.","Beatae iste sed consequatur et aut sit doloribus ut.","Et ipsum debitis error qui ex.","Inventore aliquid eum asperiores eum necessitatibus eius provident."]</t>
  </si>
  <si>
    <t>["Aut quia in velit inventore similique explicabo. Quam distinctio officia sed necessitatibus praesentium praesentium blanditiis. Doloribus perspiciatis ipsa nemo animi autem.","Quis voluptatem aut dolore maiores quos. Optio dolor praesentium odio. Rerum vitae vitae quia non maiores. Repellat ut et tempora est est id voluptatibus. Iure vel et eligendi rerum doloribus quod."]</t>
  </si>
  <si>
    <t>voluptate-voluptatem-6-128-4-blue</t>
  </si>
  <si>
    <t>minus nobis sed</t>
  </si>
  <si>
    <t>https://via.placeholder.com/300x650.png/008866?text=Smartphone+sit</t>
  </si>
  <si>
    <t>["Voluptatibus magni quo dolorem nihil.","Fugit ut dolorem qui non.","Sint eligendi molestiae earum.","Aut sunt corrupti quidem adipisci dolorum aliquam voluptate labore.","Inventore quae quo sunt non rerum.","Amet dolorem totam officia repudiandae non molestiae.","Iure est reiciendis velit.","Neque non vitae dolor.","Consequatur qui dolores animi magni excepturi quam.","Laborum mollitia explicabo natus fugiat et saepe."]</t>
  </si>
  <si>
    <t>["Ab vel repellat eligendi commodi eius. Exercitationem quod ducimus perspiciatis voluptas accusantium commodi eos. Eos neque sint eos necessitatibus voluptatem earum voluptatem.","Explicabo voluptatem enim dolorem incidunt similique quasi corrupti non. Ratione praesentium quas voluptatem qui quasi laborum."]</t>
  </si>
  <si>
    <t>maiores-quod-2-8-2-black</t>
  </si>
  <si>
    <t>ut tempore quia</t>
  </si>
  <si>
    <t>https://via.placeholder.com/300x650.png/007755?text=Smartphone+maiores</t>
  </si>
  <si>
    <t>["Placeat ut rerum eveniet iure quam.","Molestias et error voluptas laborum sit laboriosam.","Nisi aliquam adipisci quos repudiandae illum voluptatem dolores.","Esse eum eius quam fuga rerum neque.","Quia voluptas architecto corrupti reiciendis asperiores eaque voluptas aliquam.","Et molestiae cum soluta saepe consequatur.","Praesentium doloribus architecto et dicta aut.","Quo autem et amet similique qui.","Blanditiis molestiae aut mollitia quia soluta.","Dolor rerum amet eveniet temporibus voluptatum exercitationem ducimus itaque."]</t>
  </si>
  <si>
    <t>["Quae quibusdam autem quod distinctio voluptas dolor. Voluptatum et officiis at repudiandae facere. Pariatur repudiandae et voluptas aut similique.","Rerum ut cupiditate et in autem ex aspernatur aut. Sunt mollitia ut ut ut facilis sint. Porro aliquid asperiores sint corrupti ab. Aut eveniet nesciunt ex dolorem sit."]</t>
  </si>
  <si>
    <t>sed-necessitatibus-4-64-3-black</t>
  </si>
  <si>
    <t>aliquam accusantium sint</t>
  </si>
  <si>
    <t>https://via.placeholder.com/300x650.png/0099aa?text=Smartphone+doloremque</t>
  </si>
  <si>
    <t>["Quia enim in nulla eum sunt.","Porro quibusdam accusamus ut nihil.","Eaque laboriosam earum provident magnam voluptatibus dolores delectus.","Omnis aut ut id magni exercitationem laudantium.","Officiis esse in ea ex iusto autem quo corrupti.","Non temporibus et ratione rerum.","Nulla sed accusantium esse ut.","Tempore ut odit provident delectus.","Dolore aspernatur quidem vero ut reiciendis quo placeat.","Et aperiam neque et eos in perferendis."]</t>
  </si>
  <si>
    <t>["Nostrum exercitationem est adipisci ducimus ea nisi. Non sint voluptas est ea. Rerum error omnis iste perspiciatis iure.","Adipisci in ut quis voluptas aut. Libero iusto et dignissimos porro hic. Aliquam nemo ex facilis voluptatem. Voluptatum velit nulla corporis est qui."]</t>
  </si>
  <si>
    <t>quasi-perferendis-12-64-3-black</t>
  </si>
  <si>
    <t>blanditiis et quos</t>
  </si>
  <si>
    <t>https://via.placeholder.com/300x650.png/00ee33?text=Smartphone+sed</t>
  </si>
  <si>
    <t>["Magnam eveniet omnis sapiente debitis possimus.","Est illo officia ex non velit itaque facilis quos.","At sed animi vero.","Molestias reprehenderit sit quis blanditiis aut alias enim dignissimos.","Non incidunt unde labore et necessitatibus est rem.","Quo dolore error aut id.","Ex hic laudantium qui inventore autem.","Dolor asperiores nesciunt maxime perferendis laudantium a.","Quia voluptatem nam quia facere.","Ullam ullam minima facilis assumenda excepturi."]</t>
  </si>
  <si>
    <t>["Et voluptatum beatae tempore excepturi voluptatibus unde. Magni hic inventore dolores laborum. Sapiente maiores vero ratione quod qui rerum. Sed id maxime quasi exercitationem ea.","Facere repellat recusandae nihil ullam. Necessitatibus labore unde ipsa iure. Porro voluptas aliquam accusantium quidem rerum omnis."]</t>
  </si>
  <si>
    <t>corrupti-sit-12-8-6-white</t>
  </si>
  <si>
    <t>et autem in</t>
  </si>
  <si>
    <t>https://via.placeholder.com/300x650.png/001133?text=Smartphone+incidunt</t>
  </si>
  <si>
    <t>["Pariatur ut quod quo aut aut et.","Sunt quasi temporibus fuga reprehenderit velit ipsam quas.","Ab ipsa corporis atque ratione cum et repellendus.","Inventore laudantium tempore quis tempora voluptatem sit.","Aut in praesentium et quia maiores consectetur.","Ea quidem et asperiores quas molestias.","Ipsum animi dolores minus nemo sit.","Eveniet consequatur ut sapiente qui modi iusto nesciunt incidunt.","Modi in et odio aut necessitatibus.","Quo voluptatem ut quasi amet quisquam harum."]</t>
  </si>
  <si>
    <t>["Aut aut et et. Aut nisi qui magnam cumque.","Quia mollitia dolore aut aut. Laboriosam eum sunt alias est veniam facere. Non aliquam quia rem est repellendus omnis libero. Sunt hic ad accusantium provident ut a."]</t>
  </si>
  <si>
    <t>illum-perspiciatis-8-64-5-red</t>
  </si>
  <si>
    <t>suscipit et sed</t>
  </si>
  <si>
    <t>https://via.placeholder.com/300x650.png/005599?text=Smartphone+dolorem</t>
  </si>
  <si>
    <t>["Labore vel voluptas quia voluptatibus et laudantium reiciendis.","Impedit voluptate sapiente voluptates sit officia nostrum odio.","Qui cum recusandae rem tenetur.","Sunt porro alias blanditiis debitis ut sit.","Libero sit omnis accusantium et sequi.","Repellat in possimus ut aut eum.","Dolores non eveniet quisquam at adipisci vel tenetur.","Ut laboriosam ut deserunt doloremque.","Inventore dolore in temporibus dignissimos cum.","Enim at beatae aspernatur nam tempora delectus et laborum."]</t>
  </si>
  <si>
    <t>["Similique corrupti sit cum quos dolores minima. Maxime sint dolor consectetur quo unde. Ut sunt vel ullam.","Eligendi quis ab odit facilis. Consequuntur dolorem fugit earum. Ducimus laboriosam soluta id cumque."]</t>
  </si>
  <si>
    <t>voluptate-nemo-8-128-5-red</t>
  </si>
  <si>
    <t>nemo quia eaque</t>
  </si>
  <si>
    <t>https://via.placeholder.com/300x650.png/0066ee?text=Smartphone+et</t>
  </si>
  <si>
    <t>["Natus molestiae beatae ipsam aut id magnam cum quo.","Fuga sint illo exercitationem autem fugiat.","Neque voluptate consequatur accusamus consequuntur praesentium sit omnis.","Aut quo maxime molestias velit voluptatem velit.","Fugit iste illo vel odio rerum.","Sunt ut voluptas qui culpa saepe numquam est.","Voluptatem corrupti error nihil molestiae.","Placeat et delectus et magni quo et neque.","Quam provident adipisci eum aliquam laborum.","Qui magnam quia mollitia tempora a corrupti accusamus at."]</t>
  </si>
  <si>
    <t>["Et architecto placeat accusantium et quia. Quae qui aut velit accusantium voluptatem suscipit.","Itaque quo sed iste sapiente reprehenderit et est. Pariatur magni vitae ab deleniti et dolores et. Minus quia ut autem culpa omnis. Eveniet asperiores odio occaecati in."]</t>
  </si>
  <si>
    <t>est-a-12-128-2-green</t>
  </si>
  <si>
    <t>esse officia nostrum</t>
  </si>
  <si>
    <t>https://via.placeholder.com/300x650.png/00bbbb?text=Smartphone+recusandae</t>
  </si>
  <si>
    <t>["Tenetur voluptatibus deleniti non at dicta veritatis aut.","Et odio nesciunt ut molestiae.","Culpa aut nihil nemo aut esse.","Sit tempore consequatur corrupti adipisci architecto est aut.","Dicta sunt vel sunt in molestiae est magnam.","Temporibus qui qui vel voluptatem minima.","Voluptate nulla ipsa quaerat labore quia.","Laboriosam rerum facere accusantium ipsum vel dolorem.","Debitis ea sed ea aut neque qui.","Veritatis est est veniam et fugit atque omnis."]</t>
  </si>
  <si>
    <t>["Nesciunt quae ipsum animi autem provident ratione pariatur velit. Perspiciatis nisi error mollitia ipsam. Ea hic veniam consectetur delectus.","Ut eos ex voluptatem quam distinctio est error. Nisi vel similique possimus impedit esse hic. Commodi perspiciatis qui voluptates aliquam. Similique unde laborum dignissimos labore cumque fugiat."]</t>
  </si>
  <si>
    <t>voluptate-reprehenderit-2-128-4-green</t>
  </si>
  <si>
    <t>esse sed non</t>
  </si>
  <si>
    <t>https://via.placeholder.com/300x650.png/00aa88?text=Smartphone+aspernatur</t>
  </si>
  <si>
    <t>["Est maxime voluptas unde incidunt rem quo eligendi.","Distinctio voluptates consequuntur rerum explicabo itaque natus quasi.","Ullam qui optio repellat sit.","Magni impedit odio sapiente enim dolorem occaecati officiis quis.","Est fuga ut et non.","Sunt error quisquam doloribus reiciendis ut.","Iste aut non totam accusamus.","Magni qui officiis reiciendis veritatis suscipit.","Provident nihil sed dolor aliquid.","Sit nemo eum debitis aliquid rerum fugiat harum."]</t>
  </si>
  <si>
    <t>["Assumenda fuga eos ut molestiae cupiditate laboriosam. Maxime qui omnis non ipsum voluptatem explicabo vitae. Quaerat totam distinctio excepturi culpa odio perspiciatis rerum. Doloribus sunt voluptatum veniam aliquam at odio quod laborum.","Repellendus et quidem aut omnis unde. Est aliquid excepturi quidem a natus consequatur porro consequuntur. Vel neque non et cum aperiam."]</t>
  </si>
  <si>
    <t>corrupti-odit-4-16-5-black</t>
  </si>
  <si>
    <t>enim sed quis</t>
  </si>
  <si>
    <t>https://via.placeholder.com/300x650.png/00ff44?text=Smartphone+debitis</t>
  </si>
  <si>
    <t>["Odit enim expedita asperiores dolores.","Ducimus eum quis sit.","Quidem et earum molestias aut.","Aut assumenda iste quia exercitationem et enim velit.","Et molestiae nam corporis minima facere aut sed.","Vero perspiciatis accusantium tempore aut.","Repellendus dolores laborum est.","Id impedit blanditiis qui nulla ipsa.","Dicta nulla aliquam voluptatem eum.","Laboriosam fugiat voluptas voluptas inventore nesciunt expedita fugit sequi."]</t>
  </si>
  <si>
    <t>["Enim reprehenderit voluptatem officia eos exercitationem provident. Non autem quia aut voluptatem placeat. Delectus in explicabo nihil. Ut doloribus incidunt ut numquam.","Temporibus voluptates dolorem officiis eos molestias quis quo. Ut a quis voluptatem id repellendus reiciendis. Quaerat delectus et voluptatem fugiat repellendus qui."]</t>
  </si>
  <si>
    <t>sed-cumque-2-32-4-green</t>
  </si>
  <si>
    <t>sed dignissimos rerum</t>
  </si>
  <si>
    <t>https://via.placeholder.com/300x650.png/004400?text=Smartphone+rerum</t>
  </si>
  <si>
    <t>["Aut asperiores qui adipisci ullam sed.","Sed autem molestiae et est.","Sed a nihil autem sit.","Atque veniam ut consectetur.","Aperiam iure ut corporis saepe unde est.","Veritatis aut voluptatibus nisi qui nisi ipsam possimus.","In suscipit laudantium eligendi dolorum minus.","Ut nostrum dolore at porro quia magnam.","Voluptatem ratione et suscipit vel.","Quia nisi culpa sit dolor incidunt aut."]</t>
  </si>
  <si>
    <t>["Voluptatem et eum qui. Reiciendis in sapiente unde quae. In molestiae deleniti ratione adipisci rem. Exercitationem sit et qui soluta et est.","Nihil a minima eius explicabo nihil reprehenderit. Nobis labore libero est et. Voluptatibus sint necessitatibus voluptatem culpa sed aut dicta. Soluta deleniti et sit in repellendus."]</t>
  </si>
  <si>
    <t>corrupti-occaecati-6-8-6-white</t>
  </si>
  <si>
    <t>rem atque aut</t>
  </si>
  <si>
    <t>https://via.placeholder.com/300x650.png/002277?text=Smartphone+consequuntur</t>
  </si>
  <si>
    <t>["Culpa dignissimos est aperiam aliquam voluptatem rem tempora molestiae.","Quo quidem illo assumenda inventore.","Omnis repellat officiis officia et.","Atque blanditiis perspiciatis soluta sit sit omnis.","Repellat reprehenderit officia distinctio ex omnis et ipsam.","Ratione sint error alias et.","Ipsam est voluptates consectetur et qui aut.","Repudiandae et quae voluptas iste.","Dignissimos quis voluptas expedita recusandae nihil voluptate quas quam.","Itaque est ut tenetur tempore saepe enim magni."]</t>
  </si>
  <si>
    <t>["Ut ut et repellendus dolorem sit iure asperiores. Impedit rem est quo omnis nostrum. Minima est architecto velit iure et doloremque non. Dolores sed et nemo.","Qui natus consectetur molestiae molestiae voluptatem ducimus eius. Consectetur asperiores et et tempora rerum molestias maiores. Alias esse quasi et quam voluptatem rerum. Animi laudantium aliquam debitis nihil inventore."]</t>
  </si>
  <si>
    <t>sed-dolor-4-8-3-black</t>
  </si>
  <si>
    <t>quo tempora commodi</t>
  </si>
  <si>
    <t>https://via.placeholder.com/300x650.png/0033aa?text=Smartphone+voluptatem</t>
  </si>
  <si>
    <t>["Perferendis fuga neque soluta consectetur.","Est voluptas doloribus enim impedit.","Molestiae quasi animi cupiditate et nesciunt dolorem.","Ut incidunt neque eum soluta nam nihil quaerat.","Perferendis perspiciatis corrupti quia vel sint molestias possimus eum.","Cum ut optio aut rerum necessitatibus quas inventore temporibus.","Consequuntur consequatur ad asperiores repellendus.","Iusto est nemo deserunt modi sint voluptates adipisci.","Voluptatum vitae rerum vitae veritatis.","Vero ducimus omnis cumque."]</t>
  </si>
  <si>
    <t>["Fuga ratione eum ut blanditiis eum. Aut itaque animi consequatur mollitia praesentium labore. Voluptatem hic consequatur rerum enim voluptatem.","Atque quaerat quia ducimus soluta quia. Mollitia qui minus veniam id praesentium. Praesentium et aut corrupti velit tempora nobis aut."]</t>
  </si>
  <si>
    <t>ut-veritatis-2-32-4-green</t>
  </si>
  <si>
    <t>vitae est non</t>
  </si>
  <si>
    <t>https://via.placeholder.com/300x650.png/005577?text=Smartphone+suscipit</t>
  </si>
  <si>
    <t>["Illum ratione veritatis vitae.","Ea quia iure temporibus est modi.","Voluptatem non et earum rerum qui nihil.","Nisi est aut harum sint.","Nemo accusamus ea ut vel omnis repellat quaerat.","Tempora rerum alias distinctio tempore animi aut omnis.","Tenetur hic perferendis dolore.","Maiores delectus asperiores quis voluptates soluta.","Nobis sequi quam reiciendis totam laboriosam.","Ratione tempore est cupiditate suscipit quis."]</t>
  </si>
  <si>
    <t>["Earum quo voluptas a fugit quasi aperiam in quos. Dolores ipsam ut minima error perferendis. A libero necessitatibus itaque itaque quod.","Voluptas voluptatibus veniam sit. Dolorem occaecati eaque deserunt ut corporis tempore. Quasi nam repellat ut beatae reprehenderit laudantium."]</t>
  </si>
  <si>
    <t>illum-id-8-64-2-white</t>
  </si>
  <si>
    <t>porro quia ullam</t>
  </si>
  <si>
    <t>https://via.placeholder.com/300x650.png/00bb66?text=Smartphone+odio</t>
  </si>
  <si>
    <t>["Ipsum doloremque sit et tenetur.","Dolores est incidunt ut delectus.","Fuga voluptas ut dolorem dolorum magni.","Assumenda accusamus debitis quia quia cupiditate quia.","Harum id excepturi eveniet distinctio officiis numquam et est.","Dolore culpa quia nihil velit harum vel.","Iure quisquam voluptate sunt voluptatem.","Illo fugit quo earum et nemo et.","Laudantium consequuntur expedita earum maiores velit est sed.","Consequatur earum rerum accusantium impedit."]</t>
  </si>
  <si>
    <t>["Harum fugit ea quia necessitatibus eos et quis. Officiis corporis aut veniam temporibus. Voluptas labore voluptatibus ex est et autem.","Quasi provident aliquam cupiditate repellendus corrupti amet. Voluptatem neque et rerum ut velit. Ducimus deserunt quia officiis aut. Quaerat totam sit quae rem et iusto."]</t>
  </si>
  <si>
    <t>voluptate-reprehenderit-2-8-4-blue</t>
  </si>
  <si>
    <t>praesentium culpa reprehenderit</t>
  </si>
  <si>
    <t>https://via.placeholder.com/300x650.png/008811?text=Smartphone+sint</t>
  </si>
  <si>
    <t>["Et ut est quia ut quidem aut.","Labore nemo eveniet porro molestiae et rem.","Odit eaque quia est.","Veritatis et tempore nobis consectetur et.","Nemo eum debitis qui.","Ratione sunt aut aut architecto deleniti quia ut.","Omnis velit tempore doloremque ut quibusdam dolorum.","Nesciunt ut reprehenderit hic id quod.","Ea deserunt architecto inventore commodi voluptas.","Voluptatem inventore quos et qui accusantium."]</t>
  </si>
  <si>
    <t>["Tempora dolorem sit autem iste eum. Quisquam et dolorum cumque rerum dolor. Ex eius pariatur dignissimos officia aut. Id dolorem similique vitae quasi mollitia iure.","Officiis inventore perferendis repellendus ducimus aut sed quia. Id eligendi dolor architecto placeat natus autem blanditiis et. Enim vitae pariatur ea nulla."]</t>
  </si>
  <si>
    <t>illum-facere-2-8-2-blue</t>
  </si>
  <si>
    <t>quaerat et sit</t>
  </si>
  <si>
    <t>https://via.placeholder.com/300x650.png/00aa22?text=Smartphone+rerum</t>
  </si>
  <si>
    <t>["Iste sequi magnam ipsa error iste.","Incidunt quia consectetur neque ut rerum quis.","Sed ut quod dicta est laboriosam.","Eos rem impedit suscipit corrupti velit eius.","Provident ullam aut nihil et aut sapiente rerum.","Repudiandae qui non mollitia aut.","Ea similique enim veritatis dolores ab vero.","Corporis est debitis beatae.","Facere architecto placeat harum cumque placeat non.","Dolores facilis omnis in suscipit occaecati facilis quas nam."]</t>
  </si>
  <si>
    <t>["Velit eligendi ut saepe ab ipsum cum. Inventore dolorum ad quis placeat dolorem. Ipsa placeat voluptas aperiam quia veritatis omnis.","Non blanditiis blanditiis ut est hic in animi consequatur. Quibusdam est quis ipsam quia suscipit. Amet vitae ullam et totam nostrum porro."]</t>
  </si>
  <si>
    <t>voluptate-itaque-6-16-2-green</t>
  </si>
  <si>
    <t>rerum iure est</t>
  </si>
  <si>
    <t>https://via.placeholder.com/300x650.png/004488?text=Smartphone+ipsam</t>
  </si>
  <si>
    <t>["Error aut exercitationem maiores quis.","Perspiciatis animi unde deserunt aut aliquam atque laudantium dolor.","Architecto voluptatem cum ut.","Aut qui tempora perferendis debitis sed.","Et iusto qui fugit dignissimos est quasi sunt.","Sit sint quos aut numquam cum non voluptas.","Vero quibusdam nemo hic occaecati praesentium aut eligendi.","Dolores in quia enim non est.","Consequatur accusamus voluptatem dolore aut omnis quos quis velit.","Aut dolorem vel quis fuga."]</t>
  </si>
  <si>
    <t>["Omnis officiis quos eveniet ratione omnis magnam. Omnis deleniti neque omnis amet. Aliquid ipsam quam quia sit sit. Tempore doloremque nesciunt et voluptas.","Ut et doloremque temporibus aliquam. Eos qui blanditiis harum atque voluptates reiciendis aut numquam. Et tempore ut nam necessitatibus. Unde qui quia qui dolor molestiae."]</t>
  </si>
  <si>
    <t>corrupti-ex-8-64-3-green</t>
  </si>
  <si>
    <t>consequatur distinctio corrupti</t>
  </si>
  <si>
    <t>https://via.placeholder.com/300x650.png/00eeff?text=Smartphone+iusto</t>
  </si>
  <si>
    <t>["Voluptates vero et ipsum.","Eos molestiae corporis vitae sint.","Eum quidem eaque possimus laboriosam tempora vel.","Ut ut aut itaque autem dolorem nisi quo hic.","Dolores vel qui ut omnis labore fuga.","Nemo saepe et deserunt voluptatem laudantium expedita.","Voluptas eaque eligendi harum modi.","Consequatur laborum eos rerum nesciunt.","Deleniti repellendus et odit ea odio ut.","Suscipit tenetur et earum esse."]</t>
  </si>
  <si>
    <t>["Sed aliquid ullam laudantium occaecati expedita eaque. Deserunt est dicta qui et illo architecto consequatur autem. Ipsa maiores veritatis molestias omnis et quo consectetur. Minus nam iste labore est enim.","Aut qui ut dicta assumenda ut ratione. Eum velit nulla cupiditate illo voluptas quae perferendis. Quas nesciunt unde et commodi in provident placeat."]</t>
  </si>
  <si>
    <t>illum-ab-12-64-2-green</t>
  </si>
  <si>
    <t>eum aut distinctio</t>
  </si>
  <si>
    <t>https://via.placeholder.com/300x650.png/007700?text=Smartphone+sunt</t>
  </si>
  <si>
    <t>["Quidem officia tempora quasi similique vel quis sed molestias.","Quia qui velit molestiae rerum sit.","Maiores omnis vitae similique voluptatem voluptatem consequuntur dolorem.","Inventore in totam voluptatem incidunt impedit eius quae.","Voluptatem sunt doloribus molestiae est quaerat recusandae voluptas.","Aliquid nihil voluptatum cupiditate qui libero eum.","Asperiores magni quia totam veritatis voluptates quaerat.","Dicta quia voluptas aut.","Sint exercitationem aliquam et blanditiis neque qui ut.","Et quae neque minima voluptate aut et vero assumenda."]</t>
  </si>
  <si>
    <t>["Dicta a voluptate cumque enim perferendis omnis quia. Ullam in est id maxime quae veniam. Incidunt sequi voluptatem ducimus quis.","Animi possimus tenetur corporis labore ab. Sint natus nesciunt quaerat et animi consectetur. Voluptas atque recusandae perferendis."]</t>
  </si>
  <si>
    <t>aspernatur-voluptas-12-32-4-red</t>
  </si>
  <si>
    <t>ullam incidunt et</t>
  </si>
  <si>
    <t>https://via.placeholder.com/300x650.png/00ee00?text=Smartphone+ut</t>
  </si>
  <si>
    <t>["Hic dolores ut in ab magni.","Nisi blanditiis neque nulla ducimus voluptatem labore consequatur.","Ea cumque vitae vel recusandae velit perspiciatis.","Laborum est qui aliquid similique et molestias.","Saepe qui culpa dicta enim.","Nihil quo corrupti culpa qui occaecati.","Et assumenda quia quas.","Earum quaerat nulla quos ipsa.","Autem voluptatem tempore ipsum praesentium sunt aut.","Ut aut perspiciatis est minus."]</t>
  </si>
  <si>
    <t>["Necessitatibus autem voluptas eaque excepturi. Nisi provident porro inventore et et consequatur iusto. Quasi maiores incidunt ut unde.","Magnam minima voluptate aut facilis reiciendis amet facere. Voluptate dolorum necessitatibus iure mollitia quidem. Aut facere enim perspiciatis enim."]</t>
  </si>
  <si>
    <t>corrupti-ducimus-2-32-6-green</t>
  </si>
  <si>
    <t>saepe rem rerum</t>
  </si>
  <si>
    <t>https://via.placeholder.com/300x650.png/0011aa?text=Smartphone+molestiae</t>
  </si>
  <si>
    <t>["Molestias illum a quo amet.","Illum repudiandae illo tempore vel ipsam modi.","Corrupti quia sunt similique et.","Est fuga in vitae est eaque quos.","Enim doloremque tempore a assumenda harum facere aut.","Explicabo reiciendis omnis quia veniam ab rerum voluptatem.","Aut qui suscipit voluptatem aut.","Facilis voluptas quam qui voluptatum accusantium.","Possimus inventore ut repudiandae eum nisi.","In sequi alias esse."]</t>
  </si>
  <si>
    <t>["Commodi iure ea aperiam odit iusto eveniet perspiciatis. Repellendus optio quia atque natus quos quisquam. Voluptatem quia repudiandae quidem dicta labore occaecati porro.","Velit libero earum sint quia officia. Sint non eum eius nihil praesentium facere. Dolores sunt dicta delectus provident recusandae ullam. Est et non expedita pariatur molestiae quod. Qui qui dolorem quae."]</t>
  </si>
  <si>
    <t>voluptate-dicta-6-128-5-black</t>
  </si>
  <si>
    <t>facere quos nihil</t>
  </si>
  <si>
    <t>https://via.placeholder.com/300x650.png/00ee22?text=Smartphone+quod</t>
  </si>
  <si>
    <t>["Omnis voluptas porro consequatur autem.","Voluptates laudantium distinctio facilis dolor dolores accusamus.","Aperiam iure nam et aspernatur modi labore.","Totam alias nihil voluptatem aliquam voluptas a.","Ipsa voluptas sit ratione aliquam nobis.","Officiis ea quae voluptates rem quisquam ullam perspiciatis.","Debitis numquam pariatur officiis.","Reiciendis rerum sequi dolorem odio maiores velit perferendis.","Dolor aspernatur optio quaerat quia labore aut odio.","Quaerat doloremque sint id ut iusto numquam eveniet."]</t>
  </si>
  <si>
    <t>["Ipsum earum adipisci vero ratione esse. Aut aut ratione ipsa omnis blanditiis. Rerum dolores distinctio ullam harum consequuntur soluta aspernatur.","Ut officia adipisci eius et necessitatibus. Qui quia laboriosam molestiae ut consequuntur minus consequatur. Omnis alias sed id quod. Enim quo itaque quibusdam tempora cumque ad. Et aut quod itaque aut laudantium."]</t>
  </si>
  <si>
    <t>quasi-voluptatem-4-8-5-blue</t>
  </si>
  <si>
    <t>quae ad veritatis</t>
  </si>
  <si>
    <t>https://via.placeholder.com/300x650.png/0022ff?text=Smartphone+autem</t>
  </si>
  <si>
    <t>["Velit fugiat non et rem id ab.","Qui beatae et est illum qui.","Quia qui odit sunt labore eius tempora vel ut.","Voluptas mollitia aspernatur natus nobis.","Non accusamus culpa repellat.","Voluptate necessitatibus velit exercitationem et.","Omnis et unde in quo omnis qui.","Maiores et quos autem excepturi enim autem autem natus.","Eaque aut aspernatur veniam dignissimos quasi autem est aut.","In rerum debitis ipsa nobis."]</t>
  </si>
  <si>
    <t>["Sunt possimus aut enim autem sit quia quisquam. Velit et assumenda tempora sunt a. Nobis quia possimus dolore. Adipisci aut quos adipisci vero. Nostrum iure eveniet magnam modi.","Alias quam consequuntur dignissimos illo. Voluptatibus temporibus libero ea mollitia. Quibusdam eum natus temporibus et sed."]</t>
  </si>
  <si>
    <t>sed-sit-8-512-5-blue</t>
  </si>
  <si>
    <t>est quae temporibus</t>
  </si>
  <si>
    <t>https://via.placeholder.com/300x650.png/00aa00?text=Smartphone+consectetur</t>
  </si>
  <si>
    <t>["Minus consequuntur esse repellendus nesciunt odit.","Nemo nobis sed sapiente iste amet.","Rem quia quasi quisquam reiciendis fuga dolor mollitia.","Est deserunt libero soluta aut id similique in.","Aut autem non aut eos.","Quam sequi quae accusamus fuga.","Facere velit nihil non dolores.","Possimus et nemo nihil quasi.","Est placeat occaecati aut non.","Velit est aliquam id."]</t>
  </si>
  <si>
    <t>["Harum quibusdam assumenda atque. Quia dolores ducimus suscipit occaecati. Tenetur voluptatem excepturi mollitia temporibus et beatae. Provident nostrum omnis excepturi. Natus voluptates dolore vero non.","Nihil quisquam quasi debitis ut culpa vitae. Mollitia impedit recusandae adipisci molestiae vitae sed dignissimos excepturi. Sed consequatur ullam culpa laborum. Sed libero non reprehenderit eveniet quod labore."]</t>
  </si>
  <si>
    <t>voluptate-ratione-6-8-3-green</t>
  </si>
  <si>
    <t>earum cum amet</t>
  </si>
  <si>
    <t>https://via.placeholder.com/300x650.png/00bbdd?text=Smartphone+perferendis</t>
  </si>
  <si>
    <t>["Similique quidem molestiae ducimus distinctio unde maxime molestiae cum.","Autem officia nam necessitatibus minima non.","Laudantium dolor cum qui qui.","Enim ut saepe id qui est sed eos.","Molestiae et consequatur debitis voluptatum quia aperiam.","Non voluptates saepe est vel sed sint possimus.","Recusandae odit debitis aut.","Quaerat assumenda nihil inventore animi ad qui neque.","Nulla ut aliquam nemo qui.","Atque doloremque quia est est temporibus et."]</t>
  </si>
  <si>
    <t>["Ea sit voluptatum quia maiores facere officiis. Voluptatem sit officia corrupti corporis quia rerum aliquam minima. Architecto culpa atque sapiente molestias et illo.","Dignissimos repellat facere id voluptas impedit qui. Non laboriosam quos sapiente aut."]</t>
  </si>
  <si>
    <t>voluptate-dicta-4-8-2-black</t>
  </si>
  <si>
    <t>tempora voluptates fuga</t>
  </si>
  <si>
    <t>https://via.placeholder.com/300x650.png/00aacc?text=Smartphone+sint</t>
  </si>
  <si>
    <t>["Saepe esse recusandae optio necessitatibus id quasi inventore.","Ut aut qui laudantium sed.","Numquam et eos quam aliquid et repellat labore.","Delectus nulla consequuntur maiores delectus hic et tempora ratione.","Voluptas aspernatur ducimus maxime distinctio sed aliquam.","Unde nemo delectus et nihil neque enim rerum.","Rerum quibusdam dolorem iusto qui doloremque voluptates.","Quisquam ea inventore temporibus cupiditate.","Sit voluptatibus quae aut debitis perspiciatis dolore voluptate expedita.","Vel nesciunt dignissimos ab molestiae quibusdam."]</t>
  </si>
  <si>
    <t>["Non nobis quia quod voluptate distinctio. Ullam quia architecto minus praesentium quam voluptatem.","Quo cumque quia ut aut et qui atque. Et autem et consequuntur consequuntur sit aliquam. Id officiis rerum commodi voluptas totam voluptatem accusamus laudantium. In reprehenderit iste maiores."]</t>
  </si>
  <si>
    <t>sed-earum-6-16-3-white</t>
  </si>
  <si>
    <t>repellendus aut aut</t>
  </si>
  <si>
    <t>https://via.placeholder.com/300x650.png/0088ee?text=Smartphone+ut</t>
  </si>
  <si>
    <t>["Qui cupiditate modi velit pariatur non id.","Repellat facere ullam optio exercitationem nulla ipsam quia.","Ipsa nihil quo totam sit sed.","Iste libero aut amet vitae quis in quo.","Dolores rerum suscipit ut.","Eum sint possimus quibusdam qui repellat beatae et.","Doloremque dolorem dolores maxime porro eveniet porro praesentium velit.","Laboriosam labore ab sed dolorem quia.","Repellendus dolorem quia exercitationem provident fugit nihil aspernatur.","Ad suscipit autem quia et similique a rerum."]</t>
  </si>
  <si>
    <t>["Illum praesentium animi voluptatem iste quaerat iste temporibus optio. Est non corrupti dolor sit dolores modi. Ea dolor itaque nostrum ut incidunt voluptatem quo quaerat.","Magnam aut ducimus aut ad sit beatae. Quibusdam provident sint optio rem. Enim dolorum dolor unde facere velit laudantium."]</t>
  </si>
  <si>
    <t>est-maiores-12-8-2-red</t>
  </si>
  <si>
    <t>quibusdam voluptatem quasi</t>
  </si>
  <si>
    <t>https://via.placeholder.com/300x650.png/00dd55?text=Smartphone+nam</t>
  </si>
  <si>
    <t>["Ipsam blanditiis et enim est nisi.","Aliquam commodi optio architecto.","Perferendis eum repellat accusantium voluptatum consectetur ex corrupti.","Quod excepturi sit nostrum et.","Necessitatibus assumenda voluptate est quibusdam voluptas similique.","Impedit atque et quidem.","Molestiae quia itaque excepturi ducimus aut quasi qui.","Mollitia autem omnis accusamus voluptatem eos.","Et quam ut corporis occaecati.","Provident molestiae dolores harum aut."]</t>
  </si>
  <si>
    <t>["Non maiores est sit dolor velit quis alias. Inventore enim et architecto. Sunt alias aut tenetur nulla aut doloremque corporis.","Voluptates iste numquam ad qui excepturi exercitationem distinctio. Voluptas qui suscipit quaerat doloremque est. Asperiores aliquam corrupti ut ut et iure dolorem inventore."]</t>
  </si>
  <si>
    <t>quasi-qui-6-512-3-black</t>
  </si>
  <si>
    <t>est et aliquid</t>
  </si>
  <si>
    <t>https://via.placeholder.com/300x650.png/0055bb?text=Smartphone+in</t>
  </si>
  <si>
    <t>["Dicta omnis harum modi perspiciatis pariatur ut.","Eum eum harum delectus et adipisci et maiores voluptate.","Mollitia quasi repellat deserunt error dicta omnis iure.","Esse excepturi voluptas rem temporibus.","Corrupti quidem similique sed molestiae odit.","Quia aut sunt similique non ut accusamus.","Repudiandae veritatis laborum enim fugit quam.","Pariatur voluptas sapiente et.","Suscipit sed autem nisi qui perferendis ipsam.","Maiores et molestiae rem necessitatibus est sit."]</t>
  </si>
  <si>
    <t>["Sit similique similique adipisci sunt dolorem earum magni. Magnam deserunt molestiae alias distinctio provident. Id inventore omnis odit fugiat quae nihil autem.","Vitae quibusdam porro debitis quod. Natus consequuntur pariatur eum voluptatem eaque veritatis culpa quos. Magnam occaecati sint quae. Vero rerum molestiae excepturi labore iure."]</t>
  </si>
  <si>
    <t>ut-blanditiis-2-128-4-black</t>
  </si>
  <si>
    <t>dolores quod ut</t>
  </si>
  <si>
    <t>https://via.placeholder.com/300x650.png/009933?text=Smartphone+nam</t>
  </si>
  <si>
    <t>["Aut molestiae voluptatum voluptatem earum atque ipsa qui.","Vero voluptatibus facere possimus officiis et magnam numquam.","Quam quia quisquam odit.","Iure magni quia placeat velit et.","Libero non rerum et.","Eligendi rerum rerum officia.","Ut esse voluptas atque dicta veritatis veniam.","Soluta sint a rem optio at id.","Quia impedit voluptatem fugit consequatur ea sed.","Cum at mollitia consectetur officiis."]</t>
  </si>
  <si>
    <t>["Vitae voluptatem omnis sapiente labore cupiditate. Et beatae omnis repellendus quisquam iste asperiores quod vel. Inventore ut voluptatem architecto est incidunt aut. Laboriosam neque nisi consequatur non pariatur.","Porro id optio commodi iusto. Nisi beatae accusantium et magnam cumque perferendis. Dolores blanditiis laudantium molestias velit. Est et dolores a maxime."]</t>
  </si>
  <si>
    <t>sed-quae-2-64-2-blue</t>
  </si>
  <si>
    <t>sint ut enim</t>
  </si>
  <si>
    <t>https://via.placeholder.com/300x650.png/004422?text=Smartphone+laboriosam</t>
  </si>
  <si>
    <t>["Officia magnam voluptatem rerum dolorum consectetur odio natus.","Facere tempore voluptas voluptatem.","Quo impedit pariatur et qui id sed.","Omnis enim voluptatem aspernatur eaque.","Rerum quibusdam sint a asperiores quod exercitationem vitae.","Facilis vitae voluptatem sunt sit facere ut.","Assumenda ipsam quasi incidunt et itaque.","Modi debitis esse magnam dolorem natus magni et.","Minima aut consequatur sed accusantium eos eius suscipit quas.","Est id placeat sint sapiente ex."]</t>
  </si>
  <si>
    <t>["Fugiat vel et id assumenda amet minus. Fugiat adipisci qui quis qui cumque nesciunt at reprehenderit. Quia at sint dolor rerum autem nisi.","Velit qui animi aut velit. Et est numquam corporis non sint eaque omnis. Unde aliquid laborum facilis modi."]</t>
  </si>
  <si>
    <t>quasi-voluptatem-8-8-6-green</t>
  </si>
  <si>
    <t>quo voluptatem vel</t>
  </si>
  <si>
    <t>https://via.placeholder.com/300x650.png/00ff22?text=Smartphone+ab</t>
  </si>
  <si>
    <t>["Voluptatem necessitatibus sed nihil magni eius nisi.","Libero nihil eum saepe quo.","Quis quasi et magnam provident velit cum quisquam.","Tenetur perferendis non voluptatibus voluptatem rerum sunt autem vitae.","Animi quos id minima ut ut ad.","Quam ut magnam molestiae soluta et nihil et.","Quisquam ullam deserunt assumenda veniam.","Voluptate tenetur rerum laboriosam voluptas necessitatibus deserunt maxime.","Quam provident quisquam quae vero delectus.","Commodi nemo enim et odio ratione consequuntur nam."]</t>
  </si>
  <si>
    <t>["Et consequuntur in odio et optio. Quasi ut amet et dolores ipsum quaerat. Omnis amet ipsum et deserunt corporis ut sed.","Qui quia eum quisquam et quae sit repudiandae. Exercitationem cumque a provident est quos sapiente ut. Veniam quia voluptatibus aut quia sint autem. Nisi hic modi qui fuga sint libero numquam quia."]</t>
  </si>
  <si>
    <t>maiores-deleniti-2-64-6-red</t>
  </si>
  <si>
    <t>cumque non inventore</t>
  </si>
  <si>
    <t>https://via.placeholder.com/300x650.png/007744?text=Smartphone+libero</t>
  </si>
  <si>
    <t>["Reprehenderit unde est similique et voluptatem explicabo.","Nihil autem ullam provident sint perspiciatis aliquid modi et.","Aliquam in assumenda aut laboriosam autem amet ad illo.","Officiis temporibus nam repellat beatae magni aliquid delectus.","Consequatur consequuntur et quos dolorum aspernatur eaque.","Eligendi sed ipsum quibusdam laborum.","Aut laborum eaque pariatur ullam inventore sit incidunt.","Rerum provident id totam enim ut id.","Nihil necessitatibus et neque ut quae beatae.","Sint veritatis maiores natus omnis cumque provident."]</t>
  </si>
  <si>
    <t>["Saepe voluptate sequi unde quod. Accusamus reiciendis voluptatum esse ut. Labore repellat velit ipsam vero quas itaque impedit.","Officia ullam delectus rerum aliquam aut. Dolorem laboriosam cupiditate laudantium deleniti deleniti. Cupiditate qui eum culpa cum atque. Consequatur nemo atque sapiente soluta eum consequatur."]</t>
  </si>
  <si>
    <t>ut-blanditiis-4-128-5-black</t>
  </si>
  <si>
    <t>omnis ipsa nulla</t>
  </si>
  <si>
    <t>https://via.placeholder.com/300x650.png/0011bb?text=Smartphone+id</t>
  </si>
  <si>
    <t>["Ut quia esse dolor aut at possimus perferendis.","Corporis sequi quaerat nihil eos quo libero dolorum est.","Quos sed dolorem consequatur delectus consequatur possimus.","Est tempora explicabo eligendi odit molestiae est ipsa.","Non est sed est dolor omnis.","Provident corrupti porro velit voluptate et perspiciatis.","Quibusdam sunt sit earum vel repudiandae sed facilis et.","Aut est aliquam nisi eos enim mollitia nostrum dolorum.","Impedit dolores sed nulla voluptas.","Explicabo quo vitae dolor eum quibusdam."]</t>
  </si>
  <si>
    <t>["Nam voluptatem rem harum similique quia id officia eos. Omnis rerum maiores rerum optio itaque vitae. Voluptas adipisci ipsa culpa non consequuntur sequi. Quo quidem autem ipsum sapiente ut id voluptatem.","Molestiae nihil omnis mollitia. Sint quisquam reprehenderit nihil corrupti. Sed molestiae quod ut neque voluptas illo numquam. Qui ut ullam nobis et laborum tenetur."]</t>
  </si>
  <si>
    <t>maiores-iure-4-64-4-red</t>
  </si>
  <si>
    <t>sint sed nisi</t>
  </si>
  <si>
    <t>https://via.placeholder.com/300x650.png/0022ff?text=Smartphone+qui</t>
  </si>
  <si>
    <t>["Dolore eveniet hic est et.","Autem rerum est nemo est dolorem quaerat quisquam quia.","Libero odit temporibus voluptatum voluptate.","Esse ratione sequi exercitationem autem temporibus omnis harum.","Et voluptatem qui error quo vitae ut.","Quo voluptatem amet omnis dicta pariatur eum.","In voluptas quas qui omnis et voluptatem omnis.","Reiciendis fugit ducimus quis omnis rerum quos.","Sequi quibusdam cupiditate tempore corporis.","Nemo iusto in aperiam perferendis."]</t>
  </si>
  <si>
    <t>["Ea perferendis nulla et. Sapiente molestiae totam placeat nihil nihil nisi velit. Autem et magnam incidunt est rerum fugit. Deserunt id laborum repudiandae. Reprehenderit ut est cum est.","Voluptatum recusandae repellat non cupiditate voluptas. Qui magnam unde nostrum tempora animi. Natus enim iure quo nemo."]</t>
  </si>
  <si>
    <t>illum-autem-4-32-3-black</t>
  </si>
  <si>
    <t>rerum qui delectus</t>
  </si>
  <si>
    <t>https://via.placeholder.com/300x650.png/00ff55?text=Smartphone+suscipit</t>
  </si>
  <si>
    <t>["Sit vitae quasi doloribus aut ea mollitia quae.","Dolor quibusdam provident praesentium nobis officia sed quis fugit.","Corporis ut natus voluptatem quaerat nisi maxime doloremque.","Facilis culpa ducimus autem dolorem voluptates quia corporis.","Quas dignissimos aut aperiam aspernatur qui aut ut.","Quo eos consequatur eligendi repellat voluptatibus officia ullam.","Et et suscipit fugit et et.","Ut sed est quo doloribus animi.","Rerum asperiores dolores non voluptatibus impedit animi dolores.","Dolorem aliquam facilis suscipit ut distinctio maxime."]</t>
  </si>
  <si>
    <t>["Impedit at ad voluptas incidunt. Explicabo illum dolore eaque odio. Unde repudiandae quo nesciunt aliquid dignissimos. Est officia soluta aut eos magnam aspernatur.","Optio neque occaecati aspernatur. Ut facere ea quis sed adipisci autem et suscipit. Est consectetur quo quaerat quo qui."]</t>
  </si>
  <si>
    <t>sed-id-12-32-2-white</t>
  </si>
  <si>
    <t>soluta ipsam quisquam</t>
  </si>
  <si>
    <t>https://via.placeholder.com/300x650.png/00eeaa?text=Smartphone+enim</t>
  </si>
  <si>
    <t>["Voluptatem consectetur numquam distinctio veritatis placeat amet.","Est magnam sunt saepe sed hic aut ut.","Dolor nisi ut et doloremque excepturi.","Ut iste et et dolores.","Sed est iusto dolorem ratione qui.","Voluptas minus numquam odio.","Et repellat non est molestiae vel deleniti.","Nesciunt voluptas nobis doloremque omnis atque.","Qui dolor blanditiis explicabo totam quis.","Cum dolorem perspiciatis quis adipisci ut."]</t>
  </si>
  <si>
    <t>["Accusamus pariatur distinctio rerum veritatis iste natus doloremque. Doloremque officiis et in dolores nam vero. Ut facilis numquam similique quisquam unde rem cupiditate tenetur.","Nisi et ut repudiandae quis nesciunt. Qui et et rerum vitae sed. Voluptatem aperiam quo id."]</t>
  </si>
  <si>
    <t>maiores-consequatur-2-128-5-black</t>
  </si>
  <si>
    <t>dolores quod illum</t>
  </si>
  <si>
    <t>https://via.placeholder.com/300x650.png/008866?text=Smartphone+labore</t>
  </si>
  <si>
    <t>["Temporibus in magni totam consequatur et exercitationem harum.","Nulla facere aut omnis eum deserunt nobis molestiae.","Est est consequuntur laboriosam consectetur aliquam laboriosam consequuntur.","Earum nobis id voluptatem nihil.","Ducimus vel quod facilis alias.","Consequuntur dolorem nihil voluptas minus ut in qui doloribus.","Et impedit ut numquam nesciunt commodi.","Neque aut quisquam vel sit excepturi voluptatem animi.","Aut natus fugiat nisi nisi.","Ea ut aut hic culpa."]</t>
  </si>
  <si>
    <t>["Omnis et voluptatem sint ipsa autem. Sunt quam odio occaecati itaque consectetur id. Assumenda alias vel sed velit repellendus. Ut et aliquid pariatur et et vitae consequatur eos.","Dolor non sit quos consequatur. In voluptatem odit omnis et magni earum. Est quis dicta quod est maiores. Consequuntur non nihil quia. Tempore exercitationem ut voluptatum sunt inventore."]</t>
  </si>
  <si>
    <t>maiores-recusandae-8-128-3-red</t>
  </si>
  <si>
    <t>eius provident similique</t>
  </si>
  <si>
    <t>https://via.placeholder.com/300x650.png/003355?text=Smartphone+id</t>
  </si>
  <si>
    <t>["Cumque vel similique perspiciatis assumenda harum consequuntur autem.","Quod dolorem sed laborum quod mollitia.","Aliquid veritatis aut dolorum veniam sed rerum alias voluptate.","Magni quibusdam aliquam est nam.","Quisquam sunt eaque voluptate et itaque pariatur sunt.","Inventore maxime corporis cum voluptatem ea sequi.","Amet ut sint exercitationem quidem neque distinctio.","Quasi accusantium enim facere eos ea maiores necessitatibus.","Et ea a et doloribus.","Reprehenderit aut quaerat ducimus deleniti."]</t>
  </si>
  <si>
    <t>["Facilis eaque autem fugit hic ullam laudantium. Suscipit eius quasi fugit fugiat quas praesentium.","Deleniti magnam nam consequatur nihil. Iure nulla saepe vel voluptates atque. Totam explicabo quasi vel laboriosam. Laborum tempora corrupti inventore impedit sunt dolorem pariatur. Sint est et eos exercitationem."]</t>
  </si>
  <si>
    <t>aspernatur-eum-4-512-2-black</t>
  </si>
  <si>
    <t>corporis porro quidem</t>
  </si>
  <si>
    <t>https://via.placeholder.com/300x650.png/0088aa?text=Smartphone+non</t>
  </si>
  <si>
    <t>["Quisquam repellendus corporis in soluta qui minus.","Omnis iure ut qui nostrum ea.","Eaque facilis voluptas et provident in quae vel.","Cum occaecati quo fugiat voluptatem quo doloremque consequatur.","Cum minima voluptatem est labore.","Voluptatibus expedita placeat est harum sit laboriosam.","Sapiente odio voluptatem totam dicta.","Facere dolorem aut autem maiores qui minima.","Ut veniam ut doloremque qui quasi qui.","Eius cum nulla voluptas ea ex et eligendi nihil."]</t>
  </si>
  <si>
    <t>["Consequatur vel soluta quasi provident esse. Tenetur veritatis eius accusantium non. Quae minima sit qui est sed quis optio. Vel veritatis omnis ullam incidunt exercitationem maxime itaque.","Aliquid sed dolorem fugit veniam dicta. Hic soluta sit id. Praesentium aut autem qui similique suscipit culpa nulla. Quis quaerat sed ratione."]</t>
  </si>
  <si>
    <t>sed-necessitatibus-4-32-4-blue</t>
  </si>
  <si>
    <t>necessitatibus sunt nam</t>
  </si>
  <si>
    <t>https://via.placeholder.com/300x650.png/0044cc?text=Smartphone+maxime</t>
  </si>
  <si>
    <t>["Optio voluptatem fuga recusandae laboriosam explicabo nesciunt eum.","Commodi id magnam exercitationem neque qui a ut.","Sunt rerum assumenda iste voluptas ex.","Sunt minus adipisci error quo laudantium.","Ipsum ea qui debitis laboriosam sit voluptatem.","Sunt quo ducimus incidunt sit deleniti temporibus sunt.","Veniam porro enim excepturi nihil quis.","Soluta praesentium iste ut exercitationem.","Ab aut provident iste maiores id consectetur et enim.","Dolore autem nemo possimus maxime molestiae nostrum est."]</t>
  </si>
  <si>
    <t>["Fuga est eius et eos. Nisi quibusdam voluptates ut.","Sed quos enim voluptatum voluptates. Sit officiis repudiandae corrupti recusandae. Dolore autem recusandae aut pariatur."]</t>
  </si>
  <si>
    <t>voluptate-nemo-8-64-6-black</t>
  </si>
  <si>
    <t>molestiae non esse</t>
  </si>
  <si>
    <t>https://via.placeholder.com/300x650.png/0000aa?text=Smartphone+amet</t>
  </si>
  <si>
    <t>["Dolor minima natus ut voluptate magni animi.","Aut ducimus consequatur velit provident.","Quas in veritatis est cupiditate omnis illum ut voluptas.","Hic repellat minima velit et perferendis.","Earum ipsam ad qui dolorem voluptate rerum ab.","Quia repellat tempore cumque numquam.","Optio consequatur ut ut suscipit sunt fugit.","Corporis placeat quam incidunt ab dolor dolor repudiandae.","Vel voluptatem et minus et quisquam.","Quos aut exercitationem est omnis sequi."]</t>
  </si>
  <si>
    <t>["Delectus porro in velit accusamus molestiae molestias. Voluptates architecto est odio fuga et adipisci consequatur. Doloribus est veniam inventore.","Nostrum omnis corporis provident eum ullam. Eos iste quia veritatis repellat commodi et dolor. Eaque non ut et fugit quia consequatur. Nam et inventore ea et."]</t>
  </si>
  <si>
    <t>illum-id-12-16-4-black</t>
  </si>
  <si>
    <t>sint fuga perferendis</t>
  </si>
  <si>
    <t>https://via.placeholder.com/300x650.png/00ee99?text=Smartphone+est</t>
  </si>
  <si>
    <t>["Beatae impedit velit consequatur dolorum blanditiis eveniet.","Et inventore distinctio ut quia.","Voluptatem sed non et fugiat.","Error necessitatibus reiciendis non minima.","Quod dolores quis fugiat aut molestiae ipsum.","Debitis dolores voluptatem earum quam laboriosam dicta.","Delectus commodi aut et culpa aut.","Eaque debitis sint sed est iure.","Provident voluptatum aut doloremque illum iusto.","Error totam quos omnis labore."]</t>
  </si>
  <si>
    <t>["Dolor iste repellat dolorem itaque. Voluptas consectetur asperiores cumque nisi eum sapiente sunt placeat. Quo iusto ratione officia eaque.","Voluptatem repellendus aliquam quis harum autem velit. Sit consequatur enim repudiandae aut. Eveniet illo tenetur in nisi eaque. Dolorem deserunt exercitationem natus recusandae est mollitia corrupti. Pariatur qui voluptatem consequatur magnam."]</t>
  </si>
  <si>
    <t>sed-natus-2-512-2-green</t>
  </si>
  <si>
    <t>ea ut dicta</t>
  </si>
  <si>
    <t>https://via.placeholder.com/300x650.png/00aa66?text=Smartphone+velit</t>
  </si>
  <si>
    <t>["Qui aut velit aliquid omnis consequuntur nostrum magnam sed.","Et velit minima quos nulla.","Fugit saepe ullam sint natus.","Ut accusantium magnam ipsam sed animi laboriosam.","Ipsam eos voluptas dolorem veritatis numquam consectetur.","Harum alias architecto laboriosam et.","Inventore dignissimos repudiandae pariatur reprehenderit aut.","Dolorem veritatis non nesciunt labore sint qui.","Debitis accusamus quidem et omnis.","Doloremque illo necessitatibus voluptatem quia dolores."]</t>
  </si>
  <si>
    <t>["Et qui incidunt dolorum et. Minus tenetur ad nisi odio praesentium delectus. Atque quis sed excepturi architecto et aut.","Qui inventore placeat cupiditate rem. Vel nisi quas eos et occaecati. Sunt dolore ut corporis dolor voluptas rerum ut qui."]</t>
  </si>
  <si>
    <t>est-vel-12-128-4-black</t>
  </si>
  <si>
    <t>tempora officiis aut</t>
  </si>
  <si>
    <t>https://via.placeholder.com/300x650.png/00aa33?text=Smartphone+eaque</t>
  </si>
  <si>
    <t>["In neque voluptas fugiat commodi laudantium minima.","Quia minima cum exercitationem illum hic ullam.","Veniam ut voluptatem et suscipit sunt.","Dolores molestiae totam aut dignissimos.","Et nostrum ea et asperiores dolor autem voluptatibus.","Assumenda culpa saepe dolor corrupti aliquam.","Repellendus sed error porro harum fugiat debitis.","Quas vel tempora harum iste saepe voluptatibus.","Culpa officiis sunt pariatur nulla dolorem officiis modi.","Eligendi nam delectus placeat commodi alias."]</t>
  </si>
  <si>
    <t>["Dolorem quis quia dolore quis laudantium. Iusto reprehenderit vitae natus dolor ea ex repudiandae veritatis. Aut est ex laboriosam vitae dolores qui aut corrupti.","Ipsam incidunt tenetur illo sequi deserunt. Rem repudiandae reprehenderit aut autem iure illum et. Eum facere iusto quia. Totam dolor dicta et quo velit."]</t>
  </si>
  <si>
    <t>est-dolorum-4-16-4-white</t>
  </si>
  <si>
    <t>similique molestiae quod</t>
  </si>
  <si>
    <t>https://via.placeholder.com/300x650.png/00ee77?text=Smartphone+quidem</t>
  </si>
  <si>
    <t>["Culpa aperiam sed qui laboriosam perferendis consequatur.","Quod harum repudiandae quod quis.","Necessitatibus possimus necessitatibus dolore corporis.","Amet et nisi odio occaecati porro aut sint.","Pariatur voluptatem ut quisquam.","Iusto dolor enim voluptate rerum.","Ex sapiente non enim accusamus.","Veritatis ducimus in suscipit inventore veritatis.","Minus molestias quas omnis iste est ut.","Non inventore sed soluta aliquid praesentium minima debitis reiciendis."]</t>
  </si>
  <si>
    <t>["Eveniet nihil sunt sit omnis veritatis nulla. Modi vel modi quasi eveniet. Molestiae sequi consequuntur sunt voluptatem. Recusandae voluptatem recusandae tempore nostrum corporis non.","Autem perspiciatis voluptatibus laudantium animi mollitia laboriosam enim. Sequi commodi quia odit quo et."]</t>
  </si>
  <si>
    <t>aspernatur-aliquam-4-64-6-white</t>
  </si>
  <si>
    <t>et pariatur sunt</t>
  </si>
  <si>
    <t>https://via.placeholder.com/300x650.png/0088ee?text=Smartphone+recusandae</t>
  </si>
  <si>
    <t>["A aut consequatur non laboriosam neque.","Et maiores laborum qui error ipsa dolores.","Nesciunt quam deleniti repellat ipsam necessitatibus reiciendis.","Et maxime magni voluptatum.","Maiores quos dicta illum ut dolorem ut dolor voluptate.","Animi quibusdam incidunt est quas.","Eos sapiente id labore quidem doloribus nihil suscipit.","Aut voluptates molestiae et et.","Id ratione quo ullam quaerat quidem accusamus.","Quas rerum enim rerum sunt."]</t>
  </si>
  <si>
    <t>["Sit reiciendis nemo minima quod. Voluptatibus quidem commodi rem eos sit odio aut. Ratione ea unde iste labore tempore sint. Odio et id vero culpa a.","Et omnis et vero aperiam sint quia. Fuga accusamus et hic est eum error et inventore. Eum enim quisquam et numquam maxime autem."]</t>
  </si>
  <si>
    <t>corrupti-occaecati-6-64-5-black</t>
  </si>
  <si>
    <t>iste qui hic</t>
  </si>
  <si>
    <t>https://via.placeholder.com/300x650.png/00ffff?text=Smartphone+totam</t>
  </si>
  <si>
    <t>["Recusandae laboriosam aut omnis et.","Ratione totam distinctio fugit dolorum.","Aliquam tempore quia quis voluptate.","Ratione hic harum et atque voluptas quis et.","Quibusdam tenetur vitae et consequatur esse officia non.","Pariatur adipisci sint rem eos omnis temporibus.","A aperiam quod non occaecati porro.","Enim sed eum reprehenderit error ducimus non et.","Nulla repudiandae voluptatum repudiandae qui.","Tempora ad hic natus et ut dolor sunt."]</t>
  </si>
  <si>
    <t>["Ipsum iste animi expedita est consectetur at. Et blanditiis laudantium accusantium unde aspernatur quaerat architecto. Tempore et reiciendis explicabo esse.","Nihil voluptate minima corporis ab minima vitae in. Veritatis numquam et nobis sequi corrupti. Quia ipsa sint quo libero deserunt. Iure veniam reprehenderit facere aut accusantium est."]</t>
  </si>
  <si>
    <t>maiores-quia-6-8-3-black</t>
  </si>
  <si>
    <t>voluptatum dicta quibusdam</t>
  </si>
  <si>
    <t>https://via.placeholder.com/300x650.png/00bb66?text=Smartphone+et</t>
  </si>
  <si>
    <t>["Aut fugit sapiente qui ullam praesentium non error.","Voluptas fugit cupiditate quam autem pariatur eum.","Quibusdam unde ut illum corporis vero dolor repellendus.","Minima voluptatem libero eum atque ut qui.","Quis et eos ad necessitatibus et et.","Ratione eius exercitationem at.","Quidem fuga ad minus.","Quos aut facere at.","Tempora ea sint est repellendus nostrum deleniti aut.","Repudiandae blanditiis ut libero est placeat."]</t>
  </si>
  <si>
    <t>["Placeat dolores aperiam velit doloribus cupiditate veniam maiores. Iste rerum autem numquam ut. Minus et suscipit eum. Odit ipsa maxime exercitationem incidunt.","Libero quas facilis molestiae eligendi. Consequatur tempore sed minus praesentium et et. Dolorem labore facere ex quos enim eos. Veniam necessitatibus aspernatur fugit ipsa impedit rerum qui."]</t>
  </si>
  <si>
    <t>ut-et-4-16-2-red</t>
  </si>
  <si>
    <t>sint possimus officiis</t>
  </si>
  <si>
    <t>https://via.placeholder.com/300x650.png/000077?text=Smartphone+id</t>
  </si>
  <si>
    <t>["Et voluptatem neque cum animi voluptatem facere.","Omnis in tenetur numquam in est.","Et esse delectus illo consectetur rerum.","Est iusto occaecati rerum omnis accusantium.","Molestiae unde tempore ducimus ea.","Saepe tempore et et quasi omnis.","Vero ut hic porro.","Expedita consequatur ea amet nemo harum sit a.","Blanditiis ut expedita cum dolores inventore in autem.","Ratione nostrum eaque possimus et in."]</t>
  </si>
  <si>
    <t>["Magni praesentium voluptatem tempora minima consequatur voluptas et. Placeat quis vel accusamus autem sint omnis debitis. Eaque corporis perferendis corporis doloribus odit nihil. Nesciunt sequi vel et.","Et impedit at earum sed veritatis. Animi dolorem facilis eligendi iste neque porro. Omnis laudantium quia qui in ad et. Laborum mollitia alias enim qui unde."]</t>
  </si>
  <si>
    <t>sed-rerum-12-16-3-white</t>
  </si>
  <si>
    <t>qui et neque</t>
  </si>
  <si>
    <t>https://via.placeholder.com/300x650.png/008811?text=Smartphone+sit</t>
  </si>
  <si>
    <t>["Doloribus eum voluptatem laudantium quas blanditiis iste autem.","Saepe rem tenetur quo consequatur quidem.","Quia modi omnis a itaque quia.","Ipsum at nihil voluptatem qui.","Ea sint et veniam vero quidem nisi libero.","Nam voluptas omnis voluptas ut odio cum.","Consequatur ipsa commodi quia iste ea voluptatem occaecati.","Quod eveniet neque ut atque quis expedita reprehenderit iste.","Non amet tempore et nulla.","Non laudantium deserunt ducimus expedita debitis reprehenderit."]</t>
  </si>
  <si>
    <t>["Repellendus dolore occaecati suscipit voluptas velit cum nobis. Cupiditate dolore dolores qui voluptatem. Ea harum magni libero quaerat voluptas alias tempore. Autem dolorum molestias sit atque quod dolorem.","Sunt sapiente voluptatibus quidem eius ad architecto voluptate laboriosam. Beatae illum minus et quia amet facilis qui. Consequatur maiores qui at quidem voluptatem voluptatum nulla. Maxime pariatur tempora autem sed natus."]</t>
  </si>
  <si>
    <t>et-natus-2-8-3-black</t>
  </si>
  <si>
    <t>veritatis et rerum</t>
  </si>
  <si>
    <t>https://via.placeholder.com/300x650.png/0077ff?text=Smartphone+similique</t>
  </si>
  <si>
    <t>["Perferendis aut quae enim numquam perspiciatis rerum.","Qui quia enim temporibus et autem ea dolores enim.","Ea quis voluptatem minus iste ea pariatur error.","Commodi quae iusto sit sint tempora.","Nisi ad autem facilis blanditiis.","Aliquid magni nam enim error.","Tempora molestiae minima ex omnis.","Ut perspiciatis hic nam est.","Rerum sit nostrum hic ut tempora.","Ipsam aut repellendus quis est suscipit ea."]</t>
  </si>
  <si>
    <t>["Et fugiat autem deserunt libero qui quia. Animi corporis et id ex dolores et. Unde eos sed praesentium quod. Sapiente qui quibusdam unde quia voluptatem odit excepturi.","Omnis tempora vero fuga aspernatur et. Laboriosam ratione nihil sit accusantium autem. Voluptatibus neque non dolores aut omnis aut."]</t>
  </si>
  <si>
    <t>illum-ab-6-64-4-black</t>
  </si>
  <si>
    <t>sit id sint</t>
  </si>
  <si>
    <t>https://via.placeholder.com/300x650.png/005500?text=Smartphone+aut</t>
  </si>
  <si>
    <t>["Iusto sunt officiis similique minima non.","Voluptas laboriosam repellendus ut porro.","Vitae quis quaerat quia vitae.","Exercitationem non quaerat facilis.","Velit ut qui provident voluptas adipisci.","Autem eum ipsa voluptas quia rerum.","Quis quam impedit id.","Cupiditate quam libero exercitationem dignissimos non minima eius.","Eos nihil nihil adipisci vel quam.","Nihil possimus quo ipsum sed labore dolorum."]</t>
  </si>
  <si>
    <t>["Vitae maiores et officia blanditiis autem ex. Incidunt consequatur debitis est illo. Ad repellat praesentium cum optio. Sunt non quia ut officia repellat tenetur.","Veniam tempore odio veritatis optio. Cupiditate explicabo eveniet voluptatum voluptas dolorem accusantium. Aut provident perspiciatis delectus ut delectus."]</t>
  </si>
  <si>
    <t>maiores-in-12-16-3-red</t>
  </si>
  <si>
    <t>ut consequatur iure</t>
  </si>
  <si>
    <t>https://via.placeholder.com/300x650.png/001111?text=Smartphone+quo</t>
  </si>
  <si>
    <t>["Sint nesciunt rerum necessitatibus odio.","Qui quae dolorem corrupti vitae.","Quae nisi consequuntur doloremque dignissimos voluptatibus voluptatibus.","Omnis perferendis quaerat repellendus itaque quae quia occaecati.","Sed illo sit sapiente libero quae nisi.","Et qui quia quisquam libero.","Vel porro voluptatem a sit.","Sed quibusdam et rem blanditiis dicta.","Enim ipsum voluptas quia consequatur.","Voluptatem provident omnis quaerat tenetur pariatur voluptatum repudiandae."]</t>
  </si>
  <si>
    <t>["Voluptate quia suscipit velit quibusdam vitae. Ipsa ducimus accusantium tempore eaque tempora.","Veritatis rerum voluptas voluptatem architecto non aperiam. Qui architecto veritatis suscipit distinctio provident id sequi. Ab neque est ipsam porro autem veniam quia. Voluptatibus ipsa sed natus id voluptas nihil similique."]</t>
  </si>
  <si>
    <t>ut-eos-4-512-3-white</t>
  </si>
  <si>
    <t>fugiat et debitis</t>
  </si>
  <si>
    <t>https://via.placeholder.com/300x650.png/0099dd?text=Smartphone+quis</t>
  </si>
  <si>
    <t>["Voluptatum repellat quibusdam ullam et.","Amet pariatur dolores consequuntur voluptatem in.","Distinctio cumque deserunt odio vitae.","Perspiciatis aut quam sit adipisci.","Dicta inventore beatae odit eum culpa.","Nisi autem deleniti quos expedita.","A qui qui consequatur sit.","Adipisci voluptatem ut recusandae tenetur eum eius.","Consequatur asperiores sit consectetur.","Optio in veritatis molestias ducimus quasi officiis suscipit quia."]</t>
  </si>
  <si>
    <t>["Repudiandae nam illum sunt a. Illo neque nulla assumenda est deserunt sequi. Quidem at consequatur est praesentium quibusdam.","Non tenetur ducimus laudantium. Ratione aut ut autem consequatur delectus. Nesciunt laboriosam temporibus assumenda quos dignissimos qui. Perspiciatis dolor praesentium eveniet rerum."]</t>
  </si>
  <si>
    <t>et-natus-8-64-5-black</t>
  </si>
  <si>
    <t>eos voluptatem quasi</t>
  </si>
  <si>
    <t>https://via.placeholder.com/300x650.png/00cc11?text=Smartphone+dolor</t>
  </si>
  <si>
    <t>["Dolor dolorem rerum aut debitis quia consequuntur repellendus.","Adipisci aspernatur blanditiis odio sint repellendus.","Hic sint praesentium ullam enim.","Qui necessitatibus voluptates ducimus consequatur quo dolorum.","Aliquid et dolor sint consequatur.","Tenetur similique repudiandae consequatur sed.","Occaecati omnis sequi nemo omnis quam iusto.","Molestiae repellendus officia aut velit.","Assumenda reiciendis commodi sunt libero incidunt.","Soluta est autem quo officiis aut dolorum."]</t>
  </si>
  <si>
    <t>["Aliquam quam sit minima voluptatum quaerat et. Et aut corrupti adipisci minus. Explicabo ex nulla tenetur aut dolor. Iure aut sunt in qui eum amet.","Repellendus itaque placeat tempore assumenda sunt non aut. Aut iste similique molestiae sunt non. Recusandae quibusdam ut sed maxime. Quo temporibus consequatur quibusdam perspiciatis."]</t>
  </si>
  <si>
    <t>et-ipsa-12-512-5-red</t>
  </si>
  <si>
    <t>quam unde praesentium</t>
  </si>
  <si>
    <t>https://via.placeholder.com/300x650.png/003333?text=Smartphone+nam</t>
  </si>
  <si>
    <t>["Animi unde explicabo iusto esse.","Error numquam ullam tempore minima ut laborum.","Consequatur cumque exercitationem velit cupiditate ipsam dolores.","Eos expedita officia cumque ex velit voluptas aut.","Sit ut mollitia voluptatem delectus.","Cupiditate est ea ut amet.","Est non accusamus sint commodi sed.","Dolorem qui possimus eos et et doloremque ut.","Nisi laboriosam cum non necessitatibus magni non ut.","Libero qui ut sed vero."]</t>
  </si>
  <si>
    <t>["Ducimus iste ipsam ipsum voluptatem maiores. Ratione ut ea facere facere corporis. Qui magnam non quod. Velit vel voluptas unde sint sint nobis ipsum.","Quia autem repellendus harum velit mollitia ex dolor molestiae. Distinctio et et quo eos in sapiente ea. Aut consequatur exercitationem natus."]</t>
  </si>
  <si>
    <t>illum-perspiciatis-12-8-3-black</t>
  </si>
  <si>
    <t>rerum voluptas excepturi</t>
  </si>
  <si>
    <t>https://via.placeholder.com/300x650.png/001111?text=Smartphone+eum</t>
  </si>
  <si>
    <t>["Alias eveniet harum atque voluptatem sequi temporibus.","Nulla nemo et aliquid et et officiis.","Fugit error aut ut debitis.","Deserunt nostrum consequuntur modi incidunt.","Ut sit nostrum voluptatibus est rerum.","Eaque neque accusamus ex.","Et rerum quod autem delectus.","Ut sed dolor corrupti omnis sed nihil.","Perspiciatis illo quia et.","Debitis minima cumque consectetur dolorem inventore sed."]</t>
  </si>
  <si>
    <t>["Rerum non animi et sit in rerum sit sequi. Dolor architecto nemo id. Nostrum tempore qui quasi maxime beatae odio ratione. Adipisci mollitia non fugit sed quia.","Accusamus nostrum dolor ducimus deleniti voluptate. Nemo cupiditate ducimus pariatur saepe aut corrupti sit pariatur. Doloribus nisi non et ex."]</t>
  </si>
  <si>
    <t>ut-et-6-8-2-white</t>
  </si>
  <si>
    <t>officia accusantium officia</t>
  </si>
  <si>
    <t>https://via.placeholder.com/300x650.png/0022bb?text=Smartphone+a</t>
  </si>
  <si>
    <t>["Sint modi ducimus aut.","Voluptate accusantium ipsam rerum rerum amet alias illo in.","Quia sit sed assumenda fuga.","In hic et incidunt.","Omnis earum doloremque quod porro.","Ea exercitationem iure ut est perspiciatis laudantium nesciunt magni.","Cumque voluptatem qui vero hic.","Eum earum architecto officia molestiae sed architecto adipisci.","Repellat rem cumque est est illum repellendus facere doloremque.","Sit laudantium ut officia harum temporibus."]</t>
  </si>
  <si>
    <t>["Aut sint consequuntur consequatur reprehenderit cum quisquam. Et ab qui maiores qui error. Quod ut at voluptatem incidunt voluptas voluptatum. Aut sed odio esse delectus.","Debitis deserunt hic autem amet. Quas et pariatur aliquam molestias et nesciunt. Dolorem quasi maiores amet eum omnis saepe non at. Reprehenderit at commodi aspernatur et. Et quo corrupti ipsum deserunt id consequatur nulla dolorem."]</t>
  </si>
  <si>
    <t>sed-dolor-6-32-4-red</t>
  </si>
  <si>
    <t>quis animi sed</t>
  </si>
  <si>
    <t>https://via.placeholder.com/300x650.png/00bbaa?text=Smartphone+accusantium</t>
  </si>
  <si>
    <t>["Et sit praesentium iure et consequatur rerum totam.","Et et velit reiciendis deleniti velit officiis ipsam.","Et dolor illo dicta.","Quis ea maiores in commodi ut et.","Omnis dolorem fuga at in officia architecto incidunt ipsa.","Error eius et qui illo et rem aut adipisci.","Officia quas eos eum est dolorum eveniet.","Sed rem enim voluptas dolor ipsam quia.","Enim omnis unde illo fugit maxime.","Voluptates distinctio impedit dolorem occaecati."]</t>
  </si>
  <si>
    <t>["Ut tempora nihil pariatur consequatur. Aperiam magnam iusto illo nostrum omnis explicabo. Aut esse nisi harum non. Ut est quia magni dignissimos sunt fugit voluptas dolores.","Fugit molestiae distinctio quas harum nam corrupti aut. Ut consequatur aut nemo et dignissimos est perspiciatis. Doloremque pariatur enim eos unde."]</t>
  </si>
  <si>
    <t>sed-reiciendis-8-32-4-blue</t>
  </si>
  <si>
    <t>omnis et nemo</t>
  </si>
  <si>
    <t>https://via.placeholder.com/300x650.png/00aaaa?text=Smartphone+expedita</t>
  </si>
  <si>
    <t>["Ut id et aspernatur quia et corporis.","Beatae molestiae consectetur est nam id veritatis.","Et consectetur odio aperiam velit.","Dolor vel sed consectetur accusamus enim et.","Quaerat velit magnam repellendus consequuntur.","Nisi molestiae quisquam aut iure inventore corrupti et.","Libero sit est et quia.","Libero veritatis perspiciatis id sit perspiciatis.","Dolor aut dolor eius possimus consequuntur.","Cupiditate quia ut eius inventore expedita blanditiis non."]</t>
  </si>
  <si>
    <t>["Ut dolorem sint quas totam mollitia aperiam enim. Nisi omnis illum corrupti ut. Id dolorem ipsa natus neque expedita eum. Est nihil vitae accusantium et.","Ipsa consequuntur possimus porro voluptatem neque aut porro non. Voluptatem dolor aut et qui iure voluptatibus totam. Eveniet et in rerum mollitia dolore voluptas. Sit doloremque non quo ut quo qui."]</t>
  </si>
  <si>
    <t>illum-vero-2-128-3-black</t>
  </si>
  <si>
    <t>adipisci maiores laboriosam</t>
  </si>
  <si>
    <t>https://via.placeholder.com/300x650.png/00ff66?text=Smartphone+voluptatum</t>
  </si>
  <si>
    <t>["Consequatur molestiae totam beatae qui tenetur voluptates.","Et eius laudantium expedita sunt aliquam tempora.","Perferendis laudantium hic aspernatur quis voluptas sit.","Necessitatibus doloremque ratione sapiente doloremque reprehenderit debitis nemo.","Non est ipsum commodi labore magnam eum.","Itaque consequatur enim enim dicta distinctio animi inventore.","Veniam voluptatem saepe excepturi quibusdam.","Quae sunt hic est.","In laudantium sed et earum quo quas.","Perspiciatis ipsam ipsum magnam officiis."]</t>
  </si>
  <si>
    <t>["Eveniet accusamus eum veniam excepturi. Aut omnis rem quos amet eos aut. Deleniti laborum deleniti dolor non dignissimos. Impedit recusandae molestias error minus dicta quisquam.","Repellat hic necessitatibus tenetur et. Aperiam dolores enim exercitationem velit sit quasi veniam. Tempore adipisci id temporibus voluptatibus doloribus quia repellendus. Aut id minus et sint."]</t>
  </si>
  <si>
    <t>maiores-consequatur-6-32-5-red</t>
  </si>
  <si>
    <t>aliquam voluptas ea</t>
  </si>
  <si>
    <t>https://via.placeholder.com/300x650.png/008866?text=Smartphone+consequatur</t>
  </si>
  <si>
    <t>["Numquam officia eveniet perferendis quia quasi dolore aut.","Rerum vitae alias possimus quia rerum.","Maiores magnam recusandae eius et facilis ut magni earum.","Tempore itaque in dolorem voluptatum.","Esse facilis voluptatem fugit error est ea.","Voluptatem sit ut quam minima.","Dolore repellendus dolorem ut est incidunt.","Repudiandae voluptatem ad unde corrupti.","Et sapiente iusto mollitia voluptas nobis eos.","Et consequatur impedit et iusto quia porro sit."]</t>
  </si>
  <si>
    <t>["Laborum iure nostrum ut voluptate aliquam. Mollitia cum repellat deleniti corrupti repellat ut. Enim tempore voluptates occaecati.","Beatae doloribus molestiae dolore occaecati facilis modi quia. Quas cum nesciunt mollitia fugiat. Aut facilis eius suscipit eos voluptatem. Asperiores magnam et quo cupiditate."]</t>
  </si>
  <si>
    <t>corrupti-incidunt-4-64-6-black</t>
  </si>
  <si>
    <t>in tempore facilis</t>
  </si>
  <si>
    <t>https://via.placeholder.com/300x650.png/0066ee?text=Smartphone+qui</t>
  </si>
  <si>
    <t>["Doloremque et et officiis ut et doloremque sint.","Consequatur expedita beatae sit ipsam voluptatem rerum quam.","Laboriosam architecto dolor pariatur non quaerat est.","Quae sint quis autem expedita.","Sed omnis dolorem quis perspiciatis rerum.","A et accusamus deserunt sed voluptatum magnam recusandae quo.","Dicta soluta iste et repudiandae soluta.","Voluptas consequatur et sit facilis atque magnam autem.","Quia ab eveniet vel consequatur.","At error nulla sint quo."]</t>
  </si>
  <si>
    <t>["Illo ea ut nihil eos. Eos necessitatibus occaecati deleniti animi voluptas occaecati. Eveniet fuga natus delectus voluptates. Sed dolores quia dolorum distinctio et aut totam.","Sunt pariatur molestias perspiciatis veritatis similique. Dicta et tempora dolorem repellendus. Minus aliquam assumenda fugit et et."]</t>
  </si>
  <si>
    <t>est-odit-2-16-2-white</t>
  </si>
  <si>
    <t>quibusdam quos praesentium</t>
  </si>
  <si>
    <t>https://via.placeholder.com/300x650.png/0055ee?text=Smartphone+ducimus</t>
  </si>
  <si>
    <t>["Accusantium laborum illum rerum laborum ut.","Rerum quasi officia beatae harum veritatis voluptate voluptatem velit.","Ut officiis blanditiis sit deserunt ullam.","Distinctio dolore laboriosam voluptas ut.","Iste enim autem quia iste quas.","Ex temporibus cumque quam dolores doloremque voluptatem.","Assumenda qui omnis qui sed dolorem.","Amet quia debitis voluptatibus.","Inventore et necessitatibus et et deserunt qui.","Neque qui omnis id nihil rerum nostrum."]</t>
  </si>
  <si>
    <t>["Reprehenderit laborum esse veniam sint iure ipsum inventore nam. Nihil non assumenda odit et.","Ut eum ab minus error voluptas eaque ducimus quam. Occaecati voluptatum odio exercitationem rerum ea et aut. Amet quo aut impedit repellendus hic. Et tempora soluta et aut qui enim."]</t>
  </si>
  <si>
    <t>voluptate-ratione-12-16-3-black</t>
  </si>
  <si>
    <t>sit aliquid et</t>
  </si>
  <si>
    <t>https://via.placeholder.com/300x650.png/00aa88?text=Smartphone+molestias</t>
  </si>
  <si>
    <t>["Laboriosam nihil est sed tempora libero rerum.","Occaecati expedita nesciunt iusto dolorem eos voluptatem consequatur et.","Tempora quo sequi accusamus.","Nam minima sed tempora consectetur laborum.","Animi voluptas qui aut officiis vitae voluptate nemo.","Enim porro distinctio minima consequatur non.","Ea exercitationem non reprehenderit adipisci suscipit aut.","Est sed sunt ut quia.","Dolor non nobis consequuntur earum nisi quos.","Dolorem sit modi vel repellendus quis ut et."]</t>
  </si>
  <si>
    <t>["Quia aut saepe perferendis non. Quo eaque qui tempora cupiditate et aliquam fugiat quia. Consequatur labore aperiam amet ut tempora. Et et et perspiciatis.","Quibusdam cumque soluta cupiditate voluptas aut neque. Laborum illum sapiente tempore quo natus incidunt magni. Soluta sit dolore hic maxime dolorum."]</t>
  </si>
  <si>
    <t>maiores-veritatis-4-64-5-black</t>
  </si>
  <si>
    <t>qui deleniti quam</t>
  </si>
  <si>
    <t>https://via.placeholder.com/300x650.png/000055?text=Smartphone+et</t>
  </si>
  <si>
    <t>["Omnis reprehenderit omnis exercitationem maiores.","Enim eum ratione voluptatem occaecati nihil ullam facere quia.","Impedit tenetur saepe facilis consequatur cum nostrum.","Magni nemo molestiae consectetur adipisci voluptatum dolorum soluta.","Autem et laudantium iusto vero quibusdam explicabo.","Est accusamus quia dolorem minus et tenetur.","Rerum alias facere est recusandae voluptate laboriosam consectetur.","Expedita quasi voluptatem dolores non.","Odio et eligendi pariatur aut excepturi ea.","Molestias repellat officiis optio deserunt nisi est ipsum."]</t>
  </si>
  <si>
    <t>["Optio aut odio nulla non. Sit dolores molestiae sunt et. Perspiciatis ut nulla totam minus soluta. Consequatur voluptatem voluptatem rem temporibus.","Quibusdam molestiae in ea laboriosam repudiandae laboriosam. Est impedit autem magni et odit consequatur. Nesciunt vero et voluptatem eum nihil ratione non."]</t>
  </si>
  <si>
    <t>aspernatur-eum-6-32-2-red</t>
  </si>
  <si>
    <t>molestias ad placeat</t>
  </si>
  <si>
    <t>https://via.placeholder.com/300x650.png/0055aa?text=Smartphone+voluptas</t>
  </si>
  <si>
    <t>["Hic et dolores alias voluptatem officiis itaque debitis.","Laborum dolor voluptas non quam.","Sapiente in eos et ratione voluptatem quidem.","Quidem perspiciatis adipisci sint dolor ipsam ut.","Corrupti culpa nulla vel non provident.","Et qui doloribus sed quibusdam cupiditate non accusantium.","Perspiciatis ipsa ea voluptatibus tenetur ab atque eligendi.","Consectetur doloribus omnis nihil qui sequi.","Et neque ut voluptas temporibus eos et.","Soluta natus natus atque eligendi et."]</t>
  </si>
  <si>
    <t>["Perferendis placeat facere tempora. Atque tempora sunt omnis vitae quas vitae. Modi placeat atque voluptatem et facere unde.","Est occaecati laudantium consequatur eos repellat quas ut. Consectetur repellat quia molestiae dolore vel inventore. Aspernatur quidem nostrum a."]</t>
  </si>
  <si>
    <t>corrupti-sint-12-128-6-white</t>
  </si>
  <si>
    <t>voluptates deserunt deserunt</t>
  </si>
  <si>
    <t>https://via.placeholder.com/300x650.png/00eeaa?text=Smartphone+accusamus</t>
  </si>
  <si>
    <t>["Maiores qui enim quis.","Error totam itaque et laudantium commodi quia.","Et ut amet odit.","Placeat facere labore id sequi.","Illum est sed minus sunt.","Doloribus facere omnis voluptas laboriosam.","Iste saepe provident deleniti deserunt minus neque.","Vel quo molestiae voluptatem et tempora.","Velit incidunt laborum accusantium nobis.","Sed omnis eum reprehenderit nihil ipsa in in."]</t>
  </si>
  <si>
    <t>["Cumque sed maxime minima itaque. Magnam ea eius qui fuga voluptatem dolores. Accusamus quo sequi distinctio soluta.","Ratione et ut deserunt non est. Doloremque quisquam quia ut nisi aut facilis ullam. Aliquid repudiandae ut id."]</t>
  </si>
  <si>
    <t>corrupti-sit-12-64-3-red</t>
  </si>
  <si>
    <t>iure quia similique</t>
  </si>
  <si>
    <t>https://via.placeholder.com/300x650.png/00aaff?text=Smartphone+qui</t>
  </si>
  <si>
    <t>["Vel sit enim enim eos harum praesentium iusto blanditiis.","Facilis dolores et veritatis nulla aut.","Aut quaerat tenetur temporibus ut aut.","Non corrupti nesciunt qui pariatur.","Omnis fugiat dolor dignissimos et vel doloremque.","Quia et atque et vero aut esse reiciendis.","Accusantium maiores unde nihil.","Non architecto laboriosam et.","Omnis odit rerum qui quis voluptatem.","Ratione et sequi possimus ut sed vitae."]</t>
  </si>
  <si>
    <t>["Optio eveniet sit ut reiciendis perferendis. Esse quis aliquid exercitationem eius aut et. Quidem quas error ut aliquam et laudantium molestiae. Laboriosam et magnam autem qui laudantium.","Explicabo et consequatur blanditiis error excepturi. Fuga temporibus nulla quidem corrupti."]</t>
  </si>
  <si>
    <t>maiores-quia-12-512-6-red</t>
  </si>
  <si>
    <t>natus et consequatur</t>
  </si>
  <si>
    <t>https://via.placeholder.com/300x650.png/0033ee?text=Smartphone+nam</t>
  </si>
  <si>
    <t>["Error velit omnis voluptatem commodi reiciendis porro.","Ut ut omnis cupiditate et assumenda.","Quaerat ducimus sunt et veritatis.","Ullam hic hic cum dolores quam unde.","Aperiam voluptatibus commodi dignissimos hic aspernatur neque et voluptas.","Qui vero sapiente ipsum est consequuntur.","Eum rerum necessitatibus quia et quas eius sed.","Dolores dolorem aspernatur doloremque dolores.","Ipsam modi laudantium esse at animi vero.","Voluptas natus voluptatem voluptas quasi illo."]</t>
  </si>
  <si>
    <t>["Adipisci eos aliquam laborum nihil. Necessitatibus voluptatibus ut iusto eligendi omnis mollitia voluptate. Nobis sed eum deserunt eligendi natus. Magni tempora nesciunt neque rerum quibusdam fugiat. Quaerat quia enim nam.","Ut iusto sunt qui suscipit. Et omnis voluptatibus ex molestiae. Veritatis dolorem ut doloremque id. Pariatur ex debitis est repellat."]</t>
  </si>
  <si>
    <t>corrupti-sint-4-64-4-black</t>
  </si>
  <si>
    <t>omnis tempora perferendis</t>
  </si>
  <si>
    <t>https://via.placeholder.com/300x650.png/006633?text=Smartphone+consequatur</t>
  </si>
  <si>
    <t>["Officia eum voluptatem veniam sequi odio.","Labore nam aut recusandae voluptas aut sed.","Ducimus alias earum enim qui qui delectus.","Nesciunt vitae voluptatem labore voluptas pariatur et.","Exercitationem dolores nemo vero et magnam.","Maxime quisquam repellat praesentium quibusdam enim.","Dolorum autem maiores sequi incidunt ut.","Dolorem veritatis cupiditate illo.","Et vel rerum qui temporibus animi iusto.","Est ratione voluptates facilis ut cupiditate omnis."]</t>
  </si>
  <si>
    <t>["Velit est corrupti ab ducimus. Voluptatem corporis doloremque enim provident. Molestias suscipit commodi voluptatem nobis facere vitae.","Omnis vel consectetur quas nisi. Quo voluptas voluptas quae sit vitae fugit corrupti. Voluptatem tempore pariatur quia et. Illum consequatur optio itaque quae culpa atque doloribus. Ipsa veritatis molestiae dolorum ut doloremque est doloribus."]</t>
  </si>
  <si>
    <t>corrupti-occaecati-6-8-2-white</t>
  </si>
  <si>
    <t>autem enim deleniti</t>
  </si>
  <si>
    <t>https://via.placeholder.com/300x650.png/0022ee?text=Smartphone+quas</t>
  </si>
  <si>
    <t>["Quos qui voluptatum ut accusamus ut aliquam asperiores.","Sit corrupti sed qui voluptates minima nam.","Non assumenda fugit ut quis beatae delectus.","Qui temporibus aut voluptates recusandae molestiae aperiam dolorem est.","Ut maxime velit omnis commodi.","Omnis cupiditate cumque rerum ea blanditiis illo fugiat.","Ut amet non a est.","Harum quo mollitia quia expedita tempore voluptate.","At vero pariatur error est commodi.","Totam velit temporibus assumenda quae."]</t>
  </si>
  <si>
    <t>["Cum vel eos recusandae voluptatem. Aspernatur recusandae provident incidunt beatae totam mollitia dignissimos. Rerum quos ratione qui id beatae.","Provident sunt autem blanditiis molestiae ullam necessitatibus voluptatem. Quam ea pariatur culpa et excepturi unde aut. Quisquam aut voluptates qui."]</t>
  </si>
  <si>
    <t>est-vel-4-512-4-blue</t>
  </si>
  <si>
    <t>nostrum voluptatem aut</t>
  </si>
  <si>
    <t>https://via.placeholder.com/300x650.png/005599?text=Smartphone+numquam</t>
  </si>
  <si>
    <t>["Repellat sequi numquam animi nihil fuga molestias.","Officiis temporibus mollitia voluptatibus maiores omnis numquam dolore.","Dolor aliquam accusantium quis earum eius esse ut.","Beatae doloribus modi quaerat tempora aut voluptas.","Velit similique quia facere earum.","Nostrum enim consequatur et accusantium nesciunt facilis sequi.","Molestias eaque aliquam velit quo repellendus nisi et perspiciatis.","Eveniet ea qui inventore necessitatibus ut.","Aperiam quia cum optio iure fugiat rerum eaque.","Recusandae fugit doloremque nihil."]</t>
  </si>
  <si>
    <t>["Optio exercitationem et consequatur omnis rerum animi suscipit. Maiores ut dicta at ut voluptatem ut. Eaque occaecati odio nihil autem. Labore consequatur maiores ab exercitationem vel.","Praesentium non nostrum atque natus rem aperiam beatae. Odit tempora vitae voluptatem sint voluptatem. Qui nostrum ipsam corrupti earum."]</t>
  </si>
  <si>
    <t>ut-sed-4-512-5-white</t>
  </si>
  <si>
    <t>molestiae rem voluptatem</t>
  </si>
  <si>
    <t>https://via.placeholder.com/300x650.png/00aa66?text=Smartphone+voluptas</t>
  </si>
  <si>
    <t>["Ut quo et qui sunt.","Vitae nihil ut nobis quas et rerum rerum molestiae.","Explicabo a rerum maiores repellat ut dicta natus eveniet.","Dolor ullam voluptates et sunt dolorem.","Debitis et a maxime saepe et omnis.","Est inventore quis perferendis.","Sunt necessitatibus animi sed quisquam.","Voluptatem illo quaerat omnis.","Dolorem aut aliquam animi.","Vel qui quae omnis ex sit rem culpa."]</t>
  </si>
  <si>
    <t>["Laborum molestias quasi ipsa voluptas qui ex. Consequatur ut vero voluptates eius. Veritatis et quas eaque autem. Eius non necessitatibus laborum ratione commodi perferendis neque.","Quod voluptatem officiis assumenda. Sapiente iusto est asperiores esse natus debitis assumenda. Cumque temporibus et dolores nemo temporibus culpa. Ea aut deleniti eius quidem et minus exercitationem et."]</t>
  </si>
  <si>
    <t>illum-sed-2-64-2-red</t>
  </si>
  <si>
    <t>molestias vero ea</t>
  </si>
  <si>
    <t>https://via.placeholder.com/300x650.png/00dd00?text=Smartphone+dolores</t>
  </si>
  <si>
    <t>["Excepturi voluptate nihil voluptas velit quas in quibusdam.","Inventore voluptas temporibus voluptas sed dolores ab.","Perferendis dolore quia aut saepe aut.","Quis excepturi quia necessitatibus non.","Ipsa sit laudantium asperiores eos et reprehenderit commodi.","Enim voluptas nobis dolores possimus voluptatem sunt non.","Ea ipsum rerum et debitis sed facere.","Adipisci nisi maiores dolorum quam ipsa commodi.","Sunt voluptatem laudantium rerum rerum.","Debitis est possimus qui ipsam velit quia ea."]</t>
  </si>
  <si>
    <t>["Molestias tenetur sed corporis dicta. Necessitatibus facere molestiae error provident amet. Ut autem facere et non. Nostrum autem laboriosam eveniet dolore repellat.","Sit qui non velit aut voluptatum eveniet. Ipsa natus explicabo blanditiis animi laboriosam et ullam. Debitis laboriosam temporibus est iste deserunt quaerat."]</t>
  </si>
  <si>
    <t>maiores-aut-2-512-2-black</t>
  </si>
  <si>
    <t>eius quia officiis</t>
  </si>
  <si>
    <t>https://via.placeholder.com/300x650.png/00ff33?text=Smartphone+voluptates</t>
  </si>
  <si>
    <t>["Rem fugit magnam amet.","Est illo sed eligendi qui iure voluptatem minima.","Sed rem vero aut similique et possimus adipisci.","Qui voluptates nulla nulla dolor.","Cumque accusamus voluptas ipsam deleniti.","Tenetur dolor possimus veritatis doloremque nesciunt dolore.","Aspernatur et quisquam temporibus non aliquam laborum consequatur delectus.","Nesciunt distinctio quasi deserunt placeat libero consectetur.","Doloribus et non laboriosam voluptas non dolores totam.","Non magni natus aliquam quaerat officiis unde voluptatibus ea."]</t>
  </si>
  <si>
    <t>["Itaque quaerat illum inventore quae doloribus. Ab harum illum eligendi. Inventore quisquam quis voluptatem est autem explicabo eaque. Et labore est porro enim tempora et ut.","Laudantium quam voluptate maiores velit et minima. Aut neque voluptas qui nostrum ut commodi dolorem."]</t>
  </si>
  <si>
    <t>illum-autem-8-8-3-red</t>
  </si>
  <si>
    <t>minima in nihil</t>
  </si>
  <si>
    <t>https://via.placeholder.com/300x650.png/008800?text=Smartphone+laborum</t>
  </si>
  <si>
    <t>["Aliquid natus veniam numquam sapiente.","Quos neque iure perspiciatis assumenda reprehenderit ipsum.","Quidem nesciunt consectetur rerum est et qui.","Doloribus eaque repudiandae magnam voluptas tempore quisquam.","Ipsam et unde ea qui alias.","Eum vel fuga voluptas accusantium ut sint eum.","Repellendus placeat maiores numquam dolorem et facere neque.","Aperiam et ex quasi voluptate porro.","Veniam ullam consequatur esse consequatur consequatur cumque est.","Tenetur mollitia voluptatem laboriosam sed velit."]</t>
  </si>
  <si>
    <t>["Porro facilis nam quo minima dolorem repellat. Veritatis ipsum asperiores consequuntur. Vitae iusto et voluptatem minus similique. In placeat id sequi officiis.","Odit tempore sint ipsam eveniet. Cupiditate natus mollitia quia ipsa veniam veritatis non. Eaque sed quisquam consequatur sed minima."]</t>
  </si>
  <si>
    <t>illum-autem-8-8-3-green</t>
  </si>
  <si>
    <t>vitae et consequatur</t>
  </si>
  <si>
    <t>https://via.placeholder.com/300x650.png/005544?text=Smartphone+optio</t>
  </si>
  <si>
    <t>["Ea sed qui illo nam ipsa illum consequatur.","Id suscipit et quas sint error rerum.","Doloribus eaque cumque natus blanditiis.","Impedit voluptas est sed.","Perferendis consequatur id beatae aut consequatur est.","Est incidunt voluptates labore voluptatibus sed.","Asperiores tempore tempora dolore.","Illum doloribus sed fugit laboriosam dolorem exercitationem.","Ullam sed deleniti rerum nobis.","Placeat voluptatem rerum quis eos officia."]</t>
  </si>
  <si>
    <t>["Voluptatem nulla qui delectus ut nihil alias provident. Sit quia rerum cum autem in porro. Illum non et ducimus est sapiente ipsam qui.","Est omnis error illo sunt repellat accusamus sit. Impedit quis ad vero distinctio et debitis. Porro ea esse molestiae eveniet dolorem numquam neque qui. Voluptatum voluptas quisquam dolorem nemo earum. Accusamus nihil ea autem totam autem esse perspiciatis."]</t>
  </si>
  <si>
    <t>voluptate-nemo-12-8-3-red</t>
  </si>
  <si>
    <t>veritatis rem facere</t>
  </si>
  <si>
    <t>https://via.placeholder.com/300x650.png/00ff44?text=Smartphone+facilis</t>
  </si>
  <si>
    <t>["Numquam rerum ea voluptatem expedita.","Veritatis sint nihil adipisci repudiandae sunt sed architecto deserunt.","Nihil quod porro accusantium delectus.","Veritatis velit ab dolorum deserunt ut qui.","Distinctio eaque enim et et.","Incidunt eligendi excepturi dolorum est itaque voluptatibus voluptas possimus.","Aliquid fuga placeat ut voluptatem reprehenderit.","Quos vel iusto ipsam ut non.","Officiis beatae optio non.","Laudantium repudiandae et est."]</t>
  </si>
  <si>
    <t>["Velit odio fugit dolore quia labore. Officia quia sunt modi minima. Sint perferendis aut nihil eligendi itaque beatae velit ut.","Suscipit eaque veritatis ducimus eos repellendus vel. Quibusdam incidunt sit qui beatae quo et. Eos et sint ut minus."]</t>
  </si>
  <si>
    <t>corrupti-ex-4-16-6-green</t>
  </si>
  <si>
    <t>quia molestiae id</t>
  </si>
  <si>
    <t>https://via.placeholder.com/300x650.png/0099cc?text=Smartphone+a</t>
  </si>
  <si>
    <t>["Voluptas itaque dicta deserunt iusto eaque et.","Dolorum eligendi quae autem dignissimos voluptas est excepturi.","Optio nemo fugit molestiae rem.","Eum fugiat fugit sint eos dicta ea deleniti.","Itaque atque sit modi velit qui eveniet.","Aliquid cupiditate impedit voluptatibus rerum repudiandae.","Odit quod sint autem quod soluta voluptatem dignissimos iure.","Id ut et natus sequi ut nostrum enim.","Distinctio molestiae pariatur nobis minima.","Sequi atque quae officiis non ipsam veritatis porro."]</t>
  </si>
  <si>
    <t>["Sint pariatur quia laboriosam vero quasi molestiae magnam. Ut aut aut iure incidunt eos.","Ut hic aut commodi aspernatur. Illo incidunt id sit. Est dolore quaerat est."]</t>
  </si>
  <si>
    <t>aspernatur-voluptas-8-128-6-black</t>
  </si>
  <si>
    <t>qui dolor est</t>
  </si>
  <si>
    <t>https://via.placeholder.com/300x650.png/00ccbb?text=Smartphone+possimus</t>
  </si>
  <si>
    <t>["Est odio eum aliquid quos facilis.","Minus explicabo quia eveniet aliquid quia.","Ut tenetur laboriosam reprehenderit quod dolores reiciendis.","Provident voluptas quos dolor soluta assumenda molestiae.","Et nihil aperiam non provident atque ratione tenetur.","A ipsum rerum placeat sunt.","Vel quia et accusamus.","Et facilis eum in ratione cupiditate.","Ipsa ullam nam facere in.","Nisi sed aut ut qui optio ea facilis dolor."]</t>
  </si>
  <si>
    <t>["Quae mollitia corrupti omnis. Voluptatibus quaerat odit quisquam placeat. Dolorum totam quidem a ipsum delectus.","Non nisi fuga iure numquam non. Vel voluptas temporibus enim ea qui nisi. Expedita laborum ut sit est. Voluptas et qui natus accusamus omnis."]</t>
  </si>
  <si>
    <t>aspernatur-corrupti-12-512-2-green</t>
  </si>
  <si>
    <t>et non et</t>
  </si>
  <si>
    <t>https://via.placeholder.com/300x650.png/00eecc?text=Smartphone+et</t>
  </si>
  <si>
    <t>["Ipsam est explicabo ex voluptatum natus.","Quia sequi ea voluptas iusto.","Doloribus autem et fugit consequatur ut.","Quibusdam voluptates occaecati vel ullam molestias dolorem.","Molestias natus eligendi est sed cupiditate vel beatae.","Pariatur impedit praesentium dignissimos voluptate.","Illo ut voluptatem et suscipit molestiae in est.","Occaecati cumque ut aut.","Iure nulla aut voluptates non dolores omnis.","Quibusdam ab iusto harum consequatur ea."]</t>
  </si>
  <si>
    <t>["Incidunt perferendis alias esse et totam est voluptate. Esse autem ea et asperiores. Aut beatae sint harum.","Unde error provident vero temporibus sint. Eaque autem dolores placeat suscipit deleniti assumenda. Aut cum vitae voluptatem odit culpa nam cumque. Sit iure sequi molestias."]</t>
  </si>
  <si>
    <t>ut-eos-8-8-3-red</t>
  </si>
  <si>
    <t>et omnis repellat</t>
  </si>
  <si>
    <t>https://via.placeholder.com/300x650.png/00cc99?text=Smartphone+nesciunt</t>
  </si>
  <si>
    <t>["Mollitia distinctio voluptates labore quisquam cumque.","Nulla in fugit natus excepturi est minima quaerat.","Dolorem in placeat optio dolor ad deleniti.","At impedit reiciendis quia sed minus recusandae provident aliquid.","Rerum quod recusandae inventore est.","Quae quisquam molestias sint facilis enim earum blanditiis.","Non rerum nulla pariatur illo vel totam iure.","Eligendi esse voluptas beatae aut fugit velit.","Doloribus ducimus nesciunt est quos quae rerum.","Nesciunt nam veritatis tempore non."]</t>
  </si>
  <si>
    <t>["Aut praesentium a rem. Aspernatur voluptas veritatis vero soluta ut officiis modi quod. Atque libero exercitationem atque accusantium sequi pariatur magni dolores. Tempore aut et modi blanditiis explicabo.","Adipisci libero est eveniet enim ea ut officia. Eligendi repudiandae enim veritatis architecto omnis asperiores. Sit accusamus error impedit quia et. Fugiat tempora nam aperiam non possimus."]</t>
  </si>
  <si>
    <t>et-aliquid-6-8-3-red</t>
  </si>
  <si>
    <t>est aliquid consequuntur</t>
  </si>
  <si>
    <t>https://via.placeholder.com/300x650.png/008844?text=Smartphone+ipsam</t>
  </si>
  <si>
    <t>["Aut culpa architecto optio cumque aliquid.","Qui sit et qui totam qui.","Magnam harum dolore cumque quas.","Nulla ipsa tempore dolorem et deserunt laudantium et autem.","Et laudantium rerum dolorum et molestias ipsa.","Aspernatur quia cum sapiente amet.","Nostrum officia corporis illum omnis.","Repudiandae magni soluta minima qui.","Rerum facere molestiae ut porro aut qui quaerat.","Ratione consequatur corrupti tempore laborum velit velit."]</t>
  </si>
  <si>
    <t>["Molestiae consectetur doloribus ut atque neque consequuntur velit. Ipsum dolorem et amet consequatur.","Impedit ullam quod est blanditiis. Aut consequatur ut mollitia ut reprehenderit doloremque eveniet. Quibusdam assumenda quo labore. Asperiores ex in odit."]</t>
  </si>
  <si>
    <t>sed-cumque-6-16-6-red</t>
  </si>
  <si>
    <t>nesciunt molestiae ex</t>
  </si>
  <si>
    <t>https://via.placeholder.com/300x650.png/00aaaa?text=Smartphone+necessitatibus</t>
  </si>
  <si>
    <t>["Iusto laborum facere quos labore amet.","Quaerat consequuntur repellendus eaque temporibus explicabo autem animi.","Totam optio sed maiores quam ut minus est voluptas.","Praesentium odio totam optio mollitia enim dolores eveniet.","Voluptatem ut eveniet et est cum.","Temporibus et ipsam culpa aut hic.","Ullam atque autem commodi non occaecati enim et.","Non placeat id eos qui pariatur.","At quo laudantium officia natus ipsum.","Nulla est corporis dolorem et ex laboriosam qui voluptatem."]</t>
  </si>
  <si>
    <t>["Nobis fugiat eligendi earum at fuga et. Non iste placeat nisi placeat.","Placeat officiis architecto sit alias eius. Esse voluptates ratione harum esse excepturi vel laborum. Laboriosam autem ut dignissimos sit nihil. Blanditiis voluptatem omnis id mollitia ex occaecati sint."]</t>
  </si>
  <si>
    <t>et-voluptate-2-8-5-red</t>
  </si>
  <si>
    <t>rerum a et</t>
  </si>
  <si>
    <t>https://via.placeholder.com/300x650.png/004488?text=Smartphone+magni</t>
  </si>
  <si>
    <t>["Ut nostrum alias facere accusantium commodi error.","Velit possimus dolore eligendi dolorem.","Delectus nemo et omnis porro ea fuga.","Alias distinctio quisquam veritatis reprehenderit consectetur cumque eaque numquam.","Placeat praesentium aspernatur tenetur nostrum et exercitationem.","Consectetur inventore laboriosam voluptas doloremque placeat sit.","Tempore non aut facere eius aut.","Totam qui nihil quo sed nesciunt.","Autem debitis provident eos sed eos repudiandae tempora.","Beatae dolorum dolor et perferendis."]</t>
  </si>
  <si>
    <t>["Architecto sequi rerum ratione est velit cum fugiat. Placeat sed eos non. Dolorem eveniet nihil dicta.","Non nihil ab ut voluptates iure. Non totam laborum occaecati dolorem debitis delectus. Maiores at neque quos quia a ad ea. Est provident quo repellat voluptates distinctio."]</t>
  </si>
  <si>
    <t>et-ipsa-4-16-5-green</t>
  </si>
  <si>
    <t>possimus velit provident</t>
  </si>
  <si>
    <t>https://via.placeholder.com/300x650.png/0099ee?text=Smartphone+non</t>
  </si>
  <si>
    <t>["At placeat ut eligendi blanditiis aliquid quo delectus.","Voluptatibus nam odit omnis occaecati.","Eveniet odit dolor fugit quis.","Omnis voluptatem ut doloribus.","Dolorum et incidunt quasi.","Cumque fuga quos non atque commodi deleniti.","Ut voluptas eum in veniam.","Sed voluptatem aspernatur ratione corrupti qui.","Voluptatem possimus perferendis maiores et in explicabo voluptatem et.","Saepe repudiandae a recusandae ut saepe libero."]</t>
  </si>
  <si>
    <t>["Quas impedit consequuntur quaerat atque nihil dignissimos. Nam voluptate et in ut iusto sed. Totam facilis pariatur voluptatem voluptatem odio. Iure molestias incidunt totam suscipit autem consectetur. Sit ut suscipit vel aut nemo vel.","Sed accusamus unde placeat vero. Voluptate doloribus neque iusto rerum tenetur eum accusantium. Fugit est placeat veritatis sunt sunt eius. Quis velit sit voluptatem aliquid."]</t>
  </si>
  <si>
    <t>quasi-et-6-512-5-black</t>
  </si>
  <si>
    <t>quas ab est</t>
  </si>
  <si>
    <t>https://via.placeholder.com/300x650.png/007711?text=Smartphone+fugiat</t>
  </si>
  <si>
    <t>["Et ratione est quis soluta nostrum rerum.","Deserunt corporis quia doloremque in labore.","Laudantium et vero est error recusandae ut laboriosam.","Maiores sit dicta saepe deleniti.","Praesentium quidem soluta aut aut recusandae provident reprehenderit.","Illo et pariatur nisi.","Ducimus tempore amet nihil labore non quidem consequatur.","Veritatis debitis doloribus et et ea magni.","Expedita qui cupiditate et repellendus perspiciatis optio.","Sit ipsum et consequatur."]</t>
  </si>
  <si>
    <t>["Recusandae consequatur nisi qui qui velit consequuntur dolore ut. Cupiditate neque dolor ea dolor. Sed quas dicta accusantium facere. Ipsam aut enim tempora quia voluptate non.","Eveniet et ut rem officiis asperiores illo quo. Facilis quisquam quidem asperiores. Porro explicabo eligendi incidunt harum fugit quaerat."]</t>
  </si>
  <si>
    <t>quasi-qui-2-8-3-blue</t>
  </si>
  <si>
    <t>incidunt consequatur enim</t>
  </si>
  <si>
    <t>https://via.placeholder.com/300x650.png/009922?text=Smartphone+nisi</t>
  </si>
  <si>
    <t>["Optio quibusdam repellat eum necessitatibus.","Fugit pariatur in voluptates veritatis fugit et ut.","Sit sapiente aperiam nam quo quia natus.","At quia non inventore minima excepturi deleniti.","Omnis quisquam numquam incidunt et deleniti aperiam quo repudiandae.","Nam autem optio voluptatibus corrupti pariatur iusto.","Eos et amet et et rerum aut.","Maiores minima et rem voluptates.","Necessitatibus esse recusandae omnis.","Voluptatem veniam consequatur perspiciatis fugiat ut."]</t>
  </si>
  <si>
    <t>["Dignissimos odio eaque qui aut quos dolores commodi. Libero soluta natus veritatis ducimus eius. Cumque nostrum ipsam optio quis.","Delectus reiciendis voluptates aspernatur occaecati. Sed doloremque aut quae ex ipsum voluptas. Doloremque eveniet eum commodi voluptatum eligendi quo."]</t>
  </si>
  <si>
    <t>et-natus-12-16-4-green</t>
  </si>
  <si>
    <t>recusandae sequi aut</t>
  </si>
  <si>
    <t>https://via.placeholder.com/300x650.png/00ff77?text=Smartphone+fugiat</t>
  </si>
  <si>
    <t>["Nam corrupti non id reiciendis.","Repellat aut iusto ratione.","Consequatur modi aut sint.","Assumenda commodi molestiae odit velit.","Corrupti qui sit ad saepe fugiat animi.","Quae distinctio animi beatae aut libero itaque a.","Placeat vitae sint qui.","Ea labore quibusdam veniam.","Molestias placeat molestias id optio nisi blanditiis.","Expedita quidem eaque in minima."]</t>
  </si>
  <si>
    <t>["In eum quia eveniet. Assumenda nihil et illum eos consectetur.","Pariatur voluptatum voluptatem quaerat quas iusto. Iste facilis accusantium dolores id. Molestiae consectetur voluptatem asperiores est accusantium. Sit et quia doloribus culpa vel dolorum perspiciatis."]</t>
  </si>
  <si>
    <t>et-non-6-32-6-green</t>
  </si>
  <si>
    <t>non et mollitia</t>
  </si>
  <si>
    <t>https://via.placeholder.com/300x650.png/00cccc?text=Smartphone+corrupti</t>
  </si>
  <si>
    <t>["Alias pariatur amet nihil quasi ducimus.","Voluptas omnis nisi vel doloribus quo.","Aliquam dicta et repudiandae sit nemo aut quo.","Vel pariatur dolorem rerum consequuntur possimus neque sequi ut.","Velit porro iste quia architecto molestiae.","Molestias sunt corrupti harum quo ipsum.","Rerum ut accusantium libero in hic vel.","Soluta nihil aliquam sequi nemo quis eum.","Necessitatibus vitae dolores ut delectus nulla omnis.","Sed at provident labore vero."]</t>
  </si>
  <si>
    <t>["Sunt et non porro et. Ex laborum saepe quasi iste nisi quas et. Soluta ea quia dolorem nam quisquam consequuntur. Laboriosam labore atque et hic qui dolorem.","Vitae temporibus dignissimos deleniti. Cum nemo delectus quos ducimus ut. Ducimus hic iusto aperiam magni ratione amet nostrum ut. Adipisci sed sit voluptas quis et cum sed nesciunt."]</t>
  </si>
  <si>
    <t>sed-sit-8-128-5-blue</t>
  </si>
  <si>
    <t>quis nisi nostrum</t>
  </si>
  <si>
    <t>https://via.placeholder.com/300x650.png/00ffff?text=Smartphone+consequuntur</t>
  </si>
  <si>
    <t>["Libero debitis illum quia minima ut qui reiciendis.","Ut commodi reiciendis odio facilis pariatur aut et.","Enim voluptatem qui ut quas et.","Nam quos cum voluptas.","Voluptatum rem magnam esse consectetur sapiente delectus ea sed.","Hic molestiae eveniet error earum ea veritatis vero.","Et voluptas ut repellat numquam sapiente.","Error tempore nemo vel adipisci qui qui dolores.","Beatae assumenda et voluptatem omnis illo.","Magnam eius velit odit."]</t>
  </si>
  <si>
    <t>["Omnis sit velit quasi quia aut. Velit rerum corporis rem eum in a. Aspernatur voluptatem et quos sed nam ratione. Voluptatem aperiam reprehenderit aut ut itaque quibusdam quae. Perferendis quia qui facilis optio dolores quo dicta.","Maxime ipsum reprehenderit minus aperiam. Ut rerum aperiam sunt amet accusamus est. Eveniet dolor unde minima itaque at voluptas omnis. Nihil necessitatibus est non tempore. Ut aperiam voluptatum rerum vero molestias mollitia commodi odit."]</t>
  </si>
  <si>
    <t>voluptate-voluptatem-4-8-3-white</t>
  </si>
  <si>
    <t>vel nihil voluptatem</t>
  </si>
  <si>
    <t>["Ut temporibus eius non aut iste sequi deleniti.","Iusto vitae optio cum consectetur aliquid aut aut.","Cupiditate ea aut ut eum.","Qui atque vitae magni recusandae iste impedit et.","Et quod doloribus eos.","Aut hic pariatur sint enim.","Aperiam officia iure eaque expedita quo veniam ullam eaque.","Nisi et deserunt explicabo distinctio.","Deserunt ipsam rerum asperiores doloribus.","Vel dolor consequatur itaque odit."]</t>
  </si>
  <si>
    <t>["Quas rem in molestias cupiditate. Sunt delectus et dolorem distinctio et ut.","At nostrum consequuntur accusamus. Soluta sit enim enim suscipit. Consectetur et porro cupiditate dicta sit sunt. Omnis nesciunt aut libero est."]</t>
  </si>
  <si>
    <t>corrupti-odit-2-16-3-red</t>
  </si>
  <si>
    <t>consequuntur in numquam</t>
  </si>
  <si>
    <t>https://via.placeholder.com/300x650.png/003366?text=Smartphone+animi</t>
  </si>
  <si>
    <t>["Porro cupiditate reprehenderit inventore rerum dolores.","Vel recusandae et ea animi rerum.","Expedita delectus odit qui enim officiis assumenda.","Sed quo aut ratione doloremque earum sint.","Dolorem ipsum placeat iusto similique quasi.","Et officia a quam accusantium delectus velit sint.","Recusandae commodi quaerat iste modi quo vitae.","Qui velit animi maxime minima tenetur ratione ipsum.","Perspiciatis officia quae voluptatem modi ducimus.","Quia voluptas quia aut minima fugiat et dolorem."]</t>
  </si>
  <si>
    <t>["In voluptas minima dolorem dolorem. Cum amet porro doloremque sit quos ut. Accusamus sed animi tenetur voluptas voluptas. Dolorum id dolor illo est.","Debitis ducimus ea similique praesentium recusandae. Sint et aut iusto qui eligendi. Et sapiente voluptatibus qui enim."]</t>
  </si>
  <si>
    <t>maiores-iure-2-64-4-green</t>
  </si>
  <si>
    <t>nulla modi quisquam</t>
  </si>
  <si>
    <t>https://via.placeholder.com/300x650.png/00aa33?text=Smartphone+sequi</t>
  </si>
  <si>
    <t>["Hic est doloribus facilis sed officia et.","Culpa voluptate veniam consequatur ut est a consequatur sit.","Nesciunt eveniet ut et recusandae.","Numquam quisquam impedit possimus est rerum aut.","Et consectetur exercitationem autem dolores et.","Et perferendis esse perspiciatis cupiditate quibusdam.","Sed qui corporis dolorem ut.","Qui velit voluptatem et quo enim unde deserunt eum.","Ad sint ut repudiandae error quasi.","Amet eos harum cumque labore asperiores accusantium."]</t>
  </si>
  <si>
    <t>["Voluptas ad ullam assumenda omnis illo voluptas libero. In rerum officia delectus cupiditate autem et veniam fugit. Repudiandae quam porro molestiae ipsam voluptatem. Optio omnis illo a distinctio ut.","Consectetur quis deleniti dignissimos doloribus amet dolores. Animi eligendi dolorum quia odio repudiandae ea. Sunt reprehenderit esse sed beatae modi."]</t>
  </si>
  <si>
    <t>illum-perspiciatis-12-64-6-green</t>
  </si>
  <si>
    <t>qui labore velit</t>
  </si>
  <si>
    <t>https://via.placeholder.com/300x650.png/004455?text=Smartphone+assumenda</t>
  </si>
  <si>
    <t>["Quaerat ullam doloribus iste et recusandae rerum.","Ex sed esse consequatur illo sed nihil.","Placeat et ipsa et quos est dolores.","Expedita voluptatem quia illum occaecati voluptatibus.","Ut labore quo non adipisci et quis dolorum.","Eum atque et ut provident tempora et et quos.","Assumenda fugit nemo error voluptates harum dolores.","Accusantium qui qui incidunt aspernatur quo.","Nemo accusantium voluptates suscipit quisquam.","Quod enim voluptate fugit at aspernatur nisi maxime."]</t>
  </si>
  <si>
    <t>["Dolorum nihil quia consequatur adipisci qui nihil quo. In consequatur porro aspernatur consequatur unde harum expedita. Deleniti necessitatibus dolorem delectus esse quasi. Placeat magni distinctio et rerum atque.","Enim autem necessitatibus qui fugit est dolorem omnis accusantium. Incidunt similique eum exercitationem quaerat reiciendis possimus. Inventore maiores ut ut temporibus repudiandae natus maxime adipisci."]</t>
  </si>
  <si>
    <t>aspernatur-eos-2-16-3-black</t>
  </si>
  <si>
    <t>omnis et est</t>
  </si>
  <si>
    <t>https://via.placeholder.com/300x650.png/00ff66?text=Smartphone+sunt</t>
  </si>
  <si>
    <t>["Omnis et minus maxime sed facilis quia minus.","Id voluptatem velit animi accusamus repudiandae.","Commodi ratione necessitatibus aliquam laudantium.","Non non quia error illo similique.","Eaque incidunt dignissimos vel sit non et.","Officiis et ipsa aut nisi iure at laboriosam.","Minima sunt fugiat id ut qui.","Doloribus facilis optio et quia ipsam et et.","Recusandae dolores recusandae sed error.","Ea libero repellat quia vero rerum aliquam."]</t>
  </si>
  <si>
    <t>["Debitis exercitationem sit quas sint ut. Voluptas in reiciendis et excepturi. Magnam in sequi aliquam.","Minima neque minus sit culpa aliquid quod. Itaque ut minima sit quo eligendi est animi. Delectus necessitatibus distinctio nemo cupiditate quam tempora adipisci. Quaerat ipsam quia quia."]</t>
  </si>
  <si>
    <t>est-qui-2-16-5-red</t>
  </si>
  <si>
    <t>ut adipisci aut</t>
  </si>
  <si>
    <t>https://via.placeholder.com/300x650.png/004444?text=Smartphone+tenetur</t>
  </si>
  <si>
    <t>["Ut quos cupiditate alias est.","Veniam sequi illum eum perspiciatis deserunt.","Et est voluptatem aliquid consequatur corporis aut ut.","Animi nisi et et ducimus consequatur.","Voluptatem est aperiam aliquid illo.","Quaerat natus consequatur sapiente consectetur deleniti odio.","Harum nobis rem qui et ducimus.","Culpa aperiam non quia et.","Necessitatibus eos reiciendis impedit facilis dolores dolor consequatur.","Quibusdam omnis officia officiis sit nobis quos blanditiis."]</t>
  </si>
  <si>
    <t>["Aspernatur commodi aut similique magni recusandae. Sit esse ut nesciunt quia commodi commodi. Adipisci nulla iste eligendi aliquam alias error.","Modi vel nobis a quasi veniam adipisci a. Omnis similique veritatis amet voluptatem. Repudiandae temporibus ab ut quaerat sed assumenda magnam. Optio consectetur fugiat eum aut necessitatibus sit."]</t>
  </si>
  <si>
    <t>sed-earum-12-64-6-red</t>
  </si>
  <si>
    <t>veniam ullam dicta</t>
  </si>
  <si>
    <t>https://via.placeholder.com/300x650.png/004477?text=Smartphone+soluta</t>
  </si>
  <si>
    <t>["Facilis laudantium dolor voluptatem laudantium.","Rem cumque molestiae unde deleniti nam.","Quasi exercitationem eius distinctio beatae praesentium soluta.","Rerum voluptates corporis ut eum ex repellendus.","Explicabo iure numquam sit officia.","Cumque id et velit omnis.","Eveniet aliquam recusandae et doloribus placeat vitae in.","Molestiae in nisi eos saepe fuga quo.","Facilis recusandae blanditiis eveniet et.","Reiciendis autem repudiandae ex quia et quo."]</t>
  </si>
  <si>
    <t>["Suscipit atque sit labore magnam et. Consequatur magni suscipit dignissimos repellendus necessitatibus. Commodi numquam dolores voluptatem consequatur.","Dolorem nostrum odio unde perferendis et labore doloribus. Maiores rem facere ut facilis quos. Ea sed cupiditate minus et cupiditate veniam aliquam."]</t>
  </si>
  <si>
    <t>maiores-quia-12-128-4-white</t>
  </si>
  <si>
    <t>inventore quia omnis</t>
  </si>
  <si>
    <t>https://via.placeholder.com/300x650.png/002222?text=Smartphone+laborum</t>
  </si>
  <si>
    <t>["Omnis assumenda ad repellendus corporis.","Natus perspiciatis quo occaecati quis laudantium molestiae culpa.","Iure sit reiciendis sit.","Inventore culpa porro qui ut et.","Quasi quo veniam ut quasi autem exercitationem.","Non quos aspernatur corrupti cum a aut molestiae.","Expedita nesciunt repudiandae numquam praesentium doloribus.","Voluptatibus repellat sit repellat nemo voluptate dolores et.","Doloremque ea aliquid officiis aliquid ut exercitationem laboriosam sapiente.","Est nam necessitatibus aut ullam quae doloremque ullam."]</t>
  </si>
  <si>
    <t>["Cumque quia earum facere tempora ex amet. Explicabo incidunt voluptas soluta temporibus eum ipsum reiciendis. Occaecati deserunt non incidunt quasi ratione. Et voluptatem harum provident et voluptate provident aperiam aut.","Veniam ullam consequuntur veritatis libero sit ut dolore. Totam nisi rerum repellat perspiciatis suscipit et. Quia est nulla accusantium. Praesentium odit enim ut odit velit ullam."]</t>
  </si>
  <si>
    <t>aspernatur-asperiores-4-128-3-red</t>
  </si>
  <si>
    <t>facilis inventore asperiores</t>
  </si>
  <si>
    <t>https://via.placeholder.com/300x650.png/001177?text=Smartphone+iure</t>
  </si>
  <si>
    <t>["Assumenda cupiditate facere quibusdam.","Quisquam qui eos rerum rerum quia non et.","Dolor quibusdam sed et iste.","Ipsa nisi aut sit sed.","Autem ea quia asperiores et quae sint architecto.","Non eaque sed voluptatum facere.","Voluptatem dolorem quod ut voluptatum qui accusantium aliquam ullam.","Ipsam dolores et corporis debitis voluptatem.","Velit tempora ut deleniti molestiae.","Consequuntur assumenda consectetur illum laborum libero."]</t>
  </si>
  <si>
    <t>["Illo accusamus omnis incidunt itaque error suscipit unde. Cum nemo quia magnam adipisci totam exercitationem facere. Tempora consequuntur et accusamus magnam. Voluptatum sit alias ut sit illo necessitatibus recusandae. Ex et et debitis.","Laborum ratione sit quaerat hic distinctio sed. Eos reprehenderit necessitatibus corrupti numquam. Et tenetur soluta voluptates sequi."]</t>
  </si>
  <si>
    <t>est-porro-2-16-6-white</t>
  </si>
  <si>
    <t>soluta voluptatum reiciendis</t>
  </si>
  <si>
    <t>https://via.placeholder.com/300x650.png/00aa55?text=Smartphone+eius</t>
  </si>
  <si>
    <t>["Tempora distinctio perspiciatis magnam suscipit nihil itaque.","Consequuntur blanditiis suscipit eligendi beatae blanditiis.","Qui eum dolor et consequatur quae veniam.","Placeat ea blanditiis quod a nesciunt voluptatem odit.","Similique iure omnis provident est aliquid.","Sit velit non quaerat illo ut amet.","Qui atque ex illum et accusantium.","Totam sint omnis ex.","Repudiandae suscipit officiis molestias voluptatum.","Autem omnis ut numquam nihil voluptatem."]</t>
  </si>
  <si>
    <t>["Magnam veritatis sit distinctio quam illo quae et. Molestiae voluptate omnis et accusamus. Ut aut aut corrupti est. Consequatur harum ducimus enim laudantium nobis maxime maiores. Et aperiam est delectus.","Voluptas blanditiis est voluptatem vel qui. Autem quod sit ea voluptas consequatur corporis. Nobis ab sit corrupti quos reprehenderit ab enim."]</t>
  </si>
  <si>
    <t>voluptate-similique-4-512-5-blue</t>
  </si>
  <si>
    <t>est quo recusandae</t>
  </si>
  <si>
    <t>https://via.placeholder.com/300x650.png/001122?text=Smartphone+numquam</t>
  </si>
  <si>
    <t>["Eaque praesentium eum maiores.","Veritatis vitae voluptatem quia.","Repellat ipsam animi consequatur non perspiciatis error ad amet.","Nihil eveniet modi nihil.","Veritatis atque explicabo culpa est fugiat et dolores.","Voluptatem eum distinctio est aliquid quia atque maxime.","Fugit dolores debitis quam.","Id omnis doloribus sunt error non et quo quasi.","Quia illum aut et rerum et assumenda.","Repellendus doloremque consequatur mollitia ut aut maxime consequatur."]</t>
  </si>
  <si>
    <t>["Perferendis dolores est voluptas fugiat. Consectetur voluptate nobis et.","Error ratione velit sunt sit commodi. Est sequi ipsa qui ea vel."]</t>
  </si>
  <si>
    <t>et-dolorum-2-64-6-white</t>
  </si>
  <si>
    <t>consequatur architecto voluptatum</t>
  </si>
  <si>
    <t>https://via.placeholder.com/300x650.png/00ccee?text=Smartphone+temporibus</t>
  </si>
  <si>
    <t>["Sint velit aut id nemo itaque.","Quos nobis debitis occaecati itaque.","Suscipit eaque numquam sunt molestiae dolorem.","Qui rerum velit modi facilis et aut.","Accusantium repudiandae dicta rerum voluptas inventore officiis.","Quisquam vel nemo doloremque aliquam.","Odit placeat ipsum consectetur recusandae expedita inventore nemo necessitatibus.","Dolor ducimus ut non consequuntur sed perferendis cumque.","Fuga quibusdam expedita nesciunt voluptates itaque illo.","Sapiente minus asperiores magni occaecati temporibus."]</t>
  </si>
  <si>
    <t>["Aperiam voluptate harum ipsum nulla eaque amet. Non nostrum nisi molestias nemo nihil pariatur. Accusantium iste similique voluptatem repudiandae. A adipisci sit qui.","Qui nihil autem minima et et commodi facilis. Omnis velit dolorem aliquid nihil. Repellendus est sint inventore suscipit natus. Aut ducimus alias qui et quasi quo dolorum."]</t>
  </si>
  <si>
    <t>est-a-8-512-6-blue</t>
  </si>
  <si>
    <t>soluta et consequatur</t>
  </si>
  <si>
    <t>https://via.placeholder.com/300x650.png/006677?text=Smartphone+aut</t>
  </si>
  <si>
    <t>["Voluptatem cupiditate maxime dolore nihil ipsa voluptas explicabo.","Facere minima explicabo adipisci quod.","Est ad perferendis magnam modi architecto et.","Numquam consequatur voluptas aliquam tenetur beatae.","Rerum quod alias id quos consequatur asperiores mollitia cupiditate.","Est repudiandae aut nam non doloribus.","Distinctio inventore deserunt architecto est.","Est laudantium enim labore magni et voluptatem praesentium.","Tenetur sint ab aliquid exercitationem.","Est vel velit et vitae omnis."]</t>
  </si>
  <si>
    <t>["Aut et accusantium ab quas voluptatibus sed perferendis similique. Dolorum voluptatum rerum voluptas id et veritatis esse sed. Qui eos totam aut. Numquam eaque ipsa aperiam autem nesciunt quia sint eos.","Corrupti non nemo necessitatibus. Explicabo minima ad dolor ut. Libero laudantium aut est laborum. Earum reprehenderit dignissimos eum vel."]</t>
  </si>
  <si>
    <t>sed-sit-6-128-2-black</t>
  </si>
  <si>
    <t>recusandae pariatur doloribus</t>
  </si>
  <si>
    <t>https://via.placeholder.com/300x650.png/0044ff?text=Smartphone+qui</t>
  </si>
  <si>
    <t>["Qui minima est recusandae ut.","Maiores enim ut eos et labore.","Possimus nihil dolore ut.","Dolore doloremque esse quia rerum magnam doloremque laudantium corrupti.","Rem totam error vel est minima excepturi temporibus.","Similique illum natus incidunt maxime qui.","Minima vel quia in voluptas rerum ut suscipit.","Iusto natus sit et non nobis.","Eos animi minima dolor dolorum sit maxime expedita.","Aut maxime molestias odit aspernatur cumque."]</t>
  </si>
  <si>
    <t>["Libero quis sed ipsam perferendis repudiandae autem. Vero voluptate sint deserunt assumenda itaque voluptates consectetur vitae.","Magnam aliquid officiis molestias quia. Quaerat eius quisquam laudantium eos. Accusantium neque animi unde temporibus accusamus."]</t>
  </si>
  <si>
    <t>voluptate-aut-12-8-2-red</t>
  </si>
  <si>
    <t>voluptatem veritatis aut</t>
  </si>
  <si>
    <t>https://via.placeholder.com/300x650.png/00aaaa?text=Smartphone+et</t>
  </si>
  <si>
    <t>["Placeat nesciunt mollitia et voluptas illum in exercitationem.","Repellendus aut sunt velit adipisci rerum.","Vero qui consectetur voluptatem possimus.","Aliquam et et ut voluptatem et.","Provident minima incidunt deleniti maxime velit.","Neque voluptatum itaque similique similique dolores aut autem sint.","Exercitationem esse ipsam qui in facere omnis.","Quia libero neque qui ad.","Itaque qui alias laboriosam eligendi ut natus non.","Molestiae ea doloribus sequi laudantium dolorem doloremque sint."]</t>
  </si>
  <si>
    <t>["Distinctio iste consequatur et. Est suscipit et error inventore. Reiciendis quasi voluptatem sint rerum esse. Laborum ex molestiae natus id autem eum.","Corrupti voluptas ea qui incidunt facilis est. Excepturi vel nostrum tempore rerum sed neque soluta."]</t>
  </si>
  <si>
    <t>aspernatur-eum-8-16-3-green</t>
  </si>
  <si>
    <t>officiis natus sint</t>
  </si>
  <si>
    <t>https://via.placeholder.com/300x650.png/00ffdd?text=Smartphone+ipsa</t>
  </si>
  <si>
    <t>["Officiis nihil sit consequuntur autem libero dolorem doloremque.","Asperiores cupiditate quae consequatur laboriosam aspernatur molestiae quaerat.","Repellendus consequuntur ut doloribus et molestias numquam.","Fugit facere et dolores a quaerat.","Debitis aperiam totam qui ducimus ab ullam.","Odit maxime omnis facilis nemo eum.","Enim tempore officiis sit iusto.","Molestias doloremque assumenda voluptatem.","Reiciendis aperiam incidunt voluptatem tenetur vitae odio veniam.","Ut ratione quibusdam consequatur aperiam nisi at."]</t>
  </si>
  <si>
    <t>["Repellat quia sint deleniti quod. Officia odit repellendus nostrum ad. Occaecati optio et iure.","Eos qui error possimus eum maxime. Aut laborum non consequatur provident facilis iusto. Consequatur dolore animi voluptate exercitationem. Illum rem corrupti sunt quidem harum ipsa."]</t>
  </si>
  <si>
    <t>est-vel-6-128-4-black</t>
  </si>
  <si>
    <t>repellat assumenda a</t>
  </si>
  <si>
    <t>https://via.placeholder.com/300x650.png/00aaee?text=Smartphone+amet</t>
  </si>
  <si>
    <t>["Dolorem harum et laboriosam quis est.","Aut beatae qui nihil veritatis qui quia earum nihil.","Tempora aut occaecati et qui enim rerum rerum.","Velit perferendis delectus reprehenderit quia et tempore.","Voluptates esse animi corporis porro similique sed at atque.","Vel mollitia et velit necessitatibus maxime qui.","Iste autem aut et tempore sit temporibus assumenda.","Qui minus molestiae quia culpa.","Dolores porro dolor eum commodi et inventore placeat.","Praesentium eum fugit et perspiciatis dolorum labore."]</t>
  </si>
  <si>
    <t>["Nulla aut ea delectus. Sapiente est maxime minima officiis ut neque fuga. Nihil et esse eos deleniti natus officia.","Autem eos fugiat nobis dolorem necessitatibus. Nesciunt harum et dolorum odit totam. In et sint odio ut veritatis consequatur voluptas."]</t>
  </si>
  <si>
    <t>et-non-6-8-4-blue</t>
  </si>
  <si>
    <t>esse vel exercitationem</t>
  </si>
  <si>
    <t>https://via.placeholder.com/300x650.png/008899?text=Smartphone+ratione</t>
  </si>
  <si>
    <t>["Aperiam sunt doloremque earum voluptatum.","Esse maxime ipsum aut quam.","Natus qui sed veniam reprehenderit.","Voluptatem corrupti voluptatibus quis.","Explicabo totam quia neque et et ab.","Qui ratione aliquid vero eum molestiae accusamus.","Et qui laborum quos laboriosam a dolor quia.","Pariatur qui et ex temporibus ullam.","Repellendus et vel dolorum culpa.","Necessitatibus aut sunt architecto quia quidem id accusamus."]</t>
  </si>
  <si>
    <t>["Id odit consequatur consequuntur totam officiis. Praesentium provident aut ut consequatur. Quia sequi impedit natus fuga voluptatem eaque ut. Suscipit totam pariatur eligendi.","Amet id repellendus omnis fugiat non incidunt. Error quo aut rerum dolorum repellendus. Ea quisquam commodi et optio. Quis et aut nulla."]</t>
  </si>
  <si>
    <t>quasi-perferendis-12-64-4-red</t>
  </si>
  <si>
    <t>deleniti distinctio ut</t>
  </si>
  <si>
    <t>https://via.placeholder.com/300x650.png/000000?text=Smartphone+nostrum</t>
  </si>
  <si>
    <t>["Odit quia voluptatem dolor et alias ratione ipsam dolor.","Eligendi saepe voluptatibus enim cumque et quo quam.","Quod doloribus et necessitatibus illo.","Dolore facilis possimus id amet et ea repellat est.","Quia necessitatibus omnis voluptas non.","Non eius provident recusandae et rem fugiat facere nulla.","Aut quo et totam et quo et officia.","Aut maxime officia libero voluptatem pariatur quos.","Provident qui autem rerum.","Impedit quod et officiis saepe et."]</t>
  </si>
  <si>
    <t>["Vero voluptas sunt aperiam occaecati aut quis. Quia repudiandae quis necessitatibus sequi. Placeat reprehenderit dolore laudantium qui qui earum reprehenderit. Minima eius necessitatibus dignissimos non.","Qui eius est eum optio illum. Numquam in commodi occaecati cupiditate fuga sapiente et neque. Ullam architecto corporis non. Perferendis explicabo in iure velit nesciunt qui qui repudiandae."]</t>
  </si>
  <si>
    <t>quasi-qui-2-8-3-green</t>
  </si>
  <si>
    <t>laudantium doloribus quod</t>
  </si>
  <si>
    <t>https://via.placeholder.com/300x650.png/00dd44?text=Smartphone+cum</t>
  </si>
  <si>
    <t>["Dolorum consequatur sunt occaecati temporibus velit numquam.","Saepe sit corporis qui molestiae.","Quis voluptatem nesciunt ea fuga necessitatibus.","Ipsa in doloribus incidunt recusandae minus est fugiat.","Odio itaque aut sunt laborum at ut quia suscipit.","Odit vitae repellat quam molestiae eaque assumenda doloribus minus.","Veniam inventore voluptatem recusandae officiis.","Quod dolores ut totam explicabo reprehenderit.","Id suscipit rerum sit quae.","At exercitationem quo sunt minima dolores."]</t>
  </si>
  <si>
    <t>["Corporis impedit voluptas quo. Ipsam dolore ipsa nisi et aut et. Tempora repudiandae voluptates molestias architecto laudantium.","Dolorum et aut saepe asperiores. Voluptatem quos perspiciatis id voluptas et."]</t>
  </si>
  <si>
    <t>est-a-12-128-6-red</t>
  </si>
  <si>
    <t>quis ab officiis</t>
  </si>
  <si>
    <t>https://via.placeholder.com/300x650.png/00ddee?text=Smartphone+eum</t>
  </si>
  <si>
    <t>["Labore iste ex nesciunt perspiciatis.","Non qui molestiae at fuga alias enim itaque.","Porro fuga assumenda aut non quasi id.","Quas minus quo sequi delectus sed.","Perferendis sunt culpa modi incidunt vitae maxime.","Ex qui temporibus doloribus recusandae blanditiis nam corporis.","Est rem deserunt ad.","Labore officia qui molestiae praesentium enim aliquam accusamus distinctio.","Vel ex rem expedita quisquam nostrum error.","Non similique vel debitis tempore eius earum quam atque."]</t>
  </si>
  <si>
    <t>["Enim sequi quae porro et quasi est aut. Quam nulla molestias aut nulla nemo. Quaerat perferendis consequatur expedita sed.","Perspiciatis aut ut necessitatibus optio ipsam. Ipsa est harum aliquid architecto unde sit. Sint qui veniam est officia aspernatur vel."]</t>
  </si>
  <si>
    <t>aspernatur-corrupti-6-16-6-red</t>
  </si>
  <si>
    <t>sit quam aut</t>
  </si>
  <si>
    <t>https://via.placeholder.com/300x650.png/003311?text=Smartphone+dolor</t>
  </si>
  <si>
    <t>["Ad est sequi soluta eum.","Modi vel maxime dolore.","Voluptatem provident quasi et rerum quasi placeat.","Error dolores nemo impedit est sint tempora quasi.","Quo et est consequuntur sunt.","Dolorem commodi ea natus magnam ut occaecati impedit.","Voluptatem non magni numquam magni culpa excepturi aut sapiente.","Molestiae pariatur necessitatibus est vel dolorem.","Qui fuga ab quia sunt adipisci.","Et et illo voluptatibus omnis commodi."]</t>
  </si>
  <si>
    <t>["Consequatur dolorem neque nihil qui quasi minima. Ut ea at aliquam modi porro. Corrupti rerum maiores consequuntur sequi soluta ut neque molestiae.","Excepturi repellat ut beatae. Qui saepe ut est officia et. Iure in soluta quis veniam. Facere harum consequatur eveniet deserunt consequuntur nihil vero."]</t>
  </si>
  <si>
    <t>illum-vero-12-8-4-red</t>
  </si>
  <si>
    <t>rem alias quisquam</t>
  </si>
  <si>
    <t>["Consequatur officiis ad suscipit et.","Aut consequatur totam accusamus.","Accusamus quasi officia odio assumenda ut dignissimos.","A et incidunt possimus aut officia.","Minus sit dignissimos cumque rem.","Itaque omnis voluptas sit numquam.","Voluptate ea eum inventore nihil velit quo.","Rem dolores aut ad ipsam voluptatum hic.","Deleniti voluptas fuga veniam ducimus magnam ut ipsa qui.","Iure animi quaerat distinctio ut."]</t>
  </si>
  <si>
    <t>["Atque accusamus est veritatis est. Inventore vel eos est a. Ea pariatur consectetur eum est suscipit sunt unde. Porro qui quia in laboriosam sapiente.","Eos aut dolorum vitae animi nobis. Magni commodi consequuntur aut ut dicta repudiandae natus. Numquam iusto sunt quis commodi. Nobis ut odio explicabo perspiciatis impedit et minima."]</t>
  </si>
  <si>
    <t>aspernatur-eum-6-128-6-red</t>
  </si>
  <si>
    <t>et sed non</t>
  </si>
  <si>
    <t>https://via.placeholder.com/300x650.png/0077aa?text=Smartphone+velit</t>
  </si>
  <si>
    <t>["Iusto saepe sunt deleniti et.","Adipisci dolor debitis iusto.","Unde sapiente autem soluta libero est repellat quia.","Occaecati voluptate at perspiciatis minima vel.","Dolorem iste veritatis doloremque excepturi id minus eius.","Repudiandae sint consequatur voluptatem similique provident ut id.","Impedit ipsum sit delectus aspernatur et.","Officiis voluptates doloribus libero neque sint aut.","Ipsum nulla exercitationem aperiam rerum consectetur.","Ipsum non tempore suscipit fugit voluptatibus et labore dolores."]</t>
  </si>
  <si>
    <t>["Iure sapiente qui et aut. Veniam quibusdam ab aut vel laudantium sed magnam rem.","Rem sit blanditiis consequuntur eveniet aperiam. Aut et optio saepe placeat non ea placeat. Qui qui et maxime ea odio iste officiis. Magnam consequuntur consequatur libero voluptatem."]</t>
  </si>
  <si>
    <t>maiores-sed-2-64-4-white</t>
  </si>
  <si>
    <t>sed id occaecati</t>
  </si>
  <si>
    <t>https://via.placeholder.com/300x650.png/005544?text=Smartphone+et</t>
  </si>
  <si>
    <t>["Fugit in aut numquam quo enim sint.","Quidem nesciunt rerum fugit sunt quia eius officia.","Consequatur rerum libero sed itaque et.","Et eum sapiente tempore sapiente sunt aut nihil.","Occaecati quos et minima.","Sapiente animi et similique debitis.","Velit aut doloribus delectus omnis possimus doloribus consequatur.","Optio quisquam praesentium soluta voluptatum harum id.","Maiores et maxime fugit ipsum fuga dolores veritatis.","Minus aliquam libero qui ut."]</t>
  </si>
  <si>
    <t>["Vel porro est quod quasi. Labore consequatur ipsam omnis provident.","Fugiat fugit fugit voluptatem rem dicta ex. Non eum quam autem quia. Tempora incidunt iusto tempore est."]</t>
  </si>
  <si>
    <t>et-ipsa-12-64-3-green</t>
  </si>
  <si>
    <t>odit eaque veniam</t>
  </si>
  <si>
    <t>https://via.placeholder.com/300x650.png/000088?text=Smartphone+non</t>
  </si>
  <si>
    <t>["Laborum animi totam harum aliquam adipisci alias.","Neque ipsa laborum aut est illo nihil ut.","Qui nulla sunt error saepe error ab qui ab.","Dolorum reiciendis eveniet blanditiis natus ea at.","Rerum eveniet atque veritatis quos excepturi et a.","Eius quam alias eaque incidunt natus rerum sed.","Earum explicabo facere architecto et repudiandae libero omnis.","Non nulla dignissimos eaque animi corporis.","Aut iure nostrum quia dolore autem molestias eveniet est.","Unde et autem assumenda ut."]</t>
  </si>
  <si>
    <t>["Ea quisquam qui sapiente eos labore reiciendis pariatur. Est consequatur possimus vel sed sequi non commodi.","Molestias accusamus blanditiis minima atque fuga consequuntur non. Nihil fugit minus id. Dolor quae minus quae. Omnis ad distinctio non."]</t>
  </si>
  <si>
    <t>voluptate-voluptatem-2-512-3-black</t>
  </si>
  <si>
    <t>quo voluptate ea</t>
  </si>
  <si>
    <t>https://via.placeholder.com/300x650.png/001144?text=Smartphone+explicabo</t>
  </si>
  <si>
    <t>["Ut aperiam incidunt excepturi consequatur.","Autem harum quibusdam eaque voluptas ut accusamus error.","Ex aliquid veniam occaecati ea fugiat aut fuga doloremque.","Perferendis nihil quam qui quas rerum animi omnis.","Commodi repellat molestiae quas sunt temporibus.","Non quidem cumque voluptatem ipsum aut odit.","Sit deleniti magni error nihil.","Quisquam libero eos nemo quaerat enim et.","Voluptatem aut corrupti vel neque ipsum molestiae.","Neque nisi eos ut id ut perspiciatis voluptates iste."]</t>
  </si>
  <si>
    <t>["Dolor quae modi assumenda veritatis. Ea optio maxime et ut alias commodi impedit. Nihil optio quia earum minima recusandae.","Odit voluptas ut aliquam. Sed iste doloribus provident voluptas a. Nulla quia soluta et dicta omnis. Blanditiis aliquam sunt minus sed excepturi fugit dicta."]</t>
  </si>
  <si>
    <t>est-ex-2-32-5-red</t>
  </si>
  <si>
    <t>tenetur omnis earum</t>
  </si>
  <si>
    <t>https://via.placeholder.com/300x650.png/002288?text=Smartphone+ad</t>
  </si>
  <si>
    <t>["Rerum est perspiciatis totam inventore ab voluptate.","Blanditiis numquam ipsa officiis eligendi velit modi.","Voluptatibus eaque distinctio nemo omnis voluptatum atque.","Sunt sapiente incidunt et sit quia.","Porro dolorum nihil fuga.","Aut fuga distinctio voluptatibus qui sit.","Occaecati qui illum atque aut aut aliquam numquam.","Repudiandae est sed non veritatis eaque ipsum mollitia.","Vel magnam consectetur aliquid vero et quia.","Soluta provident sed placeat aut deleniti rem."]</t>
  </si>
  <si>
    <t>["In consectetur sit enim tempore excepturi veritatis eos. Quo distinctio dolor et necessitatibus. Consequatur ipsam aut voluptatum deleniti consequuntur.","Explicabo sequi modi necessitatibus ipsum. Nam et quam doloremque. Dolore eius aut esse veritatis qui culpa."]</t>
  </si>
  <si>
    <t>aspernatur-eos-8-16-3-white</t>
  </si>
  <si>
    <t>amet nostrum aut</t>
  </si>
  <si>
    <t>https://via.placeholder.com/300x650.png/00bb44?text=Smartphone+autem</t>
  </si>
  <si>
    <t>["Omnis impedit perspiciatis in minus.","Perspiciatis sapiente molestiae sed nulla quo est.","Dolor assumenda sunt sapiente natus ad.","Ea rerum sint nesciunt praesentium quod aperiam.","Ut reprehenderit voluptates aspernatur debitis vero.","Fugit qui dicta sed numquam eligendi saepe exercitationem.","Ea et quasi aspernatur.","Hic facilis est voluptas error laudantium quaerat ab.","In quis natus aspernatur et qui omnis quia.","Eaque cupiditate ab voluptatem omnis dolores ullam qui omnis."]</t>
  </si>
  <si>
    <t>["Unde odio illo neque non sapiente. Sunt ut facilis dolorem fuga voluptatem ducimus. Temporibus doloribus recusandae quis quia ut. Eos qui totam ab voluptas.","Soluta quia iste aspernatur eos qui sint. Et voluptatibus ab eos quaerat porro provident. Saepe saepe est veritatis dolor quia. Nam modi accusantium a omnis."]</t>
  </si>
  <si>
    <t>est-eum-4-32-6-blue</t>
  </si>
  <si>
    <t>aut ratione aspernatur</t>
  </si>
  <si>
    <t>https://via.placeholder.com/300x650.png/005555?text=Smartphone+quia</t>
  </si>
  <si>
    <t>["Sed et necessitatibus iste quod nesciunt distinctio.","Magni reprehenderit nihil expedita totam.","Ab accusantium iusto repudiandae cum.","Quis asperiores non quaerat voluptatibus architecto.","Quia fugit repellat quia sint ullam est.","Labore consequatur rem quis sequi autem.","Laboriosam quia pariatur veniam.","Voluptatem nihil et eos molestias et iure.","Quis nobis omnis hic nisi adipisci.","Voluptatem animi eveniet ut beatae."]</t>
  </si>
  <si>
    <t>["Sit rerum illo iusto deserunt fuga molestiae. Non facere ut est eius qui sequi. Ut omnis autem corporis minima adipisci nam distinctio. Accusantium debitis quia numquam porro voluptatem velit est. Quidem velit quia laboriosam ex voluptatem aliquam.","Qui architecto esse voluptatibus omnis. Earum pariatur vel sapiente aut. Quia qui iure occaecati amet. Temporibus optio est nesciunt quisquam vel."]</t>
  </si>
  <si>
    <t>voluptate-sunt-12-64-2-white</t>
  </si>
  <si>
    <t>voluptates ullam eum</t>
  </si>
  <si>
    <t>https://via.placeholder.com/300x650.png/00ffdd?text=Smartphone+aut</t>
  </si>
  <si>
    <t>["Perferendis necessitatibus quia voluptatem corporis officia dolor neque consequatur.","Et dolores suscipit voluptates perferendis.","Excepturi et ullam ut.","Ad explicabo itaque consequatur ut.","Et autem quibusdam facilis nobis.","Natus doloremque eaque et nisi quasi eum.","Qui sit ullam excepturi veritatis officiis.","Neque ut animi delectus et molestias dicta.","Molestias ratione est labore perferendis accusantium quae.","Dolorem autem ex odio consequatur."]</t>
  </si>
  <si>
    <t>["Est aut asperiores repellat vero aspernatur voluptatem. Laudantium et magnam impedit excepturi unde eos illo. Necessitatibus animi culpa expedita a est. Ut dolorum aliquam assumenda. Modi error quia dolorem enim cum.","Voluptas voluptas nostrum dolores et est. Placeat cupiditate dicta nulla perspiciatis non commodi. Ut vero incidunt saepe deserunt possimus culpa et dolor. Quos est qui ducimus id vel."]</t>
  </si>
  <si>
    <t>sed-vel-4-32-6-green</t>
  </si>
  <si>
    <t>adipisci aut adipisci</t>
  </si>
  <si>
    <t>https://via.placeholder.com/300x650.png/000000?text=Smartphone+nulla</t>
  </si>
  <si>
    <t>["Dicta inventore autem laudantium.","Odit quas doloremque error nam totam atque.","Velit est voluptatibus vel facilis.","Maxime nam eum beatae eveniet ut natus.","Enim hic ducimus facere praesentium.","Vitae animi eius nemo molestias et eligendi provident quis.","Dicta eius voluptas aut.","Et et sunt voluptas omnis dolores officiis doloribus.","Qui ipsa similique accusamus quisquam quo et.","Saepe reiciendis fuga quia."]</t>
  </si>
  <si>
    <t>["Quo inventore qui aut corporis consectetur. Dolores id possimus vel voluptas nemo quaerat. Doloremque exercitationem quisquam autem non sint. Odit consequatur et autem ad.","Id laudantium et dolor et doloremque. Debitis et consequuntur similique voluptas tempore."]</t>
  </si>
  <si>
    <t>et-voluptate-12-64-2-red</t>
  </si>
  <si>
    <t>vel nesciunt nam</t>
  </si>
  <si>
    <t>https://via.placeholder.com/300x650.png/0044cc?text=Smartphone+quo</t>
  </si>
  <si>
    <t>["Amet modi quas voluptatem harum nesciunt.","Eum dolorem alias vitae ullam.","Quia nobis soluta iure molestias non provident.","Facere numquam et fuga dolor omnis mollitia.","Qui aut nostrum maxime voluptas asperiores consectetur ullam.","Placeat beatae inventore laboriosam exercitationem soluta beatae.","Facilis assumenda totam aut dolorum aut.","Atque explicabo quia molestiae cumque nam laboriosam a.","Dolor consequuntur quis aut possimus est libero similique animi.","Dolores provident debitis aliquam non quam qui cumque."]</t>
  </si>
  <si>
    <t>["Et culpa architecto et omnis rerum nisi ea. Minus at rerum est at voluptate earum ab. Cupiditate dolore sunt tempora ipsum. Ut dicta veniam voluptatibus reprehenderit nemo aut.","Similique maxime in necessitatibus quidem est repudiandae. Voluptas minus omnis itaque fugit."]</t>
  </si>
  <si>
    <t>ut-iusto-8-8-5-blue</t>
  </si>
  <si>
    <t>quo perspiciatis debitis</t>
  </si>
  <si>
    <t>https://via.placeholder.com/300x650.png/0000ff?text=Smartphone+consequatur</t>
  </si>
  <si>
    <t>["Et maxime iusto ut ut earum et sed.","Ut voluptates est quibusdam labore.","Doloribus sit sit quis laudantium eos delectus suscipit.","Voluptatem delectus dicta repellat natus aut vero amet.","Molestias consequuntur commodi veniam.","Quaerat aliquam consectetur qui nihil aut.","Et atque aut magni deleniti nulla architecto.","Delectus facere ut voluptas voluptas aperiam nihil.","Explicabo non alias quidem repellendus.","Mollitia distinctio ut voluptatem sed."]</t>
  </si>
  <si>
    <t>["Quo maxime occaecati deserunt quas. Facere non sit est sit. Quo natus sunt nobis.","Esse maiores aut magnam nostrum dicta. Tempore est in perferendis blanditiis laborum necessitatibus. Ea molestias deleniti saepe nesciunt. Itaque perspiciatis tempora eos dolorem quaerat et cumque."]</t>
  </si>
  <si>
    <t>sed-reiciendis-12-512-5-green</t>
  </si>
  <si>
    <t>sint minima dolore</t>
  </si>
  <si>
    <t>https://via.placeholder.com/300x650.png/006600?text=Smartphone+quam</t>
  </si>
  <si>
    <t>["Alias cum expedita iste deleniti consequuntur vel veniam.","Consequatur molestias ipsum qui esse voluptate.","Aut omnis sunt ullam.","Aspernatur suscipit mollitia inventore.","Animi quam atque cupiditate tempora rerum.","Fuga est eos doloremque fuga aperiam.","Numquam provident repellendus omnis quis odio possimus ipsa.","Velit nam ea ut sequi enim quibusdam.","Repudiandae aut nemo dolor dolores omnis quia.","Pariatur quae dolores facere sequi."]</t>
  </si>
  <si>
    <t>["Ut velit eius magnam labore adipisci et. Possimus error quis porro explicabo. Quia nulla saepe culpa eveniet sequi. Sed impedit ducimus sit sint inventore vero.","Modi impedit aliquam velit officia repellendus harum. Laborum aut voluptatem sit rerum. Nemo qui dolorem dolore accusantium libero. Est enim cum reiciendis consequatur et numquam neque."]</t>
  </si>
  <si>
    <t>voluptate-ratione-4-64-3-white</t>
  </si>
  <si>
    <t>nesciunt doloremque natus</t>
  </si>
  <si>
    <t>https://via.placeholder.com/300x650.png/007788?text=Smartphone+voluptas</t>
  </si>
  <si>
    <t>["Non consectetur ducimus est sit soluta et.","Error ducimus facilis quod consequatur.","Numquam quia rem harum magni.","Aliquam assumenda rerum doloremque reiciendis enim quidem.","Corporis possimus maxime eaque expedita iusto.","Est vel sit quasi iure similique.","Ratione aut ad saepe natus et laborum qui.","Magni impedit voluptas rerum omnis impedit ipsa voluptatem.","Consequuntur distinctio qui sed.","Laborum quasi nobis est mollitia non recusandae aspernatur."]</t>
  </si>
  <si>
    <t>["Nobis tempore dolor et et. Consequatur est tempora voluptas hic dolorem placeat. Odit accusantium alias odio consequatur. Non ipsa eius exercitationem odit.","Nesciunt numquam molestiae aperiam aliquam consequatur voluptas. Iste animi unde ab eum dolorem corrupti. Mollitia rerum eum deleniti quisquam dicta. Minima est temporibus voluptas quibusdam ut qui."]</t>
  </si>
  <si>
    <t>ut-eos-4-512-3-blue</t>
  </si>
  <si>
    <t>temporibus quis quaerat</t>
  </si>
  <si>
    <t>https://via.placeholder.com/300x650.png/00ee66?text=Smartphone+nihil</t>
  </si>
  <si>
    <t>["Accusantium doloribus impedit iusto totam quod.","Inventore eaque nihil omnis fugiat laborum eius non ullam.","Aperiam ea eaque vel vel.","Consequatur sunt rerum qui in ea culpa cum ab.","Nulla rerum magni architecto voluptates exercitationem.","Et illo ut omnis in autem delectus nulla.","Ipsam animi enim repellendus quas voluptas asperiores.","Voluptas cum rerum saepe dolores.","Sit mollitia rerum eum aliquid voluptatibus omnis.","Officia earum dignissimos tempora dolor qui autem nostrum."]</t>
  </si>
  <si>
    <t>["Unde hic debitis nesciunt soluta mollitia et est. Omnis beatae cumque et minima eligendi perferendis provident qui. Rerum rerum amet est. Non aspernatur quia atque eveniet praesentium rerum.","Nisi eos non minus dignissimos. Officiis harum laudantium aliquam voluptatibus dolorem."]</t>
  </si>
  <si>
    <t>sed-vel-8-64-3-blue</t>
  </si>
  <si>
    <t>et facilis dolores</t>
  </si>
  <si>
    <t>https://via.placeholder.com/300x650.png/000022?text=Smartphone+qui</t>
  </si>
  <si>
    <t>["Est itaque laborum voluptate sunt fuga omnis sed.","Qui ipsum beatae odio.","Eius autem quaerat porro illum reprehenderit.","Quis odio aspernatur est et.","Aliquid magni enim explicabo.","Molestias et aut cupiditate voluptate tempora inventore beatae.","Sequi nobis ea perspiciatis a sint dolores inventore.","Dicta voluptatem nulla architecto veritatis ut fugit.","Officia quas ipsam omnis ut.","Tempore facere accusamus unde molestias."]</t>
  </si>
  <si>
    <t>["Ut adipisci molestiae quia debitis et impedit. Non aliquid ea enim veniam. Enim placeat laudantium neque consectetur.","Et nulla vel nesciunt dignissimos. Laboriosam ullam corporis delectus vel rerum vel esse porro."]</t>
  </si>
  <si>
    <t>illum-perspiciatis-8-512-5-black</t>
  </si>
  <si>
    <t>et dignissimos voluptatum</t>
  </si>
  <si>
    <t>https://via.placeholder.com/300x650.png/0088ee?text=Smartphone+laudantium</t>
  </si>
  <si>
    <t>["Quo qui nihil voluptatibus ut modi eaque.","Assumenda maxime autem est eos.","Consequuntur dolore voluptas error et.","Quod reiciendis minus quis rerum iusto necessitatibus.","Ut repellendus deleniti dolorem cumque voluptatem.","Harum minima quasi voluptas qui consequuntur.","Exercitationem animi consequatur quia.","Amet eum veritatis deserunt est nobis aut voluptatem.","Ea optio porro et dolorem.","Consequatur in sit repellendus ut est."]</t>
  </si>
  <si>
    <t>["Porro non qui corrupti nesciunt est consequatur laboriosam. Ut facere laudantium optio illo vel. Eum dicta laborum iure repellendus. Minima est ipsam recusandae dolorem aut culpa est.","Consequatur sit et id dolorem alias. Esse qui voluptate beatae eum ut laudantium. Sed omnis perspiciatis doloribus hic natus saepe. Libero ea possimus provident dolorem et non doloremque."]</t>
  </si>
  <si>
    <t>maiores-quia-12-32-6-white</t>
  </si>
  <si>
    <t>necessitatibus voluptas possimus</t>
  </si>
  <si>
    <t>https://via.placeholder.com/300x650.png/00dd88?text=Smartphone+ut</t>
  </si>
  <si>
    <t>["Neque nemo ratione voluptatem iure.","Placeat odit est laudantium cum enim autem iste.","Dolor suscipit ut veniam aut provident aut.","Dignissimos harum sit eos quibusdam suscipit aut.","Consequatur architecto ut ea sed.","Repellendus officiis aut et est.","Illo nihil impedit delectus fuga suscipit molestiae eum voluptas.","Sit et in consequatur.","Occaecati excepturi dicta qui provident placeat.","Deserunt eum esse fuga."]</t>
  </si>
  <si>
    <t>["Qui voluptas enim quis beatae dolore ea quos. A vero omnis sed illum voluptas quaerat soluta impedit. Sequi pariatur incidunt esse veritatis delectus minima. Reprehenderit quo ipsum provident reprehenderit rerum libero itaque atque.","Animi perferendis voluptatem officiis molestiae possimus dolor possimus. Non consequatur et saepe quae sed vel. Vel et reiciendis qui laboriosam dolorem sed officiis."]</t>
  </si>
  <si>
    <t>est-rerum-12-16-4-red</t>
  </si>
  <si>
    <t>enim repudiandae numquam</t>
  </si>
  <si>
    <t>https://via.placeholder.com/300x650.png/00bb33?text=Smartphone+veniam</t>
  </si>
  <si>
    <t>["Ipsam ipsa velit reprehenderit dolores cum sit quo.","A et repellendus nobis nostrum provident incidunt.","Deleniti non quis eaque.","Id ipsum sapiente autem quo qui aut consequuntur.","Qui aut libero porro itaque deserunt.","Deleniti eos rerum illum ad excepturi ut.","Nam aperiam doloribus accusantium quisquam.","Saepe optio ea velit occaecati amet.","Nostrum dolorum ut quas aliquam reiciendis sunt.","Dolorem quia sed et corrupti aliquam sed suscipit."]</t>
  </si>
  <si>
    <t>["Odit ipsum amet hic. Et sequi aliquam odio magni et enim vel. Rerum at eveniet incidunt quisquam. Molestias distinctio ipsum debitis ut non ea vitae.","Labore aut iusto tenetur ea debitis nihil exercitationem. Qui repellat tempore est nostrum dolor. Atque et suscipit voluptatem ut ut doloremque eos. Et est earum nam."]</t>
  </si>
  <si>
    <t>corrupti-ut-8-512-2-black</t>
  </si>
  <si>
    <t>saepe quo omnis</t>
  </si>
  <si>
    <t>https://via.placeholder.com/300x650.png/00bbaa?text=Smartphone+hic</t>
  </si>
  <si>
    <t>["Qui ut enim expedita aspernatur laudantium inventore et.","Temporibus non voluptatum sed libero.","Earum ut doloremque non fugiat.","Molestiae quo eum et quia sint non.","Dignissimos ex rerum sit ut.","Aut quibusdam vel quam blanditiis sed inventore neque rerum.","Quaerat consequatur ullam esse alias consequatur.","Natus voluptatem aut voluptas repellendus.","Alias dolor nihil voluptatem.","Mollitia ut assumenda odit sed qui deleniti repudiandae."]</t>
  </si>
  <si>
    <t>["Inventore eos vero non quibusdam sequi consequatur. Voluptatem enim qui officia voluptatem consequatur quia. Beatae esse aut sunt quibusdam.","Numquam atque facere temporibus rerum et omnis numquam. Et esse ullam quia qui unde. Incidunt rerum deserunt pariatur deleniti hic a est amet. Qui enim a molestiae asperiores et voluptas."]</t>
  </si>
  <si>
    <t>est-a-8-8-5-black</t>
  </si>
  <si>
    <t>perferendis sit est</t>
  </si>
  <si>
    <t>https://via.placeholder.com/300x650.png/00aa44?text=Smartphone+quaerat</t>
  </si>
  <si>
    <t>["Sed delectus enim excepturi sint neque facilis.","Voluptatem repellendus molestiae rerum voluptatem.","Explicabo exercitationem consequatur et quo mollitia ut ut.","Quidem sunt animi alias libero omnis.","Incidunt et nihil perspiciatis harum minima pariatur.","Omnis voluptas voluptatem quos dicta et ipsum officia.","Accusamus similique ipsa sunt.","Repellendus eveniet illum et omnis voluptas nihil.","Ipsa consequatur nostrum est illum expedita cumque fuga.","Repudiandae asperiores ut quae ipsa ab est."]</t>
  </si>
  <si>
    <t>["Commodi repellat et consectetur et aspernatur. Eligendi sed dolores labore unde vel esse et voluptatem. Id dolorum eaque suscipit mollitia. Reprehenderit autem eveniet sed.","Recusandae illum maiores ut non. Unde suscipit non rerum fugiat. Et distinctio dolorem mollitia eos saepe odio rerum. Quae nobis non quidem omnis."]</t>
  </si>
  <si>
    <t>est-ex-2-16-3-green</t>
  </si>
  <si>
    <t>architecto vitae minus</t>
  </si>
  <si>
    <t>https://via.placeholder.com/300x650.png/0077dd?text=Smartphone+doloremque</t>
  </si>
  <si>
    <t>["Inventore voluptatibus et aut similique aliquid ea ratione.","Placeat rerum incidunt consequatur accusamus repellat.","Et reiciendis voluptatem qui nam perferendis quod.","Dolores quisquam molestias tempore rem.","Consequuntur aut blanditiis vel culpa doloremque itaque autem.","Beatae ad ipsa fugiat qui et eos.","Nisi explicabo voluptatem libero tempora.","Voluptatem rerum repellat qui tempore officia illum ab tempore.","Doloremque quod sequi cumque ea.","Nobis aliquam placeat culpa dignissimos."]</t>
  </si>
  <si>
    <t>["Labore et aut minima est velit soluta. Et optio sed dolorum odit et est tenetur.","Eligendi itaque natus porro aut in. Molestiae nemo cum et vitae expedita quia. Exercitationem quia delectus magnam repudiandae."]</t>
  </si>
  <si>
    <t>illum-perspiciatis-4-32-2-white</t>
  </si>
  <si>
    <t>dignissimos perspiciatis veniam</t>
  </si>
  <si>
    <t>https://via.placeholder.com/300x650.png/0066dd?text=Smartphone+non</t>
  </si>
  <si>
    <t>["Occaecati iusto voluptatum aut qui qui quia.","Enim architecto cum quia inventore.","Eligendi reprehenderit omnis quia ut.","Corporis quaerat ipsum sint nisi sint maxime atque.","Et repellat quas quis et.","Similique minima et et.","Odit vero qui maiores et doloremque occaecati.","Nisi in et magnam enim dolorem corrupti.","Occaecati velit ratione fugiat consectetur.","Officia rem sit illo consequatur quasi sunt."]</t>
  </si>
  <si>
    <t>["Expedita velit rerum modi laborum illum ut aut. Et facilis impedit optio in magnam. Quod ut nostrum eos tempore.","Hic et voluptatem recusandae ut sit. Sed quo suscipit error sit. Qui in ea labore reiciendis accusantium mollitia. Qui eligendi nobis ipsa."]</t>
  </si>
  <si>
    <t>et-aliquid-12-32-6-red</t>
  </si>
  <si>
    <t>necessitatibus consequuntur non</t>
  </si>
  <si>
    <t>https://via.placeholder.com/300x650.png/000077?text=Smartphone+soluta</t>
  </si>
  <si>
    <t>["Officia eos dolores occaecati id recusandae sed.","Voluptas eum ut hic.","Aut omnis at qui.","Molestias natus est enim consectetur quo aut qui.","Inventore laudantium aut libero dolorem ea.","Et et impedit et quae molestiae.","Accusamus atque sunt vel aspernatur.","At ut labore aliquam ducimus.","Non eum deleniti inventore adipisci id.","Incidunt modi dolores aliquam sapiente id dolores ipsam."]</t>
  </si>
  <si>
    <t>["Incidunt ipsum et velit. Odio voluptatem nihil incidunt et recusandae sequi nostrum exercitationem. Quo incidunt quibusdam voluptatibus voluptate nam.","Sint quia illum accusamus sunt ipsa quasi. Dolores accusamus et perferendis et quisquam. Hic quibusdam possimus consequatur excepturi blanditiis numquam."]</t>
  </si>
  <si>
    <t>et-voluptate-8-64-5-black</t>
  </si>
  <si>
    <t>aspernatur mollitia ullam</t>
  </si>
  <si>
    <t>https://via.placeholder.com/300x650.png/008877?text=Smartphone+nesciunt</t>
  </si>
  <si>
    <t>["Repellat sed vero expedita occaecati magnam qui explicabo.","Expedita nam ad cum molestiae.","Pariatur quos earum occaecati aliquam velit quasi.","Doloremque reiciendis error consectetur quidem occaecati similique.","Incidunt et vero adipisci in omnis expedita ut.","Similique cum et necessitatibus iusto iusto necessitatibus dignissimos at.","Et ut earum cupiditate et voluptatum.","Veniam quidem illo quo minima totam.","Quae sit expedita sit molestiae.","Natus fugiat soluta ipsum voluptatem consequatur velit eveniet."]</t>
  </si>
  <si>
    <t>["Praesentium eligendi incidunt fugiat quasi id aliquam ducimus dolore. Aut aperiam perferendis quas beatae dignissimos rem id. Cum quis porro provident perferendis dicta inventore.","Earum perspiciatis consequatur minima. Sit impedit totam cumque a. Harum aut ipsa esse quam velit laboriosam facilis."]</t>
  </si>
  <si>
    <t>maiores-aspernatur-2-8-5-black</t>
  </si>
  <si>
    <t>dolor nesciunt et</t>
  </si>
  <si>
    <t>https://via.placeholder.com/300x650.png/006611?text=Smartphone+amet</t>
  </si>
  <si>
    <t>["Veniam ut iste fugiat reprehenderit quia.","Omnis ipsa aspernatur aut quia.","Omnis perferendis nulla a labore.","Minima sapiente voluptate iusto iusto necessitatibus.","Et nemo iusto excepturi qui earum eos iure cumque.","Omnis ipsam ut laboriosam ducimus dolores eius itaque.","A nisi voluptatem laudantium quia natus corrupti dolor vel.","Modi fugiat aut culpa vitae deserunt.","Accusantium et corrupti laboriosam quod.","Explicabo neque mollitia quo iste nihil eveniet voluptas."]</t>
  </si>
  <si>
    <t>["Delectus vel beatae illo deserunt explicabo libero. Maiores voluptatem est molestias dignissimos et eligendi. Sunt eveniet et ut consequatur. Voluptate voluptas eligendi eos neque ad suscipit.","Velit quo molestiae et sed. Voluptatibus odio vitae illum sequi sunt. Deserunt nesciunt et omnis aliquam sapiente inventore. Voluptatum ex dolores quia consequuntur sapiente quas laboriosam."]</t>
  </si>
  <si>
    <t>aspernatur-temporibus-2-32-5-red</t>
  </si>
  <si>
    <t>eaque nulla ipsum</t>
  </si>
  <si>
    <t>https://via.placeholder.com/300x650.png/00eeaa?text=Smartphone+consequatur</t>
  </si>
  <si>
    <t>["Est rerum nam est voluptates aspernatur iusto eius.","Blanditiis voluptas cupiditate voluptatem quia nihil similique voluptate.","Modi eaque accusantium omnis sed minima porro.","Quo ipsum et reiciendis aut.","Suscipit nostrum sunt doloremque consequatur enim quo repellendus.","Enim est voluptate quas eius culpa.","Dolorem atque libero rerum deserunt molestiae voluptatem voluptas odit.","Fugiat quaerat placeat inventore eligendi numquam veniam.","Dolorem ut eos molestias expedita.","Illum odio eum aut qui vel aliquid earum eaque."]</t>
  </si>
  <si>
    <t>["Eum adipisci repellat voluptate dolorum rem et minus. Deleniti consequatur iusto aperiam. Sunt aperiam repellendus ut ab. Voluptatum qui molestias ab labore et dolores doloribus.","Nobis voluptas repellat unde quis sit est. Velit quia corporis ad veritatis illo sunt voluptas tempore. Occaecati autem suscipit sint voluptatem voluptatibus iusto dignissimos. Accusamus consectetur ut praesentium voluptas est voluptas."]</t>
  </si>
  <si>
    <t>voluptate-sunt-4-128-4-white</t>
  </si>
  <si>
    <t>ducimus porro voluptatem</t>
  </si>
  <si>
    <t>https://via.placeholder.com/300x650.png/00dd00?text=Smartphone+et</t>
  </si>
  <si>
    <t>["Quia omnis eligendi veniam non.","Cupiditate voluptatibus est non reprehenderit illo ratione.","Dolorem iure sequi voluptatum minima laboriosam vel maxime.","Eos cumque deserunt consectetur vero vero eum.","Ipsum similique quos similique.","Mollitia itaque omnis labore qui aut.","Enim corporis exercitationem quisquam et est quo.","Aut vero provident aspernatur architecto.","Porro voluptas rerum sit nostrum dolorem et.","Nesciunt sit quis eius repellendus accusantium dolor."]</t>
  </si>
  <si>
    <t>["Aliquam sit doloremque ipsa harum. Rerum nulla nemo soluta quisquam facere. Sit aut deleniti ducimus animi quisquam vel.","Beatae itaque assumenda porro ad magni enim. Adipisci distinctio rem eligendi."]</t>
  </si>
  <si>
    <t>voluptate-reprehenderit-8-8-2-black</t>
  </si>
  <si>
    <t>sunt tenetur repellendus</t>
  </si>
  <si>
    <t>https://via.placeholder.com/300x650.png/007711?text=Smartphone+repudiandae</t>
  </si>
  <si>
    <t>["Alias at aut molestiae praesentium natus ipsam.","Tempore fugiat neque qui nostrum quas numquam quidem numquam.","Asperiores omnis et porro ut neque temporibus.","Facere ipsa rem quia non sed.","Iusto temporibus amet aperiam voluptas veniam amet.","Inventore illum temporibus ratione expedita.","Cupiditate vel quod neque occaecati.","Aut consectetur commodi possimus laborum totam esse.","Soluta quas quis occaecati non delectus ea quo.","Et et aspernatur veritatis architecto error autem."]</t>
  </si>
  <si>
    <t>["Ea corporis dolor delectus blanditiis architecto praesentium quae et. Magnam hic qui nam ut. Autem eum rerum reprehenderit nulla eius. Aliquid quae commodi aut inventore ex id. Maiores voluptatibus maxime sequi temporibus officiis corporis consequuntur.","Hic vitae tenetur et est. Et officia esse beatae excepturi quo. Temporibus ut iste distinctio ab voluptatem illum et culpa. Iure quia ut ut rerum consequatur et et."]</t>
  </si>
  <si>
    <t>maiores-iure-4-512-5-blue</t>
  </si>
  <si>
    <t>ad voluptatem maxime</t>
  </si>
  <si>
    <t>https://via.placeholder.com/300x650.png/00cc00?text=Smartphone+error</t>
  </si>
  <si>
    <t>["Consequatur sit corrupti architecto saepe nobis veritatis.","Et a deserunt laborum sit.","Fuga enim doloribus nostrum non.","Ut cupiditate quia eum enim.","Incidunt veniam impedit suscipit consectetur voluptas.","Ut ut ea at.","Qui dolorem animi vero.","Minus quidem nihil atque et minus explicabo minus aut.","Dolorem eius natus non ut recusandae.","Enim eum molestiae perferendis sit labore quis."]</t>
  </si>
  <si>
    <t>["Provident voluptatibus ab laborum ipsam et ipsa amet temporibus. Ipsa officiis dicta porro vel voluptas tempore ducimus. Quaerat sunt ut quis quaerat nemo.","Nostrum officia autem soluta sequi quia vero sed. Placeat sit sapiente cum tenetur aut. Animi maxime dolorum aspernatur nobis recusandae consectetur eaque."]</t>
  </si>
  <si>
    <t>corrupti-ducimus-4-8-4-green</t>
  </si>
  <si>
    <t>eos sint cupiditate</t>
  </si>
  <si>
    <t>https://via.placeholder.com/300x650.png/0011ff?text=Smartphone+aspernatur</t>
  </si>
  <si>
    <t>["Ex ratione quis quas nostrum porro reprehenderit facilis.","Soluta quo ut sint sed.","Distinctio est rem sunt totam nam vitae illum perferendis.","Dolorem doloribus aut et qui.","Dolores praesentium tempore commodi deleniti minima nisi et.","Placeat id ad ipsa et et vitae sed.","Iure debitis harum et doloremque suscipit.","Nihil possimus est nam magnam quia esse unde beatae.","Quos doloribus laboriosam voluptas tempora possimus.","Vero quisquam laudantium quaerat placeat nisi."]</t>
  </si>
  <si>
    <t>["Sed officia quia quibusdam corporis modi facilis excepturi. Itaque dicta ut velit dolores. Eligendi eius est id sunt aperiam.","Molestias ipsa qui atque cumque est repudiandae nulla. Ut voluptas ut dolorem et dolor facilis dolorum velit. Molestiae voluptatem deserunt et atque quis quas et labore. Esse cumque sunt nam exercitationem alias."]</t>
  </si>
  <si>
    <t>est-porro-12-8-4-red</t>
  </si>
  <si>
    <t>in est nam</t>
  </si>
  <si>
    <t>https://via.placeholder.com/300x650.png/0022ee?text=Smartphone+praesentium</t>
  </si>
  <si>
    <t>["Rerum veniam nobis iusto repellendus nostrum deserunt.","Reprehenderit nobis itaque molestiae maiores.","Quas voluptate officiis tenetur non libero architecto.","Officia molestias ullam suscipit ut ullam et harum qui.","Itaque tenetur molestiae quia mollitia.","Dolor consequatur quam officia quas.","Ipsum voluptatem quidem quis libero distinctio sed eligendi.","Laboriosam officia ut animi consequatur.","Minus optio voluptas veniam velit.","Quo quis similique corrupti cupiditate qui earum unde omnis."]</t>
  </si>
  <si>
    <t>["Voluptatem molestias vel doloribus exercitationem nulla optio recusandae. Voluptatem ratione voluptas et quae consequatur. Et quae aut reiciendis eos.","Blanditiis ut inventore nihil nobis est asperiores beatae in. Assumenda officiis minus rem iusto veniam at. Dolore ut dicta et aut dolorem doloribus."]</t>
  </si>
  <si>
    <t>illum-ab-12-512-2-red</t>
  </si>
  <si>
    <t>harum quis excepturi</t>
  </si>
  <si>
    <t>https://via.placeholder.com/300x650.png/009999?text=Smartphone+dignissimos</t>
  </si>
  <si>
    <t>["In facere facilis ut ut ducimus temporibus et.","Facilis quam doloribus nobis corporis.","Inventore voluptatem quae voluptas consequatur eius.","Et quos quibusdam tempore quia quisquam qui tenetur.","Ut id temporibus et quod et.","Ipsum corporis animi dolorem dicta excepturi magni.","Animi laborum corporis accusantium dolore laborum voluptatem.","Nesciunt iure voluptas qui consequatur.","Saepe eligendi minima cupiditate quo id.","Earum ab fugit et omnis optio officia necessitatibus."]</t>
  </si>
  <si>
    <t>["Dolore et occaecati nisi adipisci modi qui omnis accusamus. Reprehenderit cum numquam est perspiciatis. Illo atque vel rerum earum molestiae quas. Consequatur consequatur vel ut quo incidunt error.","Suscipit quo perferendis qui voluptate qui sint ea. Aut omnis eum atque magnam non est in. Dolore dolorem inventore veritatis cumque. Qui itaque perferendis aut."]</t>
  </si>
  <si>
    <t>est-et-4-64-5-red</t>
  </si>
  <si>
    <t>dolores voluptatem et</t>
  </si>
  <si>
    <t>https://via.placeholder.com/300x650.png/00ee66?text=Smartphone+doloribus</t>
  </si>
  <si>
    <t>["Cumque est asperiores perferendis magnam ex.","Consequuntur omnis molestiae corrupti nobis tempore.","Pariatur autem accusamus dolor sunt fugiat in ex consequatur.","Ratione delectus error dolores quis sunt possimus ut.","Qui itaque ut molestiae quae quia.","Omnis est sint minima dolorem dolores qui facilis.","Dicta mollitia at maxime possimus.","Officia nostrum aut deleniti voluptatem beatae illo recusandae.","Quia sit qui totam iusto consectetur modi modi.","Maiores atque debitis ad impedit unde."]</t>
  </si>
  <si>
    <t>["Rem eligendi quos provident laborum quas. Nulla consequatur quia temporibus dolorem exercitationem beatae quia alias. Et itaque doloribus tempore cupiditate. Earum sed laboriosam quisquam quod.","Consequuntur consequatur aut iusto quibusdam. Eos commodi autem amet in. Et cum dolorum qui sint id quidem doloribus vero. Ut non voluptatibus fugiat aliquid cumque provident est magni."]</t>
  </si>
  <si>
    <t>illum-id-12-8-2-blue-1</t>
  </si>
  <si>
    <t>quasi illum consectetur</t>
  </si>
  <si>
    <t>https://via.placeholder.com/300x650.png/00eedd?text=Smartphone+illo</t>
  </si>
  <si>
    <t>["Molestiae et laboriosam in quaerat et.","Quia quisquam corrupti repudiandae pariatur repellendus repellendus.","Quam ad quis non et nostrum odio minima.","Qui voluptatem ducimus minus facere cum.","Libero sit aut odit ad est exercitationem quis.","Laudantium aut et maxime distinctio quisquam saepe.","Necessitatibus earum similique in quo.","Occaecati voluptate sunt accusantium cumque.","Porro officia voluptatibus nemo.","Sunt doloremque rerum sunt consequatur voluptatum et tenetur."]</t>
  </si>
  <si>
    <t>["Non quia nobis amet magnam. Quos dolorum minima quae praesentium.","Officia amet sit magni laudantium. Tempora nisi laboriosam aut possimus. Rem debitis consectetur aut error veniam. Praesentium voluptate beatae officiis repellendus."]</t>
  </si>
  <si>
    <t>maiores-deleniti-4-512-2-white</t>
  </si>
  <si>
    <t>est quo consequuntur</t>
  </si>
  <si>
    <t>https://via.placeholder.com/300x650.png/00bb66?text=Smartphone+dolorum</t>
  </si>
  <si>
    <t>["Aut reprehenderit voluptatem et sint.","Vel ut occaecati quam tempore nostrum beatae.","Et fugit ab sed ullam.","Optio cupiditate iure quis quae eum eum.","Ipsam a vel eos iste architecto atque qui.","Repellendus placeat assumenda ut totam molestiae.","Vitae ut similique odio corrupti ut.","Commodi aut ut debitis est pariatur et mollitia.","Voluptas sunt deleniti rerum quis atque eum.","Sed veritatis accusamus ut sit magnam quam eligendi."]</t>
  </si>
  <si>
    <t>["Voluptatem fugit iste in dolores distinctio. Excepturi iste perspiciatis consequatur enim. Provident dolorem ad et fugiat unde ullam. Autem qui dolores quos ut modi.","Odio omnis et incidunt dignissimos facilis facere deleniti. Et quae beatae qui nihil eum. Voluptate harum tempore pariatur saepe ut. Excepturi aliquid eveniet accusantium ut."]</t>
  </si>
  <si>
    <t>corrupti-sint-4-64-2-black</t>
  </si>
  <si>
    <t>ipsam occaecati voluptatem</t>
  </si>
  <si>
    <t>["A omnis accusantium ipsam ipsum perspiciatis dolores.","Voluptas voluptates nemo reiciendis voluptas nihil repellat.","Qui eos optio suscipit voluptates mollitia cupiditate esse.","Natus non excepturi corporis dolores.","Aperiam rerum voluptas dolor et quia harum expedita ducimus.","Aliquam nulla rerum eaque sed velit maiores.","Eaque sint sit iste repudiandae voluptatem voluptatum a optio.","Eligendi in adipisci dolores sed rerum ab.","Molestiae quod aut quibusdam eius aut.","Distinctio ut fugit cumque et illum aliquam."]</t>
  </si>
  <si>
    <t>["Ea ipsum aut aut suscipit neque sed. Ut eveniet et inventore enim. Natus ullam est inventore esse eos omnis quaerat nisi.","Aut consectetur perferendis eaque voluptatem. Accusantium sunt laborum et error minus quo. Consectetur qui aut tenetur velit molestias alias ea tempora. Omnis quasi dolore iste molestias et sunt possimus aliquam."]</t>
  </si>
  <si>
    <t>maiores-veritatis-4-8-4-black</t>
  </si>
  <si>
    <t>eum qui minus</t>
  </si>
  <si>
    <t>https://via.placeholder.com/300x650.png/000000?text=Smartphone+reprehenderit</t>
  </si>
  <si>
    <t>["Quia eum alias rerum unde non.","Eligendi debitis corrupti voluptatem est.","Sed nemo qui harum natus a asperiores amet.","Animi iusto sed quaerat molestiae.","Maiores nihil culpa officiis nisi accusamus.","Laudantium alias accusantium quia et.","Qui quam unde nesciunt provident omnis ad.","Et eligendi facilis laborum doloribus.","Officiis similique ipsum voluptas dicta vel eius dolores.","Explicabo magni at hic veritatis at animi doloribus nesciunt."]</t>
  </si>
  <si>
    <t>["Quos est quam vitae quo. Aperiam dignissimos omnis minus consequatur expedita ducimus magni. Et qui inventore consequatur eos laudantium. Eaque delectus et amet minima in sed.","Assumenda ducimus provident dicta dolorem expedita architecto. Facere voluptatibus amet sit eum provident eum. Asperiores accusantium occaecati quibusdam dolorem eligendi quis."]</t>
  </si>
  <si>
    <t>sed-cumque-4-64-6-red</t>
  </si>
  <si>
    <t>voluptatem modi eum</t>
  </si>
  <si>
    <t>https://via.placeholder.com/300x650.png/007766?text=Smartphone+quia</t>
  </si>
  <si>
    <t>["Animi eos aut modi consequatur deleniti.","Dolore ex corporis esse aut voluptas eos quas possimus.","Voluptatem adipisci fugit ratione atque.","Ea eos consequatur placeat qui eum quae placeat.","Omnis placeat architecto aut occaecati qui ut ut.","Expedita molestias officia molestiae odit aliquid sit.","Consequatur voluptatem error perferendis reiciendis sit harum.","Facilis cum distinctio placeat nobis.","Corrupti vero est tempore omnis eos.","Dicta eos quia ipsam illum laboriosam officiis tenetur."]</t>
  </si>
  <si>
    <t>["Ut quisquam atque quia quae. Eaque provident et omnis dignissimos tempore. Voluptatem hic velit autem ea nisi. Omnis quia nam est facilis ut.","Necessitatibus impedit reprehenderit vel et. Quas optio id dolor et porro dolore ut. Voluptatum magnam aut est velit quia doloremque tempore. Id architecto accusantium voluptates."]</t>
  </si>
  <si>
    <t>sed-necessitatibus-4-128-4-blue</t>
  </si>
  <si>
    <t>itaque provident molestias</t>
  </si>
  <si>
    <t>https://via.placeholder.com/300x650.png/00bb11?text=Smartphone+quasi</t>
  </si>
  <si>
    <t>["Deleniti dolore quo facilis atque aut sint culpa.","Vel exercitationem occaecati mollitia eaque quas.","Corrupti mollitia modi dolore qui ratione doloremque aut.","Rem et nam sed ut laborum ea est.","Optio aut nesciunt et.","Fugiat nulla ut ut illum ad aperiam et.","Vel dolor tempora doloremque nihil quae quaerat.","Officiis quod qui labore velit.","Cumque praesentium perferendis aspernatur quam deserunt.","Aut ducimus non ducimus hic qui tempore totam."]</t>
  </si>
  <si>
    <t>["Modi magnam commodi doloremque ex odit deserunt. Dolor itaque ea aliquam sed eum adipisci quia quia.","Consequuntur beatae nulla quia enim rerum. Nemo voluptatum numquam vitae ad veniam. Harum est illo doloribus soluta culpa qui."]</t>
  </si>
  <si>
    <t>voluptate-magnam-8-128-5-white</t>
  </si>
  <si>
    <t>nihil provident nam</t>
  </si>
  <si>
    <t>https://via.placeholder.com/300x650.png/00ccdd?text=Smartphone+tempora</t>
  </si>
  <si>
    <t>["Consequatur pariatur ipsam pariatur totam.","Blanditiis dolor consequatur eos.","Quo error culpa voluptates incidunt eos est maxime.","Enim culpa incidunt dicta est numquam id consequatur.","Velit aut tenetur laborum et est dolores tenetur.","Modi id commodi quasi maxime nam eos aliquam.","Eos fugit quisquam voluptas molestiae veritatis quis vero.","Et doloremque ut et harum harum sit temporibus aperiam.","In modi error consequatur omnis.","Nihil tenetur magnam provident voluptatem reiciendis."]</t>
  </si>
  <si>
    <t>["Quibusdam consequatur commodi et doloremque doloribus eaque nulla voluptate. At assumenda et dolorum.","Omnis qui a qui error ipsa. Alias laborum distinctio quia iure et eum. Rerum error debitis sequi libero."]</t>
  </si>
  <si>
    <t>aspernatur-aliquam-8-64-2-blue</t>
  </si>
  <si>
    <t>voluptatum ut expedita</t>
  </si>
  <si>
    <t>https://via.placeholder.com/300x650.png/008888?text=Smartphone+incidunt</t>
  </si>
  <si>
    <t>["Consequatur eos ea commodi omnis exercitationem.","Sit architecto repudiandae sit beatae nam quidem.","Delectus fugit repellat repudiandae eos.","Laudantium temporibus voluptatem aliquid voluptate aperiam.","Excepturi inventore id officia non.","Doloribus earum mollitia aperiam blanditiis ratione.","Quod explicabo odit dolorum ut dicta quo.","Voluptas rerum optio aperiam possimus minima voluptatem.","Voluptatem ut eligendi laudantium itaque dolores iure dolor.","Est minima sapiente praesentium quasi exercitationem voluptates."]</t>
  </si>
  <si>
    <t>["Ullam iste quibusdam laboriosam asperiores dignissimos natus qui. Omnis odio maxime voluptates eum quas et illo. Illum ipsa temporibus veritatis architecto. Maxime blanditiis esse alias facilis omnis debitis quae.","Error quia quaerat quo maiores iste non non. Aperiam incidunt ea debitis explicabo."]</t>
  </si>
  <si>
    <t>ut-blanditiis-2-8-3-black</t>
  </si>
  <si>
    <t>et maiores ut</t>
  </si>
  <si>
    <t>https://via.placeholder.com/300x650.png/00bb55?text=Smartphone+blanditiis</t>
  </si>
  <si>
    <t>["Molestiae aut culpa quia.","Iure qui atque dignissimos est.","Eius ipsum et consequatur voluptas praesentium aspernatur.","Quia dolorum aut labore ea esse deleniti ea.","Ullam corporis ipsam vitae ab accusamus fugit est.","Pariatur omnis quis est laborum.","Deserunt iusto doloribus doloremque.","Optio voluptas qui id itaque.","Dolor saepe error laudantium ea illo.","Alias modi reprehenderit fugiat eligendi."]</t>
  </si>
  <si>
    <t>["Aliquid repudiandae quia sit accusantium fuga sapiente. Voluptates expedita eveniet libero expedita omnis. Dolorem suscipit similique minima a nihil. Aliquid autem distinctio laboriosam.","Molestiae voluptatem enim iusto animi et et laboriosam. Mollitia aut nostrum magnam consequatur laudantium nesciunt. Et tenetur veniam expedita veniam qui voluptates expedita quia. Similique maxime consequuntur molestiae suscipit qui harum omnis."]</t>
  </si>
  <si>
    <t>est-dolorum-2-8-4-blue</t>
  </si>
  <si>
    <t>perferendis quia qui</t>
  </si>
  <si>
    <t>https://via.placeholder.com/300x650.png/0044bb?text=Smartphone+quasi</t>
  </si>
  <si>
    <t>["Est et sint qui perspiciatis ab.","Blanditiis aliquam voluptate possimus corrupti quisquam repudiandae non est.","Quo eius quo cum quibusdam.","Placeat temporibus mollitia nulla incidunt molestias placeat aut suscipit.","Nostrum vero quia soluta.","Dolore inventore quisquam commodi quos assumenda accusamus et.","Qui nesciunt fugiat voluptatum rerum.","Similique quo sed aut delectus non voluptatem enim.","Saepe quam officiis sit porro qui.","Quo doloremque et delectus modi."]</t>
  </si>
  <si>
    <t>["Alias animi est doloribus sit aut consequuntur. Vero veritatis itaque voluptates.","Distinctio sapiente sit voluptas ut illo asperiores sapiente. Voluptatem incidunt animi eos id adipisci. Quia expedita quod laborum occaecati omnis. Dolores sed possimus nihil."]</t>
  </si>
  <si>
    <t>et-sit-8-64-3-white</t>
  </si>
  <si>
    <t>aut minima est</t>
  </si>
  <si>
    <t>https://via.placeholder.com/300x650.png/003344?text=Smartphone+neque</t>
  </si>
  <si>
    <t>["Voluptate libero sed praesentium accusantium voluptas.","Fugiat id consequatur non dolorum laborum illo.","Amet cum quas ut.","Est dolor sapiente doloribus enim.","Sit porro ea quas.","Voluptatem error ut rerum quia.","Sequi voluptatem hic exercitationem odit animi ad.","Tempore molestiae iure maiores nostrum unde fugiat.","Assumenda sed eum sed quis soluta.","Cum ex nisi soluta qui mollitia voluptas eum."]</t>
  </si>
  <si>
    <t>["Sapiente iure et eius rerum in aut. Eum eveniet facilis nostrum quia voluptatem.","Voluptas vel velit omnis laboriosam commodi. Velit qui animi et sint minus vel vero. Illum aut ducimus ut ea perferendis voluptates numquam impedit. Corrupti earum doloremque ea aliquid amet est quia incidunt."]</t>
  </si>
  <si>
    <t>ut-sed-12-64-4-black</t>
  </si>
  <si>
    <t>optio dolor neque</t>
  </si>
  <si>
    <t>https://via.placeholder.com/300x650.png/0088bb?text=Smartphone+nostrum</t>
  </si>
  <si>
    <t>["Nulla rerum quia et et ratione dolores qui.","Non fuga quia hic atque sit eaque occaecati.","Eveniet quia voluptatem sequi id accusantium consectetur omnis.","Soluta est illo soluta fugit nulla et id.","Autem voluptatibus nesciunt qui eligendi commodi veritatis ipsam.","Provident dolorum enim sunt.","Vel repellendus nesciunt iste quisquam fugiat libero fugit ut.","Ea placeat hic excepturi debitis.","Quas nemo delectus ut velit voluptatibus veritatis est.","Explicabo qui ullam et."]</t>
  </si>
  <si>
    <t>["Ipsum a ut odio dolor officiis quisquam veniam. Esse reiciendis in voluptatem. Aut ut veritatis sit dicta recusandae odio nesciunt est.","Dolore perferendis ut ut enim soluta suscipit laborum. Ab eveniet sit asperiores. Mollitia voluptatem voluptatem natus nam sed impedit."]</t>
  </si>
  <si>
    <t>maiores-sed-6-512-4-white</t>
  </si>
  <si>
    <t>id eaque dolores</t>
  </si>
  <si>
    <t>https://via.placeholder.com/300x650.png/00ff88?text=Smartphone+sapiente</t>
  </si>
  <si>
    <t>["Et aut consequatur libero consequuntur.","Tempora expedita aut nihil quo.","Corrupti voluptatem voluptatum assumenda doloribus iusto dolore non.","Quis sunt rerum natus numquam.","Est quasi vel debitis esse totam distinctio vel.","Quae quo dolorem quas perspiciatis.","Perspiciatis voluptatum consequatur vel deserunt assumenda.","Qui dolorem omnis praesentium eligendi.","Aliquid et eos qui aut.","Quis repellendus eaque beatae odio unde debitis et."]</t>
  </si>
  <si>
    <t>["Voluptatem esse magni quia voluptatem repellat ducimus impedit. Est pariatur est repellat voluptates. Aliquid voluptas nulla corrupti quo et quo et.","Iste tempore cumque labore cum repudiandae. Possimus laborum ab aspernatur non officiis enim. Incidunt ut in libero quod aut. Itaque a et soluta."]</t>
  </si>
  <si>
    <t>est-rerum-6-512-3-red</t>
  </si>
  <si>
    <t>enim quidem veritatis</t>
  </si>
  <si>
    <t>https://via.placeholder.com/300x650.png/005566?text=Smartphone+dolores</t>
  </si>
  <si>
    <t>["Velit est quasi velit eos quas.","Voluptas quis et nam quod non quo commodi.","Consequuntur eos numquam non esse facilis similique quas.","Voluptatem sit qui voluptatem id fugit.","Aspernatur et repudiandae et nihil nam magnam.","Est officia aut illum nobis.","Corporis exercitationem expedita dolorum.","Reiciendis quis beatae unde sequi.","Eum et aut officia eum et voluptatem.","Voluptatum quia eos quisquam dignissimos."]</t>
  </si>
  <si>
    <t>["Illo non a ratione. Hic nam ducimus sequi eligendi sunt. Cumque itaque odio ad rerum quo tempora amet.","Consequuntur laboriosam ad ut. Voluptas illo neque hic perferendis eum culpa."]</t>
  </si>
  <si>
    <t>maiores-aut-2-32-2-green</t>
  </si>
  <si>
    <t>praesentium officiis quisquam</t>
  </si>
  <si>
    <t>https://via.placeholder.com/300x650.png/00aa22?text=Smartphone+laboriosam</t>
  </si>
  <si>
    <t>["Sequi et qui odit provident.","Quasi qui pariatur itaque fuga consequuntur ipsa.","Blanditiis doloribus necessitatibus at officiis deleniti.","Nihil in eum amet ab esse aut.","Iusto cumque qui molestias voluptate ea.","Nemo quos dolor voluptas ut consequatur.","Illo eveniet commodi voluptatem ea porro blanditiis.","In qui autem amet officiis nisi consectetur.","Incidunt exercitationem enim odio reiciendis laboriosam dolorem.","Ut eius maiores voluptatem."]</t>
  </si>
  <si>
    <t>["Et sunt dolorem dolore praesentium maxime delectus. Earum eligendi earum sit dolorem eius sequi. Reiciendis error ex ut aliquid laudantium eos. Molestias saepe dolores deleniti sint delectus iste.","Distinctio qui eos corporis consequatur sint. Impedit possimus similique occaecati qui labore nisi."]</t>
  </si>
  <si>
    <t>ut-veritatis-4-32-5-white</t>
  </si>
  <si>
    <t>dolores consequuntur culpa</t>
  </si>
  <si>
    <t>https://via.placeholder.com/300x650.png/008833?text=Smartphone+repudiandae</t>
  </si>
  <si>
    <t>["Veniam iste neque corrupti fugit.","Illum fuga accusamus sunt velit odit velit voluptates.","Ab voluptatem hic consequatur placeat aspernatur eveniet occaecati.","Distinctio cum perspiciatis qui eos animi.","Dolore incidunt architecto voluptatibus aperiam assumenda dolorem.","Sed quis qui laborum animi.","Repellat vero ut saepe tenetur reiciendis sapiente nemo aliquid.","Dolore voluptatem vel totam tempora.","Fuga corrupti possimus alias.","Ipsa consequatur sapiente inventore eos illum reiciendis."]</t>
  </si>
  <si>
    <t>["Quia est voluptatem ut commodi. Asperiores dolores voluptate corrupti eum placeat officia corporis temporibus. Consequuntur ut est vel hic. Quia quis voluptas nostrum expedita sunt saepe.","Rem omnis illo maxime sed sed. Ducimus earum voluptatum vel corporis. Dolor aspernatur id omnis. Culpa nisi reprehenderit esse enim."]</t>
  </si>
  <si>
    <t>maiores-veritatis-4-8-3-black</t>
  </si>
  <si>
    <t>omnis ipsam repellat</t>
  </si>
  <si>
    <t>https://via.placeholder.com/300x650.png/0022bb?text=Smartphone+numquam</t>
  </si>
  <si>
    <t>["Quis ut a ut beatae commodi tempora ratione.","Sequi quo quibusdam voluptates ipsum qui quia et.","Distinctio et minima accusantium.","Aliquam voluptatibus ut vitae consequatur.","Necessitatibus possimus voluptatem non.","Aut laborum excepturi officia ipsa nam.","Voluptatibus repudiandae eveniet maiores voluptate rem.","Sequi blanditiis similique doloremque dicta.","Illum laborum dicta ratione et repellat iste quod.","Aliquam facere tempora magni rerum."]</t>
  </si>
  <si>
    <t>["Ullam perspiciatis sunt sit quo. Fugit a voluptatem vitae et velit. Vitae esse aliquam rerum sint.","Recusandae neque ut earum. Occaecati expedita ut debitis earum autem. Consequuntur odit non dignissimos suscipit. Exercitationem et amet dolorem voluptates perferendis rerum amet."]</t>
  </si>
  <si>
    <t>et-aliquid-8-512-2-white</t>
  </si>
  <si>
    <t>maiores consequatur ab</t>
  </si>
  <si>
    <t>https://via.placeholder.com/300x650.png/0011aa?text=Smartphone+et</t>
  </si>
  <si>
    <t>["Aut ad numquam aut corporis sint iure.","Consequatur non praesentium beatae qui omnis est.","Omnis expedita ab architecto architecto similique corporis.","Consequuntur ut sint consequatur earum iusto qui aliquid provident.","Incidunt aut id quasi facilis.","Et incidunt vero voluptas aperiam iure.","Cum sequi unde nemo architecto et.","Qui rem aperiam maxime in.","Ipsam quasi dolorem amet aliquid quod.","Alias animi vero modi saepe."]</t>
  </si>
  <si>
    <t>["Est voluptatem cumque fugiat iusto et. Ut sit consequatur sed non hic quae exercitationem. Nisi ex cum in aut mollitia quos ut. Dolores suscipit libero quis nostrum.","Quo consequatur qui excepturi. Fugiat et reiciendis veniam. Atque doloremque quam nesciunt pariatur id."]</t>
  </si>
  <si>
    <t>corrupti-qui-8-8-4-green</t>
  </si>
  <si>
    <t>ut sunt qui</t>
  </si>
  <si>
    <t>https://via.placeholder.com/300x650.png/0022cc?text=Smartphone+iure</t>
  </si>
  <si>
    <t>["Aperiam animi ut nisi corporis placeat expedita quo.","Est eum amet ut assumenda doloribus est hic ducimus.","In fugiat qui ipsam odio molestias.","Quos temporibus repudiandae ea veritatis cum aut doloremque.","Nulla et vero fuga cum non.","Rerum aliquid minima ducimus ipsam nobis consequatur.","Reprehenderit consequatur est vitae sunt itaque veniam dolore quam.","Eligendi et magni officiis a dignissimos necessitatibus.","Voluptatum omnis commodi ad consectetur.","Maxime quo quaerat et."]</t>
  </si>
  <si>
    <t>["Occaecati ipsum blanditiis voluptas vel. Mollitia magnam qui velit rem quis suscipit. Est commodi sapiente earum illum architecto suscipit. Sed quas aut esse excepturi ducimus asperiores.","Corporis rerum vero blanditiis dolorem quidem. Consequatur in laborum placeat porro suscipit porro veniam. Id rerum praesentium non eos."]</t>
  </si>
  <si>
    <t>voluptate-dicta-8-16-6-blue</t>
  </si>
  <si>
    <t>dolores pariatur quas</t>
  </si>
  <si>
    <t>https://via.placeholder.com/300x650.png/00ccff?text=Smartphone+aut</t>
  </si>
  <si>
    <t>["Qui reprehenderit doloribus unde veniam at.","Saepe voluptatum doloribus recusandae porro nam aut repellendus.","Quia aut eos fugit voluptas.","Quia est ut sit necessitatibus.","Autem id nisi et eveniet beatae.","Occaecati in quia dignissimos cum tenetur voluptas.","Omnis rerum voluptas ipsum vel.","Rerum soluta assumenda omnis earum quos neque.","Qui veritatis repellendus quo iusto at et aspernatur.","Sint aliquam eaque doloribus cum ratione qui consequatur."]</t>
  </si>
  <si>
    <t>["Alias iste et vel quo itaque eos est. Et est a necessitatibus natus. Laboriosam qui quia voluptates ipsa temporibus. Vel qui maxime et sint.","Et fuga temporibus repudiandae et aspernatur. Omnis illo blanditiis eos voluptate aut. Cupiditate eum et accusamus et dolorum. Quae suscipit praesentium harum beatae voluptate harum id."]</t>
  </si>
  <si>
    <t>ut-eos-6-8-5-white</t>
  </si>
  <si>
    <t>a delectus unde</t>
  </si>
  <si>
    <t>https://via.placeholder.com/300x650.png/002299?text=Smartphone+nulla</t>
  </si>
  <si>
    <t>["Commodi consequuntur qui cumque optio id.","Provident voluptatem a quis omnis nihil nobis quis et.","Molestias aut quod molestiae ab modi non unde.","Dignissimos quia laudantium voluptas id mollitia repellendus ut porro.","Culpa non eos rerum omnis.","Voluptatem libero autem dolore quaerat totam repellat vitae amet.","Harum magnam ab omnis labore quo sint quia laborum.","Ut placeat quia maxime sint ut qui magnam.","Sint at eligendi nam.","Praesentium ratione et quis ad ab harum cupiditate."]</t>
  </si>
  <si>
    <t>["Maiores consequatur culpa sunt perspiciatis in. Voluptatum facere praesentium quo voluptatem quia. Dolor distinctio cupiditate dolorum mollitia est libero.","Voluptas ut omnis necessitatibus delectus porro dolore ad. Consequatur eum quisquam voluptatum nulla. Ut quidem molestiae quo magnam. Inventore eveniet aut aut enim."]</t>
  </si>
  <si>
    <t>voluptate-magnam-8-8-6-black</t>
  </si>
  <si>
    <t>est sint dolores</t>
  </si>
  <si>
    <t>https://via.placeholder.com/300x650.png/00ccdd?text=Smartphone+voluptatem</t>
  </si>
  <si>
    <t>["Amet exercitationem qui voluptatem.","Beatae qui eaque minus animi corrupti aut et.","Voluptatibus deserunt aperiam accusantium dolores.","Excepturi error iure suscipit iste culpa.","Eligendi adipisci id nostrum commodi numquam voluptatem officiis dignissimos.","Ab corporis illum minus autem.","Impedit sed laborum doloremque quo aut ad voluptatem.","Id modi at dignissimos aut aut officiis fugiat.","Voluptates nesciunt accusamus occaecati amet atque sit.","Dicta sit dolores vitae quidem laboriosam."]</t>
  </si>
  <si>
    <t>["Porro natus sapiente voluptas voluptas voluptatem non iure. Et aut ipsam dolorem non sint eveniet mollitia. Est odio enim non velit sed dolorum deserunt.","Et aliquid laboriosam fuga reiciendis inventore neque atque. At beatae architecto maxime autem eveniet quas suscipit qui. Pariatur voluptatum ea doloribus incidunt."]</t>
  </si>
  <si>
    <t>illum-autem-6-32-4-green</t>
  </si>
  <si>
    <t>velit non non</t>
  </si>
  <si>
    <t>https://via.placeholder.com/300x650.png/006644?text=Smartphone+consequatur</t>
  </si>
  <si>
    <t>["Aut sed tempore possimus blanditiis.","Excepturi velit est deleniti quidem consequatur et impedit.","Maiores molestias ut accusantium veniam non.","At et et veniam voluptates amet.","Aliquam eos consequuntur libero quo iure et cum.","Voluptatem explicabo tenetur totam quis labore amet.","Corporis voluptatem ut et dolore.","Consequuntur distinctio hic illo aut.","Iusto cupiditate at sit est eum id commodi.","Aperiam autem blanditiis doloremque non repellat quod molestiae."]</t>
  </si>
  <si>
    <t>["Quis ducimus reiciendis sint est dolor magni eos. Exercitationem qui provident consequatur dignissimos quibusdam. Sunt tempore ea sed mollitia accusamus qui minus. At et dolorem corrupti unde.","Magnam ad quam voluptas sequi saepe dolorem aut. Delectus aut voluptatem quaerat numquam mollitia. Vel similique unde sed ut. Animi nostrum non optio assumenda recusandae quo qui."]</t>
  </si>
  <si>
    <t>illum-perspiciatis-4-128-6-white</t>
  </si>
  <si>
    <t>nisi nisi dolore</t>
  </si>
  <si>
    <t>https://via.placeholder.com/300x650.png/001155?text=Smartphone+nam</t>
  </si>
  <si>
    <t>["Veritatis ut eveniet et sapiente.","Dolorem ab quasi aut odio voluptates.","Vitae qui esse odit assumenda.","Sint at ad dolor.","Aliquam perferendis nobis nesciunt quis est.","Eum consequatur laboriosam sed amet quia iste.","Aut et nam necessitatibus voluptas rerum dolores repellendus.","Libero tempore dolores quam aut aut.","Dicta quia ratione aliquam recusandae aut dolores.","Quia consectetur laboriosam qui dolores ut."]</t>
  </si>
  <si>
    <t>["Id debitis in eius qui. Delectus aut et architecto fugit. Pariatur magnam eum et quod ut qui modi.","Aut quasi et non et repellat. Assumenda et doloremque molestiae earum voluptatum et eos. Qui eos eum qui laboriosam deserunt dignissimos."]</t>
  </si>
  <si>
    <t>est-vel-2-64-3-green</t>
  </si>
  <si>
    <t>est hic consequatur</t>
  </si>
  <si>
    <t>https://via.placeholder.com/300x650.png/005544?text=Smartphone+repudiandae</t>
  </si>
  <si>
    <t>["Non ut aliquid eligendi sunt.","Est qui aut pariatur ut quia est minus.","Omnis fuga odit est ab suscipit non.","Occaecati aspernatur molestiae et ea excepturi.","Autem voluptatum saepe optio dolores est dicta repellat cumque.","Nisi natus totam ut et maxime.","Quod unde optio ipsa nobis vero aut facere.","Id dolores laboriosam est veniam molestias recusandae qui.","Harum impedit nobis voluptatem voluptate perspiciatis cupiditate est et.","Molestiae placeat officia autem blanditiis."]</t>
  </si>
  <si>
    <t>["Minus voluptas vel modi harum earum maxime. Voluptates sit est ipsam in. Corporis maiores commodi soluta non id alias. Mollitia laboriosam tempora earum modi aspernatur dolorem veniam.","Vitae et accusamus culpa officiis aspernatur dolorem vel. Quis esse expedita voluptatem rerum. Sunt voluptatibus in assumenda illo. Sint amet aliquam maiores pariatur eum."]</t>
  </si>
  <si>
    <t>voluptate-voluptatem-6-128-5-green</t>
  </si>
  <si>
    <t>maxime molestiae eos</t>
  </si>
  <si>
    <t>https://via.placeholder.com/300x650.png/007744?text=Smartphone+ea</t>
  </si>
  <si>
    <t>["Ea numquam iure dolores a consequatur.","Sed veritatis sunt quas molestiae natus et quae.","Nihil impedit magni consequatur rem odit ad.","Quibusdam repellat consequatur consequatur incidunt porro sit repellendus.","Omnis consequatur omnis minus tenetur velit eum quia.","Non facilis illo fuga non quo et voluptatem.","Et omnis sunt voluptatum natus quisquam et sit eum.","Sequi et qui et odit.","Et et temporibus quae cum consequatur eius.","Minima quidem pariatur consectetur et maxime."]</t>
  </si>
  <si>
    <t>["Culpa accusantium facilis omnis excepturi voluptatem blanditiis. Enim fugit recusandae et atque. Consequatur explicabo accusantium in iste beatae non.","Modi est placeat neque debitis nesciunt asperiores odit. Sed perspiciatis et aut molestiae recusandae iste quidem. Aut delectus velit sit. Sed vel maxime rerum consequatur a aut earum."]</t>
  </si>
  <si>
    <t>est-odit-6-64-6-black</t>
  </si>
  <si>
    <t>autem voluptates atque</t>
  </si>
  <si>
    <t>https://via.placeholder.com/300x650.png/00ddbb?text=Smartphone+repellat</t>
  </si>
  <si>
    <t>["Quos et qui fugiat laboriosam.","Esse aut non adipisci dolor.","Cupiditate doloremque sit animi et voluptatibus fuga voluptas distinctio.","Natus blanditiis quas iusto voluptatem quo provident quia.","Dolorum rerum qui sint delectus.","Est tempore quas nam et.","Et quidem aliquam doloremque ipsum occaecati dolore.","Corporis voluptatibus dicta sunt.","Consequatur ut excepturi ullam ut.","Explicabo doloribus explicabo aut veritatis eveniet."]</t>
  </si>
  <si>
    <t>["Vitae dolorem aut in delectus in. Voluptas modi velit nesciunt ut. Qui consectetur alias omnis facilis ipsam quo earum. Voluptas consequatur eos et consequatur iusto ipsum. Itaque nisi vel ut qui.","Tempora atque hic quia. Reiciendis rerum doloremque modi enim. Eos voluptas dolor accusantium amet maiores nulla sapiente. Eum eos sint debitis porro corrupti."]</t>
  </si>
  <si>
    <t>voluptate-aut-4-32-4-black</t>
  </si>
  <si>
    <t>ut laborum qui</t>
  </si>
  <si>
    <t>https://via.placeholder.com/300x650.png/006666?text=Smartphone+omnis</t>
  </si>
  <si>
    <t>["Quidem debitis asperiores et voluptatem facilis.","Libero cumque exercitationem atque maxime eos qui inventore.","Veritatis voluptatum explicabo maiores earum ad voluptas.","Et molestiae reiciendis est eos.","Non eum dolor et cumque.","Culpa et ratione facere est.","Accusamus rerum eum ab voluptates assumenda debitis id.","Est id dolorum aliquid iure corporis et velit maxime.","Rerum est nam debitis voluptatem ut porro.","Voluptatem tenetur quia nihil ratione fuga earum reiciendis qui."]</t>
  </si>
  <si>
    <t>["Totam in delectus soluta neque saepe et. Minus nostrum accusantium dolore omnis adipisci. Ea eum placeat quae quia.","Officia voluptate perferendis tempora quia qui consectetur architecto. Nesciunt et accusantium dolor minus quod quas. Quidem ad sit repellat omnis ipsa."]</t>
  </si>
  <si>
    <t>maiores-aspernatur-12-128-2-green</t>
  </si>
  <si>
    <t>aliquam voluptatem officia</t>
  </si>
  <si>
    <t>https://via.placeholder.com/300x650.png/002266?text=Smartphone+vel</t>
  </si>
  <si>
    <t>["Omnis est unde quisquam quibusdam id velit.","Laboriosam modi dolores harum maxime.","Ad quis est odit ea.","Aliquid hic sint rerum et.","Non enim dolorem doloremque.","Quod adipisci in sint molestiae.","Quia inventore et alias minima voluptatem.","Voluptas odio blanditiis dolores odio.","Eveniet corrupti vel aut nostrum.","Voluptates natus ut architecto veniam non voluptatem optio."]</t>
  </si>
  <si>
    <t>["Qui est maxime qui autem eos fugiat quo. Praesentium ut ullam at tenetur nemo molestiae accusantium. Dignissimos fugiat ratione sunt eos animi et quos. Quia aut quia perspiciatis.","Facere aut ut enim veritatis dolorem. Laudantium necessitatibus et sequi labore."]</t>
  </si>
  <si>
    <t>est-maiores-4-512-6-white</t>
  </si>
  <si>
    <t>eligendi quia eum</t>
  </si>
  <si>
    <t>https://via.placeholder.com/300x650.png/000066?text=Smartphone+voluptatem</t>
  </si>
  <si>
    <t>["At et ipsa mollitia numquam.","Non quia at quo autem voluptatem.","Dignissimos voluptatibus perferendis perferendis et.","Adipisci amet rerum voluptates ratione quia maxime quo.","Exercitationem harum officia et ab.","Atque et veritatis dicta accusantium et doloremque.","Distinctio praesentium fuga harum officiis magni est.","Ipsum dignissimos cum est ut amet nisi.","Temporibus sit sunt id ut.","Adipisci ea nisi velit magni repudiandae aperiam."]</t>
  </si>
  <si>
    <t>["Labore dolorem velit dolores ab laboriosam. Eos id id corrupti id aliquam quidem. Quam saepe aut excepturi porro. Quaerat quasi nisi omnis et rerum.","Officiis dolores quibusdam inventore deleniti. Tempora impedit eius similique quam voluptatem beatae. Saepe accusantium molestias accusamus sequi labore unde. Et perferendis veritatis consequatur voluptatum."]</t>
  </si>
  <si>
    <t>voluptate-pariatur-8-512-5-red</t>
  </si>
  <si>
    <t>magni dicta amet</t>
  </si>
  <si>
    <t>https://via.placeholder.com/300x650.png/00ffee?text=Smartphone+quia</t>
  </si>
  <si>
    <t>["Qui consequuntur assumenda nulla expedita nemo architecto.","Et laudantium voluptatibus voluptas dolores eius aut.","Quis debitis dolores aspernatur ullam.","Aut veniam nostrum quibusdam error asperiores vero qui aut.","Occaecati consequuntur eos beatae minus.","Eos sit tenetur id consectetur.","Eum quidem vel eos et doloremque.","Consequatur veniam voluptatem repudiandae qui voluptatum incidunt.","A voluptatibus qui quidem ipsa et neque quasi.","Est ullam culpa laborum."]</t>
  </si>
  <si>
    <t>["Esse optio et quia sit. Et consequatur est molestias exercitationem quia. Nesciunt neque dolor autem est.","Autem nostrum sequi odio aliquid maxime. Ut sint consequatur optio qui sunt distinctio. Non quis cumque quibusdam iste iste."]</t>
  </si>
  <si>
    <t>corrupti-odit-4-8-3-green</t>
  </si>
  <si>
    <t>et quia laudantium</t>
  </si>
  <si>
    <t>https://via.placeholder.com/300x650.png/00bbbb?text=Smartphone+ut</t>
  </si>
  <si>
    <t>["Sint qui accusamus mollitia consequuntur.","Incidunt aperiam rerum soluta.","Rem ea perferendis atque occaecati possimus voluptatum voluptatibus.","Molestiae sed illum sit dolor.","Animi assumenda et quo consequatur velit.","Perferendis voluptate quae repudiandae inventore est alias.","Labore illum quis in.","Porro iusto quia omnis necessitatibus sit.","Provident asperiores numquam et non debitis laudantium debitis.","Et accusamus assumenda odit odio."]</t>
  </si>
  <si>
    <t>["Repellat repellendus eligendi delectus dolorum omnis distinctio sapiente. Corrupti odit voluptatem saepe asperiores tenetur quaerat. Sit quaerat tempora voluptatem inventore sit iure esse voluptas. Delectus facere suscipit culpa dolor suscipit aspernatur quos.","Aliquam molestiae repudiandae omnis consectetur et cum. Mollitia facere ipsam ipsum beatae consequatur. Eius error magnam aliquid sint. Aut debitis voluptate eos dolor sit tempora non. Illo corrupti fuga quia perferendis quasi nisi necessitatibus."]</t>
  </si>
  <si>
    <t>sed-vel-6-8-2-blue</t>
  </si>
  <si>
    <t>omnis omnis deleniti</t>
  </si>
  <si>
    <t>https://via.placeholder.com/300x650.png/0088aa?text=Smartphone+laborum</t>
  </si>
  <si>
    <t>["Commodi alias repellendus perspiciatis ea aut doloribus dicta.","Qui excepturi fugiat voluptatem vel maxime dicta.","Esse architecto non qui consectetur.","Quisquam et vel natus.","Minus voluptatem aliquam eligendi sint consequuntur blanditiis qui.","Aut vero totam voluptatibus inventore eum placeat facere provident.","Aut aliquid blanditiis aliquam consectetur sed repudiandae.","Qui asperiores exercitationem voluptatem minus vitae et.","Quo et beatae nemo expedita enim occaecati.","Rem dolorum reiciendis dicta excepturi."]</t>
  </si>
  <si>
    <t>["Qui quia et et non earum. Veniam fuga sapiente ipsa dolor rerum animi. Aut ipsum est ad natus aut. Aut eum eum possimus tenetur tenetur rerum dolor voluptate. Molestias ad consectetur rerum eaque a aut voluptatem.","Amet minus soluta beatae vero in sapiente et natus. Molestiae culpa ut voluptatibus ut quia officia. Ut accusamus eos quos atque vel. Voluptatem sequi optio tenetur minima a nam."]</t>
  </si>
  <si>
    <t>quasi-et-8-16-5-blue</t>
  </si>
  <si>
    <t>quae blanditiis atque</t>
  </si>
  <si>
    <t>https://via.placeholder.com/300x650.png/003311?text=Smartphone+ipsam</t>
  </si>
  <si>
    <t>["Ex quisquam nulla natus.","Quis asperiores natus hic.","Error dignissimos totam et.","Sit facilis eveniet praesentium corrupti officia unde cupiditate.","Nostrum adipisci atque eos quis reprehenderit rerum ut.","Dolores doloremque id quibusdam.","Sit perferendis eaque quibusdam ad provident fugit inventore voluptas.","Velit dolorum facere et voluptatem qui voluptatibus inventore dignissimos.","Voluptatem dolorem libero illum ex voluptatem.","Aperiam quaerat sapiente quo eius optio alias ipsam."]</t>
  </si>
  <si>
    <t>["Non non iure et vitae earum. Dolor consequatur quam iure esse eligendi. Nostrum nostrum quia rerum ex commodi. Eius consequuntur excepturi quia consequuntur ratione laborum maxime inventore.","Nulla id officia aut similique ab culpa veniam qui. Expedita eum eos illum vel et autem ducimus. Sit a qui ex."]</t>
  </si>
  <si>
    <t>ut-ut-12-128-2-white</t>
  </si>
  <si>
    <t>soluta rerum quis</t>
  </si>
  <si>
    <t>https://via.placeholder.com/300x650.png/005577?text=Smartphone+et</t>
  </si>
  <si>
    <t>["Provident consequatur neque omnis nostrum explicabo.","Sequi iusto voluptatum sit voluptatem dolorum omnis sint.","Consequatur quas est eius.","Autem numquam voluptatem libero amet qui ipsum.","Similique alias commodi qui sapiente aut.","Omnis laborum iusto dolor doloribus adipisci.","Praesentium voluptatem voluptatem eveniet fugit et.","Atque corporis deleniti non ut modi sed dolor.","Quo molestiae voluptas molestiae autem dolores magnam ut.","Debitis laborum non eius illo accusamus odit."]</t>
  </si>
  <si>
    <t>["Alias dolores corporis mollitia sint. Corporis aut non qui aperiam molestias non repellat repellendus. Ab debitis ipsam et molestiae nam.","Cum ducimus autem dolores deleniti aperiam aut. Omnis omnis ex consequatur non. Dolor exercitationem recusandae autem necessitatibus molestiae tempora accusamus atque."]</t>
  </si>
  <si>
    <t>maiores-sed-6-128-4-black-1</t>
  </si>
  <si>
    <t>dicta sed enim</t>
  </si>
  <si>
    <t>https://via.placeholder.com/300x650.png/0000dd?text=Smartphone+alias</t>
  </si>
  <si>
    <t>["Deleniti sed aut sed soluta.","In quo quae ut nostrum.","Adipisci sunt vitae numquam eaque fuga reiciendis.","Impedit ut aut ullam provident nihil sunt.","Eveniet officiis praesentium minima sed incidunt voluptatem voluptatum quasi.","Occaecati iste voluptatem est recusandae.","Enim ad harum rerum commodi voluptates sit a rerum.","Aut alias consequuntur veniam qui recusandae eos.","Consequatur tenetur corporis qui aut aliquid quam voluptates rerum.","Libero magnam sunt enim modi autem voluptatem quo."]</t>
  </si>
  <si>
    <t>["Error minus expedita vel voluptas. Voluptate velit nobis optio deleniti consequatur deleniti ullam. Officia totam est eligendi modi.","Deserunt reiciendis esse ut quia repudiandae sapiente ipsam sunt. Aut iure neque eaque consequatur non omnis. A laboriosam praesentium quasi reiciendis aut aliquid eos. Tenetur enim repellat quae quis mollitia eaque."]</t>
  </si>
  <si>
    <t>maiores-aut-12-128-4-white</t>
  </si>
  <si>
    <t>labore sint iste</t>
  </si>
  <si>
    <t>https://via.placeholder.com/300x650.png/002211?text=Smartphone+ex</t>
  </si>
  <si>
    <t>["Possimus sit molestias eaque.","Adipisci qui ea facere doloribus at nemo dolores.","Consequuntur est dicta qui ut.","Ex quod non sed dolor animi ratione.","Modi dolor qui pariatur labore quo tempore nostrum quia.","Quas beatae ut et ullam saepe.","Distinctio aut officia accusantium est et.","Sit ipsum aspernatur odio.","Ut et debitis eos magni minima.","Perferendis laborum et sint et quibusdam."]</t>
  </si>
  <si>
    <t>["Necessitatibus odio fugit soluta sed minima. Ut omnis velit id aut mollitia ad. Eos enim eos et et. Minus et et et repellendus praesentium.","Suscipit omnis est maiores quos nobis. Molestias commodi expedita cupiditate quo rem. Porro eum voluptatem cupiditate et aut labore nobis."]</t>
  </si>
  <si>
    <t>corrupti-sit-6-64-6-white</t>
  </si>
  <si>
    <t>cum eius sit</t>
  </si>
  <si>
    <t>https://via.placeholder.com/300x650.png/00dd66?text=Smartphone+eum</t>
  </si>
  <si>
    <t>["Veritatis rem illo autem voluptatem est.","Atque omnis dolorum quaerat non officia autem laboriosam.","Sapiente deserunt earum consequatur dicta quam totam vero.","Molestias asperiores est velit nesciunt reprehenderit fuga eum.","Vero ex sed inventore quia.","Beatae est sed tenetur.","Dolorum consequatur quia temporibus commodi.","Illum voluptatum voluptatem ratione inventore.","Facilis quis iste sed.","Sed nemo quia commodi quae quos voluptatem ea dicta."]</t>
  </si>
  <si>
    <t>["Excepturi aspernatur quaerat voluptatem veniam inventore non quo. Magnam nostrum nesciunt rerum qui velit deserunt. Quibusdam porro repudiandae reprehenderit ducimus voluptas.","Non quis odio veniam cumque maxime. Et ad autem et ut. Praesentium esse consequatur voluptatem nobis. Aut quia eum ducimus doloremque quia iste. Consequuntur aliquid incidunt fugit molestias minima qui atque."]</t>
  </si>
  <si>
    <t>sed-dolor-6-16-3-white</t>
  </si>
  <si>
    <t>aliquid at quo</t>
  </si>
  <si>
    <t>https://via.placeholder.com/300x650.png/000011?text=Smartphone+fugiat</t>
  </si>
  <si>
    <t>["At pariatur laborum aspernatur autem molestiae alias maiores consectetur.","Necessitatibus consectetur quis id.","Perspiciatis sunt vel sit sit.","Ipsa libero eaque ipsa.","Quae fugiat sequi porro laborum eveniet placeat.","Quasi cupiditate velit optio veniam.","Repellendus voluptatem ratione quas exercitationem corrupti.","Molestiae explicabo totam quibusdam sunt quasi.","Quas et ab quo quos omnis recusandae.","Libero aperiam occaecati non reprehenderit reprehenderit quaerat."]</t>
  </si>
  <si>
    <t>["Eveniet laudantium qui amet nihil natus voluptas facilis velit. Natus minus nemo sequi iste animi non. Voluptas omnis dicta quia omnis perspiciatis ut.","Neque possimus occaecati autem eum necessitatibus doloribus aut. Impedit ratione id autem minima ea pariatur delectus. Accusantium culpa tenetur quia."]</t>
  </si>
  <si>
    <t>sed-necessitatibus-2-512-6-green</t>
  </si>
  <si>
    <t>vel dolores animi</t>
  </si>
  <si>
    <t>https://via.placeholder.com/300x650.png/0055cc?text=Smartphone+vel</t>
  </si>
  <si>
    <t>["Eveniet aut delectus nulla sapiente dolorem sit veritatis.","Consequatur quaerat saepe quo et.","Dolores nemo tenetur delectus quo et quaerat.","Aut doloremque fugit at quasi.","Ullam ut laborum illo quis deserunt dolores.","Reprehenderit quibusdam nisi deleniti perspiciatis.","Dicta nisi iste in deleniti et sed excepturi.","Et quos error sed sunt.","Libero molestias excepturi maiores vel.","Delectus necessitatibus dolore vel nostrum."]</t>
  </si>
  <si>
    <t>["Maiores perspiciatis vel illo quia suscipit. Qui a consectetur amet molestias ipsa aut. Mollitia quis reprehenderit assumenda culpa.","Cupiditate qui assumenda omnis et quo sit sint. Sint nostrum deserunt tempora sit alias pariatur. Occaecati non fugiat possimus voluptas dolorum error rerum."]</t>
  </si>
  <si>
    <t>maiores-veritatis-4-128-4-white</t>
  </si>
  <si>
    <t>quia consequatur sed</t>
  </si>
  <si>
    <t>https://via.placeholder.com/300x650.png/00bb00?text=Smartphone+minima</t>
  </si>
  <si>
    <t>["Eveniet velit nam iure tempore doloribus.","Iusto quia illum occaecati ratione quia delectus magnam.","Et possimus similique dolores culpa autem dolorem.","Sit cum voluptatibus officiis suscipit.","Officiis aliquid et ab nemo quia sint.","Praesentium sint suscipit ut vel.","In iusto accusamus provident.","Libero aut architecto cupiditate sint aut sed eligendi.","Consectetur fuga id doloribus dignissimos.","Ab ut et rerum porro beatae."]</t>
  </si>
  <si>
    <t>["Expedita maxime voluptatem sit harum. Non et ducimus pariatur neque sed asperiores mollitia. Nobis enim porro neque temporibus aperiam dolore quia. Laudantium unde doloremque corrupti voluptate vero similique eius.","A soluta suscipit excepturi ipsa. Ut consequatur magni quod. Pariatur nihil qui repellat blanditiis molestias dolor."]</t>
  </si>
  <si>
    <t>est-debitis-2-8-4-green</t>
  </si>
  <si>
    <t>et est veritatis</t>
  </si>
  <si>
    <t>https://via.placeholder.com/300x650.png/0055ff?text=Smartphone+temporibus</t>
  </si>
  <si>
    <t>["Amet et aliquid quibusdam deleniti sapiente eos rerum consequuntur.","Dicta recusandae modi nihil vero deleniti eos libero ut.","Expedita enim repellat repudiandae blanditiis sed dolorem cumque.","Ut repellendus repudiandae sunt minima nisi repudiandae ut delectus.","Voluptatibus et dolores quia iure aut fuga dolor.","Sit harum doloribus minima placeat quo nulla rem.","Culpa et velit rem.","Non corporis delectus vitae aut magni perferendis illum.","Soluta voluptatem dolor vel recusandae.","Quia qui qui atque dolores enim quia magni quis."]</t>
  </si>
  <si>
    <t>["Et vel qui voluptas nesciunt aut dolor saepe. Minima eveniet amet voluptas ut. Dolorem minima sit harum repudiandae commodi ab animi. Neque est quia eos quis.","Sit incidunt consequatur iusto ut magnam et tenetur. Aut similique omnis atque aut et pariatur."]</t>
  </si>
  <si>
    <t>ut-eos-8-128-3-black</t>
  </si>
  <si>
    <t>maxime minus ut</t>
  </si>
  <si>
    <t>https://via.placeholder.com/300x650.png/00ee77?text=Smartphone+aliquid</t>
  </si>
  <si>
    <t>["In fugit autem impedit sed consequatur repudiandae.","Sed voluptatem sunt excepturi quis.","Adipisci nam consequuntur distinctio et quo voluptatem in.","Consequuntur asperiores est sunt officiis optio laboriosam.","Eveniet omnis est aut aut sed necessitatibus est cupiditate.","Aut voluptas consequatur totam voluptatem tempora qui placeat.","Et beatae distinctio ea optio sequi asperiores.","Sit cupiditate vero et et quam quidem aut est.","Et voluptates inventore dolore quia qui.","Qui rem porro omnis voluptas."]</t>
  </si>
  <si>
    <t>["Voluptas aut voluptas molestiae eligendi alias qui. Molestias aut repellendus perspiciatis sint dolores. Unde recusandae fuga aut id omnis deleniti.","Repellendus repudiandae fuga quidem dolorem dolorem commodi dignissimos. Illo voluptatem et perferendis deserunt ut reprehenderit quia. Ducimus autem impedit non labore sed. Veritatis est tenetur fugit reiciendis illo mollitia possimus."]</t>
  </si>
  <si>
    <t>sed-sit-6-128-3-white</t>
  </si>
  <si>
    <t>laudantium dolor quisquam</t>
  </si>
  <si>
    <t>https://via.placeholder.com/300x650.png/0077bb?text=Smartphone+sapiente</t>
  </si>
  <si>
    <t>["Alias ut voluptas quia quo.","Rerum qui est omnis.","Fugiat accusamus non doloribus voluptates nemo neque.","In aperiam dignissimos possimus.","Earum similique sed doloremque in consectetur.","Vero adipisci perspiciatis mollitia hic est.","Id et iusto eum quia possimus.","Ut consequatur qui cum.","Inventore natus placeat ex necessitatibus aliquam sit adipisci.","Mollitia sint quas explicabo voluptatem qui quod."]</t>
  </si>
  <si>
    <t>["Et dignissimos alias sunt consectetur quam nam accusamus maiores. Itaque quas reiciendis officiis. Odio doloremque quos ipsam sed incidunt modi officiis. Omnis eius rerum aut consequuntur omnis nisi nemo.","Est unde ratione amet. Alias reprehenderit magni voluptates molestias. Enim in accusamus voluptatem ea dicta eos enim. Nemo porro amet laboriosam quo. Tenetur natus vel quaerat qui delectus qui quae aut."]</t>
  </si>
  <si>
    <t>sed-neque-12-64-4-white</t>
  </si>
  <si>
    <t>culpa alias incidunt</t>
  </si>
  <si>
    <t>https://via.placeholder.com/300x650.png/00aa66?text=Smartphone+repudiandae</t>
  </si>
  <si>
    <t>["Esse quaerat iste repudiandae praesentium.","Quia et distinctio temporibus quam.","Esse maxime consequuntur ea dolore.","At qui eum omnis sint.","Et dolores illum molestias atque omnis.","Sapiente enim et tenetur sed.","Quae dicta velit sit laboriosam nostrum maxime.","Quisquam eveniet consequatur laboriosam libero iure.","Perspiciatis et impedit ipsam sit est.","Voluptatibus voluptates facilis quos numquam nostrum."]</t>
  </si>
  <si>
    <t>["Molestias qui debitis fugit non qui placeat rerum suscipit. Quod unde repudiandae atque nostrum repellendus in sint. Illo eum molestias cumque consequatur autem autem omnis. Dicta voluptas pariatur officia incidunt. Dolores sint iusto unde nam.","Modi veritatis consequuntur eligendi dolor sequi officia libero. Modi adipisci consequatur unde libero. Repellat placeat veritatis enim sed. Laudantium accusantium cupiditate ut porro."]</t>
  </si>
  <si>
    <t>quasi-qui-12-128-5-green</t>
  </si>
  <si>
    <t>atque cupiditate illo</t>
  </si>
  <si>
    <t>https://via.placeholder.com/300x650.png/002255?text=Smartphone+at</t>
  </si>
  <si>
    <t>["Numquam ullam voluptatem animi non.","Animi amet ab sed vel non vel sit.","Veniam et distinctio voluptas soluta voluptatum.","Temporibus et natus molestias ipsum.","Dolore sunt et deleniti beatae doloribus.","Ut inventore officiis voluptatem quaerat ipsam a.","Ut eaque adipisci rerum modi.","Exercitationem odio facilis vitae.","Quam est quia ut odio.","Id iusto architecto deserunt provident est aut aut quis."]</t>
  </si>
  <si>
    <t>["Et fugiat odit tempora pariatur impedit labore accusamus iusto. Impedit perferendis quia corporis. Non quia non beatae asperiores praesentium.","Tempore dignissimos omnis eum eveniet nisi nostrum cumque. Voluptatibus aut rerum culpa molestiae aperiam. Nulla eum eos et magni velit dolorem."]</t>
  </si>
  <si>
    <t>est-maiores-2-32-5-green</t>
  </si>
  <si>
    <t>nihil quibusdam rerum</t>
  </si>
  <si>
    <t>https://via.placeholder.com/300x650.png/00aa99?text=Smartphone+fugiat</t>
  </si>
  <si>
    <t>["Consequuntur ut et sunt exercitationem quae eligendi.","Est occaecati velit non voluptatem.","Fuga harum reprehenderit cum debitis recusandae est.","Doloribus possimus esse magni eum.","Ea dolores officia nemo sint sed laudantium sed voluptas.","Quidem pariatur accusantium voluptatem aut.","Harum velit exercitationem quo corrupti.","Rerum consequatur dolores culpa consequatur facere aut repudiandae.","Possimus sint et sunt adipisci hic atque.","Quo non asperiores eaque."]</t>
  </si>
  <si>
    <t>["Itaque quos pariatur atque dolores praesentium. Ab hic eaque possimus in.","In voluptas amet itaque dolorem placeat aut. Officia quo deserunt ipsa optio. Inventore ut eaque dolorum ut quas adipisci."]</t>
  </si>
  <si>
    <t>est-maiores-8-512-4-red</t>
  </si>
  <si>
    <t>illum ut vero</t>
  </si>
  <si>
    <t>https://via.placeholder.com/300x650.png/00aa22?text=Smartphone+inventore</t>
  </si>
  <si>
    <t>["Veritatis fugiat eos placeat fugit.","In quo et voluptatem modi accusamus doloremque dolor.","Et adipisci voluptatem dolorem.","Est voluptatem magni ut ducimus unde.","Molestiae quia sit qui non in porro.","Sit quo qui accusantium similique doloremque inventore.","Sed omnis inventore dolorem recusandae.","Facilis iusto eveniet deserunt vel doloremque occaecati sit.","Labore sit autem explicabo sunt iure doloribus sit.","In doloremque omnis omnis ut aliquam a."]</t>
  </si>
  <si>
    <t>["Ea incidunt fuga dicta veniam. Quae debitis dolorem maxime numquam aliquam. Pariatur est animi reprehenderit tempore minima. Quo officia ut fugiat cumque vel dolor.","In voluptatum corporis et quasi sint exercitationem facilis. Placeat omnis earum fugit minima perspiciatis dignissimos quod."]</t>
  </si>
  <si>
    <t>sed-reiciendis-6-128-6-white</t>
  </si>
  <si>
    <t>et nobis quas</t>
  </si>
  <si>
    <t>https://via.placeholder.com/300x650.png/008877?text=Smartphone+qui</t>
  </si>
  <si>
    <t>["Quia voluptas illo nemo quis architecto consequatur quo.","Voluptatem itaque et et.","Esse facilis omnis et itaque modi debitis.","Corrupti enim et qui illo nisi.","Eos officiis non quia harum impedit ut aut non.","Repellat dolores eius enim et dignissimos.","Tempore magni cupiditate neque iusto sed sint sint.","Dolore voluptates sit et at architecto dolores maiores.","Asperiores ea et consequatur unde quidem.","Enim itaque ab dolores aut dolor aut."]</t>
  </si>
  <si>
    <t>["Debitis corrupti nesciunt architecto voluptate quasi provident. Recusandae dolor dicta nesciunt quo dolor itaque. Voluptatem odio libero vel illo.","Autem fuga dolor esse molestiae voluptas ipsum. Nisi nihil ipsam dolore dolorum. Doloribus vitae laborum omnis ex modi."]</t>
  </si>
  <si>
    <t>corrupti-sit-6-32-4-white</t>
  </si>
  <si>
    <t>esse ut quod</t>
  </si>
  <si>
    <t>https://via.placeholder.com/300x650.png/008888?text=Smartphone+sit</t>
  </si>
  <si>
    <t>["Tenetur illum possimus molestiae at.","Dolores minus ex reprehenderit harum amet quidem mollitia.","Autem ut voluptas rerum tempora.","Expedita id nam odit et.","Pariatur dolore perspiciatis harum fugit minus sunt nihil.","Est exercitationem ut explicabo assumenda rerum.","Eveniet voluptatem maiores ut consectetur non.","Sed occaecati sed qui magni voluptatem ut voluptatem.","Omnis aut itaque voluptatem suscipit hic.","Eos velit laudantium qui iste doloremque."]</t>
  </si>
  <si>
    <t>["Amet non quis dolores quo sed sed. Est molestiae rerum quia non culpa qui vero id. Quis eligendi consectetur vel quis quia.","Sunt autem quae minima consequatur voluptatem repellat sit. Accusamus corrupti dolorum consequuntur non nihil qui eveniet. Deleniti quas rerum debitis voluptas rem nam non. Qui laudantium et exercitationem veritatis praesentium ab."]</t>
  </si>
  <si>
    <t>illum-ullam-12-8-6-white</t>
  </si>
  <si>
    <t>quo est iure</t>
  </si>
  <si>
    <t>https://via.placeholder.com/300x650.png/0066ee?text=Smartphone+magnam</t>
  </si>
  <si>
    <t>["Id autem et error qui dolorem vel incidunt.","Quae eum commodi quo voluptatibus officia ut.","Molestiae eaque possimus eius in rerum itaque inventore.","Rerum maxime exercitationem animi doloribus vero tempore in.","Dolores explicabo delectus autem.","Est odit id non itaque molestiae itaque facere.","Consequatur ea alias veritatis et eaque.","Rerum ut voluptatem sint exercitationem iusto odit minima nisi.","Enim laborum voluptatem error maiores quis.","Beatae adipisci voluptas delectus earum aut."]</t>
  </si>
  <si>
    <t>["Optio eum repellendus quis doloremque. Error deleniti debitis repellat qui. At non similique ex magnam.","Et voluptas quis officia nesciunt molestiae. Consequatur sed assumenda qui amet. Dolorem qui voluptatibus repellat voluptatem."]</t>
  </si>
  <si>
    <t>aspernatur-voluptatem-2-8-5-white</t>
  </si>
  <si>
    <t>eius dolore molestiae</t>
  </si>
  <si>
    <t>https://via.placeholder.com/300x650.png/001155?text=Smartphone+repellat</t>
  </si>
  <si>
    <t>["Odit ut repellendus numquam ipsa ad mollitia error eum.","Est dolorum ea ut debitis.","Aliquid voluptatem veniam ea rerum vel omnis.","Numquam error optio nemo asperiores non officiis dolor.","Et voluptate ullam enim reprehenderit error aut velit.","Quod maiores dolorem necessitatibus et.","Assumenda totam corrupti est corrupti.","Numquam asperiores autem deleniti aut inventore aliquid.","Fugit illo qui occaecati.","Vero excepturi temporibus voluptatem adipisci unde sint possimus non."]</t>
  </si>
  <si>
    <t>["Molestias quidem laudantium est aut et. Non molestiae quia adipisci. Repellendus quasi eum aut voluptas ipsum doloribus sapiente officia. Explicabo et qui voluptatem est id animi corporis.","Aut dolorem minima ea quidem vel eos. Occaecati nostrum aliquam ipsa quaerat eligendi voluptatem illo. Alias earum ea quam hic recusandae cupiditate libero ipsam."]</t>
  </si>
  <si>
    <t>aspernatur-aliquam-2-512-6-black</t>
  </si>
  <si>
    <t>voluptatem aut a</t>
  </si>
  <si>
    <t>https://via.placeholder.com/300x650.png/00bb00?text=Smartphone+optio</t>
  </si>
  <si>
    <t>["Nisi ad dolor optio adipisci maxime.","Quos laboriosam modi nesciunt molestiae et.","Aut aliquam saepe voluptas.","Omnis dolores nostrum enim atque sint iure.","Tenetur tenetur deserunt ducimus iure quis hic.","Quas sed consequatur delectus exercitationem velit voluptatem ex voluptas.","Nesciunt accusantium cupiditate molestias in unde.","Id laborum ut alias aspernatur ab.","Praesentium alias nihil deleniti rerum illum at animi.","Tenetur porro in aut sit iure."]</t>
  </si>
  <si>
    <t>["Vel ut repudiandae nesciunt. Voluptatem voluptatem ab maiores asperiores architecto quisquam quisquam. Delectus et natus fugiat suscipit rem. Est dignissimos officiis eos.","Deserunt vel distinctio nobis beatae mollitia est. Tempora labore eos qui. Molestiae voluptas et modi quae. Quo voluptate nesciunt accusamus odio exercitationem. Eos iusto odit aut soluta occaecati ut mollitia libero."]</t>
  </si>
  <si>
    <t>ut-et-2-512-2-green</t>
  </si>
  <si>
    <t>repudiandae omnis modi</t>
  </si>
  <si>
    <t>https://via.placeholder.com/300x650.png/007788?text=Smartphone+eos</t>
  </si>
  <si>
    <t>["Sed ipsam soluta sequi eaque et qui repellendus.","Ea impedit dolorum soluta voluptatem quis est beatae.","Ducimus debitis enim voluptate quia.","Deleniti voluptas voluptas omnis.","Quia recusandae optio nihil vel.","Eos maxime quis numquam dolorum.","Fuga nam delectus nihil incidunt dignissimos.","Nihil ipsa quisquam sequi minus dolor nam.","Cum praesentium sed quia nobis qui.","Molestiae repellendus pariatur reprehenderit quasi."]</t>
  </si>
  <si>
    <t>["Ut quia et laborum cumque sint aliquid repellendus. Exercitationem temporibus molestiae ipsum eaque quisquam ea. Dolorum voluptatibus aut rerum illum. Sint doloribus quia laborum ea officiis dignissimos.","Sed quia temporibus explicabo optio quisquam. Delectus ea tempora sequi magni natus aut alias. Ratione quia aut voluptatem."]</t>
  </si>
  <si>
    <t>illum-et-2-16-3-black</t>
  </si>
  <si>
    <t>pariatur a corrupti</t>
  </si>
  <si>
    <t>https://via.placeholder.com/300x650.png/00ccaa?text=Smartphone+magni</t>
  </si>
  <si>
    <t>["Eius esse veritatis tempora temporibus et sit.","Laborum saepe necessitatibus excepturi magnam et dicta.","Aut labore reiciendis aut commodi.","Necessitatibus in non molestias culpa omnis.","Tempora ea doloribus non voluptate quidem molestias eos.","Aut placeat ut odit dolor exercitationem rerum quisquam.","Ipsum facere eos omnis.","Ut eaque est commodi harum occaecati eveniet quo.","Iure alias commodi quibusdam modi.","Tempore illo porro rerum fugit autem omnis dolorum."]</t>
  </si>
  <si>
    <t>["Autem facilis ipsum corporis nesciunt quos non. Ipsum nisi quae animi et voluptas illo. Ad est architecto quia. Id placeat ex non non et aperiam qui. Tempore corrupti voluptatem quod rerum.","Quia optio est odit est voluptates odio adipisci perferendis. Ut id numquam molestiae temporibus. Ut quo earum magni excepturi. Voluptatem delectus nihil molestiae qui ratione ut aut."]</t>
  </si>
  <si>
    <t>ut-iusto-4-16-2-blue</t>
  </si>
  <si>
    <t>qui ab quidem</t>
  </si>
  <si>
    <t>https://via.placeholder.com/300x650.png/00ffee?text=Smartphone+eveniet</t>
  </si>
  <si>
    <t>["Eligendi libero veritatis quia dolores enim et.","Iusto dolorem iste maxime.","Voluptas ex voluptas enim quo molestias id voluptas culpa.","Corrupti nobis culpa et aut expedita.","Sit sint voluptas necessitatibus ut eum eligendi reprehenderit.","Illo voluptatem magnam ullam consequatur.","Non aut vero accusantium enim nesciunt.","Ut facere vel velit reprehenderit libero sint accusantium.","Est laborum fugit vel quae.","Qui id iure et molestiae omnis veritatis quis."]</t>
  </si>
  <si>
    <t>["Officia est vel eum et consectetur ea neque. Perferendis et culpa numquam repellendus est.","Vero iste dignissimos maxime nobis voluptas voluptatem in. Sint aut et modi voluptas non officiis adipisci."]</t>
  </si>
  <si>
    <t>sed-eligendi-2-8-6-white</t>
  </si>
  <si>
    <t>iusto et doloribus</t>
  </si>
  <si>
    <t>https://via.placeholder.com/300x650.png/00bb11?text=Smartphone+libero</t>
  </si>
  <si>
    <t>["Suscipit aut est sapiente libero.","Alias voluptatibus earum temporibus ut laudantium dicta a.","Eius maxime et et impedit qui sed.","Accusamus doloremque dolore consequatur.","Consequatur cum consequatur ducimus voluptas.","Dolor illo recusandae placeat ut praesentium.","Id accusantium at explicabo nam.","Non quos non ipsa quos quia et.","Quisquam doloremque voluptas et dolores accusamus at voluptatem autem.","Autem nisi incidunt et commodi."]</t>
  </si>
  <si>
    <t>["Excepturi ipsum natus aliquam vel iusto qui quas. Magni corporis rerum aliquid debitis officia vel tempora officia. Deserunt voluptates sit commodi nihil voluptas. Aut exercitationem aut soluta eaque incidunt impedit sed autem.","Aut a sapiente nihil sint nemo. Ut non ut veritatis laboriosam. Est iure unde dolores voluptas quis est aut. Hic qui exercitationem voluptas molestiae non in voluptates."]</t>
  </si>
  <si>
    <t>sed-quae-2-16-2-red</t>
  </si>
  <si>
    <t>autem provident dolores</t>
  </si>
  <si>
    <t>https://via.placeholder.com/300x650.png/00cc88?text=Smartphone+in</t>
  </si>
  <si>
    <t>["Est qui nisi impedit fugit omnis ut aliquid.","Assumenda eum fugit et ut architecto rem corrupti ipsum.","Quibusdam et sit quisquam totam error consequatur quia.","Accusantium repellendus soluta nesciunt voluptas pariatur sequi molestias.","Aliquid labore voluptas adipisci sapiente et pariatur reprehenderit provident.","Tempora quasi dignissimos dolore aut tenetur sed rerum accusantium.","Et illo doloremque quaerat mollitia sit et.","Ipsam reprehenderit et doloremque sint cupiditate dignissimos.","Voluptatem sapiente placeat cumque dolor.","Adipisci reprehenderit delectus ab quisquam et quia."]</t>
  </si>
  <si>
    <t>["Optio cum asperiores sit rem exercitationem et consequuntur. Omnis quam nesciunt culpa eaque in voluptate. Odio totam distinctio sequi aut ut.","Sit animi dolorem velit facilis voluptatibus enim nam. Impedit saepe perspiciatis perferendis et sit rerum velit nihil. Iusto suscipit quos provident sequi iure veniam totam minus. Sapiente culpa est soluta dolor voluptas provident quia."]</t>
  </si>
  <si>
    <t>illum-vero-12-128-3-green</t>
  </si>
  <si>
    <t>soluta ratione voluptas</t>
  </si>
  <si>
    <t>["Quia pariatur autem eaque odio necessitatibus sit.","Et optio in laboriosam iure reprehenderit eum dolorem.","Commodi rerum rerum veritatis error provident fuga quia.","Rerum consequuntur et debitis.","Magni neque eius voluptatem eum voluptatem.","Error odio est sint quia.","Quo eos repellendus impedit dolorum.","Ut numquam quas quasi quisquam.","Eum dolorum facilis optio aperiam et.","Blanditiis quo ipsam nesciunt reprehenderit doloribus quisquam quia."]</t>
  </si>
  <si>
    <t>["Quo vero modi optio. Officia quisquam eos tempora ad eaque voluptatem. Beatae amet ab aliquam quia magni.","Hic rerum qui velit iure qui omnis enim consequatur. Doloremque ratione ex molestiae dolor officia. Ut quisquam facere sed cumque quas quam officiis."]</t>
  </si>
  <si>
    <t>aspernatur-aliquam-4-64-2-white</t>
  </si>
  <si>
    <t>odio at nisi</t>
  </si>
  <si>
    <t>https://via.placeholder.com/300x650.png/005555?text=Smartphone+saepe</t>
  </si>
  <si>
    <t>["Qui aliquam laudantium sit.","Voluptatum corrupti facere fuga et quia.","Atque laborum sint ducimus in consequatur officiis in.","Ex quas modi voluptate natus vel dolores.","Dolorem adipisci vel iste repellat tempore.","Quibusdam nulla nihil animi vero accusamus dignissimos culpa quaerat.","Consequatur alias autem et voluptatem doloribus perspiciatis iste inventore.","Nihil harum quia nisi qui.","Id ipsum eum quia natus.","Consequatur et blanditiis alias sint esse."]</t>
  </si>
  <si>
    <t>["Perferendis nihil incidunt dignissimos eligendi. Eum velit omnis laudantium. Odit dolorem similique excepturi voluptas quaerat harum qui.","Suscipit facere maxime et maiores aliquid. Ea et necessitatibus ut et. Dolorem amet occaecati libero labore."]</t>
  </si>
  <si>
    <t>illum-facere-2-512-5-red</t>
  </si>
  <si>
    <t>quisquam et temporibus</t>
  </si>
  <si>
    <t>https://via.placeholder.com/300x650.png/00aa55?text=Smartphone+natus</t>
  </si>
  <si>
    <t>["Nesciunt ea qui veritatis.","Consequatur error rem et quis dolor dolorem tempora.","Perferendis porro dolor atque laudantium culpa.","Quas omnis corrupti consectetur harum.","Assumenda eos sapiente sit ex harum.","Sint sed et modi.","Cupiditate ut pariatur officiis debitis.","Debitis optio dolores eos porro.","Numquam rerum ut voluptatem eum iste.","Doloremque harum perspiciatis est non dolor sit voluptas corrupti."]</t>
  </si>
  <si>
    <t>["Impedit voluptates et natus nam. Aut ea et sit corrupti corrupti rem. Vel nesciunt quo magnam numquam ad aut magni distinctio. Quas repudiandae omnis et quos aut.","Nisi omnis illo nihil temporibus. Consequatur sapiente molestias quia non veniam quae. Illo tempora ut ea nisi."]</t>
  </si>
  <si>
    <t>voluptate-ratione-6-8-6-green</t>
  </si>
  <si>
    <t>ducimus vitae vero</t>
  </si>
  <si>
    <t>https://via.placeholder.com/300x650.png/00ccaa?text=Smartphone+et</t>
  </si>
  <si>
    <t>["Consequatur magnam aut dicta ratione possimus et repellendus.","Perspiciatis tempore veritatis rerum aut enim vel rerum.","Repellendus corrupti aliquid nobis.","Iusto aut earum non facere nulla ea quam.","Optio qui nulla consequatur dolores et.","Ex distinctio omnis et similique ducimus vel.","Laudantium reiciendis sapiente saepe earum.","Est et eaque ea voluptates.","Et vero incidunt exercitationem harum voluptatem.","Quasi similique ut laudantium."]</t>
  </si>
  <si>
    <t>["Quia a qui qui autem accusamus. Qui et amet natus odit. Unde tempore ducimus laboriosam at voluptatem delectus quae. Est asperiores non voluptatem assumenda.","Consequuntur ipsam id velit sit. Non sit accusantium eius aut. Fugit adipisci deserunt ipsam id laborum et voluptas."]</t>
  </si>
  <si>
    <t>aspernatur-itaque-4-64-3-green</t>
  </si>
  <si>
    <t>ipsum dolorem cumque</t>
  </si>
  <si>
    <t>https://via.placeholder.com/300x650.png/0088bb?text=Smartphone+qui</t>
  </si>
  <si>
    <t>["Accusantium aut non aspernatur commodi saepe.","Voluptatem sapiente iure sit qui.","Error at reprehenderit quaerat fugit quod nihil cum.","Aut praesentium atque doloremque ea eius eaque quia.","Ea amet et qui porro aut quae aut.","Perspiciatis quia nihil aut aut.","Qui eveniet a est corporis.","Porro ex corporis libero neque magnam explicabo.","Sed pariatur accusantium et voluptatum hic.","Quas impedit qui consequatur qui sed voluptas."]</t>
  </si>
  <si>
    <t>["Sed voluptatem quasi blanditiis quasi qui atque. Asperiores blanditiis aspernatur illo qui aut itaque fugit. Occaecati voluptatibus consequatur occaecati qui earum quae.","Quam ea perferendis quam eum voluptatem unde. Est molestiae ex officiis exercitationem nobis quia cum."]</t>
  </si>
  <si>
    <t>voluptate-pariatur-8-8-5-white</t>
  </si>
  <si>
    <t>fugit facere illum</t>
  </si>
  <si>
    <t>https://via.placeholder.com/300x650.png/005544?text=Smartphone+vero</t>
  </si>
  <si>
    <t>["Exercitationem voluptate nostrum autem doloribus aliquid.","Dolores et temporibus in esse officiis sunt.","Impedit vero a corporis.","Assumenda magnam dolorem provident est nobis consequatur dignissimos.","Enim dolorem necessitatibus error asperiores.","Itaque est repudiandae maxime.","Quisquam quia quia aut autem excepturi fugit totam.","Laudantium iusto rerum aperiam sequi rerum.","Quia aliquam et quia illum.","Et commodi architecto enim eum eligendi sint."]</t>
  </si>
  <si>
    <t>["Nam quidem ut quos atque non reiciendis deleniti. Dolores voluptas alias cum voluptatem cum. A voluptas officia similique nihil dolorem nulla aliquam voluptatibus.","Animi nemo eos error sit sit qui iste earum. Deleniti quia veniam qui voluptatem et excepturi voluptas neque. Neque repellendus eligendi consequatur et dignissimos."]</t>
  </si>
  <si>
    <t>maiores-voluptatum-4-32-6-green</t>
  </si>
  <si>
    <t>unde repellendus ratione</t>
  </si>
  <si>
    <t>https://via.placeholder.com/300x650.png/00bb44?text=Smartphone+sit</t>
  </si>
  <si>
    <t>["Nulla et eos doloremque corrupti repellendus consequatur voluptatem.","Optio vitae rerum et ipsa et laudantium ipsum.","Velit similique perferendis aut eveniet dolor consequuntur debitis consequatur.","Illo neque saepe ratione autem sed libero.","Quam quis reprehenderit sed ducimus libero.","Et deleniti omnis voluptas eaque.","Molestiae quae aut et non.","Et vitae aut est veniam eveniet eos aut.","Id sint non doloribus dolores veritatis tempore rerum.","Ex consectetur voluptatem asperiores nostrum."]</t>
  </si>
  <si>
    <t>["Eveniet recusandae mollitia qui voluptatem amet fugiat. Quia minima aperiam illo blanditiis magnam magnam et. Delectus ut amet minima ut quo possimus veritatis.","Aut omnis blanditiis est officia aut quasi laboriosam. Occaecati reprehenderit est unde. Minima accusamus sed deleniti nemo voluptatem."]</t>
  </si>
  <si>
    <t>quasi-qui-4-512-2-black</t>
  </si>
  <si>
    <t>sed illo maxime</t>
  </si>
  <si>
    <t>https://via.placeholder.com/300x650.png/00cc33?text=Smartphone+quos</t>
  </si>
  <si>
    <t>["Perferendis sit perferendis maxime natus.","Dolores occaecati quo consequuntur ut aut corporis.","Fugiat qui ut eos.","Veniam iusto voluptatem quis amet.","Eveniet dolorum tempore illo sunt odio.","Molestiae eum ipsam aliquam et eius quasi.","Et et vel in rerum tempore commodi non.","Aspernatur sint itaque soluta provident omnis modi debitis.","Quam nulla ut vel vero amet aut qui.","Repellendus aperiam omnis aliquid placeat non id iure."]</t>
  </si>
  <si>
    <t>["Placeat eius sunt consequatur eum totam autem. Voluptatem nisi facere iste perferendis beatae fugit sed quaerat. Ullam asperiores dolores non. Consectetur ut quia autem inventore earum.","Magnam eos dolorem rerum consequuntur aliquam. Adipisci voluptas at placeat nesciunt aut. Voluptas delectus ea explicabo facilis eos incidunt. Commodi illo recusandae facere."]</t>
  </si>
  <si>
    <t>voluptate-dicta-8-128-5-black</t>
  </si>
  <si>
    <t>est eius nisi</t>
  </si>
  <si>
    <t>https://via.placeholder.com/300x650.png/0055cc?text=Smartphone+tempora</t>
  </si>
  <si>
    <t>["Similique quia quidem nesciunt quo cupiditate.","Id neque ea ut occaecati eligendi et.","Ut molestias dolorum similique consectetur inventore ipsa.","Laudantium dolor ea odio autem quidem ipsa.","Voluptates quia repudiandae blanditiis ut quas fugit.","Nihil voluptas saepe atque.","Enim explicabo velit in repellendus.","Ut eaque numquam in assumenda nesciunt rerum culpa.","Nisi aut id nulla quas dignissimos voluptatem.","Sunt ut autem itaque asperiores vitae cum."]</t>
  </si>
  <si>
    <t>["Eum id nisi aut aut in ut et animi. Necessitatibus dolorem aliquam quaerat dolor id tempore impedit. Veniam iusto alias et veritatis et recusandae est.","Quod doloribus voluptatum magnam unde qui non. Eum nulla fuga reiciendis expedita. Ipsa at dolorem unde ea veritatis iusto ex. Est modi ab non iusto et."]</t>
  </si>
  <si>
    <t>maiores-in-4-128-3-blue</t>
  </si>
  <si>
    <t>quibusdam ut expedita</t>
  </si>
  <si>
    <t>https://via.placeholder.com/300x650.png/00bbdd?text=Smartphone+magni</t>
  </si>
  <si>
    <t>["Id sunt est nemo.","Et quod eligendi magni itaque voluptatem.","Rerum facere rerum id aperiam odit.","Sed exercitationem dolores dolores et enim facere.","Qui et atque et voluptate.","Pariatur libero aut accusantium sit provident minima.","Officia iusto possimus dicta excepturi commodi.","Commodi quia aut deserunt culpa.","Eum voluptas placeat unde molestiae ea a.","Quia ut laborum facilis vero officia cum."]</t>
  </si>
  <si>
    <t>["Sit dolor consequatur repellat. Expedita incidunt nam odit voluptatibus repellendus rerum. Veritatis quia nemo ut in fugit eos est.","Voluptatem et deserunt earum dolorem dolorem et possimus. Consequatur sed omnis amet dolores ea ad iste. Eos asperiores a ducimus."]</t>
  </si>
  <si>
    <t>et-dolorum-6-128-2-green</t>
  </si>
  <si>
    <t>repellendus repellendus libero</t>
  </si>
  <si>
    <t>["Cupiditate rem ipsa in tempore.","Ut sit et cumque quaerat incidunt vel.","Modi sit voluptatum veniam repudiandae voluptatem.","Atque in et omnis itaque architecto nulla rerum.","Quas ad consequatur quia perferendis dolor eum porro earum.","Saepe ut in at repellendus culpa atque nulla.","Doloribus pariatur est consequatur enim qui animi.","Eius quia enim nisi voluptates et.","Illo non nam sequi dolores quis.","Voluptas a cumque ipsum fuga consequatur aut."]</t>
  </si>
  <si>
    <t>["Perspiciatis vitae vel numquam aut. Dolores id a voluptate ab ut non. Cum aut fugiat magni laboriosam sunt ea.","Consequuntur voluptatem totam est dicta debitis placeat dignissimos. Dicta maiores ea facilis dolores sequi consectetur accusantium. Vero et quia commodi qui voluptas voluptates."]</t>
  </si>
  <si>
    <t>aspernatur-corrupti-2-64-6-blue</t>
  </si>
  <si>
    <t>consectetur ipsa cumque</t>
  </si>
  <si>
    <t>https://via.placeholder.com/300x650.png/005566?text=Smartphone+ipsum</t>
  </si>
  <si>
    <t>["Possimus possimus pariatur molestias illum voluptas sunt voluptates a.","Aut atque quo ut iusto repellat corporis.","Quaerat et porro ad quae fugiat ea et.","Nihil officiis aut eum aut sunt quibusdam ea.","Ut ab voluptas aspernatur magni qui aliquam.","Ut tenetur voluptates est animi.","Voluptas nam qui quod numquam qui id reprehenderit accusantium.","Vero in dolore provident.","Ut dolore reiciendis est quia harum non.","Quo quia quidem facere soluta."]</t>
  </si>
  <si>
    <t>["Est accusantium alias natus id beatae nisi. Cum ad exercitationem est sunt molestias.","Quibusdam et eaque est harum. Officia tempora suscipit velit beatae deleniti nam a. Mollitia architecto suscipit consequatur aut qui."]</t>
  </si>
  <si>
    <t>est-dolorum-8-512-5-white</t>
  </si>
  <si>
    <t>cupiditate occaecati voluptatem</t>
  </si>
  <si>
    <t>https://via.placeholder.com/300x650.png/001111?text=Smartphone+facilis</t>
  </si>
  <si>
    <t>["Autem dolores sit eius et temporibus quo ipsum.","Et sed voluptatem et minus adipisci laudantium est.","Sunt provident delectus facere ut repellendus qui.","Alias beatae voluptatem quia earum.","Nihil velit et dicta voluptas.","Perferendis ratione id quaerat quae fugit a et.","Consequatur aut soluta quae fuga eveniet sapiente.","Quo eos explicabo suscipit enim.","Dolor quis ipsum modi fugit.","Magnam rerum corporis consequuntur aliquid."]</t>
  </si>
  <si>
    <t>["Ullam officiis neque qui quas enim. Fuga quidem qui commodi ab in praesentium. Accusantium ducimus et magnam necessitatibus.","Eos dolor consectetur ipsa perferendis sed. Eligendi tempore itaque veniam ipsum distinctio in. Quod eum hic ad assumenda consequatur quia. Voluptatem expedita nostrum illo distinctio."]</t>
  </si>
  <si>
    <t>voluptate-reprehenderit-6-32-5-green</t>
  </si>
  <si>
    <t>veniam eum ex</t>
  </si>
  <si>
    <t>https://via.placeholder.com/300x650.png/00ff77?text=Smartphone+corporis</t>
  </si>
  <si>
    <t>["Delectus ad sed aut molestias eaque.","Quo dignissimos cum est quia odit consequatur est.","Quos officia odit consequatur deleniti.","Ea nihil in possimus voluptatem.","Sed voluptatem voluptate eaque est iste occaecati.","Et labore iusto sit voluptatibus eos.","Consequuntur ut fuga debitis tempore necessitatibus.","Sed quia eaque perferendis in quis sint corporis.","Adipisci sequi sed esse doloribus.","Dolorum perferendis autem et eos recusandae iusto nemo."]</t>
  </si>
  <si>
    <t>["Et nihil mollitia asperiores ab repudiandae enim non. Quod odio atque alias qui consequatur ab atque omnis. Modi iste est rem repellat.","Expedita itaque voluptatem vel omnis est omnis. Odio dolor sunt vitae et. Commodi accusamus illum dolorem quae soluta repellendus corporis animi."]</t>
  </si>
  <si>
    <t>aspernatur-corrupti-6-8-5-green</t>
  </si>
  <si>
    <t>iusto magnam quia</t>
  </si>
  <si>
    <t>https://via.placeholder.com/300x650.png/008899?text=Smartphone+temporibus</t>
  </si>
  <si>
    <t>["Voluptatum et quia architecto et ut blanditiis qui ut.","Officia qui corporis consectetur aut adipisci ut.","At magni qui perspiciatis sunt saepe eius.","Ullam voluptas odio ut consectetur.","Tempora perspiciatis occaecati illum qui velit sapiente.","Neque sapiente quisquam reiciendis id id architecto.","Consectetur dicta voluptatem natus ut quo et hic.","Doloribus et rem aliquid accusantium esse iusto.","Cum magni eligendi unde consequatur vitae.","Reprehenderit doloremque quis autem quam quaerat."]</t>
  </si>
  <si>
    <t>["Velit amet praesentium totam quis quia dicta non. Et eligendi consectetur impedit voluptas voluptatem. Sit tenetur omnis et dolor consequatur et distinctio.","Sed qui molestiae temporibus cum. Aut quasi commodi fuga aut consequuntur qui soluta. Aut quidem illum dolores. Iusto sit ipsa tempore vitae voluptas fugit."]</t>
  </si>
  <si>
    <t>illum-facere-4-16-3-green</t>
  </si>
  <si>
    <t>reiciendis sunt recusandae</t>
  </si>
  <si>
    <t>https://via.placeholder.com/300x650.png/00bbdd?text=Smartphone+ea</t>
  </si>
  <si>
    <t>["Ab sapiente qui enim eum aspernatur repellat.","Animi qui laudantium ab numquam.","Eum quas sed eius atque eos.","Ut quasi et atque optio illum sed veritatis.","Asperiores repellendus molestias dignissimos.","Numquam quia reprehenderit minus enim sed.","Laudantium eveniet et recusandae nam.","Sit debitis dolores aut ad dolor.","Laboriosam voluptatem nihil exercitationem voluptate saepe.","Corporis iure ut odio labore qui quos sint non."]</t>
  </si>
  <si>
    <t>["Rerum eius id voluptatibus repellendus magni praesentium nam voluptates. Aliquid soluta sit rerum quos temporibus. Est omnis ut voluptatem voluptatibus distinctio qui ut. Blanditiis a repellendus qui inventore.","Culpa est non architecto magnam repellendus assumenda omnis occaecati. Et eius reprehenderit voluptas facilis animi sequi."]</t>
  </si>
  <si>
    <t>illum-reiciendis-2-128-4-white</t>
  </si>
  <si>
    <t>qui consequatur qui</t>
  </si>
  <si>
    <t>https://via.placeholder.com/300x650.png/0011bb?text=Smartphone+sunt</t>
  </si>
  <si>
    <t>["Voluptatem necessitatibus ea aut suscipit ea voluptatum similique reprehenderit.","Ipsa qui inventore quo magnam reprehenderit.","Ratione natus suscipit vel dignissimos qui dolores hic.","Blanditiis doloribus in atque sit voluptatem rerum.","Dolorem maiores blanditiis perspiciatis dignissimos ad.","Eligendi aperiam et sunt in.","Odio et tempora non optio pariatur libero voluptate.","Aut sed quo et.","Eius accusamus delectus eligendi perspiciatis eligendi a.","Dignissimos est assumenda aut ut dolores et sequi."]</t>
  </si>
  <si>
    <t>["Ipsum inventore velit qui voluptas. Facilis quis dignissimos sapiente ipsam cum. Velit deserunt molestias aliquid doloremque unde et aut. Dicta et voluptates fuga et quidem voluptas.","Eum quia omnis natus blanditiis. Incidunt autem praesentium repellendus vel. Mollitia omnis et est aspernatur nostrum quisquam fuga. Ab praesentium est aut voluptas iste sequi molestias. Aut consequuntur asperiores nihil minima rem."]</t>
  </si>
  <si>
    <t>aspernatur-eum-4-16-5-red</t>
  </si>
  <si>
    <t>saepe sed molestiae</t>
  </si>
  <si>
    <t>https://via.placeholder.com/300x650.png/00ccdd?text=Smartphone+nostrum</t>
  </si>
  <si>
    <t>["Et atque officiis sit amet.","Quo quisquam nostrum et doloremque facilis est.","Rerum odit neque ipsam.","Molestiae a in non cumque omnis sequi.","Totam omnis minus dolorem voluptate.","Cum possimus corporis et nihil.","Maxime et enim omnis rem eum.","Qui at est dolorum quia qui aut.","Ea ut et minima perferendis possimus quibusdam dolorum eveniet.","Dolores voluptatum at aperiam ea sunt minus corrupti."]</t>
  </si>
  <si>
    <t>["Nulla fugit enim et voluptatem officia nihil aut. Repellendus ipsum similique quo laudantium odit incidunt. Dolor quia repudiandae quia eligendi aut. Ipsam aliquid perspiciatis molestiae quo repellendus in. Explicabo officiis velit ut.","Quis aperiam ratione magnam reprehenderit doloribus delectus. Harum fugiat id architecto voluptas consequuntur eum. Ut cupiditate delectus quia repellendus nesciunt cupiditate. Illo velit velit incidunt voluptatem dolor est."]</t>
  </si>
  <si>
    <t>illum-facere-8-32-2-red</t>
  </si>
  <si>
    <t>qui officiis minima</t>
  </si>
  <si>
    <t>https://via.placeholder.com/300x650.png/0022ee?text=Smartphone+quis</t>
  </si>
  <si>
    <t>["Iste molestiae et sint est.","Recusandae voluptatum perferendis explicabo qui iste dolores laboriosam.","Beatae ipsa dolores earum enim reiciendis eos fugiat.","Animi ut eos quidem voluptate minima ut qui in.","Fuga ut totam quae illum.","Tempora nesciunt temporibus placeat dolor maiores ad.","Explicabo ad illo perferendis enim in.","Impedit est sapiente et et.","Et aperiam asperiores quo.","Vel ipsum quis reiciendis et est quia exercitationem."]</t>
  </si>
  <si>
    <t>["Minus occaecati perferendis voluptates dolores eaque autem. Asperiores dolore dolor vel dolore sequi. Autem voluptatibus sed reprehenderit deleniti non dolore quia.","Quidem dolor impedit inventore enim. Est maxime dolore ut neque est consequuntur. Cupiditate eligendi tempore rerum laboriosam a."]</t>
  </si>
  <si>
    <t>aspernatur-temporibus-6-8-4-blue</t>
  </si>
  <si>
    <t>qui consequatur vel</t>
  </si>
  <si>
    <t>https://via.placeholder.com/300x650.png/0099ee?text=Smartphone+ut</t>
  </si>
  <si>
    <t>["Ab ullam cupiditate omnis cupiditate rerum saepe.","Id tempore velit inventore quo exercitationem itaque eaque.","Earum enim facere molestiae in ratione.","Deserunt reiciendis voluptatibus labore ea earum fugiat.","Eaque illum non ipsam consequatur.","Illo molestiae dolores cumque ut libero commodi expedita nostrum.","Aut quia soluta sapiente dolore distinctio.","Velit excepturi autem minima maiores ratione voluptatem ut temporibus.","Cupiditate laboriosam et earum totam.","Sapiente tenetur aut autem optio maxime velit ut iusto."]</t>
  </si>
  <si>
    <t>["Rerum qui voluptatem quia impedit qui. Labore itaque repudiandae voluptates quisquam velit. Culpa magnam quaerat quidem reiciendis a deleniti. Quaerat velit et ea.","Eligendi non magni rerum molestiae eos quibusdam minus. Ipsa ipsam dolor officiis omnis animi eius. Sit eos fugit asperiores. Nobis architecto repudiandae officia quidem repellendus facere eos."]</t>
  </si>
  <si>
    <t>illum-ullam-4-8-2-black</t>
  </si>
  <si>
    <t>fugit odio debitis</t>
  </si>
  <si>
    <t>https://via.placeholder.com/300x650.png/0044ee?text=Smartphone+et</t>
  </si>
  <si>
    <t>["Quia est quas et nostrum corporis itaque repudiandae error.","Eos non eaque tempora repellendus dicta.","Consequatur et et reiciendis numquam.","Sit dignissimos distinctio aut dolorum magnam quis.","Molestiae beatae qui ut libero.","Sunt tenetur totam in id.","Voluptas est explicabo sint omnis enim.","Quia sit cumque et ut consequatur.","Nihil tempora harum fugit non cupiditate assumenda sed.","Maiores illum veritatis non."]</t>
  </si>
  <si>
    <t>["Blanditiis blanditiis et culpa hic. Corporis et ratione fugiat expedita nesciunt mollitia facere. Molestiae iusto ipsum expedita repellendus aperiam eveniet. Fuga atque autem quia omnis aperiam.","Tempore consequuntur excepturi vel aut deserunt voluptas ipsum. Omnis voluptatem et commodi qui nulla. Molestiae sint delectus animi voluptates unde."]</t>
  </si>
  <si>
    <t>voluptate-fuga-2-32-4-red</t>
  </si>
  <si>
    <t>vero cumque voluptatem</t>
  </si>
  <si>
    <t>["Excepturi deserunt quis dolorem sed.","Est ut optio accusamus voluptas provident quas voluptatum possimus.","Consequuntur et quo amet enim.","Voluptatem quo error aut et neque molestiae.","Vel autem occaecati neque omnis sed.","Corporis ea veritatis dolor ad.","Quos delectus sit consectetur quaerat.","Minima et est enim molestias.","Ut est consectetur molestiae in sint.","Sed quam quia modi porro."]</t>
  </si>
  <si>
    <t>["Dolores dolorem qui repellat error voluptatem vel nobis. Numquam consequatur neque et ipsum.","Ducimus suscipit blanditiis dolorem id molestias aspernatur non. Ut minima tempore harum. Nobis voluptas aut numquam dolores."]</t>
  </si>
  <si>
    <t>aspernatur-aut-2-16-3-black</t>
  </si>
  <si>
    <t>accusamus ex beatae</t>
  </si>
  <si>
    <t>https://via.placeholder.com/300x650.png/008800?text=Smartphone+et</t>
  </si>
  <si>
    <t>["Minus laboriosam qui ipsa consequatur suscipit.","Est enim qui nulla voluptatem rerum facilis vel.","Quisquam placeat aut porro.","Autem eum reprehenderit optio omnis deleniti.","Ut vitae placeat alias suscipit ex quia.","Id ut laborum vero sint qui magnam.","Rem autem minima animi.","Amet porro quo voluptate molestias alias doloribus.","Qui impedit aliquid debitis deleniti dolor ut qui.","Laborum velit cupiditate vel quae."]</t>
  </si>
  <si>
    <t>["Illo quis magni error ullam ut recusandae nihil. Non praesentium quis voluptas officia atque.","Vitae magni ut quos sit temporibus ut. Officia iste voluptatem sunt quam ducimus. Deleniti qui tempora voluptates explicabo ut. Aut minus voluptas cum dolores cumque laboriosam architecto. Praesentium ea accusamus corrupti consequatur consequatur labore id."]</t>
  </si>
  <si>
    <t>voluptate-voluptatem-8-32-2-green</t>
  </si>
  <si>
    <t>minima maxime a</t>
  </si>
  <si>
    <t>https://via.placeholder.com/300x650.png/0011cc?text=Smartphone+minima</t>
  </si>
  <si>
    <t>["Odit sit sit sit commodi dignissimos dolorem.","Commodi ut provident accusamus qui id illum recusandae molestiae.","Consequatur impedit id eum eligendi nihil neque.","Corrupti facere accusantium doloremque unde nostrum.","Ut totam aut iste mollitia voluptas suscipit sed.","Consequatur vitae fugiat qui aut iusto officiis rerum.","Voluptatum corporis impedit possimus minima qui sit.","Ullam nisi quos blanditiis sunt qui magnam quos.","Exercitationem minus at placeat quis temporibus deserunt.","Vel sit ut ab qui."]</t>
  </si>
  <si>
    <t>["Aut placeat explicabo sit reiciendis et quis ut. Quaerat repellat consequatur asperiores sint.","Quo iste nemo eos. Nostrum voluptate quaerat tempora molestias sapiente. Qui porro quibusdam ut distinctio doloremque. A et tempore totam odio voluptatem dicta consequatur."]</t>
  </si>
  <si>
    <t>et-minima-2-512-4-white</t>
  </si>
  <si>
    <t>repellendus hic ea</t>
  </si>
  <si>
    <t>https://via.placeholder.com/300x650.png/0022aa?text=Smartphone+exercitationem</t>
  </si>
  <si>
    <t>["Consequatur expedita occaecati recusandae voluptatum deleniti quia nostrum.","Quos modi vitae et natus cum pariatur similique.","Natus explicabo amet unde sint rerum.","Pariatur praesentium labore est quaerat necessitatibus debitis labore.","Eum unde qui et inventore.","Est corrupti fuga aut consectetur tempora at voluptatibus.","Est sit consectetur quasi nam aliquid odit et itaque.","Amet velit doloribus voluptatibus.","Consequatur quaerat et qui nobis quia deserunt.","Nisi dolores sint voluptate quis culpa animi odio."]</t>
  </si>
  <si>
    <t>["Aut qui totam tempore deleniti quia. Aut dolore atque vitae. Ipsa qui tenetur dolorem molestias magnam adipisci voluptate voluptas.","Rerum accusantium voluptatibus similique provident. Rerum consequuntur sunt quia et. Quia repellat recusandae et quia iste eum ducimus accusamus. Laboriosam hic earum eum quibusdam pariatur quia quo. Aut porro ab quasi autem."]</t>
  </si>
  <si>
    <t>est-rerum-2-512-3-blue</t>
  </si>
  <si>
    <t>qui totam eveniet</t>
  </si>
  <si>
    <t>https://via.placeholder.com/300x650.png/00bb33?text=Smartphone+consequatur</t>
  </si>
  <si>
    <t>["Aut vel blanditiis magnam sunt veritatis.","Qui aperiam labore molestias id dignissimos eum.","Fuga quisquam omnis dolor temporibus et.","Culpa ut sequi repellat quas eos.","Enim ullam quo eum molestiae tenetur veniam sapiente.","Non tempore est et est illum sed.","Numquam enim harum consequatur nam.","Sit aut cupiditate voluptates sint facere quo.","Sed commodi ipsum laboriosam saepe minus praesentium aut.","Aliquid non magnam molestiae at saepe esse dolores."]</t>
  </si>
  <si>
    <t>["Consequatur molestiae quis doloribus magni cum iure. Nihil ut libero maxime omnis alias qui perferendis dolorem. Vel praesentium aperiam molestiae molestiae est provident quisquam.","Aut aspernatur dolorem perspiciatis modi. Dolores omnis consequatur nisi nemo cupiditate. Eaque reprehenderit culpa dolorem qui molestias."]</t>
  </si>
  <si>
    <t>est-porro-6-8-5-red</t>
  </si>
  <si>
    <t>veniam accusamus blanditiis</t>
  </si>
  <si>
    <t>https://via.placeholder.com/300x650.png/0077ee?text=Smartphone+quaerat</t>
  </si>
  <si>
    <t>["Inventore sed aspernatur quidem deleniti ex et officiis.","Eveniet nostrum et qui repudiandae omnis ad iste.","Est voluptatibus totam sed enim.","Voluptas dignissimos magnam aliquid voluptate laudantium ut.","Temporibus non consectetur quod aut odio.","Non animi officiis aliquam maxime eveniet.","Eligendi sint ea quo animi.","Est accusamus quidem voluptatem.","Similique totam voluptatem dolores blanditiis.","Accusamus in deleniti eum quis perferendis."]</t>
  </si>
  <si>
    <t>["Porro aut inventore voluptas. Aut aut et harum blanditiis magni voluptatem assumenda. Quo soluta quo sit veritatis eos porro.","Iure voluptate qui rem perspiciatis. Quaerat sed praesentium omnis aut veniam ea sed adipisci. Repellendus ullam nesciunt sapiente id pariatur. Nisi quas voluptas sequi qui odit."]</t>
  </si>
  <si>
    <t>est-vel-4-128-6-green</t>
  </si>
  <si>
    <t>delectus aut quae</t>
  </si>
  <si>
    <t>https://via.placeholder.com/300x650.png/00eecc?text=Smartphone+veritatis</t>
  </si>
  <si>
    <t>["Molestiae error quaerat et doloribus vitae.","Corrupti occaecati quos quibusdam.","Consectetur possimus rem iusto voluptate.","Occaecati earum possimus hic laborum impedit reprehenderit.","Earum est repellat quis velit.","Voluptas ipsum optio voluptas.","Eum et aut aut et incidunt non excepturi.","Consequatur quis officia optio dolor.","Cumque dolorem explicabo tempora natus facilis omnis voluptate.","Provident voluptatem tempore earum ut qui non."]</t>
  </si>
  <si>
    <t>["Soluta omnis blanditiis aut. Voluptate provident cupiditate aliquid qui. Soluta sapiente deleniti laboriosam repudiandae voluptatibus voluptatum quis.","Odit consequuntur ut harum. Iste accusamus saepe consectetur labore. Similique voluptatum quia fugiat a repellat."]</t>
  </si>
  <si>
    <t>ut-et-2-512-3-black</t>
  </si>
  <si>
    <t>similique nam aut</t>
  </si>
  <si>
    <t>https://via.placeholder.com/300x650.png/00aaaa?text=Smartphone+praesentium</t>
  </si>
  <si>
    <t>["Dolores minima delectus modi sed similique.","Rem qui delectus nihil vel amet accusantium ad itaque.","Dolores dolores libero ad consequatur suscipit aut dolore.","Qui temporibus amet hic velit corporis dolore dolores.","Nesciunt praesentium molestiae est velit adipisci.","Voluptas quisquam quidem ex reprehenderit iste neque fuga rerum.","Porro delectus nemo qui est in quo fuga.","Quam voluptatum possimus totam vitae at.","At omnis aut dolor eos est.","Sint alias minima numquam omnis."]</t>
  </si>
  <si>
    <t>["Omnis enim vero ab vero. Quis accusamus sunt saepe molestiae autem quia ea.","Necessitatibus voluptatem blanditiis sint unde et nesciunt aut. Sit unde veniam corrupti sunt. Neque nesciunt possimus assumenda. Id est maiores dolorem aut dolor nihil libero. Iste velit perspiciatis ipsam suscipit velit neque omnis."]</t>
  </si>
  <si>
    <t>sed-earum-4-128-4-blue</t>
  </si>
  <si>
    <t>dolores voluptatibus placeat</t>
  </si>
  <si>
    <t>https://via.placeholder.com/300x650.png/00dd11?text=Smartphone+non</t>
  </si>
  <si>
    <t>["Ducimus et eum et vel sit natus quia.","Ratione quis enim minima consequatur reprehenderit enim.","Rerum dicta autem sed quo.","Recusandae dolore optio ipsum autem placeat odit rerum.","Iusto omnis labore consectetur atque fugit.","Nostrum neque repellat quod ad.","Veniam unde et quod voluptatem beatae.","Minima necessitatibus dolor provident voluptatem commodi et vel.","Reprehenderit voluptates id in.","Doloremque reprehenderit est natus deleniti et enim qui."]</t>
  </si>
  <si>
    <t>["Ullam unde nihil provident suscipit. Soluta at nesciunt error id necessitatibus. Aut enim praesentium non explicabo quibusdam.","Molestiae cum adipisci vel. Accusamus minus ipsa minus repudiandae provident ipsa placeat neque. Qui iusto reiciendis dolorem atque. Neque iusto illo numquam voluptatem nemo non."]</t>
  </si>
  <si>
    <t>est-ex-8-8-3-white</t>
  </si>
  <si>
    <t>non repudiandae quis</t>
  </si>
  <si>
    <t>https://via.placeholder.com/300x650.png/002222?text=Smartphone+earum</t>
  </si>
  <si>
    <t>["Incidunt unde similique et in soluta voluptas repudiandae numquam.","Fugit debitis rerum illum deleniti est autem aut beatae.","Omnis ut delectus repudiandae.","Cumque quis aspernatur consectetur iure.","Consequuntur dolores labore non repellat laudantium illum.","Occaecati nesciunt atque tenetur itaque aliquam autem.","Ducimus nihil omnis qui ut.","Nobis eos iusto rerum exercitationem.","Voluptas velit autem laboriosam ducimus.","Qui culpa nam eum qui ipsum omnis voluptatem."]</t>
  </si>
  <si>
    <t>["A culpa et molestiae deleniti vero quos eaque nulla. Cumque excepturi aut quam id aspernatur nesciunt. Facere natus quibusdam adipisci porro. Sed perspiciatis fugit quia ipsum nostrum dicta sit.","Deserunt aperiam et consequatur adipisci voluptatum praesentium consequatur iure. Et deleniti voluptas voluptas nihil rerum. Aliquid et culpa expedita accusantium necessitatibus. Nihil distinctio nam et explicabo harum cumque fugiat."]</t>
  </si>
  <si>
    <t>est-qui-8-32-2-black</t>
  </si>
  <si>
    <t>tempora libero ea</t>
  </si>
  <si>
    <t>https://via.placeholder.com/300x650.png/00ccff?text=Smartphone+natus</t>
  </si>
  <si>
    <t>["Earum a sunt asperiores modi.","Vero aut sed nisi quod.","Aut sit nesciunt nihil autem aut sunt.","Nesciunt enim neque quisquam voluptatem.","Et nihil odio est repellat et facere.","Praesentium quia illum beatae mollitia voluptatem itaque et.","Vero itaque dignissimos pariatur commodi.","Voluptatum vel est aliquid.","Perferendis atque et nam adipisci ut.","Laudantium officiis id deleniti ut."]</t>
  </si>
  <si>
    <t>["Et doloribus id quo soluta quam. Dignissimos alias assumenda et incidunt corrupti possimus minima. Repellendus vitae exercitationem deserunt unde. Incidunt dolores voluptatem voluptas est sapiente aut.","Et possimus eius minus voluptatem. Blanditiis omnis soluta ex. Corrupti eum corrupti similique quidem. Ut repellat voluptas rerum ipsam quia deserunt eveniet."]</t>
  </si>
  <si>
    <t>maiores-aut-8-16-3-blue</t>
  </si>
  <si>
    <t>sint assumenda laborum</t>
  </si>
  <si>
    <t>https://via.placeholder.com/300x650.png/00eeaa?text=Smartphone+ut</t>
  </si>
  <si>
    <t>["Aut reiciendis consequatur sapiente aut incidunt quod eum aut.","Est recusandae maxime voluptas vero.","Eaque odit voluptas est rerum facilis.","Voluptas reprehenderit labore aut.","Earum aut dolores ipsam voluptas earum voluptatibus et.","Sapiente quisquam et voluptas iure laborum.","Et ipsam hic nemo nihil est.","Molestias nobis eum dolore.","Repellendus voluptas cumque perferendis odit.","Aliquid repudiandae nobis perspiciatis tempora sequi eos assumenda."]</t>
  </si>
  <si>
    <t>["Eum accusamus quaerat aspernatur quasi aut voluptatem sequi. Velit quia aut expedita et vero. Consequatur dolore sed aperiam provident accusantium autem mollitia.","Consequatur est aut voluptatem eligendi maxime necessitatibus praesentium. Non accusamus vel vero ab blanditiis omnis culpa. Rerum rerum voluptates voluptas nulla cumque dolores earum."]</t>
  </si>
  <si>
    <t>corrupti-qui-4-64-6-red</t>
  </si>
  <si>
    <t>enim saepe fugit</t>
  </si>
  <si>
    <t>https://via.placeholder.com/300x650.png/006677?text=Smartphone+suscipit</t>
  </si>
  <si>
    <t>["Occaecati doloremque ullam dicta eius qui consectetur.","Assumenda ad voluptas placeat rerum repellendus quasi accusantium.","Et vel quisquam velit laboriosam et quis distinctio.","Ut quia pariatur commodi sit.","Quia fugit commodi sint sed.","Nobis et odit eum accusantium minus laboriosam soluta ea.","Vel nihil aut sit expedita iusto.","Natus accusantium animi corporis et earum sed.","Fuga voluptatem aut labore deserunt quibusdam.","Nemo deserunt quia quis aliquid vitae quis in sapiente."]</t>
  </si>
  <si>
    <t>["Est quia praesentium voluptate animi qui. Non perferendis deleniti et officiis facilis atque. Commodi recusandae sit vero voluptate.","Voluptas et corporis itaque incidunt labore aspernatur ut aliquid. Nemo nobis id magnam. Praesentium sapiente magni voluptatem. Facilis autem iste in."]</t>
  </si>
  <si>
    <t>est-odit-2-8-2-blue</t>
  </si>
  <si>
    <t>a praesentium soluta</t>
  </si>
  <si>
    <t>https://via.placeholder.com/300x650.png/005599?text=Smartphone+quo</t>
  </si>
  <si>
    <t>["Dolor iste aut voluptatem error culpa fugiat dolorum.","Tenetur eligendi ut quod quasi doloremque consequuntur.","Quo omnis reiciendis illo repellendus sed maxime.","Ut voluptas natus dolor eligendi aut laboriosam.","Minima quo recusandae nemo molestiae.","Incidunt repellendus modi eligendi.","Reiciendis minus doloribus assumenda atque.","Quis in temporibus omnis placeat voluptas.","Magnam sunt ea eligendi blanditiis quo aut suscipit.","Non voluptas ut voluptatem eum dignissimos dolores omnis."]</t>
  </si>
  <si>
    <t>["Odit optio omnis nam magni et. Molestiae ea non harum dolores aut. Explicabo voluptatibus ut neque rerum sit.","Qui praesentium accusantium repudiandae ut et. Officiis laudantium in voluptas nisi et. Vel et voluptates quia consequuntur dicta. Eveniet similique sed quos aut omnis voluptate nisi. Ab nihil provident est nihil quidem aliquid recusandae."]</t>
  </si>
  <si>
    <t>ut-eos-8-16-6-white</t>
  </si>
  <si>
    <t>voluptatum facere harum</t>
  </si>
  <si>
    <t>https://via.placeholder.com/300x650.png/004411?text=Smartphone+minima</t>
  </si>
  <si>
    <t>["Quia omnis sunt officia officia et velit.","Esse rem reiciendis totam eius voluptas magnam.","Quia mollitia est ducimus eum et quidem dignissimos.","Molestiae quo debitis illum deserunt odio.","Blanditiis quis magni magni libero.","Aut ipsam officiis temporibus nesciunt ut voluptatem est quasi.","Molestias vel voluptatem unde quas eos ut quis nihil.","Consequatur provident aut numquam doloremque repellendus quam consequatur numquam.","Perspiciatis rerum ratione nihil voluptas qui est temporibus.","Error magnam excepturi minima repellendus perferendis commodi omnis itaque."]</t>
  </si>
  <si>
    <t>["Voluptas sed accusantium quaerat ad eligendi. Ut earum aperiam itaque quasi et dolorem similique iure. Aperiam et nobis adipisci sint sint fugiat.","Ad cum et eius dignissimos sit eius dolor. Non animi nostrum harum molestiae sed reprehenderit dolore molestiae. Soluta eos soluta commodi exercitationem. Sequi soluta illum sunt ea omnis ad."]</t>
  </si>
  <si>
    <t>sed-dolor-8-16-2-white</t>
  </si>
  <si>
    <t>rerum quas et</t>
  </si>
  <si>
    <t>https://via.placeholder.com/300x650.png/00ff88?text=Smartphone+ipsa</t>
  </si>
  <si>
    <t>["Deleniti quidem qui totam provident quam commodi quibusdam dolorem.","Quasi eum iusto ipsam.","Illum voluptatem repellat error temporibus maxime.","Eos non unde at deleniti sequi.","Molestiae et quod natus ex omnis.","Magnam voluptatibus deleniti nostrum illo quis nam.","Quis qui eum nisi debitis et odio et.","Provident nobis similique libero.","Laboriosam doloribus velit voluptas aliquid praesentium rem nostrum.","Est quis debitis neque tempora."]</t>
  </si>
  <si>
    <t>["Sint molestiae qui est possimus corporis blanditiis. Nam distinctio eos aut molestias.","Qui maxime in ut rerum accusamus quia adipisci. Enim et voluptatem libero rerum sapiente. Maiores laudantium eligendi vel et est quo omnis. Qui voluptas impedit facilis dolores accusamus consequatur sunt autem."]</t>
  </si>
  <si>
    <t>est-maiores-6-512-5-red</t>
  </si>
  <si>
    <t>quidem laborum rerum</t>
  </si>
  <si>
    <t>https://via.placeholder.com/300x650.png/002222?text=Smartphone+qui</t>
  </si>
  <si>
    <t>["Modi recusandae voluptatum laboriosam reprehenderit ut numquam sint.","Quidem sapiente nihil provident ut enim consequatur ipsa ab.","Excepturi quas quam voluptatibus eaque reiciendis quae.","Animi quaerat cumque quo blanditiis quam odit magni exercitationem.","Sit similique minus laboriosam.","Neque ab sint a amet omnis ut molestiae.","Voluptas nobis ut suscipit voluptate.","Quam aut molestiae id voluptates dolor eveniet.","Aut dolores et sapiente aliquid.","Dolores sunt repudiandae et soluta."]</t>
  </si>
  <si>
    <t>["Minima provident dicta ducimus. Ut porro illum quisquam ipsum nam dolore earum expedita. Corporis ad commodi fugit est eum.","Excepturi iure omnis iste voluptates animi necessitatibus. Aut itaque cumque itaque rem aut dignissimos commodi. Qui reiciendis molestiae et ratione aut animi. Accusamus aut accusantium cumque ut quo."]</t>
  </si>
  <si>
    <t>voluptate-fuga-12-128-5-red</t>
  </si>
  <si>
    <t>id rerum optio</t>
  </si>
  <si>
    <t>https://via.placeholder.com/300x650.png/000022?text=Smartphone+inventore</t>
  </si>
  <si>
    <t>["Labore magnam rem autem quaerat cupiditate.","Labore ut voluptatem consequuntur.","Rerum eum fuga eligendi quasi vitae voluptates.","Consequatur dolores eos ea est ratione quia voluptates.","Hic assumenda aperiam repudiandae minus fugit et doloremque.","Corporis autem eum et rerum consequuntur nemo enim dolores.","Atque omnis est laboriosam quia minus et et autem.","Ipsum quasi id placeat maiores consequuntur voluptatem qui.","Voluptatem rerum in magnam et.","Enim et ducimus delectus amet."]</t>
  </si>
  <si>
    <t>["Omnis saepe facilis eius aut voluptatem reiciendis dolorem ex. Amet aut similique debitis reprehenderit. Et consequatur iste distinctio quasi voluptatem.","Quidem molestiae id eligendi ut et rem. Cumque magni asperiores consequuntur ut occaecati modi. Ducimus explicabo ducimus qui dolorum nulla qui magnam."]</t>
  </si>
  <si>
    <t>ut-sed-6-8-5-red</t>
  </si>
  <si>
    <t>ullam inventore dolor</t>
  </si>
  <si>
    <t>https://via.placeholder.com/300x650.png/0044ee?text=Smartphone+qui</t>
  </si>
  <si>
    <t>["Voluptas provident incidunt in ut.","Quas ea ea enim recusandae.","Autem molestiae occaecati ratione non voluptas.","Quaerat repellat quo odio dicta dolorem.","Est nemo aperiam consectetur placeat veritatis nemo aliquam.","Aperiam similique sit facere incidunt quam aliquam neque.","Ducimus vitae ex qui et.","Ad cumque illo laudantium vitae ut magnam minus.","Dignissimos est laborum veniam et.","Vero suscipit quaerat nostrum ab."]</t>
  </si>
  <si>
    <t>["Id distinctio qui deserunt qui saepe ullam eveniet nulla. Eos consequatur suscipit ut sit corporis nobis ipsa. Quae sint tempore rem dolor temporibus eaque.","Cum error quia rerum corporis et non et modi. Minus non aut beatae reprehenderit amet eligendi neque."]</t>
  </si>
  <si>
    <t>corrupti-occaecati-4-32-3-red</t>
  </si>
  <si>
    <t>ratione sit id</t>
  </si>
  <si>
    <t>https://via.placeholder.com/300x650.png/004477?text=Smartphone+et</t>
  </si>
  <si>
    <t>["Laborum magnam sint ut iste ducimus a quos.","Magni molestias ea dolorem mollitia soluta.","Iste quod modi sint culpa ipsam culpa.","Excepturi voluptatum ex molestiae sapiente sequi adipisci a.","Iste iste molestiae tenetur vero.","Numquam in consequatur laudantium explicabo minima exercitationem omnis.","Culpa dolorum voluptatibus occaecati quis et ipsum eius.","Voluptatem vel provident praesentium maxime suscipit dolorem harum qui.","Ad id fuga maiores perferendis.","Quia maxime quis ut quia."]</t>
  </si>
  <si>
    <t>["In omnis fugiat ea dolorem temporibus unde. Et dolore explicabo enim nostrum. Et dolores quidem at. Nobis tenetur iure soluta incidunt.","Est nobis impedit aut sed. Est dolor laborum eveniet quo ut. Illo rerum quasi ut sit et omnis itaque. Aut est eos provident repellendus voluptatibus."]</t>
  </si>
  <si>
    <t>aspernatur-aliquam-12-16-3-black</t>
  </si>
  <si>
    <t>alias ut nesciunt</t>
  </si>
  <si>
    <t>https://via.placeholder.com/300x650.png/00ffcc?text=Smartphone+in</t>
  </si>
  <si>
    <t>["Quos delectus officia velit et.","Quisquam consequuntur nisi corrupti voluptatum assumenda.","Necessitatibus magnam fugiat explicabo et delectus iusto ad saepe.","Sunt et exercitationem necessitatibus qui.","Numquam doloremque officiis neque consectetur.","Et enim voluptas voluptatibus ipsa aut.","Nemo est distinctio labore debitis consequatur.","Corporis sed sit atque suscipit minima quaerat.","Doloremque placeat qui est autem non sit consectetur.","Iste aspernatur dolor eum voluptatibus voluptatem."]</t>
  </si>
  <si>
    <t>["Quo amet quo est ratione nobis. Id quae autem optio nisi soluta cupiditate eos. Quaerat dolorem delectus praesentium sint molestiae facilis facilis enim. Enim quia accusamus est alias aut excepturi eum.","Vitae ipsa aliquam dolores. Nemo voluptas qui impedit dolores."]</t>
  </si>
  <si>
    <t>illum-reiciendis-6-8-3-red</t>
  </si>
  <si>
    <t>dolores ipsam velit</t>
  </si>
  <si>
    <t>https://via.placeholder.com/300x650.png/00eedd?text=Smartphone+magni</t>
  </si>
  <si>
    <t>["Aut vel repudiandae fugiat quos doloribus commodi facilis officiis.","Voluptate ratione quae et quisquam et.","Praesentium itaque fugit laboriosam amet nihil.","Necessitatibus et nihil numquam voluptas minus repellat ut.","Sit voluptatem est nihil minima nesciunt maiores.","Modi et sed voluptatem quo unde.","In repellendus dolorem enim ut et.","Ab reiciendis soluta perferendis perferendis optio.","Quaerat excepturi ut perferendis earum expedita adipisci non.","Sapiente repellat quis eum et ut cum aut."]</t>
  </si>
  <si>
    <t>["Ut beatae ut sit exercitationem ipsa totam vero. Molestiae aut quasi ut.","Facilis explicabo et sint voluptas minus. Saepe facilis soluta esse inventore non quia nihil. Laudantium saepe voluptatibus impedit perspiciatis. Aut ut reiciendis cumque voluptatem ut quos iste ipsam. Quasi sed dolorum omnis ducimus quibusdam."]</t>
  </si>
  <si>
    <t>quasi-qui-6-32-3-green</t>
  </si>
  <si>
    <t>animi alias eligendi</t>
  </si>
  <si>
    <t>https://via.placeholder.com/300x650.png/00dd77?text=Smartphone+repellendus</t>
  </si>
  <si>
    <t>["Tempora quia aut qui a et.","Debitis repellat omnis beatae possimus occaecati.","Consequatur quos non nobis et sint laborum.","Sit quis ab sint tenetur.","Neque iste enim ad soluta possimus error consequatur.","Aliquid odit beatae nam repudiandae eveniet facere dolore autem.","Ipsa aperiam voluptate voluptatibus reprehenderit neque.","Atque architecto quam aliquam.","Modi molestias unde tempore aperiam architecto.","Assumenda expedita quod velit."]</t>
  </si>
  <si>
    <t>["Minus asperiores dolores velit. Eius pariatur culpa necessitatibus enim architecto corrupti quo. Ipsum a nobis ut porro. Enim atque aut vel ut est est eligendi.","Provident quae qui aut cumque quia quidem repellendus. A repellendus recusandae suscipit laboriosam voluptatem culpa. Magni sapiente sint autem occaecati qui."]</t>
  </si>
  <si>
    <t>sed-quae-8-8-4-black</t>
  </si>
  <si>
    <t>aspernatur minus rerum</t>
  </si>
  <si>
    <t>https://via.placeholder.com/300x650.png/0011cc?text=Smartphone+veritatis</t>
  </si>
  <si>
    <t>["Quibusdam aut laborum perferendis ipsa architecto quia.","Itaque tenetur accusantium id cupiditate adipisci omnis vitae.","Voluptas molestiae aliquid non inventore dolorem deleniti.","Incidunt distinctio sint maiores tempore.","Atque velit dolorem omnis qui odio.","Non placeat et quidem placeat.","Eos nihil praesentium voluptates modi facilis corrupti.","Veritatis et voluptatem repellat non magnam non occaecati.","Quasi ut enim earum eos cumque et labore.","Est ut libero sit cupiditate."]</t>
  </si>
  <si>
    <t>["Perferendis dolorum odio autem dolorum. Blanditiis cum ratione quia debitis in culpa. Impedit rem mollitia ut dolor. Nostrum quia ex aut adipisci.","Rerum placeat ad et dolores. Ducimus adipisci dicta et consequatur reprehenderit amet vitae. Impedit quia totam dolores repudiandae eaque cupiditate nesciunt natus."]</t>
  </si>
  <si>
    <t>sed-neque-8-16-3-white</t>
  </si>
  <si>
    <t>nostrum voluptas facilis</t>
  </si>
  <si>
    <t>https://via.placeholder.com/300x650.png/002277?text=Smartphone+distinctio</t>
  </si>
  <si>
    <t>["Nihil provident veniam est est.","Praesentium eum eaque animi dolorem id ipsam nihil.","Quo sunt molestiae enim ut.","Saepe deleniti id voluptates ipsam dolor deleniti.","Dolorum quisquam unde tempore nam voluptatum iste quam.","Minima est quidem cupiditate voluptatem error vero.","Aut voluptas vero animi mollitia.","Eum sit error assumenda rerum non.","Tempora voluptas est praesentium culpa ex illum.","Architecto sit consequuntur debitis omnis necessitatibus."]</t>
  </si>
  <si>
    <t>["Et repellat aut alias reiciendis deserunt beatae eveniet. Id illum officia enim atque quae facilis fuga. Ipsum quibusdam consequatur maxime delectus. Aut consequatur dignissimos fugit ipsam et id.","Veniam sit et sapiente laborum inventore dolorem. Tempore incidunt nihil sed explicabo quia et odit. Autem corporis nam rerum odit assumenda molestias. Cum totam est explicabo sunt."]</t>
  </si>
  <si>
    <t>maiores-recusandae-6-8-6-white</t>
  </si>
  <si>
    <t>laudantium et amet</t>
  </si>
  <si>
    <t>https://via.placeholder.com/300x650.png/00dddd?text=Smartphone+quidem</t>
  </si>
  <si>
    <t>["Qui et porro ab aut.","Qui eos sit temporibus quam.","Est autem fugit itaque.","Saepe laborum voluptatem quia.","Amet et atque ea omnis quae possimus.","Autem in unde aspernatur provident ullam.","Eveniet at reprehenderit dolore ipsum ut repellat magnam sint.","Est eos nostrum nobis facere fugiat vel non.","Nobis deserunt quam cum explicabo tenetur consectetur omnis.","Enim et aut vel laboriosam nulla sint."]</t>
  </si>
  <si>
    <t>["Laboriosam eligendi ut est temporibus. Accusantium distinctio aut et id enim odio minus. Quae reiciendis doloremque nulla ut magnam nihil fuga. Dolor quo amet aut reprehenderit laborum dolorem deleniti quidem. Tempore necessitatibus sint consequatur reprehenderit qui ut.","Eligendi pariatur libero exercitationem ex porro qui ipsum. Repellat repellat nostrum minus. Distinctio in est voluptatem dolorum quos ad rerum repellendus. Omnis animi veritatis quos numquam."]</t>
  </si>
  <si>
    <t>est-odit-6-32-2-black</t>
  </si>
  <si>
    <t>et qui officia</t>
  </si>
  <si>
    <t>https://via.placeholder.com/300x650.png/00ffcc?text=Smartphone+et</t>
  </si>
  <si>
    <t>["Tempora mollitia sed eos facere aspernatur.","Maiores deleniti non repellat occaecati ab qui sed saepe.","Molestiae sunt minima aperiam.","Quis quaerat perspiciatis atque provident est.","Quis occaecati eius suscipit mollitia quis.","Quo dicta recusandae quos.","Suscipit officiis illo qui minus sunt illum quia.","Qui laborum sed cum natus at et ipsam.","Error qui quidem fugit iusto qui omnis omnis sit.","Qui sunt mollitia saepe."]</t>
  </si>
  <si>
    <t>["Similique et omnis doloremque architecto maxime nostrum. Officia error nisi aliquid eligendi qui hic cum reiciendis. Laborum et ex veritatis.","Unde iure eaque qui reiciendis officiis. Deserunt sed blanditiis et neque aut molestias. Commodi ipsa possimus omnis eum sequi quia repellat commodi. Est quos omnis eum non."]</t>
  </si>
  <si>
    <t>aspernatur-temporibus-12-8-3-blue</t>
  </si>
  <si>
    <t>reprehenderit earum quos</t>
  </si>
  <si>
    <t>https://via.placeholder.com/300x650.png/00aaff?text=Smartphone+totam</t>
  </si>
  <si>
    <t>["Exercitationem deserunt iusto voluptatem voluptas perferendis.","Odit voluptatem dicta ipsa expedita quasi dolores.","Incidunt animi magnam incidunt eius.","Dolor impedit et id ut placeat corporis est.","Dolores qui dolores earum aliquid dicta.","Perferendis cupiditate tenetur modi vitae aliquid quia modi.","Nostrum et soluta sunt non.","Vero excepturi quaerat laboriosam aliquam sit esse et.","Aut vero possimus natus ullam et.","Numquam ut amet qui quo."]</t>
  </si>
  <si>
    <t>["In ut voluptates aut suscipit quo. Ipsam id exercitationem autem magnam et doloremque sed. Enim deserunt sapiente et dolore et non.","Nihil voluptas dolor sunt mollitia illo impedit velit. Enim quaerat eveniet reiciendis modi a consequuntur. Velit voluptas recusandae est omnis exercitationem."]</t>
  </si>
  <si>
    <t>quasi-qui-2-16-2-green</t>
  </si>
  <si>
    <t>quia consequatur rerum</t>
  </si>
  <si>
    <t>https://via.placeholder.com/300x650.png/00dd22?text=Smartphone+perferendis</t>
  </si>
  <si>
    <t>["Eum est nisi autem pariatur tempore.","Voluptatem rerum veritatis temporibus inventore.","Id quo eum delectus in maiores quas debitis consequatur.","Nisi sit iusto fuga.","Itaque unde eum laborum exercitationem.","Dolores assumenda ducimus a rerum voluptas at non assumenda.","Sed harum id minus minus.","Esse eum aliquid iure ut.","Atque accusantium sit neque praesentium in maxime non.","Suscipit eos voluptatem architecto illo deserunt repellat esse."]</t>
  </si>
  <si>
    <t>["In porro ea eligendi suscipit debitis aut. Quas non est voluptatibus quam est et. Pariatur numquam tempore culpa eos delectus. Minima non fugiat aut itaque.","At accusantium atque sit harum illo facere. Recusandae quia illum aut eligendi vitae aut molestiae autem. Culpa sint et reiciendis voluptas ipsa vel."]</t>
  </si>
  <si>
    <t>et-natus-2-32-3-green</t>
  </si>
  <si>
    <t>blanditiis omnis quidem</t>
  </si>
  <si>
    <t>https://via.placeholder.com/300x650.png/0011bb?text=Smartphone+velit</t>
  </si>
  <si>
    <t>["Odio recusandae impedit error unde possimus dolorum.","Pariatur eum voluptas aut aperiam provident repudiandae culpa.","Asperiores eaque et pariatur a deleniti aut.","Voluptates a porro dolor qui.","Beatae eaque ullam magnam et dignissimos omnis fugit et.","Ea animi est ipsum ducimus quis soluta.","Tempora architecto ullam omnis accusamus.","Cum laudantium a est consequuntur.","Sed omnis quibusdam culpa esse.","Dolorem est possimus odio repellendus vel animi repellendus."]</t>
  </si>
  <si>
    <t>["Consectetur atque dolores voluptatem sint ea accusamus. Recusandae tenetur molestiae temporibus eaque et aperiam. Qui velit quae et perferendis. Rerum et sunt reprehenderit neque quaerat laboriosam sed qui. Cupiditate non cumque architecto totam tempora explicabo tenetur.","Qui sit quod quia ut. Eos iure placeat quidem et. Rerum a rerum dolorem ea. Mollitia natus molestias ipsam dolores voluptatum facere officiis."]</t>
  </si>
  <si>
    <t>ut-sed-12-128-2-black</t>
  </si>
  <si>
    <t>molestiae ut quia</t>
  </si>
  <si>
    <t>https://via.placeholder.com/300x650.png/001155?text=Smartphone+occaecati</t>
  </si>
  <si>
    <t>["Quidem facilis et molestiae et.","Rerum nihil itaque qui sit id.","Non alias a corporis possimus.","Tenetur dolorem quis atque rerum reiciendis.","Labore nobis alias numquam qui rerum laboriosam.","Natus ut est tempore quasi et possimus doloremque.","Laudantium illo accusamus voluptatem distinctio repellendus sed nihil.","Et veritatis omnis voluptas alias ut.","Ducimus quod laborum harum exercitationem.","Qui eum consequatur doloribus unde tempora facilis."]</t>
  </si>
  <si>
    <t>["Inventore nisi enim aliquid quia eum quas molestias. Laudantium nesciunt quis similique eum deleniti aut molestiae. Dolor quia reiciendis aspernatur quos ab voluptas. Qui libero totam velit molestias adipisci maiores ratione mollitia.","Dolor et et et impedit quos. Facilis quia quis eveniet aut. Nemo consequatur consequatur qui ut."]</t>
  </si>
  <si>
    <t>quasi-perferendis-8-16-3-red</t>
  </si>
  <si>
    <t>nostrum voluptatem reiciendis</t>
  </si>
  <si>
    <t>https://via.placeholder.com/300x650.png/00ffdd?text=Smartphone+exercitationem</t>
  </si>
  <si>
    <t>["Rem ipsa asperiores et consequatur assumenda et.","Sunt delectus incidunt minus dolorem iusto.","Aperiam vel dolor rerum.","Quia quia debitis et ex quis nisi id.","Delectus officia distinctio rerum vero sed fugiat voluptatem fuga.","Quae aperiam earum voluptas rerum impedit eum qui labore.","Aperiam doloribus animi et.","Libero tenetur aperiam beatae architecto.","Dolor quia numquam corporis et.","Ut eos quia quis itaque modi voluptatibus eveniet."]</t>
  </si>
  <si>
    <t>["Inventore similique culpa nostrum sapiente. Molestiae quo nemo ducimus esse fugiat ratione et. Vitae enim voluptatem odit nam est. Sunt eos atque aut itaque consectetur quisquam.","Quaerat sunt quidem magnam doloremque explicabo quia est. Laboriosam ex voluptas dolorum sequi exercitationem dolore inventore. Voluptatem rem quos qui alias corporis est. Sed sint voluptatum nulla fuga dolores quaerat eius."]</t>
  </si>
  <si>
    <t>aspernatur-aliquam-6-512-6-blue</t>
  </si>
  <si>
    <t>perspiciatis accusamus aut</t>
  </si>
  <si>
    <t>["Enim eligendi ut vel provident eos laboriosam.","A enim porro facilis dolorem veniam et reiciendis ea.","Repudiandae ut corporis voluptatibus qui.","Numquam cupiditate laboriosam veritatis earum aut omnis.","Quis mollitia sunt minima rerum nobis aut commodi iure.","Provident corrupti qui perferendis repellat est officia.","Sed officia facere cupiditate aspernatur quam saepe.","Adipisci praesentium aspernatur iusto consectetur minus laboriosam.","Repellat nobis quo cumque consequatur non vel.","Quisquam aut est ut ut eos ipsam."]</t>
  </si>
  <si>
    <t>["Velit explicabo perferendis voluptatem sunt et porro adipisci. Nihil quo voluptatem ut incidunt mollitia eos omnis. Eum debitis eos ad quidem sit. Sit sunt placeat nostrum ducimus sapiente.","Sed autem recusandae corporis saepe. Laborum aliquam natus a quia perferendis. Nihil saepe omnis odio et et sequi. Quia consequatur voluptatibus sit impedit."]</t>
  </si>
  <si>
    <t>ut-veritatis-2-512-3-red</t>
  </si>
  <si>
    <t>amet tempora eos</t>
  </si>
  <si>
    <t>https://via.placeholder.com/300x650.png/005533?text=Smartphone+reiciendis</t>
  </si>
  <si>
    <t>["Qui doloremque ut inventore unde itaque sunt temporibus.","Perspiciatis quibusdam expedita repellendus nostrum voluptatem.","Velit quibusdam eveniet nisi nobis in.","Molestias veritatis aut nostrum culpa nisi explicabo et.","Excepturi dignissimos aspernatur enim et.","Nisi ut eos qui et.","Eaque facilis sit nesciunt dolores dolor.","Et voluptate est voluptas porro modi et deleniti occaecati.","Hic sit consectetur molestiae aspernatur iusto ea repudiandae quia.","Nihil rerum veniam voluptatibus sint voluptatibus tempora."]</t>
  </si>
  <si>
    <t>["Modi magnam non veritatis beatae ducimus ut. Dolor sit aut corrupti facere illo quidem. Debitis ut ut amet omnis autem neque perferendis. Molestiae modi quis voluptas iste unde fugit impedit aut.","Omnis voluptas natus porro esse aut aut. Quia nam quo aliquam. Non assumenda quis earum laudantium iure. Numquam similique ut voluptatem impedit. Vel dolores corrupti enim fugiat et repellat nam dolorum."]</t>
  </si>
  <si>
    <t>illum-reiciendis-4-128-5-white</t>
  </si>
  <si>
    <t>facilis excepturi aut</t>
  </si>
  <si>
    <t>https://via.placeholder.com/300x650.png/00bbaa?text=Smartphone+nemo</t>
  </si>
  <si>
    <t>["Tempora dignissimos harum ab eum temporibus sed nemo.","Amet at id aut occaecati est aliquid iusto.","Fuga voluptas iure vero sunt et.","Dicta in voluptatem dignissimos quas impedit dolore.","Sit labore doloribus occaecati velit aliquid porro.","Eum quis quos fugiat.","Quod et soluta dolor itaque.","Explicabo voluptatem autem ipsa cupiditate cupiditate ea.","Sequi quia suscipit et eos numquam.","Assumenda sint ut corporis ab excepturi quis."]</t>
  </si>
  <si>
    <t>["Id et omnis quidem ut. Quaerat suscipit eum optio fuga amet.","Quae magnam perspiciatis unde est dolorem odio modi. Excepturi iusto vitae sunt beatae. Aut quia ut dignissimos vitae et quia sint fuga."]</t>
  </si>
  <si>
    <t>ut-veritatis-2-64-3-white</t>
  </si>
  <si>
    <t>autem quis quae</t>
  </si>
  <si>
    <t>https://via.placeholder.com/300x650.png/00bb66?text=Smartphone+blanditiis</t>
  </si>
  <si>
    <t>["Velit consequatur consectetur facilis eum.","Nulla similique alias qui debitis qui tempore vel.","Quos ab est deleniti rerum.","Aliquam eius aut sit laboriosam.","Fugit sunt voluptatem labore ex et atque dignissimos ut.","Nulla aut quis cupiditate debitis blanditiis consectetur.","Et quis beatae quis provident asperiores explicabo odit sequi.","Repellat ducimus ducimus ut doloribus et rerum consectetur maiores.","Aut alias et saepe omnis et.","Sunt ut similique earum quidem nemo unde."]</t>
  </si>
  <si>
    <t>["Nam doloremque perspiciatis quia est nam. Est natus iste non ea nesciunt iusto error voluptatum. Distinctio sed nemo magni id vel sed.","Aut ut ratione impedit quidem delectus temporibus. Occaecati harum enim est sit fugiat quia soluta voluptatum. Eveniet facere voluptatem qui qui."]</t>
  </si>
  <si>
    <t>maiores-consequatur-12-8-6-blue</t>
  </si>
  <si>
    <t>aspernatur quod possimus</t>
  </si>
  <si>
    <t>https://via.placeholder.com/300x650.png/005522?text=Smartphone+recusandae</t>
  </si>
  <si>
    <t>["Sit vel esse quisquam sunt.","Aut perferendis consequatur inventore esse.","Sapiente aut pariatur eum omnis velit ut eveniet.","Incidunt aperiam ut ut ut aut molestias beatae.","Eius necessitatibus alias molestiae aut itaque aspernatur.","Molestias nisi velit eaque.","Quia facilis est ullam ad ut.","Consectetur quam officia libero quod quisquam.","Asperiores consequatur illum porro officiis ex suscipit.","Omnis autem reprehenderit eum vel officia est voluptas et."]</t>
  </si>
  <si>
    <t>["Est quis voluptatem consequatur quia aut. Aspernatur itaque non distinctio. Natus quasi fugiat sint quia earum.","Nesciunt est vero quo recusandae. Architecto quis ut adipisci. Voluptates repellendus aut illum ipsam et omnis."]</t>
  </si>
  <si>
    <t>sed-neque-2-8-4-green</t>
  </si>
  <si>
    <t>aperiam ullam et</t>
  </si>
  <si>
    <t>https://via.placeholder.com/300x650.png/0066ff?text=Smartphone+incidunt</t>
  </si>
  <si>
    <t>["Quia adipisci totam non praesentium voluptatem.","Vel repudiandae est et rerum odio dolorem et.","Sed et labore in.","Corporis ut aut est enim.","Sit debitis quia voluptatem possimus et aspernatur aut.","Debitis eligendi qui aut fugit.","Corporis perferendis inventore voluptas molestiae fuga recusandae et.","Molestiae facere ea illum inventore eveniet.","Aliquid error sequi harum.","Dolorum rerum illo blanditiis expedita nihil nihil eveniet."]</t>
  </si>
  <si>
    <t>["Quae aspernatur sed accusamus corrupti modi. Eveniet quo et qui placeat aliquid. Hic delectus architecto voluptatem dolorem dolor non voluptatibus omnis.","Iste dignissimos maxime nemo veritatis similique aspernatur voluptatibus. Ut consequatur excepturi architecto et ut eligendi sint ducimus. Dolores sunt a nesciunt omnis. Aut earum impedit ut ex architecto eaque accusantium ullam. Est possimus ratione explicabo."]</t>
  </si>
  <si>
    <t>aspernatur-itaque-8-128-2-green</t>
  </si>
  <si>
    <t>reprehenderit voluptas aut</t>
  </si>
  <si>
    <t>https://via.placeholder.com/300x650.png/00bbee?text=Smartphone+sunt</t>
  </si>
  <si>
    <t>["Ducimus voluptate quae nihil vel.","Nostrum iste sequi vel mollitia dolor ut.","Reiciendis et asperiores laudantium totam commodi quia unde dolore.","Eum qui quis ad optio perspiciatis.","Repellat praesentium ipsum sed adipisci rerum.","Nulla veniam voluptates explicabo occaecati quisquam quis quibusdam.","Ratione excepturi voluptatibus unde consequuntur quas eos.","Officia commodi tenetur rem laboriosam iste qui aliquam.","Non quam labore corporis ducimus recusandae fugiat natus.","Consequatur quis reiciendis enim odit."]</t>
  </si>
  <si>
    <t>["Nesciunt quis beatae et ad quam neque laborum adipisci. Mollitia molestiae dolor commodi delectus asperiores magnam nisi. Quam aut ut magnam dicta repellat. Perferendis vel ad beatae laudantium veniam quo.","Repellendus omnis aut sunt nemo. Autem culpa et nobis sequi. Autem qui sit earum id."]</t>
  </si>
  <si>
    <t>corrupti-odit-8-16-5-red</t>
  </si>
  <si>
    <t>aut error dolor</t>
  </si>
  <si>
    <t>https://via.placeholder.com/300x650.png/009944?text=Smartphone+neque</t>
  </si>
  <si>
    <t>["Dolor minima nam vero molestias et sunt suscipit.","Temporibus consectetur impedit explicabo et animi et.","Sint quod voluptates quos officia accusamus excepturi.","Modi commodi provident sapiente unde velit.","Ut neque reprehenderit voluptatum sapiente et enim.","Et cum asperiores nesciunt perspiciatis id sunt quia.","Aut suscipit totam non.","Nobis dolorem ex quia voluptatibus officia.","Nisi quaerat ipsam modi omnis dignissimos atque possimus.","Perferendis consequuntur numquam vero."]</t>
  </si>
  <si>
    <t>["Perferendis eum dolore molestiae id. Et accusamus ut sint voluptas eaque. Quas dolore dolor itaque voluptatem qui laborum enim. Et iure voluptates esse.","Hic voluptatum explicabo alias ducimus. Similique aut similique enim laudantium. Sed repudiandae laudantium porro quis deserunt rerum."]</t>
  </si>
  <si>
    <t>voluptate-similique-2-128-3-black</t>
  </si>
  <si>
    <t>deserunt quis fugit</t>
  </si>
  <si>
    <t>https://via.placeholder.com/300x650.png/0077aa?text=Smartphone+nulla</t>
  </si>
  <si>
    <t>["Magni eveniet ea qui voluptatem.","Facere consectetur aliquam commodi quia.","Id et expedita consequatur et velit rerum.","Libero eaque reprehenderit occaecati at est sapiente doloremque fugit.","Ducimus neque quia consequatur dolor dignissimos nostrum.","Error itaque non et dolorem doloribus voluptas.","Rerum iusto eligendi quisquam.","Porro sunt quod nesciunt laboriosam non.","Et iste quos quis et est illum facere autem.","Doloribus voluptate inventore sed ullam ullam rerum labore."]</t>
  </si>
  <si>
    <t>["Tempora eligendi soluta praesentium totam. Veniam quia asperiores est debitis. Exercitationem quia blanditiis officiis sunt et. Et commodi aspernatur id consectetur.","Neque rem rerum eum molestiae maxime. Impedit ut asperiores commodi similique magnam. Quia ducimus perferendis qui impedit eaque ullam."]</t>
  </si>
  <si>
    <t>est-et-4-512-3-black</t>
  </si>
  <si>
    <t>accusamus et fugiat</t>
  </si>
  <si>
    <t>https://via.placeholder.com/300x650.png/009955?text=Smartphone+ducimus</t>
  </si>
  <si>
    <t>["Non consequuntur voluptatem odit iure odio.","Nesciunt sapiente dolores tempore et nihil ab.","Qui cumque quasi facilis optio omnis sit aut.","Optio aut aliquam maxime accusantium alias.","Praesentium vitae eum totam.","Est ut expedita voluptates.","Optio ipsa officiis eos perferendis voluptate et.","Blanditiis quo aut cum culpa quos doloremque qui quis.","Dolores voluptate ut quis quia qui.","Sunt non repellendus quos sint."]</t>
  </si>
  <si>
    <t>["Fuga voluptas deleniti voluptate odio temporibus. Illo corporis qui in. Hic eum et quis placeat nulla voluptatibus animi fuga.","Aut unde ea voluptatem aut mollitia. Ea aliquam molestiae quia similique voluptatem eos. Tempore eveniet quibusdam quo laudantium minus."]</t>
  </si>
  <si>
    <t>illum-sed-4-16-4-red</t>
  </si>
  <si>
    <t>voluptatibus ipsa ut</t>
  </si>
  <si>
    <t>https://via.placeholder.com/300x650.png/00eedd?text=Smartphone+ex</t>
  </si>
  <si>
    <t>["Rerum ducimus est eum placeat illo.","Et sunt voluptatem impedit.","Fugiat voluptatum unde nulla itaque optio.","Dolor expedita fugit aut quia consequatur eum ut.","Consequuntur omnis nihil quos rerum sed quia et occaecati.","Tempore reiciendis nihil voluptatum rerum fugiat.","Recusandae reiciendis repudiandae laborum similique.","Corporis deserunt molestiae occaecati hic error quia pariatur.","Corporis saepe quaerat sunt aliquam id consequuntur.","Aut delectus dolor id fugiat voluptate minima aut."]</t>
  </si>
  <si>
    <t>["Et eaque mollitia et qui et reiciendis quia. Ut non rerum velit quidem voluptate ipsum nihil. Tempore ex quam placeat. Nostrum ex et dolorem.","Commodi et debitis quidem iure. Et et omnis ut ratione accusantium. Quia iusto minus debitis vel."]</t>
  </si>
  <si>
    <t>voluptate-nemo-12-512-4-green</t>
  </si>
  <si>
    <t>pariatur inventore eaque</t>
  </si>
  <si>
    <t>["Amet rerum voluptatem velit odit est consequuntur praesentium.","Numquam rem adipisci inventore id rem.","Nulla possimus non voluptas autem beatae dolorem.","Rerum at quaerat exercitationem reiciendis illo unde consequatur.","Consequatur maxime voluptate eum eos rerum enim ut.","Dolor sint est ea in.","Voluptates consequatur possimus quia quasi.","Sint dolores nisi debitis ab et velit ducimus.","Ut sint totam dolor molestiae eos odio optio optio.","Quam quis perspiciatis adipisci recusandae."]</t>
  </si>
  <si>
    <t>["Culpa perspiciatis enim accusantium placeat et asperiores fuga sint. Eveniet veniam aut et sapiente hic. Corporis iste et saepe temporibus. Doloremque consectetur reiciendis et dignissimos repellat.","Omnis consequatur saepe labore error. Non ut tenetur qui voluptatem molestiae. Explicabo autem autem iste error rerum error fuga. Animi consectetur est qui illum. Et beatae tempora accusantium sed aliquid sunt ab est."]</t>
  </si>
  <si>
    <t>illum-perspiciatis-8-64-4-black</t>
  </si>
  <si>
    <t>qui sit rem</t>
  </si>
  <si>
    <t>https://via.placeholder.com/300x650.png/001177?text=Smartphone+accusantium</t>
  </si>
  <si>
    <t>["Nulla expedita blanditiis amet quo.","Neque sed et nobis voluptates quia.","Totam molestias asperiores a earum possimus hic.","Adipisci dolore fuga quaerat delectus aut nihil.","Deserunt delectus iusto nam sint.","Ex nisi repudiandae sunt voluptatibus.","Et sit minus esse quia et qui iusto deleniti.","Eaque rem recusandae quidem accusantium eum.","Cumque laborum et impedit eos facilis assumenda.","Omnis eveniet sit est tempora tenetur et accusamus voluptates."]</t>
  </si>
  <si>
    <t>["Temporibus ipsa architecto nam qui. Officia pariatur dolore velit natus quisquam dolorem quo. Dicta qui accusantium accusamus fuga. Repellendus numquam rerum dicta sit. Et sint quae ratione at.","Dolore quas est minima quos iste voluptatum. Cum expedita in magnam rem voluptate labore officiis. Voluptatum possimus perferendis voluptatem in est cum. Suscipit aut unde voluptates ullam."]</t>
  </si>
  <si>
    <t>maiores-veritatis-12-16-5-white</t>
  </si>
  <si>
    <t>assumenda dolores facere</t>
  </si>
  <si>
    <t>https://via.placeholder.com/300x650.png/0088ff?text=Smartphone+ad</t>
  </si>
  <si>
    <t>["Reprehenderit animi occaecati aut velit laboriosam molestiae excepturi voluptatem.","Aut dignissimos fuga a quo voluptatem officiis magni quo.","Hic dolorem quas aut commodi qui cupiditate.","Est rem libero ut consequatur similique.","Cum molestias quis mollitia.","Et quo amet sit nemo.","Eos impedit at aut.","Nihil labore et et aliquid eius quia.","Id voluptatem est eos unde eos.","Quo recusandae nulla ipsa modi itaque at quo."]</t>
  </si>
  <si>
    <t>["Aut sapiente quas voluptatem eum laborum. Molestiae animi omnis eius placeat est et. Voluptas cumque soluta ducimus voluptas nemo ipsum libero itaque. Eligendi aut sed repellendus dolores.","Velit et omnis commodi doloribus ipsam consequatur numquam. Aperiam eveniet neque ut hic dolores sed. Aspernatur qui ipsa unde ut suscipit. Earum sapiente voluptas cumque voluptates assumenda."]</t>
  </si>
  <si>
    <t>et-non-2-32-3-blue</t>
  </si>
  <si>
    <t>error dicta qui</t>
  </si>
  <si>
    <t>https://via.placeholder.com/300x650.png/0000ee?text=Smartphone+sed</t>
  </si>
  <si>
    <t>["Sint iure voluptatibus sit non dicta possimus.","Ipsam qui qui quisquam est aspernatur necessitatibus.","Aut quia ex totam sed minus pariatur.","Quam porro placeat officiis sed.","Qui reiciendis culpa consequatur eligendi.","Vitae culpa natus adipisci et voluptas molestiae porro.","Id ipsa veniam corporis culpa ut sequi.","Consequuntur blanditiis labore et et.","Rem aspernatur magnam minima nisi.","Provident ratione incidunt saepe aut rerum omnis quasi."]</t>
  </si>
  <si>
    <t>["Nostrum sapiente iure est et. Ipsam et molestiae unde voluptas. Rerum illo maxime quia totam.","Nesciunt odit sapiente rem. Enim quaerat aut unde et ut sit delectus enim. Recusandae ut quasi ut."]</t>
  </si>
  <si>
    <t>illum-sed-12-16-5-black</t>
  </si>
  <si>
    <t>ut sapiente explicabo</t>
  </si>
  <si>
    <t>https://via.placeholder.com/300x650.png/002244?text=Smartphone+rerum</t>
  </si>
  <si>
    <t>["Consectetur nihil doloremque aut sit ipsam deleniti.","Ea autem magnam nemo mollitia.","Et temporibus non est ab.","Et eius odio sequi.","Illo placeat ipsa consequatur et.","Non error nesciunt inventore ducimus.","Omnis quasi ut alias velit nobis tempore.","At voluptatem non minus accusantium.","Distinctio sequi quis quo consequatur culpa.","Qui explicabo quo facere est."]</t>
  </si>
  <si>
    <t>["Non aliquid vero impedit dolorem eaque minus. Recusandae sint ad distinctio iusto. Non odit recusandae voluptatem est repudiandae voluptas. Ratione deleniti quos sint vel corrupti quisquam.","Harum et maiores ut et culpa. Officiis cumque hic vitae est voluptatem voluptas sint quis."]</t>
  </si>
  <si>
    <t>aspernatur-voluptas-12-32-3-red</t>
  </si>
  <si>
    <t>et id error</t>
  </si>
  <si>
    <t>https://via.placeholder.com/300x650.png/0011bb?text=Smartphone+repellat</t>
  </si>
  <si>
    <t>["Et mollitia deleniti dignissimos minus incidunt velit eveniet sint.","Ipsam velit aperiam totam.","Repellat eius exercitationem ut nihil.","Fugiat est doloremque sed accusamus ullam ut excepturi.","Aliquam repudiandae quia enim quidem fugit debitis dolor.","Labore recusandae qui distinctio.","Iste magnam ut a illo dolorum.","Saepe perspiciatis explicabo ratione ut nobis veniam.","Perferendis autem quibusdam reiciendis quis consequatur.","Consequatur facere laborum iusto perspiciatis ea est."]</t>
  </si>
  <si>
    <t>["Eius ad aut necessitatibus quas quo esse et. Harum cum fuga nam facilis. Ab earum explicabo voluptas totam et cum nostrum. Et corporis ducimus reprehenderit consequuntur.","Voluptatem exercitationem modi et eveniet voluptatem. Autem est saepe ea in harum eaque dolor."]</t>
  </si>
  <si>
    <t>et-minima-8-128-4-green</t>
  </si>
  <si>
    <t>vel dolorem enim</t>
  </si>
  <si>
    <t>https://via.placeholder.com/300x650.png/00cc00?text=Smartphone+suscipit</t>
  </si>
  <si>
    <t>["Recusandae et vitae et nesciunt maxime consequatur.","Et et rerum et alias aliquid.","Hic consequatur alias modi.","Id sunt suscipit aliquam incidunt quae velit eum.","Numquam officia hic esse perspiciatis vel recusandae.","Tempora et aut quis rem molestias enim blanditiis.","Et in doloremque aspernatur aliquam ut in dolore.","Aut reiciendis nobis alias doloribus est repudiandae veniam ea.","Quia mollitia laborum omnis omnis quos.","Dolore itaque id voluptates."]</t>
  </si>
  <si>
    <t>["Autem quidem repellat quae qui quaerat vel deserunt. Veniam molestias deserunt nostrum ex rerum non et. Dignissimos blanditiis sequi eius dolores eos.","Aut esse corporis fugiat quibusdam facere qui. Dolor ducimus et minima ut possimus animi et. Et ut ullam eum vero. Beatae voluptas praesentium quos quam earum non sed."]</t>
  </si>
  <si>
    <t>sed-eligendi-2-512-4-green</t>
  </si>
  <si>
    <t>sequi exercitationem sunt</t>
  </si>
  <si>
    <t>https://via.placeholder.com/300x650.png/0033dd?text=Smartphone+expedita</t>
  </si>
  <si>
    <t>["Quasi accusamus qui qui omnis cumque expedita consequatur occaecati.","Ut repudiandae nemo quam voluptates.","Iure amet minus laborum qui qui consequuntur quod magni.","Excepturi hic perferendis repellendus saepe qui autem nam.","Nihil vitae illum quasi sunt provident dignissimos.","Quae sunt odit eius quod.","Dolorum voluptatibus officia quas iste enim ab sint.","Quia in dolore est qui sit exercitationem tenetur.","Eos deleniti esse sint corporis.","Ratione voluptatem amet accusantium nesciunt officiis laborum."]</t>
  </si>
  <si>
    <t>["Velit laboriosam in quia sit. Nisi doloribus corporis aut odio. Expedita suscipit est sit.","Rem hic omnis magnam eum. Quos eos a aut enim fugiat. Enim saepe dolorem doloribus maxime rerum omnis occaecati."]</t>
  </si>
  <si>
    <t>sed-necessitatibus-12-32-6-red</t>
  </si>
  <si>
    <t>aspernatur tempore sunt</t>
  </si>
  <si>
    <t>https://via.placeholder.com/300x650.png/001144?text=Smartphone+itaque</t>
  </si>
  <si>
    <t>["Voluptas odit error quos voluptas facilis laboriosam.","Qui totam cupiditate hic ipsum iste.","Consequatur quidem quasi minus itaque dolorum quisquam.","Quam aut vitae qui.","Aperiam a qui qui non quaerat voluptatum impedit.","Eos facere aut minus fugit sequi.","Quisquam inventore incidunt accusamus sunt quod.","Quam culpa suscipit enim sed aut.","Est consequuntur at labore in qui ut.","Qui omnis voluptates voluptas et dolores corporis quidem fuga."]</t>
  </si>
  <si>
    <t>["Eligendi ipsam et accusamus dicta perferendis tempore. Ut et commodi et porro. Sit odit eius autem molestiae.","Repudiandae ut nobis amet molestias. Suscipit ab autem consequatur dolor. Id natus rerum repudiandae ut rem."]</t>
  </si>
  <si>
    <t>voluptate-itaque-4-128-3-green</t>
  </si>
  <si>
    <t>et autem esse</t>
  </si>
  <si>
    <t>https://via.placeholder.com/300x650.png/0022cc?text=Smartphone+laboriosam</t>
  </si>
  <si>
    <t>["Facere quis aut veritatis perferendis vitae sint eum.","Nobis fugit in eos qui nisi qui eum qui.","Officiis dolores aperiam ut nihil.","Temporibus et facilis quidem error aliquid.","Enim unde iusto possimus possimus laboriosam facere.","Quibusdam sapiente possimus labore earum aperiam.","Aut aliquid natus nesciunt aut a quos.","Explicabo praesentium voluptatum molestiae rem sequi perspiciatis.","Sint ab molestiae quia ut molestiae aut.","Quas quisquam odit ipsam iste sit autem natus."]</t>
  </si>
  <si>
    <t>["Expedita numquam voluptate perferendis rerum dolor quia. Esse iure perferendis voluptatum sequi aut esse. Vero ex saepe aspernatur voluptatem est possimus.","Veritatis et fugit aut est qui autem quis. Et laborum sed qui illo quis voluptatem at. Amet quas nostrum eligendi."]</t>
  </si>
  <si>
    <t>ut-blanditiis-8-128-3-red</t>
  </si>
  <si>
    <t>eaque qui iure</t>
  </si>
  <si>
    <t>https://via.placeholder.com/300x650.png/00cccc?text=Smartphone+voluptates</t>
  </si>
  <si>
    <t>["Consequuntur voluptatem ea beatae voluptatibus repellendus.","Sequi fugiat asperiores facere maxime porro ratione dolorem.","Tempore voluptas aut ipsum sit magnam autem.","Dolor neque officia dolor occaecati ab non omnis perferendis.","Quidem eius pariatur dolor tempore voluptatem et quasi.","Voluptates accusamus enim repellat non.","Quibusdam ex blanditiis et corrupti ratione molestias occaecati.","Sunt quibusdam culpa tempore quis aut et.","Provident quia sed in enim minima minus.","Itaque corrupti adipisci quae dolorem placeat qui blanditiis quidem."]</t>
  </si>
  <si>
    <t>["Velit quasi architecto harum quo ea. Sit consequatur minima assumenda sed odio. Optio placeat consectetur veniam architecto qui quo.","Officiis aut voluptas doloremque in inventore porro aliquid. Ut molestiae vel necessitatibus quia corporis dolores. Quis excepturi velit ut ab. Et rerum voluptatem nobis voluptates."]</t>
  </si>
  <si>
    <t>corrupti-ex-12-8-4-white</t>
  </si>
  <si>
    <t>aperiam deleniti officiis</t>
  </si>
  <si>
    <t>https://via.placeholder.com/300x650.png/0044ee?text=Smartphone+saepe</t>
  </si>
  <si>
    <t>["Tenetur deleniti sit necessitatibus quod et distinctio quia.","Quasi et et necessitatibus vel voluptas ipsum non.","Illo architecto similique cupiditate.","Facere porro iusto beatae voluptas vero occaecati.","Est iste hic expedita nihil quia.","Debitis sint labore assumenda porro quibusdam.","Veniam accusantium amet maxime ab amet.","Hic dicta sed quaerat autem.","Iste atque ab eius vitae.","Tenetur enim nemo nemo exercitationem quaerat et."]</t>
  </si>
  <si>
    <t>["Qui possimus odit asperiores quibusdam deleniti illum accusantium. Mollitia magnam magni tempora sit aperiam fugiat velit. Voluptatum dolorem est et ex quaerat. Pariatur corrupti asperiores ab repellat. Cum eius deserunt aut quia qui aut.","Est natus voluptas iusto provident est voluptatem delectus maiores. Non ut nihil unde. Sunt libero adipisci quibusdam nihil dolores a."]</t>
  </si>
  <si>
    <t>sed-neque-2-8-5-blue</t>
  </si>
  <si>
    <t>nulla sed veniam</t>
  </si>
  <si>
    <t>https://via.placeholder.com/300x650.png/0066bb?text=Smartphone+sed</t>
  </si>
  <si>
    <t>["Praesentium aut est dolor aut.","Totam sit est laborum quos tempora ut quas.","Perferendis modi et voluptas facilis quaerat et voluptatem.","Quam excepturi incidunt quisquam est.","Corrupti est tempore voluptates dolore soluta.","Est et aut aut magni aut alias repellat.","Laborum impedit voluptatibus et.","Sit accusantium possimus sunt dolores excepturi est possimus quisquam.","Error rem ut voluptatem ullam.","Nulla ipsum officiis sed dignissimos rerum."]</t>
  </si>
  <si>
    <t>["Praesentium eveniet exercitationem neque magnam qui nam. Veritatis commodi et placeat earum eaque blanditiis. Omnis voluptas expedita aspernatur in non quidem nostrum vel.","Officia adipisci quia ut sed quo. Nemo perspiciatis omnis rerum. Sint quia ut quia quia."]</t>
  </si>
  <si>
    <t>est-vel-4-64-5-blue</t>
  </si>
  <si>
    <t>et qui ratione</t>
  </si>
  <si>
    <t>https://via.placeholder.com/300x650.png/004411?text=Smartphone+amet</t>
  </si>
  <si>
    <t>["Et nihil suscipit sint voluptate tempore error.","Architecto ut delectus ut quo.","Aut fugit voluptate dolor adipisci.","At ut ad aut ut.","Ut enim qui et accusantium dolores quasi.","Molestiae totam nobis expedita.","Eum consequatur non voluptatem eos repellat ipsam voluptate labore.","Nulla consequatur similique dolores.","Soluta non consequatur occaecati et earum quas.","Quas enim perferendis repellendus soluta architecto."]</t>
  </si>
  <si>
    <t>["Harum et quasi sapiente est voluptas consequatur sed aperiam. Et sapiente quis adipisci sunt. Et in hic sed.","Quia deleniti quas et. Quidem non voluptatem porro ab optio reiciendis eveniet. Veniam repellat temporibus totam aliquam recusandae qui. Veritatis ut eveniet nam eligendi similique est est perspiciatis."]</t>
  </si>
  <si>
    <t>aspernatur-sit-8-32-5-green</t>
  </si>
  <si>
    <t>facilis ducimus aperiam</t>
  </si>
  <si>
    <t>https://via.placeholder.com/300x650.png/001133?text=Smartphone+eveniet</t>
  </si>
  <si>
    <t>["Delectus et ratione necessitatibus ipsa quisquam quidem.","Ut sint sit quia consequatur quo eos consequatur et.","Mollitia expedita libero aut omnis dignissimos qui.","Labore sit aspernatur nobis non et quam autem.","Aperiam doloremque repellat corporis voluptatibus quis.","Quia modi in et.","Autem sapiente voluptates quia enim nulla corporis.","Voluptates ut aspernatur et et omnis.","Incidunt ut libero corporis omnis sit id.","Unde laborum et itaque labore enim."]</t>
  </si>
  <si>
    <t>["Alias deserunt dolores quae voluptas maiores. Quas nobis ab reiciendis in omnis. Modi quo reiciendis quia quasi nihil enim fugit. Quia reiciendis incidunt veritatis totam molestias et aut rerum.","Dolorem pariatur quod accusamus eum sunt veniam. Expedita officiis sed nesciunt laudantium rem quia voluptate. Deserunt similique voluptatem et voluptatem temporibus non. Nesciunt facere ipsa animi dolorem molestiae."]</t>
  </si>
  <si>
    <t>illum-reiciendis-12-512-4-blue</t>
  </si>
  <si>
    <t>fugiat fugit consectetur</t>
  </si>
  <si>
    <t>https://via.placeholder.com/300x650.png/0055dd?text=Smartphone+ut</t>
  </si>
  <si>
    <t>["Et id occaecati exercitationem.","Consectetur maxime eligendi fuga officiis.","Dolor illo rerum tenetur consectetur.","Magni debitis unde dicta praesentium.","In id iusto voluptas iure.","Amet ad tempora hic delectus.","Accusantium accusantium vitae dolores voluptate.","Recusandae ratione aliquam sed reiciendis ex vel sed magnam.","Qui qui dignissimos molestiae odit.","Consectetur incidunt qui placeat voluptatum."]</t>
  </si>
  <si>
    <t>["Autem fugiat vitae aut qui molestiae voluptatem et. Modi repellendus earum fuga. Repellat velit voluptatum nesciunt. Ad corporis illum laborum recusandae autem. Temporibus aut necessitatibus quia distinctio animi accusamus.","Dolorem dolor ipsum quo laborum. Voluptas nam temporibus officia eligendi sunt occaecati ipsa. Expedita similique aut tempora quis neque."]</t>
  </si>
  <si>
    <t>ut-blanditiis-2-64-3-white</t>
  </si>
  <si>
    <t>adipisci nemo sit</t>
  </si>
  <si>
    <t>https://via.placeholder.com/300x650.png/0099aa?text=Smartphone+ut</t>
  </si>
  <si>
    <t>["Nisi quod repellat iusto ipsa et consequatur facilis.","Beatae dolorem non aliquid sunt.","Recusandae voluptate qui sapiente et fugit.","Placeat est quo molestiae delectus qui architecto dolor.","Ratione repudiandae ratione qui.","Voluptatem ea hic consequatur magni aut at.","Ut quo vel non quia.","Veniam sunt deserunt voluptatum.","Rerum veniam necessitatibus quia sapiente.","Ea voluptas repellendus facilis magnam rem."]</t>
  </si>
  <si>
    <t>["Recusandae esse voluptatibus ut repellendus omnis. Nihil accusantium magnam totam soluta aut perspiciatis. Esse error cupiditate sunt. Dolorem alias occaecati error consequatur optio. Hic autem provident qui nihil consectetur.","Nobis quas iste et nihil dolore et. Commodi voluptatibus optio vitae voluptas molestias. Nesciunt velit et autem aliquam eos molestiae ipsum."]</t>
  </si>
  <si>
    <t>corrupti-qui-6-16-2-blue</t>
  </si>
  <si>
    <t>repellendus distinctio maiores</t>
  </si>
  <si>
    <t>https://via.placeholder.com/300x650.png/0044ff?text=Smartphone+animi</t>
  </si>
  <si>
    <t>["Quod illum autem aperiam et minima et.","Eum delectus dolor in nihil sed.","Quod maxime corrupti itaque pariatur doloribus iusto.","Distinctio itaque quis animi odio voluptatem rerum et.","Quia sed explicabo et deserunt qui excepturi qui quod.","Id corporis quidem consequatur similique.","Cupiditate rerum placeat sequi cum officia aut est.","Placeat doloribus tenetur sequi sequi iusto non.","Nihil est repudiandae aliquam ut dolorem.","Qui et rerum autem."]</t>
  </si>
  <si>
    <t>["Omnis adipisci in quia enim minima necessitatibus accusamus est. Corrupti et error minima tempore assumenda. Molestiae molestiae non vel quo vel ex.","Adipisci est ut voluptatem iusto quia nobis. Omnis laborum aut nesciunt quaerat expedita. Aperiam reprehenderit minima expedita quos iure excepturi consequatur dolorum."]</t>
  </si>
  <si>
    <t>maiores-veritatis-12-16-2-blue</t>
  </si>
  <si>
    <t>inventore illo optio</t>
  </si>
  <si>
    <t>https://via.placeholder.com/300x650.png/002200?text=Smartphone+qui</t>
  </si>
  <si>
    <t>["Corrupti laboriosam fugit quas perspiciatis est adipisci enim.","Sit autem beatae et porro.","Eum incidunt nihil iure quia soluta.","Praesentium neque corrupti incidunt cum consectetur rerum officia alias.","Odit magni in officiis fugit ut.","Et nihil consectetur aut odit.","Velit repudiandae ex corporis ullam omnis.","Quisquam voluptatem placeat quia qui.","Explicabo et autem molestias.","Repudiandae minus eius aut quia voluptatibus tempora."]</t>
  </si>
  <si>
    <t>["Suscipit aut commodi optio voluptate aut. Harum voluptas dignissimos cupiditate vel consectetur. Et sapiente molestias rerum et soluta rerum est.","Cupiditate assumenda itaque earum blanditiis molestiae voluptates qui. Natus voluptates et deleniti rem maxime et. Cumque distinctio possimus quam fugit sed."]</t>
  </si>
  <si>
    <t>voluptate-pariatur-4-512-6-black</t>
  </si>
  <si>
    <t>ab dolorem dolor</t>
  </si>
  <si>
    <t>["Dolores saepe ex eum iste.","Quod dolor voluptatem fugit in architecto vel rerum.","Quos deserunt est necessitatibus est qui aliquam.","Tempora nam ad iure consectetur eaque qui sit.","Deleniti ex illum totam.","Soluta quaerat libero et ut numquam.","Rem et nam qui.","In molestiae autem cupiditate architecto alias eum ex et.","Dolores sit ut placeat fugiat perspiciatis facilis odit.","Nam eligendi fugiat itaque nemo necessitatibus."]</t>
  </si>
  <si>
    <t>["Nulla qui quasi in eius officia. Dolores consequatur id aut aut distinctio maxime eaque suscipit. Quae molestias quo sit consequatur et. Fugit molestiae ut iste illo non explicabo.","At illum hic consequatur maxime asperiores. Praesentium recusandae tempore in vitae nostrum sunt rem. Voluptatum repellendus possimus alias vero provident dolorem id."]</t>
  </si>
  <si>
    <t>ut-iusto-6-32-3-green</t>
  </si>
  <si>
    <t>quis aliquid odit</t>
  </si>
  <si>
    <t>https://via.placeholder.com/300x650.png/0099dd?text=Smartphone+voluptas</t>
  </si>
  <si>
    <t>["Animi aliquam consequuntur voluptatem excepturi.","Autem autem voluptas amet a eos dolorum beatae.","Quam amet non sapiente minus voluptates provident.","Itaque odio explicabo tempora.","Odio vel voluptatem est molestiae nostrum ea.","Aut modi ad dolores ut qui enim.","Aut vitae sunt fuga eligendi repellat quisquam possimus.","Est explicabo sint optio velit eius nisi commodi saepe.","Dicta rerum ut est neque voluptas.","Soluta quas ut est et beatae qui."]</t>
  </si>
  <si>
    <t>["Reiciendis id nulla iusto sed. Amet assumenda quis et dolor quaerat dolorem repellat dolores. Sunt non repellendus eligendi facere. Temporibus asperiores voluptas exercitationem dolorum.","Id modi et eveniet magni sunt. Possimus ut vel modi qui odit. Cum perspiciatis aut quaerat beatae. Saepe sint culpa in fugit eaque nemo. Magnam laudantium temporibus saepe nemo doloribus quod."]</t>
  </si>
  <si>
    <t>est-porro-8-128-4-blue</t>
  </si>
  <si>
    <t>molestiae ut dolorem</t>
  </si>
  <si>
    <t>https://via.placeholder.com/300x650.png/00dddd?text=Smartphone+eaque</t>
  </si>
  <si>
    <t>["Officiis iste totam aut doloremque a magnam atque.","Praesentium esse nihil ut est consequatur accusantium quam.","Modi quo eum tempore ut ab iusto ducimus.","Aut expedita ea cupiditate laboriosam voluptatem quam.","Totam dolore voluptas et occaecati veniam laboriosam ut.","Voluptatibus rerum similique consequatur et.","Laboriosam aliquid consequatur ut recusandae et totam officiis.","Vero tenetur odit odit expedita sed culpa.","Sed omnis aut aut sint sed et.","Aut dignissimos quisquam corrupti."]</t>
  </si>
  <si>
    <t>["Molestias placeat error aut magnam. Occaecati et sequi unde reiciendis nobis. Labore est consectetur ut sunt. Et inventore nisi repellendus et dolores hic autem.","Porro provident velit est enim. Ratione nam est voluptatibus a. Est pariatur et quis molestiae."]</t>
  </si>
  <si>
    <t>corrupti-odit-12-512-2-red</t>
  </si>
  <si>
    <t>harum iusto architecto</t>
  </si>
  <si>
    <t>https://via.placeholder.com/300x650.png/0055cc?text=Smartphone+aut</t>
  </si>
  <si>
    <t>["Minus et amet et quos autem quo.","Maxime quia consequatur quia.","Occaecati cumque rem provident.","Excepturi pariatur facere beatae ea iusto at qui magnam.","Doloremque ea ipsam iure nulla nobis expedita aut.","Fugiat quia vero et enim odit.","Quidem id numquam mollitia quibusdam ipsam.","A qui nisi esse.","Est qui ipsum corporis numquam ut.","Assumenda repellat architecto inventore voluptates."]</t>
  </si>
  <si>
    <t>["Rerum dolore eum enim provident. Necessitatibus a porro molestiae aspernatur consequatur sit provident. Sit numquam recusandae hic at temporibus. Earum sed amet iste saepe. Optio id quam odit numquam.","Dolor nisi est quasi. Deleniti incidunt nihil reiciendis qui. Sint doloremque ipsa quo corrupti architecto voluptatum. Sunt eveniet libero aperiam culpa illum est."]</t>
  </si>
  <si>
    <t>illum-perspiciatis-6-8-4-green</t>
  </si>
  <si>
    <t>rerum veniam amet</t>
  </si>
  <si>
    <t>https://via.placeholder.com/300x650.png/00aa22?text=Smartphone+incidunt</t>
  </si>
  <si>
    <t>["Id quasi velit deserunt quod.","Adipisci blanditiis facilis et nihil amet eligendi suscipit.","Minus et error in et aspernatur.","Tempore quis consequatur voluptatem nam nemo quia rerum.","Qui voluptatibus autem quis consectetur quidem ipsum eligendi.","Aut porro nulla sint tenetur sint quo blanditiis.","Illum debitis dolor et et maxime doloremque.","Suscipit enim veniam quisquam et id corrupti delectus.","Qui pariatur impedit qui consequatur dolorum unde est.","Voluptatem ut consequatur consequatur nam velit et commodi."]</t>
  </si>
  <si>
    <t>["Doloribus et est vel. Dignissimos velit qui qui pariatur. Dolore harum praesentium aut incidunt qui reiciendis consequuntur.","Voluptas perferendis deserunt qui. Sunt voluptatibus nesciunt eaque distinctio. Adipisci omnis doloremque natus ut."]</t>
  </si>
  <si>
    <t>voluptate-ratione-4-128-4-black</t>
  </si>
  <si>
    <t>sed ea consequuntur</t>
  </si>
  <si>
    <t>https://via.placeholder.com/300x650.png/00dd99?text=Smartphone+sit</t>
  </si>
  <si>
    <t>["Ipsa quia est molestiae placeat.","Unde debitis sequi doloremque quia numquam labore dolorum molestiae.","Debitis omnis beatae est rerum a sint.","Quasi ut vel praesentium.","Cupiditate enim molestias quis molestiae.","Magni a ipsam sed ut dolorum.","Dignissimos nam quo pariatur molestiae sed.","A sint id consequatur nesciunt expedita.","Eos velit consectetur consectetur in eos ipsam doloremque velit.","Est tempora iusto culpa."]</t>
  </si>
  <si>
    <t>["Commodi ducimus molestiae provident laudantium beatae commodi. Delectus recusandae esse dolores aut.","Repellendus a nostrum consequatur quis quis ipsum et perspiciatis. Architecto excepturi dolores in ad hic voluptatem et. Est nobis modi ut ad quos ad praesentium. Eligendi reprehenderit quae praesentium necessitatibus deserunt et."]</t>
  </si>
  <si>
    <t>ut-ut-4-8-3-blue</t>
  </si>
  <si>
    <t>voluptatem nihil similique</t>
  </si>
  <si>
    <t>https://via.placeholder.com/300x650.png/00ee66?text=Smartphone+voluptatem</t>
  </si>
  <si>
    <t>["Quam voluptates temporibus voluptates quas nisi a.","Id modi eaque nam sit quia cumque.","Occaecati eum minus necessitatibus error.","Perspiciatis animi maiores illum explicabo.","Quas ducimus sint delectus sunt aut ut.","Quam dolor blanditiis sint provident vel eius.","Veniam qui soluta explicabo est aut.","Sit rerum qui voluptatem tenetur et quis porro.","Beatae hic facere provident necessitatibus ea quis tempora.","Voluptas quibusdam laborum harum."]</t>
  </si>
  <si>
    <t>["Ex fugit ex dicta error. Non maxime non pariatur dolores vitae expedita sint. Laudantium est tempora quo beatae voluptate. Fuga maiores deleniti repellat pariatur consequatur.","Aliquid nulla iure voluptas ex exercitationem quia explicabo. Eveniet est rerum repellat reiciendis soluta harum. Eveniet ut qui cum aliquam sint animi corrupti maiores. Natus omnis temporibus qui et. Expedita recusandae aut molestias inventore rerum qui."]</t>
  </si>
  <si>
    <t>aspernatur-eum-4-8-3-red</t>
  </si>
  <si>
    <t>voluptas minus eum</t>
  </si>
  <si>
    <t>https://via.placeholder.com/300x650.png/00cccc?text=Smartphone+itaque</t>
  </si>
  <si>
    <t>["Et eos similique quibusdam aut quae nulla.","Repellat maxime velit veniam deserunt molestiae minus minima ad.","Aut ut iste ut quidem nulla voluptatum voluptas omnis.","Rerum eum quasi perspiciatis delectus.","Et rerum vel hic laudantium maxime id.","Qui aut adipisci voluptas at est deserunt.","Ex officia aliquam facilis nihil exercitationem consequatur dolore dolorum.","Veniam magni ut occaecati ut.","Molestias nam sed vitae et.","Voluptatem esse iste ipsa libero et provident suscipit."]</t>
  </si>
  <si>
    <t>["Pariatur hic ullam voluptatum optio. Blanditiis suscipit architecto reprehenderit et eveniet adipisci. Quisquam et placeat dolor nihil exercitationem aut voluptas. Qui quos et quis consequatur.","Non voluptatem repellendus non. Quaerat est rem in pariatur enim. Ea aliquid odit modi commodi officiis. Animi illum qui ut ea quis."]</t>
  </si>
  <si>
    <t>et-voluptate-8-16-6-black</t>
  </si>
  <si>
    <t>omnis et asperiores</t>
  </si>
  <si>
    <t>https://via.placeholder.com/300x650.png/0011cc?text=Smartphone+tempora</t>
  </si>
  <si>
    <t>["Laudantium quod dolorem accusantium dolores nihil aut.","Aspernatur dignissimos error id quae quisquam.","Dolorem iusto autem repellendus cumque quo cumque soluta.","Dicta facilis quasi explicabo quia.","Omnis laborum cum nostrum qui.","Voluptatem provident unde iusto illo animi vitae id.","Sunt aspernatur esse eveniet explicabo quia.","Omnis quia ut rerum doloremque maiores.","Et nesciunt et voluptate ea dolor dolor velit laudantium.","Et quasi doloribus reprehenderit rerum."]</t>
  </si>
  <si>
    <t>["Porro quis sunt cumque iste. Numquam suscipit voluptas in. Qui perspiciatis est perferendis consequatur vitae et ratione. Provident autem maiores nesciunt.","Cumque veniam quisquam occaecati dolores ut placeat. Ducimus minus assumenda excepturi in eveniet. Maiores rerum molestiae voluptatem."]</t>
  </si>
  <si>
    <t>est-dolorum-6-32-4-blue</t>
  </si>
  <si>
    <t>natus explicabo nostrum</t>
  </si>
  <si>
    <t>https://via.placeholder.com/300x650.png/003377?text=Smartphone+voluptatem</t>
  </si>
  <si>
    <t>["Ea et neque voluptatum in temporibus illo et.","Aliquam est esse non corporis praesentium.","Saepe repellat fugiat ut modi suscipit sint.","Et inventore rerum ducimus ut.","Non vel omnis facere aut sed est magni.","Ut laudantium quos quia nihil.","Similique ullam eum alias autem.","Laboriosam voluptatem consequatur similique ipsum qui.","Provident quidem alias ab enim.","Sunt autem cumque earum error quibusdam in consequatur."]</t>
  </si>
  <si>
    <t>["Amet vel vel quod molestias asperiores quisquam et occaecati. Praesentium facere architecto qui et odio dignissimos doloremque. Commodi asperiores quidem et aut vel.","Officia libero vitae atque dignissimos. Aut molestiae repellat aspernatur libero consequatur necessitatibus eaque. Beatae voluptas dicta voluptatem impedit."]</t>
  </si>
  <si>
    <t>maiores-deleniti-2-128-4-blue</t>
  </si>
  <si>
    <t>occaecati illo vitae</t>
  </si>
  <si>
    <t>https://via.placeholder.com/300x650.png/00ff00?text=Smartphone+voluptatibus</t>
  </si>
  <si>
    <t>["Aut eos vero itaque repellendus dolor.","Fugiat amet ut optio sit quam.","Quod dolorem aut dignissimos.","Et omnis in ut beatae facilis aliquam voluptas.","Corporis enim quos quam vitae et doloribus.","Libero explicabo minus minima ipsam dolorem dolor ut.","Quisquam ipsam nisi officiis inventore voluptatem temporibus id.","Aliquam reprehenderit repellat voluptatem voluptate.","Esse repellendus totam non amet.","Esse veritatis distinctio nemo consequatur vitae."]</t>
  </si>
  <si>
    <t>["Quia suscipit eveniet quaerat ratione dicta aut ipsa. Ut quas rerum aut voluptatem. Excepturi autem reiciendis adipisci possimus autem. Officia suscipit quo voluptatum eum.","Et enim et fugit voluptas. Sequi ratione id repudiandae quia et. Sit officiis eius ipsam neque."]</t>
  </si>
  <si>
    <t>corrupti-sit-6-64-6-black</t>
  </si>
  <si>
    <t>quo odio iste</t>
  </si>
  <si>
    <t>https://via.placeholder.com/300x650.png/005511?text=Smartphone+quis</t>
  </si>
  <si>
    <t>["Soluta sunt numquam voluptatem ea quia.","Et omnis aut asperiores nobis.","Ut quidem voluptatem molestiae numquam nisi excepturi exercitationem.","Laborum et enim tenetur aliquam delectus nam.","Odio repudiandae ex neque provident consequatur magnam dolor.","Sit recusandae quos maiores voluptatibus quae.","Perferendis et in in.","Illum molestias asperiores eos doloribus et at unde.","Ut eius voluptatem placeat accusamus sint et.","Ullam vel aliquid eaque quia cumque."]</t>
  </si>
  <si>
    <t>["Repellendus est enim cupiditate voluptatem omnis tempora fuga. Voluptates quasi est modi. Expedita magnam culpa asperiores veritatis magni enim voluptates. Fuga est quos vel et similique qui.","Exercitationem labore veniam ipsa qui corrupti. Qui est distinctio iusto aut corrupti. Fugiat temporibus nobis non enim."]</t>
  </si>
  <si>
    <t>aspernatur-temporibus-8-16-6-black</t>
  </si>
  <si>
    <t>dolor quia tenetur</t>
  </si>
  <si>
    <t>https://via.placeholder.com/300x650.png/004499?text=Smartphone+exercitationem</t>
  </si>
  <si>
    <t>["Ut qui ad aliquid ut qui qui modi assumenda.","Praesentium omnis placeat delectus magnam quibusdam ipsum praesentium.","Et cupiditate placeat enim velit adipisci tempore.","Repellat vitae asperiores asperiores hic assumenda sit.","Odit ipsa iusto omnis odio.","Nam ducimus eaque vero ex fugit.","Pariatur et sequi tempore excepturi eaque id quibusdam.","Consequatur tempore architecto minima est et.","Dolores magnam rerum voluptates repellendus aperiam dolores in.","Eligendi impedit iure dolores tenetur."]</t>
  </si>
  <si>
    <t>["Tenetur numquam dolor cupiditate laboriosam ad illo quia. Quaerat earum aut qui aspernatur voluptate omnis. Corporis reiciendis in doloribus fuga quo occaecati provident.","Eveniet blanditiis molestias repellat itaque. Et voluptatem sint quam id nam occaecati modi. Enim hic vero suscipit molestiae. Harum nam atque tempora voluptas odit temporibus."]</t>
  </si>
  <si>
    <t>maiores-sed-2-128-6-white</t>
  </si>
  <si>
    <t>eaque nesciunt non</t>
  </si>
  <si>
    <t>https://via.placeholder.com/300x650.png/000033?text=Smartphone+qui</t>
  </si>
  <si>
    <t>["Est voluptatem natus quis.","Laborum quia est porro rerum in sapiente nisi quaerat.","Repellendus consequuntur aspernatur quisquam rerum.","Error molestias qui quaerat sunt.","Est vitae in fugit nam nihil quasi est.","Earum in nihil et et quam est.","Velit voluptatem et est.","Molestiae voluptatem minus ea soluta.","Labore eius earum temporibus et expedita sint ut iste.","Reprehenderit quod cum molestiae alias numquam veritatis labore."]</t>
  </si>
  <si>
    <t>["Nostrum dolor veritatis et nesciunt. Sit asperiores animi aut laboriosam beatae. Et magni possimus accusantium totam eveniet. Minima unde doloremque occaecati.","Id assumenda aut nobis magnam ut illo. Impedit autem dolores dicta iure. Nihil vitae laboriosam perspiciatis beatae repudiandae voluptate. Enim quam cupiditate voluptatum aut quibusdam aspernatur omnis est."]</t>
  </si>
  <si>
    <t>est-porro-8-64-5-blue</t>
  </si>
  <si>
    <t>amet animi aliquid</t>
  </si>
  <si>
    <t>https://via.placeholder.com/300x650.png/00aa55?text=Smartphone+excepturi</t>
  </si>
  <si>
    <t>["Non et quia natus.","Quod accusantium aut et ad quia.","Excepturi nemo accusamus autem eos est facere soluta.","Consequatur inventore est voluptates neque.","Incidunt deserunt dolorum explicabo in nihil autem id.","Aliquid nostrum eum temporibus praesentium.","Nostrum distinctio esse est.","Unde ad corrupti corrupti illum nemo et quia est.","Ut itaque est ea hic voluptatibus quasi.","A debitis sunt ducimus ut possimus cumque nam."]</t>
  </si>
  <si>
    <t>["Libero qui maiores et quam nemo laboriosam dolorem expedita. Et maxime qui exercitationem fugit amet autem. Qui atque voluptatem est voluptatem nam. Doloribus occaecati totam nihil eveniet eum possimus perferendis id.","Ut asperiores eligendi dolorem porro. Dolor rem optio et. Et eveniet sit iure totam qui sapiente dignissimos nesciunt. Fuga sapiente quis eaque nobis sequi velit eos."]</t>
  </si>
  <si>
    <t>voluptate-velit-12-128-4-blue</t>
  </si>
  <si>
    <t>dolor consequatur omnis</t>
  </si>
  <si>
    <t>https://via.placeholder.com/300x650.png/0099ff?text=Smartphone+et</t>
  </si>
  <si>
    <t>["Voluptatem vel sit et reprehenderit voluptatibus eligendi doloremque.","Commodi praesentium sint placeat nihil qui omnis.","Illum rerum ea illo neque impedit error.","Non provident et alias dolor voluptas.","Quas nemo voluptas rem aut soluta.","Eum enim non sed excepturi voluptate eaque provident.","Quo et voluptas molestias sint fugiat.","Voluptatem reprehenderit quos in.","Aut iure qui aut esse nisi explicabo corrupti ab.","Est veritatis aliquid magnam veniam maiores."]</t>
  </si>
  <si>
    <t>["Sit modi consequatur itaque asperiores at consectetur. Animi tenetur voluptate minus et recusandae et. Voluptas quia voluptatem fuga deleniti.","Qui consequuntur consequatur numquam ipsa repellendus. Non sunt labore autem ab iure eos. Autem facere quibusdam eos id."]</t>
  </si>
  <si>
    <t>est-maiores-8-16-3-black</t>
  </si>
  <si>
    <t>at dolor eligendi</t>
  </si>
  <si>
    <t>https://via.placeholder.com/300x650.png/007722?text=Smartphone+et</t>
  </si>
  <si>
    <t>["Dolore rerum voluptates deleniti magni dolores recusandae.","Qui accusantium quo quisquam temporibus.","Ipsam magnam consectetur sit minus totam quae.","Ut totam ut nostrum sed.","Alias quod iure minus asperiores animi culpa quaerat aspernatur.","Expedita non in unde fuga.","Dicta consequatur veritatis optio assumenda.","Expedita recusandae optio consectetur consequatur a neque.","Voluptate ducimus voluptatem maiores aperiam.","Quaerat dolor sed aut temporibus occaecati dicta."]</t>
  </si>
  <si>
    <t>["Perferendis et omnis et optio doloremque. Non et molestiae non odio vel ullam. At voluptas repellendus ea deleniti. Veniam eaque perferendis optio est ut velit ut.","Qui molestiae explicabo minima praesentium. Labore nemo saepe dolor nihil aut tempora nostrum et. Et ut magnam sunt totam ea harum dolorem. Modi omnis aut quae et. Voluptatem aut nemo ullam fugiat dignissimos."]</t>
  </si>
  <si>
    <t>corrupti-ex-6-32-4-black</t>
  </si>
  <si>
    <t>sed ullam soluta</t>
  </si>
  <si>
    <t>https://via.placeholder.com/300x650.png/00aabb?text=Smartphone+neque</t>
  </si>
  <si>
    <t>["Est sapiente repudiandae veniam qui nisi enim quisquam.","Rerum reiciendis deserunt et dicta aut aperiam.","Aut facilis eaque accusamus quis eius aut corporis.","Consectetur quibusdam qui est architecto ab vel.","Id rem consequatur est doloremque.","Debitis suscipit hic consequatur omnis deserunt.","Earum dolor ut illum maiores consectetur.","Voluptas a fugiat commodi qui architecto aut tenetur voluptas.","Fuga voluptas quibusdam reprehenderit omnis voluptatem quam.","Debitis cum animi fugiat a iste eum inventore facilis."]</t>
  </si>
  <si>
    <t>["Ipsam distinctio reprehenderit quis aut similique. Debitis non dolor vitae totam facilis fugit sit quae. Sed magnam totam qui asperiores qui. Aspernatur aperiam nihil est molestiae omnis error cupiditate.","Nisi facere eveniet quasi eum explicabo. Sequi aliquam qui accusantium dignissimos eligendi. Et quaerat est voluptatem aliquam temporibus."]</t>
  </si>
  <si>
    <t>voluptate-itaque-4-16-4-red</t>
  </si>
  <si>
    <t>et consequatur ut</t>
  </si>
  <si>
    <t>https://via.placeholder.com/300x650.png/0055aa?text=Smartphone+aut</t>
  </si>
  <si>
    <t>["A odio rerum ex quaerat.","Fugit quia reprehenderit quia eius sed est eaque.","Fugiat veniam id occaecati ut iste eum omnis et.","Non maiores impedit dignissimos dolores autem a.","Sit eum molestiae quia laborum aut dignissimos.","Est consectetur enim occaecati ducimus.","Pariatur eos rerum nesciunt in.","Explicabo quaerat aut distinctio modi veritatis consequuntur aut.","Cumque et quasi aliquid repudiandae vel.","Minima consequatur iure soluta aspernatur minus aut itaque."]</t>
  </si>
  <si>
    <t>["Non quae recusandae aliquid ut totam accusantium. Ducimus qui eius fuga fugit odit odio omnis.","Eum vel aut rerum fuga vel vel omnis nobis. Sint sit quia qui. Distinctio molestias repellendus consequatur laudantium."]</t>
  </si>
  <si>
    <t>sed-earum-6-8-2-blue</t>
  </si>
  <si>
    <t>maxime aliquid nobis</t>
  </si>
  <si>
    <t>https://via.placeholder.com/300x650.png/00cc11?text=Smartphone+quo</t>
  </si>
  <si>
    <t>["Ipsam vel ipsam necessitatibus eius.","Aut delectus quos autem aut labore.","Et saepe ratione tempora eius qui labore facere.","Rerum temporibus reiciendis quia repellendus sed sed dolor.","Debitis tenetur est rerum inventore aspernatur.","Deserunt ea nihil velit nam.","Cumque numquam explicabo dolore adipisci odio corrupti ipsum.","Adipisci autem fuga aut occaecati voluptatibus in soluta.","Repellendus iste suscipit commodi quae aut dolores necessitatibus iusto.","Similique reprehenderit ex eum modi."]</t>
  </si>
  <si>
    <t>["Asperiores et atque in dolorem fugit. Voluptas saepe quam veritatis architecto. Voluptatum sint ut impedit animi soluta dolorum. Est nisi qui eos repellat. Laboriosam veniam omnis qui iusto.","Commodi quisquam debitis molestias velit et nobis. Quisquam sit illum velit consequatur vero. Et nulla quasi voluptatem quia dolor cum dolorem."]</t>
  </si>
  <si>
    <t>est-qui-8-512-5-white</t>
  </si>
  <si>
    <t>voluptatum magnam natus</t>
  </si>
  <si>
    <t>https://via.placeholder.com/300x650.png/0044dd?text=Smartphone+libero</t>
  </si>
  <si>
    <t>["Officiis autem itaque est ut soluta qui dolor.","Aut doloribus nesciunt doloribus velit enim odit.","Officia consequatur nesciunt ex magnam voluptatum adipisci fuga.","Ipsam perferendis in neque quo corrupti rerum sit.","Officia quas soluta officia fugiat et corporis.","Amet reiciendis reprehenderit qui qui.","Omnis laboriosam aliquam ducimus quaerat.","Aut modi veritatis minima et eos.","Qui aperiam dignissimos repellendus autem earum qui.","Minus ea autem voluptas tempore beatae."]</t>
  </si>
  <si>
    <t>["Similique temporibus ea excepturi soluta qui magnam. Numquam totam quis consectetur et quos optio deserunt. Repudiandae quae ut cupiditate eum nulla. Non similique non in reprehenderit.","In eaque illo in quod omnis hic. Pariatur et illo in fuga. Voluptatem praesentium assumenda vero. Quae aut officia facere qui velit."]</t>
  </si>
  <si>
    <t>aspernatur-aut-8-512-5-white</t>
  </si>
  <si>
    <t>qui sed odio</t>
  </si>
  <si>
    <t>https://via.placeholder.com/300x650.png/0000bb?text=Smartphone+omnis</t>
  </si>
  <si>
    <t>["Beatae laborum quidem temporibus quis sed nobis repellat.","Qui aut reiciendis ad facere praesentium.","Vel est accusantium itaque accusamus dignissimos nisi laboriosam.","Nam numquam et totam et qui tempore repellendus.","Velit deleniti laborum quidem ea.","Doloribus ipsa nostrum vitae.","Aspernatur officiis tenetur ut repudiandae eum qui reiciendis.","Provident minus labore voluptas culpa suscipit.","Et voluptas voluptatem ut explicabo sit consequatur rerum.","Sunt architecto ipsam ut ratione quia voluptate vitae."]</t>
  </si>
  <si>
    <t>["Repellat impedit asperiores ut asperiores. Eveniet debitis sed molestiae. Ut qui beatae ab consectetur qui.","Minima mollitia aperiam aperiam aliquid sed quisquam recusandae voluptatum. Consequatur earum dolorum vitae possimus sit. Nostrum distinctio debitis laboriosam fuga praesentium et. Minima ut et culpa rem quis quia architecto. Deleniti quia et a molestias consequatur."]</t>
  </si>
  <si>
    <t>est-et-2-8-2-green</t>
  </si>
  <si>
    <t>vel veniam sit</t>
  </si>
  <si>
    <t>https://via.placeholder.com/300x650.png/0066aa?text=Smartphone+et</t>
  </si>
  <si>
    <t>["Occaecati ut suscipit labore accusantium aut facere optio.","Doloribus sunt voluptatem incidunt veritatis velit.","Pariatur possimus et perferendis dolorem consequatur.","Qui aut et et ut tempora in qui.","Sapiente eum rerum cupiditate delectus voluptatum et et.","Ipsum numquam qui dolore voluptatem iure.","Et explicabo ut sint.","Id ipsum et ipsum quisquam officia debitis velit voluptas.","Sit et autem quia iste omnis.","Eius alias rem ut eaque praesentium consequatur ex."]</t>
  </si>
  <si>
    <t>["Veniam voluptas laudantium et tempore sunt perspiciatis. Esse temporibus voluptate repudiandae voluptas aut. Voluptatem dolores nihil autem occaecati fugit ullam omnis.","Aliquid ipsum quos est natus aliquid. Qui voluptate alias porro. Qui eaque et reiciendis et. Maxime numquam architecto consectetur voluptatem."]</t>
  </si>
  <si>
    <t>illum-ab-2-512-2-black</t>
  </si>
  <si>
    <t>ut consequuntur ullam</t>
  </si>
  <si>
    <t>https://via.placeholder.com/300x650.png/003388?text=Smartphone+placeat</t>
  </si>
  <si>
    <t>["Itaque ducimus saepe est quod.","Error atque et ducimus eum ipsum.","Odio laborum animi voluptatem.","In ut enim expedita pariatur.","Omnis possimus quo dolor sit ut.","Labore deleniti a molestiae id repudiandae quis recusandae ab.","Et est eaque qui aliquid quod recusandae nemo rerum.","Est reiciendis quibusdam autem.","Dolore rerum error ipsum.","Nostrum aut praesentium in tempore."]</t>
  </si>
  <si>
    <t>["Est saepe quisquam et aut consequatur aut. Est delectus ipsam ut fuga voluptatem dolorum ratione. Sint magni quod et aut.","Aliquam qui dolorem accusantium. Nulla voluptas cupiditate nihil totam iure impedit. Molestiae enim quis laudantium eius sint quasi."]</t>
  </si>
  <si>
    <t>illum-ab-2-32-3-black</t>
  </si>
  <si>
    <t>eum sunt non</t>
  </si>
  <si>
    <t>https://via.placeholder.com/300x650.png/00eedd?text=Smartphone+a</t>
  </si>
  <si>
    <t>["Excepturi iste ea quisquam ab aspernatur.","Sequi illum dolores quisquam molestiae qui quis in.","Quaerat in error repellendus aut eligendi voluptas voluptas.","Excepturi aspernatur fugit debitis libero cum.","Accusamus voluptatum dicta hic.","Minima accusantium aut repellendus commodi.","Non voluptatibus blanditiis illum fugit sunt vero.","Nisi velit aut blanditiis assumenda.","Voluptatem non sapiente laborum in.","Sunt est repudiandae quos velit illum."]</t>
  </si>
  <si>
    <t>["Suscipit maxime odio vel officiis expedita eligendi deserunt. Necessitatibus omnis id molestiae esse necessitatibus dolores. Recusandae est beatae quia non. Vero quisquam maxime atque dolorem aut.","Dignissimos sint iste consequatur illum placeat laboriosam reprehenderit. Dolorum dolorum est consequatur quia architecto qui. Nihil soluta aperiam repudiandae sit et nesciunt quod fugit."]</t>
  </si>
  <si>
    <t>et-natus-8-32-4-black</t>
  </si>
  <si>
    <t>est laboriosam aliquam</t>
  </si>
  <si>
    <t>https://via.placeholder.com/300x650.png/00dd44?text=Smartphone+repudiandae</t>
  </si>
  <si>
    <t>["Sunt est enim modi quia dolorem explicabo.","Praesentium aut provident voluptas est quaerat ratione suscipit aut.","Eum qui voluptate ut esse officiis.","Pariatur qui magni rem quia.","Unde laborum incidunt reiciendis omnis.","Sequi voluptas culpa qui amet.","Saepe dolore eum non consectetur vitae officiis.","Aut nulla qui consequatur omnis.","Reiciendis placeat numquam ducimus.","Dolor dignissimos placeat quisquam modi modi minima necessitatibus."]</t>
  </si>
  <si>
    <t>["Culpa vero ut ex. Deserunt voluptatem cupiditate pariatur unde. Voluptate minus voluptas itaque necessitatibus esse saepe laudantium.","Ut ad ab nemo voluptate sapiente veniam magnam. Itaque non molestias dignissimos consequuntur rem adipisci temporibus. Mollitia vitae sit dignissimos quod numquam."]</t>
  </si>
  <si>
    <t>est-porro-12-512-2-blue</t>
  </si>
  <si>
    <t>perspiciatis vel dignissimos</t>
  </si>
  <si>
    <t>["Aut qui molestiae molestiae iure.","Vero officia quae non saepe sit deserunt provident.","Unde occaecati unde commodi ex sequi aut.","Animi repudiandae corporis quia omnis itaque amet.","Et aliquid nostrum placeat aperiam.","Molestiae aut est ea sit laboriosam.","Architecto officia nam id nostrum fuga quia eveniet.","Est fuga perferendis repudiandae eveniet et.","Consequuntur assumenda beatae sapiente optio ratione aut.","Velit eum nihil harum recusandae qui."]</t>
  </si>
  <si>
    <t>["Autem consequatur nesciunt architecto pariatur tempore. Ea minus eaque minima iure quo et. Mollitia omnis minima voluptas deserunt modi aut. Ut odit saepe aliquid earum qui explicabo voluptates.","Perferendis ullam reiciendis adipisci ipsam est. Doloribus nihil iste odit nobis facere totam et odit."]</t>
  </si>
  <si>
    <t>illum-ullam-4-16-3-blue</t>
  </si>
  <si>
    <t>et nihil provident</t>
  </si>
  <si>
    <t>https://via.placeholder.com/300x650.png/007711?text=Smartphone+enim</t>
  </si>
  <si>
    <t>["Aspernatur accusamus qui nesciunt.","Quia sint consequuntur assumenda nobis ut.","Libero autem a voluptatem totam fugiat et quasi neque.","Voluptas ut est itaque natus.","Laborum ea cumque consequatur commodi.","Repellendus nam et ad sunt eligendi aliquam.","Voluptas quis adipisci sed sunt et eligendi.","Reprehenderit vero sed eligendi alias cum eos.","Tempora eos est architecto et hic.","Voluptas dicta beatae a consequuntur eaque magnam nihil."]</t>
  </si>
  <si>
    <t>["Iste eum voluptates unde dolor. Adipisci dolores enim et dolorem ut at. A est sapiente quia totam. Aut voluptatem et et quia eligendi expedita voluptatem.","Voluptatem commodi officia impedit ipsum tenetur facilis dolores ut. Natus ipsam esse nulla saepe assumenda sed eum voluptas. Hic officiis minus sed unde dolor est et. Sit alias odio qui rem."]</t>
  </si>
  <si>
    <t>maiores-quia-4-128-4-white</t>
  </si>
  <si>
    <t>molestias nobis eaque</t>
  </si>
  <si>
    <t>https://via.placeholder.com/300x650.png/0055ee?text=Smartphone+non</t>
  </si>
  <si>
    <t>["Consectetur ipsa non quaerat facilis.","Dignissimos enim repudiandae et totam.","Corrupti maiores et occaecati ea dolore aut sapiente.","Est optio et aliquid voluptatem ipsum natus.","Consequatur et dolor perferendis voluptatibus.","Ea et distinctio sunt.","Iusto amet at iusto laborum rerum et natus.","Eius non excepturi provident consequatur quae saepe.","Architecto hic soluta soluta quia.","Voluptatem laboriosam iure aut harum consequatur."]</t>
  </si>
  <si>
    <t>["Occaecati quas suscipit repudiandae autem sit. Eveniet modi eius dolores quia. Rerum tempora consectetur eos magnam illo labore dolorem.","Omnis minus asperiores nihil sequi consequatur vero atque. Numquam ea qui voluptatem enim explicabo ea sed. Doloremque nisi nulla quia."]</t>
  </si>
  <si>
    <t>corrupti-ex-12-16-5-blue</t>
  </si>
  <si>
    <t>similique dolores et</t>
  </si>
  <si>
    <t>https://via.placeholder.com/300x650.png/00aadd?text=Smartphone+aut</t>
  </si>
  <si>
    <t>["Praesentium ratione nulla totam aut.","Sed quas perspiciatis eligendi sequi cupiditate necessitatibus.","In ad in illum illo sapiente necessitatibus dolorem iste.","Ut voluptate qui fugiat ipsa animi dolor in.","Consectetur porro ex molestias eos rerum.","Animi repellendus odit illum explicabo.","Est tempora iste porro atque officiis.","Ipsa nesciunt laborum magnam maxime.","Illum molestiae minima consectetur aut exercitationem quis.","Perspiciatis est facilis quo et beatae excepturi ducimus."]</t>
  </si>
  <si>
    <t>["Quae quod magni voluptates omnis nesciunt et ut. Minus non est exercitationem quia maxime assumenda eveniet. Similique ea sit officiis. Doloribus sed deserunt voluptates vel ut deleniti voluptas asperiores.","Corrupti numquam veniam est rerum veniam asperiores voluptas aliquid. Placeat corrupti eaque delectus ea. Repellendus iste nobis et dignissimos."]</t>
  </si>
  <si>
    <t>corrupti-ducimus-6-512-2-green</t>
  </si>
  <si>
    <t>quasi praesentium velit</t>
  </si>
  <si>
    <t>["Beatae adipisci saepe atque ut non est.","Quia aut dolor blanditiis ullam.","Doloremque ea ratione est commodi.","Rerum ipsam neque impedit explicabo quia quaerat.","Minus aut esse et aut excepturi.","Ut eum facere et.","Optio sequi sit et accusantium.","Reiciendis quis a ut recusandae vero.","Et vel repudiandae velit qui doloremque saepe.","Rerum nobis rerum quisquam dolores."]</t>
  </si>
  <si>
    <t>["Ut velit itaque sit nihil error exercitationem illo nemo. Sed recusandae deserunt pariatur et exercitationem necessitatibus eius. Saepe natus accusantium in doloremque voluptas inventore distinctio.","Quia sunt nostrum voluptas esse. Distinctio quaerat dolorem quibusdam assumenda tempore enim."]</t>
  </si>
  <si>
    <t>est-vel-6-32-3-white</t>
  </si>
  <si>
    <t>esse est ut</t>
  </si>
  <si>
    <t>["Corporis ipsam assumenda assumenda aperiam nostrum.","Ut occaecati aliquid facere aspernatur possimus similique.","Voluptatem veritatis ad magni cupiditate perspiciatis dignissimos.","Ut facere quaerat omnis non.","Adipisci ea quia non quidem eius nobis magnam.","Similique hic et neque et blanditiis dolorem ipsa.","Animi voluptas et reiciendis vitae maiores qui omnis.","Hic dolore tempore dolor et nesciunt ipsum.","Error earum nobis laudantium voluptatibus hic earum.","Occaecati rerum rerum quod qui."]</t>
  </si>
  <si>
    <t>["Perferendis tempore qui voluptatibus eos est dolores commodi. Officia dicta doloribus voluptates eveniet. Exercitationem dolor ipsam facilis qui voluptas. Corporis voluptates voluptatem ut et.","A occaecati a ut nemo est corporis eveniet. Hic animi aut perferendis. Dolorem eos delectus assumenda dolorum minus modi. Deserunt et repudiandae molestiae eum assumenda perferendis."]</t>
  </si>
  <si>
    <t>voluptate-dicta-8-16-5-green</t>
  </si>
  <si>
    <t>eos aliquid quam</t>
  </si>
  <si>
    <t>https://via.placeholder.com/300x650.png/00eeff?text=Smartphone+similique</t>
  </si>
  <si>
    <t>["Natus ut omnis et cum expedita.","Nulla quia repellat voluptatum voluptas.","Eos aut ut et nihil nemo inventore.","Ut inventore omnis fugiat molestiae nisi dignissimos.","Libero voluptas natus rerum occaecati laboriosam et.","Qui ea est id excepturi blanditiis non consequuntur consequatur.","Est at rerum libero perferendis.","Incidunt iure et quo maxime ut.","Aut odit laboriosam ab possimus tempora eum reiciendis ab.","Consequatur cupiditate sunt eos culpa sit ad omnis."]</t>
  </si>
  <si>
    <t>["Magni ut sequi eveniet totam. Autem perspiciatis sunt facere magnam voluptatem nam ut. Impedit et occaecati odit accusantium aut. Quos odio architecto aut est iusto repellendus maiores.","Velit doloremque dolorem aut sed officia recusandae. Ut eum blanditiis placeat doloribus quia et. Facilis id qui velit vel ab et iusto sit. Qui autem debitis voluptas quia. Deleniti magnam veritatis atque quia at est."]</t>
  </si>
  <si>
    <t>aspernatur-itaque-8-8-3-blue</t>
  </si>
  <si>
    <t>eos voluptatum quo</t>
  </si>
  <si>
    <t>https://via.placeholder.com/300x650.png/000022?text=Smartphone+laboriosam</t>
  </si>
  <si>
    <t>["Et ut id veritatis.","Et praesentium deleniti doloribus rerum ab qui expedita.","Repellat ea ut asperiores delectus.","A placeat alias corporis quasi dolor quae natus.","Magnam excepturi eos sed pariatur rerum.","Accusantium nam atque necessitatibus commodi assumenda qui.","In qui asperiores eos perferendis nostrum.","Non adipisci facilis consequatur nisi voluptas reiciendis rem.","Consequatur facilis earum sunt et.","Suscipit sunt dolorem eum eius."]</t>
  </si>
  <si>
    <t>["Eos consequatur provident a blanditiis consequuntur. Qui at aut dignissimos tenetur laboriosam.","Dicta eos est sapiente quia voluptates. Dolorem non porro consectetur quia accusamus. Aliquid sit veritatis laborum quia non officia voluptas. Eligendi iure quam est et et neque vitae. Autem ipsam voluptas enim est deleniti unde."]</t>
  </si>
  <si>
    <t>illum-perspiciatis-2-16-2-white</t>
  </si>
  <si>
    <t>ad non rem</t>
  </si>
  <si>
    <t>https://via.placeholder.com/300x650.png/0055ff?text=Smartphone+qui</t>
  </si>
  <si>
    <t>["Illum omnis placeat dicta omnis incidunt.","Delectus praesentium architecto praesentium nostrum.","Delectus natus dolor quia praesentium.","Odit quasi impedit accusantium laboriosam hic possimus blanditiis.","Odio dolores minus aut autem.","Magnam et dignissimos est reiciendis consequatur et et provident.","Neque corporis id delectus recusandae ipsum.","Aliquam nemo officiis quis.","Architecto fugit sit pariatur.","Aut voluptatibus rerum fugiat ducimus."]</t>
  </si>
  <si>
    <t>["Praesentium odit eveniet expedita occaecati cupiditate. Odit fugit voluptatem vel et rerum repellat ex. Hic voluptatem qui et exercitationem sequi et aut. Cumque cumque qui in vero. Rerum rerum temporibus ut qui eos repellendus.","Sequi ex qui ullam est aspernatur. Dolorum eum magnam cumque nihil corporis. Soluta et veniam expedita. Nobis in est eius."]</t>
  </si>
  <si>
    <t>corrupti-ut-12-128-4-green</t>
  </si>
  <si>
    <t>minus esse sit</t>
  </si>
  <si>
    <t>https://via.placeholder.com/300x650.png/0088cc?text=Smartphone+pariatur</t>
  </si>
  <si>
    <t>["Tempora aperiam libero molestias illo.","Voluptatem repudiandae autem sed recusandae sint autem.","Est ut necessitatibus temporibus error aut ut excepturi.","Distinctio maiores natus officiis ullam.","Autem sit culpa sit sed.","Sint ut voluptatem repudiandae.","Ea minima facere qui quam saepe nulla nemo.","Officiis repudiandae velit et blanditiis et adipisci aut.","Ea voluptate est officiis omnis.","Et nisi at nisi corporis."]</t>
  </si>
  <si>
    <t>["Placeat et ex quam sint id tenetur et velit. Quia tempora nemo numquam ut quas. Dolores ea explicabo facilis quidem qui.","Ab numquam accusamus ipsum modi dignissimos. Quis quia eveniet error quasi fugiat suscipit. Corporis quasi expedita laudantium sint omnis eum suscipit. Beatae assumenda ullam exercitationem saepe aut culpa."]</t>
  </si>
  <si>
    <t>maiores-in-8-32-4-green</t>
  </si>
  <si>
    <t>omnis fugiat ut</t>
  </si>
  <si>
    <t>https://via.placeholder.com/300x650.png/00bb44?text=Smartphone+qui</t>
  </si>
  <si>
    <t>["Velit sed sint eius.","Excepturi aut nulla perferendis sed.","Nam molestiae eius unde fuga.","Nemo modi rem omnis aliquam vero.","Culpa dolor dolor eos aut veritatis dolorum.","Voluptas rem nesciunt doloribus.","Est occaecati voluptatibus iste blanditiis dolores architecto doloremque ratione.","Et temporibus eos expedita deleniti odio modi.","Dolores voluptas qui accusantium consequuntur voluptatem.","Ea magnam non ullam non optio minus."]</t>
  </si>
  <si>
    <t>["Optio provident voluptas nihil qui debitis maxime aliquid dolore. Reprehenderit voluptatibus tempore dolor deleniti est. Autem et facilis fuga aperiam. Aperiam doloremque omnis est non in nostrum.","Et error illo doloremque nemo eius debitis fugiat. Suscipit rerum ad sed dolor velit aut. Numquam ea debitis aliquam et fugit nesciunt et. Ullam distinctio aut quaerat laudantium cum blanditiis quaerat."]</t>
  </si>
  <si>
    <t>est-dolorum-4-32-5-green</t>
  </si>
  <si>
    <t>odit voluptatem rem</t>
  </si>
  <si>
    <t>https://via.placeholder.com/300x650.png/00dddd?text=Smartphone+quis</t>
  </si>
  <si>
    <t>["Dolore mollitia officiis eligendi ut impedit.","Ipsam alias iusto vel.","Assumenda doloremque distinctio et dolorem.","Adipisci ad unde eos.","Et aliquam qui expedita.","Mollitia architecto sapiente aut ut est quia.","Voluptatem tempore quas fugiat quia.","Blanditiis sed perspiciatis ut et a.","Totam aut corporis a et fugiat laudantium.","Quibusdam sed ex fuga quo quia enim."]</t>
  </si>
  <si>
    <t>["Neque eveniet qui nam quidem fugiat. Consequuntur mollitia et sapiente veniam blanditiis. Dolorum non corporis atque.","Aut dolore asperiores exercitationem cumque qui amet mollitia praesentium. Veritatis delectus quos cumque optio qui. Debitis alias iusto aspernatur qui incidunt. Culpa optio ipsa quis aut maxime incidunt. Temporibus quia impedit sed ut."]</t>
  </si>
  <si>
    <t>aspernatur-aut-12-128-6-green</t>
  </si>
  <si>
    <t>assumenda et atque</t>
  </si>
  <si>
    <t>https://via.placeholder.com/300x650.png/00cc11?text=Smartphone+non</t>
  </si>
  <si>
    <t>["Dolore praesentium sed fuga provident et excepturi.","Corrupti voluptatibus delectus quis quod.","Distinctio sapiente veniam quia temporibus laboriosam et.","Voluptatem excepturi quia sint quo dolorem minus placeat dolores.","Quod ipsum perferendis dolor exercitationem hic.","Aut veniam suscipit blanditiis aperiam molestias sapiente et.","Necessitatibus quia quo sed quidem.","Sed perferendis itaque doloremque incidunt blanditiis eveniet eum voluptatem.","Illum consequatur aperiam in quia.","Ea consectetur ut neque ad deserunt eos nisi."]</t>
  </si>
  <si>
    <t>["Minima exercitationem est sequi nihil odio id omnis. Consequuntur placeat asperiores repudiandae quia ducimus.","Itaque enim est sint omnis. Adipisci et delectus facilis sed. Quas temporibus voluptatem deleniti dolorem a illo tempora. Quam laborum dolor doloribus nulla."]</t>
  </si>
  <si>
    <t>corrupti-sit-4-128-2-red</t>
  </si>
  <si>
    <t>necessitatibus quo consequatur</t>
  </si>
  <si>
    <t>https://via.placeholder.com/300x650.png/00aa77?text=Smartphone+eos</t>
  </si>
  <si>
    <t>["Molestiae ut sint ut sunt.","Sint expedita voluptatem ipsum omnis in.","Sed distinctio magnam velit ut et quae.","Temporibus earum voluptatem provident suscipit voluptatem totam.","Natus velit soluta est commodi exercitationem veritatis.","Aut qui corporis sapiente enim voluptate.","Laudantium et repellat quia voluptas aliquam eaque.","Aut numquam sit qui tenetur.","Dolorem ea et dolore aspernatur iste minus aperiam.","Praesentium sint quis corrupti cum."]</t>
  </si>
  <si>
    <t>["Aut est eveniet est similique. Nesciunt placeat expedita quia eius voluptas ad aut saepe. Quia rem quia illo nobis provident minus incidunt. Repudiandae id dignissimos sint natus animi error aut.","Voluptatem cum debitis atque eum. Sapiente sed modi quo quos sed est. Repudiandae corporis a consequatur velit distinctio ipsum est perspiciatis. Autem reprehenderit voluptatem reiciendis fuga."]</t>
  </si>
  <si>
    <t>illum-facere-6-64-2-red</t>
  </si>
  <si>
    <t>natus molestias voluptatem</t>
  </si>
  <si>
    <t>https://via.placeholder.com/300x650.png/003399?text=Smartphone+in</t>
  </si>
  <si>
    <t>["Vel nobis corrupti beatae ut dolore porro itaque.","Consequuntur accusantium dolor ut possimus at rerum ex.","Quia omnis dolor voluptatem ratione suscipit consequatur.","Laudantium aut possimus excepturi odit velit suscipit amet laborum.","Repellat omnis reiciendis voluptatibus in sunt vel.","In ullam molestiae dolor saepe repellat architecto labore aspernatur.","Debitis nulla voluptatibus possimus voluptas.","Omnis facere sed eum labore dolores enim esse.","Consectetur mollitia est assumenda quis mollitia eos tenetur.","Velit eum et quaerat hic dignissimos."]</t>
  </si>
  <si>
    <t>["Minima doloremque nihil consectetur repellat in. Eaque ab ex fugiat quod in adipisci voluptas consequatur. Placeat sunt nemo assumenda animi. Sed qui sint ea aperiam blanditiis ab aperiam. Eaque corporis qui vitae voluptatem vel sed.","In illum dolorum illum mollitia illum ea. Aspernatur earum quas reiciendis accusamus omnis molestiae ipsa. Non minus at harum eligendi. Qui hic quia eum quis."]</t>
  </si>
  <si>
    <t>maiores-veritatis-4-64-2-green</t>
  </si>
  <si>
    <t>magnam ducimus unde</t>
  </si>
  <si>
    <t>https://via.placeholder.com/300x650.png/003311?text=Smartphone+ipsa</t>
  </si>
  <si>
    <t>["Molestiae et aliquam quis.","Quos sit qui debitis cumque.","Quia expedita nulla qui quis maiores quae ipsam.","Est aliquid earum ut quod est.","Sit architecto aut animi ab est est voluptatibus quos.","Soluta occaecati ducimus soluta ea sed sit repudiandae rerum.","Voluptates molestias quos aut molestias.","Vel est aliquid sunt.","Commodi aut porro ducimus.","Inventore earum earum non ut."]</t>
  </si>
  <si>
    <t>["Aut ut natus harum. Aut eos itaque sint omnis asperiores voluptas. Odit ut doloremque quis rerum quia ut. Commodi aut repellat natus corrupti dolorem.","Velit expedita voluptas culpa tenetur dolorem ducimus. Voluptas et id non deleniti reiciendis sint molestiae."]</t>
  </si>
  <si>
    <t>maiores-voluptatum-4-8-6-green</t>
  </si>
  <si>
    <t>commodi beatae tempora</t>
  </si>
  <si>
    <t>https://via.placeholder.com/300x650.png/008855?text=Smartphone+quae</t>
  </si>
  <si>
    <t>["Ut architecto totam autem at magnam sint perspiciatis.","Nam dolorum nobis sed illo.","Non architecto non voluptatem est tempore velit perferendis.","At nisi corrupti dolorem harum eligendi deleniti doloremque.","Veritatis corporis dolorem blanditiis excepturi assumenda impedit.","Nihil qui nisi dolorem quidem repellendus quidem expedita.","Qui quis totam sapiente odit.","Eligendi aspernatur illo ad est ut non aut.","Blanditiis libero labore qui reprehenderit et aliquid ad.","Ipsa ratione voluptas cupiditate voluptatem."]</t>
  </si>
  <si>
    <t>["Deserunt id iusto alias deserunt. Quod ratione sequi laboriosam voluptatem. Voluptatum eos aliquid molestiae dolor.","Ullam et explicabo sunt. Sed quam sed enim quis. Praesentium architecto commodi dolorum omnis ad ducimus."]</t>
  </si>
  <si>
    <t>ut-blanditiis-2-64-3-white-1</t>
  </si>
  <si>
    <t>temporibus sed reiciendis</t>
  </si>
  <si>
    <t>https://via.placeholder.com/300x650.png/00aaaa?text=Smartphone+quia</t>
  </si>
  <si>
    <t>["Laudantium repellendus necessitatibus excepturi excepturi asperiores minima minima.","Sed sit explicabo quis sed porro deserunt veniam.","Neque eos quaerat suscipit ipsum ut libero.","Aut repellendus non beatae.","Saepe non omnis est.","Sed quod et iste et quis at dolore.","Ut harum eum deleniti omnis.","Corporis eaque quas et et perferendis quod.","Aperiam eius quis aliquid.","Est quos ipsa placeat."]</t>
  </si>
  <si>
    <t>["Aliquam id perferendis eveniet impedit. Repellendus perferendis dicta voluptate quis et ducimus soluta. Illo quod ipsum voluptas et quisquam.","Sed non nam ea molestiae omnis accusamus ducimus sed. Pariatur recusandae eos beatae laboriosam. Delectus tenetur tempora accusantium pariatur hic cupiditate eos."]</t>
  </si>
  <si>
    <t>sed-natus-6-16-2-blue</t>
  </si>
  <si>
    <t>dolores quo modi</t>
  </si>
  <si>
    <t>https://via.placeholder.com/300x650.png/00cc88?text=Smartphone+cum</t>
  </si>
  <si>
    <t>["Et quos totam ratione delectus omnis et commodi.","Eligendi aut eveniet iusto labore optio quia dolorem.","Laborum odio itaque quas tempore voluptatem.","Rerum dolorem perspiciatis doloremque vero.","Sequi enim ipsam et expedita.","Qui fugit quis voluptas ea vel sed ut dolores.","In et ut totam cum similique non ipsum.","Distinctio mollitia inventore sed molestiae aut sit molestiae voluptas.","Nisi culpa omnis aut autem enim et nemo vel.","Sunt consectetur autem ut ipsa accusantium quis."]</t>
  </si>
  <si>
    <t>["Rerum saepe reprehenderit excepturi dolor architecto ipsum eaque iure. Voluptas iste qui earum qui. Ut vero ratione accusamus dolores et consequuntur. Ullam necessitatibus qui qui explicabo explicabo natus.","Accusamus suscipit atque accusantium quasi eligendi omnis. Sit enim omnis autem recusandae saepe ut. Adipisci dolorum est tempora in. Inventore eligendi cupiditate sint provident quia omnis suscipit."]</t>
  </si>
  <si>
    <t>voluptate-fuga-12-128-5-black</t>
  </si>
  <si>
    <t>voluptatem incidunt ipsum</t>
  </si>
  <si>
    <t>https://via.placeholder.com/300x650.png/00dddd?text=Smartphone+repellat</t>
  </si>
  <si>
    <t>["Cumque delectus alias voluptatum corporis qui excepturi.","Qui et ad unde praesentium illo aut illum.","Adipisci esse iusto rerum optio ullam tempora fugiat ut.","Dolor deserunt saepe laudantium assumenda iusto a.","Doloribus amet cumque non voluptate voluptatem.","Enim quo eos est similique provident eveniet enim.","Iure repudiandae fuga fugiat sit ut dolorem.","Omnis totam repellat deleniti.","Placeat reprehenderit qui necessitatibus non voluptatem.","Tempore eligendi molestiae sit cum aliquam architecto."]</t>
  </si>
  <si>
    <t>["Voluptatem reprehenderit delectus vitae deleniti voluptate quam. Unde quia accusantium enim sed possimus quis. Voluptas asperiores aut illum sunt nihil voluptatem.","Ipsam necessitatibus in mollitia. Delectus ut voluptates praesentium. Eveniet quisquam odio tempora repellat debitis ducimus."]</t>
  </si>
  <si>
    <t>sed-dolor-4-8-6-blue</t>
  </si>
  <si>
    <t>iste porro aliquid</t>
  </si>
  <si>
    <t>https://via.placeholder.com/300x650.png/00ff11?text=Smartphone+ea</t>
  </si>
  <si>
    <t>["Illum aut repellat reprehenderit dolores delectus animi.","Ut dignissimos dolores enim nihil possimus.","Consequuntur occaecati hic qui omnis libero aliquid.","Qui beatae quisquam qui quo rerum occaecati temporibus.","Illo veritatis itaque numquam voluptatum.","Optio id vel quaerat ullam nemo labore.","Fuga ipsum molestias iure vel sunt.","A corporis vel sint facere eligendi impedit quia.","Ipsum consectetur est earum assumenda nihil iste incidunt.","Nulla repudiandae id earum animi et assumenda voluptatibus quia."]</t>
  </si>
  <si>
    <t>["Nesciunt ab tempore et exercitationem excepturi ea fuga. Sequi impedit unde commodi voluptas similique dolor veritatis ut.","Sed qui expedita occaecati voluptas sit neque quia. Vel quo qui eaque ducimus. Excepturi recusandae necessitatibus enim fugit sit distinctio qui. Optio totam error est natus beatae aut ipsa."]</t>
  </si>
  <si>
    <t>aspernatur-asperiores-8-16-6-black</t>
  </si>
  <si>
    <t>et et voluptatem</t>
  </si>
  <si>
    <t>https://via.placeholder.com/300x650.png/00ee11?text=Smartphone+molestiae</t>
  </si>
  <si>
    <t>["Et porro ut eligendi ut non officia.","Tempore porro impedit sed ut doloribus earum aut.","Illo fuga magni tempore doloribus omnis.","Voluptatem voluptatem accusamus dolores qui animi officiis.","Omnis esse enim aut sed.","Ab optio eveniet voluptatem molestias ad et earum.","Corporis tempore voluptatibus est provident suscipit.","Nesciunt exercitationem iure unde quidem consectetur.","Incidunt quasi ut dolores voluptatibus voluptas modi.","Qui ut aspernatur quas ullam quam aspernatur error."]</t>
  </si>
  <si>
    <t>["Beatae qui in aut totam qui. Eum et itaque cum dolorem voluptas quia ex voluptatem.","Ut qui quisquam aut laboriosam sed quia. Quibusdam dicta blanditiis nemo hic nisi harum. Voluptatem et modi vel debitis adipisci ut. Id fugiat eius officia sit repellat nulla. Qui deserunt qui qui sit."]</t>
  </si>
  <si>
    <t>maiores-voluptatum-4-16-3-black</t>
  </si>
  <si>
    <t>nisi et magni</t>
  </si>
  <si>
    <t>https://via.placeholder.com/300x650.png/0044dd?text=Smartphone+provident</t>
  </si>
  <si>
    <t>["Perspiciatis laboriosam modi aut amet quas.","Cumque quia tempore fugit minima.","Vitae quo repellat sunt sapiente unde qui.","Tempore sunt voluptas id cum eius voluptates totam vitae.","Amet culpa reprehenderit provident voluptas aut ipsum maxime.","Culpa repudiandae non voluptatem necessitatibus est officia sed.","Ratione aliquid dolore ab necessitatibus.","Tempore exercitationem rerum et expedita repudiandae praesentium ab.","Est iusto quia numquam at sed.","Officiis et neque voluptas molestiae nisi dolorum blanditiis."]</t>
  </si>
  <si>
    <t>["Consectetur ea deserunt nostrum culpa dicta id. Hic sed error excepturi omnis numquam. Et quibusdam est laborum modi quia autem.","Voluptatem quidem amet aperiam perspiciatis dolorum ullam. Nihil vel ullam sed est aut quisquam ut eaque. Necessitatibus atque a recusandae."]</t>
  </si>
  <si>
    <t>est-vel-12-64-6-black</t>
  </si>
  <si>
    <t>delectus non eius</t>
  </si>
  <si>
    <t>https://via.placeholder.com/300x650.png/007788?text=Smartphone+commodi</t>
  </si>
  <si>
    <t>["Sed et consequatur ut explicabo totam.","Dicta omnis et provident culpa.","Cumque ut est optio consequatur et iusto alias.","Doloremque laborum explicabo cum veniam fugit rerum.","Temporibus rerum dolor libero est id consequatur.","Accusamus hic voluptatibus voluptatibus molestiae.","Cupiditate quia vitae alias reprehenderit doloribus natus id.","Est amet ratione dolores corporis.","Est quos voluptatem aut molestiae quaerat tempore nihil.","Voluptas harum quam culpa dignissimos."]</t>
  </si>
  <si>
    <t>["Vitae quae est laudantium expedita. Provident consequuntur alias error eum voluptatem soluta quae. Nesciunt quae voluptatibus dolor labore rerum. Odit earum adipisci atque voluptatem dolores architecto id nihil.","Sunt fugiat quis et. Omnis illum possimus dolorem consequatur officia. Aut ad praesentium dolor."]</t>
  </si>
  <si>
    <t>est-maiores-2-16-6-blue</t>
  </si>
  <si>
    <t>possimus consectetur eius</t>
  </si>
  <si>
    <t>https://via.placeholder.com/300x650.png/00aa00?text=Smartphone+est</t>
  </si>
  <si>
    <t>["Inventore omnis totam dolor enim blanditiis dolorum qui.","Voluptas aut sit quia perspiciatis odit necessitatibus.","Suscipit blanditiis amet in officia quaerat facere velit.","Illo ratione ut incidunt iure.","Dicta ab adipisci quae ea exercitationem.","Quia ex exercitationem tenetur voluptatem praesentium quod corrupti.","Minus optio nulla voluptates cumque voluptas beatae temporibus neque.","Eveniet modi incidunt odio qui quibusdam doloribus quia.","Minus vero doloribus dignissimos corporis et.","Fuga enim magni ea voluptas."]</t>
  </si>
  <si>
    <t>["Pariatur consequatur a autem. Modi quis itaque dolores sed deleniti. Magni cumque temporibus sit quod fugiat est consequuntur ipsum. Itaque ipsam velit laboriosam cum ea asperiores. Ipsum non ex et corporis.","Maiores ipsum velit et nostrum aut minus sequi. Voluptatem sit voluptas excepturi vero. Minima explicabo libero corrupti sequi voluptas laborum possimus. Qui sit voluptatem ipsum in aperiam laboriosam debitis."]</t>
  </si>
  <si>
    <t>voluptate-fuga-6-512-6-red</t>
  </si>
  <si>
    <t>aut necessitatibus tenetur</t>
  </si>
  <si>
    <t>https://via.placeholder.com/300x650.png/000000?text=Smartphone+recusandae</t>
  </si>
  <si>
    <t>["Rem nisi vel minus eum error ut dolore natus.","Iste iure iste est at sint corporis.","Dolorem qui voluptatem tempora quo qui accusantium.","Ut enim molestiae assumenda vel sit ut.","Alias libero at repudiandae voluptatem soluta non.","Corporis animi dolor adipisci maxime est natus.","Qui a aliquam non quo exercitationem.","Officiis placeat quis beatae sunt iusto non maxime.","At molestiae repellendus molestiae molestias dolore ex.","Qui unde ipsam est animi nemo."]</t>
  </si>
  <si>
    <t>["Alias ab eius et placeat perferendis qui hic. Hic in recusandae quis et quia. Cumque mollitia veniam et sit consequatur quas quos officiis. Odio excepturi veritatis voluptatem hic id nemo.","Ut nesciunt cupiditate ratione pariatur. Sint delectus error quasi illum fugit dicta. Pariatur quas et itaque mollitia sint. Ex asperiores sint voluptatem expedita."]</t>
  </si>
  <si>
    <t>voluptate-pariatur-2-16-5-white</t>
  </si>
  <si>
    <t>nostrum non magnam</t>
  </si>
  <si>
    <t>https://via.placeholder.com/300x650.png/006666?text=Smartphone+odit</t>
  </si>
  <si>
    <t>["Velit tempora earum sunt et.","Quibusdam est ut cupiditate est dolorem rerum excepturi.","Ut dolor modi sit maxime.","Sit nisi expedita qui odit rerum aut quia.","Voluptatem nisi omnis harum ipsam et.","Ea qui quam praesentium ea voluptas molestiae sed.","Magnam aspernatur optio omnis vero eaque voluptas cum.","Libero et magnam sed velit aut tenetur nesciunt.","Dolorem explicabo sit molestias in incidunt est.","Excepturi enim quisquam et ut soluta in rerum."]</t>
  </si>
  <si>
    <t>["Sit dolorem repudiandae architecto officia. Modi corporis voluptas minus modi eum et. Soluta veniam inventore tenetur ut est. Facere sit voluptate recusandae nisi ut corrupti.","Nihil corporis reiciendis et nemo magni aliquid nemo. Illum sint aliquam vero vel pariatur. Ut at nobis aspernatur facilis et. Qui at sint vel corrupti eveniet aut ullam dolorem."]</t>
  </si>
  <si>
    <t>maiores-quod-12-16-4-red</t>
  </si>
  <si>
    <t>illo enim deserunt</t>
  </si>
  <si>
    <t>https://via.placeholder.com/300x650.png/0033ff?text=Smartphone+saepe</t>
  </si>
  <si>
    <t>["Qui consequatur aut est in cumque atque id quod.","Hic reiciendis sit ex deleniti ducimus.","Vitae facere labore omnis iure non doloremque.","Nisi qui voluptas sint dolorem non neque eum vero.","Nulla incidunt omnis in sed aut.","Exercitationem praesentium laudantium voluptatibus esse.","Adipisci a sint eaque earum exercitationem maxime nam.","Adipisci praesentium recusandae enim et itaque.","Sapiente officiis laudantium vel quos veniam ex odit.","Enim sapiente vero voluptatem ipsam aut delectus nesciunt."]</t>
  </si>
  <si>
    <t>["Reiciendis et est illo voluptate vel officiis dolorem enim. Aut at id nostrum atque praesentium eum rerum.","Eum quod dolor et ipsa ipsum et. Illo commodi architecto ipsam voluptatem labore recusandae. Ut dignissimos sed porro necessitatibus eos natus."]</t>
  </si>
  <si>
    <t>est-dolorum-8-8-2-black</t>
  </si>
  <si>
    <t>quisquam enim consequatur</t>
  </si>
  <si>
    <t>https://via.placeholder.com/300x650.png/0066dd?text=Smartphone+ea</t>
  </si>
  <si>
    <t>["Assumenda et dolores in quisquam.","Magni molestiae quia quis delectus.","Beatae et et aut placeat qui maxime.","Qui incidunt accusamus quidem ut quos dicta sed.","Architecto earum quia nulla itaque labore.","Molestiae nostrum laudantium nobis voluptas omnis beatae veritatis occaecati.","Quod repudiandae nobis qui illum corrupti voluptas.","Expedita mollitia quia nihil et nobis quia.","Doloribus reprehenderit aut molestiae quisquam reprehenderit eos.","Blanditiis omnis a error et iusto."]</t>
  </si>
  <si>
    <t>["Consequuntur dolorem voluptatibus illum earum voluptatem rerum omnis. Eligendi quis et doloremque qui ad.","Occaecati voluptates quam pariatur esse cupiditate perferendis quia eos. Id eum omnis consectetur quis nesciunt blanditiis. Alias quisquam perferendis provident et."]</t>
  </si>
  <si>
    <t>maiores-recusandae-8-64-4-black</t>
  </si>
  <si>
    <t>omnis sunt dolores</t>
  </si>
  <si>
    <t>https://via.placeholder.com/300x650.png/00ff88?text=Smartphone+rerum</t>
  </si>
  <si>
    <t>["Facilis excepturi atque officia possimus deleniti nemo delectus cum.","Accusantium qui perferendis quia quis tempore neque nisi.","Ullam assumenda animi optio omnis quae commodi.","Eius similique est nam nam est qui nihil.","Esse aut quia tenetur laborum deserunt quis consequatur.","Aut perspiciatis rem architecto sint modi sit voluptatem.","Et aperiam autem fugiat non eos reiciendis cupiditate.","Hic id nihil eum autem.","Voluptatem veritatis velit dolorem aut maiores optio tenetur.","Totam architecto deserunt voluptas."]</t>
  </si>
  <si>
    <t>["Sequi inventore dignissimos et. Omnis earum excepturi nemo dolor architecto et non odit. Cum modi doloribus voluptatem doloremque perspiciatis sit consequatur. Quisquam est consequatur nostrum odit.","Nihil non id labore aspernatur consequatur. Et ducimus sunt quo. Aliquid totam aut optio sequi. Consequatur dolorum exercitationem rem perferendis voluptas. Enim ducimus itaque necessitatibus non sit vero nihil eveniet."]</t>
  </si>
  <si>
    <t>illum-sed-12-16-5-red</t>
  </si>
  <si>
    <t>aut veritatis reiciendis</t>
  </si>
  <si>
    <t>https://via.placeholder.com/300x650.png/00ee77?text=Smartphone+dolorem</t>
  </si>
  <si>
    <t>["Velit id distinctio eaque accusantium nisi doloremque.","Autem voluptas id quidem reprehenderit.","Quaerat expedita ipsa optio rem minima deleniti et.","Aliquid impedit itaque eum explicabo eveniet.","Consectetur ut iure magni iure voluptates.","Quibusdam delectus sapiente ratione quo excepturi omnis.","Iure voluptatibus natus voluptas commodi.","Est rerum eius porro aut numquam.","Eum necessitatibus necessitatibus quisquam sequi quo.","Similique animi molestiae tempore quam veritatis inventore omnis quidem."]</t>
  </si>
  <si>
    <t>["Modi modi officia temporibus consequatur blanditiis aut non. Neque consequatur blanditiis laborum aut nulla blanditiis. At accusamus quia suscipit est placeat. Unde placeat vel mollitia qui reprehenderit excepturi earum.","Et officiis unde quia deserunt vitae exercitationem. Dolor autem pariatur provident temporibus. Libero tempora itaque eveniet et recusandae."]</t>
  </si>
  <si>
    <t>et-natus-2-8-2-black</t>
  </si>
  <si>
    <t>cum modi magnam</t>
  </si>
  <si>
    <t>https://via.placeholder.com/300x650.png/009933?text=Smartphone+illo</t>
  </si>
  <si>
    <t>["Atque iste aliquam enim molestiae qui.","Similique et sit rerum et molestiae autem.","Ut consequuntur dolore quo ex deserunt asperiores iste.","Corrupti et omnis et impedit.","Fugit dolorem esse repellat tenetur vel.","Debitis voluptatem ratione quo non.","Porro illum officiis consequatur.","Tenetur placeat beatae minima natus.","Voluptas eligendi blanditiis perspiciatis accusamus quae.","Quia ducimus accusantium qui qui voluptas neque."]</t>
  </si>
  <si>
    <t>["Unde quas distinctio iure aperiam. Explicabo ut dolore et quas laborum error. Nostrum quos aut voluptate deserunt ab ut est ut.","Officiis quis ut provident temporibus. Aperiam maiores aut voluptatem ut voluptates magnam. Sunt est sint pariatur et voluptas."]</t>
  </si>
  <si>
    <t>voluptate-itaque-2-16-5-green</t>
  </si>
  <si>
    <t>dolore facere assumenda</t>
  </si>
  <si>
    <t>https://via.placeholder.com/300x650.png/00ee44?text=Smartphone+eveniet</t>
  </si>
  <si>
    <t>["Est omnis ut soluta labore rerum.","Recusandae inventore voluptatem cum consequatur voluptates.","Alias consectetur rerum rerum autem vero quidem quis.","Voluptatem blanditiis et repellat saepe accusantium architecto.","Et optio nobis consectetur dolore omnis excepturi autem.","Consequuntur labore et quaerat et iure maxime possimus.","Consequuntur quos illo et rem omnis.","Dolorem adipisci ratione dolor.","Itaque dicta dolorem quae quidem aliquid quia molestiae.","Quaerat quia dolor esse quod tempore et numquam."]</t>
  </si>
  <si>
    <t>["Exercitationem cum sapiente vel et est dolor. Nesciunt voluptas eligendi voluptas minima dolorum.","Tempore et reprehenderit impedit nemo repudiandae. Suscipit nesciunt perspiciatis maiores laboriosam aperiam maxime. Optio consectetur at dolor libero iste fuga ut. Magnam ipsa molestiae sit repellendus est est quibusdam quod."]</t>
  </si>
  <si>
    <t>illum-facere-2-32-4-white</t>
  </si>
  <si>
    <t>quo voluptatibus est</t>
  </si>
  <si>
    <t>https://via.placeholder.com/300x650.png/007700?text=Smartphone+molestiae</t>
  </si>
  <si>
    <t>["Qui fugiat quis fugit unde aut tempore placeat.","Non saepe modi est nihil autem.","Culpa voluptatem deserunt autem qui sed eos possimus ut.","Cumque quasi quibusdam ut qui sit labore.","Nemo magni ea voluptas rerum perspiciatis ullam.","Exercitationem molestiae accusantium repellendus enim asperiores eveniet.","Sequi quo numquam asperiores accusamus dolore unde.","Quisquam et facere modi molestiae eius et.","Dolore soluta rerum non praesentium est cumque dolorem debitis.","Voluptas repudiandae voluptatem facere ratione voluptates eligendi."]</t>
  </si>
  <si>
    <t>["Placeat ut qui ad dolorem quis quasi est. Perferendis et cumque ea expedita.","Corrupti rem iusto voluptas autem quo. Perferendis praesentium nostrum tempora. Repellat in nihil dolore omnis at nobis qui."]</t>
  </si>
  <si>
    <t>corrupti-ut-2-8-2-red</t>
  </si>
  <si>
    <t>vero veniam illum</t>
  </si>
  <si>
    <t>https://via.placeholder.com/300x650.png/00ccff?text=Smartphone+qui</t>
  </si>
  <si>
    <t>["Ratione eius dolor reiciendis ut repellat blanditiis.","Voluptate vel enim id sed sint molestias.","Exercitationem eaque vitae aspernatur corporis non ipsum.","Et delectus deleniti molestiae.","In aut molestiae molestiae nihil sapiente tempore adipisci qui.","Tenetur odit et harum velit.","Dolores temporibus rerum id ab fuga accusantium.","Sit sed ut dolor rerum expedita et.","Repellendus nisi deserunt dolorum ut vero molestiae et.","Ullam eum et sit dolorum esse."]</t>
  </si>
  <si>
    <t>["Nemo doloribus ut atque alias placeat. Ea vel adipisci rem non ipsa. Minus molestiae totam soluta et quasi dolores.","Ea amet temporibus perspiciatis excepturi autem modi voluptatem. Sunt sequi rerum reiciendis voluptate sapiente porro. Corrupti animi ipsa iste quis. Deserunt aperiam voluptas et fugiat minus necessitatibus vel."]</t>
  </si>
  <si>
    <t>aspernatur-aut-6-32-6-white</t>
  </si>
  <si>
    <t>rerum repellendus laboriosam</t>
  </si>
  <si>
    <t>https://via.placeholder.com/300x650.png/003399?text=Smartphone+provident</t>
  </si>
  <si>
    <t>["Modi illum qui asperiores voluptas voluptatem aut.","Dolorum recusandae odio adipisci sit cum adipisci praesentium.","Incidunt alias dolores veniam quibusdam hic quos ut sed.","Quisquam quam animi in quaerat.","Hic quis itaque cum possimus quis ut.","Error eos occaecati nostrum beatae.","Possimus repellendus odit omnis sint dolore.","Rem et alias voluptatem ea qui cumque delectus.","Ut natus delectus sed voluptatem nemo voluptas.","Nisi qui vel voluptas ad."]</t>
  </si>
  <si>
    <t>["Aspernatur ut est voluptatum ex similique voluptatem nihil. Velit dolorum ipsam possimus unde et laudantium. Quis ut alias voluptas.","Magnam quia iure rerum est unde aperiam eius. Distinctio id sit saepe qui itaque necessitatibus sed laborum. Eaque vitae sed quod et tempora dolorum."]</t>
  </si>
  <si>
    <t>sed-dignissimos-2-8-6-green</t>
  </si>
  <si>
    <t>sint id explicabo</t>
  </si>
  <si>
    <t>https://via.placeholder.com/300x650.png/008855?text=Smartphone+et</t>
  </si>
  <si>
    <t>["Exercitationem qui at quidem est similique suscipit.","Cumque sunt voluptatum neque est.","Nihil at dicta iste odio perspiciatis perferendis quidem asperiores.","Est et sunt tempora eligendi neque facilis.","Maiores ut molestiae unde quia et.","Quisquam earum consectetur qui nemo.","Officiis qui esse et tenetur adipisci similique.","Veritatis id facere corporis et sed quos.","Suscipit et nihil atque eveniet.","Asperiores architecto quos odio."]</t>
  </si>
  <si>
    <t>["Corporis rerum facilis nisi quas. Temporibus aperiam in odit qui debitis. Repellendus animi qui sint non ducimus reiciendis. Velit impedit odit soluta.","Pariatur a ex consequatur rerum quae quia occaecati corporis. Dignissimos sunt vel officiis hic. Illum aut reiciendis vero vel numquam delectus."]</t>
  </si>
  <si>
    <t>corrupti-occaecati-12-64-4-green</t>
  </si>
  <si>
    <t>voluptas alias suscipit</t>
  </si>
  <si>
    <t>https://via.placeholder.com/300x650.png/0000aa?text=Smartphone+ab</t>
  </si>
  <si>
    <t>["Non voluptas ut sit laborum aut consectetur.","Sint voluptatem iste quasi in.","Natus laboriosam eius dolore eligendi.","Est error repellat eos dignissimos ipsa ullam voluptas.","Et enim autem excepturi aliquid voluptas.","Quia quo aut et magni blanditiis dolorem.","Sit nam nihil a eos et.","Et consequatur amet reiciendis laborum eaque minus.","Mollitia natus harum qui veritatis.","Vel quia quas quam atque."]</t>
  </si>
  <si>
    <t>["Laborum nihil natus voluptas sit laboriosam et. Non fugiat saepe tenetur non deleniti soluta unde. Similique quia consequatur adipisci quasi quia natus. Quidem cumque placeat quisquam consequuntur ut.","A et vel provident qui accusamus amet quis expedita. Facilis eveniet qui et repellendus non quo. Quos voluptatibus quia officia qui. Eos est est modi ut est cumque et."]</t>
  </si>
  <si>
    <t>sed-natus-8-16-2-black</t>
  </si>
  <si>
    <t>blanditiis minima explicabo</t>
  </si>
  <si>
    <t>https://via.placeholder.com/300x650.png/005599?text=Smartphone+dolore</t>
  </si>
  <si>
    <t>["Debitis dolorum voluptatem et perferendis officia ex.","Qui rerum eius quia quia dolore veniam animi.","Nihil harum quia sapiente mollitia.","Qui aut culpa omnis necessitatibus reprehenderit.","Quam quidem repellat cumque deserunt.","Aut dignissimos est asperiores ut non nulla et.","Consequatur placeat eaque at qui sed quis distinctio non.","Explicabo distinctio repellendus quo aut sint dolore.","Officiis accusantium et accusamus dolorum at modi nulla.","Est rem ipsa sit laboriosam amet atque."]</t>
  </si>
  <si>
    <t>["Aut nulla minus magni harum autem odit. Neque facere deserunt sunt molestiae vel voluptatem voluptates. Vitae dolor debitis aut nihil et laboriosam.","Vitae ipsa quaerat sint et molestias nobis. Saepe velit magni reprehenderit placeat esse eos. Et distinctio distinctio qui et. Officiis dicta voluptatum quibusdam laudantium porro in rerum."]</t>
  </si>
  <si>
    <t>illum-autem-4-32-4-white</t>
  </si>
  <si>
    <t>suscipit quasi quibusdam</t>
  </si>
  <si>
    <t>https://via.placeholder.com/300x650.png/000044?text=Smartphone+laborum</t>
  </si>
  <si>
    <t>["Et cum occaecati voluptates animi.","Non iste facere quia consequuntur dolores consequatur voluptatem.","Alias facere magni error tempore voluptatem vitae et dolorem.","Illo ducimus et qui natus repellat.","Beatae exercitationem consequatur libero at eum sunt voluptas.","Et voluptatem quasi dolor ipsum dolor.","Tempore hic quas assumenda est.","Exercitationem dolorem magni et exercitationem adipisci accusantium.","Eaque itaque dignissimos nesciunt provident rerum sed.","Voluptates iusto atque ea voluptas vel inventore."]</t>
  </si>
  <si>
    <t>["Ea doloribus rem praesentium saepe eius mollitia. Minima dolorem fugiat et fugiat pariatur beatae. Nihil qui est consectetur temporibus fugiat incidunt. Quia et reiciendis quae quia. Sunt exercitationem quae culpa et excepturi aliquam.","Est quae id quisquam facere eum. Deserunt tempora esse fugit ut dolorem. Possimus consectetur quo autem quia et rem qui."]</t>
  </si>
  <si>
    <t>corrupti-odit-6-512-4-red</t>
  </si>
  <si>
    <t>enim ut velit</t>
  </si>
  <si>
    <t>https://via.placeholder.com/300x650.png/00ddff?text=Smartphone+fugit</t>
  </si>
  <si>
    <t>["Nostrum est similique enim consequatur non ut.","Quia quae mollitia eveniet numquam at.","Maxime et fuga pariatur dolore architecto impedit.","Sed quia id reprehenderit culpa voluptates.","Adipisci error numquam cumque adipisci fugit.","Ut sit rem debitis explicabo est hic atque.","Iusto maiores ad non eum placeat accusamus earum.","Deleniti et dolorum aut ex ipsum earum.","Incidunt quia aut cum sed est debitis voluptate ut.","Cum autem nihil saepe praesentium voluptatibus omnis dolores."]</t>
  </si>
  <si>
    <t>["Maxime neque placeat corporis dolorem qui quas totam. Corrupti eveniet doloribus eaque quia perferendis minima. Sit odio cumque inventore eos aut perferendis eos. Totam corrupti eligendi molestias perferendis vitae dolor. Quam rerum culpa libero illo.","Sed nisi blanditiis itaque tenetur. Beatae est totam adipisci voluptatem rerum adipisci vel nostrum."]</t>
  </si>
  <si>
    <t>ut-veritatis-2-64-2-black</t>
  </si>
  <si>
    <t>aut qui officia</t>
  </si>
  <si>
    <t>https://via.placeholder.com/300x650.png/00ccbb?text=Smartphone+minima</t>
  </si>
  <si>
    <t>["Deleniti et enim et est unde id nihil.","Incidunt reiciendis vel labore totam molestiae ullam.","Non voluptatem qui porro tempore.","Eum numquam aut vel aperiam.","Enim doloribus soluta velit omnis blanditiis.","Qui aliquid fugiat ea voluptate placeat inventore eius.","Accusamus voluptatem accusamus voluptatem ut consequatur.","Beatae provident adipisci tempora pariatur omnis.","Ex sunt temporibus iusto dolor neque autem libero.","Et suscipit ut qui sed."]</t>
  </si>
  <si>
    <t>["Rerum beatae autem doloribus quos aliquid voluptatem et exercitationem. Consequatur qui aut ex modi nihil deleniti quis. Laboriosam delectus ea nulla ad omnis aliquid. Natus odio dolor harum necessitatibus. Laborum eaque ipsam harum deleniti quisquam ad.","Quia sed praesentium natus ut ab. Quia nihil accusamus ab excepturi nihil dignissimos soluta voluptatem. Natus blanditiis architecto voluptas voluptatem qui."]</t>
  </si>
  <si>
    <t>sed-dolor-8-512-6-blue</t>
  </si>
  <si>
    <t>cumque impedit tempore</t>
  </si>
  <si>
    <t>https://via.placeholder.com/300x650.png/00cc00?text=Smartphone+eaque</t>
  </si>
  <si>
    <t>["Molestiae ad corporis laudantium.","Voluptatum voluptatum nulla beatae dolorem eveniet enim.","Itaque repellendus est quaerat est.","Repudiandae libero soluta at quam cumque.","Nostrum occaecati et accusamus voluptates assumenda atque non.","Dolorem modi qui unde necessitatibus.","Odio at occaecati excepturi mollitia delectus.","Et laboriosam impedit eius hic aperiam.","Suscipit sapiente accusamus qui veniam laboriosam perferendis sit quis.","Atque voluptatem odio ad accusamus est beatae."]</t>
  </si>
  <si>
    <t>["Error autem animi et iste perferendis dicta assumenda. Similique cupiditate doloribus nihil fuga molestiae magni dolores. Neque dicta dolorem aut ratione molestias officia voluptas quis.","Laboriosam expedita voluptatum pariatur et sit sapiente est. Quo consequatur id et explicabo. Possimus et autem veniam quis. Distinctio id provident molestiae."]</t>
  </si>
  <si>
    <t>voluptate-velit-8-8-5-white</t>
  </si>
  <si>
    <t>ea debitis commodi</t>
  </si>
  <si>
    <t>https://via.placeholder.com/300x650.png/00dd66?text=Smartphone+cumque</t>
  </si>
  <si>
    <t>["Animi ratione vero dicta eum.","Non praesentium fugiat maxime placeat aut id nostrum.","Et voluptatem perferendis et architecto.","Saepe sit maiores amet.","Debitis libero cum quia fugit commodi.","Voluptatem velit est est.","Autem praesentium amet voluptate optio illum voluptatibus adipisci.","Eos neque sunt non quam deserunt dolore.","Aliquid ut nemo dignissimos aut pariatur autem maiores.","Modi dolores pariatur officia esse corrupti."]</t>
  </si>
  <si>
    <t>["Perspiciatis est autem autem. Ea tenetur atque a adipisci corporis. Aut est deserunt aut sed deserunt doloremque illo possimus. Illum est quis sint optio dolorem.","Distinctio repellat esse aut dolores. Et aperiam ipsa repudiandae aperiam non voluptatem voluptates. Praesentium nostrum repellendus perspiciatis atque."]</t>
  </si>
  <si>
    <t>voluptate-itaque-2-128-2-blue</t>
  </si>
  <si>
    <t>dicta eos quae</t>
  </si>
  <si>
    <t>https://via.placeholder.com/300x650.png/00ee66?text=Smartphone+et</t>
  </si>
  <si>
    <t>["Voluptas quae voluptatem odit aspernatur.","Rerum incidunt et voluptatem ratione unde.","Et omnis quasi dolor est suscipit eaque nihil.","Architecto est unde autem blanditiis quia illum.","A reprehenderit natus odio similique aliquid laboriosam debitis.","Odit repellendus dolor reiciendis provident quasi.","Dicta necessitatibus est voluptate aut eveniet debitis.","Qui temporibus commodi eveniet et.","Eligendi provident porro impedit et commodi.","Aliquid aspernatur eos voluptatem amet voluptas sunt numquam."]</t>
  </si>
  <si>
    <t>["Nobis maxime asperiores nihil fuga quas nobis. Placeat omnis pariatur commodi ea explicabo veritatis. At quia voluptatem fuga quibusdam. Quidem adipisci qui eaque.","Vitae omnis ut nobis quo sit ratione. Dignissimos itaque rerum nemo architecto et incidunt consectetur. Qui sed voluptatem nihil doloribus quo."]</t>
  </si>
  <si>
    <t>voluptate-pariatur-4-8-6-red</t>
  </si>
  <si>
    <t>beatae iste consectetur</t>
  </si>
  <si>
    <t>https://via.placeholder.com/300x650.png/001188?text=Smartphone+veritatis</t>
  </si>
  <si>
    <t>["Rem odio quaerat quaerat rem delectus.","Voluptates blanditiis nihil numquam aliquam.","Dolores quia laboriosam ducimus nobis eum suscipit qui.","Velit ipsum ab ut temporibus.","Repellendus cum dolores a similique necessitatibus.","Dicta repudiandae non rerum aut.","Et voluptatem delectus nobis accusantium iste modi doloremque.","Est veniam laborum qui sequi mollitia.","Et explicabo veritatis deleniti ab animi rerum rerum.","Voluptas adipisci rerum maxime laudantium labore quae nam."]</t>
  </si>
  <si>
    <t>["Facilis modi praesentium voluptatem et iusto nemo dolorem. Voluptate quaerat est tempora et esse ullam. Error ad asperiores maxime quaerat et architecto. Doloremque facere fugit eius labore ducimus qui tempora vero.","Dolor a ratione nihil doloremque repudiandae. Ratione et ipsum aut sit officiis quisquam nostrum. Repellat deleniti sit explicabo ut blanditiis. Aliquid consequatur numquam hic nemo est doloremque."]</t>
  </si>
  <si>
    <t>aspernatur-voluptatem-2-16-3-black</t>
  </si>
  <si>
    <t>est earum ut</t>
  </si>
  <si>
    <t>https://via.placeholder.com/300x650.png/0000ee?text=Smartphone+eaque</t>
  </si>
  <si>
    <t>["Rem cupiditate tenetur ut corrupti est molestias et.","Qui hic aut vel soluta nam sint consequuntur.","Vel minima quo aut.","Dolorem in est dolorem assumenda.","Est delectus impedit qui voluptatem.","Unde sapiente nam eius sit dolorem consequuntur aspernatur nam.","Et laudantium minus ex pariatur doloremque in consequuntur.","In facere consectetur et quaerat.","Possimus esse quaerat illum mollitia esse.","Ipsa aut dolore eos minus."]</t>
  </si>
  <si>
    <t>["Quia laudantium recusandae fugiat doloribus quam molestiae. Hic laudantium quia ducimus itaque sit sint. Sit est ex aspernatur voluptates at.","Et laborum unde laborum ratione repudiandae quasi. Neque soluta quasi quas magni soluta. Sit eos placeat sequi autem. Vel qui qui blanditiis ipsa dignissimos ratione."]</t>
  </si>
  <si>
    <t>aspernatur-eum-4-64-3-red</t>
  </si>
  <si>
    <t>quibusdam officiis hic</t>
  </si>
  <si>
    <t>https://via.placeholder.com/300x650.png/00ccee?text=Smartphone+modi</t>
  </si>
  <si>
    <t>["Et laboriosam facilis et dicta.","Quam vel dolores est eos nesciunt.","Aspernatur numquam vero recusandae itaque deserunt dolorem molestiae.","Dolorum sit aut et asperiores sint sit.","Nostrum asperiores deserunt necessitatibus iure quia sit quisquam.","Ut quas voluptatum voluptatum autem culpa temporibus dolore.","Quia id sed ut id cumque facilis quasi.","Ullam quia adipisci architecto rerum necessitatibus.","Et tenetur maiores corrupti excepturi voluptatem.","Alias tenetur unde ab quo modi eos."]</t>
  </si>
  <si>
    <t>["Ab qui possimus error. Rerum rerum provident cum eos ut minus consequatur. Ratione adipisci labore at cupiditate. Praesentium illo explicabo est officiis.","Sed et nobis est consequatur et error. Illo facilis rerum est ea ipsum consequatur harum. Quam atque harum aut."]</t>
  </si>
  <si>
    <t>est-a-4-8-3-red</t>
  </si>
  <si>
    <t>quia et nostrum</t>
  </si>
  <si>
    <t>https://via.placeholder.com/300x650.png/007755?text=Smartphone+omnis</t>
  </si>
  <si>
    <t>["Quo quibusdam pariatur adipisci et sit.","Enim autem in rem dicta.","Error et totam consequuntur est.","Velit nam cupiditate voluptate rerum esse.","Dolorem accusamus tenetur illo perferendis iusto praesentium.","Eaque voluptatem eum ipsa ut excepturi.","Saepe et nostrum saepe ut enim.","Nam ut dolorem nobis perferendis ipsa aut saepe.","Enim et ipsa molestiae sed velit.","Facilis dolores eum officiis veniam."]</t>
  </si>
  <si>
    <t>["Aut assumenda placeat impedit. Enim odit ducimus autem non. Quam nam nulla qui eos accusantium eveniet maxime eius.","Ducimus unde et ad est aut illum et. Cumque omnis et voluptatem qui iusto porro. Dolor ipsa sint distinctio."]</t>
  </si>
  <si>
    <t>ut-et-12-64-4-green</t>
  </si>
  <si>
    <t>dolores temporibus et</t>
  </si>
  <si>
    <t>https://via.placeholder.com/300x650.png/008888?text=Smartphone+eius</t>
  </si>
  <si>
    <t>["Quam hic ab accusamus sed.","Dolorem soluta velit placeat doloremque.","Sapiente inventore voluptatibus omnis maiores aperiam est.","Expedita voluptatum ducimus sint numquam consequatur culpa.","Aliquam aspernatur iure et ut doloremque veritatis libero.","Ut sed natus aut laudantium.","Et totam incidunt ad magnam neque.","Praesentium odio eum vel aut voluptatem tenetur totam.","Iure culpa dolor velit enim officia magnam est ea.","Aliquid suscipit architecto facilis rem."]</t>
  </si>
  <si>
    <t>["Natus voluptatem est perspiciatis et autem. Commodi et sed impedit molestiae qui. Qui voluptatum ducimus ullam praesentium.","Consequuntur officiis architecto molestiae beatae. Sapiente aliquid deleniti repudiandae odio maiores ut aspernatur. Quae exercitationem quasi et quaerat blanditiis. Architecto omnis molestias facere dolores quaerat praesentium nobis est."]</t>
  </si>
  <si>
    <t>voluptate-reprehenderit-8-64-6-black</t>
  </si>
  <si>
    <t>repellat aspernatur placeat</t>
  </si>
  <si>
    <t>https://via.placeholder.com/300x650.png/001155?text=Smartphone+tempora</t>
  </si>
  <si>
    <t>["Suscipit soluta saepe quod occaecati doloribus esse.","Quibusdam adipisci sed sit dolor.","Rerum praesentium consequatur soluta voluptas facere ut atque.","Cupiditate explicabo commodi modi quae.","Et eos aut corporis corrupti enim nihil eius.","Aperiam omnis amet cumque mollitia delectus molestiae.","Quam et alias eum dignissimos.","Et aut vel dolorem voluptatem.","Velit quibusdam ut rerum aut corrupti qui.","Et aperiam exercitationem ipsa ratione tempore aut consequatur."]</t>
  </si>
  <si>
    <t>["Officiis omnis libero voluptates unde laudantium numquam. Et eos rem in non. Esse officiis nisi unde est. Et saepe ratione eius et odit repellat.","Odit expedita dolore mollitia qui. Quos quia fugit deserunt voluptas magnam est."]</t>
  </si>
  <si>
    <t>sed-cumque-6-32-5-red</t>
  </si>
  <si>
    <t>saepe consequatur et</t>
  </si>
  <si>
    <t>https://via.placeholder.com/300x650.png/00ccaa?text=Smartphone+error</t>
  </si>
  <si>
    <t>["Perspiciatis quia laudantium et mollitia.","Odit et nobis quia quae recusandae.","Nulla aliquid quis nihil nulla ducimus aut.","Voluptatem sequi sed vitae numquam autem.","Ut corrupti debitis officiis quos libero ut dolor.","Occaecati repudiandae est amet suscipit.","Quae similique dolorem et qui officia eaque sequi.","Libero non ut iusto ut accusamus consequatur.","Sunt ab natus fugit dignissimos sed et.","Voluptatem est harum doloribus quia quas velit."]</t>
  </si>
  <si>
    <t>["Est dolores quidem odio neque fugiat illo quis. Et ad occaecati molestiae saepe cum quis eos. Cumque est voluptatem assumenda possimus.","Dolores ea aut sunt aut quo facilis atque. Distinctio voluptatem et repudiandae quia ut qui laborum voluptatem. Deleniti necessitatibus omnis eos aut necessitatibus. Nesciunt quod quae ea quis quos odio error."]</t>
  </si>
  <si>
    <t>est-maiores-2-64-4-green</t>
  </si>
  <si>
    <t>voluptatibus suscipit quo</t>
  </si>
  <si>
    <t>https://via.placeholder.com/300x650.png/00eebb?text=Smartphone+asperiores</t>
  </si>
  <si>
    <t>["Non cum in et iusto.","Amet harum et non placeat cumque deleniti.","Dolor animi cumque odit tempora.","Ut animi officiis quidem ut voluptates rerum perspiciatis.","Temporibus consequatur expedita vel eos atque veritatis libero at.","Quasi quibusdam expedita nulla natus aut optio.","Molestiae dolorem eum porro qui dolorem maiores.","Possimus optio est adipisci numquam et aut incidunt.","Culpa veritatis nemo qui.","Quibusdam quo consequuntur voluptatem est ea est."]</t>
  </si>
  <si>
    <t>["Voluptatem quas dolorem aut beatae. Officiis dignissimos veniam quas quo aspernatur magni.","Temporibus rerum est eos sit est non. Ratione qui laboriosam veniam voluptatem molestiae. Qui officiis quas sint sit. Quod autem facere occaecati autem possimus qui et."]</t>
  </si>
  <si>
    <t>est-et-2-64-5-green</t>
  </si>
  <si>
    <t>est maxime qui</t>
  </si>
  <si>
    <t>https://via.placeholder.com/300x650.png/003322?text=Smartphone+doloremque</t>
  </si>
  <si>
    <t>["Sequi eos dolor perferendis sed ea sed explicabo accusamus.","Ut reiciendis rem quae.","Velit ducimus dolores est veniam.","Nobis placeat asperiores unde sit minima tempora.","Aperiam sint illo laudantium consequuntur eligendi.","Temporibus voluptate a id sit praesentium aliquam.","Perspiciatis culpa est facilis vitae cumque.","Asperiores laborum culpa cumque dolor.","Aut sequi aperiam ut et magnam porro non.","Officia expedita maxime nihil optio."]</t>
  </si>
  <si>
    <t>["Iure est fugit consequuntur autem pariatur sunt et a. Pariatur ipsa molestiae voluptas qui. Omnis magni dolores ut. Accusamus laborum et possimus nihil fugiat.","Et fugiat vitae sint impedit. Laborum in qui sit necessitatibus. Dolores ipsum eligendi odit ab quia rerum. Velit expedita excepturi voluptas est atque."]</t>
  </si>
  <si>
    <t>sed-quae-12-8-2-blue</t>
  </si>
  <si>
    <t>iusto in quos</t>
  </si>
  <si>
    <t>["Quod voluptatem quos voluptatum dolores ut velit.","Reprehenderit consequatur at voluptate saepe autem culpa eveniet.","Facere et quasi voluptas.","Alias qui nisi officiis.","Et deserunt neque et repellendus.","Sed veniam eum est culpa voluptate dolorum est animi.","Fugiat a similique molestias exercitationem vero qui sed.","Dignissimos officiis eos possimus sit doloribus commodi culpa.","Eius unde dolorum velit vel.","Necessitatibus doloribus quos exercitationem quaerat dolores minima illum sint."]</t>
  </si>
  <si>
    <t>["Saepe in a sint inventore voluptas. Distinctio delectus odio et sed necessitatibus accusamus. Iusto accusantium odio ut sed inventore sit vel vitae. Quis voluptatem praesentium quia accusantium tempore.","Ut illum omnis error fugit perspiciatis sed ex. Et illo qui non nihil sed eaque dolorem error. Eaque blanditiis consequatur fuga nemo ratione. Ipsam aliquam nihil deserunt porro dolores et. Aut ut dignissimos porro consequuntur commodi."]</t>
  </si>
  <si>
    <t>sed-natus-12-8-5-red</t>
  </si>
  <si>
    <t>distinctio accusantium aut</t>
  </si>
  <si>
    <t>https://via.placeholder.com/300x650.png/005555?text=Smartphone+ducimus</t>
  </si>
  <si>
    <t>["Corrupti alias corporis molestiae laborum.","Vel cumque ducimus rem est.","Saepe molestias corrupti voluptatem porro.","Voluptates qui dolores cumque error quidem nobis.","Quo ut eveniet dolores voluptatem omnis pariatur atque.","In sed enim deserunt in optio voluptatum asperiores.","Iusto enim non nulla dolores labore.","Consectetur labore assumenda veritatis qui aut repellat.","Ex nobis beatae inventore temporibus rerum rerum.","Quaerat est ipsa voluptatem et."]</t>
  </si>
  <si>
    <t>["Voluptas delectus voluptatem rerum blanditiis optio. Dolore architecto quo sit labore assumenda voluptatum aliquid. Iste molestiae similique officiis non repellat. Accusamus atque est ullam ea id.","Quia minima dolorum ipsum sed blanditiis. Ut illo ipsam qui quasi et rerum nam. Ea sit eligendi ipsam amet iste. Vitae eveniet ut quae porro."]</t>
  </si>
  <si>
    <t>aspernatur-aliquam-4-128-3-red</t>
  </si>
  <si>
    <t>nihil ipsam temporibus</t>
  </si>
  <si>
    <t>https://via.placeholder.com/300x650.png/00eeaa?text=Smartphone+earum</t>
  </si>
  <si>
    <t>["Voluptas quod aut provident fuga rerum.","Aut quia labore et sapiente.","Ut distinctio eveniet vel et.","Animi et tempore voluptate id.","Consequatur sapiente a aliquam eos perspiciatis rerum.","Ea enim impedit itaque quia.","Minima quia qui sed aspernatur.","Maiores labore sed aspernatur recusandae dolorem praesentium.","Quo maxime nostrum a fuga et dignissimos eum.","Consequatur rerum quia at adipisci."]</t>
  </si>
  <si>
    <t>["Mollitia facere fuga necessitatibus aliquid ex cum rem sed. Vero porro ex ea ea ipsum ea et temporibus. Cupiditate voluptates est debitis error maxime ut.","Et hic voluptatem explicabo eligendi impedit. Est voluptatum aut vel delectus incidunt. Nisi nobis aperiam ullam ut reprehenderit quis qui. Distinctio et omnis nisi quas odit eligendi nemo."]</t>
  </si>
  <si>
    <t>et-aliquid-8-64-3-black</t>
  </si>
  <si>
    <t>minima omnis ea</t>
  </si>
  <si>
    <t>https://via.placeholder.com/300x650.png/00ffbb?text=Smartphone+tempora</t>
  </si>
  <si>
    <t>["Beatae aperiam dolor nisi ea delectus.","Recusandae eum mollitia vel facilis.","Consequatur dolorem aliquid et maxime et eos et.","Distinctio quaerat porro eos esse.","Aut velit est reprehenderit.","Eaque mollitia animi libero eos molestias ut quaerat.","Aliquid nemo nam et voluptatem vel reiciendis.","Autem tenetur enim aut amet.","Animi placeat nisi molestiae ipsam at repellendus necessitatibus et.","Nemo sed nam provident ut quam aut."]</t>
  </si>
  <si>
    <t>["Rerum quis unde numquam inventore. Et numquam saepe non.","Dolore et voluptate est aut laborum labore. Eius exercitationem iusto eum fugiat dolores. Aut dicta eaque ad eligendi ut libero sint. Dignissimos est temporibus odio."]</t>
  </si>
  <si>
    <t>corrupti-ducimus-4-512-6-black</t>
  </si>
  <si>
    <t>odio impedit magnam</t>
  </si>
  <si>
    <t>https://via.placeholder.com/300x650.png/007788?text=Smartphone+consectetur</t>
  </si>
  <si>
    <t>["Et sed consequatur totam harum minus voluptate et.","Reprehenderit magni odit sint blanditiis totam ut non.","Odit consequatur neque facere deleniti et tempore ab.","Consequatur sunt est ratione odit laudantium sit maiores.","Quia et veritatis cum ipsam quo qui est.","Cumque ducimus blanditiis deserunt tempore.","Ut aut explicabo nam occaecati quas et.","Perspiciatis voluptatem est temporibus maxime consequatur dolore aut.","Voluptatem tempore eaque laudantium vero non.","Sit sunt pariatur vero ea dolor."]</t>
  </si>
  <si>
    <t>["Rem praesentium hic dicta nesciunt molestiae. Hic amet alias iste iure eaque.","Ut sed at laboriosam rem hic consectetur impedit. Eum aut tenetur ut aut. Amet perspiciatis laboriosam est distinctio voluptatem accusantium. Consectetur consequatur quibusdam temporibus earum explicabo illum."]</t>
  </si>
  <si>
    <t>aspernatur-aut-12-8-4-black</t>
  </si>
  <si>
    <t>neque facere nobis</t>
  </si>
  <si>
    <t>https://via.placeholder.com/300x650.png/003366?text=Smartphone+et</t>
  </si>
  <si>
    <t>["Nulla est ipsa excepturi quae quos ea.","Et ipsa voluptatibus cumque repudiandae expedita.","Voluptatem eos totam tempora deserunt repudiandae.","Facere qui et quam quas.","Ex quibusdam provident sunt accusamus non veritatis.","Beatae quia repellendus assumenda fugiat quos.","Ab consectetur est iste dolores nihil molestiae optio.","Consequatur qui dolor autem dolore voluptatem.","Odio nihil magnam ea dolorum.","Error omnis ut enim sit dolorem."]</t>
  </si>
  <si>
    <t>["Cumque quae quo ut est. Autem labore non occaecati est animi ipsam. Ullam molestiae quis eos qui cupiditate non vel expedita. Voluptatem adipisci et molestias aspernatur corrupti voluptatem explicabo minima.","Dolorum minus ut illo voluptatem ab ut inventore. Quibusdam illo perferendis velit dicta ipsa nemo assumenda. Sequi placeat quia consequatur non dicta quia."]</t>
  </si>
  <si>
    <t>ut-blanditiis-2-128-4-blue</t>
  </si>
  <si>
    <t>qui ut tenetur</t>
  </si>
  <si>
    <t>https://via.placeholder.com/300x650.png/005500?text=Smartphone+nemo</t>
  </si>
  <si>
    <t>["Dicta voluptas qui sunt nobis blanditiis.","Facilis et tempora est non.","Aut omnis exercitationem possimus.","Soluta facere esse velit exercitationem necessitatibus est earum nulla.","Vel quos odit qui et laudantium nihil similique.","Praesentium facere voluptate ipsum voluptates et.","Velit hic tempore et nisi repellat earum.","Optio et voluptate iste rem reprehenderit ipsam est est.","Et tenetur deserunt repellat qui ducimus in.","Qui ullam nesciunt vel aperiam."]</t>
  </si>
  <si>
    <t>["Quis quae quia ad reiciendis ab doloribus cupiditate ut. Praesentium voluptatem alias consequatur illo. Harum nesciunt atque ullam minima. Magnam dignissimos cum non perferendis. Dolorem mollitia sed repudiandae quo consequatur illo deleniti.","Quibusdam qui velit enim eveniet dignissimos et quia. Accusamus ut voluptas iusto voluptatem dolor. Tempore et modi sit consequatur. Minus hic porro laudantium doloremque nihil libero."]</t>
  </si>
  <si>
    <t>corrupti-incidunt-6-32-4-black</t>
  </si>
  <si>
    <t>voluptatum consequatur molestiae</t>
  </si>
  <si>
    <t>https://via.placeholder.com/300x650.png/000022?text=Smartphone+cumque</t>
  </si>
  <si>
    <t>["Odio eum tenetur non fugiat perferendis voluptas totam.","Autem magni fugit blanditiis placeat omnis dignissimos.","Necessitatibus in est deleniti maiores aspernatur aut fuga sequi.","Reprehenderit velit labore non facere ab quia.","Ipsum necessitatibus dolor beatae voluptas eligendi.","Ea distinctio possimus et minus libero nulla.","Laboriosam quasi sed vel esse reprehenderit corporis.","Similique consequatur ipsam iure quam maxime soluta.","Et dolor ipsa doloribus odit sint voluptas.","Sequi explicabo quibusdam quam sint temporibus qui dolorum magnam."]</t>
  </si>
  <si>
    <t>["Sint animi libero eos velit et cupiditate sapiente est. Est deserunt ut nam excepturi eligendi impedit. Et expedita minus quae dolorem quidem blanditiis dolorem labore.","Ea quis blanditiis error voluptatum. Repudiandae cumque aliquam rerum voluptatem sed nisi. Saepe esse sequi non non mollitia ut."]</t>
  </si>
  <si>
    <t>voluptate-reprehenderit-12-128-2-white</t>
  </si>
  <si>
    <t>porro sint et</t>
  </si>
  <si>
    <t>https://via.placeholder.com/300x650.png/002266?text=Smartphone+aut</t>
  </si>
  <si>
    <t>["Et ut ex reiciendis.","Animi fuga modi tempore nulla pariatur quis.","Provident ducimus at tenetur nemo reprehenderit.","Temporibus blanditiis vero sed et.","Et occaecati aut sed.","Earum fugit velit nesciunt consectetur minus voluptas.","Nam vel fugiat explicabo aliquam nisi inventore.","Alias quasi suscipit est assumenda ut harum.","Occaecati delectus qui sint saepe soluta laborum.","Consequatur accusamus quibusdam sequi beatae ut est."]</t>
  </si>
  <si>
    <t>["A aspernatur est dicta qui. Ad quae vel nostrum rem aut asperiores. Et quia officiis veniam aut aut velit.","Sequi est incidunt facere dolor explicabo quo officia consectetur. Unde reprehenderit fugit ut nam iure tempore. Perferendis cumque et odio possimus voluptatem."]</t>
  </si>
  <si>
    <t>maiores-quod-6-64-2-green</t>
  </si>
  <si>
    <t>ut veniam beatae</t>
  </si>
  <si>
    <t>https://via.placeholder.com/300x650.png/0011bb?text=Smartphone+autem</t>
  </si>
  <si>
    <t>["Quis amet ut vel temporibus.","Eius quis eum natus itaque dicta enim molestias.","Asperiores est velit magni et.","Amet quasi voluptas sit quia libero quia.","Quam ut nihil quibusdam labore in ea.","At quia explicabo optio voluptatum.","Quam fuga magni quis magni voluptatem.","Voluptas error non sint vero quia quibusdam.","Et sit ducimus repudiandae dignissimos necessitatibus.","Sint dolorem at quidem rem quo sed."]</t>
  </si>
  <si>
    <t>["Nemo consequatur esse voluptatem aliquam necessitatibus. Hic et aliquid maiores unde. Magnam officiis voluptatem aspernatur molestiae sit facere repudiandae. Ad quidem aspernatur iure alias.","Qui pariatur exercitationem ratione sed culpa ut aut. Debitis quis et natus ut omnis esse. Autem ipsam eos qui est. Tempora eaque animi magni et qui molestiae sit."]</t>
  </si>
  <si>
    <t>ut-eos-8-8-4-green</t>
  </si>
  <si>
    <t>omnis provident voluptatem</t>
  </si>
  <si>
    <t>https://via.placeholder.com/300x650.png/00ff00?text=Smartphone+nihil</t>
  </si>
  <si>
    <t>["Vel quasi nam velit aut.","Omnis molestiae libero numquam omnis dolor.","Saepe exercitationem ut ex quaerat tenetur asperiores cupiditate et.","Quod consequatur cumque aut excepturi.","Molestiae perferendis quia eveniet expedita itaque.","Laboriosam maiores corporis doloribus autem.","Magni atque minima et quia est aspernatur.","Adipisci placeat tenetur autem accusantium at rerum.","Repudiandae deleniti quos cupiditate doloremque.","Enim soluta ipsa maiores ut."]</t>
  </si>
  <si>
    <t>["Et sequi sed illum est. Saepe reprehenderit odit consequuntur fugiat porro sint fugit molestiae. Id voluptas est voluptatibus et ea doloribus. Vero ea et consequatur repellendus repellat temporibus.","Fuga cupiditate aut est dignissimos non fugiat est. Et perspiciatis voluptatem rerum adipisci molestias quidem."]</t>
  </si>
  <si>
    <t>est-et-12-512-2-blue</t>
  </si>
  <si>
    <t>sed neque est</t>
  </si>
  <si>
    <t>https://via.placeholder.com/300x650.png/008833?text=Smartphone+culpa</t>
  </si>
  <si>
    <t>["Occaecati necessitatibus reiciendis eos eligendi.","Et qui voluptate odit.","Et sint labore repudiandae voluptatem.","Amet et velit labore repellendus fugit eligendi nihil.","Pariatur praesentium laboriosam similique temporibus tempora enim aut.","Sed dolor placeat occaecati odit aut rerum sapiente.","Dolores consequatur labore perspiciatis magni blanditiis autem.","Facilis aliquid et quia id dolor dolorem.","Qui ullam molestiae ea aspernatur ratione cupiditate deleniti libero.","Sint laborum enim officia corrupti ullam."]</t>
  </si>
  <si>
    <t>["Ratione distinctio recusandae illo delectus consequatur magni consequatur. Rerum nam quia voluptatum cupiditate tempore aut velit. Quae suscipit sed accusantium quia aut ut expedita.","Iure dignissimos repudiandae esse nihil sunt velit esse. Earum sunt ea enim. Aut culpa sint maxime cumque aut. Aperiam ut dicta non ex similique sed fugit."]</t>
  </si>
  <si>
    <t>aspernatur-aut-6-128-5-white</t>
  </si>
  <si>
    <t>quae accusamus nihil</t>
  </si>
  <si>
    <t>https://via.placeholder.com/300x650.png/00ccee?text=Smartphone+minus</t>
  </si>
  <si>
    <t>["Sunt aliquam laboriosam cum dolor vel sed nobis recusandae.","Et voluptatem id expedita et iure nam.","Debitis veritatis sequi pariatur enim.","Alias est aut quasi repellendus.","Qui beatae iusto aut.","Ratione id nostrum ut aliquam qui ut.","Nobis eos iste officia saepe iure.","Autem rerum dolor ut culpa recusandae omnis.","Aspernatur suscipit doloribus ipsam.","Aut beatae qui non et impedit pariatur quam vel."]</t>
  </si>
  <si>
    <t>["Doloremque aut architecto recusandae sint voluptatem exercitationem voluptatem. Dicta explicabo aliquam deserunt assumenda explicabo totam provident. Dolorem omnis excepturi molestiae explicabo et.","Molestiae velit omnis aspernatur magni. Eius autem veniam quaerat velit id. Aliquid dolores incidunt est commodi."]</t>
  </si>
  <si>
    <t>aspernatur-sit-6-16-5-white</t>
  </si>
  <si>
    <t>incidunt omnis veniam</t>
  </si>
  <si>
    <t>https://via.placeholder.com/300x650.png/0088dd?text=Smartphone+sit</t>
  </si>
  <si>
    <t>["Qui ipsa sunt impedit.","Est quis magni vel perspiciatis.","Reprehenderit aut et et quo assumenda.","Ipsam modi magnam commodi perspiciatis aut et sed expedita.","Illum sit id minus ut explicabo quis dolores.","Quas et ea quod hic consequatur molestiae.","Nulla et consequuntur enim nihil.","Eius voluptatum molestiae voluptatem quas cumque impedit fugiat voluptas.","Ad dolores qui pariatur aut laborum eum.","Et natus earum quis aut ut voluptatem."]</t>
  </si>
  <si>
    <t>["Corporis labore et et voluptas. Quia sapiente repellat qui in. Mollitia quaerat repellendus nesciunt.","Repudiandae doloribus tempora quod veritatis et sit architecto. Cumque quibusdam dolorem similique. Quo recusandae cupiditate ipsam velit delectus sapiente. Atque numquam perspiciatis esse delectus odio ea quasi."]</t>
  </si>
  <si>
    <t>ut-eos-2-512-4-green</t>
  </si>
  <si>
    <t>voluptate nemo vitae</t>
  </si>
  <si>
    <t>https://via.placeholder.com/300x650.png/008800?text=Smartphone+commodi</t>
  </si>
  <si>
    <t>["Cumque sit earum dolor esse nostrum.","Commodi aspernatur perspiciatis nulla fuga itaque modi quia voluptatum.","Consequuntur debitis eligendi quo illo.","Quia ipsam aut consequatur a quis est.","Est exercitationem earum sint sint tenetur omnis.","Quibusdam et saepe aut ab.","Necessitatibus dolores velit corrupti odio quasi quis.","Corporis consequatur ea consequatur omnis et dolor enim.","Aperiam consequuntur esse necessitatibus et quaerat voluptatem.","Adipisci ut recusandae consequatur consectetur quis alias est sit."]</t>
  </si>
  <si>
    <t>["Ullam asperiores quae suscipit a aut qui est. Molestiae quis numquam tempore aut ab voluptas. Nostrum pariatur et dolor. Dignissimos ut qui occaecati sed vero.","Repellat sapiente et vero quisquam qui consectetur. Ullam eum dolor rerum voluptatem occaecati non quisquam. Ut cum et sunt odit itaque officiis dolor. Quia beatae corporis neque et eos maiores doloremque veritatis."]</t>
  </si>
  <si>
    <t>aspernatur-eos-4-512-5-black</t>
  </si>
  <si>
    <t>unde et sit</t>
  </si>
  <si>
    <t>https://via.placeholder.com/300x650.png/005500?text=Smartphone+autem</t>
  </si>
  <si>
    <t>["Ea incidunt commodi similique esse nihil voluptatem.","Vel possimus est cumque non.","Perferendis repellendus laboriosam tenetur quisquam nulla.","Consequatur ut dignissimos rerum rerum ea rerum maiores quia.","Provident necessitatibus sunt impedit dignissimos omnis atque earum.","Possimus et voluptatum et voluptatum dignissimos modi.","Praesentium et et voluptatem ex vel et est.","Nihil quae asperiores eum amet eos velit.","Repellendus vel maiores culpa iste ut eum.","Ullam quisquam ducimus omnis praesentium quia aut exercitationem."]</t>
  </si>
  <si>
    <t>["Sit delectus dicta quod itaque. Et aut autem molestiae ullam repellat. Laboriosam voluptatum doloremque iusto corporis rerum perspiciatis. Excepturi quis voluptatum illum iusto porro molestias enim quam.","Nostrum eum eum voluptatibus adipisci qui nemo nulla velit. Perferendis nihil consequatur sed eum."]</t>
  </si>
  <si>
    <t>et-voluptate-4-16-6-blue</t>
  </si>
  <si>
    <t>sunt non itaque</t>
  </si>
  <si>
    <t>https://via.placeholder.com/300x650.png/00aaaa?text=Smartphone+assumenda</t>
  </si>
  <si>
    <t>["Earum sint ipsam eligendi totam nobis consectetur est.","Voluptas cupiditate numquam beatae totam voluptate ratione.","Labore dicta laudantium assumenda.","Est illo rem sequi non tenetur pariatur sit.","Omnis impedit dolor ex corporis eum.","Ratione et vel non exercitationem qui impedit repellat.","Temporibus consectetur doloremque tempora velit voluptate hic repudiandae.","Adipisci ut illo sed quia.","Aut expedita aut nulla libero dolor similique.","Accusamus atque cupiditate cupiditate fugiat aliquam cupiditate consectetur."]</t>
  </si>
  <si>
    <t>["A aut fugit nulla cum praesentium est nulla. Ullam libero ut sit est saepe sunt.","Iste labore unde enim quia. Nisi fugit laborum impedit ratione. Est doloremque aut sed alias et."]</t>
  </si>
  <si>
    <t>maiores-deleniti-8-64-5-green</t>
  </si>
  <si>
    <t>deleniti laudantium sit</t>
  </si>
  <si>
    <t>https://via.placeholder.com/300x650.png/002288?text=Smartphone+necessitatibus</t>
  </si>
  <si>
    <t>["Laudantium voluptate quo quos expedita iure.","Velit magni impedit facilis ab sunt.","Corporis iusto corrupti optio veritatis dolor nisi eos voluptas.","Temporibus illo ab aut dolor modi.","Qui sed ullam perferendis culpa.","Maiores qui sed error ut quo.","Consequuntur rerum quo nisi eum alias ab cumque.","Fugit qui molestiae consequatur natus placeat iste maiores et.","Possimus repudiandae consequatur minima omnis.","Odio eaque possimus accusamus nisi."]</t>
  </si>
  <si>
    <t>["Non quia voluptatem ut eveniet temporibus nihil. Voluptatem eos voluptates cum enim. Et quis velit vitae est excepturi officia perspiciatis quo. Quia saepe rerum quia totam dicta quod aut.","Vitae illo occaecati et suscipit. Ipsa est iste odit laudantium. Ut aut eos et ut quisquam."]</t>
  </si>
  <si>
    <t>voluptate-itaque-6-512-4-white</t>
  </si>
  <si>
    <t>quod ut inventore</t>
  </si>
  <si>
    <t>https://via.placeholder.com/300x650.png/008800?text=Smartphone+minus</t>
  </si>
  <si>
    <t>["Aut voluptates pariatur id nobis est explicabo alias.","Tempora quia aut quidem sint facere quos eum.","Deserunt et facere assumenda deleniti culpa nam.","Quia dolor sequi in nulla hic et voluptate quibusdam.","Enim qui voluptatem voluptas recusandae qui non.","Ut sequi eum ducimus accusantium sint iusto eum.","Maxime nihil nesciunt et veritatis.","Eos a enim dolor nobis magni ipsam asperiores qui.","Architecto inventore occaecati et eum et eveniet.","Iure aspernatur recusandae maxime sed numquam asperiores quos."]</t>
  </si>
  <si>
    <t>["Vero nihil et dicta delectus animi ut aperiam. Placeat corporis nemo qui.","Incidunt sequi sed cumque laudantium aliquam officiis omnis incidunt. Velit culpa in assumenda vitae."]</t>
  </si>
  <si>
    <t>voluptate-aut-4-16-4-white</t>
  </si>
  <si>
    <t>optio dignissimos laudantium</t>
  </si>
  <si>
    <t>https://via.placeholder.com/300x650.png/0011bb?text=Smartphone+reprehenderit</t>
  </si>
  <si>
    <t>["Ratione rerum odit assumenda repudiandae dolores optio at voluptate.","Corporis tempora reiciendis rem sed voluptatibus non.","Et est maiores porro vel quaerat nemo.","Eum numquam aspernatur dignissimos dolorem nostrum quasi omnis.","Sit enim velit et doloremque a dolorum neque.","Dolor eveniet cupiditate harum et.","Labore delectus amet dolorem quia.","Quae est eos aut architecto omnis qui optio assumenda.","Et tenetur in ut alias.","Praesentium quaerat aliquam impedit et exercitationem illo in iusto."]</t>
  </si>
  <si>
    <t>["Voluptates quia perspiciatis nesciunt fugiat recusandae cupiditate fuga. Reprehenderit mollitia quae numquam corporis sint placeat dolore. Veniam aspernatur consectetur hic atque. Magni soluta eum et odio facilis.","Praesentium voluptas velit sunt qui. Adipisci sed non nihil expedita fugit aperiam aut. Illum ex sed natus vero. Impedit ut libero totam omnis."]</t>
  </si>
  <si>
    <t>sed-earum-6-16-4-black</t>
  </si>
  <si>
    <t>dolor repellendus reiciendis</t>
  </si>
  <si>
    <t>https://via.placeholder.com/300x650.png/00bb00?text=Smartphone+recusandae</t>
  </si>
  <si>
    <t>["Facilis at qui est voluptas nesciunt.","Deleniti et quia nostrum qui rem eaque numquam qui.","Omnis voluptatem enim quia nostrum repudiandae aut voluptates quaerat.","Totam aut eaque et.","Et est blanditiis ipsam et autem consequatur beatae.","Exercitationem voluptatum quis nisi autem nihil.","Accusamus numquam sunt nam cumque dolorem unde tempora eaque.","Ut laborum et molestiae qui eos.","Ipsam assumenda ullam velit veritatis ut minus quaerat.","Quo consectetur voluptatibus nulla temporibus sint eveniet magni."]</t>
  </si>
  <si>
    <t>["Ut quidem voluptatibus tempore non dolore. Voluptatum repellendus ratione aspernatur fugit accusamus quia reiciendis fugit. Dolorem voluptas doloremque quibusdam autem sunt. Perspiciatis rem optio quas sed quaerat quo.","Vero dignissimos placeat et non dolor asperiores dolores. Ab sit quis voluptatem aut occaecati. Et maxime illo quia nihil. Voluptatem tempora sunt voluptatem ut tempora vero impedit."]</t>
  </si>
  <si>
    <t>aspernatur-asperiores-12-64-3-white</t>
  </si>
  <si>
    <t>id nobis rerum</t>
  </si>
  <si>
    <t>https://via.placeholder.com/300x650.png/00bbee?text=Smartphone+alias</t>
  </si>
  <si>
    <t>["Eos mollitia repellendus dicta illo natus illum numquam numquam.","Neque consequatur recusandae quis error.","Est laudantium veritatis est dolor nostrum commodi soluta.","Doloremque dolorem corporis aspernatur velit.","Itaque est ducimus quidem est qui.","Molestiae optio est doloribus laborum repudiandae.","Sed autem omnis velit saepe quae autem et.","Quo quia ea iusto commodi aliquid ullam.","Ullam ea ducimus voluptatem eum.","Dolorem necessitatibus est ut sunt reiciendis laboriosam optio."]</t>
  </si>
  <si>
    <t>["Nobis occaecati ipsum quos hic distinctio beatae perspiciatis quidem. Et ex aliquam assumenda debitis libero voluptas.","Et possimus voluptas dolor dolores quidem aliquid. Qui architecto nisi necessitatibus aperiam aut. Odio at exercitationem vero ad."]</t>
  </si>
  <si>
    <t>voluptate-similique-8-64-5-black</t>
  </si>
  <si>
    <t>nihil qui soluta</t>
  </si>
  <si>
    <t>https://via.placeholder.com/300x650.png/00ffff?text=Smartphone+eius</t>
  </si>
  <si>
    <t>["Qui ex dolores dolor et.","Reprehenderit omnis est saepe debitis in.","Necessitatibus sint doloribus optio.","Autem est in animi inventore id.","Nobis quod similique est et quibusdam et ducimus.","Consectetur labore nisi eos nobis quisquam.","Ratione sequi quasi dolorem.","Ipsum explicabo ipsam et officiis vel dolore sunt et.","Ratione veniam quaerat debitis enim alias magni.","Quo nihil officiis odio eum tempora explicabo."]</t>
  </si>
  <si>
    <t>["Omnis explicabo distinctio reiciendis illo. Voluptates iusto harum unde dolorem. Sint vero voluptas velit quis adipisci vel et.","Dolorem omnis aut veniam suscipit enim iusto perspiciatis. Sunt animi sapiente voluptatem a tempore exercitationem. Numquam necessitatibus quo eos mollitia. Aliquid quos provident est quis quia."]</t>
  </si>
  <si>
    <t>ut-eos-4-8-2-blue</t>
  </si>
  <si>
    <t>et perspiciatis atque</t>
  </si>
  <si>
    <t>https://via.placeholder.com/300x650.png/00eedd?text=Smartphone+perferendis</t>
  </si>
  <si>
    <t>["Et enim mollitia recusandae magnam beatae.","Libero omnis autem rerum voluptates rerum.","Atque facere qui vero id ut ut.","Ad iure deserunt voluptatem saepe dolor maiores.","Dicta aliquid facilis ipsam sapiente et.","Vero dolores placeat doloribus sit rerum.","Dolorem totam eligendi voluptates placeat.","Eligendi et et voluptas facere eum sit qui.","Aut eaque exercitationem soluta consequatur cum exercitationem.","Sunt quisquam temporibus ut omnis omnis quis ullam."]</t>
  </si>
  <si>
    <t>["Debitis ut consequuntur et iste qui unde eos. Magni et omnis ratione eveniet laboriosam sit molestias odit. Eius corporis deleniti eaque corrupti. Asperiores doloremque alias labore facere atque vel. Rerum maiores fugit expedita ab fugit dolorem repellendus laboriosam.","Nobis error saepe voluptatibus. Qui suscipit qui dolor enim fugit enim. Voluptatem et ut quo quis non sint. Nesciunt voluptas enim qui aut nihil."]</t>
  </si>
  <si>
    <t>aspernatur-eos-2-512-2-white</t>
  </si>
  <si>
    <t>quidem sed harum</t>
  </si>
  <si>
    <t>https://via.placeholder.com/300x650.png/00ffcc?text=Smartphone+autem</t>
  </si>
  <si>
    <t>["Vel praesentium similique voluptatem cum.","Accusamus eius repellat enim et eos eos voluptatem.","Inventore fugiat neque quam et.","Qui et praesentium eveniet voluptate.","Sint harum magni consequuntur minima expedita atque libero commodi.","Aut quam accusantium et qui.","Qui quasi quod porro sed vel.","Ut nam nisi voluptatem dolore vel aut mollitia.","Sit omnis et quae cumque quia et laudantium quia.","Est corrupti nihil est nihil."]</t>
  </si>
  <si>
    <t>["Velit id ut dolorem nemo autem aliquid nihil. Saepe consequatur voluptatibus quae voluptatem facere quos aut ullam. Tempore deleniti magnam nostrum beatae veritatis harum. Amet quia ut dolore.","Eos quibusdam nihil tempore odio aut hic architecto numquam. Sit beatae at et animi. Et libero distinctio quas consequatur quam optio qui."]</t>
  </si>
  <si>
    <t>illum-sed-4-512-5-white</t>
  </si>
  <si>
    <t>assumenda aut est</t>
  </si>
  <si>
    <t>https://via.placeholder.com/300x650.png/003311?text=Smartphone+nobis</t>
  </si>
  <si>
    <t>["Expedita molestias ut voluptas quaerat molestias labore eligendi.","Suscipit delectus officia ratione qui eius optio nesciunt.","Id asperiores vel earum facilis vel maiores alias.","Quasi sed expedita laboriosam nihil culpa ut.","Sit eos numquam sed repudiandae sed iure.","Modi dolorum qui doloribus ut impedit temporibus.","Impedit voluptates dolorem blanditiis maxime assumenda earum iusto et.","Qui cumque enim maiores commodi distinctio repellat ea.","Tenetur a quod itaque illum voluptates nam atque rerum.","Nemo quisquam nihil est a."]</t>
  </si>
  <si>
    <t>["In magni sit nostrum maiores et quis asperiores commodi. Aut voluptatibus deserunt dignissimos similique velit et nulla earum. Esse molestiae eligendi est est aut eum. Id saepe rem aut aut sed quis et.","Molestiae sit et repellat consequuntur qui exercitationem. Necessitatibus omnis magni reiciendis quam nostrum deserunt velit."]</t>
  </si>
  <si>
    <t>illum-et-2-32-6-white</t>
  </si>
  <si>
    <t>iure saepe error</t>
  </si>
  <si>
    <t>https://via.placeholder.com/300x650.png/007711?text=Smartphone+laudantium</t>
  </si>
  <si>
    <t>["Et molestiae aut sunt aut.","Magni et aut aut aut qui adipisci vero sequi.","Facilis quasi incidunt rerum ut nostrum saepe.","Maxime debitis necessitatibus officia perspiciatis consectetur.","Deserunt iure repellat sit doloribus odio ab sit.","Ab magnam saepe similique est.","Officiis repellendus perspiciatis inventore sed optio.","Et aut consequatur non veniam.","Quia quisquam voluptatum repudiandae aut fuga impedit doloribus delectus.","Itaque modi eum tempore est cumque debitis."]</t>
  </si>
  <si>
    <t>["Recusandae qui voluptatem labore quae voluptatem. Aut quaerat eveniet quod repellat maiores. Voluptatum soluta error ut. Neque blanditiis qui voluptas libero inventore est. Itaque repellat doloremque dolorem voluptas quia ut in.","Atque aut perferendis iure soluta magnam. Et accusamus consequuntur nesciunt natus. Eius fugiat placeat voluptatem nihil pariatur et quibusdam."]</t>
  </si>
  <si>
    <t>et-sit-4-512-2-white</t>
  </si>
  <si>
    <t>dolores mollitia et</t>
  </si>
  <si>
    <t>https://via.placeholder.com/300x650.png/00ddff?text=Smartphone+nostrum</t>
  </si>
  <si>
    <t>["Consequuntur nihil nobis magni sunt non.","Eos fugiat sed est sed quis in similique.","Amet perspiciatis repellat voluptatibus quibusdam et dolor.","Facere quia corporis sed aut.","Enim vero iure esse quae.","Molestiae eum esse laudantium et vitae optio ut eum.","Qui corporis voluptates sit nemo quae vero nulla velit.","Maxime rerum maxime quasi officiis natus et.","Quis quo tempora sunt modi.","Dolorum quibusdam numquam fuga."]</t>
  </si>
  <si>
    <t>["Velit recusandae qui cum rerum. Porro autem voluptatem molestiae dolores nulla est omnis. Deleniti ullam qui rerum ea sed. Omnis ad maiores dolores ratione sunt. Delectus amet autem quod.","Saepe soluta non voluptatem dolor quia animi. Sit et earum odio est. Id temporibus rerum cumque nulla aliquid maiores. Deleniti sit omnis dicta pariatur est. Distinctio in ut quam veritatis."]</t>
  </si>
  <si>
    <t>sed-rerum-2-512-4-black</t>
  </si>
  <si>
    <t>voluptatem tempore quas</t>
  </si>
  <si>
    <t>https://via.placeholder.com/300x650.png/0099ff?text=Smartphone+voluptas</t>
  </si>
  <si>
    <t>["In nihil eaque repellat alias.","Laborum non id dolore voluptas ipsam nam ad.","Ut voluptatibus culpa molestiae explicabo autem.","Sit ea accusantium iusto et est vitae animi.","Qui alias nulla earum facere.","Earum consequatur ratione saepe.","Accusamus consequatur praesentium voluptatem placeat consequatur dolorum.","Consequatur nemo nihil et error sunt modi ut voluptas.","Aliquam repellat vitae sunt reprehenderit voluptatibus optio.","Quasi minus voluptas est odit sint minima hic."]</t>
  </si>
  <si>
    <t>["Aut nisi rerum sint ratione maxime. Harum eum expedita id rem. Aperiam iste modi quia iure in neque. Et dolorum voluptas neque maxime qui consequatur libero. Quisquam eum ut amet id molestiae enim.","Iure quas corrupti cupiditate nihil. Qui itaque minus quo sunt quia aut omnis quo. Culpa sint corrupti et et."]</t>
  </si>
  <si>
    <t>sed-necessitatibus-6-8-6-black</t>
  </si>
  <si>
    <t>quis incidunt sit</t>
  </si>
  <si>
    <t>https://via.placeholder.com/300x650.png/0066ff?text=Smartphone+aut</t>
  </si>
  <si>
    <t>["Voluptatem nemo voluptatem placeat id exercitationem ducimus voluptas.","Iste cumque nesciunt atque voluptas quos.","Ducimus sapiente molestiae aspernatur laudantium et qui.","Voluptates ad sint non delectus error molestiae.","Placeat modi est quo alias consequatur.","Voluptatem quaerat non tempora error corporis.","Culpa pariatur ullam minima aspernatur quo aperiam commodi.","Voluptatem quibusdam ad illum dolores consequuntur laudantium.","Magnam et et voluptates voluptatem non molestiae placeat omnis.","Quae sit doloribus hic sint."]</t>
  </si>
  <si>
    <t>["Cupiditate aut iste dolor quo. Recusandae cum est non omnis beatae. Perferendis molestias ullam natus aliquam voluptatem alias fugiat.","Earum consectetur sint velit error velit adipisci. Officia accusamus eius qui eius cum voluptas aliquid non. Tenetur eum unde a id autem."]</t>
  </si>
  <si>
    <t>corrupti-qui-6-64-4-black</t>
  </si>
  <si>
    <t>eaque in quia</t>
  </si>
  <si>
    <t>https://via.placeholder.com/300x650.png/0055ee?text=Smartphone+aut</t>
  </si>
  <si>
    <t>["Distinctio aliquam debitis ut voluptatibus vitae occaecati.","Ipsa autem tenetur commodi ea.","Exercitationem pariatur facere ut illo dolorem omnis.","Non rem rerum natus asperiores debitis a.","Quibusdam laborum magnam explicabo voluptatem voluptatem et.","Adipisci eius earum eos aut unde labore officiis.","Odio repudiandae occaecati sunt nisi dolorum.","Fuga tempore saepe voluptatem aliquid ea esse consequatur.","Impedit maiores molestias quam assumenda facilis voluptates nihil.","Magnam et est aspernatur est."]</t>
  </si>
  <si>
    <t>["Recusandae quo veniam qui vel est beatae et. Autem rem in deserunt ut neque non. Non magnam explicabo inventore id eum. Cum neque doloremque assumenda dolorem.","Maxime earum excepturi excepturi vero. Sunt hic perferendis sit voluptatem quas sit. Expedita rem inventore sunt et nemo qui sed eum. Aut voluptatibus dolore ipsa et nihil minus."]</t>
  </si>
  <si>
    <t>illum-ullam-12-8-2-white</t>
  </si>
  <si>
    <t>nesciunt accusantium vero</t>
  </si>
  <si>
    <t>https://via.placeholder.com/300x650.png/007777?text=Smartphone+tenetur</t>
  </si>
  <si>
    <t>["Ut deserunt et molestiae.","Aperiam esse ut quisquam ab rem ut.","Cumque id eveniet qui beatae explicabo voluptate sapiente.","Dolor quod ut molestiae ut laborum suscipit animi velit.","Magni quam corrupti magnam debitis molestiae beatae.","Asperiores consequatur non sequi.","Laboriosam laboriosam voluptates quisquam.","Rem expedita culpa est sed modi non enim.","Nam ea qui illo vitae explicabo corrupti quibusdam.","Est quos repellendus voluptates dolore praesentium et velit consequatur."]</t>
  </si>
  <si>
    <t>["Qui deserunt est aspernatur eveniet. Quos modi cum ducimus hic ratione. Ut aut rerum ad placeat id blanditiis id. Distinctio est quaerat natus et aut et iure. Voluptatibus qui rerum et esse a et.","Perferendis asperiores recusandae recusandae repellendus in soluta minima eum. Ut error repudiandae distinctio quisquam quae excepturi eos. Eaque eveniet neque et quibusdam et."]</t>
  </si>
  <si>
    <t>quasi-perferendis-12-128-6-blue</t>
  </si>
  <si>
    <t>odit tenetur at</t>
  </si>
  <si>
    <t>https://via.placeholder.com/300x650.png/00ff11?text=Smartphone+eos</t>
  </si>
  <si>
    <t>["Ea magni placeat et voluptatem.","Natus dignissimos totam odit nam eos quam enim.","Laboriosam ipsum illo iste eum.","Voluptas possimus architecto molestias libero in velit.","Officiis ut dolorem voluptatem.","Rem repellendus non quia aut minima totam.","Nemo sed at dolorum cum et fugiat aspernatur.","Voluptatem nihil sed dicta aut sed ea expedita.","Laboriosam consequatur labore rerum dolor error autem.","Culpa ipsam similique laudantium at distinctio velit nulla."]</t>
  </si>
  <si>
    <t>["Itaque delectus iste dolores rerum optio quibusdam eaque. Molestiae molestiae asperiores rerum ab. Eos et velit perspiciatis perspiciatis ducimus iure distinctio.","Tempora voluptas iste ducimus qui ut dolore. Rem maxime autem et ad impedit consequatur delectus. Eum fugiat adipisci qui aperiam nostrum."]</t>
  </si>
  <si>
    <t>voluptate-similique-12-128-4-green</t>
  </si>
  <si>
    <t>reiciendis molestiae expedita</t>
  </si>
  <si>
    <t>https://via.placeholder.com/300x650.png/00aadd?text=Smartphone+ipsum</t>
  </si>
  <si>
    <t>["Dolorem delectus maxime temporibus ratione a.","Officiis vel velit necessitatibus ullam.","Dicta quis odit consequuntur maxime neque quia.","Voluptates et exercitationem culpa amet optio hic incidunt.","Distinctio molestiae debitis esse vel quam.","Aspernatur quia fugit unde voluptatibus.","Voluptas minima dicta sed aspernatur nostrum.","Laborum sint pariatur quia saepe facere magnam.","Quia quaerat quia voluptatem.","Incidunt quia voluptas perferendis corrupti quos omnis in."]</t>
  </si>
  <si>
    <t>["Aperiam pariatur esse dolorem rerum. Qui sint laborum alias eos officiis. Earum nostrum laborum consequatur sunt itaque nihil. Repudiandae voluptatibus incidunt omnis quos quasi.","Quo tempore ea iure et neque totam. Quam consectetur deleniti cum accusantium molestiae. Odit eius qui quia itaque et ut expedita. Odio accusantium repellendus sunt maxime."]</t>
  </si>
  <si>
    <t>aspernatur-aut-12-64-4-red</t>
  </si>
  <si>
    <t>cumque voluptatum ut</t>
  </si>
  <si>
    <t>https://via.placeholder.com/300x650.png/00ffee?text=Smartphone+quis</t>
  </si>
  <si>
    <t>["Maxime occaecati quam sapiente praesentium maiores quae occaecati voluptate.","Voluptates eum sint laboriosam aut reprehenderit eligendi.","Totam ducimus commodi mollitia id.","Deleniti minus mollitia ut vero alias.","Sint in praesentium aut et quam ut rem.","Recusandae animi sit deleniti ipsam quae repellendus.","Velit velit non id et.","Est ea fugiat tenetur fugiat.","Dolorem adipisci maiores officiis ipsum et dolorem minus est.","Et et doloribus totam quos ut fuga."]</t>
  </si>
  <si>
    <t>["Voluptatem et illo quo natus quo adipisci delectus. Tempora facere aut iste. Facere repudiandae eius in qui culpa quo. Quas est omnis voluptatem autem sequi voluptate illum. Eius accusantium et dolores laborum similique.","Incidunt qui iusto consequatur harum quod necessitatibus dolor. Qui facere odit sed distinctio. Debitis laudantium accusantium distinctio rerum eum dolores."]</t>
  </si>
  <si>
    <t>maiores-sed-4-16-4-green</t>
  </si>
  <si>
    <t>animi nesciunt quia</t>
  </si>
  <si>
    <t>https://via.placeholder.com/300x650.png/00aa44?text=Smartphone+doloribus</t>
  </si>
  <si>
    <t>["Rem est est et libero et ipsam delectus minima.","Maiores sunt ullam beatae veniam sed earum.","Nam aut aut id harum et et quidem.","Ut sit amet necessitatibus id.","Autem neque ratione repellendus sequi.","Voluptatem fuga sed dolor nobis harum similique neque in.","Ut molestias non aut facilis sed possimus.","Quam optio suscipit est et perferendis.","Recusandae accusamus iure facere laudantium dolorum dolore.","Unde quis fugiat consequatur."]</t>
  </si>
  <si>
    <t>["Neque voluptatem accusantium sit et cum. Sequi non eos aliquid nisi quae. Qui voluptas aspernatur et dolores voluptatem qui ducimus. Placeat est beatae nulla aut placeat quibusdam eos.","Sint id hic velit reiciendis quaerat. Voluptates quibusdam sint ut ut ex ut. Maxime rerum accusantium porro est incidunt molestias."]</t>
  </si>
  <si>
    <t>ut-blanditiis-2-32-5-black</t>
  </si>
  <si>
    <t>doloremque fuga modi</t>
  </si>
  <si>
    <t>https://via.placeholder.com/300x650.png/002288?text=Smartphone+repudiandae</t>
  </si>
  <si>
    <t>["Quo sint earum accusantium quaerat quod repellat rerum.","Fugit quod est eum quam suscipit et.","Laborum illum officiis nesciunt.","Eaque omnis dolor et ratione sint.","Aut ipsam expedita sed in nobis culpa distinctio.","Illum molestias molestiae quas non rem adipisci autem ut.","In autem harum nihil et vel.","Ea et mollitia corporis molestiae aut amet.","Quia veniam amet maxime.","Molestiae qui nam perferendis consequuntur corrupti perferendis."]</t>
  </si>
  <si>
    <t>["Enim vitae qui suscipit rerum iusto sunt. Fugiat voluptas reprehenderit aut ut natus. Dolores ipsa maiores optio omnis vitae odio error. Sit quas deserunt quibusdam sequi odit.","Non et quia sequi incidunt dolorum molestiae deserunt aliquid. Occaecati ad dolores aut. Ipsam dolores modi quia veritatis."]</t>
  </si>
  <si>
    <t>illum-autem-8-512-4-white</t>
  </si>
  <si>
    <t>dolor ullam consequuntur</t>
  </si>
  <si>
    <t>https://via.placeholder.com/300x650.png/0022ee?text=Smartphone+ea</t>
  </si>
  <si>
    <t>["Quae qui molestias corrupti et corporis soluta rerum.","Molestiae tenetur omnis impedit dolorem provident labore rerum.","Non pariatur et corrupti occaecati.","Dolores sit ipsa eum consequuntur distinctio corrupti vel.","Ducimus sit saepe cum alias.","Repellat explicabo ex est iusto.","Quod illum perspiciatis nesciunt qui.","Adipisci earum laudantium id dicta nihil cum rerum voluptatem.","Natus et officiis nihil.","Non corporis natus doloribus soluta in nesciunt ipsa."]</t>
  </si>
  <si>
    <t>["Nulla ratione itaque veritatis temporibus ea aut quidem rerum. Praesentium voluptate autem necessitatibus nihil at impedit soluta. Omnis qui eveniet corrupti est autem alias sed corporis. Rem sed non enim quasi cumque.","Eius vero dolorum ut praesentium. Similique aut maiores eveniet maiores rerum laudantium. Aut ipsam illum iste nemo qui illum."]</t>
  </si>
  <si>
    <t>ut-sed-2-8-3-blue</t>
  </si>
  <si>
    <t>sequi cum aliquid</t>
  </si>
  <si>
    <t>https://via.placeholder.com/300x650.png/00ffbb?text=Smartphone+aliquid</t>
  </si>
  <si>
    <t>["Mollitia et quam libero temporibus iste aperiam.","Natus molestiae magni eos ullam aliquid.","Maiores et et dolores nulla autem libero temporibus.","Excepturi sapiente fuga deleniti numquam.","Repellat officiis corporis sed quasi.","Et assumenda ducimus quod sit alias exercitationem aut voluptatum.","Excepturi blanditiis odit minima recusandae sint eum incidunt neque.","Qui non nulla incidunt dolore.","Incidunt est consequatur minima voluptatem.","Facilis similique molestiae consequatur nulla eum quae."]</t>
  </si>
  <si>
    <t>["Maiores praesentium est aut qui nihil dolor. Ut optio atque inventore sed aut at quisquam. Iure vel est suscipit sed saepe necessitatibus.","Earum explicabo nemo sit ratione eum aut dolore dolores. Similique eos aliquid cupiditate. Quo omnis corrupti itaque quibusdam sed rerum dignissimos consectetur. Et mollitia odio repellat ex."]</t>
  </si>
  <si>
    <t>est-dolorum-8-8-6-red</t>
  </si>
  <si>
    <t>delectus molestiae fugiat</t>
  </si>
  <si>
    <t>https://via.placeholder.com/300x650.png/00cc11?text=Smartphone+quam</t>
  </si>
  <si>
    <t>["Tenetur ipsum et quasi debitis.","Rerum est in quos qui enim.","Earum alias et autem ut rem provident.","Dolorem doloribus sit dolor exercitationem tempore et.","Doloremque corrupti aut est velit dolor dolorum neque.","Porro repellendus voluptates est velit debitis delectus eum.","Praesentium quia qui laborum dolore et unde atque.","Illum id aut quisquam veritatis et id quam.","Repudiandae omnis consequatur voluptas est aut.","Recusandae vero et delectus ut saepe possimus vero."]</t>
  </si>
  <si>
    <t>["Ut vitae dolor corporis totam velit neque necessitatibus. Amet quis autem qui odit nesciunt. Dolorem sunt aut incidunt sint qui deserunt ut. Voluptatem autem necessitatibus veritatis.","Reprehenderit placeat repudiandae culpa distinctio nostrum et ad voluptatem. Harum mollitia sit repellat doloremque omnis voluptatibus. Eligendi neque temporibus iste voluptas sed sunt commodi. Assumenda voluptatem mollitia voluptatem accusamus voluptatibus rerum."]</t>
  </si>
  <si>
    <t>et-aliquid-4-64-5-red</t>
  </si>
  <si>
    <t>omnis unde vel</t>
  </si>
  <si>
    <t>https://via.placeholder.com/300x650.png/0066cc?text=Smartphone+nulla</t>
  </si>
  <si>
    <t>["Maiores ipsa iste debitis occaecati.","Id provident aut non veritatis officia debitis.","Debitis tenetur laudantium aut voluptates.","Est voluptatem assumenda et nobis.","Corrupti molestiae sed totam.","Quaerat dicta possimus aut omnis non qui incidunt.","Totam aliquam omnis eum cum quis aspernatur autem sapiente.","Dolore dolorem non ratione odit dignissimos qui nisi.","In laborum eos vero maiores.","Dicta quidem sit illo et."]</t>
  </si>
  <si>
    <t>["Quasi minus qui dolore hic vel aut debitis. Provident optio laborum in id. Illo sed ut non deleniti pariatur et. Adipisci nisi aliquid ipsa vel laborum.","Unde autem itaque soluta ut sit et. Laboriosam harum ex eaque blanditiis voluptates voluptas. Velit et sequi molestiae sed quia. Aperiam quaerat labore omnis sed."]</t>
  </si>
  <si>
    <t>voluptate-dicta-2-128-2-white</t>
  </si>
  <si>
    <t>accusamus hic architecto</t>
  </si>
  <si>
    <t>https://via.placeholder.com/300x650.png/00aaee?text=Smartphone+aut</t>
  </si>
  <si>
    <t>["Voluptatem tenetur neque atque.","Sint aut iste unde reiciendis vel dolore et.","Consequatur earum enim et et exercitationem quia.","Explicabo qui dolor et non dolorum quo.","Aliquid deleniti sunt unde voluptate voluptates.","Eum est non vitae adipisci.","Aliquid fugiat modi illo sit ut rem eveniet.","Velit rem vitae est accusantium nobis itaque qui.","Facere voluptates explicabo a est delectus beatae quas hic.","Nihil molestiae quia animi sit reiciendis laudantium voluptas."]</t>
  </si>
  <si>
    <t>["Sit nam qui delectus. Officia quo est dolores suscipit. Maiores minus illum totam eum ut quaerat totam est.","Nesciunt molestiae consequatur qui deleniti animi ducimus. Consequuntur nobis neque tempore quod. Consequatur ea dolore numquam nisi hic neque. Sed nam consequatur et laudantium et assumenda."]</t>
  </si>
  <si>
    <t>aspernatur-voluptatem-6-16-4-black</t>
  </si>
  <si>
    <t>adipisci at ratione</t>
  </si>
  <si>
    <t>https://via.placeholder.com/300x650.png/000077?text=Smartphone+aut</t>
  </si>
  <si>
    <t>["Nihil delectus dolor ut.","Vero sit facilis officiis placeat eum vero.","Vel necessitatibus dolorum occaecati tempora.","Est explicabo voluptatem asperiores magnam porro et.","Nemo consequatur rem vel a sunt consectetur animi impedit.","Occaecati velit omnis id placeat aut aperiam exercitationem.","Porro sunt saepe non qui iusto ut repellat.","Voluptas ad quas doloribus.","Excepturi et omnis dignissimos et necessitatibus at enim.","Tempora omnis voluptatem expedita asperiores veritatis dolorum."]</t>
  </si>
  <si>
    <t>["Deserunt occaecati recusandae laboriosam mollitia. Voluptatum velit porro voluptatibus autem eveniet impedit maxime. Consequatur quae quia et et tenetur voluptatem rerum.","Rem qui vero dolorem ut repellendus. Iure repellendus exercitationem deleniti qui."]</t>
  </si>
  <si>
    <t>maiores-aut-4-64-4-black</t>
  </si>
  <si>
    <t>quae hic officiis</t>
  </si>
  <si>
    <t>https://via.placeholder.com/300x650.png/0000dd?text=Smartphone+id</t>
  </si>
  <si>
    <t>["Pariatur aut eligendi aut deleniti eos.","Rerum blanditiis corporis voluptatibus.","Voluptatem ex qui sit delectus alias culpa et.","Aperiam voluptas ducimus eius quo blanditiis et.","Quaerat possimus consequatur quia qui atque in.","Nemo voluptatem harum sit aliquid labore.","Laboriosam ducimus velit ea et delectus.","Iusto ea harum illo culpa at tempora excepturi.","Alias voluptas facere accusamus sunt commodi ut.","Tenetur officia et adipisci ut officia aliquam odio."]</t>
  </si>
  <si>
    <t>["Dolorem eos et soluta nemo repellendus. Velit et qui nobis laudantium consectetur facilis recusandae porro. Sit ullam cumque pariatur ut ut fugiat ullam. Consequuntur voluptatem eum qui aut iste.","Veniam repellendus accusantium mollitia ab totam non. Saepe consectetur voluptas ipsam inventore aliquid a. Et sit fugit explicabo adipisci. Velit earum cupiditate distinctio itaque optio consequatur."]</t>
  </si>
  <si>
    <t>maiores-veritatis-4-8-5-white</t>
  </si>
  <si>
    <t>quis quasi optio</t>
  </si>
  <si>
    <t>https://via.placeholder.com/300x650.png/005566?text=Smartphone+adipisci</t>
  </si>
  <si>
    <t>["Necessitatibus quaerat ullam ipsa at dolor porro cupiditate.","Sed iure quos beatae et eos consectetur.","Incidunt deleniti nisi amet qui delectus maxime illum.","Molestiae sint nemo culpa praesentium aliquam.","Sit rerum a fuga architecto cupiditate est ea quasi.","Fugit doloremque ut rerum soluta in blanditiis non nihil.","Enim sit illo doloribus voluptas.","Cumque maiores amet quas dolores.","Sed omnis incidunt autem a consequatur eius.","Eveniet voluptate natus aut sed nesciunt vel fugit."]</t>
  </si>
  <si>
    <t>["Ducimus nam eos ipsum. Et voluptas minus dolorum praesentium maxime. Ducimus rem iste blanditiis necessitatibus.","Veritatis enim placeat et. Eligendi libero ipsum ut ab ratione vel rem. Dicta et eligendi consequuntur accusantium est sed. Aut et nam nobis quibusdam recusandae adipisci eius."]</t>
  </si>
  <si>
    <t>illum-ab-4-32-6-red</t>
  </si>
  <si>
    <t>tenetur sint quibusdam</t>
  </si>
  <si>
    <t>https://via.placeholder.com/300x650.png/00bb33?text=Smartphone+sint</t>
  </si>
  <si>
    <t>["Vero cum repellendus amet et ipsum et officiis.","Eos sit minima non cupiditate.","Quos nulla rerum et consectetur excepturi ratione.","Ut totam nemo iusto rerum ut sed.","Aut autem et sunt sint voluptates consectetur velit.","Non eum qui inventore non beatae.","Est aut reiciendis corrupti nemo omnis velit.","Est illum est iste ut totam.","Accusamus totam fugiat eligendi mollitia et repellendus.","Rerum repellat et nemo et."]</t>
  </si>
  <si>
    <t>["Iste quidem tenetur impedit ad molestias qui voluptatem. Fugit expedita rem vel suscipit ut. Qui saepe unde deserunt facilis.","Et nihil optio eius expedita. Quis soluta temporibus repudiandae ab eos quos. Nisi incidunt error qui id exercitationem qui rerum."]</t>
  </si>
  <si>
    <t>ut-ut-4-512-5-blue</t>
  </si>
  <si>
    <t>est quae est</t>
  </si>
  <si>
    <t>https://via.placeholder.com/300x650.png/005511?text=Smartphone+dolorem</t>
  </si>
  <si>
    <t>["Architecto cupiditate laboriosam quam et fugiat veniam accusantium quam.","Sint vel doloremque blanditiis iste corrupti voluptatum mollitia.","Omnis ipsa dolor voluptatem amet et.","Eum et reprehenderit ut quam vel neque dolores.","Laboriosam cum maiores qui odit mollitia id unde.","Veritatis porro enim rerum ab eos quia.","Error quo odio culpa est aut numquam.","Quibusdam qui sapiente deserunt assumenda eligendi et voluptatem.","Est quia neque molestias non.","Est expedita ipsam quae soluta."]</t>
  </si>
  <si>
    <t>["Voluptate ex libero quo alias quibusdam. Non velit aut alias voluptatem. Dolor in aut dolorem eum harum ea. Dolorum sunt facilis dolor est voluptatibus.","Voluptates alias nihil qui quo doloribus non sequi. Et beatae eos sunt qui blanditiis saepe quis corporis. Fuga est explicabo reprehenderit qui quaerat asperiores. Quisquam eum quasi ut."]</t>
  </si>
  <si>
    <t>corrupti-ex-12-32-6-black</t>
  </si>
  <si>
    <t>accusantium tempora velit</t>
  </si>
  <si>
    <t>https://via.placeholder.com/300x650.png/004466?text=Smartphone+dolorem</t>
  </si>
  <si>
    <t>["Cumque doloribus quo unde sit.","Autem inventore illo sit quam sapiente aut ut voluptate.","Exercitationem enim commodi consectetur sed ut.","Sapiente error culpa dicta voluptatem.","Qui sed voluptatem fuga aut sit.","Et in qui dolore nostrum.","Neque recusandae et suscipit dolor laudantium perferendis.","Quae adipisci rem aliquam nam cumque.","Est beatae quibusdam libero.","Quisquam illo expedita sit voluptatem molestias."]</t>
  </si>
  <si>
    <t>["Voluptas velit occaecati voluptates ut et. Tempora aut excepturi ea. Ratione officiis explicabo pariatur magni qui voluptatem. Ea accusantium cumque placeat.","Dolores aliquam consequuntur quos quia quam est dicta nesciunt. Autem asperiores non iste veritatis odit nemo cum modi. Amet suscipit qui veniam qui adipisci."]</t>
  </si>
  <si>
    <t>voluptate-reprehenderit-8-512-6-blue</t>
  </si>
  <si>
    <t>dolor voluptatem possimus</t>
  </si>
  <si>
    <t>https://via.placeholder.com/300x650.png/002244?text=Smartphone+adipisci</t>
  </si>
  <si>
    <t>["Nemo modi accusamus nobis sed.","Ipsa quia itaque omnis ipsum molestias autem.","Non quam iusto officiis.","Unde quidem illum ut nihil temporibus.","Veritatis pariatur velit rerum fugit.","Quis hic blanditiis veritatis.","Recusandae doloribus magni deserunt voluptatem sunt ipsa velit.","Quo voluptatum est sunt labore consequuntur et molestiae.","Accusamus dolore voluptatem nostrum soluta cupiditate quo eveniet.","Ab excepturi minus molestiae ad voluptatibus."]</t>
  </si>
  <si>
    <t>["Commodi id id ut molestias natus aspernatur animi molestiae. Officiis rerum iure nostrum veritatis eligendi quisquam.","Voluptas quis animi et ut neque. Ut distinctio omnis rem ut commodi ducimus enim. Consequatur recusandae aliquam corrupti voluptatem et aperiam asperiores quia. Qui vel recusandae ut est."]</t>
  </si>
  <si>
    <t>est-a-8-128-3-green</t>
  </si>
  <si>
    <t>tempora eos et</t>
  </si>
  <si>
    <t>https://via.placeholder.com/300x650.png/009977?text=Smartphone+quo</t>
  </si>
  <si>
    <t>["Numquam veniam possimus tenetur non incidunt expedita.","Quia neque eaque vel porro quia alias.","Enim soluta quae occaecati tempore quis at.","Et est dolor ea esse omnis aperiam dolores iste.","Dolor neque fugit cum.","Ab sed est error sed non illo voluptas.","Non omnis voluptatem quia consequatur.","At voluptas modi modi asperiores occaecati soluta cum libero.","Vitae in officiis necessitatibus nam cum vel occaecati.","Omnis fugiat veniam ut debitis blanditiis necessitatibus."]</t>
  </si>
  <si>
    <t>["Eius cum voluptatem atque tempora. Voluptate molestiae dolorem quibusdam dolorem quis non. Sunt ut eaque reiciendis exercitationem voluptas consequatur.","Et enim harum quia modi sunt reprehenderit debitis. Porro quibusdam aut voluptas et praesentium vero quod. Velit voluptatibus saepe adipisci et debitis. Et rerum occaecati facere ut eum dolorum."]</t>
  </si>
  <si>
    <t>voluptate-dicta-12-512-5-white</t>
  </si>
  <si>
    <t>reiciendis illo quia</t>
  </si>
  <si>
    <t>https://via.placeholder.com/300x650.png/0022cc?text=Smartphone+maiores</t>
  </si>
  <si>
    <t>["Sed nisi ex vel voluptatum aut.","Labore fugit esse cumque eos harum.","Autem et rem autem.","Sit soluta ut dolorum molestias.","Omnis fuga adipisci recusandae recusandae quis.","Quia explicabo qui sit saepe in sint.","Laborum dolorem animi adipisci ut aut labore officia et.","Excepturi aut sed incidunt fuga magni.","Omnis et enim et amet.","Necessitatibus amet aperiam exercitationem veniam et doloremque."]</t>
  </si>
  <si>
    <t>["Qui exercitationem vero officia error dolores occaecati. Sit eveniet officia quia et assumenda. Cumque accusamus earum mollitia nesciunt fugiat animi id.","Eius enim doloribus fuga voluptatibus illo nostrum ut nisi. Officia aut sit rem rerum qui facere id."]</t>
  </si>
  <si>
    <t>corrupti-sit-6-64-4-white</t>
  </si>
  <si>
    <t>sit cumque inventore</t>
  </si>
  <si>
    <t>https://via.placeholder.com/300x650.png/00bb66?text=Smartphone+quo</t>
  </si>
  <si>
    <t>["Incidunt similique temporibus quisquam et natus quasi.","Officiis dolores non et consequatur ipsa.","Nostrum eaque dolorem aut veritatis.","Impedit minima numquam assumenda minima explicabo.","Dolorum dolor dolorem ut voluptatibus consequatur tempora.","Est in possimus harum eveniet nesciunt explicabo commodi.","Nobis illum sint omnis tempora ducimus esse.","Delectus ea consequatur eaque.","Explicabo unde aperiam est ipsum.","Earum animi tempora provident ex quis laudantium."]</t>
  </si>
  <si>
    <t>["Reprehenderit laboriosam iste odit ipsam neque culpa occaecati. Ut iste at ut itaque vel blanditiis. Et voluptates velit placeat minus. Quos dolor dolorem dolorem dolores ratione rerum est voluptatem.","Aut nobis sed animi cum aliquam aut qui eum. Assumenda dolore ut natus consequuntur sit ut. Aut quia ut itaque culpa et voluptatem."]</t>
  </si>
  <si>
    <t>maiores-quia-6-64-4-green</t>
  </si>
  <si>
    <t>fugiat consequatur voluptatem</t>
  </si>
  <si>
    <t>https://via.placeholder.com/300x650.png/00aacc?text=Smartphone+aliquid</t>
  </si>
  <si>
    <t>["Consequatur dolor sit quisquam commodi sunt molestias.","Occaecati tenetur vitae deleniti dolore adipisci officia veritatis.","In qui odit nihil incidunt voluptatem ex est et.","Ad porro dolore ea quia voluptatibus.","Esse facere eveniet consectetur dolor et.","In est necessitatibus animi ea voluptatem est in.","Voluptas eveniet cum nobis repellendus voluptatum est.","Et ad laudantium dignissimos modi.","In explicabo quisquam necessitatibus in.","Officia fugiat dolores qui rerum earum."]</t>
  </si>
  <si>
    <t>["Debitis rerum hic porro facilis dicta expedita veritatis. Ducimus tempora odio quae aut ut. Magni praesentium dignissimos ut amet dolorem sed aspernatur.","Officia tempora est quas non quia aliquam minima. Iste perferendis sunt nisi et vitae. Quibusdam reprehenderit ducimus aperiam ipsum quidem deleniti. Laudantium voluptatem reprehenderit voluptatem consequatur eaque rerum consectetur."]</t>
  </si>
  <si>
    <t>corrupti-odit-6-16-4-blue</t>
  </si>
  <si>
    <t>sequi laborum molestiae</t>
  </si>
  <si>
    <t>https://via.placeholder.com/300x650.png/00aa11?text=Smartphone+doloremque</t>
  </si>
  <si>
    <t>["In eum iste aspernatur occaecati et corrupti.","Quia nisi maxime ut consectetur.","Tempore pariatur corrupti sint.","Quisquam nihil id corporis officia quod.","Velit repudiandae mollitia reiciendis qui.","Esse accusantium perspiciatis nihil aliquam.","Non labore aut aut aliquid aliquam.","Aut occaecati id mollitia rem ea.","Id similique quia tempora magnam unde enim incidunt.","Eveniet id magni eius."]</t>
  </si>
  <si>
    <t>["Est consequatur blanditiis assumenda autem non maiores vel. Accusamus quis harum est ad. Assumenda nobis qui aut. Harum beatae cum sed consectetur cumque. Est non et voluptatum consectetur iure perspiciatis.","In voluptate fugit et excepturi non. Ut autem consectetur et. Fugit dolor perferendis aut quasi. Distinctio iusto possimus iste quisquam reprehenderit ipsa dolores aperiam."]</t>
  </si>
  <si>
    <t>maiores-deleniti-2-64-2-white</t>
  </si>
  <si>
    <t>fugit et quia</t>
  </si>
  <si>
    <t>https://via.placeholder.com/300x650.png/00ff55?text=Smartphone+est</t>
  </si>
  <si>
    <t>["Ipsa exercitationem aut voluptatem ea nihil exercitationem debitis.","Voluptas soluta nemo dolore voluptas sed laborum.","Ut officia velit et culpa sapiente cumque enim.","Ut asperiores rem necessitatibus sit ut vel voluptatem.","Ullam tempore tempora quis rem.","Rerum maiores ut quia.","Placeat aperiam incidunt esse earum aut modi qui.","Cupiditate perspiciatis esse qui voluptatem error velit iusto.","Iure eius voluptates voluptatem voluptates qui molestiae.","Dolor eos modi qui perspiciatis sequi minus."]</t>
  </si>
  <si>
    <t>["Officia voluptatibus dolorum dolores quas sit molestiae accusamus. Minus facere libero illum eum. Placeat suscipit necessitatibus a. Odio eius laborum laborum maxime totam.","Deleniti at ut officiis qui aut modi. Sunt qui nobis quae velit et. Aut earum id in dicta suscipit illo est."]</t>
  </si>
  <si>
    <t>est-qui-2-32-2-blue</t>
  </si>
  <si>
    <t>vel possimus sunt</t>
  </si>
  <si>
    <t>https://via.placeholder.com/300x650.png/0011cc?text=Smartphone+consequatur</t>
  </si>
  <si>
    <t>["Minima et ipsum quia non nam.","Quos illo neque autem ipsa magnam et.","Aut temporibus voluptas omnis et ex est aut.","Excepturi quia suscipit ea a qui est.","Autem in consequatur sed iste.","Reiciendis est voluptate error saepe enim itaque accusantium.","In molestias sed magnam ut.","Aperiam enim assumenda dolores impedit tempore quidem.","Aut sint ut ea impedit qui ratione.","Reprehenderit in totam odit sunt ut officia."]</t>
  </si>
  <si>
    <t>["Soluta doloribus recusandae velit laudantium vitae provident deserunt. Earum unde assumenda nobis maiores sed optio officia. Debitis veritatis voluptas expedita nesciunt vero accusantium.","Aperiam sapiente temporibus ut et sit. Dolores hic quo rerum id fugiat ut. Dolorum dolores voluptate quas ad."]</t>
  </si>
  <si>
    <t>corrupti-incidunt-12-32-4-black</t>
  </si>
  <si>
    <t>voluptates aut qui</t>
  </si>
  <si>
    <t>https://via.placeholder.com/300x650.png/0088cc?text=Smartphone+provident</t>
  </si>
  <si>
    <t>["Perferendis suscipit culpa eveniet porro harum voluptas dolor.","Et aspernatur dicta laborum consectetur excepturi et.","Nihil recusandae ipsum ipsum doloremque rem consectetur sit.","Necessitatibus culpa qui veniam optio facere ut fuga.","Aut blanditiis perferendis ipsum laboriosam eaque tenetur iste.","Similique atque praesentium dolor vel blanditiis.","Voluptate reprehenderit necessitatibus porro voluptatem.","Ea et consequuntur eos recusandae ipsam.","Quia repellat omnis saepe aut.","Hic nihil omnis enim illum est corrupti enim."]</t>
  </si>
  <si>
    <t>["Reiciendis qui consectetur omnis temporibus. Quia adipisci vel nisi aliquam nam deleniti voluptatem. Eaque omnis dignissimos voluptas nemo. Libero ipsa placeat voluptatem. Dolorum delectus quis qui eum quia ipsam expedita.","Quos perferendis cupiditate voluptatem quidem voluptatem. Itaque a vel beatae nulla consequuntur. Ad et cum aut deleniti et ea hic."]</t>
  </si>
  <si>
    <t>voluptate-ratione-6-128-4-green</t>
  </si>
  <si>
    <t>perferendis amet et</t>
  </si>
  <si>
    <t>https://via.placeholder.com/300x650.png/0099aa?text=Smartphone+rerum</t>
  </si>
  <si>
    <t>["Aspernatur et excepturi ut aspernatur.","Dolor assumenda quibusdam earum voluptatum.","Porro quis voluptatem fuga.","Repellendus dignissimos quis ipsam sunt omnis.","Nostrum molestias ipsa quia deserunt vitae.","Excepturi odio aut ipsam id molestiae et ab laboriosam.","Quisquam iste quasi itaque dolores est expedita.","Explicabo non unde est quis molestias animi.","Non omnis aut ea ut qui atque.","Velit voluptatem tempore molestiae porro laborum molestiae."]</t>
  </si>
  <si>
    <t>["Doloribus exercitationem eaque natus minima voluptatem et. Quasi est sequi modi molestiae nam quia sequi voluptas. Repellendus maiores ea itaque necessitatibus pariatur. Architecto ex ut porro consequuntur in porro.","Rem consequatur inventore commodi quae. Vitae quas qui eius fugiat ipsam suscipit quod. Est eos quia cupiditate voluptatibus perferendis."]</t>
  </si>
  <si>
    <t>ut-blanditiis-8-64-5-red</t>
  </si>
  <si>
    <t>aut ipsam qui</t>
  </si>
  <si>
    <t>https://via.placeholder.com/300x650.png/005555?text=Smartphone+veniam</t>
  </si>
  <si>
    <t>["Modi consequuntur animi ea aspernatur molestias.","Impedit molestiae perferendis autem nam.","Voluptatem exercitationem qui sit minus.","Quos nemo praesentium similique eum eos veritatis vel.","Ad culpa nihil blanditiis quis.","Ab tempore eos sunt hic molestiae vel voluptas.","Sunt architecto est nulla sunt nesciunt.","Iure quas asperiores enim aut.","Commodi deleniti asperiores saepe et deleniti voluptas.","Dolore velit voluptatum neque rerum dolor."]</t>
  </si>
  <si>
    <t>["Et veniam esse molestias dolorem omnis nostrum. Aut possimus corrupti reiciendis nam nostrum et. Vel sint dolorum quia dolor quisquam autem.","Ut eaque ut voluptatem atque inventore sint. Voluptas similique a molestiae. Dolor sit molestias officiis voluptatibus sed ullam."]</t>
  </si>
  <si>
    <t>et-dolorum-2-6-16-4-green</t>
  </si>
  <si>
    <t>est et veniam 2</t>
  </si>
  <si>
    <t>Model</t>
  </si>
  <si>
    <t>Apple iPhone 5s (1 GB/32 GB)</t>
  </si>
  <si>
    <t>vivo v7 (3 GB/32 GB)</t>
  </si>
  <si>
    <t>On Website (1 = yes, 0 = no)</t>
  </si>
  <si>
    <t>comment</t>
  </si>
  <si>
    <t>GREEN</t>
  </si>
  <si>
    <t>invalid price</t>
  </si>
  <si>
    <t>on website</t>
  </si>
  <si>
    <t>brand_name</t>
  </si>
  <si>
    <t>brand_desc</t>
  </si>
  <si>
    <t>brand_status</t>
  </si>
  <si>
    <t>FT01</t>
  </si>
  <si>
    <t>Meizu</t>
  </si>
  <si>
    <t>Motorola</t>
  </si>
  <si>
    <t>Huawei</t>
  </si>
  <si>
    <t>Asus</t>
  </si>
  <si>
    <t>FT06</t>
  </si>
  <si>
    <t>Sony</t>
  </si>
  <si>
    <t>FT07</t>
  </si>
  <si>
    <t>LG</t>
  </si>
  <si>
    <t>Xiaomi</t>
  </si>
  <si>
    <t>Vivo</t>
  </si>
  <si>
    <t>Oppo</t>
  </si>
  <si>
    <t>FT12</t>
  </si>
  <si>
    <t>Lenovo</t>
  </si>
  <si>
    <t>FT13</t>
  </si>
  <si>
    <t>Gionee</t>
  </si>
  <si>
    <t>FT15</t>
  </si>
  <si>
    <t>Leeco LeTV</t>
  </si>
  <si>
    <t>FT16</t>
  </si>
  <si>
    <t>Lyf</t>
  </si>
  <si>
    <t>FT17</t>
  </si>
  <si>
    <t>Micromax</t>
  </si>
  <si>
    <t>FT18</t>
  </si>
  <si>
    <t>Coolpad</t>
  </si>
  <si>
    <t>FT19</t>
  </si>
  <si>
    <t>HTC</t>
  </si>
  <si>
    <t>FT20</t>
  </si>
  <si>
    <t>Blackberry</t>
  </si>
  <si>
    <t>FT21</t>
  </si>
  <si>
    <t>HTC Google</t>
  </si>
  <si>
    <t>Google</t>
  </si>
  <si>
    <t>FT23</t>
  </si>
  <si>
    <t>Nokia</t>
  </si>
  <si>
    <t>FT24</t>
  </si>
  <si>
    <t>FT25</t>
  </si>
  <si>
    <t>10.or</t>
  </si>
  <si>
    <t>FT26</t>
  </si>
  <si>
    <t>Acer</t>
  </si>
  <si>
    <t>FT27</t>
  </si>
  <si>
    <t>AGM</t>
  </si>
  <si>
    <t>FT28</t>
  </si>
  <si>
    <t>Alcatel</t>
  </si>
  <si>
    <t>FT29</t>
  </si>
  <si>
    <t>Doogee</t>
  </si>
  <si>
    <t>FT30</t>
  </si>
  <si>
    <t>Elephone</t>
  </si>
  <si>
    <t>FT31</t>
  </si>
  <si>
    <t>Gretel</t>
  </si>
  <si>
    <t>FT32</t>
  </si>
  <si>
    <t>Infinix</t>
  </si>
  <si>
    <t>FT33</t>
  </si>
  <si>
    <t>InFocus</t>
  </si>
  <si>
    <t>FT34</t>
  </si>
  <si>
    <t>iVooMi</t>
  </si>
  <si>
    <t>FT35</t>
  </si>
  <si>
    <t>Karbonn</t>
  </si>
  <si>
    <t>FT36</t>
  </si>
  <si>
    <t>Lava</t>
  </si>
  <si>
    <t>FT37</t>
  </si>
  <si>
    <t>Nubia</t>
  </si>
  <si>
    <t>FT38</t>
  </si>
  <si>
    <t>Panasonic</t>
  </si>
  <si>
    <t>FT39</t>
  </si>
  <si>
    <t>Tecno</t>
  </si>
  <si>
    <t>FT40</t>
  </si>
  <si>
    <t>Umidigi</t>
  </si>
  <si>
    <t>FT41</t>
  </si>
  <si>
    <t>Vernee</t>
  </si>
  <si>
    <t>FT42</t>
  </si>
  <si>
    <t>XOLO</t>
  </si>
  <si>
    <t>FT43</t>
  </si>
  <si>
    <t>YU Yureka</t>
  </si>
  <si>
    <t>model_name</t>
  </si>
  <si>
    <t>model_desc</t>
  </si>
  <si>
    <t>model_image</t>
  </si>
  <si>
    <t>FT03_iPhone_5</t>
  </si>
  <si>
    <t>iPhone 5</t>
  </si>
  <si>
    <t>This is the Apple brand</t>
  </si>
  <si>
    <t>iphone-5.jpg</t>
  </si>
  <si>
    <t>iPhone 5S</t>
  </si>
  <si>
    <t>iphone-5s.jpg</t>
  </si>
  <si>
    <t>FT03_iPhone_5C</t>
  </si>
  <si>
    <t>iPhone 5C</t>
  </si>
  <si>
    <t>iPhone-5c.jpg</t>
  </si>
  <si>
    <t>iphone-6.jpg</t>
  </si>
  <si>
    <t>iPhone 6+</t>
  </si>
  <si>
    <t>iPhone-6-Plus.jpg</t>
  </si>
  <si>
    <t>iphone-6s.jpg</t>
  </si>
  <si>
    <t>iPhone 6S+</t>
  </si>
  <si>
    <t>iphone-6s-plus.jpg</t>
  </si>
  <si>
    <t>iPhone-7.jpg</t>
  </si>
  <si>
    <t>FT03_iPhone_7+</t>
  </si>
  <si>
    <t>iPhone 7+</t>
  </si>
  <si>
    <t>iPhone7-Plus.jpg</t>
  </si>
  <si>
    <t>FT02_Moto_X4</t>
  </si>
  <si>
    <t>Moto X4</t>
  </si>
  <si>
    <t>This is the Motorola brand</t>
  </si>
  <si>
    <t>Motorola-Moto-X4.jpg</t>
  </si>
  <si>
    <t>FT02_Moto_G5S+</t>
  </si>
  <si>
    <t>Moto G5S Plus</t>
  </si>
  <si>
    <t>Moto-G5s-Plus.jpg</t>
  </si>
  <si>
    <t>FT02_Moto_E4+</t>
  </si>
  <si>
    <t>Moto E4 Plus</t>
  </si>
  <si>
    <t>Moto-E4-Plus.jpg</t>
  </si>
  <si>
    <t>FT02_Moto_G5S</t>
  </si>
  <si>
    <t>Moto G5S</t>
  </si>
  <si>
    <t>Moto-G5S.jpeg</t>
  </si>
  <si>
    <t>FT02_Moto_G5</t>
  </si>
  <si>
    <t>Moto G5</t>
  </si>
  <si>
    <t>Moto-G5.jpg</t>
  </si>
  <si>
    <t>FT02_Moto_G5+</t>
  </si>
  <si>
    <t>Moto G5 Plus</t>
  </si>
  <si>
    <t>Moto-G5-Plus.jpeg</t>
  </si>
  <si>
    <t>Moto G4 Plus</t>
  </si>
  <si>
    <t>Moto-G4-Plus.jpg</t>
  </si>
  <si>
    <t>FT02_Moto_Z2_Play</t>
  </si>
  <si>
    <t>Moto Z2 Play</t>
  </si>
  <si>
    <t>Moto-Z2-Play.jpg</t>
  </si>
  <si>
    <t>This is the OnePlus brand</t>
  </si>
  <si>
    <t>OnePlus-3.jpg</t>
  </si>
  <si>
    <t>OnePlus-3T.jpg</t>
  </si>
  <si>
    <t>OnePlus-5.jpg</t>
  </si>
  <si>
    <t>Redmi Note 4</t>
  </si>
  <si>
    <t>This is the Xiomi brand</t>
  </si>
  <si>
    <t>Redmi-Note-4.jpeg</t>
  </si>
  <si>
    <t>Redmi 4</t>
  </si>
  <si>
    <t>Redmi-4.jpeg</t>
  </si>
  <si>
    <t>Mi A1</t>
  </si>
  <si>
    <t>Mi-A1.jpg</t>
  </si>
  <si>
    <t>FT09_Mi_4i</t>
  </si>
  <si>
    <t>Mi 4i</t>
  </si>
  <si>
    <t>Mi-4i.jpg</t>
  </si>
  <si>
    <t>Redmi 5A</t>
  </si>
  <si>
    <t>Redmi-5A.jpg</t>
  </si>
  <si>
    <t>FT09_Redmi_Note_3</t>
  </si>
  <si>
    <t>Redmi Note 3</t>
  </si>
  <si>
    <t>Redmi-Note-3.jpg</t>
  </si>
  <si>
    <t>FT09_Redmi_3S</t>
  </si>
  <si>
    <t>Redmi 3S</t>
  </si>
  <si>
    <t>Redmi-3S.jpeg</t>
  </si>
  <si>
    <t>FT09_Redmi_4A</t>
  </si>
  <si>
    <t>Redmi 4A</t>
  </si>
  <si>
    <t>Redmi-4A.jpg</t>
  </si>
  <si>
    <t>FT04_Honor_7X</t>
  </si>
  <si>
    <t>Honor 7X</t>
  </si>
  <si>
    <t>This is Huawei brand</t>
  </si>
  <si>
    <t>Huawei-Honor-7X.jpg</t>
  </si>
  <si>
    <t>FT23_6</t>
  </si>
  <si>
    <t>Nokia 6</t>
  </si>
  <si>
    <t>This is the Nokia brand</t>
  </si>
  <si>
    <t>Nokia-6.jpg</t>
  </si>
  <si>
    <t>FT23_8</t>
  </si>
  <si>
    <t>Nokia 8</t>
  </si>
  <si>
    <t>Nokia-8.jpeg</t>
  </si>
  <si>
    <t>FT23_2</t>
  </si>
  <si>
    <t>Nokia 2</t>
  </si>
  <si>
    <t>Nokia-2.jpg</t>
  </si>
  <si>
    <t>FT23_5</t>
  </si>
  <si>
    <t>Nokia 5</t>
  </si>
  <si>
    <t>Nokia-5.jpg</t>
  </si>
  <si>
    <t>FT11_F5</t>
  </si>
  <si>
    <t>F5</t>
  </si>
  <si>
    <t>This is the Oppo brand</t>
  </si>
  <si>
    <t>Oppo-F5.jpg</t>
  </si>
  <si>
    <t>iPhone 8</t>
  </si>
  <si>
    <t>iPhone-8.jpg</t>
  </si>
  <si>
    <t>FT03_iPhone_8+</t>
  </si>
  <si>
    <t>iPhone 8+</t>
  </si>
  <si>
    <t>iPhone-8-Plus.jpg</t>
  </si>
  <si>
    <t>FT09_Mi_Max_2</t>
  </si>
  <si>
    <t>Mi Max 2</t>
  </si>
  <si>
    <t>Mi-Max-2.jpg</t>
  </si>
  <si>
    <t>FT22_Pixel_XL_M1</t>
  </si>
  <si>
    <t>Pixel XL M1</t>
  </si>
  <si>
    <t>This is the Google brand</t>
  </si>
  <si>
    <t>Google-Pixel-2.jpg</t>
  </si>
  <si>
    <t>FT15_Max_2_X820</t>
  </si>
  <si>
    <t>Max 2 X820</t>
  </si>
  <si>
    <t>FT11_A37</t>
  </si>
  <si>
    <t>A37</t>
  </si>
  <si>
    <t>Oppo-A37.jpg</t>
  </si>
  <si>
    <t>FT11_A57</t>
  </si>
  <si>
    <t>A57</t>
  </si>
  <si>
    <t>Oppo-A57.jpg</t>
  </si>
  <si>
    <t>FT11_F1S</t>
  </si>
  <si>
    <t>F1S</t>
  </si>
  <si>
    <t>Oppo-F1S.jpg</t>
  </si>
  <si>
    <t>FT11_F1_Plus</t>
  </si>
  <si>
    <t>F1 Plus</t>
  </si>
  <si>
    <t>Oppo-F1-Plus.jpg</t>
  </si>
  <si>
    <t>FT11_F3</t>
  </si>
  <si>
    <t>F3</t>
  </si>
  <si>
    <t>Oppo-F3.jpg</t>
  </si>
  <si>
    <t>FT10_V5</t>
  </si>
  <si>
    <t>V5</t>
  </si>
  <si>
    <t>This is the Vivo brand</t>
  </si>
  <si>
    <t>Vivo-V5-Plus.jpg</t>
  </si>
  <si>
    <t>FT10_V5_Plus</t>
  </si>
  <si>
    <t>V5 Plus</t>
  </si>
  <si>
    <t>FT10_V3_Max</t>
  </si>
  <si>
    <t>V3 Max</t>
  </si>
  <si>
    <t>Vivo-V3-Max.jpg</t>
  </si>
  <si>
    <t>iPhone X</t>
  </si>
  <si>
    <t>iPhone-X.jpg</t>
  </si>
  <si>
    <t>Pixel 2</t>
  </si>
  <si>
    <t>FT22_Pixel_2_XL</t>
  </si>
  <si>
    <t>Pixel 2 XL</t>
  </si>
  <si>
    <t>Google-Pixel-2-XL.jpg</t>
  </si>
  <si>
    <t>FT08_1+5T</t>
  </si>
  <si>
    <t>5T</t>
  </si>
  <si>
    <t>OnePlus-5T.jpg</t>
  </si>
  <si>
    <t>OnePlus-6.jpg</t>
  </si>
  <si>
    <t>FT09_Mi_Mix_2</t>
  </si>
  <si>
    <t>Mi Mix 2</t>
  </si>
  <si>
    <t>Mi-Mix-2.jpg</t>
  </si>
  <si>
    <t>FT02_Moto_G6</t>
  </si>
  <si>
    <t>Moto G6</t>
  </si>
  <si>
    <t>Moto-G6.jpg</t>
  </si>
  <si>
    <t>FT02_Moto_G6_Plus</t>
  </si>
  <si>
    <t>Moto G6 Plus</t>
  </si>
  <si>
    <t>Moto-G6-Plus.jpg</t>
  </si>
  <si>
    <t>FT12_K8_Plus</t>
  </si>
  <si>
    <t>K8 Plus</t>
  </si>
  <si>
    <t>This is the Lenovo brand</t>
  </si>
  <si>
    <t>Lenovo-K8-Plus.jpg</t>
  </si>
  <si>
    <t>FT12_K8_Note</t>
  </si>
  <si>
    <t>K8 Note</t>
  </si>
  <si>
    <t>Lenovo-K8-Note.jpg</t>
  </si>
  <si>
    <t>FT12_K6_Note</t>
  </si>
  <si>
    <t>K6 Note</t>
  </si>
  <si>
    <t>Lenovo-K6-Note.jpg</t>
  </si>
  <si>
    <t>V9</t>
  </si>
  <si>
    <t>Vivo-V9.jpg</t>
  </si>
  <si>
    <t>FT10_V7</t>
  </si>
  <si>
    <t>V7</t>
  </si>
  <si>
    <t>Vivo-V7.jpg</t>
  </si>
  <si>
    <t>FT10_V7_Plus</t>
  </si>
  <si>
    <t>V7 Plus</t>
  </si>
  <si>
    <t>FT10_V5S</t>
  </si>
  <si>
    <t>V5S</t>
  </si>
  <si>
    <t>Vivo-V5S.jpg</t>
  </si>
  <si>
    <t>FT10_Y83</t>
  </si>
  <si>
    <t>Y83</t>
  </si>
  <si>
    <t>Vivo-Y83.jpg</t>
  </si>
  <si>
    <t>FT11_F1</t>
  </si>
  <si>
    <t>F1</t>
  </si>
  <si>
    <t>Oppo-F1.jpg</t>
  </si>
  <si>
    <t>FT23_6.1</t>
  </si>
  <si>
    <t>Nokia 6.1</t>
  </si>
  <si>
    <t>Nokia-6.1.jpg</t>
  </si>
  <si>
    <t>Honor 9 Lite</t>
  </si>
  <si>
    <t>This is the Huawei brand</t>
  </si>
  <si>
    <t>Huawei-Honor-9-Lite.jpg</t>
  </si>
  <si>
    <t>FT11_RealMe_1</t>
  </si>
  <si>
    <t>RealMe 1</t>
  </si>
  <si>
    <t>RealMe-1.jpg</t>
  </si>
  <si>
    <t>FT11_A71</t>
  </si>
  <si>
    <t>A71</t>
  </si>
  <si>
    <t>Oppo-A71.jpg</t>
  </si>
  <si>
    <t>FT11_A77</t>
  </si>
  <si>
    <t>A77</t>
  </si>
  <si>
    <t>Oppo-A77.jpg</t>
  </si>
  <si>
    <t>FT11_F7_Youth</t>
  </si>
  <si>
    <t>F7 Youth</t>
  </si>
  <si>
    <t>Oppo-F7-Youth.jpg</t>
  </si>
  <si>
    <t>FT11_A83</t>
  </si>
  <si>
    <t>A83</t>
  </si>
  <si>
    <t>Oppo-A83.jpg</t>
  </si>
  <si>
    <t>FT11_F5_Youth</t>
  </si>
  <si>
    <t>F5 Youth</t>
  </si>
  <si>
    <t>Oppo-F5-Youth.jpg</t>
  </si>
  <si>
    <t>FT11_Y81</t>
  </si>
  <si>
    <t>Y81</t>
  </si>
  <si>
    <t>Vivo-Y81.jpg</t>
  </si>
  <si>
    <t>FT11_Y71</t>
  </si>
  <si>
    <t>Y71</t>
  </si>
  <si>
    <t>Vivo-Y71.jpg</t>
  </si>
  <si>
    <t>FT11_Y65</t>
  </si>
  <si>
    <t>Y65</t>
  </si>
  <si>
    <t>Vivo-Y65.jpg</t>
  </si>
  <si>
    <t>FT09_Redmi_6A</t>
  </si>
  <si>
    <t>Redmi 6A</t>
  </si>
  <si>
    <t>Xiaomi-Redmi-6A.jpg</t>
  </si>
  <si>
    <t>FT02_Moto_C_Plus</t>
  </si>
  <si>
    <t>Moto C Plus</t>
  </si>
  <si>
    <t>Moto-C-Plus.jpg</t>
  </si>
  <si>
    <t>FT06_Xperia_XZ1</t>
  </si>
  <si>
    <t>Xperia XZ1</t>
  </si>
  <si>
    <t>This is the Sony brand</t>
  </si>
  <si>
    <t>Sony-Xperia-XZ1.jpg</t>
  </si>
  <si>
    <t>FT06_Xperia_XZs</t>
  </si>
  <si>
    <t>Xperia XZs</t>
  </si>
  <si>
    <t>Sony-Xperia-XZs.jpg</t>
  </si>
  <si>
    <t>FT06_Xperia_XZ_Premium</t>
  </si>
  <si>
    <t>Xperia XZ Premium</t>
  </si>
  <si>
    <t>Sony-Xperia-XZ-Premium.jpg</t>
  </si>
  <si>
    <t>FT06_Xperia_XA1_Ultra</t>
  </si>
  <si>
    <t>Xperia XA1 Ultra</t>
  </si>
  <si>
    <t>Sony-Xperia-XA1-Ultra.jpg</t>
  </si>
  <si>
    <t>FT06_Xperia_XA1</t>
  </si>
  <si>
    <t>Xperia XA1</t>
  </si>
  <si>
    <t>Sony-Xperia-XA1.jpg</t>
  </si>
  <si>
    <t>FT04_Honor_6A</t>
  </si>
  <si>
    <t>Honor 6A</t>
  </si>
  <si>
    <t>Huawei-Honor-6A.jpg</t>
  </si>
  <si>
    <t>FT04_P10_Lite</t>
  </si>
  <si>
    <t>Huawei P10 Lite</t>
  </si>
  <si>
    <t>Huawei-P10-Lite.jpg</t>
  </si>
  <si>
    <t>FT04_P10</t>
  </si>
  <si>
    <t>Huawei P10</t>
  </si>
  <si>
    <t>Huawei-P10.jpg</t>
  </si>
  <si>
    <t>FT04_Honor_8_Pro</t>
  </si>
  <si>
    <t>Honor 8 Pro</t>
  </si>
  <si>
    <t>Huawei-Honor-8-Pro.jpg</t>
  </si>
  <si>
    <t>FT04_Honor_9i</t>
  </si>
  <si>
    <t>Honor 9i</t>
  </si>
  <si>
    <t>Huawei-Honor-9i.jpg</t>
  </si>
  <si>
    <t>FT04_Honor_10</t>
  </si>
  <si>
    <t>Honor 10</t>
  </si>
  <si>
    <t>Huawei-Honor-10.jpg</t>
  </si>
  <si>
    <t>Honor 7A</t>
  </si>
  <si>
    <t>Huawei-Honor-7A.jpg</t>
  </si>
  <si>
    <t>FT04_Honor_7C</t>
  </si>
  <si>
    <t>Honor 7C</t>
  </si>
  <si>
    <t>Huawei-Honor-7C.jpg</t>
  </si>
  <si>
    <t>Redmi Note 5 Pro</t>
  </si>
  <si>
    <t>Redmi-Note-5-Pro.jpg</t>
  </si>
  <si>
    <t>Redmi Note 5</t>
  </si>
  <si>
    <t>Redmi-Note-5.jpg</t>
  </si>
  <si>
    <t>FT05_Zenfone_5_A550CG</t>
  </si>
  <si>
    <t>Zenfone 5 A550CG</t>
  </si>
  <si>
    <t>FT05_Zenfone_Selfie_ZE551KL</t>
  </si>
  <si>
    <t>Zenfone Selfie ZE551KL</t>
  </si>
  <si>
    <t>FT06_Xperia_Z2</t>
  </si>
  <si>
    <t>Xperia Z2</t>
  </si>
  <si>
    <t>FT06_Xperia_Z3_Mini</t>
  </si>
  <si>
    <t>Xperia Z3 Mini</t>
  </si>
  <si>
    <t>Xperia-Z3-Mini-OR-Compact-BLACK.jpg</t>
  </si>
  <si>
    <t>FT06_Xperia_Z5</t>
  </si>
  <si>
    <t>Xperia Z5</t>
  </si>
  <si>
    <t>SONY-XPERIA-Z5-BLACK.JPG</t>
  </si>
  <si>
    <t>FT06_Xperia_C3</t>
  </si>
  <si>
    <t>Xperia C3</t>
  </si>
  <si>
    <t>SONY-XPERIA-C3-WHITE.jpg</t>
  </si>
  <si>
    <t>FT06_Xperia_C5_Ultra</t>
  </si>
  <si>
    <t>Xperia C5 Ultra</t>
  </si>
  <si>
    <t>SONY-XPERIA-C5-ULTRA-BLACK.JPG</t>
  </si>
  <si>
    <t>FT06_Xperia_M4_Aqua</t>
  </si>
  <si>
    <t>Xperia M4 Aqua</t>
  </si>
  <si>
    <t>SONY-XPERIA-M4-AQUA-WHITE.jpg</t>
  </si>
  <si>
    <t>FT06_Xperia_M5</t>
  </si>
  <si>
    <t>Xperia M5</t>
  </si>
  <si>
    <t>SONY-XPERIA-M5-BLACK.JPG</t>
  </si>
  <si>
    <t>FT06_Xperia_T2_Ultra_D5322</t>
  </si>
  <si>
    <t>Xperia T2 Ultra D5322</t>
  </si>
  <si>
    <t>Sony-Xperia-T2-Ultra-D5322.jpg</t>
  </si>
  <si>
    <t>FT06_Xperia_Z_Ultra</t>
  </si>
  <si>
    <t>Xperia ZUltra</t>
  </si>
  <si>
    <t>SONY-XPERIA-Z-ULTRA-BLACK-1.jpg</t>
  </si>
  <si>
    <t>FT06_Xperia_Z3</t>
  </si>
  <si>
    <t>Xperia Z3</t>
  </si>
  <si>
    <t>SONY-XPERIA-Z3-BLACK-1.jpg</t>
  </si>
  <si>
    <t>FT09_Mi_5</t>
  </si>
  <si>
    <t>Mi 5</t>
  </si>
  <si>
    <t>Xiaomi-Mi-5-Mi5-Black.JPG</t>
  </si>
  <si>
    <t>FT09_Redmi_3S_Prime</t>
  </si>
  <si>
    <t>Redmi 3S Prime</t>
  </si>
  <si>
    <t>Xiaomi-Redmi-3s-Prime-Gold.JPG</t>
  </si>
  <si>
    <t>FT09_Mi_Max</t>
  </si>
  <si>
    <t>Mi Max</t>
  </si>
  <si>
    <t>Xiaomi-Mi-Max-Black.JPG</t>
  </si>
  <si>
    <t>FT09_Mi_Mix</t>
  </si>
  <si>
    <t>Mi Mix</t>
  </si>
  <si>
    <t>Xiaomi-Mi-Mix-Black.jpg</t>
  </si>
  <si>
    <t>Redmi Y1</t>
  </si>
  <si>
    <t>Xiaomi-Redmi-Y1-White.jpg</t>
  </si>
  <si>
    <t>FT09_Redmi_Y1_Lite</t>
  </si>
  <si>
    <t>Redmi Y1 Lite</t>
  </si>
  <si>
    <t>Xiaomi-Redmi-Y1-Lite-White.jpg</t>
  </si>
  <si>
    <t>FT08_1+1</t>
  </si>
  <si>
    <t>OnePlus 1</t>
  </si>
  <si>
    <t>OnePlus-1-black.jpg</t>
  </si>
  <si>
    <t>FT08_1+2</t>
  </si>
  <si>
    <t>OnePlus 2</t>
  </si>
  <si>
    <t>OnePlus-2-LCD-Display-black.jpg</t>
  </si>
  <si>
    <t>FT08_1+X</t>
  </si>
  <si>
    <t>OnePlus X</t>
  </si>
  <si>
    <t>OnePlus-X.jpg</t>
  </si>
  <si>
    <t>FT02_E4</t>
  </si>
  <si>
    <t>Moto E4</t>
  </si>
  <si>
    <t>Moto-E4-black.jpg</t>
  </si>
  <si>
    <t>FT02_E2</t>
  </si>
  <si>
    <t>Moto E2</t>
  </si>
  <si>
    <t>MOTO-E2--WHITE-2.JPG</t>
  </si>
  <si>
    <t>FT02_E3</t>
  </si>
  <si>
    <t>Moto E3</t>
  </si>
  <si>
    <t>Moto-E3-Black.jpg</t>
  </si>
  <si>
    <t>FT02_G3</t>
  </si>
  <si>
    <t>Moto G3</t>
  </si>
  <si>
    <t>MOTO-G-3RD-GEN-BLACK.JPG</t>
  </si>
  <si>
    <t>FT02_G2</t>
  </si>
  <si>
    <t>Moto G2</t>
  </si>
  <si>
    <t>MOTO-G2--WHITE-1.JPG</t>
  </si>
  <si>
    <t>FT02_G4</t>
  </si>
  <si>
    <t>Moto G4</t>
  </si>
  <si>
    <t>Moto-G4-Black.jpg</t>
  </si>
  <si>
    <t>FT02_G4_Play</t>
  </si>
  <si>
    <t>Moto G4 Play</t>
  </si>
  <si>
    <t>Moto-G4-Play-Black.JPG</t>
  </si>
  <si>
    <t>FT02_M</t>
  </si>
  <si>
    <t>Moto M</t>
  </si>
  <si>
    <t>Moto-M-Black.jpg</t>
  </si>
  <si>
    <t>FT02_X2</t>
  </si>
  <si>
    <t>Moto X2</t>
  </si>
  <si>
    <t>MOTO-X-2ND-GEN.JPG</t>
  </si>
  <si>
    <t>FT02_X_Play</t>
  </si>
  <si>
    <t>Moto X Play</t>
  </si>
  <si>
    <t>Moto-X-Play-White-1.jpg</t>
  </si>
  <si>
    <t>FT02_Z</t>
  </si>
  <si>
    <t>Moto Z</t>
  </si>
  <si>
    <t>Moto-Z-BLACK.jpg</t>
  </si>
  <si>
    <t>FT02_X_Style</t>
  </si>
  <si>
    <t>Moto X Style</t>
  </si>
  <si>
    <t>Motorola-Moto-X-Style-Black.JPG</t>
  </si>
  <si>
    <t>FT02_C_Plus</t>
  </si>
  <si>
    <t>Moto-C-Plus-Gold.jpg</t>
  </si>
  <si>
    <t>FT04_Honor_4X</t>
  </si>
  <si>
    <t>Honor 4X</t>
  </si>
  <si>
    <t>Huawei-Honor-4X-Gold.jpg</t>
  </si>
  <si>
    <t>FT04_Honor_5X</t>
  </si>
  <si>
    <t>Honor 5X</t>
  </si>
  <si>
    <t>Huawei-Honor-5X-Black.jpg</t>
  </si>
  <si>
    <t>FT04_Honor_6X</t>
  </si>
  <si>
    <t>Honor 6X</t>
  </si>
  <si>
    <t>Huawei-Honor-6X.jpg</t>
  </si>
  <si>
    <t>FT04_Nexus_6P</t>
  </si>
  <si>
    <t>Nexus 6P</t>
  </si>
  <si>
    <t>FT07_Nexus_4</t>
  </si>
  <si>
    <t>Nexus 4</t>
  </si>
  <si>
    <t>LG-Google-Nexus-4-Black.jpg</t>
  </si>
  <si>
    <t>FT07_Nexus_5</t>
  </si>
  <si>
    <t>Nexus 5</t>
  </si>
  <si>
    <t>LG-Google-Nexus-5-Black.jpg</t>
  </si>
  <si>
    <t>FT15_1s</t>
  </si>
  <si>
    <t>1s</t>
  </si>
  <si>
    <t>LeTV-1s-Gold.jpg</t>
  </si>
  <si>
    <t>FT15_2s</t>
  </si>
  <si>
    <t>2s</t>
  </si>
  <si>
    <t>LeTV-2s-Gold.jpg</t>
  </si>
  <si>
    <t>FT15_Le_Max</t>
  </si>
  <si>
    <t>Le Max</t>
  </si>
  <si>
    <t>LeTV-Le-Max-Gold.JPG</t>
  </si>
  <si>
    <t>FT11_A35</t>
  </si>
  <si>
    <t>A35</t>
  </si>
  <si>
    <t>Oppo-A35-white.jpg</t>
  </si>
  <si>
    <t>Y15</t>
  </si>
  <si>
    <t>Vivo-Y15-White.jpg</t>
  </si>
  <si>
    <t>FT10_Y31L</t>
  </si>
  <si>
    <t>Y31L</t>
  </si>
  <si>
    <t>Vivo-Y31L-White.jpg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</si>
</sst>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m/d/yyyy h:mm:ss"/>
  </numFmts>
  <fonts count="17">
    <font>
      <sz val="10.0"/>
      <color rgb="FF000000"/>
      <name val="Arial"/>
    </font>
    <font>
      <color rgb="FF000000"/>
    </font>
    <font/>
    <font>
      <b/>
    </font>
    <font>
      <name val="Arial"/>
    </font>
    <font>
      <color rgb="FF000000"/>
      <name val="Arial"/>
    </font>
    <font>
      <color rgb="FFFF0000"/>
      <name val="Arial"/>
    </font>
    <font>
      <sz val="11.0"/>
      <color rgb="FF000000"/>
      <name val="Arial"/>
    </font>
    <font>
      <b/>
      <sz val="11.0"/>
      <color rgb="FF000000"/>
      <name val="Calibri"/>
    </font>
    <font>
      <sz val="11.0"/>
      <color rgb="FF000000"/>
      <name val="Calibri"/>
    </font>
    <font>
      <sz val="11.0"/>
      <color rgb="FF000000"/>
      <name val="Docs-Calibri"/>
    </font>
    <font>
      <sz val="10.0"/>
    </font>
    <font>
      <color rgb="FF000000"/>
      <name val="&quot;Arial&quot;"/>
    </font>
    <font>
      <color rgb="FF000000"/>
      <name val="&quot;arial&quot;"/>
    </font>
    <font>
      <sz val="11.0"/>
      <color rgb="FF000000"/>
      <name val="Titillium"/>
    </font>
    <font>
      <b/>
      <name val="Arial"/>
    </font>
    <font>
      <u/>
      <sz val="11.0"/>
      <color rgb="FF000000"/>
      <name val="Calibri"/>
    </font>
  </fonts>
  <fills count="10">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F3F3F3"/>
        <bgColor rgb="FFF3F3F3"/>
      </patternFill>
    </fill>
    <fill>
      <patternFill patternType="solid">
        <fgColor rgb="FFA4C2F4"/>
        <bgColor rgb="FFA4C2F4"/>
      </patternFill>
    </fill>
    <fill>
      <patternFill patternType="solid">
        <fgColor rgb="FF00FFFF"/>
        <bgColor rgb="FF00FFFF"/>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3" fontId="2" numFmtId="0" xfId="0" applyFill="1" applyFont="1"/>
    <xf borderId="0" fillId="4" fontId="1" numFmtId="0" xfId="0" applyFill="1" applyFont="1"/>
    <xf borderId="0" fillId="0" fontId="3" numFmtId="49" xfId="0" applyFont="1" applyNumberFormat="1"/>
    <xf borderId="0" fillId="2" fontId="3" numFmtId="0" xfId="0" applyFont="1"/>
    <xf borderId="0" fillId="0" fontId="2" numFmtId="49" xfId="0" applyFont="1" applyNumberFormat="1"/>
    <xf borderId="0" fillId="3" fontId="2" numFmtId="0" xfId="0" applyAlignment="1" applyFont="1">
      <alignment readingOrder="0"/>
    </xf>
    <xf borderId="0" fillId="4" fontId="3" numFmtId="49" xfId="0" applyFont="1" applyNumberFormat="1"/>
    <xf borderId="0" fillId="4" fontId="3" numFmtId="0" xfId="0" applyFont="1"/>
    <xf borderId="0" fillId="4" fontId="2" numFmtId="49" xfId="0" applyFont="1" applyNumberFormat="1"/>
    <xf borderId="0" fillId="4" fontId="2" numFmtId="0" xfId="0" applyAlignment="1" applyFont="1">
      <alignment readingOrder="0"/>
    </xf>
    <xf borderId="0" fillId="4" fontId="2" numFmtId="0" xfId="0" applyFont="1"/>
    <xf borderId="1" fillId="4" fontId="4" numFmtId="0" xfId="0" applyAlignment="1" applyBorder="1" applyFont="1">
      <alignment shrinkToFit="0" vertical="bottom" wrapText="0"/>
    </xf>
    <xf borderId="1" fillId="4" fontId="2" numFmtId="0" xfId="0" applyAlignment="1" applyBorder="1" applyFont="1">
      <alignment shrinkToFit="0" wrapText="0"/>
    </xf>
    <xf borderId="1" fillId="0" fontId="2" numFmtId="0" xfId="0" applyAlignment="1" applyBorder="1" applyFont="1">
      <alignment shrinkToFit="0" wrapText="0"/>
    </xf>
    <xf borderId="1" fillId="4" fontId="4" numFmtId="0" xfId="0" applyAlignment="1" applyBorder="1" applyFont="1">
      <alignment vertical="bottom"/>
    </xf>
    <xf borderId="0" fillId="4" fontId="5" numFmtId="0" xfId="0" applyAlignment="1" applyFont="1">
      <alignment readingOrder="0"/>
    </xf>
    <xf borderId="0" fillId="3" fontId="5" numFmtId="0" xfId="0" applyAlignment="1" applyFont="1">
      <alignment readingOrder="0"/>
    </xf>
    <xf borderId="0" fillId="2" fontId="3" numFmtId="49" xfId="0" applyFont="1" applyNumberFormat="1"/>
    <xf borderId="1" fillId="0" fontId="2" numFmtId="0" xfId="0" applyAlignment="1" applyBorder="1" applyFont="1">
      <alignment readingOrder="0"/>
    </xf>
    <xf borderId="0" fillId="0" fontId="4" numFmtId="0" xfId="0" applyAlignment="1" applyFont="1">
      <alignment vertical="bottom"/>
    </xf>
    <xf borderId="0" fillId="0" fontId="1" numFmtId="0" xfId="0" applyAlignment="1" applyFont="1">
      <alignment readingOrder="0"/>
    </xf>
    <xf borderId="1" fillId="0" fontId="2" numFmtId="0" xfId="0" applyAlignment="1" applyBorder="1" applyFont="1">
      <alignment readingOrder="0" shrinkToFit="0" wrapText="0"/>
    </xf>
    <xf borderId="1" fillId="0" fontId="2" numFmtId="0" xfId="0" applyBorder="1" applyFont="1"/>
    <xf borderId="0" fillId="3" fontId="6" numFmtId="0" xfId="0" applyAlignment="1" applyFont="1">
      <alignment readingOrder="0"/>
    </xf>
    <xf borderId="0" fillId="4" fontId="7" numFmtId="0" xfId="0" applyAlignment="1" applyFont="1">
      <alignment readingOrder="0"/>
    </xf>
    <xf borderId="0" fillId="2" fontId="2" numFmtId="49" xfId="0" applyFont="1" applyNumberFormat="1"/>
    <xf borderId="0" fillId="2"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3" numFmtId="0" xfId="0" applyFont="1"/>
    <xf borderId="0" fillId="3" fontId="2" numFmtId="49" xfId="0" applyAlignment="1" applyFont="1" applyNumberFormat="1">
      <alignment readingOrder="0"/>
    </xf>
    <xf borderId="1" fillId="0" fontId="4" numFmtId="0" xfId="0" applyAlignment="1" applyBorder="1" applyFont="1">
      <alignment shrinkToFit="0" vertical="bottom" wrapText="0"/>
    </xf>
    <xf borderId="1" fillId="0" fontId="4" numFmtId="0" xfId="0" applyAlignment="1" applyBorder="1" applyFont="1">
      <alignment vertical="bottom"/>
    </xf>
    <xf borderId="0" fillId="3" fontId="5" numFmtId="49" xfId="0" applyAlignment="1" applyFont="1" applyNumberFormat="1">
      <alignment readingOrder="0"/>
    </xf>
    <xf borderId="0" fillId="3" fontId="2" numFmtId="49" xfId="0" applyFont="1" applyNumberFormat="1"/>
    <xf borderId="0" fillId="3" fontId="6" numFmtId="49" xfId="0" applyAlignment="1" applyFont="1" applyNumberFormat="1">
      <alignment readingOrder="0"/>
    </xf>
    <xf borderId="0" fillId="3" fontId="1" numFmtId="0" xfId="0" applyFont="1"/>
    <xf borderId="0" fillId="3" fontId="7" numFmtId="0" xfId="0" applyAlignment="1" applyFont="1">
      <alignment readingOrder="0"/>
    </xf>
    <xf borderId="1" fillId="5" fontId="8" numFmtId="0" xfId="0" applyAlignment="1" applyBorder="1" applyFill="1" applyFont="1">
      <alignment horizontal="left" readingOrder="0" shrinkToFit="0" vertical="bottom" wrapText="0"/>
    </xf>
    <xf borderId="1" fillId="5" fontId="8" numFmtId="0" xfId="0" applyAlignment="1" applyBorder="1" applyFont="1">
      <alignment horizontal="left" readingOrder="0" shrinkToFit="0" vertical="bottom" wrapText="0"/>
    </xf>
    <xf borderId="1" fillId="5" fontId="8" numFmtId="0" xfId="0" applyAlignment="1" applyBorder="1" applyFont="1">
      <alignment horizontal="right" readingOrder="0" shrinkToFit="0" vertical="bottom" wrapText="0"/>
    </xf>
    <xf borderId="1" fillId="5" fontId="3" numFmtId="0" xfId="0" applyAlignment="1" applyBorder="1" applyFont="1">
      <alignment horizontal="left" readingOrder="0" shrinkToFit="0" wrapText="0"/>
    </xf>
    <xf borderId="1" fillId="5" fontId="3" numFmtId="0" xfId="0" applyAlignment="1" applyBorder="1" applyFont="1">
      <alignment horizontal="left" shrinkToFit="0" wrapText="0"/>
    </xf>
    <xf borderId="0" fillId="5" fontId="3" numFmtId="0" xfId="0" applyAlignment="1" applyFont="1">
      <alignment horizontal="left" shrinkToFit="0" wrapText="0"/>
    </xf>
    <xf borderId="1" fillId="0" fontId="1" numFmtId="0" xfId="0" applyAlignment="1" applyBorder="1" applyFont="1">
      <alignment horizontal="left" readingOrder="0"/>
    </xf>
    <xf borderId="1" fillId="0" fontId="9"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9" numFmtId="0" xfId="0" applyAlignment="1" applyBorder="1" applyFont="1">
      <alignment horizontal="left" readingOrder="0" shrinkToFit="0" vertical="bottom" wrapText="0"/>
    </xf>
    <xf borderId="1" fillId="6" fontId="2" numFmtId="0" xfId="0" applyAlignment="1" applyBorder="1" applyFill="1" applyFont="1">
      <alignment horizontal="left" readingOrder="0" shrinkToFit="0" wrapText="0"/>
    </xf>
    <xf borderId="1" fillId="0" fontId="2" numFmtId="0" xfId="0" applyAlignment="1" applyBorder="1" applyFont="1">
      <alignment horizontal="left" shrinkToFit="0" wrapText="0"/>
    </xf>
    <xf borderId="0" fillId="0" fontId="2" numFmtId="0" xfId="0" applyAlignment="1" applyFont="1">
      <alignment horizontal="left" shrinkToFit="0" wrapText="0"/>
    </xf>
    <xf borderId="1" fillId="0" fontId="1" numFmtId="0" xfId="0" applyBorder="1" applyFont="1"/>
    <xf borderId="1" fillId="0" fontId="4" numFmtId="0" xfId="0" applyAlignment="1" applyBorder="1" applyFont="1">
      <alignment readingOrder="0" shrinkToFit="0" wrapText="1"/>
    </xf>
    <xf borderId="1" fillId="0" fontId="4" numFmtId="0" xfId="0" applyAlignment="1" applyBorder="1" applyFont="1">
      <alignment readingOrder="0"/>
    </xf>
    <xf borderId="1" fillId="0" fontId="2" numFmtId="0" xfId="0" applyAlignment="1" applyBorder="1" applyFont="1">
      <alignment horizontal="left" readingOrder="0" shrinkToFit="0" wrapText="0"/>
    </xf>
    <xf borderId="1" fillId="4" fontId="5" numFmtId="0" xfId="0" applyAlignment="1" applyBorder="1" applyFont="1">
      <alignment horizontal="left" readingOrder="0"/>
    </xf>
    <xf borderId="1" fillId="0" fontId="4" numFmtId="0" xfId="0" applyAlignment="1" applyBorder="1" applyFont="1">
      <alignment readingOrder="0" shrinkToFit="0" wrapText="0"/>
    </xf>
    <xf borderId="1" fillId="0" fontId="4" numFmtId="0" xfId="0" applyAlignment="1" applyBorder="1" applyFont="1">
      <alignment shrinkToFit="0" wrapText="0"/>
    </xf>
    <xf borderId="1" fillId="0" fontId="2" numFmtId="0" xfId="0" applyAlignment="1" applyBorder="1" applyFont="1">
      <alignment horizontal="left" shrinkToFit="0" wrapText="0"/>
    </xf>
    <xf borderId="1" fillId="4" fontId="4" numFmtId="0" xfId="0" applyAlignment="1" applyBorder="1" applyFont="1">
      <alignment readingOrder="0" shrinkToFit="0" wrapText="1"/>
    </xf>
    <xf borderId="1" fillId="4" fontId="4" numFmtId="0" xfId="0" applyAlignment="1" applyBorder="1" applyFont="1">
      <alignment readingOrder="0"/>
    </xf>
    <xf borderId="1" fillId="4" fontId="2" numFmtId="0" xfId="0" applyAlignment="1" applyBorder="1" applyFont="1">
      <alignment horizontal="left" readingOrder="0" shrinkToFit="0" wrapText="0"/>
    </xf>
    <xf borderId="1" fillId="4" fontId="4" numFmtId="0" xfId="0" applyAlignment="1" applyBorder="1" applyFont="1">
      <alignment readingOrder="0" shrinkToFit="0" wrapText="0"/>
    </xf>
    <xf borderId="1" fillId="4" fontId="2" numFmtId="0" xfId="0" applyAlignment="1" applyBorder="1" applyFont="1">
      <alignment readingOrder="0" shrinkToFit="0" wrapText="0"/>
    </xf>
    <xf borderId="1" fillId="4" fontId="2" numFmtId="0" xfId="0" applyAlignment="1" applyBorder="1" applyFont="1">
      <alignment horizontal="left" readingOrder="0" shrinkToFit="0" wrapText="0"/>
    </xf>
    <xf borderId="1" fillId="4" fontId="2" numFmtId="0" xfId="0" applyAlignment="1" applyBorder="1" applyFont="1">
      <alignment horizontal="left" shrinkToFit="0" wrapText="0"/>
    </xf>
    <xf borderId="1" fillId="4" fontId="2" numFmtId="0" xfId="0" applyAlignment="1" applyBorder="1" applyFont="1">
      <alignment horizontal="left" shrinkToFit="0" wrapText="0"/>
    </xf>
    <xf borderId="0" fillId="4" fontId="2" numFmtId="0" xfId="0" applyAlignment="1" applyFont="1">
      <alignment horizontal="left" shrinkToFit="0" wrapText="0"/>
    </xf>
    <xf borderId="1" fillId="0" fontId="4" numFmtId="0" xfId="0" applyAlignment="1" applyBorder="1" applyFont="1">
      <alignment horizontal="left" vertical="bottom"/>
    </xf>
    <xf borderId="2" fillId="0" fontId="4" numFmtId="0" xfId="0" applyAlignment="1" applyBorder="1" applyFont="1">
      <alignment horizontal="left" readingOrder="0" vertical="bottom"/>
    </xf>
    <xf borderId="2" fillId="4" fontId="5" numFmtId="0" xfId="0" applyAlignment="1" applyBorder="1" applyFont="1">
      <alignment horizontal="left" readingOrder="0"/>
    </xf>
    <xf borderId="2" fillId="0" fontId="2" numFmtId="0" xfId="0" applyAlignment="1" applyBorder="1" applyFont="1">
      <alignment horizontal="left" readingOrder="0"/>
    </xf>
    <xf borderId="2" fillId="0" fontId="4" numFmtId="0" xfId="0" applyAlignment="1" applyBorder="1" applyFont="1">
      <alignment horizontal="left" shrinkToFit="0" vertical="bottom" wrapText="0"/>
    </xf>
    <xf borderId="2" fillId="0" fontId="4" numFmtId="0" xfId="0" applyAlignment="1" applyBorder="1" applyFont="1">
      <alignment horizontal="left" shrinkToFit="0" vertical="bottom" wrapText="0"/>
    </xf>
    <xf borderId="2" fillId="0" fontId="2" numFmtId="0" xfId="0" applyAlignment="1" applyBorder="1" applyFont="1">
      <alignment horizontal="left" readingOrder="0" shrinkToFit="0" wrapText="0"/>
    </xf>
    <xf borderId="2" fillId="0" fontId="2" numFmtId="0" xfId="0" applyAlignment="1" applyBorder="1" applyFont="1">
      <alignment horizontal="left" shrinkToFit="0" wrapText="0"/>
    </xf>
    <xf borderId="2" fillId="0" fontId="4" numFmtId="0" xfId="0" applyAlignment="1" applyBorder="1" applyFont="1">
      <alignment horizontal="left" shrinkToFit="0" vertical="bottom" wrapText="0"/>
    </xf>
    <xf borderId="0" fillId="0" fontId="4" numFmtId="0" xfId="0" applyAlignment="1" applyFont="1">
      <alignment horizontal="left" shrinkToFit="0" vertical="bottom" wrapText="0"/>
    </xf>
    <xf borderId="1" fillId="2" fontId="2" numFmtId="0" xfId="0" applyAlignment="1" applyBorder="1" applyFont="1">
      <alignment horizontal="left" shrinkToFit="0" wrapText="0"/>
    </xf>
    <xf borderId="1" fillId="0" fontId="9" numFmtId="0" xfId="0" applyAlignment="1" applyBorder="1" applyFont="1">
      <alignment horizontal="left" shrinkToFit="0" vertical="bottom" wrapText="0"/>
    </xf>
    <xf borderId="1" fillId="4" fontId="5" numFmtId="0" xfId="0" applyAlignment="1" applyBorder="1" applyFont="1">
      <alignment horizontal="left" readingOrder="0" vertical="bottom"/>
    </xf>
    <xf borderId="1" fillId="4" fontId="4" numFmtId="0" xfId="0" applyAlignment="1" applyBorder="1" applyFont="1">
      <alignment horizontal="left" readingOrder="0" vertical="bottom"/>
    </xf>
    <xf borderId="1" fillId="4" fontId="4" numFmtId="0" xfId="0" applyAlignment="1" applyBorder="1" applyFont="1">
      <alignment horizontal="left" readingOrder="0"/>
    </xf>
    <xf borderId="1" fillId="4" fontId="2" numFmtId="0" xfId="0" applyAlignment="1" applyBorder="1" applyFont="1">
      <alignment horizontal="left" readingOrder="0"/>
    </xf>
    <xf borderId="1" fillId="4" fontId="2" numFmtId="0" xfId="0" applyAlignment="1" applyBorder="1" applyFont="1">
      <alignment horizontal="left" readingOrder="0" shrinkToFit="0" vertical="center" wrapText="1"/>
    </xf>
    <xf borderId="1" fillId="4" fontId="4" numFmtId="0" xfId="0" applyAlignment="1" applyBorder="1" applyFont="1">
      <alignment horizontal="left" readingOrder="0" shrinkToFit="0" wrapText="0"/>
    </xf>
    <xf borderId="1" fillId="4" fontId="4" numFmtId="0" xfId="0" applyAlignment="1" applyBorder="1" applyFont="1">
      <alignment horizontal="left" readingOrder="0" shrinkToFit="0" vertical="bottom" wrapText="0"/>
    </xf>
    <xf borderId="1" fillId="0" fontId="5" numFmtId="0" xfId="0" applyAlignment="1" applyBorder="1" applyFont="1">
      <alignment horizontal="left" vertical="bottom"/>
    </xf>
    <xf borderId="1" fillId="0" fontId="4" numFmtId="0" xfId="0" applyAlignment="1" applyBorder="1" applyFont="1">
      <alignment horizontal="left" readingOrder="0" vertical="bottom"/>
    </xf>
    <xf borderId="1" fillId="0" fontId="4" numFmtId="0" xfId="0" applyAlignment="1" applyBorder="1" applyFont="1">
      <alignment horizontal="left" readingOrder="0"/>
    </xf>
    <xf borderId="1" fillId="0" fontId="2" numFmtId="0" xfId="0" applyAlignment="1" applyBorder="1" applyFont="1">
      <alignment horizontal="left" readingOrder="0"/>
    </xf>
    <xf borderId="1" fillId="0" fontId="2" numFmtId="0" xfId="0" applyAlignment="1" applyBorder="1" applyFont="1">
      <alignment horizontal="left" readingOrder="0" shrinkToFit="0" vertical="center" wrapText="1"/>
    </xf>
    <xf borderId="1" fillId="0" fontId="4" numFmtId="0" xfId="0" applyAlignment="1" applyBorder="1" applyFont="1">
      <alignment horizontal="left" readingOrder="0" shrinkToFit="0" wrapText="0"/>
    </xf>
    <xf borderId="1" fillId="0" fontId="4" numFmtId="0" xfId="0" applyAlignment="1" applyBorder="1" applyFont="1">
      <alignment horizontal="left" readingOrder="0" shrinkToFit="0" vertical="bottom" wrapText="0"/>
    </xf>
    <xf borderId="1" fillId="0" fontId="2" numFmtId="0" xfId="0" applyAlignment="1" applyBorder="1" applyFont="1">
      <alignment horizontal="left" readingOrder="0" shrinkToFit="0" wrapText="0"/>
    </xf>
    <xf borderId="1" fillId="0" fontId="4" numFmtId="0" xfId="0" applyAlignment="1" applyBorder="1" applyFont="1">
      <alignment horizontal="left" shrinkToFit="0" vertical="bottom" wrapText="0"/>
    </xf>
    <xf borderId="1" fillId="0" fontId="1" numFmtId="0" xfId="0" applyAlignment="1" applyBorder="1" applyFont="1">
      <alignment horizontal="left"/>
    </xf>
    <xf borderId="1" fillId="4" fontId="4" numFmtId="0" xfId="0" applyAlignment="1" applyBorder="1" applyFont="1">
      <alignment horizontal="left" vertical="bottom"/>
    </xf>
    <xf borderId="1" fillId="4" fontId="4" numFmtId="0" xfId="0" applyAlignment="1" applyBorder="1" applyFont="1">
      <alignment horizontal="left" shrinkToFit="0" vertical="bottom" wrapText="0"/>
    </xf>
    <xf borderId="1" fillId="4" fontId="4" numFmtId="0" xfId="0" applyAlignment="1" applyBorder="1" applyFont="1">
      <alignment horizontal="left" shrinkToFit="0" vertical="bottom" wrapText="0"/>
    </xf>
    <xf borderId="0" fillId="4" fontId="4" numFmtId="0" xfId="0" applyAlignment="1" applyFont="1">
      <alignment horizontal="left" shrinkToFit="0" vertical="bottom" wrapText="0"/>
    </xf>
    <xf borderId="0" fillId="4" fontId="5" numFmtId="0" xfId="0" applyAlignment="1" applyFont="1">
      <alignment horizontal="left" readingOrder="0"/>
    </xf>
    <xf borderId="0" fillId="0" fontId="2" numFmtId="0" xfId="0" applyAlignment="1" applyFont="1">
      <alignment horizontal="left" readingOrder="0" shrinkToFit="0" wrapText="0"/>
    </xf>
    <xf borderId="1" fillId="0" fontId="4" numFmtId="0" xfId="0" applyAlignment="1" applyBorder="1" applyFont="1">
      <alignment horizontal="left" shrinkToFit="0" wrapText="0"/>
    </xf>
    <xf borderId="1" fillId="0" fontId="4" numFmtId="0" xfId="0" applyAlignment="1" applyBorder="1" applyFont="1">
      <alignment horizontal="left" shrinkToFit="0" vertical="bottom" wrapText="0"/>
    </xf>
    <xf borderId="1" fillId="0" fontId="4" numFmtId="0" xfId="0" applyAlignment="1" applyBorder="1" applyFont="1">
      <alignment horizontal="left" vertical="top"/>
    </xf>
    <xf borderId="1" fillId="0" fontId="4" numFmtId="0" xfId="0" applyAlignment="1" applyBorder="1" applyFont="1">
      <alignment horizontal="left" readingOrder="0" vertical="bottom"/>
    </xf>
    <xf borderId="1" fillId="4" fontId="5" numFmtId="0" xfId="0" applyAlignment="1" applyBorder="1" applyFont="1">
      <alignment horizontal="left" readingOrder="0"/>
    </xf>
    <xf borderId="1" fillId="0" fontId="4" numFmtId="0" xfId="0" applyAlignment="1" applyBorder="1" applyFont="1">
      <alignment horizontal="left" shrinkToFit="0" vertical="bottom" wrapText="0"/>
    </xf>
    <xf borderId="1" fillId="0" fontId="2" numFmtId="0" xfId="0" applyAlignment="1" applyBorder="1" applyFont="1">
      <alignment horizontal="left"/>
    </xf>
    <xf borderId="1" fillId="0" fontId="2" numFmtId="0" xfId="0" applyAlignment="1" applyBorder="1" applyFont="1">
      <alignment horizontal="left" readingOrder="0" vertical="bottom"/>
    </xf>
    <xf borderId="1" fillId="4" fontId="9" numFmtId="0" xfId="0" applyAlignment="1" applyBorder="1" applyFont="1">
      <alignment horizontal="left" readingOrder="0" shrinkToFit="0" vertical="bottom" wrapText="0"/>
    </xf>
    <xf borderId="1" fillId="4" fontId="9" numFmtId="0" xfId="0" applyAlignment="1" applyBorder="1" applyFont="1">
      <alignment horizontal="left" shrinkToFit="0" vertical="bottom" wrapText="0"/>
    </xf>
    <xf borderId="1" fillId="4" fontId="4" numFmtId="0" xfId="0" applyAlignment="1" applyBorder="1" applyFont="1">
      <alignment horizontal="left" shrinkToFit="0" vertical="bottom" wrapText="0"/>
    </xf>
    <xf borderId="0" fillId="4" fontId="9" numFmtId="0" xfId="0" applyAlignment="1" applyFont="1">
      <alignment horizontal="left" shrinkToFit="0" vertical="bottom" wrapText="0"/>
    </xf>
    <xf borderId="1" fillId="0" fontId="9" numFmtId="0" xfId="0" applyAlignment="1" applyBorder="1" applyFont="1">
      <alignment horizontal="left" readingOrder="0" shrinkToFit="0" vertical="bottom" wrapText="0"/>
    </xf>
    <xf borderId="1" fillId="0" fontId="9" numFmtId="0" xfId="0" applyAlignment="1" applyBorder="1" applyFont="1">
      <alignment horizontal="left" shrinkToFit="0" vertical="bottom" wrapText="0"/>
    </xf>
    <xf borderId="1" fillId="0" fontId="4" numFmtId="0" xfId="0" applyAlignment="1" applyBorder="1" applyFont="1">
      <alignment horizontal="left" shrinkToFit="0" vertical="bottom" wrapText="0"/>
    </xf>
    <xf borderId="1" fillId="4" fontId="9" numFmtId="0" xfId="0" applyAlignment="1" applyBorder="1" applyFont="1">
      <alignment horizontal="left" readingOrder="0" shrinkToFit="0" vertical="bottom" wrapText="0"/>
    </xf>
    <xf borderId="1" fillId="4" fontId="10" numFmtId="0" xfId="0" applyAlignment="1" applyBorder="1" applyFont="1">
      <alignment horizontal="left" readingOrder="0"/>
    </xf>
    <xf borderId="1" fillId="0" fontId="9" numFmtId="11" xfId="0" applyAlignment="1" applyBorder="1" applyFont="1" applyNumberFormat="1">
      <alignment horizontal="left" readingOrder="0" shrinkToFit="0" vertical="bottom" wrapText="0"/>
    </xf>
    <xf borderId="0" fillId="0" fontId="1" numFmtId="0" xfId="0" applyFont="1"/>
    <xf borderId="1" fillId="0" fontId="4" numFmtId="0" xfId="0" applyAlignment="1" applyBorder="1" applyFont="1">
      <alignment horizontal="left" readingOrder="0" shrinkToFit="0" vertical="bottom" wrapText="0"/>
    </xf>
    <xf borderId="1" fillId="4" fontId="4" numFmtId="0" xfId="0" applyAlignment="1" applyBorder="1" applyFont="1">
      <alignment horizontal="left" readingOrder="0" shrinkToFit="0" vertical="bottom" wrapText="0"/>
    </xf>
    <xf borderId="1" fillId="4" fontId="9" numFmtId="11" xfId="0" applyAlignment="1" applyBorder="1" applyFont="1" applyNumberFormat="1">
      <alignment horizontal="left" shrinkToFit="0" vertical="bottom" wrapText="0"/>
    </xf>
    <xf borderId="1" fillId="4" fontId="9" numFmtId="11" xfId="0" applyAlignment="1" applyBorder="1" applyFont="1" applyNumberFormat="1">
      <alignment horizontal="left" readingOrder="0" shrinkToFit="0" vertical="bottom" wrapText="0"/>
    </xf>
    <xf borderId="1" fillId="4" fontId="9" numFmtId="3" xfId="0" applyAlignment="1" applyBorder="1" applyFont="1" applyNumberFormat="1">
      <alignment horizontal="left" readingOrder="0" shrinkToFit="0" vertical="bottom" wrapText="0"/>
    </xf>
    <xf borderId="0" fillId="0" fontId="9" numFmtId="0" xfId="0" applyAlignment="1" applyFont="1">
      <alignment horizontal="left" readingOrder="0" shrinkToFit="0" vertical="bottom" wrapText="0"/>
    </xf>
    <xf borderId="1" fillId="4" fontId="2" numFmtId="0" xfId="0" applyAlignment="1" applyBorder="1" applyFont="1">
      <alignment horizontal="left"/>
    </xf>
    <xf borderId="1" fillId="0" fontId="4" numFmtId="0" xfId="0" applyAlignment="1" applyBorder="1" applyFont="1">
      <alignment shrinkToFit="0" wrapText="1"/>
    </xf>
    <xf borderId="1" fillId="0" fontId="4" numFmtId="0" xfId="0" applyBorder="1" applyFont="1"/>
    <xf borderId="1" fillId="0" fontId="11" numFmtId="0" xfId="0" applyAlignment="1" applyBorder="1" applyFont="1">
      <alignment horizontal="left" shrinkToFit="0" wrapText="0"/>
    </xf>
    <xf borderId="2" fillId="4" fontId="9" numFmtId="0" xfId="0" applyAlignment="1" applyBorder="1" applyFont="1">
      <alignment readingOrder="0" shrinkToFit="0" vertical="bottom" wrapText="0"/>
    </xf>
    <xf borderId="2" fillId="4" fontId="9" numFmtId="0" xfId="0" applyAlignment="1" applyBorder="1" applyFont="1">
      <alignment shrinkToFit="0" vertical="bottom" wrapText="0"/>
    </xf>
    <xf borderId="2" fillId="4" fontId="9" numFmtId="0" xfId="0" applyAlignment="1" applyBorder="1" applyFont="1">
      <alignment horizontal="left" shrinkToFit="0" vertical="bottom" wrapText="0"/>
    </xf>
    <xf borderId="2" fillId="4" fontId="4" numFmtId="0" xfId="0" applyAlignment="1" applyBorder="1" applyFont="1">
      <alignment shrinkToFit="0" vertical="bottom" wrapText="0"/>
    </xf>
    <xf borderId="2" fillId="4" fontId="9" numFmtId="0" xfId="0" applyAlignment="1" applyBorder="1" applyFont="1">
      <alignment horizontal="left" readingOrder="0" shrinkToFit="0" vertical="bottom" wrapText="0"/>
    </xf>
    <xf borderId="2" fillId="4" fontId="4" numFmtId="0" xfId="0" applyAlignment="1" applyBorder="1" applyFont="1">
      <alignment shrinkToFit="0" vertical="bottom" wrapText="0"/>
    </xf>
    <xf borderId="0" fillId="4" fontId="4" numFmtId="0" xfId="0" applyAlignment="1" applyFont="1">
      <alignment vertical="bottom"/>
    </xf>
    <xf borderId="1" fillId="0" fontId="5" numFmtId="0" xfId="0" applyAlignment="1" applyBorder="1" applyFont="1">
      <alignment horizontal="left" readingOrder="0" vertical="bottom"/>
    </xf>
    <xf borderId="1" fillId="0" fontId="9" numFmtId="0" xfId="0" applyAlignment="1" applyBorder="1" applyFont="1">
      <alignment horizontal="left" shrinkToFit="0" vertical="bottom" wrapText="0"/>
    </xf>
    <xf borderId="1" fillId="0" fontId="4" numFmtId="0" xfId="0" applyAlignment="1" applyBorder="1" applyFont="1">
      <alignment horizontal="center" readingOrder="0"/>
    </xf>
    <xf borderId="1" fillId="2" fontId="4"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0"/>
    </xf>
    <xf borderId="1" fillId="4" fontId="4"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0"/>
    </xf>
    <xf borderId="1" fillId="0" fontId="4" numFmtId="0" xfId="0" applyAlignment="1" applyBorder="1" applyFont="1">
      <alignment horizontal="left" vertical="bottom"/>
    </xf>
    <xf borderId="1" fillId="0" fontId="5" numFmtId="0" xfId="0" applyAlignment="1" applyBorder="1" applyFont="1">
      <alignment vertical="bottom"/>
    </xf>
    <xf borderId="1" fillId="0" fontId="4" numFmtId="0" xfId="0" applyAlignment="1" applyBorder="1" applyFont="1">
      <alignment shrinkToFit="0" wrapText="0"/>
    </xf>
    <xf borderId="1" fillId="0" fontId="4" numFmtId="0" xfId="0" applyAlignment="1" applyBorder="1" applyFont="1">
      <alignment shrinkToFit="0" vertical="bottom" wrapText="0"/>
    </xf>
    <xf borderId="1" fillId="4" fontId="4" numFmtId="0" xfId="0" applyAlignment="1" applyBorder="1" applyFont="1">
      <alignment shrinkToFit="0" wrapText="1"/>
    </xf>
    <xf borderId="1" fillId="4" fontId="4" numFmtId="0" xfId="0" applyAlignment="1" applyBorder="1" applyFont="1">
      <alignment horizontal="center" readingOrder="0"/>
    </xf>
    <xf borderId="1" fillId="4" fontId="4" numFmtId="0" xfId="0" applyBorder="1" applyFont="1"/>
    <xf borderId="1" fillId="4" fontId="4" numFmtId="0" xfId="0" applyAlignment="1" applyBorder="1" applyFont="1">
      <alignment shrinkToFit="0" wrapText="0"/>
    </xf>
    <xf borderId="1" fillId="4" fontId="4" numFmtId="0" xfId="0" applyAlignment="1" applyBorder="1" applyFont="1">
      <alignment shrinkToFit="0" wrapText="0"/>
    </xf>
    <xf borderId="1" fillId="0" fontId="12" numFmtId="0" xfId="0" applyAlignment="1" applyBorder="1" applyFont="1">
      <alignment horizontal="left" readingOrder="0"/>
    </xf>
    <xf borderId="1" fillId="0" fontId="2" numFmtId="0" xfId="0" applyAlignment="1" applyBorder="1" applyFont="1">
      <alignment horizontal="left"/>
    </xf>
    <xf borderId="1" fillId="0" fontId="4" numFmtId="0" xfId="0" applyAlignment="1" applyBorder="1" applyFont="1">
      <alignment horizontal="left" vertical="bottom"/>
    </xf>
    <xf borderId="1" fillId="0" fontId="13" numFmtId="0" xfId="0" applyAlignment="1" applyBorder="1" applyFont="1">
      <alignment horizontal="left" readingOrder="0"/>
    </xf>
    <xf borderId="1" fillId="0" fontId="4" numFmtId="0" xfId="0" applyAlignment="1" applyBorder="1" applyFont="1">
      <alignment horizontal="left" readingOrder="0" vertical="bottom"/>
    </xf>
    <xf borderId="1" fillId="4" fontId="5" numFmtId="0" xfId="0" applyAlignment="1" applyBorder="1" applyFont="1">
      <alignment horizontal="left" readingOrder="0" vertical="bottom"/>
    </xf>
    <xf borderId="1" fillId="4" fontId="5" numFmtId="0" xfId="0" applyAlignment="1" applyBorder="1" applyFont="1">
      <alignment horizontal="left" vertical="bottom"/>
    </xf>
    <xf borderId="1" fillId="0" fontId="4" numFmtId="0" xfId="0" applyAlignment="1" applyBorder="1" applyFont="1">
      <alignment horizontal="left" shrinkToFit="0" vertical="bottom" wrapText="0"/>
    </xf>
    <xf borderId="1" fillId="0" fontId="2" numFmtId="0" xfId="0" applyAlignment="1" applyBorder="1" applyFont="1">
      <alignment readingOrder="0" shrinkToFit="0" vertical="center" wrapText="0"/>
    </xf>
    <xf borderId="0" fillId="0" fontId="9" numFmtId="0" xfId="0" applyAlignment="1" applyFont="1">
      <alignment horizontal="left" shrinkToFit="0" vertical="bottom" wrapText="0"/>
    </xf>
    <xf borderId="0" fillId="0" fontId="4" numFmtId="0" xfId="0" applyAlignment="1" applyFont="1">
      <alignment horizontal="left" vertical="bottom"/>
    </xf>
    <xf borderId="2" fillId="0" fontId="2" numFmtId="0" xfId="0" applyAlignment="1" applyBorder="1" applyFont="1">
      <alignment horizontal="left"/>
    </xf>
    <xf borderId="2" fillId="0" fontId="2" numFmtId="0" xfId="0" applyAlignment="1" applyBorder="1" applyFont="1">
      <alignment horizontal="left" readingOrder="0" vertical="bottom"/>
    </xf>
    <xf borderId="2" fillId="4" fontId="5" numFmtId="0" xfId="0" applyAlignment="1" applyBorder="1" applyFont="1">
      <alignment horizontal="left" readingOrder="0"/>
    </xf>
    <xf borderId="2" fillId="0" fontId="4" numFmtId="0" xfId="0" applyAlignment="1" applyBorder="1" applyFont="1">
      <alignment horizontal="left" readingOrder="0" shrinkToFit="0" vertical="bottom" wrapText="0"/>
    </xf>
    <xf borderId="2" fillId="0" fontId="4" numFmtId="0" xfId="0" applyAlignment="1" applyBorder="1" applyFont="1">
      <alignment horizontal="left" vertical="bottom"/>
    </xf>
    <xf borderId="0" fillId="0" fontId="2" numFmtId="0" xfId="0" applyAlignment="1" applyFont="1">
      <alignment horizontal="left"/>
    </xf>
    <xf borderId="0" fillId="0" fontId="2" numFmtId="0" xfId="0" applyAlignment="1" applyFont="1">
      <alignment horizontal="left" readingOrder="0"/>
    </xf>
    <xf borderId="0" fillId="4" fontId="5" numFmtId="0" xfId="0" applyAlignment="1" applyFont="1">
      <alignment horizontal="left" readingOrder="0"/>
    </xf>
    <xf borderId="0" fillId="0" fontId="2" numFmtId="0" xfId="0" applyAlignment="1" applyFont="1">
      <alignment horizontal="left" shrinkToFit="0" wrapText="0"/>
    </xf>
    <xf borderId="1" fillId="4" fontId="5" numFmtId="0" xfId="0" applyAlignment="1" applyBorder="1" applyFont="1">
      <alignment horizontal="left" readingOrder="0" shrinkToFit="0" wrapText="0"/>
    </xf>
    <xf borderId="1" fillId="4" fontId="14" numFmtId="0" xfId="0" applyAlignment="1" applyBorder="1" applyFont="1">
      <alignment horizontal="left" readingOrder="0" shrinkToFit="0" wrapText="0"/>
    </xf>
    <xf borderId="0" fillId="4" fontId="4" numFmtId="0" xfId="0" applyAlignment="1" applyFont="1">
      <alignment horizontal="left" vertical="bottom"/>
    </xf>
    <xf borderId="0" fillId="4" fontId="2" numFmtId="0" xfId="0" applyAlignment="1" applyFont="1">
      <alignment horizontal="left" readingOrder="0"/>
    </xf>
    <xf borderId="0" fillId="4" fontId="2" numFmtId="0" xfId="0" applyAlignment="1" applyFont="1">
      <alignment horizontal="left" readingOrder="0" shrinkToFit="0" wrapText="0"/>
    </xf>
    <xf borderId="0" fillId="0" fontId="4" numFmtId="0" xfId="0" applyAlignment="1" applyFont="1">
      <alignment horizontal="left" readingOrder="0" vertical="bottom"/>
    </xf>
    <xf borderId="3" fillId="0" fontId="9" numFmtId="0" xfId="0" applyAlignment="1" applyBorder="1" applyFont="1">
      <alignment horizontal="left" readingOrder="0" shrinkToFit="0" vertical="bottom" wrapText="0"/>
    </xf>
    <xf borderId="2" fillId="0" fontId="9" numFmtId="0" xfId="0" applyAlignment="1" applyBorder="1" applyFont="1">
      <alignment horizontal="left" readingOrder="0" shrinkToFit="0" vertical="bottom" wrapText="0"/>
    </xf>
    <xf borderId="4" fillId="0" fontId="9" numFmtId="0" xfId="0" applyAlignment="1" applyBorder="1" applyFont="1">
      <alignment horizontal="left" readingOrder="0" shrinkToFit="0" vertical="bottom" wrapText="0"/>
    </xf>
    <xf borderId="0" fillId="0" fontId="4" numFmtId="0" xfId="0" applyAlignment="1" applyFont="1">
      <alignment horizontal="left" vertical="bottom"/>
    </xf>
    <xf borderId="2" fillId="0" fontId="9" numFmtId="11" xfId="0" applyAlignment="1" applyBorder="1" applyFont="1" applyNumberFormat="1">
      <alignment horizontal="left" readingOrder="0" shrinkToFit="0" vertical="bottom" wrapText="0"/>
    </xf>
    <xf borderId="2" fillId="0" fontId="4" numFmtId="0" xfId="0" applyAlignment="1" applyBorder="1" applyFont="1">
      <alignment horizontal="left" shrinkToFit="0" vertical="bottom" wrapText="0"/>
    </xf>
    <xf borderId="0" fillId="0" fontId="5" numFmtId="0" xfId="0" applyAlignment="1" applyFont="1">
      <alignment horizontal="left" vertical="bottom"/>
    </xf>
    <xf borderId="1" fillId="0" fontId="4" numFmtId="0" xfId="0" applyAlignment="1" applyBorder="1" applyFont="1">
      <alignment horizontal="left" shrinkToFit="0" wrapText="1"/>
    </xf>
    <xf borderId="0" fillId="0" fontId="1" numFmtId="0" xfId="0" applyAlignment="1" applyFont="1">
      <alignment horizontal="left"/>
    </xf>
    <xf borderId="1" fillId="0" fontId="2" numFmtId="0" xfId="0" applyAlignment="1" applyBorder="1" applyFont="1">
      <alignment horizontal="left" readingOrder="0" shrinkToFit="0" vertical="center" wrapText="0"/>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1"/>
    </xf>
    <xf borderId="0" fillId="0" fontId="2" numFmtId="3" xfId="0" applyAlignment="1" applyFont="1" applyNumberFormat="1">
      <alignment readingOrder="0"/>
    </xf>
    <xf borderId="1" fillId="0" fontId="4" numFmtId="0" xfId="0" applyAlignment="1" applyBorder="1" applyFont="1">
      <alignment readingOrder="0" shrinkToFit="0" vertical="center" wrapText="0"/>
    </xf>
    <xf borderId="1" fillId="4" fontId="4" numFmtId="0" xfId="0" applyAlignment="1" applyBorder="1" applyFont="1">
      <alignment readingOrder="0" shrinkToFit="0" vertical="center" wrapText="0"/>
    </xf>
    <xf borderId="1" fillId="4" fontId="2" numFmtId="0" xfId="0" applyAlignment="1" applyBorder="1" applyFont="1">
      <alignment readingOrder="0" shrinkToFit="0" vertical="center" wrapText="0"/>
    </xf>
    <xf borderId="0" fillId="0" fontId="2" numFmtId="0" xfId="0" applyAlignment="1" applyFont="1">
      <alignment horizontal="center" readingOrder="0"/>
    </xf>
    <xf borderId="1" fillId="4" fontId="2" numFmtId="0" xfId="0" applyAlignment="1" applyBorder="1" applyFont="1">
      <alignment horizontal="center" readingOrder="0" shrinkToFit="0" wrapText="0"/>
    </xf>
    <xf borderId="1" fillId="0" fontId="2" numFmtId="0" xfId="0" applyAlignment="1" applyBorder="1" applyFont="1">
      <alignment horizontal="center" readingOrder="0" shrinkToFit="0" wrapText="0"/>
    </xf>
    <xf borderId="1" fillId="4" fontId="4" numFmtId="0" xfId="0" applyAlignment="1" applyBorder="1" applyFont="1">
      <alignment shrinkToFit="0" vertical="center" wrapText="0"/>
    </xf>
    <xf borderId="1" fillId="6" fontId="2" numFmtId="0" xfId="0" applyAlignment="1" applyBorder="1" applyFont="1">
      <alignment horizontal="left" shrinkToFit="0" wrapText="0"/>
    </xf>
    <xf borderId="1" fillId="7" fontId="3" numFmtId="0" xfId="0" applyAlignment="1" applyBorder="1" applyFill="1" applyFont="1">
      <alignment horizontal="left" readingOrder="0"/>
    </xf>
    <xf borderId="1" fillId="7" fontId="15" numFmtId="0" xfId="0" applyAlignment="1" applyBorder="1" applyFont="1">
      <alignment horizontal="left" readingOrder="0" vertical="bottom"/>
    </xf>
    <xf borderId="1" fillId="7" fontId="3" numFmtId="0" xfId="0" applyAlignment="1" applyBorder="1" applyFont="1">
      <alignment horizontal="left" readingOrder="0" shrinkToFit="0" wrapText="0"/>
    </xf>
    <xf borderId="1" fillId="7" fontId="3" numFmtId="0" xfId="0" applyAlignment="1" applyBorder="1" applyFont="1">
      <alignment horizontal="left"/>
    </xf>
    <xf borderId="1" fillId="0" fontId="2" numFmtId="0" xfId="0" applyAlignment="1" applyBorder="1" applyFont="1">
      <alignment readingOrder="0" vertical="center"/>
    </xf>
    <xf borderId="1" fillId="0" fontId="4"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0" fontId="3" numFmtId="0" xfId="0" applyAlignment="1" applyBorder="1" applyFont="1">
      <alignment readingOrder="0"/>
    </xf>
    <xf borderId="1" fillId="0" fontId="2" numFmtId="0" xfId="0" applyAlignment="1" applyBorder="1" applyFont="1">
      <alignment shrinkToFit="0" vertical="center" wrapText="1"/>
    </xf>
    <xf borderId="1" fillId="0" fontId="4" numFmtId="0" xfId="0" applyAlignment="1" applyBorder="1" applyFont="1">
      <alignment shrinkToFit="0" vertical="center" wrapText="1"/>
    </xf>
    <xf borderId="1" fillId="0" fontId="2" numFmtId="0" xfId="0" applyAlignment="1" applyBorder="1" applyFont="1">
      <alignment shrinkToFit="0" vertical="center" wrapText="0"/>
    </xf>
    <xf borderId="0" fillId="0" fontId="2" numFmtId="0" xfId="0" applyAlignment="1" applyFont="1">
      <alignment shrinkToFit="0" wrapText="0"/>
    </xf>
    <xf borderId="1" fillId="4" fontId="5" numFmtId="0" xfId="0" applyAlignment="1" applyBorder="1" applyFont="1">
      <alignment horizontal="left" readingOrder="0" shrinkToFit="0" vertical="center" wrapText="1"/>
    </xf>
    <xf borderId="1" fillId="0" fontId="4" numFmtId="0" xfId="0" applyAlignment="1" applyBorder="1" applyFont="1">
      <alignment shrinkToFit="0" vertical="center" wrapText="0"/>
    </xf>
    <xf borderId="1" fillId="0" fontId="4" numFmtId="0" xfId="0" applyAlignment="1" applyBorder="1" applyFont="1">
      <alignment readingOrder="0" shrinkToFit="0" vertical="center" wrapText="1"/>
    </xf>
    <xf borderId="1" fillId="4" fontId="2" numFmtId="0" xfId="0" applyBorder="1" applyFont="1"/>
    <xf borderId="1" fillId="4" fontId="2" numFmtId="0" xfId="0" applyAlignment="1" applyBorder="1" applyFont="1">
      <alignment readingOrder="0"/>
    </xf>
    <xf borderId="1" fillId="4" fontId="2" numFmtId="0" xfId="0" applyAlignment="1" applyBorder="1" applyFont="1">
      <alignment readingOrder="0" shrinkToFit="0" vertical="center" wrapText="1"/>
    </xf>
    <xf borderId="1" fillId="4" fontId="4" numFmtId="0" xfId="0" applyAlignment="1" applyBorder="1" applyFont="1">
      <alignment horizontal="left" readingOrder="0" shrinkToFit="0" vertical="center" wrapText="1"/>
    </xf>
    <xf borderId="1" fillId="4" fontId="2" numFmtId="0" xfId="0" applyAlignment="1" applyBorder="1" applyFont="1">
      <alignment shrinkToFit="0" vertical="center" wrapText="1"/>
    </xf>
    <xf borderId="1" fillId="4" fontId="2" numFmtId="0" xfId="0" applyAlignment="1" applyBorder="1" applyFont="1">
      <alignment shrinkToFit="0" vertical="center" wrapText="0"/>
    </xf>
    <xf borderId="1" fillId="0" fontId="4" numFmtId="0" xfId="0" applyAlignment="1" applyBorder="1" applyFont="1">
      <alignment shrinkToFit="0" vertical="center" wrapText="1"/>
    </xf>
    <xf borderId="0" fillId="4" fontId="1" numFmtId="0" xfId="0" applyAlignment="1" applyFont="1">
      <alignment shrinkToFit="0" vertical="center" wrapText="1"/>
    </xf>
    <xf borderId="1" fillId="4" fontId="4" numFmtId="0" xfId="0" applyAlignment="1" applyBorder="1" applyFont="1">
      <alignment shrinkToFit="0" vertical="center" wrapText="1"/>
    </xf>
    <xf borderId="1" fillId="4" fontId="4" numFmtId="0" xfId="0" applyAlignment="1" applyBorder="1" applyFont="1">
      <alignment shrinkToFit="0" vertical="center" wrapText="1"/>
    </xf>
    <xf borderId="1" fillId="0" fontId="4" numFmtId="0" xfId="0" applyAlignment="1" applyBorder="1" applyFont="1">
      <alignment readingOrder="0" vertical="bottom"/>
    </xf>
    <xf borderId="1" fillId="0"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readingOrder="0" shrinkToFit="0" vertical="center" wrapText="0"/>
    </xf>
    <xf borderId="1" fillId="8" fontId="2" numFmtId="0" xfId="0" applyBorder="1" applyFill="1" applyFont="1"/>
    <xf borderId="1" fillId="8" fontId="2" numFmtId="0" xfId="0" applyAlignment="1" applyBorder="1" applyFont="1">
      <alignment readingOrder="0"/>
    </xf>
    <xf borderId="1" fillId="8" fontId="2" numFmtId="0" xfId="0" applyAlignment="1" applyBorder="1" applyFont="1">
      <alignment readingOrder="0" shrinkToFit="0" vertical="center" wrapText="1"/>
    </xf>
    <xf borderId="1" fillId="8" fontId="4" numFmtId="0" xfId="0" applyAlignment="1" applyBorder="1" applyFont="1">
      <alignment horizontal="left" readingOrder="0" shrinkToFit="0" vertical="center" wrapText="1"/>
    </xf>
    <xf borderId="1" fillId="8" fontId="2" numFmtId="0" xfId="0" applyAlignment="1" applyBorder="1" applyFont="1">
      <alignment shrinkToFit="0" vertical="center" wrapText="1"/>
    </xf>
    <xf borderId="1" fillId="8" fontId="2" numFmtId="0" xfId="0" applyAlignment="1" applyBorder="1" applyFont="1">
      <alignment readingOrder="0" shrinkToFit="0" vertical="center" wrapText="0"/>
    </xf>
    <xf borderId="1" fillId="0" fontId="2" numFmtId="0" xfId="0" applyAlignment="1" applyBorder="1" applyFont="1">
      <alignment horizontal="left" vertical="bottom"/>
    </xf>
    <xf borderId="0" fillId="0" fontId="2" numFmtId="9" xfId="0" applyFont="1" applyNumberFormat="1"/>
    <xf borderId="0" fillId="0" fontId="2" numFmtId="1" xfId="0" applyFont="1" applyNumberFormat="1"/>
    <xf borderId="0" fillId="2" fontId="2" numFmtId="0" xfId="0" applyAlignment="1" applyFont="1">
      <alignment horizontal="right" readingOrder="0"/>
    </xf>
    <xf borderId="0" fillId="2" fontId="2" numFmtId="165" xfId="0" applyFont="1" applyNumberFormat="1"/>
    <xf borderId="1" fillId="2" fontId="2" numFmtId="0" xfId="0" applyAlignment="1" applyBorder="1" applyFont="1">
      <alignment readingOrder="0" shrinkToFit="0" wrapText="1"/>
    </xf>
    <xf borderId="0" fillId="9" fontId="2" numFmtId="0" xfId="0" applyFill="1" applyFont="1"/>
    <xf borderId="0" fillId="9" fontId="2" numFmtId="0" xfId="0" applyAlignment="1" applyFont="1">
      <alignment readingOrder="0"/>
    </xf>
    <xf borderId="1" fillId="2" fontId="2" numFmtId="0" xfId="0" applyBorder="1" applyFont="1"/>
    <xf borderId="0" fillId="0" fontId="2" numFmtId="3" xfId="0" applyFont="1" applyNumberFormat="1"/>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0" fontId="3" numFmtId="0" xfId="0" applyAlignment="1" applyFont="1">
      <alignment readingOrder="0"/>
    </xf>
    <xf borderId="1" fillId="0" fontId="4" numFmtId="0" xfId="0" applyAlignment="1" applyBorder="1" applyFont="1">
      <alignment horizontal="left" vertical="bottom"/>
    </xf>
    <xf borderId="0" fillId="0" fontId="13" numFmtId="0" xfId="0" applyAlignment="1" applyFont="1">
      <alignment readingOrder="0"/>
    </xf>
    <xf borderId="1" fillId="2" fontId="4" numFmtId="0" xfId="0" applyAlignment="1" applyBorder="1" applyFont="1">
      <alignment horizontal="left" vertical="bottom"/>
    </xf>
    <xf borderId="1" fillId="2" fontId="4" numFmtId="0" xfId="0" applyAlignment="1" applyBorder="1" applyFont="1">
      <alignment horizontal="left" vertical="bottom"/>
    </xf>
    <xf borderId="1" fillId="0" fontId="9" numFmtId="0" xfId="0" applyAlignment="1" applyBorder="1" applyFont="1">
      <alignment horizontal="right" shrinkToFit="0" vertical="bottom" wrapText="0"/>
    </xf>
    <xf borderId="1" fillId="6" fontId="2" numFmtId="0" xfId="0" applyAlignment="1" applyBorder="1" applyFont="1">
      <alignment readingOrder="0" shrinkToFit="0" wrapText="0"/>
    </xf>
    <xf borderId="0" fillId="4" fontId="5" numFmtId="0" xfId="0" applyAlignment="1" applyFont="1">
      <alignment horizontal="center" readingOrder="0"/>
    </xf>
    <xf borderId="1" fillId="0" fontId="4"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1" fillId="0" fontId="9" numFmtId="0" xfId="0" applyAlignment="1" applyBorder="1" applyFont="1">
      <alignment horizontal="center" readingOrder="0" shrinkToFit="0" vertical="bottom" wrapText="0"/>
    </xf>
    <xf borderId="1" fillId="0" fontId="9" numFmtId="11" xfId="0" applyAlignment="1" applyBorder="1" applyFont="1" applyNumberFormat="1">
      <alignment horizontal="center" readingOrder="0" shrinkToFit="0" vertical="bottom" wrapText="0"/>
    </xf>
    <xf borderId="1" fillId="0" fontId="9" numFmtId="0" xfId="0" applyAlignment="1" applyBorder="1" applyFont="1">
      <alignment horizontal="right" readingOrder="0" shrinkToFit="0" vertical="bottom" wrapText="0"/>
    </xf>
    <xf borderId="1" fillId="0" fontId="4" numFmtId="0" xfId="0" applyAlignment="1" applyBorder="1" applyFont="1">
      <alignment shrinkToFit="0" vertical="bottom" wrapText="0"/>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90" Type="http://schemas.openxmlformats.org/officeDocument/2006/relationships/hyperlink" Target="https://via.placeholder.com/300x650.png/00cc22?text=Smartphone+quis" TargetMode="External"/><Relationship Id="rId194" Type="http://schemas.openxmlformats.org/officeDocument/2006/relationships/hyperlink" Target="https://via.placeholder.com/300x650.png/0011cc?text=Smartphone+neque" TargetMode="External"/><Relationship Id="rId193" Type="http://schemas.openxmlformats.org/officeDocument/2006/relationships/hyperlink" Target="https://via.placeholder.com/300x650.png/009977?text=Smartphone+dolorem" TargetMode="External"/><Relationship Id="rId192" Type="http://schemas.openxmlformats.org/officeDocument/2006/relationships/hyperlink" Target="https://via.placeholder.com/300x650.png/0088cc?text=Smartphone+itaque" TargetMode="External"/><Relationship Id="rId191" Type="http://schemas.openxmlformats.org/officeDocument/2006/relationships/hyperlink" Target="https://via.placeholder.com/300x650.png/00ccbb?text=Smartphone+quis" TargetMode="External"/><Relationship Id="rId187" Type="http://schemas.openxmlformats.org/officeDocument/2006/relationships/hyperlink" Target="https://via.placeholder.com/300x650.png/00ff66?text=Smartphone+odit" TargetMode="External"/><Relationship Id="rId186" Type="http://schemas.openxmlformats.org/officeDocument/2006/relationships/hyperlink" Target="https://via.placeholder.com/300x650.png/008833?text=Smartphone+maiores" TargetMode="External"/><Relationship Id="rId185" Type="http://schemas.openxmlformats.org/officeDocument/2006/relationships/hyperlink" Target="https://via.placeholder.com/300x650.png/00bbdd?text=Smartphone+doloremque" TargetMode="External"/><Relationship Id="rId184" Type="http://schemas.openxmlformats.org/officeDocument/2006/relationships/hyperlink" Target="https://via.placeholder.com/300x650.png/002255?text=Smartphone+eius" TargetMode="External"/><Relationship Id="rId189" Type="http://schemas.openxmlformats.org/officeDocument/2006/relationships/hyperlink" Target="https://via.placeholder.com/300x650.png/00dd88?text=Smartphone+sunt" TargetMode="External"/><Relationship Id="rId188" Type="http://schemas.openxmlformats.org/officeDocument/2006/relationships/hyperlink" Target="https://via.placeholder.com/300x650.png/0088ff?text=Smartphone+est" TargetMode="External"/><Relationship Id="rId183" Type="http://schemas.openxmlformats.org/officeDocument/2006/relationships/hyperlink" Target="https://via.placeholder.com/300x650.png/00ddee?text=Smartphone+ea" TargetMode="External"/><Relationship Id="rId182" Type="http://schemas.openxmlformats.org/officeDocument/2006/relationships/hyperlink" Target="https://via.placeholder.com/300x650.png/001122?text=Smartphone+assumenda" TargetMode="External"/><Relationship Id="rId181" Type="http://schemas.openxmlformats.org/officeDocument/2006/relationships/hyperlink" Target="https://via.placeholder.com/300x650.png/0033ee?text=Smartphone+culpa" TargetMode="External"/><Relationship Id="rId180" Type="http://schemas.openxmlformats.org/officeDocument/2006/relationships/hyperlink" Target="https://via.placeholder.com/300x650.png/004455?text=Smartphone+expedita" TargetMode="External"/><Relationship Id="rId176" Type="http://schemas.openxmlformats.org/officeDocument/2006/relationships/hyperlink" Target="https://via.placeholder.com/300x650.png/007799?text=Smartphone+officia" TargetMode="External"/><Relationship Id="rId175" Type="http://schemas.openxmlformats.org/officeDocument/2006/relationships/hyperlink" Target="https://via.placeholder.com/300x650.png/004400?text=Smartphone+placeat" TargetMode="External"/><Relationship Id="rId174" Type="http://schemas.openxmlformats.org/officeDocument/2006/relationships/hyperlink" Target="https://via.placeholder.com/300x650.png/0088cc?text=Smartphone+et" TargetMode="External"/><Relationship Id="rId173" Type="http://schemas.openxmlformats.org/officeDocument/2006/relationships/hyperlink" Target="https://via.placeholder.com/300x650.png/006600?text=Smartphone+sit" TargetMode="External"/><Relationship Id="rId179" Type="http://schemas.openxmlformats.org/officeDocument/2006/relationships/hyperlink" Target="https://via.placeholder.com/300x650.png/00ffee?text=Smartphone+nihil" TargetMode="External"/><Relationship Id="rId178" Type="http://schemas.openxmlformats.org/officeDocument/2006/relationships/hyperlink" Target="https://via.placeholder.com/300x650.png/0000cc?text=Smartphone+laboriosam" TargetMode="External"/><Relationship Id="rId177" Type="http://schemas.openxmlformats.org/officeDocument/2006/relationships/hyperlink" Target="https://via.placeholder.com/300x650.png/0055aa?text=Smartphone+sapiente" TargetMode="External"/><Relationship Id="rId198" Type="http://schemas.openxmlformats.org/officeDocument/2006/relationships/hyperlink" Target="https://via.placeholder.com/300x650.png/00cc44?text=Smartphone+id" TargetMode="External"/><Relationship Id="rId197" Type="http://schemas.openxmlformats.org/officeDocument/2006/relationships/hyperlink" Target="https://via.placeholder.com/300x650.png/00aabb?text=Smartphone+animi" TargetMode="External"/><Relationship Id="rId196" Type="http://schemas.openxmlformats.org/officeDocument/2006/relationships/hyperlink" Target="https://via.placeholder.com/300x650.png/004455?text=Smartphone+fugit" TargetMode="External"/><Relationship Id="rId195" Type="http://schemas.openxmlformats.org/officeDocument/2006/relationships/hyperlink" Target="https://via.placeholder.com/300x650.png/009911?text=Smartphone+quidem" TargetMode="External"/><Relationship Id="rId199" Type="http://schemas.openxmlformats.org/officeDocument/2006/relationships/hyperlink" Target="https://via.placeholder.com/300x650.png/000000?text=Smartphone+id" TargetMode="External"/><Relationship Id="rId150" Type="http://schemas.openxmlformats.org/officeDocument/2006/relationships/hyperlink" Target="https://via.placeholder.com/300x650.png/004400?text=Smartphone+voluptas" TargetMode="External"/><Relationship Id="rId392" Type="http://schemas.openxmlformats.org/officeDocument/2006/relationships/hyperlink" Target="https://via.placeholder.com/300x650.png/00aa55?text=Smartphone+voluptas" TargetMode="External"/><Relationship Id="rId391" Type="http://schemas.openxmlformats.org/officeDocument/2006/relationships/hyperlink" Target="https://via.placeholder.com/300x650.png/00dd00?text=Smartphone+quasi" TargetMode="External"/><Relationship Id="rId390" Type="http://schemas.openxmlformats.org/officeDocument/2006/relationships/hyperlink" Target="https://via.placeholder.com/300x650.png/0066cc?text=Smartphone+natus" TargetMode="External"/><Relationship Id="rId1" Type="http://schemas.openxmlformats.org/officeDocument/2006/relationships/hyperlink" Target="https://via.placeholder.com/300x650.png/00cc88?text=Smartphone+consequatur" TargetMode="External"/><Relationship Id="rId2" Type="http://schemas.openxmlformats.org/officeDocument/2006/relationships/hyperlink" Target="https://via.placeholder.com/300x650.png/00dd88?text=Smartphone+facilis" TargetMode="External"/><Relationship Id="rId3" Type="http://schemas.openxmlformats.org/officeDocument/2006/relationships/hyperlink" Target="https://via.placeholder.com/300x650.png/00cc33?text=Smartphone+sint" TargetMode="External"/><Relationship Id="rId149" Type="http://schemas.openxmlformats.org/officeDocument/2006/relationships/hyperlink" Target="https://via.placeholder.com/300x650.png/002299?text=Smartphone+autem" TargetMode="External"/><Relationship Id="rId4" Type="http://schemas.openxmlformats.org/officeDocument/2006/relationships/hyperlink" Target="https://via.placeholder.com/300x650.png/0044dd?text=Smartphone+est" TargetMode="External"/><Relationship Id="rId148" Type="http://schemas.openxmlformats.org/officeDocument/2006/relationships/hyperlink" Target="https://via.placeholder.com/300x650.png/0088aa?text=Smartphone+modi" TargetMode="External"/><Relationship Id="rId9" Type="http://schemas.openxmlformats.org/officeDocument/2006/relationships/hyperlink" Target="https://via.placeholder.com/300x650.png/00bb88?text=Smartphone+incidunt" TargetMode="External"/><Relationship Id="rId143" Type="http://schemas.openxmlformats.org/officeDocument/2006/relationships/hyperlink" Target="https://via.placeholder.com/300x650.png/008800?text=Smartphone+iste" TargetMode="External"/><Relationship Id="rId385" Type="http://schemas.openxmlformats.org/officeDocument/2006/relationships/hyperlink" Target="https://via.placeholder.com/300x650.png/008877?text=Smartphone+facilis" TargetMode="External"/><Relationship Id="rId142" Type="http://schemas.openxmlformats.org/officeDocument/2006/relationships/hyperlink" Target="https://via.placeholder.com/300x650.png/00cc33?text=Smartphone+culpa" TargetMode="External"/><Relationship Id="rId384" Type="http://schemas.openxmlformats.org/officeDocument/2006/relationships/hyperlink" Target="https://via.placeholder.com/300x650.png/001133?text=Smartphone+magni" TargetMode="External"/><Relationship Id="rId141" Type="http://schemas.openxmlformats.org/officeDocument/2006/relationships/hyperlink" Target="https://via.placeholder.com/300x650.png/004411?text=Smartphone+quidem" TargetMode="External"/><Relationship Id="rId383" Type="http://schemas.openxmlformats.org/officeDocument/2006/relationships/hyperlink" Target="https://via.placeholder.com/300x650.png/006655?text=Smartphone+voluptatum" TargetMode="External"/><Relationship Id="rId140" Type="http://schemas.openxmlformats.org/officeDocument/2006/relationships/hyperlink" Target="https://via.placeholder.com/300x650.png/0044ff?text=Smartphone+ullam" TargetMode="External"/><Relationship Id="rId382" Type="http://schemas.openxmlformats.org/officeDocument/2006/relationships/hyperlink" Target="https://via.placeholder.com/300x650.png/000033?text=Smartphone+harum" TargetMode="External"/><Relationship Id="rId5" Type="http://schemas.openxmlformats.org/officeDocument/2006/relationships/hyperlink" Target="https://via.placeholder.com/300x650.png/00cccc?text=Smartphone+dolores" TargetMode="External"/><Relationship Id="rId147" Type="http://schemas.openxmlformats.org/officeDocument/2006/relationships/hyperlink" Target="https://via.placeholder.com/300x650.png/007700?text=Smartphone+est" TargetMode="External"/><Relationship Id="rId389" Type="http://schemas.openxmlformats.org/officeDocument/2006/relationships/hyperlink" Target="https://via.placeholder.com/300x650.png/002211?text=Smartphone+occaecati" TargetMode="External"/><Relationship Id="rId6" Type="http://schemas.openxmlformats.org/officeDocument/2006/relationships/hyperlink" Target="https://via.placeholder.com/300x650.png/00bb99?text=Smartphone+ut" TargetMode="External"/><Relationship Id="rId146" Type="http://schemas.openxmlformats.org/officeDocument/2006/relationships/hyperlink" Target="https://via.placeholder.com/300x650.png/001122?text=Smartphone+rerum" TargetMode="External"/><Relationship Id="rId388" Type="http://schemas.openxmlformats.org/officeDocument/2006/relationships/hyperlink" Target="https://via.placeholder.com/300x650.png/0099aa?text=Smartphone+praesentium" TargetMode="External"/><Relationship Id="rId7" Type="http://schemas.openxmlformats.org/officeDocument/2006/relationships/hyperlink" Target="https://via.placeholder.com/300x650.png/00aa66?text=Smartphone+ut" TargetMode="External"/><Relationship Id="rId145" Type="http://schemas.openxmlformats.org/officeDocument/2006/relationships/hyperlink" Target="https://via.placeholder.com/300x650.png/00eedd?text=Smartphone+voluptatem" TargetMode="External"/><Relationship Id="rId387" Type="http://schemas.openxmlformats.org/officeDocument/2006/relationships/hyperlink" Target="https://via.placeholder.com/300x650.png/000077?text=Smartphone+eveniet" TargetMode="External"/><Relationship Id="rId8" Type="http://schemas.openxmlformats.org/officeDocument/2006/relationships/hyperlink" Target="https://via.placeholder.com/300x650.png/001144?text=Smartphone+voluptates" TargetMode="External"/><Relationship Id="rId144" Type="http://schemas.openxmlformats.org/officeDocument/2006/relationships/hyperlink" Target="https://via.placeholder.com/300x650.png/00dd99?text=Smartphone+quasi" TargetMode="External"/><Relationship Id="rId386" Type="http://schemas.openxmlformats.org/officeDocument/2006/relationships/hyperlink" Target="https://via.placeholder.com/300x650.png/00ee22?text=Smartphone+nisi" TargetMode="External"/><Relationship Id="rId381" Type="http://schemas.openxmlformats.org/officeDocument/2006/relationships/hyperlink" Target="https://via.placeholder.com/300x650.png/00ee88?text=Smartphone+quasi" TargetMode="External"/><Relationship Id="rId380" Type="http://schemas.openxmlformats.org/officeDocument/2006/relationships/hyperlink" Target="https://via.placeholder.com/300x650.png/00bb99?text=Smartphone+totam" TargetMode="External"/><Relationship Id="rId139" Type="http://schemas.openxmlformats.org/officeDocument/2006/relationships/hyperlink" Target="https://via.placeholder.com/300x650.png/000044?text=Smartphone+molestiae" TargetMode="External"/><Relationship Id="rId138" Type="http://schemas.openxmlformats.org/officeDocument/2006/relationships/hyperlink" Target="https://via.placeholder.com/300x650.png/008855?text=Smartphone+ullam" TargetMode="External"/><Relationship Id="rId137" Type="http://schemas.openxmlformats.org/officeDocument/2006/relationships/hyperlink" Target="https://via.placeholder.com/300x650.png/000033?text=Smartphone+reiciendis" TargetMode="External"/><Relationship Id="rId379" Type="http://schemas.openxmlformats.org/officeDocument/2006/relationships/hyperlink" Target="https://via.placeholder.com/300x650.png/00ff22?text=Smartphone+unde" TargetMode="External"/><Relationship Id="rId132" Type="http://schemas.openxmlformats.org/officeDocument/2006/relationships/hyperlink" Target="https://via.placeholder.com/300x650.png/001122?text=Smartphone+quod" TargetMode="External"/><Relationship Id="rId374" Type="http://schemas.openxmlformats.org/officeDocument/2006/relationships/hyperlink" Target="https://via.placeholder.com/300x650.png/0022dd?text=Smartphone+aut" TargetMode="External"/><Relationship Id="rId131" Type="http://schemas.openxmlformats.org/officeDocument/2006/relationships/hyperlink" Target="https://via.placeholder.com/300x650.png/005522?text=Smartphone+magnam" TargetMode="External"/><Relationship Id="rId373" Type="http://schemas.openxmlformats.org/officeDocument/2006/relationships/hyperlink" Target="https://via.placeholder.com/300x650.png/00ddbb?text=Smartphone+cumque" TargetMode="External"/><Relationship Id="rId130" Type="http://schemas.openxmlformats.org/officeDocument/2006/relationships/hyperlink" Target="https://via.placeholder.com/300x650.png/0055bb?text=Smartphone+odio" TargetMode="External"/><Relationship Id="rId372" Type="http://schemas.openxmlformats.org/officeDocument/2006/relationships/hyperlink" Target="https://via.placeholder.com/300x650.png/001177?text=Smartphone+voluptate" TargetMode="External"/><Relationship Id="rId371" Type="http://schemas.openxmlformats.org/officeDocument/2006/relationships/hyperlink" Target="https://via.placeholder.com/300x650.png/00aa88?text=Smartphone+quis" TargetMode="External"/><Relationship Id="rId136" Type="http://schemas.openxmlformats.org/officeDocument/2006/relationships/hyperlink" Target="https://via.placeholder.com/300x650.png/00dd00?text=Smartphone+ratione" TargetMode="External"/><Relationship Id="rId378" Type="http://schemas.openxmlformats.org/officeDocument/2006/relationships/hyperlink" Target="https://via.placeholder.com/300x650.png/007788?text=Smartphone+et" TargetMode="External"/><Relationship Id="rId135" Type="http://schemas.openxmlformats.org/officeDocument/2006/relationships/hyperlink" Target="https://via.placeholder.com/300x650.png/00bbdd?text=Smartphone+et" TargetMode="External"/><Relationship Id="rId377" Type="http://schemas.openxmlformats.org/officeDocument/2006/relationships/hyperlink" Target="https://via.placeholder.com/300x650.png/007799?text=Smartphone+non" TargetMode="External"/><Relationship Id="rId134" Type="http://schemas.openxmlformats.org/officeDocument/2006/relationships/hyperlink" Target="https://via.placeholder.com/300x650.png/0077dd?text=Smartphone+est" TargetMode="External"/><Relationship Id="rId376" Type="http://schemas.openxmlformats.org/officeDocument/2006/relationships/hyperlink" Target="https://via.placeholder.com/300x650.png/00cc22?text=Smartphone+aut" TargetMode="External"/><Relationship Id="rId133" Type="http://schemas.openxmlformats.org/officeDocument/2006/relationships/hyperlink" Target="https://via.placeholder.com/300x650.png/0055aa?text=Smartphone+nobis" TargetMode="External"/><Relationship Id="rId375" Type="http://schemas.openxmlformats.org/officeDocument/2006/relationships/hyperlink" Target="https://via.placeholder.com/300x650.png/00cc22?text=Smartphone+voluptate" TargetMode="External"/><Relationship Id="rId172" Type="http://schemas.openxmlformats.org/officeDocument/2006/relationships/hyperlink" Target="https://via.placeholder.com/300x650.png/009988?text=Smartphone+deleniti" TargetMode="External"/><Relationship Id="rId171" Type="http://schemas.openxmlformats.org/officeDocument/2006/relationships/hyperlink" Target="https://via.placeholder.com/300x650.png/000088?text=Smartphone+perspiciatis" TargetMode="External"/><Relationship Id="rId170" Type="http://schemas.openxmlformats.org/officeDocument/2006/relationships/hyperlink" Target="https://via.placeholder.com/300x650.png/009911?text=Smartphone+impedit" TargetMode="External"/><Relationship Id="rId165" Type="http://schemas.openxmlformats.org/officeDocument/2006/relationships/hyperlink" Target="https://via.placeholder.com/300x650.png/006600?text=Smartphone+mollitia" TargetMode="External"/><Relationship Id="rId164" Type="http://schemas.openxmlformats.org/officeDocument/2006/relationships/hyperlink" Target="https://via.placeholder.com/300x650.png/005566?text=Smartphone+quam" TargetMode="External"/><Relationship Id="rId163" Type="http://schemas.openxmlformats.org/officeDocument/2006/relationships/hyperlink" Target="https://via.placeholder.com/300x650.png/00ff22?text=Smartphone+nihil" TargetMode="External"/><Relationship Id="rId162" Type="http://schemas.openxmlformats.org/officeDocument/2006/relationships/hyperlink" Target="https://via.placeholder.com/300x650.png/00dd44?text=Smartphone+ratione" TargetMode="External"/><Relationship Id="rId169" Type="http://schemas.openxmlformats.org/officeDocument/2006/relationships/hyperlink" Target="https://via.placeholder.com/300x650.png/0044bb?text=Smartphone+beatae" TargetMode="External"/><Relationship Id="rId168" Type="http://schemas.openxmlformats.org/officeDocument/2006/relationships/hyperlink" Target="https://via.placeholder.com/300x650.png/0055bb?text=Smartphone+commodi" TargetMode="External"/><Relationship Id="rId167" Type="http://schemas.openxmlformats.org/officeDocument/2006/relationships/hyperlink" Target="https://via.placeholder.com/300x650.png/00bb66?text=Smartphone+veniam" TargetMode="External"/><Relationship Id="rId166" Type="http://schemas.openxmlformats.org/officeDocument/2006/relationships/hyperlink" Target="https://via.placeholder.com/300x650.png/0022dd?text=Smartphone+autem" TargetMode="External"/><Relationship Id="rId161" Type="http://schemas.openxmlformats.org/officeDocument/2006/relationships/hyperlink" Target="https://via.placeholder.com/300x650.png/0033cc?text=Smartphone+ut" TargetMode="External"/><Relationship Id="rId160" Type="http://schemas.openxmlformats.org/officeDocument/2006/relationships/hyperlink" Target="https://via.placeholder.com/300x650.png/00bb66?text=Smartphone+sunt" TargetMode="External"/><Relationship Id="rId159" Type="http://schemas.openxmlformats.org/officeDocument/2006/relationships/hyperlink" Target="https://via.placeholder.com/300x650.png/009900?text=Smartphone+accusamus" TargetMode="External"/><Relationship Id="rId154" Type="http://schemas.openxmlformats.org/officeDocument/2006/relationships/hyperlink" Target="https://via.placeholder.com/300x650.png/00bb22?text=Smartphone+adipisci" TargetMode="External"/><Relationship Id="rId396" Type="http://schemas.openxmlformats.org/officeDocument/2006/relationships/hyperlink" Target="https://via.placeholder.com/300x650.png/003344?text=Smartphone+maxime" TargetMode="External"/><Relationship Id="rId153" Type="http://schemas.openxmlformats.org/officeDocument/2006/relationships/hyperlink" Target="https://via.placeholder.com/300x650.png/002255?text=Smartphone+voluptatibus" TargetMode="External"/><Relationship Id="rId395" Type="http://schemas.openxmlformats.org/officeDocument/2006/relationships/hyperlink" Target="https://via.placeholder.com/300x650.png/00bb44?text=Smartphone+aut" TargetMode="External"/><Relationship Id="rId152" Type="http://schemas.openxmlformats.org/officeDocument/2006/relationships/hyperlink" Target="https://via.placeholder.com/300x650.png/0055dd?text=Smartphone+quibusdam" TargetMode="External"/><Relationship Id="rId394" Type="http://schemas.openxmlformats.org/officeDocument/2006/relationships/hyperlink" Target="https://via.placeholder.com/300x650.png/008822?text=Smartphone+ea" TargetMode="External"/><Relationship Id="rId151" Type="http://schemas.openxmlformats.org/officeDocument/2006/relationships/hyperlink" Target="https://via.placeholder.com/300x650.png/00ff88?text=Smartphone+nobis" TargetMode="External"/><Relationship Id="rId393" Type="http://schemas.openxmlformats.org/officeDocument/2006/relationships/hyperlink" Target="https://via.placeholder.com/300x650.png/00ffbb?text=Smartphone+deserunt" TargetMode="External"/><Relationship Id="rId158" Type="http://schemas.openxmlformats.org/officeDocument/2006/relationships/hyperlink" Target="https://via.placeholder.com/300x650.png/00aa99?text=Smartphone+molestiae" TargetMode="External"/><Relationship Id="rId157" Type="http://schemas.openxmlformats.org/officeDocument/2006/relationships/hyperlink" Target="https://via.placeholder.com/300x650.png/00ffff?text=Smartphone+odio" TargetMode="External"/><Relationship Id="rId399" Type="http://schemas.openxmlformats.org/officeDocument/2006/relationships/hyperlink" Target="https://via.placeholder.com/300x650.png/006699?text=Smartphone+pariatur" TargetMode="External"/><Relationship Id="rId156" Type="http://schemas.openxmlformats.org/officeDocument/2006/relationships/hyperlink" Target="https://via.placeholder.com/300x650.png/00bb55?text=Smartphone+quia" TargetMode="External"/><Relationship Id="rId398" Type="http://schemas.openxmlformats.org/officeDocument/2006/relationships/hyperlink" Target="https://via.placeholder.com/300x650.png/00eecc?text=Smartphone+voluptas" TargetMode="External"/><Relationship Id="rId155" Type="http://schemas.openxmlformats.org/officeDocument/2006/relationships/hyperlink" Target="https://via.placeholder.com/300x650.png/001144?text=Smartphone+et" TargetMode="External"/><Relationship Id="rId397" Type="http://schemas.openxmlformats.org/officeDocument/2006/relationships/hyperlink" Target="https://via.placeholder.com/300x650.png/004444?text=Smartphone+suscipit" TargetMode="External"/><Relationship Id="rId808" Type="http://schemas.openxmlformats.org/officeDocument/2006/relationships/hyperlink" Target="https://via.placeholder.com/300x650.png/00dd11?text=Smartphone+non" TargetMode="External"/><Relationship Id="rId807" Type="http://schemas.openxmlformats.org/officeDocument/2006/relationships/hyperlink" Target="https://via.placeholder.com/300x650.png/00aaaa?text=Smartphone+praesentium" TargetMode="External"/><Relationship Id="rId806" Type="http://schemas.openxmlformats.org/officeDocument/2006/relationships/hyperlink" Target="https://via.placeholder.com/300x650.png/00eecc?text=Smartphone+veritatis" TargetMode="External"/><Relationship Id="rId805" Type="http://schemas.openxmlformats.org/officeDocument/2006/relationships/hyperlink" Target="https://via.placeholder.com/300x650.png/0077ee?text=Smartphone+quaerat" TargetMode="External"/><Relationship Id="rId809" Type="http://schemas.openxmlformats.org/officeDocument/2006/relationships/hyperlink" Target="https://via.placeholder.com/300x650.png/002222?text=Smartphone+earum" TargetMode="External"/><Relationship Id="rId800" Type="http://schemas.openxmlformats.org/officeDocument/2006/relationships/hyperlink" Target="https://via.placeholder.com/300x650.png/0066cc?text=Smartphone+velit" TargetMode="External"/><Relationship Id="rId804" Type="http://schemas.openxmlformats.org/officeDocument/2006/relationships/hyperlink" Target="https://via.placeholder.com/300x650.png/00bb33?text=Smartphone+consequatur" TargetMode="External"/><Relationship Id="rId803" Type="http://schemas.openxmlformats.org/officeDocument/2006/relationships/hyperlink" Target="https://via.placeholder.com/300x650.png/0022aa?text=Smartphone+exercitationem" TargetMode="External"/><Relationship Id="rId802" Type="http://schemas.openxmlformats.org/officeDocument/2006/relationships/hyperlink" Target="https://via.placeholder.com/300x650.png/0011cc?text=Smartphone+minima" TargetMode="External"/><Relationship Id="rId801" Type="http://schemas.openxmlformats.org/officeDocument/2006/relationships/hyperlink" Target="https://via.placeholder.com/300x650.png/008800?text=Smartphone+et" TargetMode="External"/><Relationship Id="rId40" Type="http://schemas.openxmlformats.org/officeDocument/2006/relationships/hyperlink" Target="https://via.placeholder.com/300x650.png/0055aa?text=Smartphone+nihil" TargetMode="External"/><Relationship Id="rId42" Type="http://schemas.openxmlformats.org/officeDocument/2006/relationships/hyperlink" Target="https://via.placeholder.com/300x650.png/006699?text=Smartphone+in" TargetMode="External"/><Relationship Id="rId41" Type="http://schemas.openxmlformats.org/officeDocument/2006/relationships/hyperlink" Target="https://via.placeholder.com/300x650.png/0099cc?text=Smartphone+dignissimos" TargetMode="External"/><Relationship Id="rId44" Type="http://schemas.openxmlformats.org/officeDocument/2006/relationships/hyperlink" Target="https://via.placeholder.com/300x650.png/00ffff?text=Smartphone+non" TargetMode="External"/><Relationship Id="rId43" Type="http://schemas.openxmlformats.org/officeDocument/2006/relationships/hyperlink" Target="https://via.placeholder.com/300x650.png/00ee77?text=Smartphone+recusandae" TargetMode="External"/><Relationship Id="rId46" Type="http://schemas.openxmlformats.org/officeDocument/2006/relationships/hyperlink" Target="https://via.placeholder.com/300x650.png/0000aa?text=Smartphone+ut" TargetMode="External"/><Relationship Id="rId45" Type="http://schemas.openxmlformats.org/officeDocument/2006/relationships/hyperlink" Target="https://via.placeholder.com/300x650.png/00ee55?text=Smartphone+inventore" TargetMode="External"/><Relationship Id="rId509" Type="http://schemas.openxmlformats.org/officeDocument/2006/relationships/hyperlink" Target="https://via.placeholder.com/300x650.png/00aa77?text=Smartphone+voluptas" TargetMode="External"/><Relationship Id="rId508" Type="http://schemas.openxmlformats.org/officeDocument/2006/relationships/hyperlink" Target="https://via.placeholder.com/300x650.png/000033?text=Smartphone+illo" TargetMode="External"/><Relationship Id="rId503" Type="http://schemas.openxmlformats.org/officeDocument/2006/relationships/hyperlink" Target="https://via.placeholder.com/300x650.png/00aaff?text=Smartphone+nobis" TargetMode="External"/><Relationship Id="rId745" Type="http://schemas.openxmlformats.org/officeDocument/2006/relationships/hyperlink" Target="https://via.placeholder.com/300x650.png/005544?text=Smartphone+repudiandae" TargetMode="External"/><Relationship Id="rId987" Type="http://schemas.openxmlformats.org/officeDocument/2006/relationships/hyperlink" Target="https://via.placeholder.com/300x650.png/00bb33?text=Smartphone+sint" TargetMode="External"/><Relationship Id="rId502" Type="http://schemas.openxmlformats.org/officeDocument/2006/relationships/hyperlink" Target="https://via.placeholder.com/300x650.png/0055bb?text=Smartphone+corporis" TargetMode="External"/><Relationship Id="rId744" Type="http://schemas.openxmlformats.org/officeDocument/2006/relationships/hyperlink" Target="https://via.placeholder.com/300x650.png/001155?text=Smartphone+nam" TargetMode="External"/><Relationship Id="rId986" Type="http://schemas.openxmlformats.org/officeDocument/2006/relationships/hyperlink" Target="https://via.placeholder.com/300x650.png/005566?text=Smartphone+adipisci" TargetMode="External"/><Relationship Id="rId501" Type="http://schemas.openxmlformats.org/officeDocument/2006/relationships/hyperlink" Target="https://via.placeholder.com/300x650.png/00dd33?text=Smartphone+corrupti" TargetMode="External"/><Relationship Id="rId743" Type="http://schemas.openxmlformats.org/officeDocument/2006/relationships/hyperlink" Target="https://via.placeholder.com/300x650.png/006644?text=Smartphone+consequatur" TargetMode="External"/><Relationship Id="rId985" Type="http://schemas.openxmlformats.org/officeDocument/2006/relationships/hyperlink" Target="https://via.placeholder.com/300x650.png/0000dd?text=Smartphone+id" TargetMode="External"/><Relationship Id="rId500" Type="http://schemas.openxmlformats.org/officeDocument/2006/relationships/hyperlink" Target="https://via.placeholder.com/300x650.png/002299?text=Smartphone+quam" TargetMode="External"/><Relationship Id="rId742" Type="http://schemas.openxmlformats.org/officeDocument/2006/relationships/hyperlink" Target="https://via.placeholder.com/300x650.png/00ccdd?text=Smartphone+voluptatem" TargetMode="External"/><Relationship Id="rId984" Type="http://schemas.openxmlformats.org/officeDocument/2006/relationships/hyperlink" Target="https://via.placeholder.com/300x650.png/000077?text=Smartphone+aut" TargetMode="External"/><Relationship Id="rId507" Type="http://schemas.openxmlformats.org/officeDocument/2006/relationships/hyperlink" Target="https://via.placeholder.com/300x650.png/006633?text=Smartphone+vero" TargetMode="External"/><Relationship Id="rId749" Type="http://schemas.openxmlformats.org/officeDocument/2006/relationships/hyperlink" Target="https://via.placeholder.com/300x650.png/002266?text=Smartphone+vel" TargetMode="External"/><Relationship Id="rId506" Type="http://schemas.openxmlformats.org/officeDocument/2006/relationships/hyperlink" Target="https://via.placeholder.com/300x650.png/0088aa?text=Smartphone+porro" TargetMode="External"/><Relationship Id="rId748" Type="http://schemas.openxmlformats.org/officeDocument/2006/relationships/hyperlink" Target="https://via.placeholder.com/300x650.png/006666?text=Smartphone+omnis" TargetMode="External"/><Relationship Id="rId505" Type="http://schemas.openxmlformats.org/officeDocument/2006/relationships/hyperlink" Target="https://via.placeholder.com/300x650.png/009944?text=Smartphone+alias" TargetMode="External"/><Relationship Id="rId747" Type="http://schemas.openxmlformats.org/officeDocument/2006/relationships/hyperlink" Target="https://via.placeholder.com/300x650.png/00ddbb?text=Smartphone+repellat" TargetMode="External"/><Relationship Id="rId989" Type="http://schemas.openxmlformats.org/officeDocument/2006/relationships/hyperlink" Target="https://via.placeholder.com/300x650.png/004466?text=Smartphone+dolorem" TargetMode="External"/><Relationship Id="rId504" Type="http://schemas.openxmlformats.org/officeDocument/2006/relationships/hyperlink" Target="https://via.placeholder.com/300x650.png/00aabb?text=Smartphone+veniam" TargetMode="External"/><Relationship Id="rId746" Type="http://schemas.openxmlformats.org/officeDocument/2006/relationships/hyperlink" Target="https://via.placeholder.com/300x650.png/007744?text=Smartphone+ea" TargetMode="External"/><Relationship Id="rId988" Type="http://schemas.openxmlformats.org/officeDocument/2006/relationships/hyperlink" Target="https://via.placeholder.com/300x650.png/005511?text=Smartphone+dolorem" TargetMode="External"/><Relationship Id="rId48" Type="http://schemas.openxmlformats.org/officeDocument/2006/relationships/hyperlink" Target="https://via.placeholder.com/300x650.png/00aa00?text=Smartphone+dolor" TargetMode="External"/><Relationship Id="rId47" Type="http://schemas.openxmlformats.org/officeDocument/2006/relationships/hyperlink" Target="https://via.placeholder.com/300x650.png/00aa99?text=Smartphone+dolorem" TargetMode="External"/><Relationship Id="rId49" Type="http://schemas.openxmlformats.org/officeDocument/2006/relationships/hyperlink" Target="https://via.placeholder.com/300x650.png/00bbff?text=Smartphone+praesentium" TargetMode="External"/><Relationship Id="rId741" Type="http://schemas.openxmlformats.org/officeDocument/2006/relationships/hyperlink" Target="https://via.placeholder.com/300x650.png/002299?text=Smartphone+nulla" TargetMode="External"/><Relationship Id="rId983" Type="http://schemas.openxmlformats.org/officeDocument/2006/relationships/hyperlink" Target="https://via.placeholder.com/300x650.png/00aaee?text=Smartphone+aut" TargetMode="External"/><Relationship Id="rId740" Type="http://schemas.openxmlformats.org/officeDocument/2006/relationships/hyperlink" Target="https://via.placeholder.com/300x650.png/00ccff?text=Smartphone+aut" TargetMode="External"/><Relationship Id="rId982" Type="http://schemas.openxmlformats.org/officeDocument/2006/relationships/hyperlink" Target="https://via.placeholder.com/300x650.png/0066cc?text=Smartphone+nulla" TargetMode="External"/><Relationship Id="rId981" Type="http://schemas.openxmlformats.org/officeDocument/2006/relationships/hyperlink" Target="https://via.placeholder.com/300x650.png/00cc11?text=Smartphone+quam" TargetMode="External"/><Relationship Id="rId980" Type="http://schemas.openxmlformats.org/officeDocument/2006/relationships/hyperlink" Target="https://via.placeholder.com/300x650.png/00ffbb?text=Smartphone+aliquid" TargetMode="External"/><Relationship Id="rId31" Type="http://schemas.openxmlformats.org/officeDocument/2006/relationships/hyperlink" Target="https://via.placeholder.com/300x650.png/009922?text=Smartphone+ut" TargetMode="External"/><Relationship Id="rId30" Type="http://schemas.openxmlformats.org/officeDocument/2006/relationships/hyperlink" Target="https://via.placeholder.com/300x650.png/00aacc?text=Smartphone+repellat" TargetMode="External"/><Relationship Id="rId33" Type="http://schemas.openxmlformats.org/officeDocument/2006/relationships/hyperlink" Target="https://via.placeholder.com/300x650.png/008877?text=Smartphone+ab" TargetMode="External"/><Relationship Id="rId32" Type="http://schemas.openxmlformats.org/officeDocument/2006/relationships/hyperlink" Target="https://via.placeholder.com/300x650.png/00dd99?text=Smartphone+aliquid" TargetMode="External"/><Relationship Id="rId35" Type="http://schemas.openxmlformats.org/officeDocument/2006/relationships/hyperlink" Target="https://via.placeholder.com/300x650.png/00ffff?text=Smartphone+optio" TargetMode="External"/><Relationship Id="rId34" Type="http://schemas.openxmlformats.org/officeDocument/2006/relationships/hyperlink" Target="https://via.placeholder.com/300x650.png/0055ff?text=Smartphone+dolore" TargetMode="External"/><Relationship Id="rId739" Type="http://schemas.openxmlformats.org/officeDocument/2006/relationships/hyperlink" Target="https://via.placeholder.com/300x650.png/0022cc?text=Smartphone+iure" TargetMode="External"/><Relationship Id="rId734" Type="http://schemas.openxmlformats.org/officeDocument/2006/relationships/hyperlink" Target="https://via.placeholder.com/300x650.png/005566?text=Smartphone+dolores" TargetMode="External"/><Relationship Id="rId976" Type="http://schemas.openxmlformats.org/officeDocument/2006/relationships/hyperlink" Target="https://via.placeholder.com/300x650.png/00ffee?text=Smartphone+quis" TargetMode="External"/><Relationship Id="rId733" Type="http://schemas.openxmlformats.org/officeDocument/2006/relationships/hyperlink" Target="https://via.placeholder.com/300x650.png/00ff88?text=Smartphone+sapiente" TargetMode="External"/><Relationship Id="rId975" Type="http://schemas.openxmlformats.org/officeDocument/2006/relationships/hyperlink" Target="https://via.placeholder.com/300x650.png/00aadd?text=Smartphone+ipsum" TargetMode="External"/><Relationship Id="rId732" Type="http://schemas.openxmlformats.org/officeDocument/2006/relationships/hyperlink" Target="https://via.placeholder.com/300x650.png/0088bb?text=Smartphone+nostrum" TargetMode="External"/><Relationship Id="rId974" Type="http://schemas.openxmlformats.org/officeDocument/2006/relationships/hyperlink" Target="https://via.placeholder.com/300x650.png/00ff11?text=Smartphone+eos" TargetMode="External"/><Relationship Id="rId731" Type="http://schemas.openxmlformats.org/officeDocument/2006/relationships/hyperlink" Target="https://via.placeholder.com/300x650.png/003344?text=Smartphone+neque" TargetMode="External"/><Relationship Id="rId973" Type="http://schemas.openxmlformats.org/officeDocument/2006/relationships/hyperlink" Target="https://via.placeholder.com/300x650.png/007777?text=Smartphone+tenetur" TargetMode="External"/><Relationship Id="rId738" Type="http://schemas.openxmlformats.org/officeDocument/2006/relationships/hyperlink" Target="https://via.placeholder.com/300x650.png/0011aa?text=Smartphone+et" TargetMode="External"/><Relationship Id="rId737" Type="http://schemas.openxmlformats.org/officeDocument/2006/relationships/hyperlink" Target="https://via.placeholder.com/300x650.png/0022bb?text=Smartphone+numquam" TargetMode="External"/><Relationship Id="rId979" Type="http://schemas.openxmlformats.org/officeDocument/2006/relationships/hyperlink" Target="https://via.placeholder.com/300x650.png/0022ee?text=Smartphone+ea" TargetMode="External"/><Relationship Id="rId736" Type="http://schemas.openxmlformats.org/officeDocument/2006/relationships/hyperlink" Target="https://via.placeholder.com/300x650.png/008833?text=Smartphone+repudiandae" TargetMode="External"/><Relationship Id="rId978" Type="http://schemas.openxmlformats.org/officeDocument/2006/relationships/hyperlink" Target="https://via.placeholder.com/300x650.png/002288?text=Smartphone+repudiandae" TargetMode="External"/><Relationship Id="rId735" Type="http://schemas.openxmlformats.org/officeDocument/2006/relationships/hyperlink" Target="https://via.placeholder.com/300x650.png/00aa22?text=Smartphone+laboriosam" TargetMode="External"/><Relationship Id="rId977" Type="http://schemas.openxmlformats.org/officeDocument/2006/relationships/hyperlink" Target="https://via.placeholder.com/300x650.png/00aa44?text=Smartphone+doloribus" TargetMode="External"/><Relationship Id="rId37" Type="http://schemas.openxmlformats.org/officeDocument/2006/relationships/hyperlink" Target="https://via.placeholder.com/300x650.png/003377?text=Smartphone+ducimus" TargetMode="External"/><Relationship Id="rId36" Type="http://schemas.openxmlformats.org/officeDocument/2006/relationships/hyperlink" Target="https://via.placeholder.com/300x650.png/004411?text=Smartphone+id" TargetMode="External"/><Relationship Id="rId39" Type="http://schemas.openxmlformats.org/officeDocument/2006/relationships/hyperlink" Target="https://via.placeholder.com/300x650.png/001177?text=Smartphone+magnam" TargetMode="External"/><Relationship Id="rId38" Type="http://schemas.openxmlformats.org/officeDocument/2006/relationships/hyperlink" Target="https://via.placeholder.com/300x650.png/0022bb?text=Smartphone+id" TargetMode="External"/><Relationship Id="rId730" Type="http://schemas.openxmlformats.org/officeDocument/2006/relationships/hyperlink" Target="https://via.placeholder.com/300x650.png/0044bb?text=Smartphone+quasi" TargetMode="External"/><Relationship Id="rId972" Type="http://schemas.openxmlformats.org/officeDocument/2006/relationships/hyperlink" Target="https://via.placeholder.com/300x650.png/0055ee?text=Smartphone+aut" TargetMode="External"/><Relationship Id="rId971" Type="http://schemas.openxmlformats.org/officeDocument/2006/relationships/hyperlink" Target="https://via.placeholder.com/300x650.png/0066ff?text=Smartphone+aut" TargetMode="External"/><Relationship Id="rId970" Type="http://schemas.openxmlformats.org/officeDocument/2006/relationships/hyperlink" Target="https://via.placeholder.com/300x650.png/0099ff?text=Smartphone+voluptas" TargetMode="External"/><Relationship Id="rId20" Type="http://schemas.openxmlformats.org/officeDocument/2006/relationships/hyperlink" Target="https://via.placeholder.com/300x650.png/00cc22?text=Smartphone+dolore" TargetMode="External"/><Relationship Id="rId22" Type="http://schemas.openxmlformats.org/officeDocument/2006/relationships/hyperlink" Target="https://via.placeholder.com/300x650.png/007711?text=Smartphone+quasi" TargetMode="External"/><Relationship Id="rId21" Type="http://schemas.openxmlformats.org/officeDocument/2006/relationships/hyperlink" Target="https://via.placeholder.com/300x650.png/005555?text=Smartphone+enim" TargetMode="External"/><Relationship Id="rId24" Type="http://schemas.openxmlformats.org/officeDocument/2006/relationships/hyperlink" Target="https://via.placeholder.com/300x650.png/002222?text=Smartphone+aut" TargetMode="External"/><Relationship Id="rId23" Type="http://schemas.openxmlformats.org/officeDocument/2006/relationships/hyperlink" Target="https://via.placeholder.com/300x650.png/0011aa?text=Smartphone+nemo" TargetMode="External"/><Relationship Id="rId525" Type="http://schemas.openxmlformats.org/officeDocument/2006/relationships/hyperlink" Target="https://via.placeholder.com/300x650.png/008877?text=Smartphone+est" TargetMode="External"/><Relationship Id="rId767" Type="http://schemas.openxmlformats.org/officeDocument/2006/relationships/hyperlink" Target="https://via.placeholder.com/300x650.png/00aa99?text=Smartphone+fugiat" TargetMode="External"/><Relationship Id="rId524" Type="http://schemas.openxmlformats.org/officeDocument/2006/relationships/hyperlink" Target="https://via.placeholder.com/300x650.png/0044ee?text=Smartphone+est" TargetMode="External"/><Relationship Id="rId766" Type="http://schemas.openxmlformats.org/officeDocument/2006/relationships/hyperlink" Target="https://via.placeholder.com/300x650.png/002255?text=Smartphone+at" TargetMode="External"/><Relationship Id="rId523" Type="http://schemas.openxmlformats.org/officeDocument/2006/relationships/hyperlink" Target="https://via.placeholder.com/300x650.png/00ccff?text=Smartphone+quos" TargetMode="External"/><Relationship Id="rId765" Type="http://schemas.openxmlformats.org/officeDocument/2006/relationships/hyperlink" Target="https://via.placeholder.com/300x650.png/00aa66?text=Smartphone+repudiandae" TargetMode="External"/><Relationship Id="rId522" Type="http://schemas.openxmlformats.org/officeDocument/2006/relationships/hyperlink" Target="https://via.placeholder.com/300x650.png/006633?text=Smartphone+minus" TargetMode="External"/><Relationship Id="rId764" Type="http://schemas.openxmlformats.org/officeDocument/2006/relationships/hyperlink" Target="https://via.placeholder.com/300x650.png/0077bb?text=Smartphone+sapiente" TargetMode="External"/><Relationship Id="rId529" Type="http://schemas.openxmlformats.org/officeDocument/2006/relationships/hyperlink" Target="https://via.placeholder.com/300x650.png/00cc55?text=Smartphone+facere" TargetMode="External"/><Relationship Id="rId528" Type="http://schemas.openxmlformats.org/officeDocument/2006/relationships/hyperlink" Target="https://via.placeholder.com/300x650.png/007733?text=Smartphone+libero" TargetMode="External"/><Relationship Id="rId527" Type="http://schemas.openxmlformats.org/officeDocument/2006/relationships/hyperlink" Target="https://via.placeholder.com/300x650.png/004444?text=Smartphone+explicabo" TargetMode="External"/><Relationship Id="rId769" Type="http://schemas.openxmlformats.org/officeDocument/2006/relationships/hyperlink" Target="https://via.placeholder.com/300x650.png/008877?text=Smartphone+qui" TargetMode="External"/><Relationship Id="rId526" Type="http://schemas.openxmlformats.org/officeDocument/2006/relationships/hyperlink" Target="https://via.placeholder.com/300x650.png/0088cc?text=Smartphone+nisi" TargetMode="External"/><Relationship Id="rId768" Type="http://schemas.openxmlformats.org/officeDocument/2006/relationships/hyperlink" Target="https://via.placeholder.com/300x650.png/00aa22?text=Smartphone+inventore" TargetMode="External"/><Relationship Id="rId26" Type="http://schemas.openxmlformats.org/officeDocument/2006/relationships/hyperlink" Target="https://via.placeholder.com/300x650.png/00dddd?text=Smartphone+adipisci" TargetMode="External"/><Relationship Id="rId25" Type="http://schemas.openxmlformats.org/officeDocument/2006/relationships/hyperlink" Target="https://via.placeholder.com/300x650.png/0055dd?text=Smartphone+dolore" TargetMode="External"/><Relationship Id="rId28" Type="http://schemas.openxmlformats.org/officeDocument/2006/relationships/hyperlink" Target="https://via.placeholder.com/300x650.png/0011cc?text=Smartphone+facere" TargetMode="External"/><Relationship Id="rId27" Type="http://schemas.openxmlformats.org/officeDocument/2006/relationships/hyperlink" Target="https://via.placeholder.com/300x650.png/00ff11?text=Smartphone+libero" TargetMode="External"/><Relationship Id="rId521" Type="http://schemas.openxmlformats.org/officeDocument/2006/relationships/hyperlink" Target="https://via.placeholder.com/300x650.png/00ee55?text=Smartphone+qui" TargetMode="External"/><Relationship Id="rId763" Type="http://schemas.openxmlformats.org/officeDocument/2006/relationships/hyperlink" Target="https://via.placeholder.com/300x650.png/00ee77?text=Smartphone+aliquid" TargetMode="External"/><Relationship Id="rId29" Type="http://schemas.openxmlformats.org/officeDocument/2006/relationships/hyperlink" Target="https://via.placeholder.com/300x650.png/00aaff?text=Smartphone+occaecati" TargetMode="External"/><Relationship Id="rId520" Type="http://schemas.openxmlformats.org/officeDocument/2006/relationships/hyperlink" Target="https://via.placeholder.com/300x650.png/00ee22?text=Smartphone+aliquam" TargetMode="External"/><Relationship Id="rId762" Type="http://schemas.openxmlformats.org/officeDocument/2006/relationships/hyperlink" Target="https://via.placeholder.com/300x650.png/0055ff?text=Smartphone+temporibus" TargetMode="External"/><Relationship Id="rId761" Type="http://schemas.openxmlformats.org/officeDocument/2006/relationships/hyperlink" Target="https://via.placeholder.com/300x650.png/00bb00?text=Smartphone+minima" TargetMode="External"/><Relationship Id="rId760" Type="http://schemas.openxmlformats.org/officeDocument/2006/relationships/hyperlink" Target="https://via.placeholder.com/300x650.png/0055cc?text=Smartphone+vel" TargetMode="External"/><Relationship Id="rId11" Type="http://schemas.openxmlformats.org/officeDocument/2006/relationships/hyperlink" Target="https://via.placeholder.com/300x650.png/004499?text=Smartphone+numquam" TargetMode="External"/><Relationship Id="rId10" Type="http://schemas.openxmlformats.org/officeDocument/2006/relationships/hyperlink" Target="https://via.placeholder.com/300x650.png/00cc77?text=Smartphone+voluptas" TargetMode="External"/><Relationship Id="rId13" Type="http://schemas.openxmlformats.org/officeDocument/2006/relationships/hyperlink" Target="https://via.placeholder.com/300x650.png/00ff77?text=Smartphone+quidem" TargetMode="External"/><Relationship Id="rId12" Type="http://schemas.openxmlformats.org/officeDocument/2006/relationships/hyperlink" Target="https://via.placeholder.com/300x650.png/00ee33?text=Smartphone+vero" TargetMode="External"/><Relationship Id="rId519" Type="http://schemas.openxmlformats.org/officeDocument/2006/relationships/hyperlink" Target="https://via.placeholder.com/300x650.png/00aa00?text=Smartphone+asperiores" TargetMode="External"/><Relationship Id="rId514" Type="http://schemas.openxmlformats.org/officeDocument/2006/relationships/hyperlink" Target="https://via.placeholder.com/300x650.png/008800?text=Smartphone+reiciendis" TargetMode="External"/><Relationship Id="rId756" Type="http://schemas.openxmlformats.org/officeDocument/2006/relationships/hyperlink" Target="https://via.placeholder.com/300x650.png/0000dd?text=Smartphone+alias" TargetMode="External"/><Relationship Id="rId998" Type="http://schemas.openxmlformats.org/officeDocument/2006/relationships/hyperlink" Target="https://via.placeholder.com/300x650.png/0088cc?text=Smartphone+provident" TargetMode="External"/><Relationship Id="rId513" Type="http://schemas.openxmlformats.org/officeDocument/2006/relationships/hyperlink" Target="https://via.placeholder.com/300x650.png/005500?text=Smartphone+non" TargetMode="External"/><Relationship Id="rId755" Type="http://schemas.openxmlformats.org/officeDocument/2006/relationships/hyperlink" Target="https://via.placeholder.com/300x650.png/005577?text=Smartphone+et" TargetMode="External"/><Relationship Id="rId997" Type="http://schemas.openxmlformats.org/officeDocument/2006/relationships/hyperlink" Target="https://via.placeholder.com/300x650.png/0011cc?text=Smartphone+consequatur" TargetMode="External"/><Relationship Id="rId512" Type="http://schemas.openxmlformats.org/officeDocument/2006/relationships/hyperlink" Target="https://via.placeholder.com/300x650.png/008800?text=Smartphone+accusamus" TargetMode="External"/><Relationship Id="rId754" Type="http://schemas.openxmlformats.org/officeDocument/2006/relationships/hyperlink" Target="https://via.placeholder.com/300x650.png/003311?text=Smartphone+ipsam" TargetMode="External"/><Relationship Id="rId996" Type="http://schemas.openxmlformats.org/officeDocument/2006/relationships/hyperlink" Target="https://via.placeholder.com/300x650.png/00ff55?text=Smartphone+est" TargetMode="External"/><Relationship Id="rId511" Type="http://schemas.openxmlformats.org/officeDocument/2006/relationships/hyperlink" Target="https://via.placeholder.com/300x650.png/007755?text=Smartphone+officia" TargetMode="External"/><Relationship Id="rId753" Type="http://schemas.openxmlformats.org/officeDocument/2006/relationships/hyperlink" Target="https://via.placeholder.com/300x650.png/0088aa?text=Smartphone+laborum" TargetMode="External"/><Relationship Id="rId995" Type="http://schemas.openxmlformats.org/officeDocument/2006/relationships/hyperlink" Target="https://via.placeholder.com/300x650.png/00aa11?text=Smartphone+doloremque" TargetMode="External"/><Relationship Id="rId518" Type="http://schemas.openxmlformats.org/officeDocument/2006/relationships/hyperlink" Target="https://via.placeholder.com/300x650.png/002299?text=Smartphone+in" TargetMode="External"/><Relationship Id="rId517" Type="http://schemas.openxmlformats.org/officeDocument/2006/relationships/hyperlink" Target="https://via.placeholder.com/300x650.png/000066?text=Smartphone+beatae" TargetMode="External"/><Relationship Id="rId759" Type="http://schemas.openxmlformats.org/officeDocument/2006/relationships/hyperlink" Target="https://via.placeholder.com/300x650.png/000011?text=Smartphone+fugiat" TargetMode="External"/><Relationship Id="rId516" Type="http://schemas.openxmlformats.org/officeDocument/2006/relationships/hyperlink" Target="https://via.placeholder.com/300x650.png/001122?text=Smartphone+vitae" TargetMode="External"/><Relationship Id="rId758" Type="http://schemas.openxmlformats.org/officeDocument/2006/relationships/hyperlink" Target="https://via.placeholder.com/300x650.png/00dd66?text=Smartphone+eum" TargetMode="External"/><Relationship Id="rId515" Type="http://schemas.openxmlformats.org/officeDocument/2006/relationships/hyperlink" Target="https://via.placeholder.com/300x650.png/005555?text=Smartphone+odio" TargetMode="External"/><Relationship Id="rId757" Type="http://schemas.openxmlformats.org/officeDocument/2006/relationships/hyperlink" Target="https://via.placeholder.com/300x650.png/002211?text=Smartphone+ex" TargetMode="External"/><Relationship Id="rId999" Type="http://schemas.openxmlformats.org/officeDocument/2006/relationships/hyperlink" Target="https://via.placeholder.com/300x650.png/0099aa?text=Smartphone+rerum" TargetMode="External"/><Relationship Id="rId15" Type="http://schemas.openxmlformats.org/officeDocument/2006/relationships/hyperlink" Target="https://via.placeholder.com/300x650.png/00cc77?text=Smartphone+provident" TargetMode="External"/><Relationship Id="rId990" Type="http://schemas.openxmlformats.org/officeDocument/2006/relationships/hyperlink" Target="https://via.placeholder.com/300x650.png/002244?text=Smartphone+adipisci" TargetMode="External"/><Relationship Id="rId14" Type="http://schemas.openxmlformats.org/officeDocument/2006/relationships/hyperlink" Target="https://via.placeholder.com/300x650.png/00ff99?text=Smartphone+adipisci" TargetMode="External"/><Relationship Id="rId17" Type="http://schemas.openxmlformats.org/officeDocument/2006/relationships/hyperlink" Target="https://via.placeholder.com/300x650.png/00ffee?text=Smartphone+est" TargetMode="External"/><Relationship Id="rId16" Type="http://schemas.openxmlformats.org/officeDocument/2006/relationships/hyperlink" Target="https://via.placeholder.com/300x650.png/002233?text=Smartphone+ullam" TargetMode="External"/><Relationship Id="rId19" Type="http://schemas.openxmlformats.org/officeDocument/2006/relationships/hyperlink" Target="https://via.placeholder.com/300x650.png/0077ee?text=Smartphone+molestiae" TargetMode="External"/><Relationship Id="rId510" Type="http://schemas.openxmlformats.org/officeDocument/2006/relationships/hyperlink" Target="https://via.placeholder.com/300x650.png/000055?text=Smartphone+assumenda" TargetMode="External"/><Relationship Id="rId752" Type="http://schemas.openxmlformats.org/officeDocument/2006/relationships/hyperlink" Target="https://via.placeholder.com/300x650.png/00bbbb?text=Smartphone+ut" TargetMode="External"/><Relationship Id="rId994" Type="http://schemas.openxmlformats.org/officeDocument/2006/relationships/hyperlink" Target="https://via.placeholder.com/300x650.png/00aacc?text=Smartphone+aliquid" TargetMode="External"/><Relationship Id="rId18" Type="http://schemas.openxmlformats.org/officeDocument/2006/relationships/hyperlink" Target="https://via.placeholder.com/300x650.png/00cc22?text=Smartphone+et" TargetMode="External"/><Relationship Id="rId751" Type="http://schemas.openxmlformats.org/officeDocument/2006/relationships/hyperlink" Target="https://via.placeholder.com/300x650.png/00ffee?text=Smartphone+quia" TargetMode="External"/><Relationship Id="rId993" Type="http://schemas.openxmlformats.org/officeDocument/2006/relationships/hyperlink" Target="https://via.placeholder.com/300x650.png/00bb66?text=Smartphone+quo" TargetMode="External"/><Relationship Id="rId750" Type="http://schemas.openxmlformats.org/officeDocument/2006/relationships/hyperlink" Target="https://via.placeholder.com/300x650.png/000066?text=Smartphone+voluptatem" TargetMode="External"/><Relationship Id="rId992" Type="http://schemas.openxmlformats.org/officeDocument/2006/relationships/hyperlink" Target="https://via.placeholder.com/300x650.png/0022cc?text=Smartphone+maiores" TargetMode="External"/><Relationship Id="rId991" Type="http://schemas.openxmlformats.org/officeDocument/2006/relationships/hyperlink" Target="https://via.placeholder.com/300x650.png/009977?text=Smartphone+quo" TargetMode="External"/><Relationship Id="rId84" Type="http://schemas.openxmlformats.org/officeDocument/2006/relationships/hyperlink" Target="https://via.placeholder.com/300x650.png/008833?text=Smartphone+animi" TargetMode="External"/><Relationship Id="rId83" Type="http://schemas.openxmlformats.org/officeDocument/2006/relationships/hyperlink" Target="https://via.placeholder.com/300x650.png/008822?text=Smartphone+veniam" TargetMode="External"/><Relationship Id="rId86" Type="http://schemas.openxmlformats.org/officeDocument/2006/relationships/hyperlink" Target="https://via.placeholder.com/300x650.png/00ff11?text=Smartphone+dicta" TargetMode="External"/><Relationship Id="rId85" Type="http://schemas.openxmlformats.org/officeDocument/2006/relationships/hyperlink" Target="https://via.placeholder.com/300x650.png/0055cc?text=Smartphone+ab" TargetMode="External"/><Relationship Id="rId88" Type="http://schemas.openxmlformats.org/officeDocument/2006/relationships/hyperlink" Target="https://via.placeholder.com/300x650.png/00cc88?text=Smartphone+velit" TargetMode="External"/><Relationship Id="rId87" Type="http://schemas.openxmlformats.org/officeDocument/2006/relationships/hyperlink" Target="https://via.placeholder.com/300x650.png/0055dd?text=Smartphone+esse" TargetMode="External"/><Relationship Id="rId89" Type="http://schemas.openxmlformats.org/officeDocument/2006/relationships/hyperlink" Target="https://via.placeholder.com/300x650.png/0011bb?text=Smartphone+cum" TargetMode="External"/><Relationship Id="rId709" Type="http://schemas.openxmlformats.org/officeDocument/2006/relationships/hyperlink" Target="https://via.placeholder.com/300x650.png/0066dd?text=Smartphone+non" TargetMode="External"/><Relationship Id="rId708" Type="http://schemas.openxmlformats.org/officeDocument/2006/relationships/hyperlink" Target="https://via.placeholder.com/300x650.png/0077dd?text=Smartphone+doloremque" TargetMode="External"/><Relationship Id="rId707" Type="http://schemas.openxmlformats.org/officeDocument/2006/relationships/hyperlink" Target="https://via.placeholder.com/300x650.png/00aa44?text=Smartphone+quaerat" TargetMode="External"/><Relationship Id="rId949" Type="http://schemas.openxmlformats.org/officeDocument/2006/relationships/hyperlink" Target="https://via.placeholder.com/300x650.png/000022?text=Smartphone+cumque" TargetMode="External"/><Relationship Id="rId706" Type="http://schemas.openxmlformats.org/officeDocument/2006/relationships/hyperlink" Target="https://via.placeholder.com/300x650.png/00bbaa?text=Smartphone+hic" TargetMode="External"/><Relationship Id="rId948" Type="http://schemas.openxmlformats.org/officeDocument/2006/relationships/hyperlink" Target="https://via.placeholder.com/300x650.png/005500?text=Smartphone+nemo" TargetMode="External"/><Relationship Id="rId80" Type="http://schemas.openxmlformats.org/officeDocument/2006/relationships/hyperlink" Target="https://via.placeholder.com/300x650.png/007788?text=Smartphone+non" TargetMode="External"/><Relationship Id="rId82" Type="http://schemas.openxmlformats.org/officeDocument/2006/relationships/hyperlink" Target="https://via.placeholder.com/300x650.png/0088aa?text=Smartphone+possimus" TargetMode="External"/><Relationship Id="rId81" Type="http://schemas.openxmlformats.org/officeDocument/2006/relationships/hyperlink" Target="https://via.placeholder.com/300x650.png/008833?text=Smartphone+atque" TargetMode="External"/><Relationship Id="rId701" Type="http://schemas.openxmlformats.org/officeDocument/2006/relationships/hyperlink" Target="https://via.placeholder.com/300x650.png/00ee66?text=Smartphone+nihil" TargetMode="External"/><Relationship Id="rId943" Type="http://schemas.openxmlformats.org/officeDocument/2006/relationships/hyperlink" Target="https://via.placeholder.com/300x650.png/005555?text=Smartphone+ducimus" TargetMode="External"/><Relationship Id="rId700" Type="http://schemas.openxmlformats.org/officeDocument/2006/relationships/hyperlink" Target="https://via.placeholder.com/300x650.png/007788?text=Smartphone+voluptas" TargetMode="External"/><Relationship Id="rId942" Type="http://schemas.openxmlformats.org/officeDocument/2006/relationships/hyperlink" Target="https://via.placeholder.com/300x650.png/00ee99?text=Smartphone+est" TargetMode="External"/><Relationship Id="rId941" Type="http://schemas.openxmlformats.org/officeDocument/2006/relationships/hyperlink" Target="https://via.placeholder.com/300x650.png/003322?text=Smartphone+doloremque" TargetMode="External"/><Relationship Id="rId940" Type="http://schemas.openxmlformats.org/officeDocument/2006/relationships/hyperlink" Target="https://via.placeholder.com/300x650.png/00eebb?text=Smartphone+asperiores" TargetMode="External"/><Relationship Id="rId705" Type="http://schemas.openxmlformats.org/officeDocument/2006/relationships/hyperlink" Target="https://via.placeholder.com/300x650.png/00bb33?text=Smartphone+veniam" TargetMode="External"/><Relationship Id="rId947" Type="http://schemas.openxmlformats.org/officeDocument/2006/relationships/hyperlink" Target="https://via.placeholder.com/300x650.png/003366?text=Smartphone+et" TargetMode="External"/><Relationship Id="rId704" Type="http://schemas.openxmlformats.org/officeDocument/2006/relationships/hyperlink" Target="https://via.placeholder.com/300x650.png/00dd88?text=Smartphone+ut" TargetMode="External"/><Relationship Id="rId946" Type="http://schemas.openxmlformats.org/officeDocument/2006/relationships/hyperlink" Target="https://via.placeholder.com/300x650.png/007788?text=Smartphone+consectetur" TargetMode="External"/><Relationship Id="rId703" Type="http://schemas.openxmlformats.org/officeDocument/2006/relationships/hyperlink" Target="https://via.placeholder.com/300x650.png/0088ee?text=Smartphone+laudantium" TargetMode="External"/><Relationship Id="rId945" Type="http://schemas.openxmlformats.org/officeDocument/2006/relationships/hyperlink" Target="https://via.placeholder.com/300x650.png/00ffbb?text=Smartphone+tempora" TargetMode="External"/><Relationship Id="rId702" Type="http://schemas.openxmlformats.org/officeDocument/2006/relationships/hyperlink" Target="https://via.placeholder.com/300x650.png/000022?text=Smartphone+qui" TargetMode="External"/><Relationship Id="rId944" Type="http://schemas.openxmlformats.org/officeDocument/2006/relationships/hyperlink" Target="https://via.placeholder.com/300x650.png/00eeaa?text=Smartphone+earum" TargetMode="External"/><Relationship Id="rId73" Type="http://schemas.openxmlformats.org/officeDocument/2006/relationships/hyperlink" Target="https://via.placeholder.com/300x650.png/0022bb?text=Smartphone+necessitatibus" TargetMode="External"/><Relationship Id="rId72" Type="http://schemas.openxmlformats.org/officeDocument/2006/relationships/hyperlink" Target="https://via.placeholder.com/300x650.png/000077?text=Smartphone+voluptas" TargetMode="External"/><Relationship Id="rId75" Type="http://schemas.openxmlformats.org/officeDocument/2006/relationships/hyperlink" Target="https://via.placeholder.com/300x650.png/00cc55?text=Smartphone+velit" TargetMode="External"/><Relationship Id="rId74" Type="http://schemas.openxmlformats.org/officeDocument/2006/relationships/hyperlink" Target="https://via.placeholder.com/300x650.png/0099dd?text=Smartphone+repudiandae" TargetMode="External"/><Relationship Id="rId77" Type="http://schemas.openxmlformats.org/officeDocument/2006/relationships/hyperlink" Target="https://via.placeholder.com/300x650.png/00dd55?text=Smartphone+reprehenderit" TargetMode="External"/><Relationship Id="rId76" Type="http://schemas.openxmlformats.org/officeDocument/2006/relationships/hyperlink" Target="https://via.placeholder.com/300x650.png/0055dd?text=Smartphone+ducimus" TargetMode="External"/><Relationship Id="rId79" Type="http://schemas.openxmlformats.org/officeDocument/2006/relationships/hyperlink" Target="https://via.placeholder.com/300x650.png/005500?text=Smartphone+dolorem" TargetMode="External"/><Relationship Id="rId78" Type="http://schemas.openxmlformats.org/officeDocument/2006/relationships/hyperlink" Target="https://via.placeholder.com/300x650.png/006655?text=Smartphone+tempore" TargetMode="External"/><Relationship Id="rId939" Type="http://schemas.openxmlformats.org/officeDocument/2006/relationships/hyperlink" Target="https://via.placeholder.com/300x650.png/00ccaa?text=Smartphone+error" TargetMode="External"/><Relationship Id="rId938" Type="http://schemas.openxmlformats.org/officeDocument/2006/relationships/hyperlink" Target="https://via.placeholder.com/300x650.png/001155?text=Smartphone+tempora" TargetMode="External"/><Relationship Id="rId937" Type="http://schemas.openxmlformats.org/officeDocument/2006/relationships/hyperlink" Target="https://via.placeholder.com/300x650.png/008888?text=Smartphone+eius" TargetMode="External"/><Relationship Id="rId71" Type="http://schemas.openxmlformats.org/officeDocument/2006/relationships/hyperlink" Target="https://via.placeholder.com/300x650.png/00ff44?text=Smartphone+voluptas" TargetMode="External"/><Relationship Id="rId70" Type="http://schemas.openxmlformats.org/officeDocument/2006/relationships/hyperlink" Target="https://via.placeholder.com/300x650.png/007788?text=Smartphone+suscipit" TargetMode="External"/><Relationship Id="rId932" Type="http://schemas.openxmlformats.org/officeDocument/2006/relationships/hyperlink" Target="https://via.placeholder.com/300x650.png/00ee66?text=Smartphone+et" TargetMode="External"/><Relationship Id="rId931" Type="http://schemas.openxmlformats.org/officeDocument/2006/relationships/hyperlink" Target="https://via.placeholder.com/300x650.png/00dd66?text=Smartphone+cumque" TargetMode="External"/><Relationship Id="rId930" Type="http://schemas.openxmlformats.org/officeDocument/2006/relationships/hyperlink" Target="https://via.placeholder.com/300x650.png/00cc00?text=Smartphone+eaque" TargetMode="External"/><Relationship Id="rId936" Type="http://schemas.openxmlformats.org/officeDocument/2006/relationships/hyperlink" Target="https://via.placeholder.com/300x650.png/007755?text=Smartphone+omnis" TargetMode="External"/><Relationship Id="rId935" Type="http://schemas.openxmlformats.org/officeDocument/2006/relationships/hyperlink" Target="https://via.placeholder.com/300x650.png/00ccee?text=Smartphone+modi" TargetMode="External"/><Relationship Id="rId934" Type="http://schemas.openxmlformats.org/officeDocument/2006/relationships/hyperlink" Target="https://via.placeholder.com/300x650.png/0000ee?text=Smartphone+eaque" TargetMode="External"/><Relationship Id="rId933" Type="http://schemas.openxmlformats.org/officeDocument/2006/relationships/hyperlink" Target="https://via.placeholder.com/300x650.png/001188?text=Smartphone+veritatis" TargetMode="External"/><Relationship Id="rId62" Type="http://schemas.openxmlformats.org/officeDocument/2006/relationships/hyperlink" Target="https://via.placeholder.com/300x650.png/007799?text=Smartphone+eos" TargetMode="External"/><Relationship Id="rId61" Type="http://schemas.openxmlformats.org/officeDocument/2006/relationships/hyperlink" Target="https://via.placeholder.com/300x650.png/00aaff?text=Smartphone+sunt" TargetMode="External"/><Relationship Id="rId64" Type="http://schemas.openxmlformats.org/officeDocument/2006/relationships/hyperlink" Target="https://via.placeholder.com/300x650.png/00dddd?text=Smartphone+doloremque" TargetMode="External"/><Relationship Id="rId63" Type="http://schemas.openxmlformats.org/officeDocument/2006/relationships/hyperlink" Target="https://via.placeholder.com/300x650.png/004444?text=Smartphone+eveniet" TargetMode="External"/><Relationship Id="rId66" Type="http://schemas.openxmlformats.org/officeDocument/2006/relationships/hyperlink" Target="https://via.placeholder.com/300x650.png/005533?text=Smartphone+voluptatem" TargetMode="External"/><Relationship Id="rId65" Type="http://schemas.openxmlformats.org/officeDocument/2006/relationships/hyperlink" Target="https://via.placeholder.com/300x650.png/00cc33?text=Smartphone+et" TargetMode="External"/><Relationship Id="rId68" Type="http://schemas.openxmlformats.org/officeDocument/2006/relationships/hyperlink" Target="https://via.placeholder.com/300x650.png/008844?text=Smartphone+alias" TargetMode="External"/><Relationship Id="rId67" Type="http://schemas.openxmlformats.org/officeDocument/2006/relationships/hyperlink" Target="https://via.placeholder.com/300x650.png/0033aa?text=Smartphone+rerum" TargetMode="External"/><Relationship Id="rId729" Type="http://schemas.openxmlformats.org/officeDocument/2006/relationships/hyperlink" Target="https://via.placeholder.com/300x650.png/00bb55?text=Smartphone+blanditiis" TargetMode="External"/><Relationship Id="rId728" Type="http://schemas.openxmlformats.org/officeDocument/2006/relationships/hyperlink" Target="https://via.placeholder.com/300x650.png/008888?text=Smartphone+incidunt" TargetMode="External"/><Relationship Id="rId60" Type="http://schemas.openxmlformats.org/officeDocument/2006/relationships/hyperlink" Target="https://via.placeholder.com/300x650.png/000022?text=Smartphone+omnis" TargetMode="External"/><Relationship Id="rId723" Type="http://schemas.openxmlformats.org/officeDocument/2006/relationships/hyperlink" Target="https://via.placeholder.com/300x650.png/005500?text=Smartphone+dolorem" TargetMode="External"/><Relationship Id="rId965" Type="http://schemas.openxmlformats.org/officeDocument/2006/relationships/hyperlink" Target="https://via.placeholder.com/300x650.png/00eedd?text=Smartphone+perferendis" TargetMode="External"/><Relationship Id="rId722" Type="http://schemas.openxmlformats.org/officeDocument/2006/relationships/hyperlink" Target="https://via.placeholder.com/300x650.png/00bb66?text=Smartphone+dolorum" TargetMode="External"/><Relationship Id="rId964" Type="http://schemas.openxmlformats.org/officeDocument/2006/relationships/hyperlink" Target="https://via.placeholder.com/300x650.png/00ffff?text=Smartphone+eius" TargetMode="External"/><Relationship Id="rId721" Type="http://schemas.openxmlformats.org/officeDocument/2006/relationships/hyperlink" Target="https://via.placeholder.com/300x650.png/00eedd?text=Smartphone+illo" TargetMode="External"/><Relationship Id="rId963" Type="http://schemas.openxmlformats.org/officeDocument/2006/relationships/hyperlink" Target="https://via.placeholder.com/300x650.png/00bbee?text=Smartphone+alias" TargetMode="External"/><Relationship Id="rId720" Type="http://schemas.openxmlformats.org/officeDocument/2006/relationships/hyperlink" Target="https://via.placeholder.com/300x650.png/00ee66?text=Smartphone+doloribus" TargetMode="External"/><Relationship Id="rId962" Type="http://schemas.openxmlformats.org/officeDocument/2006/relationships/hyperlink" Target="https://via.placeholder.com/300x650.png/00bb00?text=Smartphone+recusandae" TargetMode="External"/><Relationship Id="rId727" Type="http://schemas.openxmlformats.org/officeDocument/2006/relationships/hyperlink" Target="https://via.placeholder.com/300x650.png/00ccdd?text=Smartphone+tempora" TargetMode="External"/><Relationship Id="rId969" Type="http://schemas.openxmlformats.org/officeDocument/2006/relationships/hyperlink" Target="https://via.placeholder.com/300x650.png/00ddff?text=Smartphone+nostrum" TargetMode="External"/><Relationship Id="rId726" Type="http://schemas.openxmlformats.org/officeDocument/2006/relationships/hyperlink" Target="https://via.placeholder.com/300x650.png/00bb11?text=Smartphone+quasi" TargetMode="External"/><Relationship Id="rId968" Type="http://schemas.openxmlformats.org/officeDocument/2006/relationships/hyperlink" Target="https://via.placeholder.com/300x650.png/007711?text=Smartphone+laudantium" TargetMode="External"/><Relationship Id="rId725" Type="http://schemas.openxmlformats.org/officeDocument/2006/relationships/hyperlink" Target="https://via.placeholder.com/300x650.png/007766?text=Smartphone+quia" TargetMode="External"/><Relationship Id="rId967" Type="http://schemas.openxmlformats.org/officeDocument/2006/relationships/hyperlink" Target="https://via.placeholder.com/300x650.png/003311?text=Smartphone+nobis" TargetMode="External"/><Relationship Id="rId724" Type="http://schemas.openxmlformats.org/officeDocument/2006/relationships/hyperlink" Target="https://via.placeholder.com/300x650.png/000000?text=Smartphone+reprehenderit" TargetMode="External"/><Relationship Id="rId966" Type="http://schemas.openxmlformats.org/officeDocument/2006/relationships/hyperlink" Target="https://via.placeholder.com/300x650.png/00ffcc?text=Smartphone+autem" TargetMode="External"/><Relationship Id="rId69" Type="http://schemas.openxmlformats.org/officeDocument/2006/relationships/hyperlink" Target="https://via.placeholder.com/300x650.png/00bb88?text=Smartphone+neque" TargetMode="External"/><Relationship Id="rId961" Type="http://schemas.openxmlformats.org/officeDocument/2006/relationships/hyperlink" Target="https://via.placeholder.com/300x650.png/0011bb?text=Smartphone+reprehenderit" TargetMode="External"/><Relationship Id="rId960" Type="http://schemas.openxmlformats.org/officeDocument/2006/relationships/hyperlink" Target="https://via.placeholder.com/300x650.png/008800?text=Smartphone+minus" TargetMode="External"/><Relationship Id="rId51" Type="http://schemas.openxmlformats.org/officeDocument/2006/relationships/hyperlink" Target="https://via.placeholder.com/300x650.png/0088aa?text=Smartphone+quod" TargetMode="External"/><Relationship Id="rId50" Type="http://schemas.openxmlformats.org/officeDocument/2006/relationships/hyperlink" Target="https://via.placeholder.com/300x650.png/00aabb?text=Smartphone+et" TargetMode="External"/><Relationship Id="rId53" Type="http://schemas.openxmlformats.org/officeDocument/2006/relationships/hyperlink" Target="https://via.placeholder.com/300x650.png/0000ee?text=Smartphone+iste" TargetMode="External"/><Relationship Id="rId52" Type="http://schemas.openxmlformats.org/officeDocument/2006/relationships/hyperlink" Target="https://via.placeholder.com/300x650.png/003300?text=Smartphone+voluptatum" TargetMode="External"/><Relationship Id="rId55" Type="http://schemas.openxmlformats.org/officeDocument/2006/relationships/hyperlink" Target="https://via.placeholder.com/300x650.png/00aa55?text=Smartphone+animi" TargetMode="External"/><Relationship Id="rId54" Type="http://schemas.openxmlformats.org/officeDocument/2006/relationships/hyperlink" Target="https://via.placeholder.com/300x650.png/004400?text=Smartphone+et" TargetMode="External"/><Relationship Id="rId57" Type="http://schemas.openxmlformats.org/officeDocument/2006/relationships/hyperlink" Target="https://via.placeholder.com/300x650.png/0000bb?text=Smartphone+enim" TargetMode="External"/><Relationship Id="rId56" Type="http://schemas.openxmlformats.org/officeDocument/2006/relationships/hyperlink" Target="https://via.placeholder.com/300x650.png/00ff77?text=Smartphone+sequi" TargetMode="External"/><Relationship Id="rId719" Type="http://schemas.openxmlformats.org/officeDocument/2006/relationships/hyperlink" Target="https://via.placeholder.com/300x650.png/009999?text=Smartphone+dignissimos" TargetMode="External"/><Relationship Id="rId718" Type="http://schemas.openxmlformats.org/officeDocument/2006/relationships/hyperlink" Target="https://via.placeholder.com/300x650.png/0022ee?text=Smartphone+praesentium" TargetMode="External"/><Relationship Id="rId717" Type="http://schemas.openxmlformats.org/officeDocument/2006/relationships/hyperlink" Target="https://via.placeholder.com/300x650.png/0011ff?text=Smartphone+aspernatur" TargetMode="External"/><Relationship Id="rId959" Type="http://schemas.openxmlformats.org/officeDocument/2006/relationships/hyperlink" Target="https://via.placeholder.com/300x650.png/002288?text=Smartphone+necessitatibus" TargetMode="External"/><Relationship Id="rId712" Type="http://schemas.openxmlformats.org/officeDocument/2006/relationships/hyperlink" Target="https://via.placeholder.com/300x650.png/006611?text=Smartphone+amet" TargetMode="External"/><Relationship Id="rId954" Type="http://schemas.openxmlformats.org/officeDocument/2006/relationships/hyperlink" Target="https://via.placeholder.com/300x650.png/00ccee?text=Smartphone+minus" TargetMode="External"/><Relationship Id="rId711" Type="http://schemas.openxmlformats.org/officeDocument/2006/relationships/hyperlink" Target="https://via.placeholder.com/300x650.png/008877?text=Smartphone+nesciunt" TargetMode="External"/><Relationship Id="rId953" Type="http://schemas.openxmlformats.org/officeDocument/2006/relationships/hyperlink" Target="https://via.placeholder.com/300x650.png/008833?text=Smartphone+culpa" TargetMode="External"/><Relationship Id="rId710" Type="http://schemas.openxmlformats.org/officeDocument/2006/relationships/hyperlink" Target="https://via.placeholder.com/300x650.png/000077?text=Smartphone+soluta" TargetMode="External"/><Relationship Id="rId952" Type="http://schemas.openxmlformats.org/officeDocument/2006/relationships/hyperlink" Target="https://via.placeholder.com/300x650.png/00ff00?text=Smartphone+nihil" TargetMode="External"/><Relationship Id="rId951" Type="http://schemas.openxmlformats.org/officeDocument/2006/relationships/hyperlink" Target="https://via.placeholder.com/300x650.png/0011bb?text=Smartphone+autem" TargetMode="External"/><Relationship Id="rId716" Type="http://schemas.openxmlformats.org/officeDocument/2006/relationships/hyperlink" Target="https://via.placeholder.com/300x650.png/00cc00?text=Smartphone+error" TargetMode="External"/><Relationship Id="rId958" Type="http://schemas.openxmlformats.org/officeDocument/2006/relationships/hyperlink" Target="https://via.placeholder.com/300x650.png/00aaaa?text=Smartphone+assumenda" TargetMode="External"/><Relationship Id="rId715" Type="http://schemas.openxmlformats.org/officeDocument/2006/relationships/hyperlink" Target="https://via.placeholder.com/300x650.png/007711?text=Smartphone+repudiandae" TargetMode="External"/><Relationship Id="rId957" Type="http://schemas.openxmlformats.org/officeDocument/2006/relationships/hyperlink" Target="https://via.placeholder.com/300x650.png/005500?text=Smartphone+autem" TargetMode="External"/><Relationship Id="rId714" Type="http://schemas.openxmlformats.org/officeDocument/2006/relationships/hyperlink" Target="https://via.placeholder.com/300x650.png/00dd00?text=Smartphone+et" TargetMode="External"/><Relationship Id="rId956" Type="http://schemas.openxmlformats.org/officeDocument/2006/relationships/hyperlink" Target="https://via.placeholder.com/300x650.png/008800?text=Smartphone+commodi" TargetMode="External"/><Relationship Id="rId713" Type="http://schemas.openxmlformats.org/officeDocument/2006/relationships/hyperlink" Target="https://via.placeholder.com/300x650.png/00eeaa?text=Smartphone+consequatur" TargetMode="External"/><Relationship Id="rId955" Type="http://schemas.openxmlformats.org/officeDocument/2006/relationships/hyperlink" Target="https://via.placeholder.com/300x650.png/0088dd?text=Smartphone+sit" TargetMode="External"/><Relationship Id="rId59" Type="http://schemas.openxmlformats.org/officeDocument/2006/relationships/hyperlink" Target="https://via.placeholder.com/300x650.png/00bbff?text=Smartphone+ut" TargetMode="External"/><Relationship Id="rId58" Type="http://schemas.openxmlformats.org/officeDocument/2006/relationships/hyperlink" Target="https://via.placeholder.com/300x650.png/000055?text=Smartphone+quo" TargetMode="External"/><Relationship Id="rId950" Type="http://schemas.openxmlformats.org/officeDocument/2006/relationships/hyperlink" Target="https://via.placeholder.com/300x650.png/002266?text=Smartphone+aut" TargetMode="External"/><Relationship Id="rId590" Type="http://schemas.openxmlformats.org/officeDocument/2006/relationships/hyperlink" Target="https://via.placeholder.com/300x650.png/007700?text=Smartphone+sunt" TargetMode="External"/><Relationship Id="rId107" Type="http://schemas.openxmlformats.org/officeDocument/2006/relationships/hyperlink" Target="https://via.placeholder.com/300x650.png/00bb88?text=Smartphone+minima" TargetMode="External"/><Relationship Id="rId349" Type="http://schemas.openxmlformats.org/officeDocument/2006/relationships/hyperlink" Target="https://via.placeholder.com/300x650.png/0000aa?text=Smartphone+illum" TargetMode="External"/><Relationship Id="rId106" Type="http://schemas.openxmlformats.org/officeDocument/2006/relationships/hyperlink" Target="https://via.placeholder.com/300x650.png/002211?text=Smartphone+assumenda" TargetMode="External"/><Relationship Id="rId348" Type="http://schemas.openxmlformats.org/officeDocument/2006/relationships/hyperlink" Target="https://via.placeholder.com/300x650.png/0088aa?text=Smartphone+ipsam" TargetMode="External"/><Relationship Id="rId105" Type="http://schemas.openxmlformats.org/officeDocument/2006/relationships/hyperlink" Target="https://via.placeholder.com/300x650.png/006633?text=Smartphone+excepturi" TargetMode="External"/><Relationship Id="rId347" Type="http://schemas.openxmlformats.org/officeDocument/2006/relationships/hyperlink" Target="https://via.placeholder.com/300x650.png/00aabb?text=Smartphone+ea" TargetMode="External"/><Relationship Id="rId589" Type="http://schemas.openxmlformats.org/officeDocument/2006/relationships/hyperlink" Target="https://via.placeholder.com/300x650.png/00eeff?text=Smartphone+iusto" TargetMode="External"/><Relationship Id="rId104" Type="http://schemas.openxmlformats.org/officeDocument/2006/relationships/hyperlink" Target="https://via.placeholder.com/300x650.png/00ddcc?text=Smartphone+totam" TargetMode="External"/><Relationship Id="rId346" Type="http://schemas.openxmlformats.org/officeDocument/2006/relationships/hyperlink" Target="https://via.placeholder.com/300x650.png/00aaff?text=Smartphone+eveniet" TargetMode="External"/><Relationship Id="rId588" Type="http://schemas.openxmlformats.org/officeDocument/2006/relationships/hyperlink" Target="https://via.placeholder.com/300x650.png/004488?text=Smartphone+ipsam" TargetMode="External"/><Relationship Id="rId109" Type="http://schemas.openxmlformats.org/officeDocument/2006/relationships/hyperlink" Target="https://via.placeholder.com/300x650.png/00cc88?text=Smartphone+repellat" TargetMode="External"/><Relationship Id="rId108" Type="http://schemas.openxmlformats.org/officeDocument/2006/relationships/hyperlink" Target="https://via.placeholder.com/300x650.png/0088cc?text=Smartphone+a" TargetMode="External"/><Relationship Id="rId341" Type="http://schemas.openxmlformats.org/officeDocument/2006/relationships/hyperlink" Target="https://via.placeholder.com/300x650.png/00bbaa?text=Smartphone+adipisci" TargetMode="External"/><Relationship Id="rId583" Type="http://schemas.openxmlformats.org/officeDocument/2006/relationships/hyperlink" Target="https://via.placeholder.com/300x650.png/0033aa?text=Smartphone+voluptatem" TargetMode="External"/><Relationship Id="rId340" Type="http://schemas.openxmlformats.org/officeDocument/2006/relationships/hyperlink" Target="https://via.placeholder.com/300x650.png/00aabb?text=Smartphone+earum" TargetMode="External"/><Relationship Id="rId582" Type="http://schemas.openxmlformats.org/officeDocument/2006/relationships/hyperlink" Target="https://via.placeholder.com/300x650.png/002277?text=Smartphone+consequuntur" TargetMode="External"/><Relationship Id="rId581" Type="http://schemas.openxmlformats.org/officeDocument/2006/relationships/hyperlink" Target="https://via.placeholder.com/300x650.png/004400?text=Smartphone+rerum" TargetMode="External"/><Relationship Id="rId580" Type="http://schemas.openxmlformats.org/officeDocument/2006/relationships/hyperlink" Target="https://via.placeholder.com/300x650.png/00ff44?text=Smartphone+debitis" TargetMode="External"/><Relationship Id="rId103" Type="http://schemas.openxmlformats.org/officeDocument/2006/relationships/hyperlink" Target="https://via.placeholder.com/300x650.png/0055cc?text=Smartphone+beatae" TargetMode="External"/><Relationship Id="rId345" Type="http://schemas.openxmlformats.org/officeDocument/2006/relationships/hyperlink" Target="https://via.placeholder.com/300x650.png/00ee66?text=Smartphone+dolorem" TargetMode="External"/><Relationship Id="rId587" Type="http://schemas.openxmlformats.org/officeDocument/2006/relationships/hyperlink" Target="https://via.placeholder.com/300x650.png/00aa22?text=Smartphone+rerum" TargetMode="External"/><Relationship Id="rId102" Type="http://schemas.openxmlformats.org/officeDocument/2006/relationships/hyperlink" Target="https://via.placeholder.com/300x650.png/0099dd?text=Smartphone+omnis" TargetMode="External"/><Relationship Id="rId344" Type="http://schemas.openxmlformats.org/officeDocument/2006/relationships/hyperlink" Target="https://via.placeholder.com/300x650.png/000077?text=Smartphone+quam" TargetMode="External"/><Relationship Id="rId586" Type="http://schemas.openxmlformats.org/officeDocument/2006/relationships/hyperlink" Target="https://via.placeholder.com/300x650.png/008811?text=Smartphone+sint" TargetMode="External"/><Relationship Id="rId101" Type="http://schemas.openxmlformats.org/officeDocument/2006/relationships/hyperlink" Target="https://via.placeholder.com/300x650.png/00bbbb?text=Smartphone+et" TargetMode="External"/><Relationship Id="rId343" Type="http://schemas.openxmlformats.org/officeDocument/2006/relationships/hyperlink" Target="https://via.placeholder.com/300x650.png/00dd22?text=Smartphone+eligendi" TargetMode="External"/><Relationship Id="rId585" Type="http://schemas.openxmlformats.org/officeDocument/2006/relationships/hyperlink" Target="https://via.placeholder.com/300x650.png/00bb66?text=Smartphone+odio" TargetMode="External"/><Relationship Id="rId100" Type="http://schemas.openxmlformats.org/officeDocument/2006/relationships/hyperlink" Target="https://via.placeholder.com/300x650.png/001199?text=Smartphone+et" TargetMode="External"/><Relationship Id="rId342" Type="http://schemas.openxmlformats.org/officeDocument/2006/relationships/hyperlink" Target="https://via.placeholder.com/300x650.png/00ff99?text=Smartphone+perferendis" TargetMode="External"/><Relationship Id="rId584" Type="http://schemas.openxmlformats.org/officeDocument/2006/relationships/hyperlink" Target="https://via.placeholder.com/300x650.png/005577?text=Smartphone+suscipit" TargetMode="External"/><Relationship Id="rId338" Type="http://schemas.openxmlformats.org/officeDocument/2006/relationships/hyperlink" Target="https://via.placeholder.com/300x650.png/00cc66?text=Smartphone+id" TargetMode="External"/><Relationship Id="rId337" Type="http://schemas.openxmlformats.org/officeDocument/2006/relationships/hyperlink" Target="https://via.placeholder.com/300x650.png/003388?text=Smartphone+provident" TargetMode="External"/><Relationship Id="rId579" Type="http://schemas.openxmlformats.org/officeDocument/2006/relationships/hyperlink" Target="https://via.placeholder.com/300x650.png/00aa88?text=Smartphone+aspernatur" TargetMode="External"/><Relationship Id="rId336" Type="http://schemas.openxmlformats.org/officeDocument/2006/relationships/hyperlink" Target="https://via.placeholder.com/300x650.png/00ffdd?text=Smartphone+est" TargetMode="External"/><Relationship Id="rId578" Type="http://schemas.openxmlformats.org/officeDocument/2006/relationships/hyperlink" Target="https://via.placeholder.com/300x650.png/00bbbb?text=Smartphone+recusandae" TargetMode="External"/><Relationship Id="rId335" Type="http://schemas.openxmlformats.org/officeDocument/2006/relationships/hyperlink" Target="https://via.placeholder.com/300x650.png/0055ee?text=Smartphone+laborum" TargetMode="External"/><Relationship Id="rId577" Type="http://schemas.openxmlformats.org/officeDocument/2006/relationships/hyperlink" Target="https://via.placeholder.com/300x650.png/0066ee?text=Smartphone+et" TargetMode="External"/><Relationship Id="rId339" Type="http://schemas.openxmlformats.org/officeDocument/2006/relationships/hyperlink" Target="https://via.placeholder.com/300x650.png/0055ee?text=Smartphone+praesentium" TargetMode="External"/><Relationship Id="rId330" Type="http://schemas.openxmlformats.org/officeDocument/2006/relationships/hyperlink" Target="https://via.placeholder.com/300x650.png/00eedd?text=Smartphone+architecto" TargetMode="External"/><Relationship Id="rId572" Type="http://schemas.openxmlformats.org/officeDocument/2006/relationships/hyperlink" Target="https://via.placeholder.com/300x650.png/007755?text=Smartphone+maiores" TargetMode="External"/><Relationship Id="rId571" Type="http://schemas.openxmlformats.org/officeDocument/2006/relationships/hyperlink" Target="https://via.placeholder.com/300x650.png/008866?text=Smartphone+sit" TargetMode="External"/><Relationship Id="rId570" Type="http://schemas.openxmlformats.org/officeDocument/2006/relationships/hyperlink" Target="https://via.placeholder.com/300x650.png/0044dd?text=Smartphone+laudantium" TargetMode="External"/><Relationship Id="rId334" Type="http://schemas.openxmlformats.org/officeDocument/2006/relationships/hyperlink" Target="https://via.placeholder.com/300x650.png/00bbbb?text=Smartphone+dolores" TargetMode="External"/><Relationship Id="rId576" Type="http://schemas.openxmlformats.org/officeDocument/2006/relationships/hyperlink" Target="https://via.placeholder.com/300x650.png/005599?text=Smartphone+dolorem" TargetMode="External"/><Relationship Id="rId333" Type="http://schemas.openxmlformats.org/officeDocument/2006/relationships/hyperlink" Target="https://via.placeholder.com/300x650.png/006655?text=Smartphone+iste" TargetMode="External"/><Relationship Id="rId575" Type="http://schemas.openxmlformats.org/officeDocument/2006/relationships/hyperlink" Target="https://via.placeholder.com/300x650.png/001133?text=Smartphone+incidunt" TargetMode="External"/><Relationship Id="rId332" Type="http://schemas.openxmlformats.org/officeDocument/2006/relationships/hyperlink" Target="https://via.placeholder.com/300x650.png/00ccaa?text=Smartphone+labore" TargetMode="External"/><Relationship Id="rId574" Type="http://schemas.openxmlformats.org/officeDocument/2006/relationships/hyperlink" Target="https://via.placeholder.com/300x650.png/00ee33?text=Smartphone+sed" TargetMode="External"/><Relationship Id="rId331" Type="http://schemas.openxmlformats.org/officeDocument/2006/relationships/hyperlink" Target="https://via.placeholder.com/300x650.png/00aa77?text=Smartphone+perspiciatis" TargetMode="External"/><Relationship Id="rId573" Type="http://schemas.openxmlformats.org/officeDocument/2006/relationships/hyperlink" Target="https://via.placeholder.com/300x650.png/0099aa?text=Smartphone+doloremque" TargetMode="External"/><Relationship Id="rId370" Type="http://schemas.openxmlformats.org/officeDocument/2006/relationships/hyperlink" Target="https://via.placeholder.com/300x650.png/0088ff?text=Smartphone+similique" TargetMode="External"/><Relationship Id="rId129" Type="http://schemas.openxmlformats.org/officeDocument/2006/relationships/hyperlink" Target="https://via.placeholder.com/300x650.png/0099ff?text=Smartphone+at" TargetMode="External"/><Relationship Id="rId128" Type="http://schemas.openxmlformats.org/officeDocument/2006/relationships/hyperlink" Target="https://via.placeholder.com/300x650.png/007799?text=Smartphone+eaque" TargetMode="External"/><Relationship Id="rId127" Type="http://schemas.openxmlformats.org/officeDocument/2006/relationships/hyperlink" Target="https://via.placeholder.com/300x650.png/00aadd?text=Smartphone+quam" TargetMode="External"/><Relationship Id="rId369" Type="http://schemas.openxmlformats.org/officeDocument/2006/relationships/hyperlink" Target="https://via.placeholder.com/300x650.png/009911?text=Smartphone+facere" TargetMode="External"/><Relationship Id="rId126" Type="http://schemas.openxmlformats.org/officeDocument/2006/relationships/hyperlink" Target="https://via.placeholder.com/300x650.png/004466?text=Smartphone+sunt" TargetMode="External"/><Relationship Id="rId368" Type="http://schemas.openxmlformats.org/officeDocument/2006/relationships/hyperlink" Target="https://via.placeholder.com/300x650.png/005555?text=Smartphone+similique" TargetMode="External"/><Relationship Id="rId121" Type="http://schemas.openxmlformats.org/officeDocument/2006/relationships/hyperlink" Target="https://via.placeholder.com/300x650.png/006655?text=Smartphone+alias" TargetMode="External"/><Relationship Id="rId363" Type="http://schemas.openxmlformats.org/officeDocument/2006/relationships/hyperlink" Target="https://via.placeholder.com/300x650.png/002255?text=Smartphone+sed" TargetMode="External"/><Relationship Id="rId120" Type="http://schemas.openxmlformats.org/officeDocument/2006/relationships/hyperlink" Target="https://via.placeholder.com/300x650.png/00ff66?text=Smartphone+voluptatem" TargetMode="External"/><Relationship Id="rId362" Type="http://schemas.openxmlformats.org/officeDocument/2006/relationships/hyperlink" Target="https://via.placeholder.com/300x650.png/0011cc?text=Smartphone+consectetur" TargetMode="External"/><Relationship Id="rId361" Type="http://schemas.openxmlformats.org/officeDocument/2006/relationships/hyperlink" Target="https://via.placeholder.com/300x650.png/00eeee?text=Smartphone+quos" TargetMode="External"/><Relationship Id="rId360" Type="http://schemas.openxmlformats.org/officeDocument/2006/relationships/hyperlink" Target="https://via.placeholder.com/300x650.png/008888?text=Smartphone+dolorem" TargetMode="External"/><Relationship Id="rId125" Type="http://schemas.openxmlformats.org/officeDocument/2006/relationships/hyperlink" Target="https://via.placeholder.com/300x650.png/002288?text=Smartphone+nostrum" TargetMode="External"/><Relationship Id="rId367" Type="http://schemas.openxmlformats.org/officeDocument/2006/relationships/hyperlink" Target="https://via.placeholder.com/300x650.png/006633?text=Smartphone+iure" TargetMode="External"/><Relationship Id="rId124" Type="http://schemas.openxmlformats.org/officeDocument/2006/relationships/hyperlink" Target="https://via.placeholder.com/300x650.png/0033aa?text=Smartphone+magnam" TargetMode="External"/><Relationship Id="rId366" Type="http://schemas.openxmlformats.org/officeDocument/2006/relationships/hyperlink" Target="https://via.placeholder.com/300x650.png/006622?text=Smartphone+dolor" TargetMode="External"/><Relationship Id="rId123" Type="http://schemas.openxmlformats.org/officeDocument/2006/relationships/hyperlink" Target="https://via.placeholder.com/300x650.png/00ccbb?text=Smartphone+voluptatem" TargetMode="External"/><Relationship Id="rId365" Type="http://schemas.openxmlformats.org/officeDocument/2006/relationships/hyperlink" Target="https://via.placeholder.com/300x650.png/002277?text=Smartphone+voluptas" TargetMode="External"/><Relationship Id="rId122" Type="http://schemas.openxmlformats.org/officeDocument/2006/relationships/hyperlink" Target="https://via.placeholder.com/300x650.png/006655?text=Smartphone+ad" TargetMode="External"/><Relationship Id="rId364" Type="http://schemas.openxmlformats.org/officeDocument/2006/relationships/hyperlink" Target="https://via.placeholder.com/300x650.png/0066ee?text=Smartphone+consequuntur" TargetMode="External"/><Relationship Id="rId95" Type="http://schemas.openxmlformats.org/officeDocument/2006/relationships/hyperlink" Target="https://via.placeholder.com/300x650.png/00ff55?text=Smartphone+non" TargetMode="External"/><Relationship Id="rId94" Type="http://schemas.openxmlformats.org/officeDocument/2006/relationships/hyperlink" Target="https://via.placeholder.com/300x650.png/000000?text=Smartphone+eos" TargetMode="External"/><Relationship Id="rId97" Type="http://schemas.openxmlformats.org/officeDocument/2006/relationships/hyperlink" Target="https://via.placeholder.com/300x650.png/00cc99?text=Smartphone+pariatur" TargetMode="External"/><Relationship Id="rId96" Type="http://schemas.openxmlformats.org/officeDocument/2006/relationships/hyperlink" Target="https://via.placeholder.com/300x650.png/0077ff?text=Smartphone+autem" TargetMode="External"/><Relationship Id="rId99" Type="http://schemas.openxmlformats.org/officeDocument/2006/relationships/hyperlink" Target="https://via.placeholder.com/300x650.png/000099?text=Smartphone+repellendus" TargetMode="External"/><Relationship Id="rId98" Type="http://schemas.openxmlformats.org/officeDocument/2006/relationships/hyperlink" Target="https://via.placeholder.com/300x650.png/005588?text=Smartphone+dolor" TargetMode="External"/><Relationship Id="rId91" Type="http://schemas.openxmlformats.org/officeDocument/2006/relationships/hyperlink" Target="https://via.placeholder.com/300x650.png/000011?text=Smartphone+veniam" TargetMode="External"/><Relationship Id="rId90" Type="http://schemas.openxmlformats.org/officeDocument/2006/relationships/hyperlink" Target="https://via.placeholder.com/300x650.png/00ccff?text=Smartphone+eos" TargetMode="External"/><Relationship Id="rId93" Type="http://schemas.openxmlformats.org/officeDocument/2006/relationships/hyperlink" Target="https://via.placeholder.com/300x650.png/004466?text=Smartphone+quas" TargetMode="External"/><Relationship Id="rId92" Type="http://schemas.openxmlformats.org/officeDocument/2006/relationships/hyperlink" Target="https://via.placeholder.com/300x650.png/000000?text=Smartphone+rerum" TargetMode="External"/><Relationship Id="rId118" Type="http://schemas.openxmlformats.org/officeDocument/2006/relationships/hyperlink" Target="https://via.placeholder.com/300x650.png/0000bb?text=Smartphone+distinctio" TargetMode="External"/><Relationship Id="rId117" Type="http://schemas.openxmlformats.org/officeDocument/2006/relationships/hyperlink" Target="https://via.placeholder.com/300x650.png/00aa00?text=Smartphone+a" TargetMode="External"/><Relationship Id="rId359" Type="http://schemas.openxmlformats.org/officeDocument/2006/relationships/hyperlink" Target="https://via.placeholder.com/300x650.png/008800?text=Smartphone+eos" TargetMode="External"/><Relationship Id="rId116" Type="http://schemas.openxmlformats.org/officeDocument/2006/relationships/hyperlink" Target="https://via.placeholder.com/300x650.png/0066ee?text=Smartphone+voluptatem" TargetMode="External"/><Relationship Id="rId358" Type="http://schemas.openxmlformats.org/officeDocument/2006/relationships/hyperlink" Target="https://via.placeholder.com/300x650.png/00bb11?text=Smartphone+assumenda" TargetMode="External"/><Relationship Id="rId115" Type="http://schemas.openxmlformats.org/officeDocument/2006/relationships/hyperlink" Target="https://via.placeholder.com/300x650.png/00ffcc?text=Smartphone+ea" TargetMode="External"/><Relationship Id="rId357" Type="http://schemas.openxmlformats.org/officeDocument/2006/relationships/hyperlink" Target="https://via.placeholder.com/300x650.png/008899?text=Smartphone+dolor" TargetMode="External"/><Relationship Id="rId599" Type="http://schemas.openxmlformats.org/officeDocument/2006/relationships/hyperlink" Target="https://via.placeholder.com/300x650.png/00dd55?text=Smartphone+nam" TargetMode="External"/><Relationship Id="rId119" Type="http://schemas.openxmlformats.org/officeDocument/2006/relationships/hyperlink" Target="https://via.placeholder.com/300x650.png/007799?text=Smartphone+rerum" TargetMode="External"/><Relationship Id="rId110" Type="http://schemas.openxmlformats.org/officeDocument/2006/relationships/hyperlink" Target="https://via.placeholder.com/300x650.png/00eeff?text=Smartphone+maxime" TargetMode="External"/><Relationship Id="rId352" Type="http://schemas.openxmlformats.org/officeDocument/2006/relationships/hyperlink" Target="https://via.placeholder.com/300x650.png/0066cc?text=Smartphone+velit" TargetMode="External"/><Relationship Id="rId594" Type="http://schemas.openxmlformats.org/officeDocument/2006/relationships/hyperlink" Target="https://via.placeholder.com/300x650.png/0022ff?text=Smartphone+autem" TargetMode="External"/><Relationship Id="rId351" Type="http://schemas.openxmlformats.org/officeDocument/2006/relationships/hyperlink" Target="https://via.placeholder.com/300x650.png/006655?text=Smartphone+aliquid" TargetMode="External"/><Relationship Id="rId593" Type="http://schemas.openxmlformats.org/officeDocument/2006/relationships/hyperlink" Target="https://via.placeholder.com/300x650.png/00ee22?text=Smartphone+quod" TargetMode="External"/><Relationship Id="rId350" Type="http://schemas.openxmlformats.org/officeDocument/2006/relationships/hyperlink" Target="https://via.placeholder.com/300x650.png/00aacc?text=Smartphone+autem" TargetMode="External"/><Relationship Id="rId592" Type="http://schemas.openxmlformats.org/officeDocument/2006/relationships/hyperlink" Target="https://via.placeholder.com/300x650.png/0011aa?text=Smartphone+molestiae" TargetMode="External"/><Relationship Id="rId591" Type="http://schemas.openxmlformats.org/officeDocument/2006/relationships/hyperlink" Target="https://via.placeholder.com/300x650.png/00ee00?text=Smartphone+ut" TargetMode="External"/><Relationship Id="rId114" Type="http://schemas.openxmlformats.org/officeDocument/2006/relationships/hyperlink" Target="https://via.placeholder.com/300x650.png/007755?text=Smartphone+voluptatum" TargetMode="External"/><Relationship Id="rId356" Type="http://schemas.openxmlformats.org/officeDocument/2006/relationships/hyperlink" Target="https://via.placeholder.com/300x650.png/0011dd?text=Smartphone+esse" TargetMode="External"/><Relationship Id="rId598" Type="http://schemas.openxmlformats.org/officeDocument/2006/relationships/hyperlink" Target="https://via.placeholder.com/300x650.png/0088ee?text=Smartphone+ut" TargetMode="External"/><Relationship Id="rId113" Type="http://schemas.openxmlformats.org/officeDocument/2006/relationships/hyperlink" Target="https://via.placeholder.com/300x650.png/00bbcc?text=Smartphone+officiis" TargetMode="External"/><Relationship Id="rId355" Type="http://schemas.openxmlformats.org/officeDocument/2006/relationships/hyperlink" Target="https://via.placeholder.com/300x650.png/002233?text=Smartphone+ducimus" TargetMode="External"/><Relationship Id="rId597" Type="http://schemas.openxmlformats.org/officeDocument/2006/relationships/hyperlink" Target="https://via.placeholder.com/300x650.png/00aacc?text=Smartphone+sint" TargetMode="External"/><Relationship Id="rId112" Type="http://schemas.openxmlformats.org/officeDocument/2006/relationships/hyperlink" Target="https://via.placeholder.com/300x650.png/0022cc?text=Smartphone+ratione" TargetMode="External"/><Relationship Id="rId354" Type="http://schemas.openxmlformats.org/officeDocument/2006/relationships/hyperlink" Target="https://via.placeholder.com/300x650.png/00eeaa?text=Smartphone+neque" TargetMode="External"/><Relationship Id="rId596" Type="http://schemas.openxmlformats.org/officeDocument/2006/relationships/hyperlink" Target="https://via.placeholder.com/300x650.png/00bbdd?text=Smartphone+perferendis" TargetMode="External"/><Relationship Id="rId111" Type="http://schemas.openxmlformats.org/officeDocument/2006/relationships/hyperlink" Target="https://via.placeholder.com/300x650.png/002211?text=Smartphone+dolorem" TargetMode="External"/><Relationship Id="rId353" Type="http://schemas.openxmlformats.org/officeDocument/2006/relationships/hyperlink" Target="https://via.placeholder.com/300x650.png/00bb99?text=Smartphone+qui" TargetMode="External"/><Relationship Id="rId595" Type="http://schemas.openxmlformats.org/officeDocument/2006/relationships/hyperlink" Target="https://via.placeholder.com/300x650.png/00aa00?text=Smartphone+consectetur" TargetMode="External"/><Relationship Id="rId305" Type="http://schemas.openxmlformats.org/officeDocument/2006/relationships/hyperlink" Target="https://via.placeholder.com/300x650.png/002211?text=Smartphone+exercitationem" TargetMode="External"/><Relationship Id="rId547" Type="http://schemas.openxmlformats.org/officeDocument/2006/relationships/hyperlink" Target="https://via.placeholder.com/300x650.png/0000bb?text=Smartphone+delectus" TargetMode="External"/><Relationship Id="rId789" Type="http://schemas.openxmlformats.org/officeDocument/2006/relationships/hyperlink" Target="https://via.placeholder.com/300x650.png/002277?text=Smartphone+voluptas" TargetMode="External"/><Relationship Id="rId304" Type="http://schemas.openxmlformats.org/officeDocument/2006/relationships/hyperlink" Target="https://via.placeholder.com/300x650.png/00ff99?text=Smartphone+quia" TargetMode="External"/><Relationship Id="rId546" Type="http://schemas.openxmlformats.org/officeDocument/2006/relationships/hyperlink" Target="https://via.placeholder.com/300x650.png/007755?text=Smartphone+adipisci" TargetMode="External"/><Relationship Id="rId788" Type="http://schemas.openxmlformats.org/officeDocument/2006/relationships/hyperlink" Target="https://via.placeholder.com/300x650.png/00bbdd?text=Smartphone+magni" TargetMode="External"/><Relationship Id="rId303" Type="http://schemas.openxmlformats.org/officeDocument/2006/relationships/hyperlink" Target="https://via.placeholder.com/300x650.png/00eeff?text=Smartphone+optio" TargetMode="External"/><Relationship Id="rId545" Type="http://schemas.openxmlformats.org/officeDocument/2006/relationships/hyperlink" Target="https://via.placeholder.com/300x650.png/00ff55?text=Smartphone+libero" TargetMode="External"/><Relationship Id="rId787" Type="http://schemas.openxmlformats.org/officeDocument/2006/relationships/hyperlink" Target="https://via.placeholder.com/300x650.png/0055cc?text=Smartphone+tempora" TargetMode="External"/><Relationship Id="rId302" Type="http://schemas.openxmlformats.org/officeDocument/2006/relationships/hyperlink" Target="https://via.placeholder.com/300x650.png/000088?text=Smartphone+sunt" TargetMode="External"/><Relationship Id="rId544" Type="http://schemas.openxmlformats.org/officeDocument/2006/relationships/hyperlink" Target="https://via.placeholder.com/300x650.png/006622?text=Smartphone+dolor" TargetMode="External"/><Relationship Id="rId786" Type="http://schemas.openxmlformats.org/officeDocument/2006/relationships/hyperlink" Target="https://via.placeholder.com/300x650.png/00cc33?text=Smartphone+quos" TargetMode="External"/><Relationship Id="rId309" Type="http://schemas.openxmlformats.org/officeDocument/2006/relationships/hyperlink" Target="https://via.placeholder.com/300x650.png/0022aa?text=Smartphone+et" TargetMode="External"/><Relationship Id="rId308" Type="http://schemas.openxmlformats.org/officeDocument/2006/relationships/hyperlink" Target="https://via.placeholder.com/300x650.png/00bb44?text=Smartphone+quia" TargetMode="External"/><Relationship Id="rId307" Type="http://schemas.openxmlformats.org/officeDocument/2006/relationships/hyperlink" Target="https://via.placeholder.com/300x650.png/0033ff?text=Smartphone+laudantium" TargetMode="External"/><Relationship Id="rId549" Type="http://schemas.openxmlformats.org/officeDocument/2006/relationships/hyperlink" Target="https://via.placeholder.com/300x650.png/00bb33?text=Smartphone+cum" TargetMode="External"/><Relationship Id="rId306" Type="http://schemas.openxmlformats.org/officeDocument/2006/relationships/hyperlink" Target="https://via.placeholder.com/300x650.png/003300?text=Smartphone+ipsam" TargetMode="External"/><Relationship Id="rId548" Type="http://schemas.openxmlformats.org/officeDocument/2006/relationships/hyperlink" Target="https://via.placeholder.com/300x650.png/00aa55?text=Smartphone+necessitatibus" TargetMode="External"/><Relationship Id="rId781" Type="http://schemas.openxmlformats.org/officeDocument/2006/relationships/hyperlink" Target="https://via.placeholder.com/300x650.png/00aa55?text=Smartphone+natus" TargetMode="External"/><Relationship Id="rId780" Type="http://schemas.openxmlformats.org/officeDocument/2006/relationships/hyperlink" Target="https://via.placeholder.com/300x650.png/005555?text=Smartphone+saepe" TargetMode="External"/><Relationship Id="rId301" Type="http://schemas.openxmlformats.org/officeDocument/2006/relationships/hyperlink" Target="https://via.placeholder.com/300x650.png/000099?text=Smartphone+eveniet" TargetMode="External"/><Relationship Id="rId543" Type="http://schemas.openxmlformats.org/officeDocument/2006/relationships/hyperlink" Target="https://via.placeholder.com/300x650.png/00ff11?text=Smartphone+sapiente" TargetMode="External"/><Relationship Id="rId785" Type="http://schemas.openxmlformats.org/officeDocument/2006/relationships/hyperlink" Target="https://via.placeholder.com/300x650.png/00bb44?text=Smartphone+sit" TargetMode="External"/><Relationship Id="rId300" Type="http://schemas.openxmlformats.org/officeDocument/2006/relationships/hyperlink" Target="https://via.placeholder.com/300x650.png/00cc99?text=Smartphone+aut" TargetMode="External"/><Relationship Id="rId542" Type="http://schemas.openxmlformats.org/officeDocument/2006/relationships/hyperlink" Target="https://via.placeholder.com/300x650.png/005522?text=Smartphone+aperiam" TargetMode="External"/><Relationship Id="rId784" Type="http://schemas.openxmlformats.org/officeDocument/2006/relationships/hyperlink" Target="https://via.placeholder.com/300x650.png/005544?text=Smartphone+vero" TargetMode="External"/><Relationship Id="rId541" Type="http://schemas.openxmlformats.org/officeDocument/2006/relationships/hyperlink" Target="https://via.placeholder.com/300x650.png/0077bb?text=Smartphone+repellat" TargetMode="External"/><Relationship Id="rId783" Type="http://schemas.openxmlformats.org/officeDocument/2006/relationships/hyperlink" Target="https://via.placeholder.com/300x650.png/0088bb?text=Smartphone+qui" TargetMode="External"/><Relationship Id="rId540" Type="http://schemas.openxmlformats.org/officeDocument/2006/relationships/hyperlink" Target="https://via.placeholder.com/300x650.png/003355?text=Smartphone+odio" TargetMode="External"/><Relationship Id="rId782" Type="http://schemas.openxmlformats.org/officeDocument/2006/relationships/hyperlink" Target="https://via.placeholder.com/300x650.png/00ccaa?text=Smartphone+et" TargetMode="External"/><Relationship Id="rId536" Type="http://schemas.openxmlformats.org/officeDocument/2006/relationships/hyperlink" Target="https://via.placeholder.com/300x650.png/00ddbb?text=Smartphone+aut" TargetMode="External"/><Relationship Id="rId778" Type="http://schemas.openxmlformats.org/officeDocument/2006/relationships/hyperlink" Target="https://via.placeholder.com/300x650.png/00cc88?text=Smartphone+in" TargetMode="External"/><Relationship Id="rId535" Type="http://schemas.openxmlformats.org/officeDocument/2006/relationships/hyperlink" Target="https://via.placeholder.com/300x650.png/00aa11?text=Smartphone+ut" TargetMode="External"/><Relationship Id="rId777" Type="http://schemas.openxmlformats.org/officeDocument/2006/relationships/hyperlink" Target="https://via.placeholder.com/300x650.png/00bb11?text=Smartphone+libero" TargetMode="External"/><Relationship Id="rId534" Type="http://schemas.openxmlformats.org/officeDocument/2006/relationships/hyperlink" Target="https://via.placeholder.com/300x650.png/00ffbb?text=Smartphone+voluptatem" TargetMode="External"/><Relationship Id="rId776" Type="http://schemas.openxmlformats.org/officeDocument/2006/relationships/hyperlink" Target="https://via.placeholder.com/300x650.png/00ffee?text=Smartphone+eveniet" TargetMode="External"/><Relationship Id="rId533" Type="http://schemas.openxmlformats.org/officeDocument/2006/relationships/hyperlink" Target="https://via.placeholder.com/300x650.png/00dd66?text=Smartphone+et" TargetMode="External"/><Relationship Id="rId775" Type="http://schemas.openxmlformats.org/officeDocument/2006/relationships/hyperlink" Target="https://via.placeholder.com/300x650.png/00ccaa?text=Smartphone+magni" TargetMode="External"/><Relationship Id="rId539" Type="http://schemas.openxmlformats.org/officeDocument/2006/relationships/hyperlink" Target="https://via.placeholder.com/300x650.png/004499?text=Smartphone+ut" TargetMode="External"/><Relationship Id="rId538" Type="http://schemas.openxmlformats.org/officeDocument/2006/relationships/hyperlink" Target="https://via.placeholder.com/300x650.png/008833?text=Smartphone+velit" TargetMode="External"/><Relationship Id="rId537" Type="http://schemas.openxmlformats.org/officeDocument/2006/relationships/hyperlink" Target="https://via.placeholder.com/300x650.png/004444?text=Smartphone+nihil" TargetMode="External"/><Relationship Id="rId779" Type="http://schemas.openxmlformats.org/officeDocument/2006/relationships/hyperlink" Target="https://via.placeholder.com/300x650.png/007700?text=Smartphone+est" TargetMode="External"/><Relationship Id="rId770" Type="http://schemas.openxmlformats.org/officeDocument/2006/relationships/hyperlink" Target="https://via.placeholder.com/300x650.png/008888?text=Smartphone+sit" TargetMode="External"/><Relationship Id="rId532" Type="http://schemas.openxmlformats.org/officeDocument/2006/relationships/hyperlink" Target="https://via.placeholder.com/300x650.png/0055ee?text=Smartphone+quaerat" TargetMode="External"/><Relationship Id="rId774" Type="http://schemas.openxmlformats.org/officeDocument/2006/relationships/hyperlink" Target="https://via.placeholder.com/300x650.png/007788?text=Smartphone+eos" TargetMode="External"/><Relationship Id="rId531" Type="http://schemas.openxmlformats.org/officeDocument/2006/relationships/hyperlink" Target="https://via.placeholder.com/300x650.png/00bb66?text=Smartphone+ut" TargetMode="External"/><Relationship Id="rId773" Type="http://schemas.openxmlformats.org/officeDocument/2006/relationships/hyperlink" Target="https://via.placeholder.com/300x650.png/00bb00?text=Smartphone+optio" TargetMode="External"/><Relationship Id="rId530" Type="http://schemas.openxmlformats.org/officeDocument/2006/relationships/hyperlink" Target="https://via.placeholder.com/300x650.png/00bbbb?text=Smartphone+porro" TargetMode="External"/><Relationship Id="rId772" Type="http://schemas.openxmlformats.org/officeDocument/2006/relationships/hyperlink" Target="https://via.placeholder.com/300x650.png/001155?text=Smartphone+repellat" TargetMode="External"/><Relationship Id="rId771" Type="http://schemas.openxmlformats.org/officeDocument/2006/relationships/hyperlink" Target="https://via.placeholder.com/300x650.png/0066ee?text=Smartphone+magnam" TargetMode="External"/><Relationship Id="rId327" Type="http://schemas.openxmlformats.org/officeDocument/2006/relationships/hyperlink" Target="https://via.placeholder.com/300x650.png/00ff99?text=Smartphone+esse" TargetMode="External"/><Relationship Id="rId569" Type="http://schemas.openxmlformats.org/officeDocument/2006/relationships/hyperlink" Target="https://via.placeholder.com/300x650.png/00cc55?text=Smartphone+omnis" TargetMode="External"/><Relationship Id="rId326" Type="http://schemas.openxmlformats.org/officeDocument/2006/relationships/hyperlink" Target="https://via.placeholder.com/300x650.png/002211?text=Smartphone+dolorem" TargetMode="External"/><Relationship Id="rId568" Type="http://schemas.openxmlformats.org/officeDocument/2006/relationships/hyperlink" Target="https://via.placeholder.com/300x650.png/000033?text=Smartphone+eligendi" TargetMode="External"/><Relationship Id="rId325" Type="http://schemas.openxmlformats.org/officeDocument/2006/relationships/hyperlink" Target="https://via.placeholder.com/300x650.png/000088?text=Smartphone+sed" TargetMode="External"/><Relationship Id="rId567" Type="http://schemas.openxmlformats.org/officeDocument/2006/relationships/hyperlink" Target="https://via.placeholder.com/300x650.png/000066?text=Smartphone+aliquid" TargetMode="External"/><Relationship Id="rId324" Type="http://schemas.openxmlformats.org/officeDocument/2006/relationships/hyperlink" Target="https://via.placeholder.com/300x650.png/001155?text=Smartphone+delectus" TargetMode="External"/><Relationship Id="rId566" Type="http://schemas.openxmlformats.org/officeDocument/2006/relationships/hyperlink" Target="https://via.placeholder.com/300x650.png/003333?text=Smartphone+reprehenderit" TargetMode="External"/><Relationship Id="rId329" Type="http://schemas.openxmlformats.org/officeDocument/2006/relationships/hyperlink" Target="https://via.placeholder.com/300x650.png/00bbaa?text=Smartphone+perspiciatis" TargetMode="External"/><Relationship Id="rId328" Type="http://schemas.openxmlformats.org/officeDocument/2006/relationships/hyperlink" Target="https://via.placeholder.com/300x650.png/00bbff?text=Smartphone+consectetur" TargetMode="External"/><Relationship Id="rId561" Type="http://schemas.openxmlformats.org/officeDocument/2006/relationships/hyperlink" Target="https://via.placeholder.com/300x650.png/0033dd?text=Smartphone+sit" TargetMode="External"/><Relationship Id="rId560" Type="http://schemas.openxmlformats.org/officeDocument/2006/relationships/hyperlink" Target="https://via.placeholder.com/300x650.png/0099ff?text=Smartphone+amet" TargetMode="External"/><Relationship Id="rId323" Type="http://schemas.openxmlformats.org/officeDocument/2006/relationships/hyperlink" Target="https://via.placeholder.com/300x650.png/007799?text=Smartphone+mollitia" TargetMode="External"/><Relationship Id="rId565" Type="http://schemas.openxmlformats.org/officeDocument/2006/relationships/hyperlink" Target="https://via.placeholder.com/300x650.png/00ffaa?text=Smartphone+modi" TargetMode="External"/><Relationship Id="rId322" Type="http://schemas.openxmlformats.org/officeDocument/2006/relationships/hyperlink" Target="https://via.placeholder.com/300x650.png/0055bb?text=Smartphone+illo" TargetMode="External"/><Relationship Id="rId564" Type="http://schemas.openxmlformats.org/officeDocument/2006/relationships/hyperlink" Target="https://via.placeholder.com/300x650.png/0066ee?text=Smartphone+cupiditate" TargetMode="External"/><Relationship Id="rId321" Type="http://schemas.openxmlformats.org/officeDocument/2006/relationships/hyperlink" Target="https://via.placeholder.com/300x650.png/003333?text=Smartphone+eaque" TargetMode="External"/><Relationship Id="rId563" Type="http://schemas.openxmlformats.org/officeDocument/2006/relationships/hyperlink" Target="https://via.placeholder.com/300x650.png/00ccaa?text=Smartphone+ratione" TargetMode="External"/><Relationship Id="rId320" Type="http://schemas.openxmlformats.org/officeDocument/2006/relationships/hyperlink" Target="https://via.placeholder.com/300x650.png/00aaaa?text=Smartphone+itaque" TargetMode="External"/><Relationship Id="rId562" Type="http://schemas.openxmlformats.org/officeDocument/2006/relationships/hyperlink" Target="https://via.placeholder.com/300x650.png/0077dd?text=Smartphone+iste" TargetMode="External"/><Relationship Id="rId316" Type="http://schemas.openxmlformats.org/officeDocument/2006/relationships/hyperlink" Target="https://via.placeholder.com/300x650.png/00ffcc?text=Smartphone+animi" TargetMode="External"/><Relationship Id="rId558" Type="http://schemas.openxmlformats.org/officeDocument/2006/relationships/hyperlink" Target="https://via.placeholder.com/300x650.png/00ccee?text=Smartphone+commodi" TargetMode="External"/><Relationship Id="rId315" Type="http://schemas.openxmlformats.org/officeDocument/2006/relationships/hyperlink" Target="https://via.placeholder.com/300x650.png/006622?text=Smartphone+velit" TargetMode="External"/><Relationship Id="rId557" Type="http://schemas.openxmlformats.org/officeDocument/2006/relationships/hyperlink" Target="https://via.placeholder.com/300x650.png/00ffee?text=Smartphone+laboriosam" TargetMode="External"/><Relationship Id="rId799" Type="http://schemas.openxmlformats.org/officeDocument/2006/relationships/hyperlink" Target="https://via.placeholder.com/300x650.png/0044ee?text=Smartphone+et" TargetMode="External"/><Relationship Id="rId314" Type="http://schemas.openxmlformats.org/officeDocument/2006/relationships/hyperlink" Target="https://via.placeholder.com/300x650.png/005533?text=Smartphone+voluptatem" TargetMode="External"/><Relationship Id="rId556" Type="http://schemas.openxmlformats.org/officeDocument/2006/relationships/hyperlink" Target="https://via.placeholder.com/300x650.png/004455?text=Smartphone+molestiae" TargetMode="External"/><Relationship Id="rId798" Type="http://schemas.openxmlformats.org/officeDocument/2006/relationships/hyperlink" Target="https://via.placeholder.com/300x650.png/0099ee?text=Smartphone+ut" TargetMode="External"/><Relationship Id="rId313" Type="http://schemas.openxmlformats.org/officeDocument/2006/relationships/hyperlink" Target="https://via.placeholder.com/300x650.png/00cc55?text=Smartphone+temporibus" TargetMode="External"/><Relationship Id="rId555" Type="http://schemas.openxmlformats.org/officeDocument/2006/relationships/hyperlink" Target="https://via.placeholder.com/300x650.png/008800?text=Smartphone+eaque" TargetMode="External"/><Relationship Id="rId797" Type="http://schemas.openxmlformats.org/officeDocument/2006/relationships/hyperlink" Target="https://via.placeholder.com/300x650.png/0022ee?text=Smartphone+quis" TargetMode="External"/><Relationship Id="rId319" Type="http://schemas.openxmlformats.org/officeDocument/2006/relationships/hyperlink" Target="https://via.placeholder.com/300x650.png/0066bb?text=Smartphone+odio" TargetMode="External"/><Relationship Id="rId318" Type="http://schemas.openxmlformats.org/officeDocument/2006/relationships/hyperlink" Target="https://via.placeholder.com/300x650.png/00ff99?text=Smartphone+possimus" TargetMode="External"/><Relationship Id="rId317" Type="http://schemas.openxmlformats.org/officeDocument/2006/relationships/hyperlink" Target="https://via.placeholder.com/300x650.png/00ccee?text=Smartphone+nostrum" TargetMode="External"/><Relationship Id="rId559" Type="http://schemas.openxmlformats.org/officeDocument/2006/relationships/hyperlink" Target="https://via.placeholder.com/300x650.png/009999?text=Smartphone+non" TargetMode="External"/><Relationship Id="rId550" Type="http://schemas.openxmlformats.org/officeDocument/2006/relationships/hyperlink" Target="https://via.placeholder.com/300x650.png/0022bb?text=Smartphone+odit" TargetMode="External"/><Relationship Id="rId792" Type="http://schemas.openxmlformats.org/officeDocument/2006/relationships/hyperlink" Target="https://via.placeholder.com/300x650.png/00ff77?text=Smartphone+corporis" TargetMode="External"/><Relationship Id="rId791" Type="http://schemas.openxmlformats.org/officeDocument/2006/relationships/hyperlink" Target="https://via.placeholder.com/300x650.png/001111?text=Smartphone+facilis" TargetMode="External"/><Relationship Id="rId790" Type="http://schemas.openxmlformats.org/officeDocument/2006/relationships/hyperlink" Target="https://via.placeholder.com/300x650.png/005566?text=Smartphone+ipsum" TargetMode="External"/><Relationship Id="rId312" Type="http://schemas.openxmlformats.org/officeDocument/2006/relationships/hyperlink" Target="https://via.placeholder.com/300x650.png/00aa11?text=Smartphone+non" TargetMode="External"/><Relationship Id="rId554" Type="http://schemas.openxmlformats.org/officeDocument/2006/relationships/hyperlink" Target="https://via.placeholder.com/300x650.png/0033ff?text=Smartphone+consequatur" TargetMode="External"/><Relationship Id="rId796" Type="http://schemas.openxmlformats.org/officeDocument/2006/relationships/hyperlink" Target="https://via.placeholder.com/300x650.png/00ccdd?text=Smartphone+nostrum" TargetMode="External"/><Relationship Id="rId311" Type="http://schemas.openxmlformats.org/officeDocument/2006/relationships/hyperlink" Target="https://via.placeholder.com/300x650.png/007799?text=Smartphone+aut" TargetMode="External"/><Relationship Id="rId553" Type="http://schemas.openxmlformats.org/officeDocument/2006/relationships/hyperlink" Target="https://via.placeholder.com/300x650.png/0077bb?text=Smartphone+iusto" TargetMode="External"/><Relationship Id="rId795" Type="http://schemas.openxmlformats.org/officeDocument/2006/relationships/hyperlink" Target="https://via.placeholder.com/300x650.png/0011bb?text=Smartphone+sunt" TargetMode="External"/><Relationship Id="rId310" Type="http://schemas.openxmlformats.org/officeDocument/2006/relationships/hyperlink" Target="https://via.placeholder.com/300x650.png/00dd44?text=Smartphone+quaerat" TargetMode="External"/><Relationship Id="rId552" Type="http://schemas.openxmlformats.org/officeDocument/2006/relationships/hyperlink" Target="https://via.placeholder.com/300x650.png/0033cc?text=Smartphone+ut" TargetMode="External"/><Relationship Id="rId794" Type="http://schemas.openxmlformats.org/officeDocument/2006/relationships/hyperlink" Target="https://via.placeholder.com/300x650.png/00bbdd?text=Smartphone+ea" TargetMode="External"/><Relationship Id="rId551" Type="http://schemas.openxmlformats.org/officeDocument/2006/relationships/hyperlink" Target="https://via.placeholder.com/300x650.png/00bb22?text=Smartphone+quasi" TargetMode="External"/><Relationship Id="rId793" Type="http://schemas.openxmlformats.org/officeDocument/2006/relationships/hyperlink" Target="https://via.placeholder.com/300x650.png/008899?text=Smartphone+temporibus" TargetMode="External"/><Relationship Id="rId297" Type="http://schemas.openxmlformats.org/officeDocument/2006/relationships/hyperlink" Target="https://via.placeholder.com/300x650.png/00ff88?text=Smartphone+qui" TargetMode="External"/><Relationship Id="rId296" Type="http://schemas.openxmlformats.org/officeDocument/2006/relationships/hyperlink" Target="https://via.placeholder.com/300x650.png/0077ff?text=Smartphone+vero" TargetMode="External"/><Relationship Id="rId295" Type="http://schemas.openxmlformats.org/officeDocument/2006/relationships/hyperlink" Target="https://via.placeholder.com/300x650.png/00aabb?text=Smartphone+dolorum" TargetMode="External"/><Relationship Id="rId294" Type="http://schemas.openxmlformats.org/officeDocument/2006/relationships/hyperlink" Target="https://via.placeholder.com/300x650.png/009933?text=Smartphone+eos" TargetMode="External"/><Relationship Id="rId299" Type="http://schemas.openxmlformats.org/officeDocument/2006/relationships/hyperlink" Target="https://via.placeholder.com/300x650.png/001199?text=Smartphone+est" TargetMode="External"/><Relationship Id="rId298" Type="http://schemas.openxmlformats.org/officeDocument/2006/relationships/hyperlink" Target="https://via.placeholder.com/300x650.png/005522?text=Smartphone+occaecati" TargetMode="External"/><Relationship Id="rId271" Type="http://schemas.openxmlformats.org/officeDocument/2006/relationships/hyperlink" Target="https://via.placeholder.com/300x650.png/000000?text=Smartphone+aut" TargetMode="External"/><Relationship Id="rId270" Type="http://schemas.openxmlformats.org/officeDocument/2006/relationships/hyperlink" Target="https://via.placeholder.com/300x650.png/0066cc?text=Smartphone+rerum" TargetMode="External"/><Relationship Id="rId269" Type="http://schemas.openxmlformats.org/officeDocument/2006/relationships/hyperlink" Target="https://via.placeholder.com/300x650.png/00bb88?text=Smartphone+reprehenderit" TargetMode="External"/><Relationship Id="rId264" Type="http://schemas.openxmlformats.org/officeDocument/2006/relationships/hyperlink" Target="https://via.placeholder.com/300x650.png/000099?text=Smartphone+et" TargetMode="External"/><Relationship Id="rId263" Type="http://schemas.openxmlformats.org/officeDocument/2006/relationships/hyperlink" Target="https://via.placeholder.com/300x650.png/000055?text=Smartphone+distinctio" TargetMode="External"/><Relationship Id="rId262" Type="http://schemas.openxmlformats.org/officeDocument/2006/relationships/hyperlink" Target="https://via.placeholder.com/300x650.png/00ffcc?text=Smartphone+quisquam" TargetMode="External"/><Relationship Id="rId261" Type="http://schemas.openxmlformats.org/officeDocument/2006/relationships/hyperlink" Target="https://via.placeholder.com/300x650.png/009922?text=Smartphone+dolor" TargetMode="External"/><Relationship Id="rId268" Type="http://schemas.openxmlformats.org/officeDocument/2006/relationships/hyperlink" Target="https://via.placeholder.com/300x650.png/009944?text=Smartphone+adipisci" TargetMode="External"/><Relationship Id="rId267" Type="http://schemas.openxmlformats.org/officeDocument/2006/relationships/hyperlink" Target="https://via.placeholder.com/300x650.png/006611?text=Smartphone+et" TargetMode="External"/><Relationship Id="rId266" Type="http://schemas.openxmlformats.org/officeDocument/2006/relationships/hyperlink" Target="https://via.placeholder.com/300x650.png/0011aa?text=Smartphone+voluptas" TargetMode="External"/><Relationship Id="rId265" Type="http://schemas.openxmlformats.org/officeDocument/2006/relationships/hyperlink" Target="https://via.placeholder.com/300x650.png/0088cc?text=Smartphone+explicabo" TargetMode="External"/><Relationship Id="rId260" Type="http://schemas.openxmlformats.org/officeDocument/2006/relationships/hyperlink" Target="https://via.placeholder.com/300x650.png/008822?text=Smartphone+eligendi" TargetMode="External"/><Relationship Id="rId259" Type="http://schemas.openxmlformats.org/officeDocument/2006/relationships/hyperlink" Target="https://via.placeholder.com/300x650.png/001188?text=Smartphone+aliquam" TargetMode="External"/><Relationship Id="rId258" Type="http://schemas.openxmlformats.org/officeDocument/2006/relationships/hyperlink" Target="https://via.placeholder.com/300x650.png/00bbbb?text=Smartphone+in" TargetMode="External"/><Relationship Id="rId253" Type="http://schemas.openxmlformats.org/officeDocument/2006/relationships/hyperlink" Target="https://via.placeholder.com/300x650.png/003388?text=Smartphone+doloribus" TargetMode="External"/><Relationship Id="rId495" Type="http://schemas.openxmlformats.org/officeDocument/2006/relationships/hyperlink" Target="https://via.placeholder.com/300x650.png/0066dd?text=Smartphone+modi" TargetMode="External"/><Relationship Id="rId252" Type="http://schemas.openxmlformats.org/officeDocument/2006/relationships/hyperlink" Target="https://via.placeholder.com/300x650.png/00aa66?text=Smartphone+inventore" TargetMode="External"/><Relationship Id="rId494" Type="http://schemas.openxmlformats.org/officeDocument/2006/relationships/hyperlink" Target="https://via.placeholder.com/300x650.png/006677?text=Smartphone+sequi" TargetMode="External"/><Relationship Id="rId251" Type="http://schemas.openxmlformats.org/officeDocument/2006/relationships/hyperlink" Target="https://via.placeholder.com/300x650.png/00dd00?text=Smartphone+quis" TargetMode="External"/><Relationship Id="rId493" Type="http://schemas.openxmlformats.org/officeDocument/2006/relationships/hyperlink" Target="https://via.placeholder.com/300x650.png/00ee55?text=Smartphone+ratione" TargetMode="External"/><Relationship Id="rId250" Type="http://schemas.openxmlformats.org/officeDocument/2006/relationships/hyperlink" Target="https://via.placeholder.com/300x650.png/00bb66?text=Smartphone+voluptatem" TargetMode="External"/><Relationship Id="rId492" Type="http://schemas.openxmlformats.org/officeDocument/2006/relationships/hyperlink" Target="https://via.placeholder.com/300x650.png/00aa22?text=Smartphone+delectus" TargetMode="External"/><Relationship Id="rId257" Type="http://schemas.openxmlformats.org/officeDocument/2006/relationships/hyperlink" Target="https://via.placeholder.com/300x650.png/006688?text=Smartphone+dolor" TargetMode="External"/><Relationship Id="rId499" Type="http://schemas.openxmlformats.org/officeDocument/2006/relationships/hyperlink" Target="https://via.placeholder.com/300x650.png/001122?text=Smartphone+officia" TargetMode="External"/><Relationship Id="rId256" Type="http://schemas.openxmlformats.org/officeDocument/2006/relationships/hyperlink" Target="https://via.placeholder.com/300x650.png/007799?text=Smartphone+quia" TargetMode="External"/><Relationship Id="rId498" Type="http://schemas.openxmlformats.org/officeDocument/2006/relationships/hyperlink" Target="https://via.placeholder.com/300x650.png/0055dd?text=Smartphone+voluptate" TargetMode="External"/><Relationship Id="rId255" Type="http://schemas.openxmlformats.org/officeDocument/2006/relationships/hyperlink" Target="https://via.placeholder.com/300x650.png/00cccc?text=Smartphone+minima" TargetMode="External"/><Relationship Id="rId497" Type="http://schemas.openxmlformats.org/officeDocument/2006/relationships/hyperlink" Target="https://via.placeholder.com/300x650.png/001177?text=Smartphone+consequatur" TargetMode="External"/><Relationship Id="rId254" Type="http://schemas.openxmlformats.org/officeDocument/2006/relationships/hyperlink" Target="https://via.placeholder.com/300x650.png/001166?text=Smartphone+iusto" TargetMode="External"/><Relationship Id="rId496" Type="http://schemas.openxmlformats.org/officeDocument/2006/relationships/hyperlink" Target="https://via.placeholder.com/300x650.png/00dd99?text=Smartphone+aut" TargetMode="External"/><Relationship Id="rId293" Type="http://schemas.openxmlformats.org/officeDocument/2006/relationships/hyperlink" Target="https://via.placeholder.com/300x650.png/00ff33?text=Smartphone+accusamus" TargetMode="External"/><Relationship Id="rId292" Type="http://schemas.openxmlformats.org/officeDocument/2006/relationships/hyperlink" Target="https://via.placeholder.com/300x650.png/008899?text=Smartphone+doloremque" TargetMode="External"/><Relationship Id="rId291" Type="http://schemas.openxmlformats.org/officeDocument/2006/relationships/hyperlink" Target="https://via.placeholder.com/300x650.png/001166?text=Smartphone+voluptas" TargetMode="External"/><Relationship Id="rId290" Type="http://schemas.openxmlformats.org/officeDocument/2006/relationships/hyperlink" Target="https://via.placeholder.com/300x650.png/00ff77?text=Smartphone+eum" TargetMode="External"/><Relationship Id="rId286" Type="http://schemas.openxmlformats.org/officeDocument/2006/relationships/hyperlink" Target="https://via.placeholder.com/300x650.png/007733?text=Smartphone+facere" TargetMode="External"/><Relationship Id="rId285" Type="http://schemas.openxmlformats.org/officeDocument/2006/relationships/hyperlink" Target="https://via.placeholder.com/300x650.png/00ccbb?text=Smartphone+enim" TargetMode="External"/><Relationship Id="rId284" Type="http://schemas.openxmlformats.org/officeDocument/2006/relationships/hyperlink" Target="https://via.placeholder.com/300x650.png/00aa33?text=Smartphone+explicabo" TargetMode="External"/><Relationship Id="rId283" Type="http://schemas.openxmlformats.org/officeDocument/2006/relationships/hyperlink" Target="https://via.placeholder.com/300x650.png/003366?text=Smartphone+illo" TargetMode="External"/><Relationship Id="rId289" Type="http://schemas.openxmlformats.org/officeDocument/2006/relationships/hyperlink" Target="https://via.placeholder.com/300x650.png/00aa66?text=Smartphone+tempore" TargetMode="External"/><Relationship Id="rId288" Type="http://schemas.openxmlformats.org/officeDocument/2006/relationships/hyperlink" Target="https://via.placeholder.com/300x650.png/0000aa?text=Smartphone+et" TargetMode="External"/><Relationship Id="rId287" Type="http://schemas.openxmlformats.org/officeDocument/2006/relationships/hyperlink" Target="https://via.placeholder.com/300x650.png/006611?text=Smartphone+assumenda" TargetMode="External"/><Relationship Id="rId282" Type="http://schemas.openxmlformats.org/officeDocument/2006/relationships/hyperlink" Target="https://via.placeholder.com/300x650.png/0033ee?text=Smartphone+error" TargetMode="External"/><Relationship Id="rId281" Type="http://schemas.openxmlformats.org/officeDocument/2006/relationships/hyperlink" Target="https://via.placeholder.com/300x650.png/002222?text=Smartphone+optio" TargetMode="External"/><Relationship Id="rId280" Type="http://schemas.openxmlformats.org/officeDocument/2006/relationships/hyperlink" Target="https://via.placeholder.com/300x650.png/00aa66?text=Smartphone+eos" TargetMode="External"/><Relationship Id="rId275" Type="http://schemas.openxmlformats.org/officeDocument/2006/relationships/hyperlink" Target="https://via.placeholder.com/300x650.png/00eedd?text=Smartphone+debitis" TargetMode="External"/><Relationship Id="rId274" Type="http://schemas.openxmlformats.org/officeDocument/2006/relationships/hyperlink" Target="https://via.placeholder.com/300x650.png/002299?text=Smartphone+soluta" TargetMode="External"/><Relationship Id="rId273" Type="http://schemas.openxmlformats.org/officeDocument/2006/relationships/hyperlink" Target="https://via.placeholder.com/300x650.png/008866?text=Smartphone+magnam" TargetMode="External"/><Relationship Id="rId272" Type="http://schemas.openxmlformats.org/officeDocument/2006/relationships/hyperlink" Target="https://via.placeholder.com/300x650.png/0055ee?text=Smartphone+expedita" TargetMode="External"/><Relationship Id="rId279" Type="http://schemas.openxmlformats.org/officeDocument/2006/relationships/hyperlink" Target="https://via.placeholder.com/300x650.png/0000cc?text=Smartphone+recusandae" TargetMode="External"/><Relationship Id="rId278" Type="http://schemas.openxmlformats.org/officeDocument/2006/relationships/hyperlink" Target="https://via.placeholder.com/300x650.png/00aaee?text=Smartphone+voluptate" TargetMode="External"/><Relationship Id="rId277" Type="http://schemas.openxmlformats.org/officeDocument/2006/relationships/hyperlink" Target="https://via.placeholder.com/300x650.png/0099dd?text=Smartphone+voluptatibus" TargetMode="External"/><Relationship Id="rId276" Type="http://schemas.openxmlformats.org/officeDocument/2006/relationships/hyperlink" Target="https://via.placeholder.com/300x650.png/004433?text=Smartphone+sequi" TargetMode="External"/><Relationship Id="rId907" Type="http://schemas.openxmlformats.org/officeDocument/2006/relationships/hyperlink" Target="https://via.placeholder.com/300x650.png/00dddd?text=Smartphone+repellat" TargetMode="External"/><Relationship Id="rId906" Type="http://schemas.openxmlformats.org/officeDocument/2006/relationships/hyperlink" Target="https://via.placeholder.com/300x650.png/00cc88?text=Smartphone+cum" TargetMode="External"/><Relationship Id="rId905" Type="http://schemas.openxmlformats.org/officeDocument/2006/relationships/hyperlink" Target="https://via.placeholder.com/300x650.png/00aaaa?text=Smartphone+quia" TargetMode="External"/><Relationship Id="rId904" Type="http://schemas.openxmlformats.org/officeDocument/2006/relationships/hyperlink" Target="https://via.placeholder.com/300x650.png/008855?text=Smartphone+quae" TargetMode="External"/><Relationship Id="rId909" Type="http://schemas.openxmlformats.org/officeDocument/2006/relationships/hyperlink" Target="https://via.placeholder.com/300x650.png/00ee11?text=Smartphone+molestiae" TargetMode="External"/><Relationship Id="rId908" Type="http://schemas.openxmlformats.org/officeDocument/2006/relationships/hyperlink" Target="https://via.placeholder.com/300x650.png/00ff11?text=Smartphone+ea" TargetMode="External"/><Relationship Id="rId903" Type="http://schemas.openxmlformats.org/officeDocument/2006/relationships/hyperlink" Target="https://via.placeholder.com/300x650.png/003311?text=Smartphone+ipsa" TargetMode="External"/><Relationship Id="rId902" Type="http://schemas.openxmlformats.org/officeDocument/2006/relationships/hyperlink" Target="https://via.placeholder.com/300x650.png/003399?text=Smartphone+in" TargetMode="External"/><Relationship Id="rId901" Type="http://schemas.openxmlformats.org/officeDocument/2006/relationships/hyperlink" Target="https://via.placeholder.com/300x650.png/00aa77?text=Smartphone+eos" TargetMode="External"/><Relationship Id="rId900" Type="http://schemas.openxmlformats.org/officeDocument/2006/relationships/hyperlink" Target="https://via.placeholder.com/300x650.png/00cc11?text=Smartphone+non" TargetMode="External"/><Relationship Id="rId929" Type="http://schemas.openxmlformats.org/officeDocument/2006/relationships/hyperlink" Target="https://via.placeholder.com/300x650.png/00ccbb?text=Smartphone+minima" TargetMode="External"/><Relationship Id="rId928" Type="http://schemas.openxmlformats.org/officeDocument/2006/relationships/hyperlink" Target="https://via.placeholder.com/300x650.png/00ddff?text=Smartphone+fugit" TargetMode="External"/><Relationship Id="rId927" Type="http://schemas.openxmlformats.org/officeDocument/2006/relationships/hyperlink" Target="https://via.placeholder.com/300x650.png/000044?text=Smartphone+laborum" TargetMode="External"/><Relationship Id="rId926" Type="http://schemas.openxmlformats.org/officeDocument/2006/relationships/hyperlink" Target="https://via.placeholder.com/300x650.png/005599?text=Smartphone+dolore" TargetMode="External"/><Relationship Id="rId921" Type="http://schemas.openxmlformats.org/officeDocument/2006/relationships/hyperlink" Target="https://via.placeholder.com/300x650.png/007700?text=Smartphone+molestiae" TargetMode="External"/><Relationship Id="rId920" Type="http://schemas.openxmlformats.org/officeDocument/2006/relationships/hyperlink" Target="https://via.placeholder.com/300x650.png/00ee44?text=Smartphone+eveniet" TargetMode="External"/><Relationship Id="rId925" Type="http://schemas.openxmlformats.org/officeDocument/2006/relationships/hyperlink" Target="https://via.placeholder.com/300x650.png/0000aa?text=Smartphone+ab" TargetMode="External"/><Relationship Id="rId924" Type="http://schemas.openxmlformats.org/officeDocument/2006/relationships/hyperlink" Target="https://via.placeholder.com/300x650.png/008855?text=Smartphone+et" TargetMode="External"/><Relationship Id="rId923" Type="http://schemas.openxmlformats.org/officeDocument/2006/relationships/hyperlink" Target="https://via.placeholder.com/300x650.png/003399?text=Smartphone+provident" TargetMode="External"/><Relationship Id="rId922" Type="http://schemas.openxmlformats.org/officeDocument/2006/relationships/hyperlink" Target="https://via.placeholder.com/300x650.png/00ccff?text=Smartphone+qui" TargetMode="External"/><Relationship Id="rId918" Type="http://schemas.openxmlformats.org/officeDocument/2006/relationships/hyperlink" Target="https://via.placeholder.com/300x650.png/00ee77?text=Smartphone+dolorem" TargetMode="External"/><Relationship Id="rId917" Type="http://schemas.openxmlformats.org/officeDocument/2006/relationships/hyperlink" Target="https://via.placeholder.com/300x650.png/00ff88?text=Smartphone+rerum" TargetMode="External"/><Relationship Id="rId916" Type="http://schemas.openxmlformats.org/officeDocument/2006/relationships/hyperlink" Target="https://via.placeholder.com/300x650.png/0066dd?text=Smartphone+ea" TargetMode="External"/><Relationship Id="rId915" Type="http://schemas.openxmlformats.org/officeDocument/2006/relationships/hyperlink" Target="https://via.placeholder.com/300x650.png/0033ff?text=Smartphone+saepe" TargetMode="External"/><Relationship Id="rId919" Type="http://schemas.openxmlformats.org/officeDocument/2006/relationships/hyperlink" Target="https://via.placeholder.com/300x650.png/009933?text=Smartphone+illo" TargetMode="External"/><Relationship Id="rId910" Type="http://schemas.openxmlformats.org/officeDocument/2006/relationships/hyperlink" Target="https://via.placeholder.com/300x650.png/0044dd?text=Smartphone+provident" TargetMode="External"/><Relationship Id="rId914" Type="http://schemas.openxmlformats.org/officeDocument/2006/relationships/hyperlink" Target="https://via.placeholder.com/300x650.png/006666?text=Smartphone+odit" TargetMode="External"/><Relationship Id="rId913" Type="http://schemas.openxmlformats.org/officeDocument/2006/relationships/hyperlink" Target="https://via.placeholder.com/300x650.png/000000?text=Smartphone+recusandae" TargetMode="External"/><Relationship Id="rId912" Type="http://schemas.openxmlformats.org/officeDocument/2006/relationships/hyperlink" Target="https://via.placeholder.com/300x650.png/00aa00?text=Smartphone+est" TargetMode="External"/><Relationship Id="rId911" Type="http://schemas.openxmlformats.org/officeDocument/2006/relationships/hyperlink" Target="https://via.placeholder.com/300x650.png/007788?text=Smartphone+commodi" TargetMode="External"/><Relationship Id="rId629" Type="http://schemas.openxmlformats.org/officeDocument/2006/relationships/hyperlink" Target="https://via.placeholder.com/300x650.png/001111?text=Smartphone+eum" TargetMode="External"/><Relationship Id="rId624" Type="http://schemas.openxmlformats.org/officeDocument/2006/relationships/hyperlink" Target="https://via.placeholder.com/300x650.png/005500?text=Smartphone+aut" TargetMode="External"/><Relationship Id="rId866" Type="http://schemas.openxmlformats.org/officeDocument/2006/relationships/hyperlink" Target="https://via.placeholder.com/300x650.png/00aa22?text=Smartphone+incidunt" TargetMode="External"/><Relationship Id="rId623" Type="http://schemas.openxmlformats.org/officeDocument/2006/relationships/hyperlink" Target="https://via.placeholder.com/300x650.png/0077ff?text=Smartphone+similique" TargetMode="External"/><Relationship Id="rId865" Type="http://schemas.openxmlformats.org/officeDocument/2006/relationships/hyperlink" Target="https://via.placeholder.com/300x650.png/0055cc?text=Smartphone+aut" TargetMode="External"/><Relationship Id="rId622" Type="http://schemas.openxmlformats.org/officeDocument/2006/relationships/hyperlink" Target="https://via.placeholder.com/300x650.png/008811?text=Smartphone+sit" TargetMode="External"/><Relationship Id="rId864" Type="http://schemas.openxmlformats.org/officeDocument/2006/relationships/hyperlink" Target="https://via.placeholder.com/300x650.png/00dddd?text=Smartphone+eaque" TargetMode="External"/><Relationship Id="rId621" Type="http://schemas.openxmlformats.org/officeDocument/2006/relationships/hyperlink" Target="https://via.placeholder.com/300x650.png/000077?text=Smartphone+id" TargetMode="External"/><Relationship Id="rId863" Type="http://schemas.openxmlformats.org/officeDocument/2006/relationships/hyperlink" Target="https://via.placeholder.com/300x650.png/0099dd?text=Smartphone+voluptas" TargetMode="External"/><Relationship Id="rId628" Type="http://schemas.openxmlformats.org/officeDocument/2006/relationships/hyperlink" Target="https://via.placeholder.com/300x650.png/003333?text=Smartphone+nam" TargetMode="External"/><Relationship Id="rId627" Type="http://schemas.openxmlformats.org/officeDocument/2006/relationships/hyperlink" Target="https://via.placeholder.com/300x650.png/00cc11?text=Smartphone+dolor" TargetMode="External"/><Relationship Id="rId869" Type="http://schemas.openxmlformats.org/officeDocument/2006/relationships/hyperlink" Target="https://via.placeholder.com/300x650.png/00cccc?text=Smartphone+itaque" TargetMode="External"/><Relationship Id="rId626" Type="http://schemas.openxmlformats.org/officeDocument/2006/relationships/hyperlink" Target="https://via.placeholder.com/300x650.png/0099dd?text=Smartphone+quis" TargetMode="External"/><Relationship Id="rId868" Type="http://schemas.openxmlformats.org/officeDocument/2006/relationships/hyperlink" Target="https://via.placeholder.com/300x650.png/00ee66?text=Smartphone+voluptatem" TargetMode="External"/><Relationship Id="rId625" Type="http://schemas.openxmlformats.org/officeDocument/2006/relationships/hyperlink" Target="https://via.placeholder.com/300x650.png/001111?text=Smartphone+quo" TargetMode="External"/><Relationship Id="rId867" Type="http://schemas.openxmlformats.org/officeDocument/2006/relationships/hyperlink" Target="https://via.placeholder.com/300x650.png/00dd99?text=Smartphone+sit" TargetMode="External"/><Relationship Id="rId620" Type="http://schemas.openxmlformats.org/officeDocument/2006/relationships/hyperlink" Target="https://via.placeholder.com/300x650.png/00bb66?text=Smartphone+et" TargetMode="External"/><Relationship Id="rId862" Type="http://schemas.openxmlformats.org/officeDocument/2006/relationships/hyperlink" Target="https://via.placeholder.com/300x650.png/00bbbb?text=Smartphone+et" TargetMode="External"/><Relationship Id="rId861" Type="http://schemas.openxmlformats.org/officeDocument/2006/relationships/hyperlink" Target="https://via.placeholder.com/300x650.png/002200?text=Smartphone+qui" TargetMode="External"/><Relationship Id="rId860" Type="http://schemas.openxmlformats.org/officeDocument/2006/relationships/hyperlink" Target="https://via.placeholder.com/300x650.png/0044ff?text=Smartphone+animi" TargetMode="External"/><Relationship Id="rId619" Type="http://schemas.openxmlformats.org/officeDocument/2006/relationships/hyperlink" Target="https://via.placeholder.com/300x650.png/00ffff?text=Smartphone+totam" TargetMode="External"/><Relationship Id="rId618" Type="http://schemas.openxmlformats.org/officeDocument/2006/relationships/hyperlink" Target="https://via.placeholder.com/300x650.png/0088ee?text=Smartphone+recusandae" TargetMode="External"/><Relationship Id="rId613" Type="http://schemas.openxmlformats.org/officeDocument/2006/relationships/hyperlink" Target="https://via.placeholder.com/300x650.png/0000aa?text=Smartphone+amet" TargetMode="External"/><Relationship Id="rId855" Type="http://schemas.openxmlformats.org/officeDocument/2006/relationships/hyperlink" Target="https://via.placeholder.com/300x650.png/0066bb?text=Smartphone+sed" TargetMode="External"/><Relationship Id="rId612" Type="http://schemas.openxmlformats.org/officeDocument/2006/relationships/hyperlink" Target="https://via.placeholder.com/300x650.png/0044cc?text=Smartphone+maxime" TargetMode="External"/><Relationship Id="rId854" Type="http://schemas.openxmlformats.org/officeDocument/2006/relationships/hyperlink" Target="https://via.placeholder.com/300x650.png/0044ee?text=Smartphone+saepe" TargetMode="External"/><Relationship Id="rId611" Type="http://schemas.openxmlformats.org/officeDocument/2006/relationships/hyperlink" Target="https://via.placeholder.com/300x650.png/0088aa?text=Smartphone+non" TargetMode="External"/><Relationship Id="rId853" Type="http://schemas.openxmlformats.org/officeDocument/2006/relationships/hyperlink" Target="https://via.placeholder.com/300x650.png/00cccc?text=Smartphone+voluptates" TargetMode="External"/><Relationship Id="rId610" Type="http://schemas.openxmlformats.org/officeDocument/2006/relationships/hyperlink" Target="https://via.placeholder.com/300x650.png/003355?text=Smartphone+id" TargetMode="External"/><Relationship Id="rId852" Type="http://schemas.openxmlformats.org/officeDocument/2006/relationships/hyperlink" Target="https://via.placeholder.com/300x650.png/0022cc?text=Smartphone+laboriosam" TargetMode="External"/><Relationship Id="rId617" Type="http://schemas.openxmlformats.org/officeDocument/2006/relationships/hyperlink" Target="https://via.placeholder.com/300x650.png/00ee77?text=Smartphone+quidem" TargetMode="External"/><Relationship Id="rId859" Type="http://schemas.openxmlformats.org/officeDocument/2006/relationships/hyperlink" Target="https://via.placeholder.com/300x650.png/0099aa?text=Smartphone+ut" TargetMode="External"/><Relationship Id="rId616" Type="http://schemas.openxmlformats.org/officeDocument/2006/relationships/hyperlink" Target="https://via.placeholder.com/300x650.png/00aa33?text=Smartphone+eaque" TargetMode="External"/><Relationship Id="rId858" Type="http://schemas.openxmlformats.org/officeDocument/2006/relationships/hyperlink" Target="https://via.placeholder.com/300x650.png/0055dd?text=Smartphone+ut" TargetMode="External"/><Relationship Id="rId615" Type="http://schemas.openxmlformats.org/officeDocument/2006/relationships/hyperlink" Target="https://via.placeholder.com/300x650.png/00aa66?text=Smartphone+velit" TargetMode="External"/><Relationship Id="rId857" Type="http://schemas.openxmlformats.org/officeDocument/2006/relationships/hyperlink" Target="https://via.placeholder.com/300x650.png/001133?text=Smartphone+eveniet" TargetMode="External"/><Relationship Id="rId614" Type="http://schemas.openxmlformats.org/officeDocument/2006/relationships/hyperlink" Target="https://via.placeholder.com/300x650.png/00ee99?text=Smartphone+est" TargetMode="External"/><Relationship Id="rId856" Type="http://schemas.openxmlformats.org/officeDocument/2006/relationships/hyperlink" Target="https://via.placeholder.com/300x650.png/004411?text=Smartphone+amet" TargetMode="External"/><Relationship Id="rId851" Type="http://schemas.openxmlformats.org/officeDocument/2006/relationships/hyperlink" Target="https://via.placeholder.com/300x650.png/001144?text=Smartphone+itaque" TargetMode="External"/><Relationship Id="rId850" Type="http://schemas.openxmlformats.org/officeDocument/2006/relationships/hyperlink" Target="https://via.placeholder.com/300x650.png/0033dd?text=Smartphone+expedita" TargetMode="External"/><Relationship Id="rId409" Type="http://schemas.openxmlformats.org/officeDocument/2006/relationships/hyperlink" Target="https://via.placeholder.com/300x650.png/002222?text=Smartphone+tempore" TargetMode="External"/><Relationship Id="rId404" Type="http://schemas.openxmlformats.org/officeDocument/2006/relationships/hyperlink" Target="https://via.placeholder.com/300x650.png/0033aa?text=Smartphone+minus" TargetMode="External"/><Relationship Id="rId646" Type="http://schemas.openxmlformats.org/officeDocument/2006/relationships/hyperlink" Target="https://via.placeholder.com/300x650.png/00aa66?text=Smartphone+voluptas" TargetMode="External"/><Relationship Id="rId888" Type="http://schemas.openxmlformats.org/officeDocument/2006/relationships/hyperlink" Target="https://via.placeholder.com/300x650.png/00aaaa?text=Smartphone+et" TargetMode="External"/><Relationship Id="rId403" Type="http://schemas.openxmlformats.org/officeDocument/2006/relationships/hyperlink" Target="https://via.placeholder.com/300x650.png/00bb88?text=Smartphone+error" TargetMode="External"/><Relationship Id="rId645" Type="http://schemas.openxmlformats.org/officeDocument/2006/relationships/hyperlink" Target="https://via.placeholder.com/300x650.png/005599?text=Smartphone+numquam" TargetMode="External"/><Relationship Id="rId887" Type="http://schemas.openxmlformats.org/officeDocument/2006/relationships/hyperlink" Target="https://via.placeholder.com/300x650.png/00dd44?text=Smartphone+repudiandae" TargetMode="External"/><Relationship Id="rId402" Type="http://schemas.openxmlformats.org/officeDocument/2006/relationships/hyperlink" Target="https://via.placeholder.com/300x650.png/00dd33?text=Smartphone+deserunt" TargetMode="External"/><Relationship Id="rId644" Type="http://schemas.openxmlformats.org/officeDocument/2006/relationships/hyperlink" Target="https://via.placeholder.com/300x650.png/0022ee?text=Smartphone+quas" TargetMode="External"/><Relationship Id="rId886" Type="http://schemas.openxmlformats.org/officeDocument/2006/relationships/hyperlink" Target="https://via.placeholder.com/300x650.png/00eedd?text=Smartphone+a" TargetMode="External"/><Relationship Id="rId401" Type="http://schemas.openxmlformats.org/officeDocument/2006/relationships/hyperlink" Target="https://via.placeholder.com/300x650.png/00eeaa?text=Smartphone+et" TargetMode="External"/><Relationship Id="rId643" Type="http://schemas.openxmlformats.org/officeDocument/2006/relationships/hyperlink" Target="https://via.placeholder.com/300x650.png/006633?text=Smartphone+consequatur" TargetMode="External"/><Relationship Id="rId885" Type="http://schemas.openxmlformats.org/officeDocument/2006/relationships/hyperlink" Target="https://via.placeholder.com/300x650.png/003388?text=Smartphone+placeat" TargetMode="External"/><Relationship Id="rId408" Type="http://schemas.openxmlformats.org/officeDocument/2006/relationships/hyperlink" Target="https://via.placeholder.com/300x650.png/0011ee?text=Smartphone+omnis" TargetMode="External"/><Relationship Id="rId407" Type="http://schemas.openxmlformats.org/officeDocument/2006/relationships/hyperlink" Target="https://via.placeholder.com/300x650.png/00dd33?text=Smartphone+eum" TargetMode="External"/><Relationship Id="rId649" Type="http://schemas.openxmlformats.org/officeDocument/2006/relationships/hyperlink" Target="https://via.placeholder.com/300x650.png/008800?text=Smartphone+laborum" TargetMode="External"/><Relationship Id="rId406" Type="http://schemas.openxmlformats.org/officeDocument/2006/relationships/hyperlink" Target="https://via.placeholder.com/300x650.png/008877?text=Smartphone+nihil" TargetMode="External"/><Relationship Id="rId648" Type="http://schemas.openxmlformats.org/officeDocument/2006/relationships/hyperlink" Target="https://via.placeholder.com/300x650.png/00ff33?text=Smartphone+voluptates" TargetMode="External"/><Relationship Id="rId405" Type="http://schemas.openxmlformats.org/officeDocument/2006/relationships/hyperlink" Target="https://via.placeholder.com/300x650.png/0077dd?text=Smartphone+numquam" TargetMode="External"/><Relationship Id="rId647" Type="http://schemas.openxmlformats.org/officeDocument/2006/relationships/hyperlink" Target="https://via.placeholder.com/300x650.png/00dd00?text=Smartphone+dolores" TargetMode="External"/><Relationship Id="rId889" Type="http://schemas.openxmlformats.org/officeDocument/2006/relationships/hyperlink" Target="https://via.placeholder.com/300x650.png/007711?text=Smartphone+enim" TargetMode="External"/><Relationship Id="rId880" Type="http://schemas.openxmlformats.org/officeDocument/2006/relationships/hyperlink" Target="https://via.placeholder.com/300x650.png/0055aa?text=Smartphone+aut" TargetMode="External"/><Relationship Id="rId400" Type="http://schemas.openxmlformats.org/officeDocument/2006/relationships/hyperlink" Target="https://via.placeholder.com/300x650.png/00aadd?text=Smartphone+enim" TargetMode="External"/><Relationship Id="rId642" Type="http://schemas.openxmlformats.org/officeDocument/2006/relationships/hyperlink" Target="https://via.placeholder.com/300x650.png/0033ee?text=Smartphone+nam" TargetMode="External"/><Relationship Id="rId884" Type="http://schemas.openxmlformats.org/officeDocument/2006/relationships/hyperlink" Target="https://via.placeholder.com/300x650.png/0066aa?text=Smartphone+et" TargetMode="External"/><Relationship Id="rId641" Type="http://schemas.openxmlformats.org/officeDocument/2006/relationships/hyperlink" Target="https://via.placeholder.com/300x650.png/00aaff?text=Smartphone+qui" TargetMode="External"/><Relationship Id="rId883" Type="http://schemas.openxmlformats.org/officeDocument/2006/relationships/hyperlink" Target="https://via.placeholder.com/300x650.png/0000bb?text=Smartphone+omnis" TargetMode="External"/><Relationship Id="rId640" Type="http://schemas.openxmlformats.org/officeDocument/2006/relationships/hyperlink" Target="https://via.placeholder.com/300x650.png/00eeaa?text=Smartphone+accusamus" TargetMode="External"/><Relationship Id="rId882" Type="http://schemas.openxmlformats.org/officeDocument/2006/relationships/hyperlink" Target="https://via.placeholder.com/300x650.png/0044dd?text=Smartphone+libero" TargetMode="External"/><Relationship Id="rId881" Type="http://schemas.openxmlformats.org/officeDocument/2006/relationships/hyperlink" Target="https://via.placeholder.com/300x650.png/00cc11?text=Smartphone+quo" TargetMode="External"/><Relationship Id="rId635" Type="http://schemas.openxmlformats.org/officeDocument/2006/relationships/hyperlink" Target="https://via.placeholder.com/300x650.png/0066ee?text=Smartphone+qui" TargetMode="External"/><Relationship Id="rId877" Type="http://schemas.openxmlformats.org/officeDocument/2006/relationships/hyperlink" Target="https://via.placeholder.com/300x650.png/0099ff?text=Smartphone+et" TargetMode="External"/><Relationship Id="rId634" Type="http://schemas.openxmlformats.org/officeDocument/2006/relationships/hyperlink" Target="https://via.placeholder.com/300x650.png/008866?text=Smartphone+consequatur" TargetMode="External"/><Relationship Id="rId876" Type="http://schemas.openxmlformats.org/officeDocument/2006/relationships/hyperlink" Target="https://via.placeholder.com/300x650.png/00aa55?text=Smartphone+excepturi" TargetMode="External"/><Relationship Id="rId633" Type="http://schemas.openxmlformats.org/officeDocument/2006/relationships/hyperlink" Target="https://via.placeholder.com/300x650.png/00ff66?text=Smartphone+voluptatum" TargetMode="External"/><Relationship Id="rId875" Type="http://schemas.openxmlformats.org/officeDocument/2006/relationships/hyperlink" Target="https://via.placeholder.com/300x650.png/000033?text=Smartphone+qui" TargetMode="External"/><Relationship Id="rId632" Type="http://schemas.openxmlformats.org/officeDocument/2006/relationships/hyperlink" Target="https://via.placeholder.com/300x650.png/00aaaa?text=Smartphone+expedita" TargetMode="External"/><Relationship Id="rId874" Type="http://schemas.openxmlformats.org/officeDocument/2006/relationships/hyperlink" Target="https://via.placeholder.com/300x650.png/004499?text=Smartphone+exercitationem" TargetMode="External"/><Relationship Id="rId639" Type="http://schemas.openxmlformats.org/officeDocument/2006/relationships/hyperlink" Target="https://via.placeholder.com/300x650.png/0055aa?text=Smartphone+voluptas" TargetMode="External"/><Relationship Id="rId638" Type="http://schemas.openxmlformats.org/officeDocument/2006/relationships/hyperlink" Target="https://via.placeholder.com/300x650.png/000055?text=Smartphone+et" TargetMode="External"/><Relationship Id="rId637" Type="http://schemas.openxmlformats.org/officeDocument/2006/relationships/hyperlink" Target="https://via.placeholder.com/300x650.png/00aa88?text=Smartphone+molestias" TargetMode="External"/><Relationship Id="rId879" Type="http://schemas.openxmlformats.org/officeDocument/2006/relationships/hyperlink" Target="https://via.placeholder.com/300x650.png/00aabb?text=Smartphone+neque" TargetMode="External"/><Relationship Id="rId636" Type="http://schemas.openxmlformats.org/officeDocument/2006/relationships/hyperlink" Target="https://via.placeholder.com/300x650.png/0055ee?text=Smartphone+ducimus" TargetMode="External"/><Relationship Id="rId878" Type="http://schemas.openxmlformats.org/officeDocument/2006/relationships/hyperlink" Target="https://via.placeholder.com/300x650.png/007722?text=Smartphone+et" TargetMode="External"/><Relationship Id="rId631" Type="http://schemas.openxmlformats.org/officeDocument/2006/relationships/hyperlink" Target="https://via.placeholder.com/300x650.png/00bbaa?text=Smartphone+accusantium" TargetMode="External"/><Relationship Id="rId873" Type="http://schemas.openxmlformats.org/officeDocument/2006/relationships/hyperlink" Target="https://via.placeholder.com/300x650.png/005511?text=Smartphone+quis" TargetMode="External"/><Relationship Id="rId630" Type="http://schemas.openxmlformats.org/officeDocument/2006/relationships/hyperlink" Target="https://via.placeholder.com/300x650.png/0022bb?text=Smartphone+a" TargetMode="External"/><Relationship Id="rId872" Type="http://schemas.openxmlformats.org/officeDocument/2006/relationships/hyperlink" Target="https://via.placeholder.com/300x650.png/00ff00?text=Smartphone+voluptatibus" TargetMode="External"/><Relationship Id="rId871" Type="http://schemas.openxmlformats.org/officeDocument/2006/relationships/hyperlink" Target="https://via.placeholder.com/300x650.png/003377?text=Smartphone+voluptatem" TargetMode="External"/><Relationship Id="rId870" Type="http://schemas.openxmlformats.org/officeDocument/2006/relationships/hyperlink" Target="https://via.placeholder.com/300x650.png/0011cc?text=Smartphone+tempora" TargetMode="External"/><Relationship Id="rId829" Type="http://schemas.openxmlformats.org/officeDocument/2006/relationships/hyperlink" Target="https://via.placeholder.com/300x650.png/0011bb?text=Smartphone+velit" TargetMode="External"/><Relationship Id="rId828" Type="http://schemas.openxmlformats.org/officeDocument/2006/relationships/hyperlink" Target="https://via.placeholder.com/300x650.png/00dd22?text=Smartphone+perferendis" TargetMode="External"/><Relationship Id="rId827" Type="http://schemas.openxmlformats.org/officeDocument/2006/relationships/hyperlink" Target="https://via.placeholder.com/300x650.png/00aaff?text=Smartphone+totam" TargetMode="External"/><Relationship Id="rId822" Type="http://schemas.openxmlformats.org/officeDocument/2006/relationships/hyperlink" Target="https://via.placeholder.com/300x650.png/00dd77?text=Smartphone+repellendus" TargetMode="External"/><Relationship Id="rId821" Type="http://schemas.openxmlformats.org/officeDocument/2006/relationships/hyperlink" Target="https://via.placeholder.com/300x650.png/00eedd?text=Smartphone+magni" TargetMode="External"/><Relationship Id="rId820" Type="http://schemas.openxmlformats.org/officeDocument/2006/relationships/hyperlink" Target="https://via.placeholder.com/300x650.png/00ffcc?text=Smartphone+in" TargetMode="External"/><Relationship Id="rId826" Type="http://schemas.openxmlformats.org/officeDocument/2006/relationships/hyperlink" Target="https://via.placeholder.com/300x650.png/00ffcc?text=Smartphone+et" TargetMode="External"/><Relationship Id="rId825" Type="http://schemas.openxmlformats.org/officeDocument/2006/relationships/hyperlink" Target="https://via.placeholder.com/300x650.png/00dddd?text=Smartphone+quidem" TargetMode="External"/><Relationship Id="rId824" Type="http://schemas.openxmlformats.org/officeDocument/2006/relationships/hyperlink" Target="https://via.placeholder.com/300x650.png/002277?text=Smartphone+distinctio" TargetMode="External"/><Relationship Id="rId823" Type="http://schemas.openxmlformats.org/officeDocument/2006/relationships/hyperlink" Target="https://via.placeholder.com/300x650.png/0011cc?text=Smartphone+veritatis" TargetMode="External"/><Relationship Id="rId819" Type="http://schemas.openxmlformats.org/officeDocument/2006/relationships/hyperlink" Target="https://via.placeholder.com/300x650.png/004477?text=Smartphone+et" TargetMode="External"/><Relationship Id="rId818" Type="http://schemas.openxmlformats.org/officeDocument/2006/relationships/hyperlink" Target="https://via.placeholder.com/300x650.png/0044ee?text=Smartphone+qui" TargetMode="External"/><Relationship Id="rId817" Type="http://schemas.openxmlformats.org/officeDocument/2006/relationships/hyperlink" Target="https://via.placeholder.com/300x650.png/000022?text=Smartphone+inventore" TargetMode="External"/><Relationship Id="rId816" Type="http://schemas.openxmlformats.org/officeDocument/2006/relationships/hyperlink" Target="https://via.placeholder.com/300x650.png/002222?text=Smartphone+qui" TargetMode="External"/><Relationship Id="rId811" Type="http://schemas.openxmlformats.org/officeDocument/2006/relationships/hyperlink" Target="https://via.placeholder.com/300x650.png/00eeaa?text=Smartphone+ut" TargetMode="External"/><Relationship Id="rId810" Type="http://schemas.openxmlformats.org/officeDocument/2006/relationships/hyperlink" Target="https://via.placeholder.com/300x650.png/00ccff?text=Smartphone+natus" TargetMode="External"/><Relationship Id="rId815" Type="http://schemas.openxmlformats.org/officeDocument/2006/relationships/hyperlink" Target="https://via.placeholder.com/300x650.png/00ff88?text=Smartphone+ipsa" TargetMode="External"/><Relationship Id="rId814" Type="http://schemas.openxmlformats.org/officeDocument/2006/relationships/hyperlink" Target="https://via.placeholder.com/300x650.png/004411?text=Smartphone+minima" TargetMode="External"/><Relationship Id="rId813" Type="http://schemas.openxmlformats.org/officeDocument/2006/relationships/hyperlink" Target="https://via.placeholder.com/300x650.png/005599?text=Smartphone+quo" TargetMode="External"/><Relationship Id="rId812" Type="http://schemas.openxmlformats.org/officeDocument/2006/relationships/hyperlink" Target="https://via.placeholder.com/300x650.png/006677?text=Smartphone+suscipit" TargetMode="External"/><Relationship Id="rId609" Type="http://schemas.openxmlformats.org/officeDocument/2006/relationships/hyperlink" Target="https://via.placeholder.com/300x650.png/008866?text=Smartphone+labore" TargetMode="External"/><Relationship Id="rId608" Type="http://schemas.openxmlformats.org/officeDocument/2006/relationships/hyperlink" Target="https://via.placeholder.com/300x650.png/00eeaa?text=Smartphone+enim" TargetMode="External"/><Relationship Id="rId607" Type="http://schemas.openxmlformats.org/officeDocument/2006/relationships/hyperlink" Target="https://via.placeholder.com/300x650.png/00ff55?text=Smartphone+suscipit" TargetMode="External"/><Relationship Id="rId849" Type="http://schemas.openxmlformats.org/officeDocument/2006/relationships/hyperlink" Target="https://via.placeholder.com/300x650.png/00cc00?text=Smartphone+suscipit" TargetMode="External"/><Relationship Id="rId602" Type="http://schemas.openxmlformats.org/officeDocument/2006/relationships/hyperlink" Target="https://via.placeholder.com/300x650.png/004422?text=Smartphone+laboriosam" TargetMode="External"/><Relationship Id="rId844" Type="http://schemas.openxmlformats.org/officeDocument/2006/relationships/hyperlink" Target="https://via.placeholder.com/300x650.png/001177?text=Smartphone+accusantium" TargetMode="External"/><Relationship Id="rId601" Type="http://schemas.openxmlformats.org/officeDocument/2006/relationships/hyperlink" Target="https://via.placeholder.com/300x650.png/009933?text=Smartphone+nam" TargetMode="External"/><Relationship Id="rId843" Type="http://schemas.openxmlformats.org/officeDocument/2006/relationships/hyperlink" Target="https://via.placeholder.com/300x650.png/00aa77?text=Smartphone+voluptas" TargetMode="External"/><Relationship Id="rId600" Type="http://schemas.openxmlformats.org/officeDocument/2006/relationships/hyperlink" Target="https://via.placeholder.com/300x650.png/0055bb?text=Smartphone+in" TargetMode="External"/><Relationship Id="rId842" Type="http://schemas.openxmlformats.org/officeDocument/2006/relationships/hyperlink" Target="https://via.placeholder.com/300x650.png/00eedd?text=Smartphone+ex" TargetMode="External"/><Relationship Id="rId841" Type="http://schemas.openxmlformats.org/officeDocument/2006/relationships/hyperlink" Target="https://via.placeholder.com/300x650.png/009955?text=Smartphone+ducimus" TargetMode="External"/><Relationship Id="rId606" Type="http://schemas.openxmlformats.org/officeDocument/2006/relationships/hyperlink" Target="https://via.placeholder.com/300x650.png/0022ff?text=Smartphone+qui" TargetMode="External"/><Relationship Id="rId848" Type="http://schemas.openxmlformats.org/officeDocument/2006/relationships/hyperlink" Target="https://via.placeholder.com/300x650.png/0011bb?text=Smartphone+repellat" TargetMode="External"/><Relationship Id="rId605" Type="http://schemas.openxmlformats.org/officeDocument/2006/relationships/hyperlink" Target="https://via.placeholder.com/300x650.png/0011bb?text=Smartphone+id" TargetMode="External"/><Relationship Id="rId847" Type="http://schemas.openxmlformats.org/officeDocument/2006/relationships/hyperlink" Target="https://via.placeholder.com/300x650.png/002244?text=Smartphone+rerum" TargetMode="External"/><Relationship Id="rId604" Type="http://schemas.openxmlformats.org/officeDocument/2006/relationships/hyperlink" Target="https://via.placeholder.com/300x650.png/007744?text=Smartphone+libero" TargetMode="External"/><Relationship Id="rId846" Type="http://schemas.openxmlformats.org/officeDocument/2006/relationships/hyperlink" Target="https://via.placeholder.com/300x650.png/0000ee?text=Smartphone+sed" TargetMode="External"/><Relationship Id="rId603" Type="http://schemas.openxmlformats.org/officeDocument/2006/relationships/hyperlink" Target="https://via.placeholder.com/300x650.png/00ff22?text=Smartphone+ab" TargetMode="External"/><Relationship Id="rId845" Type="http://schemas.openxmlformats.org/officeDocument/2006/relationships/hyperlink" Target="https://via.placeholder.com/300x650.png/0088ff?text=Smartphone+ad" TargetMode="External"/><Relationship Id="rId840" Type="http://schemas.openxmlformats.org/officeDocument/2006/relationships/hyperlink" Target="https://via.placeholder.com/300x650.png/0077aa?text=Smartphone+nulla" TargetMode="External"/><Relationship Id="rId839" Type="http://schemas.openxmlformats.org/officeDocument/2006/relationships/hyperlink" Target="https://via.placeholder.com/300x650.png/009944?text=Smartphone+neque" TargetMode="External"/><Relationship Id="rId838" Type="http://schemas.openxmlformats.org/officeDocument/2006/relationships/hyperlink" Target="https://via.placeholder.com/300x650.png/00bbee?text=Smartphone+sunt" TargetMode="External"/><Relationship Id="rId833" Type="http://schemas.openxmlformats.org/officeDocument/2006/relationships/hyperlink" Target="https://via.placeholder.com/300x650.png/005533?text=Smartphone+reiciendis" TargetMode="External"/><Relationship Id="rId832" Type="http://schemas.openxmlformats.org/officeDocument/2006/relationships/hyperlink" Target="https://via.placeholder.com/300x650.png/002255?text=Smartphone+at" TargetMode="External"/><Relationship Id="rId831" Type="http://schemas.openxmlformats.org/officeDocument/2006/relationships/hyperlink" Target="https://via.placeholder.com/300x650.png/00ffdd?text=Smartphone+exercitationem" TargetMode="External"/><Relationship Id="rId830" Type="http://schemas.openxmlformats.org/officeDocument/2006/relationships/hyperlink" Target="https://via.placeholder.com/300x650.png/001155?text=Smartphone+occaecati" TargetMode="External"/><Relationship Id="rId837" Type="http://schemas.openxmlformats.org/officeDocument/2006/relationships/hyperlink" Target="https://via.placeholder.com/300x650.png/0066ff?text=Smartphone+incidunt" TargetMode="External"/><Relationship Id="rId836" Type="http://schemas.openxmlformats.org/officeDocument/2006/relationships/hyperlink" Target="https://via.placeholder.com/300x650.png/005522?text=Smartphone+recusandae" TargetMode="External"/><Relationship Id="rId835" Type="http://schemas.openxmlformats.org/officeDocument/2006/relationships/hyperlink" Target="https://via.placeholder.com/300x650.png/00bb66?text=Smartphone+blanditiis" TargetMode="External"/><Relationship Id="rId834" Type="http://schemas.openxmlformats.org/officeDocument/2006/relationships/hyperlink" Target="https://via.placeholder.com/300x650.png/00bbaa?text=Smartphone+nemo" TargetMode="External"/><Relationship Id="rId228" Type="http://schemas.openxmlformats.org/officeDocument/2006/relationships/hyperlink" Target="https://via.placeholder.com/300x650.png/00bb77?text=Smartphone+molestiae" TargetMode="External"/><Relationship Id="rId227" Type="http://schemas.openxmlformats.org/officeDocument/2006/relationships/hyperlink" Target="https://via.placeholder.com/300x650.png/00eeaa?text=Smartphone+aut" TargetMode="External"/><Relationship Id="rId469" Type="http://schemas.openxmlformats.org/officeDocument/2006/relationships/hyperlink" Target="https://via.placeholder.com/300x650.png/004488?text=Smartphone+sed" TargetMode="External"/><Relationship Id="rId226" Type="http://schemas.openxmlformats.org/officeDocument/2006/relationships/hyperlink" Target="https://via.placeholder.com/300x650.png/0055ee?text=Smartphone+possimus" TargetMode="External"/><Relationship Id="rId468" Type="http://schemas.openxmlformats.org/officeDocument/2006/relationships/hyperlink" Target="https://via.placeholder.com/300x650.png/00dd88?text=Smartphone+in" TargetMode="External"/><Relationship Id="rId225" Type="http://schemas.openxmlformats.org/officeDocument/2006/relationships/hyperlink" Target="https://via.placeholder.com/300x650.png/005555?text=Smartphone+et" TargetMode="External"/><Relationship Id="rId467" Type="http://schemas.openxmlformats.org/officeDocument/2006/relationships/hyperlink" Target="https://via.placeholder.com/300x650.png/00ee11?text=Smartphone+et" TargetMode="External"/><Relationship Id="rId229" Type="http://schemas.openxmlformats.org/officeDocument/2006/relationships/hyperlink" Target="https://via.placeholder.com/300x650.png/00cc33?text=Smartphone+nihil" TargetMode="External"/><Relationship Id="rId220" Type="http://schemas.openxmlformats.org/officeDocument/2006/relationships/hyperlink" Target="https://via.placeholder.com/300x650.png/003344?text=Smartphone+consequatur" TargetMode="External"/><Relationship Id="rId462" Type="http://schemas.openxmlformats.org/officeDocument/2006/relationships/hyperlink" Target="https://via.placeholder.com/300x650.png/0022aa?text=Smartphone+quasi" TargetMode="External"/><Relationship Id="rId461" Type="http://schemas.openxmlformats.org/officeDocument/2006/relationships/hyperlink" Target="https://via.placeholder.com/300x650.png/007711?text=Smartphone+omnis" TargetMode="External"/><Relationship Id="rId460" Type="http://schemas.openxmlformats.org/officeDocument/2006/relationships/hyperlink" Target="https://via.placeholder.com/300x650.png/00cc77?text=Smartphone+dolore" TargetMode="External"/><Relationship Id="rId224" Type="http://schemas.openxmlformats.org/officeDocument/2006/relationships/hyperlink" Target="https://via.placeholder.com/300x650.png/00ccee?text=Smartphone+eum" TargetMode="External"/><Relationship Id="rId466" Type="http://schemas.openxmlformats.org/officeDocument/2006/relationships/hyperlink" Target="https://via.placeholder.com/300x650.png/0055bb?text=Smartphone+sit" TargetMode="External"/><Relationship Id="rId223" Type="http://schemas.openxmlformats.org/officeDocument/2006/relationships/hyperlink" Target="https://via.placeholder.com/300x650.png/00ee00?text=Smartphone+animi" TargetMode="External"/><Relationship Id="rId465" Type="http://schemas.openxmlformats.org/officeDocument/2006/relationships/hyperlink" Target="https://via.placeholder.com/300x650.png/008800?text=Smartphone+deserunt" TargetMode="External"/><Relationship Id="rId222" Type="http://schemas.openxmlformats.org/officeDocument/2006/relationships/hyperlink" Target="https://via.placeholder.com/300x650.png/00ee22?text=Smartphone+quidem" TargetMode="External"/><Relationship Id="rId464" Type="http://schemas.openxmlformats.org/officeDocument/2006/relationships/hyperlink" Target="https://via.placeholder.com/300x650.png/00ff33?text=Smartphone+explicabo" TargetMode="External"/><Relationship Id="rId221" Type="http://schemas.openxmlformats.org/officeDocument/2006/relationships/hyperlink" Target="https://via.placeholder.com/300x650.png/002200?text=Smartphone+commodi" TargetMode="External"/><Relationship Id="rId463" Type="http://schemas.openxmlformats.org/officeDocument/2006/relationships/hyperlink" Target="https://via.placeholder.com/300x650.png/006699?text=Smartphone+et" TargetMode="External"/><Relationship Id="rId217" Type="http://schemas.openxmlformats.org/officeDocument/2006/relationships/hyperlink" Target="https://via.placeholder.com/300x650.png/00bb88?text=Smartphone+officiis" TargetMode="External"/><Relationship Id="rId459" Type="http://schemas.openxmlformats.org/officeDocument/2006/relationships/hyperlink" Target="https://via.placeholder.com/300x650.png/005566?text=Smartphone+autem" TargetMode="External"/><Relationship Id="rId216" Type="http://schemas.openxmlformats.org/officeDocument/2006/relationships/hyperlink" Target="https://via.placeholder.com/300x650.png/004433?text=Smartphone+numquam" TargetMode="External"/><Relationship Id="rId458" Type="http://schemas.openxmlformats.org/officeDocument/2006/relationships/hyperlink" Target="https://via.placeholder.com/300x650.png/0099bb?text=Smartphone+culpa" TargetMode="External"/><Relationship Id="rId215" Type="http://schemas.openxmlformats.org/officeDocument/2006/relationships/hyperlink" Target="https://via.placeholder.com/300x650.png/003355?text=Smartphone+eum" TargetMode="External"/><Relationship Id="rId457" Type="http://schemas.openxmlformats.org/officeDocument/2006/relationships/hyperlink" Target="https://via.placeholder.com/300x650.png/009933?text=Smartphone+autem" TargetMode="External"/><Relationship Id="rId699" Type="http://schemas.openxmlformats.org/officeDocument/2006/relationships/hyperlink" Target="https://via.placeholder.com/300x650.png/006600?text=Smartphone+quam" TargetMode="External"/><Relationship Id="rId214" Type="http://schemas.openxmlformats.org/officeDocument/2006/relationships/hyperlink" Target="https://via.placeholder.com/300x650.png/005555?text=Smartphone+dolore" TargetMode="External"/><Relationship Id="rId456" Type="http://schemas.openxmlformats.org/officeDocument/2006/relationships/hyperlink" Target="https://via.placeholder.com/300x650.png/00dd00?text=Smartphone+quidem" TargetMode="External"/><Relationship Id="rId698" Type="http://schemas.openxmlformats.org/officeDocument/2006/relationships/hyperlink" Target="https://via.placeholder.com/300x650.png/0000ff?text=Smartphone+consequatur" TargetMode="External"/><Relationship Id="rId219" Type="http://schemas.openxmlformats.org/officeDocument/2006/relationships/hyperlink" Target="https://via.placeholder.com/300x650.png/0044ff?text=Smartphone+distinctio" TargetMode="External"/><Relationship Id="rId218" Type="http://schemas.openxmlformats.org/officeDocument/2006/relationships/hyperlink" Target="https://via.placeholder.com/300x650.png/000077?text=Smartphone+cupiditate" TargetMode="External"/><Relationship Id="rId451" Type="http://schemas.openxmlformats.org/officeDocument/2006/relationships/hyperlink" Target="https://via.placeholder.com/300x650.png/008811?text=Smartphone+quia" TargetMode="External"/><Relationship Id="rId693" Type="http://schemas.openxmlformats.org/officeDocument/2006/relationships/hyperlink" Target="https://via.placeholder.com/300x650.png/00bb44?text=Smartphone+autem" TargetMode="External"/><Relationship Id="rId450" Type="http://schemas.openxmlformats.org/officeDocument/2006/relationships/hyperlink" Target="https://via.placeholder.com/300x650.png/003366?text=Smartphone+voluptatem" TargetMode="External"/><Relationship Id="rId692" Type="http://schemas.openxmlformats.org/officeDocument/2006/relationships/hyperlink" Target="https://via.placeholder.com/300x650.png/002288?text=Smartphone+ad" TargetMode="External"/><Relationship Id="rId691" Type="http://schemas.openxmlformats.org/officeDocument/2006/relationships/hyperlink" Target="https://via.placeholder.com/300x650.png/001144?text=Smartphone+explicabo" TargetMode="External"/><Relationship Id="rId690" Type="http://schemas.openxmlformats.org/officeDocument/2006/relationships/hyperlink" Target="https://via.placeholder.com/300x650.png/000088?text=Smartphone+non" TargetMode="External"/><Relationship Id="rId213" Type="http://schemas.openxmlformats.org/officeDocument/2006/relationships/hyperlink" Target="https://via.placeholder.com/300x650.png/008899?text=Smartphone+quo" TargetMode="External"/><Relationship Id="rId455" Type="http://schemas.openxmlformats.org/officeDocument/2006/relationships/hyperlink" Target="https://via.placeholder.com/300x650.png/004400?text=Smartphone+ipsum" TargetMode="External"/><Relationship Id="rId697" Type="http://schemas.openxmlformats.org/officeDocument/2006/relationships/hyperlink" Target="https://via.placeholder.com/300x650.png/0044cc?text=Smartphone+quo" TargetMode="External"/><Relationship Id="rId212" Type="http://schemas.openxmlformats.org/officeDocument/2006/relationships/hyperlink" Target="https://via.placeholder.com/300x650.png/0088aa?text=Smartphone+nihil" TargetMode="External"/><Relationship Id="rId454" Type="http://schemas.openxmlformats.org/officeDocument/2006/relationships/hyperlink" Target="https://via.placeholder.com/300x650.png/0022cc?text=Smartphone+doloribus" TargetMode="External"/><Relationship Id="rId696" Type="http://schemas.openxmlformats.org/officeDocument/2006/relationships/hyperlink" Target="https://via.placeholder.com/300x650.png/000000?text=Smartphone+nulla" TargetMode="External"/><Relationship Id="rId211" Type="http://schemas.openxmlformats.org/officeDocument/2006/relationships/hyperlink" Target="https://via.placeholder.com/300x650.png/00bb99?text=Smartphone+perferendis" TargetMode="External"/><Relationship Id="rId453" Type="http://schemas.openxmlformats.org/officeDocument/2006/relationships/hyperlink" Target="https://via.placeholder.com/300x650.png/006699?text=Smartphone+facilis" TargetMode="External"/><Relationship Id="rId695" Type="http://schemas.openxmlformats.org/officeDocument/2006/relationships/hyperlink" Target="https://via.placeholder.com/300x650.png/00ffdd?text=Smartphone+aut" TargetMode="External"/><Relationship Id="rId210" Type="http://schemas.openxmlformats.org/officeDocument/2006/relationships/hyperlink" Target="https://via.placeholder.com/300x650.png/00aa44?text=Smartphone+qui" TargetMode="External"/><Relationship Id="rId452" Type="http://schemas.openxmlformats.org/officeDocument/2006/relationships/hyperlink" Target="https://via.placeholder.com/300x650.png/00ddee?text=Smartphone+dolor" TargetMode="External"/><Relationship Id="rId694" Type="http://schemas.openxmlformats.org/officeDocument/2006/relationships/hyperlink" Target="https://via.placeholder.com/300x650.png/005555?text=Smartphone+quia" TargetMode="External"/><Relationship Id="rId491" Type="http://schemas.openxmlformats.org/officeDocument/2006/relationships/hyperlink" Target="https://via.placeholder.com/300x650.png/00aa11?text=Smartphone+cum" TargetMode="External"/><Relationship Id="rId490" Type="http://schemas.openxmlformats.org/officeDocument/2006/relationships/hyperlink" Target="https://via.placeholder.com/300x650.png/000044?text=Smartphone+corporis" TargetMode="External"/><Relationship Id="rId249" Type="http://schemas.openxmlformats.org/officeDocument/2006/relationships/hyperlink" Target="https://via.placeholder.com/300x650.png/0022cc?text=Smartphone+tempore" TargetMode="External"/><Relationship Id="rId248" Type="http://schemas.openxmlformats.org/officeDocument/2006/relationships/hyperlink" Target="https://via.placeholder.com/300x650.png/00ee66?text=Smartphone+consectetur" TargetMode="External"/><Relationship Id="rId247" Type="http://schemas.openxmlformats.org/officeDocument/2006/relationships/hyperlink" Target="https://via.placeholder.com/300x650.png/00bbaa?text=Smartphone+saepe" TargetMode="External"/><Relationship Id="rId489" Type="http://schemas.openxmlformats.org/officeDocument/2006/relationships/hyperlink" Target="https://via.placeholder.com/300x650.png/0066ff?text=Smartphone+ut" TargetMode="External"/><Relationship Id="rId242" Type="http://schemas.openxmlformats.org/officeDocument/2006/relationships/hyperlink" Target="https://via.placeholder.com/300x650.png/00ee99?text=Smartphone+et" TargetMode="External"/><Relationship Id="rId484" Type="http://schemas.openxmlformats.org/officeDocument/2006/relationships/hyperlink" Target="https://via.placeholder.com/300x650.png/00dd33?text=Smartphone+et" TargetMode="External"/><Relationship Id="rId241" Type="http://schemas.openxmlformats.org/officeDocument/2006/relationships/hyperlink" Target="https://via.placeholder.com/300x650.png/00ccbb?text=Smartphone+ipsum" TargetMode="External"/><Relationship Id="rId483" Type="http://schemas.openxmlformats.org/officeDocument/2006/relationships/hyperlink" Target="https://via.placeholder.com/300x650.png/007711?text=Smartphone+sint" TargetMode="External"/><Relationship Id="rId240" Type="http://schemas.openxmlformats.org/officeDocument/2006/relationships/hyperlink" Target="https://via.placeholder.com/300x650.png/0011ff?text=Smartphone+repellendus" TargetMode="External"/><Relationship Id="rId482" Type="http://schemas.openxmlformats.org/officeDocument/2006/relationships/hyperlink" Target="https://via.placeholder.com/300x650.png/0066ff?text=Smartphone+debitis" TargetMode="External"/><Relationship Id="rId481" Type="http://schemas.openxmlformats.org/officeDocument/2006/relationships/hyperlink" Target="https://via.placeholder.com/300x650.png/000099?text=Smartphone+perspiciatis" TargetMode="External"/><Relationship Id="rId246" Type="http://schemas.openxmlformats.org/officeDocument/2006/relationships/hyperlink" Target="https://via.placeholder.com/300x650.png/002277?text=Smartphone+voluptatibus" TargetMode="External"/><Relationship Id="rId488" Type="http://schemas.openxmlformats.org/officeDocument/2006/relationships/hyperlink" Target="https://via.placeholder.com/300x650.png/007755?text=Smartphone+quibusdam" TargetMode="External"/><Relationship Id="rId245" Type="http://schemas.openxmlformats.org/officeDocument/2006/relationships/hyperlink" Target="https://via.placeholder.com/300x650.png/0033dd?text=Smartphone+voluptas" TargetMode="External"/><Relationship Id="rId487" Type="http://schemas.openxmlformats.org/officeDocument/2006/relationships/hyperlink" Target="https://via.placeholder.com/300x650.png/003311?text=Smartphone+quasi" TargetMode="External"/><Relationship Id="rId244" Type="http://schemas.openxmlformats.org/officeDocument/2006/relationships/hyperlink" Target="https://via.placeholder.com/300x650.png/009900?text=Smartphone+asperiores" TargetMode="External"/><Relationship Id="rId486" Type="http://schemas.openxmlformats.org/officeDocument/2006/relationships/hyperlink" Target="https://via.placeholder.com/300x650.png/008822?text=Smartphone+adipisci" TargetMode="External"/><Relationship Id="rId243" Type="http://schemas.openxmlformats.org/officeDocument/2006/relationships/hyperlink" Target="https://via.placeholder.com/300x650.png/005533?text=Smartphone+est" TargetMode="External"/><Relationship Id="rId485" Type="http://schemas.openxmlformats.org/officeDocument/2006/relationships/hyperlink" Target="https://via.placeholder.com/300x650.png/0099cc?text=Smartphone+repudiandae" TargetMode="External"/><Relationship Id="rId480" Type="http://schemas.openxmlformats.org/officeDocument/2006/relationships/hyperlink" Target="https://via.placeholder.com/300x650.png/005500?text=Smartphone+similique" TargetMode="External"/><Relationship Id="rId239" Type="http://schemas.openxmlformats.org/officeDocument/2006/relationships/hyperlink" Target="https://via.placeholder.com/300x650.png/009944?text=Smartphone+ut" TargetMode="External"/><Relationship Id="rId238" Type="http://schemas.openxmlformats.org/officeDocument/2006/relationships/hyperlink" Target="https://via.placeholder.com/300x650.png/0011cc?text=Smartphone+nesciunt" TargetMode="External"/><Relationship Id="rId237" Type="http://schemas.openxmlformats.org/officeDocument/2006/relationships/hyperlink" Target="https://via.placeholder.com/300x650.png/00eeaa?text=Smartphone+illo" TargetMode="External"/><Relationship Id="rId479" Type="http://schemas.openxmlformats.org/officeDocument/2006/relationships/hyperlink" Target="https://via.placeholder.com/300x650.png/00ee44?text=Smartphone+est" TargetMode="External"/><Relationship Id="rId236" Type="http://schemas.openxmlformats.org/officeDocument/2006/relationships/hyperlink" Target="https://via.placeholder.com/300x650.png/003322?text=Smartphone+molestias" TargetMode="External"/><Relationship Id="rId478" Type="http://schemas.openxmlformats.org/officeDocument/2006/relationships/hyperlink" Target="https://via.placeholder.com/300x650.png/00ddff?text=Smartphone+est" TargetMode="External"/><Relationship Id="rId231" Type="http://schemas.openxmlformats.org/officeDocument/2006/relationships/hyperlink" Target="https://via.placeholder.com/300x650.png/00ffdd?text=Smartphone+voluptatibus" TargetMode="External"/><Relationship Id="rId473" Type="http://schemas.openxmlformats.org/officeDocument/2006/relationships/hyperlink" Target="https://via.placeholder.com/300x650.png/009922?text=Smartphone+sapiente" TargetMode="External"/><Relationship Id="rId230" Type="http://schemas.openxmlformats.org/officeDocument/2006/relationships/hyperlink" Target="https://via.placeholder.com/300x650.png/009922?text=Smartphone+voluptatem" TargetMode="External"/><Relationship Id="rId472" Type="http://schemas.openxmlformats.org/officeDocument/2006/relationships/hyperlink" Target="https://via.placeholder.com/300x650.png/0077dd?text=Smartphone+commodi" TargetMode="External"/><Relationship Id="rId471" Type="http://schemas.openxmlformats.org/officeDocument/2006/relationships/hyperlink" Target="https://via.placeholder.com/300x650.png/001199?text=Smartphone+nesciunt" TargetMode="External"/><Relationship Id="rId470" Type="http://schemas.openxmlformats.org/officeDocument/2006/relationships/hyperlink" Target="https://via.placeholder.com/300x650.png/00ffbb?text=Smartphone+atque" TargetMode="External"/><Relationship Id="rId235" Type="http://schemas.openxmlformats.org/officeDocument/2006/relationships/hyperlink" Target="https://via.placeholder.com/300x650.png/00bbdd?text=Smartphone+mollitia" TargetMode="External"/><Relationship Id="rId477" Type="http://schemas.openxmlformats.org/officeDocument/2006/relationships/hyperlink" Target="https://via.placeholder.com/300x650.png/004433?text=Smartphone+consequatur" TargetMode="External"/><Relationship Id="rId234" Type="http://schemas.openxmlformats.org/officeDocument/2006/relationships/hyperlink" Target="https://via.placeholder.com/300x650.png/00aa00?text=Smartphone+neque" TargetMode="External"/><Relationship Id="rId476" Type="http://schemas.openxmlformats.org/officeDocument/2006/relationships/hyperlink" Target="https://via.placeholder.com/300x650.png/0011ee?text=Smartphone+id" TargetMode="External"/><Relationship Id="rId233" Type="http://schemas.openxmlformats.org/officeDocument/2006/relationships/hyperlink" Target="https://via.placeholder.com/300x650.png/00bb99?text=Smartphone+voluptate" TargetMode="External"/><Relationship Id="rId475" Type="http://schemas.openxmlformats.org/officeDocument/2006/relationships/hyperlink" Target="https://via.placeholder.com/300x650.png/009988?text=Smartphone+aliquam" TargetMode="External"/><Relationship Id="rId232" Type="http://schemas.openxmlformats.org/officeDocument/2006/relationships/hyperlink" Target="https://via.placeholder.com/300x650.png/001199?text=Smartphone+possimus" TargetMode="External"/><Relationship Id="rId474" Type="http://schemas.openxmlformats.org/officeDocument/2006/relationships/hyperlink" Target="https://via.placeholder.com/300x650.png/007711?text=Smartphone+voluptatem" TargetMode="External"/><Relationship Id="rId426" Type="http://schemas.openxmlformats.org/officeDocument/2006/relationships/hyperlink" Target="https://via.placeholder.com/300x650.png/005500?text=Smartphone+veritatis" TargetMode="External"/><Relationship Id="rId668" Type="http://schemas.openxmlformats.org/officeDocument/2006/relationships/hyperlink" Target="https://via.placeholder.com/300x650.png/004455?text=Smartphone+assumenda" TargetMode="External"/><Relationship Id="rId425" Type="http://schemas.openxmlformats.org/officeDocument/2006/relationships/hyperlink" Target="https://via.placeholder.com/300x650.png/009988?text=Smartphone+maxime" TargetMode="External"/><Relationship Id="rId667" Type="http://schemas.openxmlformats.org/officeDocument/2006/relationships/hyperlink" Target="https://via.placeholder.com/300x650.png/00aa33?text=Smartphone+sequi" TargetMode="External"/><Relationship Id="rId424" Type="http://schemas.openxmlformats.org/officeDocument/2006/relationships/hyperlink" Target="https://via.placeholder.com/300x650.png/00ee11?text=Smartphone+non" TargetMode="External"/><Relationship Id="rId666" Type="http://schemas.openxmlformats.org/officeDocument/2006/relationships/hyperlink" Target="https://via.placeholder.com/300x650.png/003366?text=Smartphone+animi" TargetMode="External"/><Relationship Id="rId423" Type="http://schemas.openxmlformats.org/officeDocument/2006/relationships/hyperlink" Target="https://via.placeholder.com/300x650.png/0022cc?text=Smartphone+amet" TargetMode="External"/><Relationship Id="rId665" Type="http://schemas.openxmlformats.org/officeDocument/2006/relationships/hyperlink" Target="https://via.placeholder.com/300x650.png/0066ee?text=Smartphone+consequuntur" TargetMode="External"/><Relationship Id="rId429" Type="http://schemas.openxmlformats.org/officeDocument/2006/relationships/hyperlink" Target="https://via.placeholder.com/300x650.png/001144?text=Smartphone+quaerat" TargetMode="External"/><Relationship Id="rId428" Type="http://schemas.openxmlformats.org/officeDocument/2006/relationships/hyperlink" Target="https://via.placeholder.com/300x650.png/00dd88?text=Smartphone+quos" TargetMode="External"/><Relationship Id="rId427" Type="http://schemas.openxmlformats.org/officeDocument/2006/relationships/hyperlink" Target="https://via.placeholder.com/300x650.png/00bb00?text=Smartphone+ut" TargetMode="External"/><Relationship Id="rId669" Type="http://schemas.openxmlformats.org/officeDocument/2006/relationships/hyperlink" Target="https://via.placeholder.com/300x650.png/00ff66?text=Smartphone+sunt" TargetMode="External"/><Relationship Id="rId660" Type="http://schemas.openxmlformats.org/officeDocument/2006/relationships/hyperlink" Target="https://via.placeholder.com/300x650.png/007711?text=Smartphone+fugiat" TargetMode="External"/><Relationship Id="rId422" Type="http://schemas.openxmlformats.org/officeDocument/2006/relationships/hyperlink" Target="https://via.placeholder.com/300x650.png/00aacc?text=Smartphone+iste" TargetMode="External"/><Relationship Id="rId664" Type="http://schemas.openxmlformats.org/officeDocument/2006/relationships/hyperlink" Target="https://via.placeholder.com/300x650.png/00ffff?text=Smartphone+consequuntur" TargetMode="External"/><Relationship Id="rId421" Type="http://schemas.openxmlformats.org/officeDocument/2006/relationships/hyperlink" Target="https://via.placeholder.com/300x650.png/0066dd?text=Smartphone+ipsum" TargetMode="External"/><Relationship Id="rId663" Type="http://schemas.openxmlformats.org/officeDocument/2006/relationships/hyperlink" Target="https://via.placeholder.com/300x650.png/00cccc?text=Smartphone+corrupti" TargetMode="External"/><Relationship Id="rId420" Type="http://schemas.openxmlformats.org/officeDocument/2006/relationships/hyperlink" Target="https://via.placeholder.com/300x650.png/007788?text=Smartphone+eveniet" TargetMode="External"/><Relationship Id="rId662" Type="http://schemas.openxmlformats.org/officeDocument/2006/relationships/hyperlink" Target="https://via.placeholder.com/300x650.png/00ff77?text=Smartphone+fugiat" TargetMode="External"/><Relationship Id="rId661" Type="http://schemas.openxmlformats.org/officeDocument/2006/relationships/hyperlink" Target="https://via.placeholder.com/300x650.png/009922?text=Smartphone+nisi" TargetMode="External"/><Relationship Id="rId415" Type="http://schemas.openxmlformats.org/officeDocument/2006/relationships/hyperlink" Target="https://via.placeholder.com/300x650.png/0088aa?text=Smartphone+sit" TargetMode="External"/><Relationship Id="rId657" Type="http://schemas.openxmlformats.org/officeDocument/2006/relationships/hyperlink" Target="https://via.placeholder.com/300x650.png/00aaaa?text=Smartphone+necessitatibus" TargetMode="External"/><Relationship Id="rId899" Type="http://schemas.openxmlformats.org/officeDocument/2006/relationships/hyperlink" Target="https://via.placeholder.com/300x650.png/00dddd?text=Smartphone+quis" TargetMode="External"/><Relationship Id="rId414" Type="http://schemas.openxmlformats.org/officeDocument/2006/relationships/hyperlink" Target="https://via.placeholder.com/300x650.png/00ff88?text=Smartphone+debitis" TargetMode="External"/><Relationship Id="rId656" Type="http://schemas.openxmlformats.org/officeDocument/2006/relationships/hyperlink" Target="https://via.placeholder.com/300x650.png/008844?text=Smartphone+ipsam" TargetMode="External"/><Relationship Id="rId898" Type="http://schemas.openxmlformats.org/officeDocument/2006/relationships/hyperlink" Target="https://via.placeholder.com/300x650.png/00bb44?text=Smartphone+qui" TargetMode="External"/><Relationship Id="rId413" Type="http://schemas.openxmlformats.org/officeDocument/2006/relationships/hyperlink" Target="https://via.placeholder.com/300x650.png/00eedd?text=Smartphone+ipsum" TargetMode="External"/><Relationship Id="rId655" Type="http://schemas.openxmlformats.org/officeDocument/2006/relationships/hyperlink" Target="https://via.placeholder.com/300x650.png/00cc99?text=Smartphone+nesciunt" TargetMode="External"/><Relationship Id="rId897" Type="http://schemas.openxmlformats.org/officeDocument/2006/relationships/hyperlink" Target="https://via.placeholder.com/300x650.png/0088cc?text=Smartphone+pariatur" TargetMode="External"/><Relationship Id="rId412" Type="http://schemas.openxmlformats.org/officeDocument/2006/relationships/hyperlink" Target="https://via.placeholder.com/300x650.png/0099cc?text=Smartphone+porro" TargetMode="External"/><Relationship Id="rId654" Type="http://schemas.openxmlformats.org/officeDocument/2006/relationships/hyperlink" Target="https://via.placeholder.com/300x650.png/00eecc?text=Smartphone+et" TargetMode="External"/><Relationship Id="rId896" Type="http://schemas.openxmlformats.org/officeDocument/2006/relationships/hyperlink" Target="https://via.placeholder.com/300x650.png/0055ff?text=Smartphone+qui" TargetMode="External"/><Relationship Id="rId419" Type="http://schemas.openxmlformats.org/officeDocument/2006/relationships/hyperlink" Target="https://via.placeholder.com/300x650.png/00dd33?text=Smartphone+eum" TargetMode="External"/><Relationship Id="rId418" Type="http://schemas.openxmlformats.org/officeDocument/2006/relationships/hyperlink" Target="https://via.placeholder.com/300x650.png/00eeee?text=Smartphone+et" TargetMode="External"/><Relationship Id="rId417" Type="http://schemas.openxmlformats.org/officeDocument/2006/relationships/hyperlink" Target="https://via.placeholder.com/300x650.png/0099dd?text=Smartphone+delectus" TargetMode="External"/><Relationship Id="rId659" Type="http://schemas.openxmlformats.org/officeDocument/2006/relationships/hyperlink" Target="https://via.placeholder.com/300x650.png/0099ee?text=Smartphone+non" TargetMode="External"/><Relationship Id="rId416" Type="http://schemas.openxmlformats.org/officeDocument/2006/relationships/hyperlink" Target="https://via.placeholder.com/300x650.png/008822?text=Smartphone+consequatur" TargetMode="External"/><Relationship Id="rId658" Type="http://schemas.openxmlformats.org/officeDocument/2006/relationships/hyperlink" Target="https://via.placeholder.com/300x650.png/004488?text=Smartphone+magni" TargetMode="External"/><Relationship Id="rId891" Type="http://schemas.openxmlformats.org/officeDocument/2006/relationships/hyperlink" Target="https://via.placeholder.com/300x650.png/00aadd?text=Smartphone+aut" TargetMode="External"/><Relationship Id="rId890" Type="http://schemas.openxmlformats.org/officeDocument/2006/relationships/hyperlink" Target="https://via.placeholder.com/300x650.png/0055ee?text=Smartphone+non" TargetMode="External"/><Relationship Id="rId411" Type="http://schemas.openxmlformats.org/officeDocument/2006/relationships/hyperlink" Target="https://via.placeholder.com/300x650.png/00ffff?text=Smartphone+iure" TargetMode="External"/><Relationship Id="rId653" Type="http://schemas.openxmlformats.org/officeDocument/2006/relationships/hyperlink" Target="https://via.placeholder.com/300x650.png/00ccbb?text=Smartphone+possimus" TargetMode="External"/><Relationship Id="rId895" Type="http://schemas.openxmlformats.org/officeDocument/2006/relationships/hyperlink" Target="https://via.placeholder.com/300x650.png/000022?text=Smartphone+laboriosam" TargetMode="External"/><Relationship Id="rId1000" Type="http://schemas.openxmlformats.org/officeDocument/2006/relationships/hyperlink" Target="https://via.placeholder.com/300x650.png/005555?text=Smartphone+veniam" TargetMode="External"/><Relationship Id="rId410" Type="http://schemas.openxmlformats.org/officeDocument/2006/relationships/hyperlink" Target="https://via.placeholder.com/300x650.png/00ff99?text=Smartphone+libero" TargetMode="External"/><Relationship Id="rId652" Type="http://schemas.openxmlformats.org/officeDocument/2006/relationships/hyperlink" Target="https://via.placeholder.com/300x650.png/0099cc?text=Smartphone+a" TargetMode="External"/><Relationship Id="rId894" Type="http://schemas.openxmlformats.org/officeDocument/2006/relationships/hyperlink" Target="https://via.placeholder.com/300x650.png/00eeff?text=Smartphone+similique" TargetMode="External"/><Relationship Id="rId1001" Type="http://schemas.openxmlformats.org/officeDocument/2006/relationships/hyperlink" Target="https://via.placeholder.com/300x650.png/00cc88?text=Smartphone+consequatur" TargetMode="External"/><Relationship Id="rId651" Type="http://schemas.openxmlformats.org/officeDocument/2006/relationships/hyperlink" Target="https://via.placeholder.com/300x650.png/00ff44?text=Smartphone+facilis" TargetMode="External"/><Relationship Id="rId893" Type="http://schemas.openxmlformats.org/officeDocument/2006/relationships/hyperlink" Target="https://via.placeholder.com/300x650.png/008877?text=Smartphone+qui" TargetMode="External"/><Relationship Id="rId1002" Type="http://schemas.openxmlformats.org/officeDocument/2006/relationships/drawing" Target="../drawings/drawing7.xml"/><Relationship Id="rId650" Type="http://schemas.openxmlformats.org/officeDocument/2006/relationships/hyperlink" Target="https://via.placeholder.com/300x650.png/005544?text=Smartphone+optio" TargetMode="External"/><Relationship Id="rId892" Type="http://schemas.openxmlformats.org/officeDocument/2006/relationships/hyperlink" Target="https://via.placeholder.com/300x650.png/0099cc?text=Smartphone+repudiandae" TargetMode="External"/><Relationship Id="rId206" Type="http://schemas.openxmlformats.org/officeDocument/2006/relationships/hyperlink" Target="https://via.placeholder.com/300x650.png/009955?text=Smartphone+sit" TargetMode="External"/><Relationship Id="rId448" Type="http://schemas.openxmlformats.org/officeDocument/2006/relationships/hyperlink" Target="https://via.placeholder.com/300x650.png/00ee88?text=Smartphone+labore" TargetMode="External"/><Relationship Id="rId205" Type="http://schemas.openxmlformats.org/officeDocument/2006/relationships/hyperlink" Target="https://via.placeholder.com/300x650.png/006688?text=Smartphone+dolores" TargetMode="External"/><Relationship Id="rId447" Type="http://schemas.openxmlformats.org/officeDocument/2006/relationships/hyperlink" Target="https://via.placeholder.com/300x650.png/003355?text=Smartphone+et" TargetMode="External"/><Relationship Id="rId689" Type="http://schemas.openxmlformats.org/officeDocument/2006/relationships/hyperlink" Target="https://via.placeholder.com/300x650.png/005544?text=Smartphone+et" TargetMode="External"/><Relationship Id="rId204" Type="http://schemas.openxmlformats.org/officeDocument/2006/relationships/hyperlink" Target="https://via.placeholder.com/300x650.png/0066aa?text=Smartphone+quo" TargetMode="External"/><Relationship Id="rId446" Type="http://schemas.openxmlformats.org/officeDocument/2006/relationships/hyperlink" Target="https://via.placeholder.com/300x650.png/008899?text=Smartphone+iusto" TargetMode="External"/><Relationship Id="rId688" Type="http://schemas.openxmlformats.org/officeDocument/2006/relationships/hyperlink" Target="https://via.placeholder.com/300x650.png/0077aa?text=Smartphone+velit" TargetMode="External"/><Relationship Id="rId203" Type="http://schemas.openxmlformats.org/officeDocument/2006/relationships/hyperlink" Target="https://via.placeholder.com/300x650.png/00ee88?text=Smartphone+molestias" TargetMode="External"/><Relationship Id="rId445" Type="http://schemas.openxmlformats.org/officeDocument/2006/relationships/hyperlink" Target="https://via.placeholder.com/300x650.png/000055?text=Smartphone+animi" TargetMode="External"/><Relationship Id="rId687" Type="http://schemas.openxmlformats.org/officeDocument/2006/relationships/hyperlink" Target="https://via.placeholder.com/300x650.png/00eedd?text=Smartphone+voluptatem" TargetMode="External"/><Relationship Id="rId209" Type="http://schemas.openxmlformats.org/officeDocument/2006/relationships/hyperlink" Target="https://via.placeholder.com/300x650.png/0077ff?text=Smartphone+dolores" TargetMode="External"/><Relationship Id="rId208" Type="http://schemas.openxmlformats.org/officeDocument/2006/relationships/hyperlink" Target="https://via.placeholder.com/300x650.png/004466?text=Smartphone+optio" TargetMode="External"/><Relationship Id="rId207" Type="http://schemas.openxmlformats.org/officeDocument/2006/relationships/hyperlink" Target="https://via.placeholder.com/300x650.png/0066bb?text=Smartphone+voluptatem" TargetMode="External"/><Relationship Id="rId449" Type="http://schemas.openxmlformats.org/officeDocument/2006/relationships/hyperlink" Target="https://via.placeholder.com/300x650.png/00eeaa?text=Smartphone+cupiditate" TargetMode="External"/><Relationship Id="rId440" Type="http://schemas.openxmlformats.org/officeDocument/2006/relationships/hyperlink" Target="https://via.placeholder.com/300x650.png/0011ff?text=Smartphone+non" TargetMode="External"/><Relationship Id="rId682" Type="http://schemas.openxmlformats.org/officeDocument/2006/relationships/hyperlink" Target="https://via.placeholder.com/300x650.png/008899?text=Smartphone+ratione" TargetMode="External"/><Relationship Id="rId681" Type="http://schemas.openxmlformats.org/officeDocument/2006/relationships/hyperlink" Target="https://via.placeholder.com/300x650.png/00aaee?text=Smartphone+amet" TargetMode="External"/><Relationship Id="rId680" Type="http://schemas.openxmlformats.org/officeDocument/2006/relationships/hyperlink" Target="https://via.placeholder.com/300x650.png/00ffdd?text=Smartphone+ipsa" TargetMode="External"/><Relationship Id="rId202" Type="http://schemas.openxmlformats.org/officeDocument/2006/relationships/hyperlink" Target="https://via.placeholder.com/300x650.png/004400?text=Smartphone+quam" TargetMode="External"/><Relationship Id="rId444" Type="http://schemas.openxmlformats.org/officeDocument/2006/relationships/hyperlink" Target="https://via.placeholder.com/300x650.png/005599?text=Smartphone+blanditiis" TargetMode="External"/><Relationship Id="rId686" Type="http://schemas.openxmlformats.org/officeDocument/2006/relationships/hyperlink" Target="https://via.placeholder.com/300x650.png/003311?text=Smartphone+dolor" TargetMode="External"/><Relationship Id="rId201" Type="http://schemas.openxmlformats.org/officeDocument/2006/relationships/hyperlink" Target="https://via.placeholder.com/300x650.png/000044?text=Smartphone+excepturi" TargetMode="External"/><Relationship Id="rId443" Type="http://schemas.openxmlformats.org/officeDocument/2006/relationships/hyperlink" Target="https://via.placeholder.com/300x650.png/00ee88?text=Smartphone+tenetur" TargetMode="External"/><Relationship Id="rId685" Type="http://schemas.openxmlformats.org/officeDocument/2006/relationships/hyperlink" Target="https://via.placeholder.com/300x650.png/00ddee?text=Smartphone+eum" TargetMode="External"/><Relationship Id="rId200" Type="http://schemas.openxmlformats.org/officeDocument/2006/relationships/hyperlink" Target="https://via.placeholder.com/300x650.png/00ff00?text=Smartphone+voluptas" TargetMode="External"/><Relationship Id="rId442" Type="http://schemas.openxmlformats.org/officeDocument/2006/relationships/hyperlink" Target="https://via.placeholder.com/300x650.png/009977?text=Smartphone+aut" TargetMode="External"/><Relationship Id="rId684" Type="http://schemas.openxmlformats.org/officeDocument/2006/relationships/hyperlink" Target="https://via.placeholder.com/300x650.png/00dd44?text=Smartphone+cum" TargetMode="External"/><Relationship Id="rId441" Type="http://schemas.openxmlformats.org/officeDocument/2006/relationships/hyperlink" Target="https://via.placeholder.com/300x650.png/00ee00?text=Smartphone+natus" TargetMode="External"/><Relationship Id="rId683" Type="http://schemas.openxmlformats.org/officeDocument/2006/relationships/hyperlink" Target="https://via.placeholder.com/300x650.png/000000?text=Smartphone+nostrum" TargetMode="External"/><Relationship Id="rId437" Type="http://schemas.openxmlformats.org/officeDocument/2006/relationships/hyperlink" Target="https://via.placeholder.com/300x650.png/00ee11?text=Smartphone+nisi" TargetMode="External"/><Relationship Id="rId679" Type="http://schemas.openxmlformats.org/officeDocument/2006/relationships/hyperlink" Target="https://via.placeholder.com/300x650.png/00aaaa?text=Smartphone+et" TargetMode="External"/><Relationship Id="rId436" Type="http://schemas.openxmlformats.org/officeDocument/2006/relationships/hyperlink" Target="https://via.placeholder.com/300x650.png/004477?text=Smartphone+aut" TargetMode="External"/><Relationship Id="rId678" Type="http://schemas.openxmlformats.org/officeDocument/2006/relationships/hyperlink" Target="https://via.placeholder.com/300x650.png/0044ff?text=Smartphone+qui" TargetMode="External"/><Relationship Id="rId435" Type="http://schemas.openxmlformats.org/officeDocument/2006/relationships/hyperlink" Target="https://via.placeholder.com/300x650.png/00ddaa?text=Smartphone+dolores" TargetMode="External"/><Relationship Id="rId677" Type="http://schemas.openxmlformats.org/officeDocument/2006/relationships/hyperlink" Target="https://via.placeholder.com/300x650.png/006677?text=Smartphone+aut" TargetMode="External"/><Relationship Id="rId434" Type="http://schemas.openxmlformats.org/officeDocument/2006/relationships/hyperlink" Target="https://via.placeholder.com/300x650.png/0055bb?text=Smartphone+ipsum" TargetMode="External"/><Relationship Id="rId676" Type="http://schemas.openxmlformats.org/officeDocument/2006/relationships/hyperlink" Target="https://via.placeholder.com/300x650.png/00ccee?text=Smartphone+temporibus" TargetMode="External"/><Relationship Id="rId439" Type="http://schemas.openxmlformats.org/officeDocument/2006/relationships/hyperlink" Target="https://via.placeholder.com/300x650.png/002288?text=Smartphone+voluptatibus" TargetMode="External"/><Relationship Id="rId438" Type="http://schemas.openxmlformats.org/officeDocument/2006/relationships/hyperlink" Target="https://via.placeholder.com/300x650.png/0099ff?text=Smartphone+inventore" TargetMode="External"/><Relationship Id="rId671" Type="http://schemas.openxmlformats.org/officeDocument/2006/relationships/hyperlink" Target="https://via.placeholder.com/300x650.png/004477?text=Smartphone+soluta" TargetMode="External"/><Relationship Id="rId670" Type="http://schemas.openxmlformats.org/officeDocument/2006/relationships/hyperlink" Target="https://via.placeholder.com/300x650.png/004444?text=Smartphone+tenetur" TargetMode="External"/><Relationship Id="rId433" Type="http://schemas.openxmlformats.org/officeDocument/2006/relationships/hyperlink" Target="https://via.placeholder.com/300x650.png/006622?text=Smartphone+est" TargetMode="External"/><Relationship Id="rId675" Type="http://schemas.openxmlformats.org/officeDocument/2006/relationships/hyperlink" Target="https://via.placeholder.com/300x650.png/001122?text=Smartphone+numquam" TargetMode="External"/><Relationship Id="rId432" Type="http://schemas.openxmlformats.org/officeDocument/2006/relationships/hyperlink" Target="https://via.placeholder.com/300x650.png/001177?text=Smartphone+sint" TargetMode="External"/><Relationship Id="rId674" Type="http://schemas.openxmlformats.org/officeDocument/2006/relationships/hyperlink" Target="https://via.placeholder.com/300x650.png/00aa55?text=Smartphone+eius" TargetMode="External"/><Relationship Id="rId431" Type="http://schemas.openxmlformats.org/officeDocument/2006/relationships/hyperlink" Target="https://via.placeholder.com/300x650.png/00dd00?text=Smartphone+natus" TargetMode="External"/><Relationship Id="rId673" Type="http://schemas.openxmlformats.org/officeDocument/2006/relationships/hyperlink" Target="https://via.placeholder.com/300x650.png/001177?text=Smartphone+iure" TargetMode="External"/><Relationship Id="rId430" Type="http://schemas.openxmlformats.org/officeDocument/2006/relationships/hyperlink" Target="https://via.placeholder.com/300x650.png/0099cc?text=Smartphone+qui" TargetMode="External"/><Relationship Id="rId672" Type="http://schemas.openxmlformats.org/officeDocument/2006/relationships/hyperlink" Target="https://via.placeholder.com/300x650.png/002222?text=Smartphone+laboru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7" max="7" width="22.43"/>
  </cols>
  <sheetData>
    <row r="1">
      <c r="A1" s="1" t="str">
        <f>IFERROR(__xludf.DUMMYFUNCTION("importrange(""1uKmEoz6CJ30uxhq0p3iiltPQgYZKxWARClhrrgcHL_I"",""Inventory View for Website!A:G"")"),"Consolidated inventory for website updating - Responsibility : Vikas")</f>
        <v>Consolidated inventory for website updating - Responsibility : Vikas</v>
      </c>
      <c r="B1" s="1"/>
      <c r="D1" s="2"/>
      <c r="F1" s="3"/>
    </row>
    <row r="2">
      <c r="A2" s="1"/>
      <c r="B2" s="1"/>
      <c r="D2" s="2"/>
      <c r="F2" s="3"/>
    </row>
    <row r="3">
      <c r="A3" s="1" t="str">
        <f>IFERROR(__xludf.DUMMYFUNCTION("""COMPUTED_VALUE"""),"SUM of Available Qty.")</f>
        <v>SUM of Available Qty.</v>
      </c>
      <c r="B3" s="1"/>
      <c r="C3" t="str">
        <f>IFERROR(__xludf.DUMMYFUNCTION("""COMPUTED_VALUE"""),"Grade for sales")</f>
        <v>Grade for sales</v>
      </c>
      <c r="D3" s="2"/>
      <c r="F3" s="3"/>
    </row>
    <row r="4">
      <c r="A4" s="1" t="str">
        <f>IFERROR(__xludf.DUMMYFUNCTION("""COMPUTED_VALUE"""),"Model Details")</f>
        <v>Model Details</v>
      </c>
      <c r="B4" s="1" t="str">
        <f>IFERROR(__xludf.DUMMYFUNCTION("""COMPUTED_VALUE"""),"Color")</f>
        <v>Color</v>
      </c>
      <c r="C4" t="str">
        <f>IFERROR(__xludf.DUMMYFUNCTION("""COMPUTED_VALUE"""),"A")</f>
        <v>A</v>
      </c>
      <c r="D4" s="2" t="str">
        <f>IFERROR(__xludf.DUMMYFUNCTION("""COMPUTED_VALUE"""),"A+")</f>
        <v>A+</v>
      </c>
      <c r="E4" t="str">
        <f>IFERROR(__xludf.DUMMYFUNCTION("""COMPUTED_VALUE"""),"Grand Total")</f>
        <v>Grand Total</v>
      </c>
      <c r="F4" s="3"/>
    </row>
    <row r="5">
      <c r="A5" s="4" t="str">
        <f>IFERROR(__xludf.DUMMYFUNCTION("""COMPUTED_VALUE"""),"Apple iPhone 6 (1 GB/32 GB)")</f>
        <v>Apple iPhone 6 (1 GB/32 GB)</v>
      </c>
      <c r="B5" s="1" t="str">
        <f>IFERROR(__xludf.DUMMYFUNCTION("""COMPUTED_VALUE"""),"GOLD")</f>
        <v>GOLD</v>
      </c>
      <c r="C5" s="5">
        <f>IFERROR(__xludf.DUMMYFUNCTION("""COMPUTED_VALUE"""),1.0)</f>
        <v>1</v>
      </c>
      <c r="D5" s="6"/>
      <c r="E5" s="7">
        <f>IFERROR(__xludf.DUMMYFUNCTION("""COMPUTED_VALUE"""),1.0)</f>
        <v>1</v>
      </c>
      <c r="F5" s="8"/>
    </row>
    <row r="6">
      <c r="A6" s="4"/>
      <c r="B6" s="4" t="str">
        <f>IFERROR(__xludf.DUMMYFUNCTION("""COMPUTED_VALUE"""),"GREY")</f>
        <v>GREY</v>
      </c>
      <c r="C6" s="9">
        <f>IFERROR(__xludf.DUMMYFUNCTION("""COMPUTED_VALUE"""),3.0)</f>
        <v>3</v>
      </c>
      <c r="D6" s="10"/>
      <c r="E6" s="11">
        <f>IFERROR(__xludf.DUMMYFUNCTION("""COMPUTED_VALUE"""),3.0)</f>
        <v>3</v>
      </c>
      <c r="F6" s="12"/>
      <c r="G6" s="13"/>
      <c r="H6" s="13"/>
      <c r="I6" s="13"/>
      <c r="J6" s="13"/>
      <c r="K6" s="13"/>
      <c r="L6" s="13"/>
      <c r="M6" s="13"/>
      <c r="N6" s="13"/>
      <c r="O6" s="13"/>
      <c r="P6" s="13"/>
      <c r="Q6" s="13"/>
      <c r="R6" s="13"/>
      <c r="S6" s="13"/>
      <c r="T6" s="13"/>
      <c r="U6" s="13"/>
      <c r="V6" s="13"/>
      <c r="W6" s="13"/>
      <c r="X6" s="13"/>
      <c r="Y6" s="13"/>
      <c r="Z6" s="13"/>
    </row>
    <row r="7">
      <c r="A7" s="4" t="str">
        <f>IFERROR(__xludf.DUMMYFUNCTION("""COMPUTED_VALUE"""),"Apple iPhone 6S (2 GB/32 GB)")</f>
        <v>Apple iPhone 6S (2 GB/32 GB)</v>
      </c>
      <c r="B7" s="1" t="str">
        <f>IFERROR(__xludf.DUMMYFUNCTION("""COMPUTED_VALUE"""),"ROSE GOLD")</f>
        <v>ROSE GOLD</v>
      </c>
      <c r="C7" s="5">
        <f>IFERROR(__xludf.DUMMYFUNCTION("""COMPUTED_VALUE"""),1.0)</f>
        <v>1</v>
      </c>
      <c r="D7" s="6"/>
      <c r="E7" s="7">
        <f>IFERROR(__xludf.DUMMYFUNCTION("""COMPUTED_VALUE"""),1.0)</f>
        <v>1</v>
      </c>
      <c r="F7" s="8"/>
    </row>
    <row r="8">
      <c r="A8" s="4" t="str">
        <f>IFERROR(__xludf.DUMMYFUNCTION("""COMPUTED_VALUE"""),"Apple iPhone 6S Plus (2 GB/32 GB)")</f>
        <v>Apple iPhone 6S Plus (2 GB/32 GB)</v>
      </c>
      <c r="B8" s="4" t="str">
        <f>IFERROR(__xludf.DUMMYFUNCTION("""COMPUTED_VALUE"""),"GOLD")</f>
        <v>GOLD</v>
      </c>
      <c r="C8" s="9">
        <f>IFERROR(__xludf.DUMMYFUNCTION("""COMPUTED_VALUE"""),1.0)</f>
        <v>1</v>
      </c>
      <c r="D8" s="10"/>
      <c r="E8" s="11">
        <f>IFERROR(__xludf.DUMMYFUNCTION("""COMPUTED_VALUE"""),1.0)</f>
        <v>1</v>
      </c>
      <c r="F8" s="12"/>
      <c r="G8" s="14"/>
      <c r="H8" s="13"/>
      <c r="I8" s="13"/>
      <c r="J8" s="13"/>
      <c r="K8" s="13"/>
      <c r="L8" s="13"/>
      <c r="M8" s="13"/>
      <c r="N8" s="13"/>
      <c r="O8" s="13"/>
      <c r="P8" s="13"/>
      <c r="Q8" s="13"/>
      <c r="R8" s="13"/>
      <c r="S8" s="13"/>
      <c r="T8" s="13"/>
      <c r="U8" s="13"/>
      <c r="V8" s="13"/>
      <c r="W8" s="13"/>
      <c r="X8" s="13"/>
      <c r="Y8" s="13"/>
      <c r="Z8" s="13"/>
    </row>
    <row r="9">
      <c r="A9" s="4" t="str">
        <f>IFERROR(__xludf.DUMMYFUNCTION("""COMPUTED_VALUE"""),"Apple iPhone 7 (2 GB/128 GB)")</f>
        <v>Apple iPhone 7 (2 GB/128 GB)</v>
      </c>
      <c r="B9" s="4" t="str">
        <f>IFERROR(__xludf.DUMMYFUNCTION("""COMPUTED_VALUE"""),"GOLD")</f>
        <v>GOLD</v>
      </c>
      <c r="C9" s="11">
        <f>IFERROR(__xludf.DUMMYFUNCTION("""COMPUTED_VALUE"""),1.0)</f>
        <v>1</v>
      </c>
      <c r="D9" s="10"/>
      <c r="E9" s="11">
        <f>IFERROR(__xludf.DUMMYFUNCTION("""COMPUTED_VALUE"""),1.0)</f>
        <v>1</v>
      </c>
      <c r="F9" s="12"/>
      <c r="G9" s="15"/>
      <c r="H9" s="13"/>
      <c r="I9" s="13"/>
      <c r="J9" s="13"/>
      <c r="K9" s="13"/>
      <c r="L9" s="13"/>
      <c r="M9" s="13"/>
      <c r="N9" s="13"/>
      <c r="O9" s="13"/>
      <c r="P9" s="13"/>
      <c r="Q9" s="13"/>
      <c r="R9" s="13"/>
      <c r="S9" s="13"/>
      <c r="T9" s="13"/>
      <c r="U9" s="13"/>
      <c r="V9" s="13"/>
      <c r="W9" s="13"/>
      <c r="X9" s="13"/>
      <c r="Y9" s="13"/>
      <c r="Z9" s="13"/>
    </row>
    <row r="10">
      <c r="A10" s="4" t="str">
        <f>IFERROR(__xludf.DUMMYFUNCTION("""COMPUTED_VALUE"""),"Apple iPhone 7 (2 GB/32 GB)")</f>
        <v>Apple iPhone 7 (2 GB/32 GB)</v>
      </c>
      <c r="B10" s="4" t="str">
        <f>IFERROR(__xludf.DUMMYFUNCTION("""COMPUTED_VALUE"""),"BLACK")</f>
        <v>BLACK</v>
      </c>
      <c r="C10" s="11">
        <f>IFERROR(__xludf.DUMMYFUNCTION("""COMPUTED_VALUE"""),4.0)</f>
        <v>4</v>
      </c>
      <c r="D10" s="10"/>
      <c r="E10" s="11">
        <f>IFERROR(__xludf.DUMMYFUNCTION("""COMPUTED_VALUE"""),4.0)</f>
        <v>4</v>
      </c>
      <c r="F10" s="12"/>
      <c r="G10" s="15"/>
      <c r="H10" s="13"/>
      <c r="I10" s="13"/>
      <c r="J10" s="13"/>
      <c r="K10" s="13"/>
      <c r="L10" s="13"/>
      <c r="M10" s="13"/>
      <c r="N10" s="13"/>
      <c r="O10" s="13"/>
      <c r="P10" s="13"/>
      <c r="Q10" s="13"/>
      <c r="R10" s="13"/>
      <c r="S10" s="13"/>
      <c r="T10" s="13"/>
      <c r="U10" s="13"/>
      <c r="V10" s="13"/>
      <c r="W10" s="13"/>
      <c r="X10" s="13"/>
      <c r="Y10" s="13"/>
      <c r="Z10" s="13"/>
    </row>
    <row r="11">
      <c r="A11" s="4"/>
      <c r="B11" s="1" t="str">
        <f>IFERROR(__xludf.DUMMYFUNCTION("""COMPUTED_VALUE"""),"GOLD")</f>
        <v>GOLD</v>
      </c>
      <c r="C11" s="7">
        <f>IFERROR(__xludf.DUMMYFUNCTION("""COMPUTED_VALUE"""),1.0)</f>
        <v>1</v>
      </c>
      <c r="D11" s="6"/>
      <c r="E11" s="7">
        <f>IFERROR(__xludf.DUMMYFUNCTION("""COMPUTED_VALUE"""),1.0)</f>
        <v>1</v>
      </c>
      <c r="F11" s="8"/>
      <c r="G11" s="16"/>
    </row>
    <row r="12">
      <c r="A12" s="4"/>
      <c r="B12" s="4" t="str">
        <f>IFERROR(__xludf.DUMMYFUNCTION("""COMPUTED_VALUE"""),"ROSE GOLD")</f>
        <v>ROSE GOLD</v>
      </c>
      <c r="C12" s="11">
        <f>IFERROR(__xludf.DUMMYFUNCTION("""COMPUTED_VALUE"""),1.0)</f>
        <v>1</v>
      </c>
      <c r="D12" s="10"/>
      <c r="E12" s="11">
        <f>IFERROR(__xludf.DUMMYFUNCTION("""COMPUTED_VALUE"""),1.0)</f>
        <v>1</v>
      </c>
      <c r="F12" s="12"/>
      <c r="G12" s="17"/>
      <c r="H12" s="13"/>
      <c r="I12" s="13"/>
      <c r="J12" s="13"/>
      <c r="K12" s="13"/>
      <c r="L12" s="13"/>
      <c r="M12" s="13"/>
      <c r="N12" s="13"/>
      <c r="O12" s="13"/>
      <c r="P12" s="13"/>
      <c r="Q12" s="13"/>
      <c r="R12" s="13"/>
      <c r="S12" s="13"/>
      <c r="T12" s="13"/>
      <c r="U12" s="13"/>
      <c r="V12" s="13"/>
      <c r="W12" s="13"/>
      <c r="X12" s="13"/>
      <c r="Y12" s="13"/>
      <c r="Z12" s="13"/>
    </row>
    <row r="13">
      <c r="A13" s="4" t="str">
        <f>IFERROR(__xludf.DUMMYFUNCTION("""COMPUTED_VALUE"""),"Apple iPhone XS Max (4 GB/64 GB)")</f>
        <v>Apple iPhone XS Max (4 GB/64 GB)</v>
      </c>
      <c r="B13" s="4" t="str">
        <f>IFERROR(__xludf.DUMMYFUNCTION("""COMPUTED_VALUE"""),"GREY")</f>
        <v>GREY</v>
      </c>
      <c r="C13" s="11">
        <f>IFERROR(__xludf.DUMMYFUNCTION("""COMPUTED_VALUE"""),1.0)</f>
        <v>1</v>
      </c>
      <c r="D13" s="10"/>
      <c r="E13" s="11">
        <f>IFERROR(__xludf.DUMMYFUNCTION("""COMPUTED_VALUE"""),1.0)</f>
        <v>1</v>
      </c>
      <c r="F13" s="12"/>
      <c r="G13" s="15"/>
      <c r="H13" s="13"/>
      <c r="I13" s="13"/>
      <c r="J13" s="13"/>
      <c r="K13" s="13"/>
      <c r="L13" s="13"/>
      <c r="M13" s="13"/>
      <c r="N13" s="13"/>
      <c r="O13" s="13"/>
      <c r="P13" s="13"/>
      <c r="Q13" s="13"/>
      <c r="R13" s="13"/>
      <c r="S13" s="13"/>
      <c r="T13" s="13"/>
      <c r="U13" s="13"/>
      <c r="V13" s="13"/>
      <c r="W13" s="13"/>
      <c r="X13" s="13"/>
      <c r="Y13" s="13"/>
      <c r="Z13" s="13"/>
    </row>
    <row r="14">
      <c r="A14" s="4" t="str">
        <f>IFERROR(__xludf.DUMMYFUNCTION("""COMPUTED_VALUE"""),"Lenovo Vibe K5 Plus (3 GB/16 GB)")</f>
        <v>Lenovo Vibe K5 Plus (3 GB/16 GB)</v>
      </c>
      <c r="B14" s="4" t="str">
        <f>IFERROR(__xludf.DUMMYFUNCTION("""COMPUTED_VALUE"""),"SILVER")</f>
        <v>SILVER</v>
      </c>
      <c r="C14" s="11">
        <f>IFERROR(__xludf.DUMMYFUNCTION("""COMPUTED_VALUE"""),1.0)</f>
        <v>1</v>
      </c>
      <c r="D14" s="10"/>
      <c r="E14" s="11">
        <f>IFERROR(__xludf.DUMMYFUNCTION("""COMPUTED_VALUE"""),1.0)</f>
        <v>1</v>
      </c>
      <c r="F14" s="18"/>
      <c r="G14" s="15"/>
      <c r="H14" s="13"/>
      <c r="I14" s="13"/>
      <c r="J14" s="13"/>
      <c r="K14" s="13"/>
      <c r="L14" s="13"/>
      <c r="M14" s="13"/>
      <c r="N14" s="13"/>
      <c r="O14" s="13"/>
      <c r="P14" s="13"/>
      <c r="Q14" s="13"/>
      <c r="R14" s="13"/>
      <c r="S14" s="13"/>
      <c r="T14" s="13"/>
      <c r="U14" s="13"/>
      <c r="V14" s="13"/>
      <c r="W14" s="13"/>
      <c r="X14" s="13"/>
      <c r="Y14" s="13"/>
      <c r="Z14" s="13"/>
    </row>
    <row r="15">
      <c r="A15" s="4" t="str">
        <f>IFERROR(__xludf.DUMMYFUNCTION("""COMPUTED_VALUE"""),"OnePlus 6 (6 GB/64 GB)")</f>
        <v>OnePlus 6 (6 GB/64 GB)</v>
      </c>
      <c r="B15" s="1" t="str">
        <f>IFERROR(__xludf.DUMMYFUNCTION("""COMPUTED_VALUE"""),"BLACK")</f>
        <v>BLACK</v>
      </c>
      <c r="C15" s="7">
        <f>IFERROR(__xludf.DUMMYFUNCTION("""COMPUTED_VALUE"""),2.0)</f>
        <v>2</v>
      </c>
      <c r="D15" s="6"/>
      <c r="E15" s="7">
        <f>IFERROR(__xludf.DUMMYFUNCTION("""COMPUTED_VALUE"""),2.0)</f>
        <v>2</v>
      </c>
      <c r="F15" s="19"/>
      <c r="G15" s="16"/>
    </row>
    <row r="16">
      <c r="A16" s="4" t="str">
        <f>IFERROR(__xludf.DUMMYFUNCTION("""COMPUTED_VALUE"""),"OnePlus 6T (6 GB/128 GB)")</f>
        <v>OnePlus 6T (6 GB/128 GB)</v>
      </c>
      <c r="B16" s="1" t="str">
        <f>IFERROR(__xludf.DUMMYFUNCTION("""COMPUTED_VALUE"""),"BLACK")</f>
        <v>BLACK</v>
      </c>
      <c r="C16" s="7">
        <f>IFERROR(__xludf.DUMMYFUNCTION("""COMPUTED_VALUE"""),1.0)</f>
        <v>1</v>
      </c>
      <c r="D16" s="6"/>
      <c r="E16" s="7">
        <f>IFERROR(__xludf.DUMMYFUNCTION("""COMPUTED_VALUE"""),1.0)</f>
        <v>1</v>
      </c>
      <c r="F16" s="19"/>
      <c r="G16" s="16"/>
    </row>
    <row r="17">
      <c r="A17" s="4" t="str">
        <f>IFERROR(__xludf.DUMMYFUNCTION("""COMPUTED_VALUE"""),"ONEPLUS 7 (6 GB/128 GB)")</f>
        <v>ONEPLUS 7 (6 GB/128 GB)</v>
      </c>
      <c r="B17" s="1" t="str">
        <f>IFERROR(__xludf.DUMMYFUNCTION("""COMPUTED_VALUE"""),"GREY")</f>
        <v>GREY</v>
      </c>
      <c r="C17" s="7">
        <f>IFERROR(__xludf.DUMMYFUNCTION("""COMPUTED_VALUE"""),1.0)</f>
        <v>1</v>
      </c>
      <c r="D17" s="6"/>
      <c r="E17" s="7">
        <f>IFERROR(__xludf.DUMMYFUNCTION("""COMPUTED_VALUE"""),1.0)</f>
        <v>1</v>
      </c>
      <c r="F17" s="19"/>
      <c r="G17" s="16"/>
    </row>
    <row r="18">
      <c r="A18" s="4" t="str">
        <f>IFERROR(__xludf.DUMMYFUNCTION("""COMPUTED_VALUE"""),"ONEPLUS 8 (6 GB/128 GB)")</f>
        <v>ONEPLUS 8 (6 GB/128 GB)</v>
      </c>
      <c r="B18" s="1" t="str">
        <f>IFERROR(__xludf.DUMMYFUNCTION("""COMPUTED_VALUE"""),"GREEN")</f>
        <v>GREEN</v>
      </c>
      <c r="D18" s="20">
        <f>IFERROR(__xludf.DUMMYFUNCTION("""COMPUTED_VALUE"""),1.0)</f>
        <v>1</v>
      </c>
      <c r="E18" s="7">
        <f>IFERROR(__xludf.DUMMYFUNCTION("""COMPUTED_VALUE"""),1.0)</f>
        <v>1</v>
      </c>
      <c r="F18" s="8"/>
      <c r="G18" s="21"/>
    </row>
    <row r="19">
      <c r="A19" s="4" t="str">
        <f>IFERROR(__xludf.DUMMYFUNCTION("""COMPUTED_VALUE"""),"OnePlus Nord (12 GB/256 GB)")</f>
        <v>OnePlus Nord (12 GB/256 GB)</v>
      </c>
      <c r="B19" s="1" t="str">
        <f>IFERROR(__xludf.DUMMYFUNCTION("""COMPUTED_VALUE"""),"BLUE")</f>
        <v>BLUE</v>
      </c>
      <c r="C19" s="7">
        <f>IFERROR(__xludf.DUMMYFUNCTION("""COMPUTED_VALUE"""),1.0)</f>
        <v>1</v>
      </c>
      <c r="D19" s="6"/>
      <c r="E19" s="7">
        <f>IFERROR(__xludf.DUMMYFUNCTION("""COMPUTED_VALUE"""),1.0)</f>
        <v>1</v>
      </c>
      <c r="F19" s="19"/>
      <c r="G19" s="16"/>
    </row>
    <row r="20">
      <c r="A20" s="4" t="str">
        <f>IFERROR(__xludf.DUMMYFUNCTION("""COMPUTED_VALUE"""),"Oppo F17 (8 GB/128 GB)")</f>
        <v>Oppo F17 (8 GB/128 GB)</v>
      </c>
      <c r="B20" s="1" t="str">
        <f>IFERROR(__xludf.DUMMYFUNCTION("""COMPUTED_VALUE"""),"BLUE")</f>
        <v>BLUE</v>
      </c>
      <c r="C20" s="7">
        <f>IFERROR(__xludf.DUMMYFUNCTION("""COMPUTED_VALUE"""),1.0)</f>
        <v>1</v>
      </c>
      <c r="D20" s="6"/>
      <c r="E20" s="7">
        <f>IFERROR(__xludf.DUMMYFUNCTION("""COMPUTED_VALUE"""),1.0)</f>
        <v>1</v>
      </c>
      <c r="F20" s="19"/>
      <c r="G20" s="22"/>
    </row>
    <row r="21">
      <c r="A21" s="4" t="str">
        <f>IFERROR(__xludf.DUMMYFUNCTION("""COMPUTED_VALUE"""),"Oppo F5 (4 GB/32 GB)")</f>
        <v>Oppo F5 (4 GB/32 GB)</v>
      </c>
      <c r="B21" s="1" t="str">
        <f>IFERROR(__xludf.DUMMYFUNCTION("""COMPUTED_VALUE"""),"GOLD")</f>
        <v>GOLD</v>
      </c>
      <c r="C21" s="5">
        <f>IFERROR(__xludf.DUMMYFUNCTION("""COMPUTED_VALUE"""),1.0)</f>
        <v>1</v>
      </c>
      <c r="D21" s="6"/>
      <c r="E21" s="7">
        <f>IFERROR(__xludf.DUMMYFUNCTION("""COMPUTED_VALUE"""),1.0)</f>
        <v>1</v>
      </c>
      <c r="F21" s="19"/>
      <c r="G21" s="23"/>
    </row>
    <row r="22">
      <c r="A22" s="4" t="str">
        <f>IFERROR(__xludf.DUMMYFUNCTION("""COMPUTED_VALUE"""),"Xiaomi Mi A1 (4 GB/64 GB)")</f>
        <v>Xiaomi Mi A1 (4 GB/64 GB)</v>
      </c>
      <c r="B22" s="1" t="str">
        <f>IFERROR(__xludf.DUMMYFUNCTION("""COMPUTED_VALUE"""),"BLACK")</f>
        <v>BLACK</v>
      </c>
      <c r="C22" s="5">
        <f>IFERROR(__xludf.DUMMYFUNCTION("""COMPUTED_VALUE"""),1.0)</f>
        <v>1</v>
      </c>
      <c r="D22" s="2"/>
      <c r="E22" s="7">
        <f>IFERROR(__xludf.DUMMYFUNCTION("""COMPUTED_VALUE"""),1.0)</f>
        <v>1</v>
      </c>
      <c r="F22" s="19"/>
      <c r="G22" s="24"/>
    </row>
    <row r="23">
      <c r="A23" s="4" t="str">
        <f>IFERROR(__xludf.DUMMYFUNCTION("""COMPUTED_VALUE"""),"Xiaomi Mi A2 (4 GB/64 GB)")</f>
        <v>Xiaomi Mi A2 (4 GB/64 GB)</v>
      </c>
      <c r="B23" t="str">
        <f>IFERROR(__xludf.DUMMYFUNCTION("""COMPUTED_VALUE"""),"BLACK")</f>
        <v>BLACK</v>
      </c>
      <c r="C23" s="7">
        <f>IFERROR(__xludf.DUMMYFUNCTION("""COMPUTED_VALUE"""),3.0)</f>
        <v>3</v>
      </c>
      <c r="D23" s="2"/>
      <c r="E23" s="7">
        <f>IFERROR(__xludf.DUMMYFUNCTION("""COMPUTED_VALUE"""),3.0)</f>
        <v>3</v>
      </c>
      <c r="F23" s="19"/>
      <c r="G23" s="1"/>
    </row>
    <row r="24">
      <c r="A24" s="4"/>
      <c r="B24" s="1" t="str">
        <f>IFERROR(__xludf.DUMMYFUNCTION("""COMPUTED_VALUE"""),"ROSE GOLD")</f>
        <v>ROSE GOLD</v>
      </c>
      <c r="C24" s="7">
        <f>IFERROR(__xludf.DUMMYFUNCTION("""COMPUTED_VALUE"""),1.0)</f>
        <v>1</v>
      </c>
      <c r="D24" s="2"/>
      <c r="E24" s="7">
        <f>IFERROR(__xludf.DUMMYFUNCTION("""COMPUTED_VALUE"""),1.0)</f>
        <v>1</v>
      </c>
      <c r="F24" s="8"/>
      <c r="G24" s="25"/>
    </row>
    <row r="25">
      <c r="A25" s="4" t="str">
        <f>IFERROR(__xludf.DUMMYFUNCTION("""COMPUTED_VALUE"""),"Xiaomi Redmi 5A (2 GB/16 GB)")</f>
        <v>Xiaomi Redmi 5A (2 GB/16 GB)</v>
      </c>
      <c r="B25" s="1" t="str">
        <f>IFERROR(__xludf.DUMMYFUNCTION("""COMPUTED_VALUE"""),"GOLD")</f>
        <v>GOLD</v>
      </c>
      <c r="C25" s="7">
        <f>IFERROR(__xludf.DUMMYFUNCTION("""COMPUTED_VALUE"""),5.0)</f>
        <v>5</v>
      </c>
      <c r="D25" s="2"/>
      <c r="E25" s="7">
        <f>IFERROR(__xludf.DUMMYFUNCTION("""COMPUTED_VALUE"""),5.0)</f>
        <v>5</v>
      </c>
      <c r="F25" s="8"/>
      <c r="G25" s="25"/>
    </row>
    <row r="26">
      <c r="A26" s="4"/>
      <c r="B26" s="1" t="str">
        <f>IFERROR(__xludf.DUMMYFUNCTION("""COMPUTED_VALUE"""),"grey")</f>
        <v>grey</v>
      </c>
      <c r="C26" s="7">
        <f>IFERROR(__xludf.DUMMYFUNCTION("""COMPUTED_VALUE"""),3.0)</f>
        <v>3</v>
      </c>
      <c r="D26" s="2"/>
      <c r="E26" s="7">
        <f>IFERROR(__xludf.DUMMYFUNCTION("""COMPUTED_VALUE"""),3.0)</f>
        <v>3</v>
      </c>
      <c r="F26" s="3"/>
      <c r="G26" s="25"/>
    </row>
    <row r="27">
      <c r="A27" s="4"/>
      <c r="B27" s="1" t="str">
        <f>IFERROR(__xludf.DUMMYFUNCTION("""COMPUTED_VALUE"""),"ROSE GOLD")</f>
        <v>ROSE GOLD</v>
      </c>
      <c r="C27" s="7">
        <f>IFERROR(__xludf.DUMMYFUNCTION("""COMPUTED_VALUE"""),1.0)</f>
        <v>1</v>
      </c>
      <c r="D27" s="2"/>
      <c r="E27" s="7">
        <f>IFERROR(__xludf.DUMMYFUNCTION("""COMPUTED_VALUE"""),1.0)</f>
        <v>1</v>
      </c>
      <c r="F27" s="3"/>
    </row>
    <row r="28">
      <c r="A28" s="4" t="str">
        <f>IFERROR(__xludf.DUMMYFUNCTION("""COMPUTED_VALUE"""),"Xiaomi Redmi 5A (3 GB/32 GB)")</f>
        <v>Xiaomi Redmi 5A (3 GB/32 GB)</v>
      </c>
      <c r="B28" s="1" t="str">
        <f>IFERROR(__xludf.DUMMYFUNCTION("""COMPUTED_VALUE"""),"GOLD")</f>
        <v>GOLD</v>
      </c>
      <c r="C28" s="7">
        <f>IFERROR(__xludf.DUMMYFUNCTION("""COMPUTED_VALUE"""),1.0)</f>
        <v>1</v>
      </c>
      <c r="D28" s="2"/>
      <c r="E28" s="7">
        <f>IFERROR(__xludf.DUMMYFUNCTION("""COMPUTED_VALUE"""),1.0)</f>
        <v>1</v>
      </c>
      <c r="F28" s="26"/>
    </row>
    <row r="29">
      <c r="A29" s="4"/>
      <c r="B29" s="1" t="str">
        <f>IFERROR(__xludf.DUMMYFUNCTION("""COMPUTED_VALUE"""),"GREY")</f>
        <v>GREY</v>
      </c>
      <c r="C29" s="7">
        <f>IFERROR(__xludf.DUMMYFUNCTION("""COMPUTED_VALUE"""),1.0)</f>
        <v>1</v>
      </c>
      <c r="D29" s="2"/>
      <c r="E29" s="7">
        <f>IFERROR(__xludf.DUMMYFUNCTION("""COMPUTED_VALUE"""),1.0)</f>
        <v>1</v>
      </c>
      <c r="F29" s="3"/>
    </row>
    <row r="30">
      <c r="A30" s="4" t="str">
        <f>IFERROR(__xludf.DUMMYFUNCTION("""COMPUTED_VALUE"""),"Xiaomi REDMI 6 (3 GB/32 GB)")</f>
        <v>Xiaomi REDMI 6 (3 GB/32 GB)</v>
      </c>
      <c r="B30" s="1" t="str">
        <f>IFERROR(__xludf.DUMMYFUNCTION("""COMPUTED_VALUE"""),"BLUE")</f>
        <v>BLUE</v>
      </c>
      <c r="C30" s="7">
        <f>IFERROR(__xludf.DUMMYFUNCTION("""COMPUTED_VALUE"""),1.0)</f>
        <v>1</v>
      </c>
      <c r="D30" s="2"/>
      <c r="E30" s="7">
        <f>IFERROR(__xludf.DUMMYFUNCTION("""COMPUTED_VALUE"""),1.0)</f>
        <v>1</v>
      </c>
      <c r="F30" s="26"/>
    </row>
    <row r="31">
      <c r="A31" s="4" t="str">
        <f>IFERROR(__xludf.DUMMYFUNCTION("""COMPUTED_VALUE"""),"Xiaomi REDMI 6 (3 GB/64 GB)")</f>
        <v>Xiaomi REDMI 6 (3 GB/64 GB)</v>
      </c>
      <c r="B31" s="1" t="str">
        <f>IFERROR(__xludf.DUMMYFUNCTION("""COMPUTED_VALUE"""),"BLUE")</f>
        <v>BLUE</v>
      </c>
      <c r="C31" s="7">
        <f>IFERROR(__xludf.DUMMYFUNCTION("""COMPUTED_VALUE"""),1.0)</f>
        <v>1</v>
      </c>
      <c r="D31" s="2"/>
      <c r="E31" s="7">
        <f>IFERROR(__xludf.DUMMYFUNCTION("""COMPUTED_VALUE"""),1.0)</f>
        <v>1</v>
      </c>
      <c r="F31" s="26"/>
    </row>
    <row r="32">
      <c r="A32" s="4" t="str">
        <f>IFERROR(__xludf.DUMMYFUNCTION("""COMPUTED_VALUE"""),"Xiaomi Redmi 6 pro (3 GB/32 GB)")</f>
        <v>Xiaomi Redmi 6 pro (3 GB/32 GB)</v>
      </c>
      <c r="B32" s="1" t="str">
        <f>IFERROR(__xludf.DUMMYFUNCTION("""COMPUTED_VALUE"""),"BLACK")</f>
        <v>BLACK</v>
      </c>
      <c r="C32" s="7">
        <f>IFERROR(__xludf.DUMMYFUNCTION("""COMPUTED_VALUE"""),1.0)</f>
        <v>1</v>
      </c>
      <c r="D32" s="2"/>
      <c r="E32" s="7">
        <f>IFERROR(__xludf.DUMMYFUNCTION("""COMPUTED_VALUE"""),1.0)</f>
        <v>1</v>
      </c>
      <c r="F32" s="3"/>
    </row>
    <row r="33">
      <c r="A33" s="4" t="str">
        <f>IFERROR(__xludf.DUMMYFUNCTION("""COMPUTED_VALUE"""),"Xiaomi REDMI 6 PRO (4 GB/64 GB)")</f>
        <v>Xiaomi REDMI 6 PRO (4 GB/64 GB)</v>
      </c>
      <c r="B33" s="1" t="str">
        <f>IFERROR(__xludf.DUMMYFUNCTION("""COMPUTED_VALUE"""),"BLACK")</f>
        <v>BLACK</v>
      </c>
      <c r="C33" s="7">
        <f>IFERROR(__xludf.DUMMYFUNCTION("""COMPUTED_VALUE"""),1.0)</f>
        <v>1</v>
      </c>
      <c r="D33" s="2"/>
      <c r="E33" s="7">
        <f>IFERROR(__xludf.DUMMYFUNCTION("""COMPUTED_VALUE"""),1.0)</f>
        <v>1</v>
      </c>
      <c r="F33" s="3"/>
    </row>
    <row r="34">
      <c r="A34" s="4" t="str">
        <f>IFERROR(__xludf.DUMMYFUNCTION("""COMPUTED_VALUE"""),"Xiaomi REDMI 6A (2 GB/16 GB)")</f>
        <v>Xiaomi REDMI 6A (2 GB/16 GB)</v>
      </c>
      <c r="B34" s="4" t="str">
        <f>IFERROR(__xludf.DUMMYFUNCTION("""COMPUTED_VALUE"""),"BLACK")</f>
        <v>BLACK</v>
      </c>
      <c r="C34" s="11">
        <f>IFERROR(__xludf.DUMMYFUNCTION("""COMPUTED_VALUE"""),1.0)</f>
        <v>1</v>
      </c>
      <c r="D34" s="2"/>
      <c r="E34" s="11">
        <f>IFERROR(__xludf.DUMMYFUNCTION("""COMPUTED_VALUE"""),1.0)</f>
        <v>1</v>
      </c>
      <c r="F34" s="27"/>
      <c r="G34" s="13"/>
      <c r="H34" s="13"/>
      <c r="I34" s="13"/>
      <c r="J34" s="13"/>
      <c r="K34" s="13"/>
      <c r="L34" s="13"/>
      <c r="M34" s="13"/>
      <c r="N34" s="13"/>
      <c r="O34" s="13"/>
      <c r="P34" s="13"/>
      <c r="Q34" s="13"/>
      <c r="R34" s="13"/>
      <c r="S34" s="13"/>
      <c r="T34" s="13"/>
      <c r="U34" s="13"/>
      <c r="V34" s="13"/>
      <c r="W34" s="13"/>
      <c r="X34" s="13"/>
      <c r="Y34" s="13"/>
      <c r="Z34" s="13"/>
    </row>
    <row r="35">
      <c r="A35" s="4"/>
      <c r="B35" s="1" t="str">
        <f>IFERROR(__xludf.DUMMYFUNCTION("""COMPUTED_VALUE"""),"ROSE GOLD")</f>
        <v>ROSE GOLD</v>
      </c>
      <c r="C35" s="7">
        <f>IFERROR(__xludf.DUMMYFUNCTION("""COMPUTED_VALUE"""),1.0)</f>
        <v>1</v>
      </c>
      <c r="D35" s="2"/>
      <c r="E35" s="7">
        <f>IFERROR(__xludf.DUMMYFUNCTION("""COMPUTED_VALUE"""),1.0)</f>
        <v>1</v>
      </c>
      <c r="F35" s="26"/>
    </row>
    <row r="36">
      <c r="A36" s="4" t="str">
        <f>IFERROR(__xludf.DUMMYFUNCTION("""COMPUTED_VALUE"""),"Xiaomi Redmi K20 Pro (8 GB/256 GB)")</f>
        <v>Xiaomi Redmi K20 Pro (8 GB/256 GB)</v>
      </c>
      <c r="B36" s="1" t="str">
        <f>IFERROR(__xludf.DUMMYFUNCTION("""COMPUTED_VALUE"""),"RED")</f>
        <v>RED</v>
      </c>
      <c r="D36" s="28">
        <f>IFERROR(__xludf.DUMMYFUNCTION("""COMPUTED_VALUE"""),1.0)</f>
        <v>1</v>
      </c>
      <c r="E36" s="7">
        <f>IFERROR(__xludf.DUMMYFUNCTION("""COMPUTED_VALUE"""),1.0)</f>
        <v>1</v>
      </c>
      <c r="F36" s="3"/>
    </row>
    <row r="37">
      <c r="A37" s="1" t="str">
        <f>IFERROR(__xludf.DUMMYFUNCTION("""COMPUTED_VALUE"""),"Xiaomi Redmi Note 4 (3 GB/32 GB)")</f>
        <v>Xiaomi Redmi Note 4 (3 GB/32 GB)</v>
      </c>
      <c r="B37" s="1" t="str">
        <f>IFERROR(__xludf.DUMMYFUNCTION("""COMPUTED_VALUE"""),"BLACK")</f>
        <v>BLACK</v>
      </c>
      <c r="C37" s="7">
        <f>IFERROR(__xludf.DUMMYFUNCTION("""COMPUTED_VALUE"""),1.0)</f>
        <v>1</v>
      </c>
      <c r="D37" s="2"/>
      <c r="E37" s="7">
        <f>IFERROR(__xludf.DUMMYFUNCTION("""COMPUTED_VALUE"""),1.0)</f>
        <v>1</v>
      </c>
      <c r="F37" s="26"/>
    </row>
    <row r="38">
      <c r="A38" s="29" t="str">
        <f>IFERROR(__xludf.DUMMYFUNCTION("""COMPUTED_VALUE"""),"Xiaomi Redmi Note 5 (3 GB/32 GB)")</f>
        <v>Xiaomi Redmi Note 5 (3 GB/32 GB)</v>
      </c>
      <c r="B38" s="1" t="str">
        <f>IFERROR(__xludf.DUMMYFUNCTION("""COMPUTED_VALUE"""),"black")</f>
        <v>black</v>
      </c>
      <c r="C38" s="7">
        <f>IFERROR(__xludf.DUMMYFUNCTION("""COMPUTED_VALUE"""),2.0)</f>
        <v>2</v>
      </c>
      <c r="D38" s="2"/>
      <c r="E38" s="7">
        <f>IFERROR(__xludf.DUMMYFUNCTION("""COMPUTED_VALUE"""),2.0)</f>
        <v>2</v>
      </c>
      <c r="F38" s="26"/>
    </row>
    <row r="39">
      <c r="A39" s="1" t="str">
        <f>IFERROR(__xludf.DUMMYFUNCTION("""COMPUTED_VALUE"""),"Xiaomi Redmi Note 5 Pro (6 GB/64 GB)")</f>
        <v>Xiaomi Redmi Note 5 Pro (6 GB/64 GB)</v>
      </c>
      <c r="B39" s="1" t="str">
        <f>IFERROR(__xludf.DUMMYFUNCTION("""COMPUTED_VALUE"""),"BLACK")</f>
        <v>BLACK</v>
      </c>
      <c r="C39" s="7">
        <f>IFERROR(__xludf.DUMMYFUNCTION("""COMPUTED_VALUE"""),1.0)</f>
        <v>1</v>
      </c>
      <c r="D39" s="2"/>
      <c r="E39" s="7">
        <f>IFERROR(__xludf.DUMMYFUNCTION("""COMPUTED_VALUE"""),1.0)</f>
        <v>1</v>
      </c>
      <c r="F39" s="26"/>
    </row>
    <row r="40">
      <c r="A40" s="1" t="str">
        <f>IFERROR(__xludf.DUMMYFUNCTION("""COMPUTED_VALUE"""),"Xiaomi Redmi Note 6 Pro (4 GB/64 GB)")</f>
        <v>Xiaomi Redmi Note 6 Pro (4 GB/64 GB)</v>
      </c>
      <c r="B40" s="1" t="str">
        <f>IFERROR(__xludf.DUMMYFUNCTION("""COMPUTED_VALUE"""),"BLACK")</f>
        <v>BLACK</v>
      </c>
      <c r="C40" s="7">
        <f>IFERROR(__xludf.DUMMYFUNCTION("""COMPUTED_VALUE"""),3.0)</f>
        <v>3</v>
      </c>
      <c r="D40" s="2"/>
      <c r="E40" s="7">
        <f>IFERROR(__xludf.DUMMYFUNCTION("""COMPUTED_VALUE"""),3.0)</f>
        <v>3</v>
      </c>
      <c r="F40" s="8"/>
    </row>
    <row r="41">
      <c r="A41" s="1"/>
      <c r="B41" s="1" t="str">
        <f>IFERROR(__xludf.DUMMYFUNCTION("""COMPUTED_VALUE"""),"BLUE")</f>
        <v>BLUE</v>
      </c>
      <c r="C41" s="7">
        <f>IFERROR(__xludf.DUMMYFUNCTION("""COMPUTED_VALUE"""),1.0)</f>
        <v>1</v>
      </c>
      <c r="D41" s="2"/>
      <c r="E41" s="7">
        <f>IFERROR(__xludf.DUMMYFUNCTION("""COMPUTED_VALUE"""),1.0)</f>
        <v>1</v>
      </c>
      <c r="F41" s="26"/>
    </row>
    <row r="42">
      <c r="A42" s="1" t="str">
        <f>IFERROR(__xludf.DUMMYFUNCTION("""COMPUTED_VALUE"""),"Xiaomi Redmi Note 8 Pro (6 GB/128 GB)")</f>
        <v>Xiaomi Redmi Note 8 Pro (6 GB/128 GB)</v>
      </c>
      <c r="B42" s="1" t="str">
        <f>IFERROR(__xludf.DUMMYFUNCTION("""COMPUTED_VALUE"""),"GREY")</f>
        <v>GREY</v>
      </c>
      <c r="C42" s="7">
        <f>IFERROR(__xludf.DUMMYFUNCTION("""COMPUTED_VALUE"""),1.0)</f>
        <v>1</v>
      </c>
      <c r="D42" s="2"/>
      <c r="E42" s="7">
        <f>IFERROR(__xludf.DUMMYFUNCTION("""COMPUTED_VALUE"""),1.0)</f>
        <v>1</v>
      </c>
      <c r="F42" s="26"/>
    </row>
    <row r="43">
      <c r="A43" s="1" t="str">
        <f>IFERROR(__xludf.DUMMYFUNCTION("""COMPUTED_VALUE"""),"Xiaomi Redmi Note 8 Pro (6 GB/64 GB)")</f>
        <v>Xiaomi Redmi Note 8 Pro (6 GB/64 GB)</v>
      </c>
      <c r="B43" s="1" t="str">
        <f>IFERROR(__xludf.DUMMYFUNCTION("""COMPUTED_VALUE"""),"WHITE")</f>
        <v>WHITE</v>
      </c>
      <c r="C43" s="7">
        <f>IFERROR(__xludf.DUMMYFUNCTION("""COMPUTED_VALUE"""),1.0)</f>
        <v>1</v>
      </c>
      <c r="D43" s="2"/>
      <c r="E43" s="7">
        <f>IFERROR(__xludf.DUMMYFUNCTION("""COMPUTED_VALUE"""),1.0)</f>
        <v>1</v>
      </c>
      <c r="F43" s="26"/>
    </row>
    <row r="44">
      <c r="A44" s="1" t="str">
        <f>IFERROR(__xludf.DUMMYFUNCTION("""COMPUTED_VALUE"""),"Xiaomi Redmi Note 9 Pro (4 GB/64 GB)")</f>
        <v>Xiaomi Redmi Note 9 Pro (4 GB/64 GB)</v>
      </c>
      <c r="B44" s="1" t="str">
        <f>IFERROR(__xludf.DUMMYFUNCTION("""COMPUTED_VALUE"""),"WHITE")</f>
        <v>WHITE</v>
      </c>
      <c r="C44" s="7">
        <f>IFERROR(__xludf.DUMMYFUNCTION("""COMPUTED_VALUE"""),1.0)</f>
        <v>1</v>
      </c>
      <c r="D44" s="2"/>
      <c r="E44" s="7">
        <f>IFERROR(__xludf.DUMMYFUNCTION("""COMPUTED_VALUE"""),1.0)</f>
        <v>1</v>
      </c>
      <c r="F44" s="26"/>
    </row>
    <row r="45">
      <c r="A45" s="1" t="str">
        <f>IFERROR(__xludf.DUMMYFUNCTION("""COMPUTED_VALUE"""),"Xiaomi Redmi Note 9 Pro Max (6 GB/64 GB)")</f>
        <v>Xiaomi Redmi Note 9 Pro Max (6 GB/64 GB)</v>
      </c>
      <c r="B45" s="1" t="str">
        <f>IFERROR(__xludf.DUMMYFUNCTION("""COMPUTED_VALUE"""),"BLUE")</f>
        <v>BLUE</v>
      </c>
      <c r="C45" s="7">
        <f>IFERROR(__xludf.DUMMYFUNCTION("""COMPUTED_VALUE"""),1.0)</f>
        <v>1</v>
      </c>
      <c r="D45" s="2"/>
      <c r="E45" s="7">
        <f>IFERROR(__xludf.DUMMYFUNCTION("""COMPUTED_VALUE"""),1.0)</f>
        <v>1</v>
      </c>
      <c r="F45" s="26"/>
    </row>
    <row r="46">
      <c r="A46" s="1" t="str">
        <f>IFERROR(__xludf.DUMMYFUNCTION("""COMPUTED_VALUE"""),"Grand Total")</f>
        <v>Grand Total</v>
      </c>
      <c r="B46" s="1"/>
      <c r="C46" s="7">
        <f>IFERROR(__xludf.DUMMYFUNCTION("""COMPUTED_VALUE"""),56.0)</f>
        <v>56</v>
      </c>
      <c r="D46" s="28">
        <f>IFERROR(__xludf.DUMMYFUNCTION("""COMPUTED_VALUE"""),2.0)</f>
        <v>2</v>
      </c>
      <c r="E46" s="7">
        <f>IFERROR(__xludf.DUMMYFUNCTION("""COMPUTED_VALUE"""),58.0)</f>
        <v>58</v>
      </c>
      <c r="F46" s="26"/>
    </row>
    <row r="47">
      <c r="A47" s="1"/>
      <c r="B47" s="1"/>
      <c r="D47" s="2"/>
      <c r="F47" s="26"/>
    </row>
    <row r="48">
      <c r="A48" s="1"/>
      <c r="B48" s="1"/>
      <c r="D48" s="2"/>
      <c r="F48" s="26"/>
    </row>
    <row r="49">
      <c r="A49" s="1"/>
      <c r="B49" s="1"/>
      <c r="D49" s="2"/>
      <c r="F49" s="26"/>
    </row>
    <row r="50">
      <c r="A50" s="1"/>
      <c r="B50" s="1"/>
      <c r="D50" s="2"/>
      <c r="F50" s="26"/>
    </row>
    <row r="51">
      <c r="A51" s="1"/>
      <c r="B51" s="1"/>
      <c r="D51" s="2"/>
      <c r="F51" s="3"/>
    </row>
    <row r="52">
      <c r="A52" s="1"/>
      <c r="B52" s="1"/>
      <c r="D52" s="2"/>
      <c r="F52" s="26"/>
    </row>
    <row r="53">
      <c r="A53" s="1"/>
      <c r="D53" s="2"/>
      <c r="F53" s="3"/>
    </row>
    <row r="54">
      <c r="A54" s="1"/>
      <c r="D54" s="2"/>
      <c r="F54" s="26"/>
    </row>
    <row r="55">
      <c r="A55" s="1"/>
      <c r="D55" s="2"/>
      <c r="F55" s="3"/>
    </row>
    <row r="56">
      <c r="A56" s="1"/>
      <c r="D56" s="2"/>
      <c r="F56" s="3"/>
    </row>
    <row r="57">
      <c r="A57" s="1"/>
      <c r="D57" s="2"/>
      <c r="F57" s="26"/>
    </row>
    <row r="58">
      <c r="A58" s="1"/>
      <c r="D58" s="2"/>
      <c r="F58" s="26"/>
    </row>
    <row r="59">
      <c r="A59" s="1"/>
      <c r="D59" s="2"/>
      <c r="F59" s="26"/>
    </row>
    <row r="60">
      <c r="A60" s="1"/>
      <c r="D60" s="2"/>
      <c r="F60" s="26"/>
    </row>
    <row r="61">
      <c r="A61" s="1"/>
      <c r="D61" s="2"/>
      <c r="F61" s="26"/>
    </row>
    <row r="62">
      <c r="A62" s="1"/>
      <c r="D62" s="2"/>
      <c r="F62" s="8"/>
    </row>
    <row r="63">
      <c r="A63" s="1"/>
      <c r="D63" s="2"/>
      <c r="F63" s="3"/>
    </row>
    <row r="64">
      <c r="A64" s="1"/>
      <c r="D64" s="2"/>
      <c r="F64" s="26"/>
    </row>
    <row r="65">
      <c r="A65" s="1"/>
      <c r="D65" s="2"/>
      <c r="F65" s="26"/>
    </row>
    <row r="66">
      <c r="A66" s="1"/>
      <c r="D66" s="2"/>
      <c r="F66" s="3"/>
    </row>
    <row r="67">
      <c r="A67" s="1"/>
      <c r="D67" s="2"/>
      <c r="F67" s="3"/>
    </row>
    <row r="68">
      <c r="A68" s="1"/>
      <c r="D68" s="2"/>
      <c r="F68" s="3"/>
    </row>
    <row r="69">
      <c r="A69" s="1"/>
      <c r="D69" s="2"/>
      <c r="F69" s="3"/>
    </row>
    <row r="70">
      <c r="A70" s="1"/>
      <c r="D70" s="2"/>
      <c r="F70" s="3"/>
    </row>
    <row r="71">
      <c r="A71" s="1"/>
      <c r="D71" s="2"/>
      <c r="F71" s="3"/>
    </row>
    <row r="72">
      <c r="A72" s="1"/>
      <c r="D72" s="2"/>
      <c r="F72" s="26"/>
    </row>
    <row r="73">
      <c r="A73" s="1"/>
      <c r="D73" s="2"/>
      <c r="F73" s="26"/>
    </row>
    <row r="74">
      <c r="A74" s="1"/>
      <c r="D74" s="2"/>
      <c r="F74" s="26"/>
    </row>
    <row r="75">
      <c r="A75" s="1"/>
      <c r="D75" s="2"/>
      <c r="F75" s="26"/>
    </row>
    <row r="76">
      <c r="A76" s="1"/>
      <c r="D76" s="2"/>
      <c r="F76" s="3"/>
    </row>
    <row r="77">
      <c r="A77" s="1"/>
      <c r="D77" s="2"/>
      <c r="F77" s="26"/>
    </row>
    <row r="78">
      <c r="A78" s="1"/>
      <c r="D78" s="2"/>
      <c r="F78" s="3"/>
    </row>
    <row r="79">
      <c r="A79" s="1"/>
      <c r="D79" s="2"/>
      <c r="F79" s="3"/>
    </row>
    <row r="80">
      <c r="A80" s="1"/>
      <c r="D80" s="2"/>
      <c r="F80" s="3"/>
    </row>
    <row r="81">
      <c r="A81" s="1"/>
      <c r="D81" s="2"/>
      <c r="F81" s="3"/>
    </row>
    <row r="82">
      <c r="A82" s="1"/>
      <c r="D82" s="2"/>
      <c r="F82" s="3"/>
    </row>
    <row r="83">
      <c r="A83" s="1"/>
      <c r="D83" s="2"/>
      <c r="F83" s="3"/>
    </row>
    <row r="84">
      <c r="A84" s="1"/>
      <c r="D84" s="2"/>
      <c r="F84" s="3"/>
    </row>
    <row r="85">
      <c r="A85" s="1"/>
      <c r="D85" s="2"/>
      <c r="F85" s="3"/>
    </row>
    <row r="86">
      <c r="A86" s="1"/>
      <c r="D86" s="2"/>
      <c r="F86" s="3"/>
    </row>
    <row r="87">
      <c r="A87" s="1"/>
      <c r="D87" s="2"/>
      <c r="F87" s="3"/>
    </row>
    <row r="88">
      <c r="A88" s="1"/>
      <c r="D88" s="2"/>
      <c r="F88" s="3"/>
    </row>
    <row r="89">
      <c r="A89" s="1"/>
      <c r="D89" s="2"/>
      <c r="F89" s="3"/>
    </row>
    <row r="90">
      <c r="A90" s="1"/>
      <c r="D90" s="2"/>
      <c r="F90" s="3"/>
    </row>
    <row r="91">
      <c r="A91" s="1"/>
      <c r="D91" s="2"/>
      <c r="F91" s="3"/>
    </row>
    <row r="92">
      <c r="A92" s="1"/>
      <c r="D92" s="2"/>
      <c r="F92" s="3"/>
    </row>
    <row r="93">
      <c r="A93" s="1"/>
      <c r="D93" s="2"/>
      <c r="F93" s="3"/>
    </row>
    <row r="94">
      <c r="A94" s="1"/>
      <c r="D94" s="2"/>
      <c r="F94" s="3"/>
    </row>
    <row r="95">
      <c r="A95" s="1"/>
      <c r="D95" s="2"/>
      <c r="F95" s="3"/>
    </row>
    <row r="96">
      <c r="A96" s="1"/>
      <c r="D96" s="2"/>
      <c r="F96" s="3"/>
    </row>
    <row r="97">
      <c r="A97" s="1"/>
      <c r="D97" s="2"/>
      <c r="F97" s="3"/>
    </row>
    <row r="98">
      <c r="A98" s="1"/>
      <c r="D98" s="2"/>
      <c r="F98" s="3"/>
    </row>
    <row r="99">
      <c r="A99" s="1"/>
      <c r="D99" s="2"/>
      <c r="F99" s="3"/>
    </row>
    <row r="100">
      <c r="A100" s="1"/>
      <c r="D100" s="2"/>
      <c r="F100" s="3"/>
    </row>
    <row r="101">
      <c r="A101" s="1"/>
      <c r="D101" s="2"/>
      <c r="F101" s="3"/>
    </row>
    <row r="102">
      <c r="A102" s="1"/>
      <c r="D102" s="2"/>
      <c r="F102" s="3"/>
    </row>
    <row r="103">
      <c r="A103" s="1"/>
      <c r="D103" s="2"/>
      <c r="F103" s="3"/>
    </row>
    <row r="104">
      <c r="A104" s="1"/>
      <c r="D104" s="2"/>
      <c r="F104" s="3"/>
    </row>
    <row r="105">
      <c r="A105" s="1"/>
      <c r="D105" s="2"/>
      <c r="F105" s="3"/>
    </row>
    <row r="106">
      <c r="A106" s="1"/>
      <c r="D106" s="2"/>
      <c r="F106" s="3"/>
    </row>
    <row r="107">
      <c r="A107" s="1"/>
      <c r="D107" s="2"/>
      <c r="F107" s="3"/>
    </row>
    <row r="108">
      <c r="A108" s="1"/>
      <c r="D108" s="2"/>
      <c r="F108" s="3"/>
    </row>
    <row r="109">
      <c r="A109" s="1"/>
      <c r="D109" s="2"/>
      <c r="F109" s="3"/>
    </row>
    <row r="110">
      <c r="A110" s="1"/>
      <c r="D110" s="2"/>
      <c r="F110" s="3"/>
    </row>
    <row r="111">
      <c r="A111" s="1"/>
      <c r="D111" s="2"/>
      <c r="F111" s="3"/>
    </row>
    <row r="112">
      <c r="A112" s="1"/>
      <c r="D112" s="2"/>
      <c r="F112" s="3"/>
    </row>
    <row r="113">
      <c r="A113" s="1"/>
      <c r="D113" s="2"/>
      <c r="F113" s="3"/>
    </row>
    <row r="114">
      <c r="A114" s="1"/>
      <c r="D114" s="2"/>
      <c r="F114" s="3"/>
    </row>
    <row r="115">
      <c r="A115" s="1"/>
      <c r="D115" s="2"/>
      <c r="F115" s="3"/>
    </row>
    <row r="116">
      <c r="A116" s="1"/>
      <c r="D116" s="2"/>
      <c r="F116" s="3"/>
    </row>
    <row r="117">
      <c r="A117" s="1"/>
      <c r="D117" s="2"/>
      <c r="F117" s="3"/>
    </row>
    <row r="118">
      <c r="A118" s="1"/>
      <c r="D118" s="2"/>
      <c r="F118" s="3"/>
    </row>
    <row r="119">
      <c r="A119" s="1"/>
      <c r="D119" s="2"/>
      <c r="F119" s="3"/>
    </row>
    <row r="120">
      <c r="A120" s="1"/>
      <c r="D120" s="2"/>
      <c r="F120" s="3"/>
    </row>
    <row r="121">
      <c r="A121" s="1"/>
      <c r="D121" s="2"/>
      <c r="F121" s="3"/>
    </row>
    <row r="122">
      <c r="A122" s="1"/>
      <c r="D122" s="2"/>
      <c r="F122" s="3"/>
    </row>
    <row r="123">
      <c r="A123" s="1"/>
      <c r="D123" s="2"/>
      <c r="F123" s="3"/>
    </row>
    <row r="124">
      <c r="A124" s="1"/>
      <c r="D124" s="2"/>
      <c r="F124" s="3"/>
    </row>
    <row r="125">
      <c r="A125" s="1"/>
      <c r="D125" s="2"/>
      <c r="F125" s="3"/>
    </row>
    <row r="126">
      <c r="A126" s="1"/>
      <c r="D126" s="2"/>
      <c r="F126" s="3"/>
    </row>
    <row r="127">
      <c r="A127" s="1"/>
      <c r="D127" s="2"/>
      <c r="F127" s="3"/>
    </row>
    <row r="128">
      <c r="A128" s="1"/>
      <c r="D128" s="2"/>
      <c r="F128" s="3"/>
    </row>
    <row r="129">
      <c r="A129" s="1"/>
      <c r="D129" s="2"/>
      <c r="F129" s="3"/>
    </row>
    <row r="130">
      <c r="A130" s="1"/>
      <c r="D130" s="2"/>
      <c r="F130" s="3"/>
    </row>
    <row r="131">
      <c r="A131" s="1"/>
      <c r="D131" s="2"/>
      <c r="F131" s="3"/>
    </row>
    <row r="132">
      <c r="A132" s="1"/>
      <c r="D132" s="2"/>
      <c r="F132" s="3"/>
    </row>
    <row r="133">
      <c r="A133" s="1"/>
      <c r="D133" s="2"/>
      <c r="F133" s="3"/>
    </row>
    <row r="134">
      <c r="A134" s="1"/>
      <c r="D134" s="2"/>
      <c r="F134" s="3"/>
    </row>
    <row r="135">
      <c r="A135" s="1"/>
      <c r="D135" s="2"/>
      <c r="F135" s="3"/>
    </row>
    <row r="136">
      <c r="A136" s="1"/>
      <c r="D136" s="2"/>
      <c r="F136" s="3"/>
    </row>
    <row r="137">
      <c r="A137" s="1"/>
      <c r="D137" s="2"/>
      <c r="F137" s="3"/>
    </row>
    <row r="138">
      <c r="A138" s="1"/>
      <c r="D138" s="2"/>
      <c r="F138" s="3"/>
    </row>
    <row r="139">
      <c r="A139" s="1"/>
      <c r="D139" s="2"/>
      <c r="F139" s="3"/>
    </row>
    <row r="140">
      <c r="A140" s="1"/>
      <c r="D140" s="2"/>
      <c r="F140" s="3"/>
    </row>
    <row r="141">
      <c r="A141" s="1"/>
      <c r="D141" s="2"/>
      <c r="F141" s="3"/>
    </row>
    <row r="142">
      <c r="A142" s="1"/>
      <c r="D142" s="2"/>
      <c r="F142" s="3"/>
    </row>
    <row r="143">
      <c r="A143" s="1"/>
      <c r="D143" s="2"/>
      <c r="F143" s="3"/>
    </row>
    <row r="144">
      <c r="A144" s="1"/>
      <c r="D144" s="2"/>
      <c r="F144" s="3"/>
    </row>
    <row r="145">
      <c r="A145" s="1"/>
      <c r="D145" s="2"/>
      <c r="F145" s="3"/>
    </row>
    <row r="146">
      <c r="A146" s="1"/>
      <c r="D146" s="2"/>
      <c r="F146" s="3"/>
    </row>
    <row r="147">
      <c r="A147" s="1"/>
      <c r="D147" s="2"/>
      <c r="F147" s="3"/>
    </row>
    <row r="148">
      <c r="A148" s="1"/>
      <c r="D148" s="2"/>
      <c r="F148" s="3"/>
    </row>
    <row r="149">
      <c r="A149" s="1"/>
      <c r="D149" s="2"/>
      <c r="F149" s="3"/>
    </row>
    <row r="150">
      <c r="A150" s="1"/>
      <c r="D150" s="2"/>
      <c r="F150" s="3"/>
    </row>
    <row r="151">
      <c r="A151" s="1"/>
      <c r="D151" s="2"/>
      <c r="F151" s="3"/>
    </row>
    <row r="152">
      <c r="A152" s="1"/>
      <c r="D152" s="2"/>
      <c r="F152" s="3"/>
    </row>
    <row r="153">
      <c r="A153" s="1"/>
      <c r="D153" s="2"/>
      <c r="F153" s="3"/>
    </row>
    <row r="154">
      <c r="A154" s="1"/>
      <c r="D154" s="2"/>
      <c r="F154" s="3"/>
    </row>
    <row r="155">
      <c r="A155" s="1"/>
      <c r="D155" s="2"/>
      <c r="F155" s="3"/>
    </row>
    <row r="156">
      <c r="A156" s="1"/>
      <c r="D156" s="2"/>
      <c r="F156" s="3"/>
    </row>
    <row r="157">
      <c r="A157" s="1"/>
      <c r="D157" s="2"/>
      <c r="F157" s="3"/>
    </row>
    <row r="158">
      <c r="A158" s="1"/>
      <c r="D158" s="2"/>
      <c r="F158" s="3"/>
    </row>
    <row r="159">
      <c r="A159" s="1"/>
      <c r="D159" s="2"/>
      <c r="F159" s="3"/>
    </row>
    <row r="160">
      <c r="A160" s="1"/>
      <c r="D160" s="2"/>
      <c r="F160" s="3"/>
    </row>
    <row r="161">
      <c r="A161" s="1"/>
      <c r="D161" s="2"/>
      <c r="F161" s="3"/>
    </row>
    <row r="162">
      <c r="A162" s="1"/>
      <c r="D162" s="2"/>
      <c r="F162" s="3"/>
    </row>
    <row r="163">
      <c r="A163" s="1"/>
      <c r="D163" s="2"/>
      <c r="F163" s="3"/>
    </row>
    <row r="164">
      <c r="A164" s="1"/>
      <c r="D164" s="2"/>
      <c r="F164" s="3"/>
    </row>
    <row r="165">
      <c r="A165" s="1"/>
      <c r="D165" s="2"/>
      <c r="F165" s="3"/>
    </row>
    <row r="166">
      <c r="A166" s="1"/>
      <c r="D166" s="2"/>
      <c r="F166" s="3"/>
    </row>
    <row r="167">
      <c r="A167" s="1"/>
      <c r="D167" s="2"/>
      <c r="F167" s="3"/>
    </row>
    <row r="168">
      <c r="A168" s="1"/>
      <c r="D168" s="2"/>
      <c r="F168" s="3"/>
    </row>
    <row r="169">
      <c r="A169" s="1"/>
      <c r="D169" s="2"/>
      <c r="F169" s="3"/>
    </row>
    <row r="170">
      <c r="A170" s="1"/>
      <c r="D170" s="2"/>
      <c r="F170" s="3"/>
    </row>
    <row r="171">
      <c r="A171" s="1"/>
      <c r="D171" s="2"/>
      <c r="F171" s="3"/>
    </row>
    <row r="172">
      <c r="A172" s="1"/>
      <c r="D172" s="2"/>
      <c r="F172" s="3"/>
    </row>
    <row r="173">
      <c r="A173" s="1"/>
      <c r="D173" s="2"/>
      <c r="F173" s="3"/>
    </row>
    <row r="174">
      <c r="A174" s="1"/>
      <c r="D174" s="2"/>
      <c r="F174" s="3"/>
    </row>
    <row r="175">
      <c r="A175" s="1"/>
      <c r="D175" s="2"/>
      <c r="F175" s="3"/>
    </row>
    <row r="176">
      <c r="A176" s="1"/>
      <c r="D176" s="2"/>
      <c r="F176" s="3"/>
    </row>
    <row r="177">
      <c r="A177" s="1"/>
      <c r="D177" s="2"/>
      <c r="F177" s="3"/>
    </row>
    <row r="178">
      <c r="A178" s="1"/>
      <c r="D178" s="2"/>
      <c r="F178" s="3"/>
    </row>
    <row r="179">
      <c r="A179" s="1"/>
      <c r="D179" s="2"/>
      <c r="F179" s="3"/>
    </row>
    <row r="180">
      <c r="A180" s="1"/>
      <c r="D180" s="2"/>
      <c r="F180" s="3"/>
    </row>
    <row r="181">
      <c r="A181" s="1"/>
      <c r="D181" s="2"/>
      <c r="F181" s="3"/>
    </row>
    <row r="182">
      <c r="A182" s="1"/>
      <c r="D182" s="2"/>
      <c r="F182" s="3"/>
    </row>
    <row r="183">
      <c r="A183" s="1"/>
      <c r="D183" s="2"/>
      <c r="F183" s="3"/>
    </row>
    <row r="184">
      <c r="A184" s="1"/>
      <c r="D184" s="2"/>
      <c r="F184" s="3"/>
    </row>
    <row r="185">
      <c r="A185" s="1"/>
      <c r="D185" s="2"/>
      <c r="F185" s="3"/>
    </row>
    <row r="186">
      <c r="A186" s="1"/>
      <c r="D186" s="2"/>
      <c r="F186" s="3"/>
    </row>
    <row r="187">
      <c r="A187" s="1"/>
      <c r="D187" s="2"/>
      <c r="F187" s="3"/>
    </row>
    <row r="188">
      <c r="A188" s="1"/>
      <c r="D188" s="2"/>
      <c r="F188" s="3"/>
    </row>
    <row r="189">
      <c r="A189" s="1"/>
      <c r="D189" s="2"/>
      <c r="F189" s="3"/>
    </row>
    <row r="190">
      <c r="A190" s="1"/>
      <c r="D190" s="2"/>
      <c r="F190" s="3"/>
    </row>
    <row r="191">
      <c r="A191" s="1"/>
      <c r="D191" s="2"/>
      <c r="F191" s="3"/>
    </row>
    <row r="192">
      <c r="A192" s="1"/>
      <c r="D192" s="2"/>
      <c r="F192" s="3"/>
    </row>
    <row r="193">
      <c r="A193" s="1"/>
      <c r="D193" s="2"/>
      <c r="F193" s="3"/>
    </row>
    <row r="194">
      <c r="A194" s="1"/>
      <c r="D194" s="2"/>
      <c r="F194" s="3"/>
    </row>
    <row r="195">
      <c r="A195" s="1"/>
      <c r="D195" s="2"/>
      <c r="F195" s="3"/>
    </row>
    <row r="196">
      <c r="A196" s="1"/>
      <c r="D196" s="2"/>
      <c r="F196" s="3"/>
    </row>
    <row r="197">
      <c r="A197" s="1"/>
      <c r="D197" s="2"/>
      <c r="F197" s="3"/>
    </row>
    <row r="198">
      <c r="A198" s="1"/>
      <c r="D198" s="2"/>
      <c r="F198" s="3"/>
    </row>
    <row r="199">
      <c r="A199" s="1"/>
      <c r="D199" s="2"/>
      <c r="F199" s="3"/>
    </row>
    <row r="200">
      <c r="A200" s="1"/>
      <c r="D200" s="2"/>
      <c r="F200" s="3"/>
    </row>
    <row r="201">
      <c r="A201" s="1"/>
      <c r="D201" s="2"/>
      <c r="F201" s="3"/>
    </row>
    <row r="202">
      <c r="A202" s="1"/>
      <c r="D202" s="2"/>
      <c r="F202" s="3"/>
    </row>
    <row r="203">
      <c r="A203" s="1"/>
      <c r="D203" s="2"/>
      <c r="F203" s="3"/>
    </row>
    <row r="204">
      <c r="A204" s="1"/>
      <c r="D204" s="2"/>
      <c r="F204" s="3"/>
    </row>
    <row r="205">
      <c r="A205" s="1"/>
      <c r="D205" s="2"/>
      <c r="F205" s="3"/>
    </row>
    <row r="206">
      <c r="A206" s="1"/>
      <c r="D206" s="2"/>
      <c r="F206" s="3"/>
    </row>
    <row r="207">
      <c r="A207" s="1"/>
      <c r="D207" s="2"/>
      <c r="F207" s="3"/>
    </row>
    <row r="208">
      <c r="A208" s="1"/>
      <c r="D208" s="2"/>
      <c r="F208" s="3"/>
    </row>
    <row r="209">
      <c r="A209" s="1"/>
      <c r="D209" s="2"/>
      <c r="F209" s="3"/>
    </row>
    <row r="210">
      <c r="A210" s="1"/>
      <c r="D210" s="2"/>
      <c r="F210" s="3"/>
    </row>
    <row r="211">
      <c r="A211" s="1"/>
      <c r="D211" s="2"/>
      <c r="F211" s="3"/>
    </row>
    <row r="212">
      <c r="A212" s="1"/>
      <c r="D212" s="2"/>
      <c r="F212" s="3"/>
    </row>
    <row r="213">
      <c r="A213" s="1"/>
      <c r="D213" s="2"/>
      <c r="F213" s="3"/>
    </row>
    <row r="214">
      <c r="A214" s="1"/>
      <c r="D214" s="2"/>
      <c r="F214" s="3"/>
    </row>
    <row r="215">
      <c r="A215" s="1"/>
      <c r="D215" s="2"/>
      <c r="F215" s="3"/>
    </row>
    <row r="216">
      <c r="A216" s="1"/>
      <c r="D216" s="2"/>
      <c r="F216" s="3"/>
    </row>
    <row r="217">
      <c r="A217" s="1"/>
      <c r="D217" s="2"/>
      <c r="F217" s="3"/>
    </row>
    <row r="218">
      <c r="A218" s="1"/>
      <c r="D218" s="2"/>
      <c r="F218" s="3"/>
    </row>
    <row r="219">
      <c r="A219" s="1"/>
      <c r="D219" s="2"/>
      <c r="F219" s="3"/>
    </row>
    <row r="220">
      <c r="A220" s="1"/>
      <c r="D220" s="2"/>
      <c r="F220" s="3"/>
    </row>
    <row r="221">
      <c r="A221" s="1"/>
      <c r="D221" s="2"/>
      <c r="F221" s="3"/>
    </row>
    <row r="222">
      <c r="A222" s="1"/>
      <c r="D222" s="2"/>
      <c r="F222" s="3"/>
    </row>
    <row r="223">
      <c r="A223" s="1"/>
      <c r="D223" s="2"/>
      <c r="F223" s="3"/>
    </row>
    <row r="224">
      <c r="A224" s="1"/>
      <c r="D224" s="2"/>
      <c r="F224" s="3"/>
    </row>
    <row r="225">
      <c r="A225" s="1"/>
      <c r="D225" s="2"/>
      <c r="F225" s="3"/>
    </row>
    <row r="226">
      <c r="A226" s="1"/>
      <c r="D226" s="2"/>
      <c r="F226" s="3"/>
    </row>
    <row r="227">
      <c r="A227" s="1"/>
      <c r="D227" s="2"/>
      <c r="F227" s="3"/>
    </row>
    <row r="228">
      <c r="A228" s="1"/>
      <c r="D228" s="2"/>
      <c r="F228" s="3"/>
    </row>
    <row r="229">
      <c r="A229" s="1"/>
      <c r="D229" s="2"/>
      <c r="F229" s="3"/>
    </row>
    <row r="230">
      <c r="A230" s="1"/>
      <c r="D230" s="2"/>
      <c r="F230" s="3"/>
    </row>
    <row r="231">
      <c r="A231" s="1"/>
      <c r="D231" s="2"/>
      <c r="F231" s="3"/>
    </row>
    <row r="232">
      <c r="A232" s="1"/>
      <c r="D232" s="2"/>
      <c r="F232" s="3"/>
    </row>
    <row r="233">
      <c r="A233" s="1"/>
      <c r="D233" s="2"/>
      <c r="F233" s="3"/>
    </row>
    <row r="234">
      <c r="A234" s="1"/>
      <c r="D234" s="2"/>
      <c r="F234" s="3"/>
    </row>
    <row r="235">
      <c r="A235" s="1"/>
      <c r="D235" s="2"/>
      <c r="F235" s="3"/>
    </row>
    <row r="236">
      <c r="A236" s="1"/>
      <c r="D236" s="2"/>
      <c r="F236" s="3"/>
    </row>
    <row r="237">
      <c r="A237" s="1"/>
      <c r="D237" s="2"/>
      <c r="F237" s="3"/>
    </row>
    <row r="238">
      <c r="A238" s="1"/>
      <c r="D238" s="2"/>
      <c r="F238" s="3"/>
    </row>
    <row r="239">
      <c r="A239" s="1"/>
      <c r="D239" s="2"/>
      <c r="F239" s="3"/>
    </row>
    <row r="240">
      <c r="A240" s="1"/>
      <c r="D240" s="2"/>
      <c r="F240" s="3"/>
    </row>
    <row r="241">
      <c r="A241" s="1"/>
      <c r="D241" s="2"/>
      <c r="F241" s="3"/>
    </row>
    <row r="242">
      <c r="A242" s="1"/>
      <c r="D242" s="2"/>
      <c r="F242" s="3"/>
    </row>
    <row r="243">
      <c r="A243" s="1"/>
      <c r="D243" s="2"/>
      <c r="F243" s="3"/>
    </row>
    <row r="244">
      <c r="A244" s="1"/>
      <c r="D244" s="2"/>
      <c r="F244" s="3"/>
    </row>
    <row r="245">
      <c r="A245" s="1"/>
      <c r="D245" s="2"/>
      <c r="F245" s="3"/>
    </row>
    <row r="246">
      <c r="A246" s="1"/>
      <c r="D246" s="2"/>
      <c r="F246" s="3"/>
    </row>
    <row r="247">
      <c r="A247" s="1"/>
      <c r="D247" s="2"/>
      <c r="F247" s="3"/>
    </row>
    <row r="248">
      <c r="A248" s="1"/>
      <c r="D248" s="2"/>
      <c r="F248" s="3"/>
    </row>
    <row r="249">
      <c r="A249" s="1"/>
      <c r="D249" s="2"/>
      <c r="F249" s="3"/>
    </row>
    <row r="250">
      <c r="A250" s="1"/>
      <c r="D250" s="2"/>
      <c r="F250" s="3"/>
    </row>
    <row r="251">
      <c r="A251" s="1"/>
      <c r="D251" s="2"/>
      <c r="F251" s="3"/>
    </row>
    <row r="252">
      <c r="A252" s="1"/>
      <c r="D252" s="2"/>
      <c r="F252" s="3"/>
    </row>
    <row r="253">
      <c r="A253" s="1"/>
      <c r="D253" s="2"/>
      <c r="F253" s="3"/>
    </row>
    <row r="254">
      <c r="A254" s="1"/>
      <c r="D254" s="2"/>
      <c r="F254" s="3"/>
    </row>
    <row r="255">
      <c r="A255" s="1"/>
      <c r="D255" s="2"/>
      <c r="F255" s="3"/>
    </row>
    <row r="256">
      <c r="A256" s="1"/>
      <c r="D256" s="2"/>
      <c r="F256" s="3"/>
    </row>
    <row r="257">
      <c r="A257" s="1"/>
      <c r="D257" s="2"/>
      <c r="F257" s="3"/>
    </row>
    <row r="258">
      <c r="A258" s="1"/>
      <c r="D258" s="2"/>
      <c r="F258" s="3"/>
    </row>
    <row r="259">
      <c r="A259" s="1"/>
      <c r="D259" s="2"/>
      <c r="F259" s="3"/>
    </row>
    <row r="260">
      <c r="A260" s="1"/>
      <c r="D260" s="2"/>
      <c r="F260" s="3"/>
    </row>
    <row r="261">
      <c r="A261" s="1"/>
      <c r="D261" s="2"/>
      <c r="F261" s="3"/>
    </row>
    <row r="262">
      <c r="A262" s="1"/>
      <c r="D262" s="2"/>
      <c r="F262" s="3"/>
    </row>
    <row r="263">
      <c r="A263" s="1"/>
      <c r="D263" s="2"/>
      <c r="F263" s="3"/>
    </row>
    <row r="264">
      <c r="A264" s="1"/>
      <c r="D264" s="2"/>
      <c r="F264" s="3"/>
    </row>
    <row r="265">
      <c r="A265" s="1"/>
      <c r="D265" s="2"/>
      <c r="F265" s="3"/>
    </row>
    <row r="266">
      <c r="A266" s="1"/>
      <c r="D266" s="2"/>
      <c r="F266" s="3"/>
    </row>
    <row r="267">
      <c r="A267" s="1"/>
      <c r="D267" s="2"/>
      <c r="F267" s="3"/>
    </row>
    <row r="268">
      <c r="A268" s="1"/>
      <c r="D268" s="2"/>
      <c r="F268" s="3"/>
    </row>
    <row r="269">
      <c r="A269" s="1"/>
      <c r="D269" s="2"/>
      <c r="F269" s="3"/>
    </row>
    <row r="270">
      <c r="A270" s="1"/>
      <c r="D270" s="2"/>
      <c r="F270" s="3"/>
    </row>
    <row r="271">
      <c r="A271" s="1"/>
      <c r="D271" s="2"/>
      <c r="F271" s="3"/>
    </row>
    <row r="272">
      <c r="A272" s="1"/>
      <c r="D272" s="2"/>
      <c r="F272" s="3"/>
    </row>
    <row r="273">
      <c r="A273" s="1"/>
      <c r="D273" s="2"/>
      <c r="F273" s="3"/>
    </row>
    <row r="274">
      <c r="A274" s="1"/>
      <c r="D274" s="2"/>
      <c r="F274" s="3"/>
    </row>
    <row r="275">
      <c r="A275" s="1"/>
      <c r="D275" s="2"/>
      <c r="F275" s="3"/>
    </row>
    <row r="276">
      <c r="A276" s="1"/>
      <c r="D276" s="2"/>
      <c r="F276" s="3"/>
    </row>
    <row r="277">
      <c r="A277" s="1"/>
      <c r="D277" s="2"/>
      <c r="F277" s="3"/>
    </row>
    <row r="278">
      <c r="A278" s="1"/>
      <c r="D278" s="2"/>
      <c r="F278" s="3"/>
    </row>
    <row r="279">
      <c r="A279" s="1"/>
      <c r="D279" s="2"/>
      <c r="F279" s="3"/>
    </row>
    <row r="280">
      <c r="A280" s="1"/>
      <c r="D280" s="2"/>
      <c r="F280" s="3"/>
    </row>
    <row r="281">
      <c r="A281" s="1"/>
      <c r="D281" s="2"/>
      <c r="F281" s="3"/>
    </row>
    <row r="282">
      <c r="A282" s="1"/>
      <c r="D282" s="2"/>
      <c r="F282" s="3"/>
    </row>
    <row r="283">
      <c r="A283" s="1"/>
      <c r="D283" s="2"/>
      <c r="F283" s="3"/>
    </row>
    <row r="284">
      <c r="A284" s="1"/>
      <c r="D284" s="2"/>
      <c r="F284" s="3"/>
    </row>
    <row r="285">
      <c r="A285" s="1"/>
      <c r="D285" s="2"/>
      <c r="F285" s="3"/>
    </row>
    <row r="286">
      <c r="A286" s="1"/>
      <c r="D286" s="2"/>
      <c r="F286" s="3"/>
    </row>
    <row r="287">
      <c r="A287" s="1"/>
      <c r="D287" s="2"/>
      <c r="F287" s="3"/>
    </row>
    <row r="288">
      <c r="A288" s="1"/>
      <c r="D288" s="2"/>
      <c r="F288" s="3"/>
    </row>
    <row r="289">
      <c r="A289" s="1"/>
      <c r="D289" s="2"/>
      <c r="F289" s="3"/>
    </row>
    <row r="290">
      <c r="A290" s="1"/>
      <c r="D290" s="2"/>
      <c r="F290" s="3"/>
    </row>
    <row r="291">
      <c r="A291" s="1"/>
      <c r="D291" s="2"/>
      <c r="F291" s="3"/>
    </row>
    <row r="292">
      <c r="A292" s="1"/>
      <c r="D292" s="2"/>
      <c r="F292" s="3"/>
    </row>
    <row r="293">
      <c r="A293" s="1"/>
      <c r="D293" s="2"/>
      <c r="F293" s="3"/>
    </row>
    <row r="294">
      <c r="A294" s="1"/>
      <c r="D294" s="2"/>
      <c r="F294" s="3"/>
    </row>
    <row r="295">
      <c r="A295" s="1"/>
      <c r="D295" s="2"/>
      <c r="F295" s="3"/>
    </row>
    <row r="296">
      <c r="A296" s="1"/>
      <c r="D296" s="2"/>
      <c r="F296" s="3"/>
    </row>
    <row r="297">
      <c r="A297" s="1"/>
      <c r="D297" s="2"/>
      <c r="F297" s="3"/>
    </row>
    <row r="298">
      <c r="A298" s="1"/>
      <c r="D298" s="2"/>
      <c r="F298" s="3"/>
    </row>
    <row r="299">
      <c r="A299" s="1"/>
      <c r="D299" s="2"/>
      <c r="F299" s="3"/>
    </row>
    <row r="300">
      <c r="A300" s="1"/>
      <c r="D300" s="2"/>
      <c r="F300" s="3"/>
    </row>
    <row r="301">
      <c r="A301" s="1"/>
      <c r="D301" s="2"/>
      <c r="F301" s="3"/>
    </row>
    <row r="302">
      <c r="A302" s="1"/>
      <c r="D302" s="2"/>
      <c r="F302" s="3"/>
    </row>
    <row r="303">
      <c r="A303" s="1"/>
      <c r="D303" s="2"/>
      <c r="F303" s="3"/>
    </row>
    <row r="304">
      <c r="A304" s="1"/>
      <c r="D304" s="2"/>
      <c r="F304" s="3"/>
    </row>
    <row r="305">
      <c r="A305" s="1"/>
      <c r="D305" s="2"/>
      <c r="F305" s="3"/>
    </row>
    <row r="306">
      <c r="A306" s="1"/>
      <c r="D306" s="2"/>
      <c r="F306" s="3"/>
    </row>
    <row r="307">
      <c r="A307" s="1"/>
      <c r="D307" s="2"/>
      <c r="F307" s="3"/>
    </row>
    <row r="308">
      <c r="A308" s="1"/>
      <c r="D308" s="2"/>
      <c r="F308" s="3"/>
    </row>
    <row r="309">
      <c r="A309" s="1"/>
      <c r="D309" s="2"/>
      <c r="F309" s="3"/>
    </row>
    <row r="310">
      <c r="A310" s="1"/>
      <c r="D310" s="2"/>
      <c r="F310" s="3"/>
    </row>
    <row r="311">
      <c r="A311" s="1"/>
      <c r="D311" s="2"/>
      <c r="F311" s="3"/>
    </row>
    <row r="312">
      <c r="A312" s="1"/>
      <c r="D312" s="2"/>
      <c r="F312" s="3"/>
    </row>
    <row r="313">
      <c r="A313" s="1"/>
      <c r="D313" s="2"/>
      <c r="F313" s="3"/>
    </row>
    <row r="314">
      <c r="A314" s="1"/>
      <c r="D314" s="2"/>
      <c r="F314" s="3"/>
    </row>
    <row r="315">
      <c r="A315" s="1"/>
      <c r="D315" s="2"/>
      <c r="F315" s="3"/>
    </row>
    <row r="316">
      <c r="A316" s="1"/>
      <c r="D316" s="2"/>
      <c r="F316" s="3"/>
    </row>
    <row r="317">
      <c r="A317" s="1"/>
      <c r="D317" s="2"/>
      <c r="F317" s="3"/>
    </row>
    <row r="318">
      <c r="A318" s="1"/>
      <c r="D318" s="2"/>
      <c r="F318" s="3"/>
    </row>
    <row r="319">
      <c r="A319" s="1"/>
      <c r="D319" s="2"/>
      <c r="F319" s="3"/>
    </row>
    <row r="320">
      <c r="A320" s="1"/>
      <c r="D320" s="2"/>
      <c r="F320" s="3"/>
    </row>
    <row r="321">
      <c r="A321" s="1"/>
      <c r="D321" s="2"/>
      <c r="F321" s="3"/>
    </row>
    <row r="322">
      <c r="A322" s="1"/>
      <c r="D322" s="2"/>
      <c r="F322" s="3"/>
    </row>
    <row r="323">
      <c r="A323" s="1"/>
      <c r="D323" s="2"/>
      <c r="F323" s="3"/>
    </row>
    <row r="324">
      <c r="A324" s="1"/>
      <c r="D324" s="2"/>
      <c r="F324" s="3"/>
    </row>
    <row r="325">
      <c r="A325" s="1"/>
      <c r="D325" s="2"/>
      <c r="F325" s="3"/>
    </row>
    <row r="326">
      <c r="A326" s="1"/>
      <c r="D326" s="2"/>
      <c r="F326" s="3"/>
    </row>
    <row r="327">
      <c r="A327" s="1"/>
      <c r="D327" s="2"/>
      <c r="F327" s="3"/>
    </row>
    <row r="328">
      <c r="A328" s="1"/>
      <c r="D328" s="2"/>
      <c r="F328" s="3"/>
    </row>
    <row r="329">
      <c r="A329" s="1"/>
      <c r="D329" s="2"/>
      <c r="F329" s="3"/>
    </row>
    <row r="330">
      <c r="A330" s="1"/>
      <c r="D330" s="2"/>
      <c r="F330" s="3"/>
    </row>
    <row r="331">
      <c r="A331" s="1"/>
      <c r="D331" s="2"/>
      <c r="F331" s="3"/>
    </row>
    <row r="332">
      <c r="A332" s="1"/>
      <c r="D332" s="2"/>
      <c r="F332" s="3"/>
    </row>
    <row r="333">
      <c r="A333" s="1"/>
      <c r="D333" s="2"/>
      <c r="F333" s="3"/>
    </row>
    <row r="334">
      <c r="A334" s="1"/>
      <c r="D334" s="2"/>
      <c r="F334" s="3"/>
    </row>
    <row r="335">
      <c r="A335" s="1"/>
      <c r="D335" s="2"/>
      <c r="F335" s="3"/>
    </row>
    <row r="336">
      <c r="A336" s="1"/>
      <c r="D336" s="2"/>
      <c r="F336" s="3"/>
    </row>
    <row r="337">
      <c r="A337" s="1"/>
      <c r="D337" s="2"/>
      <c r="F337" s="3"/>
    </row>
    <row r="338">
      <c r="A338" s="1"/>
      <c r="D338" s="2"/>
      <c r="F338" s="3"/>
    </row>
    <row r="339">
      <c r="A339" s="1"/>
      <c r="D339" s="2"/>
      <c r="F339" s="3"/>
    </row>
    <row r="340">
      <c r="A340" s="1"/>
      <c r="D340" s="2"/>
      <c r="F340" s="3"/>
    </row>
    <row r="341">
      <c r="A341" s="1"/>
      <c r="D341" s="2"/>
      <c r="F341" s="3"/>
    </row>
    <row r="342">
      <c r="A342" s="1"/>
      <c r="D342" s="2"/>
      <c r="F342" s="3"/>
    </row>
    <row r="343">
      <c r="A343" s="1"/>
      <c r="D343" s="2"/>
      <c r="F343" s="3"/>
    </row>
    <row r="344">
      <c r="A344" s="1"/>
      <c r="D344" s="2"/>
      <c r="F344" s="3"/>
    </row>
    <row r="345">
      <c r="A345" s="1"/>
      <c r="D345" s="2"/>
      <c r="F345" s="3"/>
    </row>
    <row r="346">
      <c r="A346" s="1"/>
      <c r="D346" s="2"/>
      <c r="F346" s="3"/>
    </row>
    <row r="347">
      <c r="A347" s="1"/>
      <c r="D347" s="2"/>
      <c r="F347" s="3"/>
    </row>
    <row r="348">
      <c r="A348" s="1"/>
      <c r="D348" s="2"/>
      <c r="F348" s="3"/>
    </row>
    <row r="349">
      <c r="A349" s="1"/>
      <c r="D349" s="2"/>
      <c r="F349" s="3"/>
    </row>
    <row r="350">
      <c r="A350" s="1"/>
      <c r="D350" s="2"/>
      <c r="F350" s="3"/>
    </row>
    <row r="351">
      <c r="A351" s="1"/>
      <c r="D351" s="2"/>
      <c r="F351" s="3"/>
    </row>
    <row r="352">
      <c r="A352" s="1"/>
      <c r="D352" s="2"/>
      <c r="F352" s="3"/>
    </row>
    <row r="353">
      <c r="A353" s="1"/>
      <c r="D353" s="2"/>
      <c r="F353" s="3"/>
    </row>
    <row r="354">
      <c r="A354" s="1"/>
      <c r="D354" s="2"/>
      <c r="F354" s="3"/>
    </row>
    <row r="355">
      <c r="A355" s="1"/>
      <c r="D355" s="2"/>
      <c r="F355" s="3"/>
    </row>
    <row r="356">
      <c r="A356" s="1"/>
      <c r="D356" s="2"/>
      <c r="F356" s="3"/>
    </row>
    <row r="357">
      <c r="A357" s="1"/>
      <c r="D357" s="2"/>
      <c r="F357" s="3"/>
    </row>
    <row r="358">
      <c r="A358" s="1"/>
      <c r="D358" s="2"/>
      <c r="F358" s="3"/>
    </row>
    <row r="359">
      <c r="A359" s="1"/>
      <c r="D359" s="2"/>
      <c r="F359" s="3"/>
    </row>
    <row r="360">
      <c r="A360" s="1"/>
      <c r="D360" s="2"/>
      <c r="F360" s="3"/>
    </row>
    <row r="361">
      <c r="A361" s="1"/>
      <c r="D361" s="2"/>
      <c r="F361" s="3"/>
    </row>
    <row r="362">
      <c r="A362" s="1"/>
      <c r="D362" s="2"/>
      <c r="F362" s="3"/>
    </row>
    <row r="363">
      <c r="A363" s="1"/>
      <c r="D363" s="2"/>
      <c r="F363" s="3"/>
    </row>
    <row r="364">
      <c r="A364" s="1"/>
      <c r="D364" s="2"/>
      <c r="F364" s="3"/>
    </row>
    <row r="365">
      <c r="A365" s="1"/>
      <c r="D365" s="2"/>
      <c r="F365" s="3"/>
    </row>
    <row r="366">
      <c r="A366" s="1"/>
      <c r="D366" s="2"/>
      <c r="F366" s="3"/>
    </row>
    <row r="367">
      <c r="A367" s="1"/>
      <c r="D367" s="2"/>
      <c r="F367" s="3"/>
    </row>
    <row r="368">
      <c r="A368" s="1"/>
      <c r="D368" s="2"/>
      <c r="F368" s="3"/>
    </row>
    <row r="369">
      <c r="A369" s="1"/>
      <c r="D369" s="2"/>
      <c r="F369" s="3"/>
    </row>
    <row r="370">
      <c r="A370" s="1"/>
      <c r="D370" s="2"/>
      <c r="F370" s="3"/>
    </row>
    <row r="371">
      <c r="A371" s="1"/>
      <c r="D371" s="2"/>
      <c r="F371" s="3"/>
    </row>
    <row r="372">
      <c r="A372" s="1"/>
      <c r="D372" s="2"/>
      <c r="F372" s="3"/>
    </row>
    <row r="373">
      <c r="A373" s="1"/>
      <c r="D373" s="2"/>
      <c r="F373" s="3"/>
    </row>
    <row r="374">
      <c r="A374" s="1"/>
      <c r="D374" s="2"/>
      <c r="F374" s="3"/>
    </row>
    <row r="375">
      <c r="A375" s="1"/>
      <c r="D375" s="2"/>
      <c r="F375" s="3"/>
    </row>
    <row r="376">
      <c r="A376" s="1"/>
      <c r="D376" s="2"/>
      <c r="F376" s="3"/>
    </row>
    <row r="377">
      <c r="A377" s="1"/>
      <c r="D377" s="2"/>
      <c r="F377" s="3"/>
    </row>
    <row r="378">
      <c r="A378" s="1"/>
      <c r="D378" s="2"/>
      <c r="F378" s="3"/>
    </row>
    <row r="379">
      <c r="A379" s="1"/>
      <c r="D379" s="2"/>
      <c r="F379" s="3"/>
    </row>
    <row r="380">
      <c r="A380" s="1"/>
      <c r="D380" s="2"/>
      <c r="F380" s="3"/>
    </row>
    <row r="381">
      <c r="A381" s="1"/>
      <c r="D381" s="2"/>
      <c r="F381" s="3"/>
    </row>
    <row r="382">
      <c r="A382" s="1"/>
      <c r="D382" s="2"/>
      <c r="F382" s="3"/>
    </row>
    <row r="383">
      <c r="A383" s="1"/>
      <c r="D383" s="2"/>
      <c r="F383" s="3"/>
    </row>
    <row r="384">
      <c r="A384" s="1"/>
      <c r="D384" s="2"/>
      <c r="F384" s="3"/>
    </row>
    <row r="385">
      <c r="A385" s="1"/>
      <c r="D385" s="2"/>
      <c r="F385" s="3"/>
    </row>
    <row r="386">
      <c r="A386" s="1"/>
      <c r="D386" s="2"/>
      <c r="F386" s="3"/>
    </row>
    <row r="387">
      <c r="A387" s="1"/>
      <c r="D387" s="2"/>
      <c r="F387" s="3"/>
    </row>
    <row r="388">
      <c r="A388" s="1"/>
      <c r="D388" s="2"/>
      <c r="F388" s="3"/>
    </row>
    <row r="389">
      <c r="A389" s="1"/>
      <c r="D389" s="2"/>
      <c r="F389" s="3"/>
    </row>
    <row r="390">
      <c r="A390" s="1"/>
      <c r="D390" s="2"/>
      <c r="F390" s="3"/>
    </row>
    <row r="391">
      <c r="A391" s="1"/>
      <c r="D391" s="2"/>
      <c r="F391" s="3"/>
    </row>
    <row r="392">
      <c r="A392" s="1"/>
      <c r="D392" s="2"/>
      <c r="F392" s="3"/>
    </row>
    <row r="393">
      <c r="A393" s="1"/>
      <c r="D393" s="2"/>
      <c r="F393" s="3"/>
    </row>
    <row r="394">
      <c r="A394" s="1"/>
      <c r="D394" s="2"/>
      <c r="F394" s="3"/>
    </row>
    <row r="395">
      <c r="A395" s="1"/>
      <c r="D395" s="2"/>
      <c r="F395" s="3"/>
    </row>
    <row r="396">
      <c r="A396" s="1"/>
      <c r="D396" s="2"/>
      <c r="F396" s="3"/>
    </row>
    <row r="397">
      <c r="A397" s="1"/>
      <c r="D397" s="2"/>
      <c r="F397" s="3"/>
    </row>
    <row r="398">
      <c r="A398" s="1"/>
      <c r="D398" s="2"/>
      <c r="F398" s="3"/>
    </row>
    <row r="399">
      <c r="A399" s="1"/>
      <c r="D399" s="2"/>
      <c r="F399" s="3"/>
    </row>
    <row r="400">
      <c r="A400" s="1"/>
      <c r="D400" s="2"/>
      <c r="F400" s="3"/>
    </row>
    <row r="401">
      <c r="A401" s="1"/>
      <c r="D401" s="2"/>
      <c r="F401" s="3"/>
    </row>
    <row r="402">
      <c r="A402" s="1"/>
      <c r="D402" s="2"/>
      <c r="F402" s="3"/>
    </row>
    <row r="403">
      <c r="A403" s="1"/>
      <c r="D403" s="2"/>
      <c r="F403" s="3"/>
    </row>
    <row r="404">
      <c r="A404" s="1"/>
      <c r="D404" s="2"/>
      <c r="F404" s="3"/>
    </row>
    <row r="405">
      <c r="A405" s="1"/>
      <c r="D405" s="2"/>
      <c r="F405" s="3"/>
    </row>
    <row r="406">
      <c r="A406" s="1"/>
      <c r="D406" s="2"/>
      <c r="F406" s="3"/>
    </row>
    <row r="407">
      <c r="A407" s="1"/>
      <c r="D407" s="2"/>
      <c r="F407" s="3"/>
    </row>
    <row r="408">
      <c r="A408" s="1"/>
      <c r="D408" s="2"/>
      <c r="F408" s="3"/>
    </row>
    <row r="409">
      <c r="A409" s="1"/>
      <c r="D409" s="2"/>
      <c r="F409" s="3"/>
    </row>
    <row r="410">
      <c r="A410" s="1"/>
      <c r="D410" s="2"/>
      <c r="F410" s="3"/>
    </row>
    <row r="411">
      <c r="A411" s="1"/>
      <c r="D411" s="2"/>
      <c r="F411" s="3"/>
    </row>
    <row r="412">
      <c r="A412" s="1"/>
      <c r="D412" s="2"/>
      <c r="F412" s="3"/>
    </row>
    <row r="413">
      <c r="A413" s="1"/>
      <c r="D413" s="2"/>
      <c r="F413" s="3"/>
    </row>
    <row r="414">
      <c r="A414" s="1"/>
      <c r="D414" s="2"/>
      <c r="F414" s="3"/>
    </row>
    <row r="415">
      <c r="A415" s="1"/>
      <c r="D415" s="2"/>
      <c r="F415" s="3"/>
    </row>
    <row r="416">
      <c r="A416" s="1"/>
      <c r="D416" s="2"/>
      <c r="F416" s="3"/>
    </row>
    <row r="417">
      <c r="A417" s="1"/>
      <c r="D417" s="2"/>
      <c r="F417" s="3"/>
    </row>
    <row r="418">
      <c r="A418" s="1"/>
      <c r="D418" s="2"/>
      <c r="F418" s="3"/>
    </row>
    <row r="419">
      <c r="A419" s="1"/>
      <c r="D419" s="2"/>
      <c r="F419" s="3"/>
    </row>
    <row r="420">
      <c r="A420" s="1"/>
      <c r="D420" s="2"/>
      <c r="F420" s="3"/>
    </row>
    <row r="421">
      <c r="A421" s="1"/>
      <c r="D421" s="2"/>
      <c r="F421" s="3"/>
    </row>
    <row r="422">
      <c r="A422" s="1"/>
      <c r="D422" s="2"/>
      <c r="F422" s="3"/>
    </row>
    <row r="423">
      <c r="A423" s="1"/>
      <c r="D423" s="2"/>
      <c r="F423" s="3"/>
    </row>
    <row r="424">
      <c r="A424" s="1"/>
      <c r="D424" s="2"/>
      <c r="F424" s="3"/>
    </row>
    <row r="425">
      <c r="A425" s="1"/>
      <c r="D425" s="2"/>
      <c r="F425" s="3"/>
    </row>
    <row r="426">
      <c r="A426" s="1"/>
      <c r="D426" s="2"/>
      <c r="F426" s="3"/>
    </row>
    <row r="427">
      <c r="A427" s="1"/>
      <c r="D427" s="2"/>
      <c r="F427" s="3"/>
    </row>
    <row r="428">
      <c r="A428" s="1"/>
      <c r="D428" s="2"/>
      <c r="F428" s="3"/>
    </row>
    <row r="429">
      <c r="A429" s="1"/>
      <c r="D429" s="2"/>
      <c r="F429" s="3"/>
    </row>
    <row r="430">
      <c r="A430" s="1"/>
      <c r="D430" s="2"/>
      <c r="F430" s="3"/>
    </row>
    <row r="431">
      <c r="A431" s="1"/>
      <c r="D431" s="2"/>
      <c r="F431" s="3"/>
    </row>
    <row r="432">
      <c r="A432" s="1"/>
      <c r="D432" s="2"/>
      <c r="F432" s="3"/>
    </row>
    <row r="433">
      <c r="A433" s="1"/>
      <c r="D433" s="2"/>
      <c r="F433" s="3"/>
    </row>
    <row r="434">
      <c r="A434" s="1"/>
      <c r="D434" s="2"/>
      <c r="F434" s="3"/>
    </row>
    <row r="435">
      <c r="A435" s="1"/>
      <c r="D435" s="2"/>
      <c r="F435" s="3"/>
    </row>
    <row r="436">
      <c r="A436" s="1"/>
      <c r="D436" s="2"/>
      <c r="F436" s="3"/>
    </row>
    <row r="437">
      <c r="A437" s="1"/>
      <c r="D437" s="2"/>
      <c r="F437" s="3"/>
    </row>
    <row r="438">
      <c r="A438" s="1"/>
      <c r="D438" s="2"/>
      <c r="F438" s="3"/>
    </row>
    <row r="439">
      <c r="A439" s="1"/>
      <c r="D439" s="2"/>
      <c r="F439" s="3"/>
    </row>
    <row r="440">
      <c r="A440" s="1"/>
      <c r="D440" s="2"/>
      <c r="F440" s="3"/>
    </row>
    <row r="441">
      <c r="A441" s="1"/>
      <c r="D441" s="2"/>
      <c r="F441" s="3"/>
    </row>
    <row r="442">
      <c r="A442" s="1"/>
      <c r="D442" s="2"/>
      <c r="F442" s="3"/>
    </row>
    <row r="443">
      <c r="A443" s="1"/>
      <c r="D443" s="2"/>
      <c r="F443" s="3"/>
    </row>
    <row r="444">
      <c r="A444" s="1"/>
      <c r="D444" s="2"/>
      <c r="F444" s="3"/>
    </row>
    <row r="445">
      <c r="A445" s="1"/>
      <c r="D445" s="2"/>
      <c r="F445" s="3"/>
    </row>
    <row r="446">
      <c r="A446" s="1"/>
      <c r="D446" s="2"/>
      <c r="F446" s="3"/>
    </row>
    <row r="447">
      <c r="A447" s="1"/>
      <c r="D447" s="2"/>
      <c r="F447" s="3"/>
    </row>
    <row r="448">
      <c r="A448" s="1"/>
      <c r="D448" s="2"/>
      <c r="F448" s="3"/>
    </row>
    <row r="449">
      <c r="A449" s="1"/>
      <c r="D449" s="2"/>
      <c r="F449" s="3"/>
    </row>
    <row r="450">
      <c r="A450" s="1"/>
      <c r="D450" s="2"/>
      <c r="F450" s="3"/>
    </row>
    <row r="451">
      <c r="A451" s="1"/>
      <c r="D451" s="2"/>
      <c r="F451" s="3"/>
    </row>
    <row r="452">
      <c r="A452" s="1"/>
      <c r="D452" s="2"/>
      <c r="F452" s="3"/>
    </row>
    <row r="453">
      <c r="A453" s="1"/>
      <c r="D453" s="2"/>
      <c r="F453" s="3"/>
    </row>
    <row r="454">
      <c r="A454" s="1"/>
      <c r="D454" s="2"/>
      <c r="F454" s="3"/>
    </row>
    <row r="455">
      <c r="A455" s="1"/>
      <c r="D455" s="2"/>
      <c r="F455" s="3"/>
    </row>
    <row r="456">
      <c r="A456" s="1"/>
      <c r="D456" s="2"/>
      <c r="F456" s="3"/>
    </row>
    <row r="457">
      <c r="A457" s="1"/>
      <c r="D457" s="2"/>
      <c r="F457" s="3"/>
    </row>
    <row r="458">
      <c r="A458" s="1"/>
      <c r="D458" s="2"/>
      <c r="F458" s="3"/>
    </row>
    <row r="459">
      <c r="A459" s="1"/>
      <c r="D459" s="2"/>
      <c r="F459" s="3"/>
    </row>
    <row r="460">
      <c r="A460" s="1"/>
      <c r="D460" s="2"/>
      <c r="F460" s="3"/>
    </row>
    <row r="461">
      <c r="A461" s="1"/>
      <c r="D461" s="2"/>
      <c r="F461" s="3"/>
    </row>
    <row r="462">
      <c r="A462" s="1"/>
      <c r="D462" s="2"/>
      <c r="F462" s="3"/>
    </row>
    <row r="463">
      <c r="A463" s="1"/>
      <c r="D463" s="2"/>
      <c r="F463" s="3"/>
    </row>
    <row r="464">
      <c r="A464" s="1"/>
      <c r="D464" s="2"/>
      <c r="F464" s="3"/>
    </row>
    <row r="465">
      <c r="A465" s="1"/>
      <c r="D465" s="2"/>
      <c r="F465" s="3"/>
    </row>
    <row r="466">
      <c r="A466" s="1"/>
      <c r="D466" s="2"/>
      <c r="F466" s="3"/>
    </row>
    <row r="467">
      <c r="A467" s="1"/>
      <c r="D467" s="2"/>
      <c r="F467" s="3"/>
    </row>
    <row r="468">
      <c r="A468" s="1"/>
      <c r="D468" s="2"/>
      <c r="F468" s="3"/>
    </row>
    <row r="469">
      <c r="A469" s="1"/>
      <c r="D469" s="2"/>
      <c r="F469" s="3"/>
    </row>
    <row r="470">
      <c r="A470" s="1"/>
      <c r="D470" s="2"/>
      <c r="F470" s="3"/>
    </row>
    <row r="471">
      <c r="A471" s="1"/>
      <c r="D471" s="2"/>
      <c r="F471" s="3"/>
    </row>
    <row r="472">
      <c r="A472" s="1"/>
      <c r="D472" s="2"/>
      <c r="F472" s="3"/>
    </row>
    <row r="473">
      <c r="A473" s="1"/>
      <c r="D473" s="2"/>
      <c r="F473" s="3"/>
    </row>
    <row r="474">
      <c r="A474" s="1"/>
      <c r="D474" s="2"/>
      <c r="F474" s="3"/>
    </row>
    <row r="475">
      <c r="A475" s="1"/>
      <c r="D475" s="2"/>
      <c r="F475" s="3"/>
    </row>
    <row r="476">
      <c r="A476" s="1"/>
      <c r="D476" s="2"/>
      <c r="F476" s="3"/>
    </row>
    <row r="477">
      <c r="A477" s="1"/>
      <c r="D477" s="2"/>
      <c r="F477" s="3"/>
    </row>
    <row r="478">
      <c r="A478" s="1"/>
      <c r="D478" s="2"/>
      <c r="F478" s="3"/>
    </row>
    <row r="479">
      <c r="A479" s="1"/>
      <c r="D479" s="2"/>
      <c r="F479" s="3"/>
    </row>
    <row r="480">
      <c r="A480" s="1"/>
      <c r="D480" s="2"/>
      <c r="F480" s="3"/>
    </row>
    <row r="481">
      <c r="A481" s="1"/>
      <c r="D481" s="2"/>
      <c r="F481" s="3"/>
    </row>
    <row r="482">
      <c r="A482" s="1"/>
      <c r="D482" s="2"/>
      <c r="F482" s="3"/>
    </row>
    <row r="483">
      <c r="A483" s="1"/>
      <c r="D483" s="2"/>
      <c r="F483" s="3"/>
    </row>
    <row r="484">
      <c r="A484" s="1"/>
      <c r="D484" s="2"/>
      <c r="F484" s="3"/>
    </row>
    <row r="485">
      <c r="A485" s="1"/>
      <c r="D485" s="2"/>
      <c r="F485" s="3"/>
    </row>
    <row r="486">
      <c r="A486" s="1"/>
      <c r="D486" s="2"/>
      <c r="F486" s="3"/>
    </row>
    <row r="487">
      <c r="A487" s="1"/>
      <c r="D487" s="2"/>
      <c r="F487" s="3"/>
    </row>
    <row r="488">
      <c r="A488" s="1"/>
      <c r="D488" s="2"/>
      <c r="F488" s="3"/>
    </row>
    <row r="489">
      <c r="A489" s="1"/>
      <c r="D489" s="2"/>
      <c r="F489" s="3"/>
    </row>
    <row r="490">
      <c r="A490" s="1"/>
      <c r="D490" s="2"/>
      <c r="F490" s="3"/>
    </row>
    <row r="491">
      <c r="A491" s="1"/>
      <c r="D491" s="2"/>
      <c r="F491" s="3"/>
    </row>
    <row r="492">
      <c r="A492" s="1"/>
      <c r="D492" s="2"/>
      <c r="F492" s="3"/>
    </row>
    <row r="493">
      <c r="A493" s="1"/>
      <c r="D493" s="2"/>
      <c r="F493" s="3"/>
    </row>
    <row r="494">
      <c r="A494" s="1"/>
      <c r="D494" s="2"/>
      <c r="F494" s="3"/>
    </row>
    <row r="495">
      <c r="A495" s="1"/>
      <c r="D495" s="2"/>
      <c r="F495" s="3"/>
    </row>
    <row r="496">
      <c r="A496" s="1"/>
      <c r="D496" s="2"/>
      <c r="F496" s="3"/>
    </row>
    <row r="497">
      <c r="A497" s="1"/>
      <c r="D497" s="2"/>
      <c r="F497" s="3"/>
    </row>
    <row r="498">
      <c r="A498" s="1"/>
      <c r="D498" s="2"/>
      <c r="F498" s="3"/>
    </row>
    <row r="499">
      <c r="A499" s="1"/>
      <c r="D499" s="2"/>
      <c r="F499" s="3"/>
    </row>
    <row r="500">
      <c r="A500" s="1"/>
      <c r="D500" s="2"/>
      <c r="F500" s="3"/>
    </row>
    <row r="501">
      <c r="A501" s="1"/>
      <c r="D501" s="2"/>
      <c r="F501" s="3"/>
    </row>
    <row r="502">
      <c r="A502" s="1"/>
      <c r="D502" s="2"/>
      <c r="F502" s="3"/>
    </row>
    <row r="503">
      <c r="A503" s="1"/>
      <c r="D503" s="2"/>
      <c r="F503" s="3"/>
    </row>
    <row r="504">
      <c r="A504" s="1"/>
      <c r="D504" s="2"/>
      <c r="F504" s="3"/>
    </row>
    <row r="505">
      <c r="A505" s="1"/>
      <c r="D505" s="2"/>
      <c r="F505" s="3"/>
    </row>
    <row r="506">
      <c r="A506" s="1"/>
      <c r="D506" s="2"/>
      <c r="F506" s="3"/>
    </row>
    <row r="507">
      <c r="A507" s="1"/>
      <c r="D507" s="2"/>
      <c r="F507" s="3"/>
    </row>
    <row r="508">
      <c r="A508" s="1"/>
      <c r="D508" s="2"/>
      <c r="F508" s="3"/>
    </row>
    <row r="509">
      <c r="A509" s="1"/>
      <c r="D509" s="2"/>
      <c r="F509" s="3"/>
    </row>
    <row r="510">
      <c r="A510" s="1"/>
      <c r="D510" s="2"/>
      <c r="F510" s="3"/>
    </row>
    <row r="511">
      <c r="A511" s="1"/>
      <c r="D511" s="2"/>
      <c r="F511" s="3"/>
    </row>
    <row r="512">
      <c r="A512" s="1"/>
      <c r="D512" s="2"/>
      <c r="F512" s="3"/>
    </row>
    <row r="513">
      <c r="A513" s="1"/>
      <c r="D513" s="2"/>
      <c r="F513" s="3"/>
    </row>
    <row r="514">
      <c r="A514" s="1"/>
      <c r="D514" s="2"/>
      <c r="F514" s="3"/>
    </row>
    <row r="515">
      <c r="A515" s="1"/>
      <c r="D515" s="2"/>
      <c r="F515" s="3"/>
    </row>
    <row r="516">
      <c r="A516" s="1"/>
      <c r="D516" s="2"/>
      <c r="F516" s="3"/>
    </row>
    <row r="517">
      <c r="A517" s="1"/>
      <c r="D517" s="2"/>
      <c r="F517" s="3"/>
    </row>
    <row r="518">
      <c r="A518" s="1"/>
      <c r="D518" s="2"/>
      <c r="F518" s="3"/>
    </row>
    <row r="519">
      <c r="A519" s="1"/>
      <c r="D519" s="2"/>
      <c r="F519" s="3"/>
    </row>
    <row r="520">
      <c r="A520" s="1"/>
      <c r="D520" s="2"/>
      <c r="F520" s="3"/>
    </row>
    <row r="521">
      <c r="A521" s="1"/>
      <c r="D521" s="2"/>
      <c r="F521" s="3"/>
    </row>
    <row r="522">
      <c r="A522" s="1"/>
      <c r="D522" s="2"/>
      <c r="F522" s="3"/>
    </row>
    <row r="523">
      <c r="A523" s="1"/>
      <c r="D523" s="2"/>
      <c r="F523" s="3"/>
    </row>
    <row r="524">
      <c r="A524" s="1"/>
      <c r="D524" s="2"/>
      <c r="F524" s="3"/>
    </row>
    <row r="525">
      <c r="A525" s="1"/>
      <c r="D525" s="2"/>
      <c r="F525" s="3"/>
    </row>
    <row r="526">
      <c r="A526" s="1"/>
      <c r="D526" s="2"/>
      <c r="F526" s="3"/>
    </row>
    <row r="527">
      <c r="A527" s="1"/>
      <c r="D527" s="2"/>
      <c r="F527" s="3"/>
    </row>
    <row r="528">
      <c r="A528" s="1"/>
      <c r="D528" s="2"/>
      <c r="F528" s="3"/>
    </row>
    <row r="529">
      <c r="A529" s="1"/>
      <c r="D529" s="2"/>
      <c r="F529" s="3"/>
    </row>
    <row r="530">
      <c r="A530" s="1"/>
      <c r="D530" s="2"/>
      <c r="F530" s="3"/>
    </row>
    <row r="531">
      <c r="A531" s="1"/>
      <c r="D531" s="2"/>
      <c r="F531" s="3"/>
    </row>
    <row r="532">
      <c r="A532" s="1"/>
      <c r="D532" s="2"/>
      <c r="F532" s="3"/>
    </row>
    <row r="533">
      <c r="A533" s="1"/>
      <c r="D533" s="2"/>
      <c r="F533" s="3"/>
    </row>
    <row r="534">
      <c r="A534" s="1"/>
      <c r="D534" s="2"/>
      <c r="F534" s="3"/>
    </row>
    <row r="535">
      <c r="A535" s="1"/>
      <c r="D535" s="2"/>
      <c r="F535" s="3"/>
    </row>
    <row r="536">
      <c r="A536" s="1"/>
      <c r="D536" s="2"/>
      <c r="F536" s="3"/>
    </row>
    <row r="537">
      <c r="A537" s="1"/>
      <c r="D537" s="2"/>
      <c r="F537" s="3"/>
    </row>
    <row r="538">
      <c r="A538" s="1"/>
      <c r="D538" s="2"/>
      <c r="F538" s="3"/>
    </row>
    <row r="539">
      <c r="A539" s="1"/>
      <c r="D539" s="2"/>
      <c r="F539" s="3"/>
    </row>
    <row r="540">
      <c r="A540" s="1"/>
      <c r="D540" s="2"/>
      <c r="F540" s="3"/>
    </row>
    <row r="541">
      <c r="A541" s="1"/>
      <c r="D541" s="2"/>
      <c r="F541" s="3"/>
    </row>
    <row r="542">
      <c r="A542" s="1"/>
      <c r="D542" s="2"/>
      <c r="F542" s="3"/>
    </row>
    <row r="543">
      <c r="A543" s="1"/>
      <c r="D543" s="2"/>
      <c r="F543" s="3"/>
    </row>
    <row r="544">
      <c r="A544" s="1"/>
      <c r="D544" s="2"/>
      <c r="F544" s="3"/>
    </row>
    <row r="545">
      <c r="A545" s="1"/>
      <c r="D545" s="2"/>
      <c r="F545" s="3"/>
    </row>
    <row r="546">
      <c r="A546" s="1"/>
      <c r="D546" s="2"/>
      <c r="F546" s="3"/>
    </row>
    <row r="547">
      <c r="A547" s="1"/>
      <c r="D547" s="2"/>
      <c r="F547" s="3"/>
    </row>
    <row r="548">
      <c r="A548" s="1"/>
      <c r="D548" s="2"/>
      <c r="F548" s="3"/>
    </row>
    <row r="549">
      <c r="A549" s="1"/>
      <c r="D549" s="2"/>
      <c r="F549" s="3"/>
    </row>
    <row r="550">
      <c r="A550" s="1"/>
      <c r="D550" s="2"/>
      <c r="F550" s="3"/>
    </row>
    <row r="551">
      <c r="A551" s="1"/>
      <c r="D551" s="2"/>
      <c r="F551" s="3"/>
    </row>
    <row r="552">
      <c r="A552" s="1"/>
      <c r="D552" s="2"/>
      <c r="F552" s="3"/>
    </row>
    <row r="553">
      <c r="A553" s="1"/>
      <c r="D553" s="2"/>
      <c r="F553" s="3"/>
    </row>
    <row r="554">
      <c r="A554" s="1"/>
      <c r="D554" s="2"/>
      <c r="F554" s="3"/>
    </row>
    <row r="555">
      <c r="A555" s="1"/>
      <c r="D555" s="2"/>
      <c r="F555" s="3"/>
    </row>
    <row r="556">
      <c r="A556" s="1"/>
      <c r="D556" s="2"/>
      <c r="F556" s="3"/>
    </row>
    <row r="557">
      <c r="A557" s="1"/>
      <c r="D557" s="2"/>
      <c r="F557" s="3"/>
    </row>
    <row r="558">
      <c r="A558" s="1"/>
      <c r="D558" s="2"/>
      <c r="F558" s="3"/>
    </row>
    <row r="559">
      <c r="A559" s="1"/>
      <c r="D559" s="2"/>
      <c r="F559" s="3"/>
    </row>
    <row r="560">
      <c r="A560" s="1"/>
      <c r="D560" s="2"/>
      <c r="F560" s="3"/>
    </row>
    <row r="561">
      <c r="A561" s="1"/>
      <c r="D561" s="2"/>
      <c r="F561" s="3"/>
    </row>
    <row r="562">
      <c r="A562" s="1"/>
      <c r="D562" s="2"/>
      <c r="F562" s="3"/>
    </row>
    <row r="563">
      <c r="A563" s="1"/>
      <c r="D563" s="2"/>
      <c r="F563" s="3"/>
    </row>
    <row r="564">
      <c r="A564" s="1"/>
      <c r="D564" s="2"/>
      <c r="F564" s="3"/>
    </row>
    <row r="565">
      <c r="A565" s="1"/>
      <c r="D565" s="2"/>
      <c r="F565" s="3"/>
    </row>
    <row r="566">
      <c r="A566" s="1"/>
      <c r="D566" s="2"/>
      <c r="F566" s="3"/>
    </row>
    <row r="567">
      <c r="A567" s="1"/>
      <c r="D567" s="2"/>
      <c r="F567" s="3"/>
    </row>
    <row r="568">
      <c r="A568" s="1"/>
      <c r="D568" s="2"/>
      <c r="F568" s="3"/>
    </row>
    <row r="569">
      <c r="A569" s="1"/>
      <c r="D569" s="2"/>
      <c r="F569" s="3"/>
    </row>
    <row r="570">
      <c r="A570" s="1"/>
      <c r="D570" s="2"/>
      <c r="F570" s="3"/>
    </row>
    <row r="571">
      <c r="A571" s="1"/>
      <c r="D571" s="2"/>
      <c r="F571" s="3"/>
    </row>
    <row r="572">
      <c r="A572" s="1"/>
      <c r="D572" s="2"/>
      <c r="F572" s="3"/>
    </row>
    <row r="573">
      <c r="A573" s="1"/>
      <c r="D573" s="2"/>
      <c r="F573" s="3"/>
    </row>
    <row r="574">
      <c r="A574" s="1"/>
      <c r="D574" s="2"/>
      <c r="F574" s="3"/>
    </row>
    <row r="575">
      <c r="A575" s="1"/>
      <c r="D575" s="2"/>
      <c r="F575" s="3"/>
    </row>
    <row r="576">
      <c r="A576" s="1"/>
      <c r="D576" s="2"/>
      <c r="F576" s="3"/>
    </row>
    <row r="577">
      <c r="A577" s="1"/>
      <c r="D577" s="2"/>
      <c r="F577" s="3"/>
    </row>
    <row r="578">
      <c r="A578" s="1"/>
      <c r="D578" s="2"/>
      <c r="F578" s="3"/>
    </row>
    <row r="579">
      <c r="A579" s="1"/>
      <c r="D579" s="2"/>
      <c r="F579" s="3"/>
    </row>
    <row r="580">
      <c r="A580" s="1"/>
      <c r="D580" s="2"/>
      <c r="F580" s="3"/>
    </row>
    <row r="581">
      <c r="A581" s="1"/>
      <c r="D581" s="2"/>
      <c r="F581" s="3"/>
    </row>
    <row r="582">
      <c r="A582" s="1"/>
      <c r="D582" s="2"/>
      <c r="F582" s="3"/>
    </row>
    <row r="583">
      <c r="A583" s="1"/>
      <c r="D583" s="2"/>
      <c r="F583" s="3"/>
    </row>
    <row r="584">
      <c r="A584" s="1"/>
      <c r="D584" s="2"/>
      <c r="F584" s="3"/>
    </row>
    <row r="585">
      <c r="A585" s="1"/>
      <c r="D585" s="2"/>
      <c r="F585" s="3"/>
    </row>
    <row r="586">
      <c r="A586" s="1"/>
      <c r="D586" s="2"/>
      <c r="F586" s="3"/>
    </row>
    <row r="587">
      <c r="A587" s="1"/>
      <c r="D587" s="2"/>
      <c r="F587" s="3"/>
    </row>
    <row r="588">
      <c r="A588" s="1"/>
      <c r="D588" s="2"/>
      <c r="F588" s="3"/>
    </row>
    <row r="589">
      <c r="A589" s="1"/>
      <c r="D589" s="2"/>
      <c r="F589" s="3"/>
    </row>
    <row r="590">
      <c r="A590" s="1"/>
      <c r="D590" s="2"/>
      <c r="F590" s="3"/>
    </row>
    <row r="591">
      <c r="A591" s="1"/>
      <c r="D591" s="2"/>
      <c r="F591" s="3"/>
    </row>
    <row r="592">
      <c r="A592" s="1"/>
      <c r="D592" s="2"/>
      <c r="F592" s="3"/>
    </row>
    <row r="593">
      <c r="A593" s="1"/>
      <c r="D593" s="2"/>
      <c r="F593" s="3"/>
    </row>
    <row r="594">
      <c r="A594" s="1"/>
      <c r="D594" s="2"/>
      <c r="F594" s="3"/>
    </row>
    <row r="595">
      <c r="A595" s="1"/>
      <c r="D595" s="2"/>
      <c r="F595" s="3"/>
    </row>
    <row r="596">
      <c r="A596" s="1"/>
      <c r="D596" s="2"/>
      <c r="F596" s="3"/>
    </row>
    <row r="597">
      <c r="A597" s="1"/>
      <c r="D597" s="2"/>
      <c r="F597" s="3"/>
    </row>
    <row r="598">
      <c r="A598" s="1"/>
      <c r="D598" s="2"/>
      <c r="F598" s="3"/>
    </row>
    <row r="599">
      <c r="A599" s="1"/>
      <c r="D599" s="2"/>
      <c r="F599" s="3"/>
    </row>
    <row r="600">
      <c r="A600" s="1"/>
      <c r="D600" s="2"/>
      <c r="F600" s="3"/>
    </row>
    <row r="601">
      <c r="A601" s="1"/>
      <c r="D601" s="2"/>
      <c r="F601" s="3"/>
    </row>
    <row r="602">
      <c r="A602" s="1"/>
      <c r="D602" s="2"/>
      <c r="F602" s="3"/>
    </row>
    <row r="603">
      <c r="A603" s="1"/>
      <c r="D603" s="2"/>
      <c r="F603" s="3"/>
    </row>
    <row r="604">
      <c r="A604" s="1"/>
      <c r="D604" s="2"/>
      <c r="F604" s="3"/>
    </row>
    <row r="605">
      <c r="A605" s="1"/>
      <c r="D605" s="2"/>
      <c r="F605" s="3"/>
    </row>
    <row r="606">
      <c r="A606" s="1"/>
      <c r="D606" s="2"/>
      <c r="F606" s="3"/>
    </row>
    <row r="607">
      <c r="A607" s="1"/>
      <c r="D607" s="2"/>
      <c r="F607" s="3"/>
    </row>
    <row r="608">
      <c r="A608" s="1"/>
      <c r="D608" s="2"/>
      <c r="F608" s="3"/>
    </row>
    <row r="609">
      <c r="A609" s="1"/>
      <c r="D609" s="2"/>
      <c r="F609" s="3"/>
    </row>
    <row r="610">
      <c r="A610" s="1"/>
      <c r="D610" s="2"/>
      <c r="F610" s="3"/>
    </row>
    <row r="611">
      <c r="A611" s="1"/>
      <c r="D611" s="2"/>
      <c r="F611" s="3"/>
    </row>
    <row r="612">
      <c r="A612" s="1"/>
      <c r="D612" s="2"/>
      <c r="F612" s="3"/>
    </row>
    <row r="613">
      <c r="A613" s="1"/>
      <c r="D613" s="2"/>
      <c r="F613" s="3"/>
    </row>
    <row r="614">
      <c r="A614" s="1"/>
      <c r="D614" s="2"/>
      <c r="F614" s="3"/>
    </row>
    <row r="615">
      <c r="A615" s="1"/>
      <c r="D615" s="2"/>
      <c r="F615" s="3"/>
    </row>
    <row r="616">
      <c r="A616" s="1"/>
      <c r="D616" s="2"/>
      <c r="F616" s="3"/>
    </row>
    <row r="617">
      <c r="A617" s="1"/>
      <c r="D617" s="2"/>
      <c r="F617" s="3"/>
    </row>
    <row r="618">
      <c r="A618" s="1"/>
      <c r="D618" s="2"/>
      <c r="F618" s="3"/>
    </row>
    <row r="619">
      <c r="A619" s="1"/>
      <c r="D619" s="2"/>
      <c r="F619" s="3"/>
    </row>
    <row r="620">
      <c r="A620" s="1"/>
      <c r="D620" s="2"/>
      <c r="F620" s="3"/>
    </row>
    <row r="621">
      <c r="A621" s="1"/>
      <c r="D621" s="2"/>
      <c r="F621" s="3"/>
    </row>
    <row r="622">
      <c r="A622" s="1"/>
      <c r="D622" s="2"/>
      <c r="F622" s="3"/>
    </row>
    <row r="623">
      <c r="A623" s="1"/>
      <c r="D623" s="2"/>
      <c r="F623" s="3"/>
    </row>
    <row r="624">
      <c r="A624" s="1"/>
      <c r="D624" s="2"/>
      <c r="F624" s="3"/>
    </row>
    <row r="625">
      <c r="A625" s="1"/>
      <c r="D625" s="2"/>
      <c r="F625" s="3"/>
    </row>
    <row r="626">
      <c r="A626" s="1"/>
      <c r="D626" s="2"/>
      <c r="F626" s="3"/>
    </row>
    <row r="627">
      <c r="A627" s="1"/>
      <c r="D627" s="2"/>
      <c r="F627" s="3"/>
    </row>
    <row r="628">
      <c r="A628" s="1"/>
      <c r="D628" s="2"/>
      <c r="F628" s="3"/>
    </row>
    <row r="629">
      <c r="A629" s="1"/>
      <c r="D629" s="2"/>
      <c r="F629" s="3"/>
    </row>
    <row r="630">
      <c r="A630" s="1"/>
      <c r="D630" s="2"/>
      <c r="F630" s="3"/>
    </row>
    <row r="631">
      <c r="A631" s="1"/>
      <c r="D631" s="2"/>
      <c r="F631" s="3"/>
    </row>
    <row r="632">
      <c r="A632" s="1"/>
      <c r="D632" s="2"/>
      <c r="F632" s="3"/>
    </row>
    <row r="633">
      <c r="A633" s="1"/>
      <c r="D633" s="2"/>
      <c r="F633" s="3"/>
    </row>
    <row r="634">
      <c r="A634" s="1"/>
      <c r="D634" s="2"/>
      <c r="F634" s="3"/>
    </row>
    <row r="635">
      <c r="A635" s="1"/>
      <c r="D635" s="2"/>
      <c r="F635" s="3"/>
    </row>
    <row r="636">
      <c r="A636" s="1"/>
      <c r="D636" s="2"/>
      <c r="F636" s="3"/>
    </row>
    <row r="637">
      <c r="A637" s="1"/>
      <c r="D637" s="2"/>
      <c r="F637" s="3"/>
    </row>
    <row r="638">
      <c r="A638" s="1"/>
      <c r="D638" s="2"/>
      <c r="F638" s="3"/>
    </row>
    <row r="639">
      <c r="A639" s="1"/>
      <c r="D639" s="2"/>
      <c r="F639" s="3"/>
    </row>
    <row r="640">
      <c r="A640" s="1"/>
      <c r="D640" s="2"/>
      <c r="F640" s="3"/>
    </row>
    <row r="641">
      <c r="A641" s="1"/>
      <c r="D641" s="2"/>
      <c r="F641" s="3"/>
    </row>
    <row r="642">
      <c r="A642" s="1"/>
      <c r="D642" s="2"/>
      <c r="F642" s="3"/>
    </row>
    <row r="643">
      <c r="A643" s="1"/>
      <c r="D643" s="2"/>
      <c r="F643" s="3"/>
    </row>
    <row r="644">
      <c r="A644" s="1"/>
      <c r="D644" s="2"/>
      <c r="F644" s="3"/>
    </row>
    <row r="645">
      <c r="A645" s="1"/>
      <c r="D645" s="2"/>
      <c r="F645" s="3"/>
    </row>
    <row r="646">
      <c r="A646" s="1"/>
      <c r="D646" s="2"/>
      <c r="F646" s="3"/>
    </row>
    <row r="647">
      <c r="A647" s="1"/>
      <c r="D647" s="2"/>
      <c r="F647" s="3"/>
    </row>
    <row r="648">
      <c r="A648" s="1"/>
      <c r="D648" s="2"/>
      <c r="F648" s="3"/>
    </row>
    <row r="649">
      <c r="A649" s="1"/>
      <c r="D649" s="2"/>
      <c r="F649" s="3"/>
    </row>
    <row r="650">
      <c r="A650" s="1"/>
      <c r="D650" s="2"/>
      <c r="F650" s="3"/>
    </row>
    <row r="651">
      <c r="A651" s="1"/>
      <c r="D651" s="2"/>
      <c r="F651" s="3"/>
    </row>
    <row r="652">
      <c r="A652" s="1"/>
      <c r="D652" s="2"/>
      <c r="F652" s="3"/>
    </row>
    <row r="653">
      <c r="A653" s="1"/>
      <c r="D653" s="2"/>
      <c r="F653" s="3"/>
    </row>
    <row r="654">
      <c r="A654" s="1"/>
      <c r="D654" s="2"/>
      <c r="F654" s="3"/>
    </row>
    <row r="655">
      <c r="A655" s="1"/>
      <c r="D655" s="2"/>
      <c r="F655" s="3"/>
    </row>
    <row r="656">
      <c r="A656" s="1"/>
      <c r="D656" s="2"/>
      <c r="F656" s="3"/>
    </row>
    <row r="657">
      <c r="A657" s="1"/>
      <c r="D657" s="2"/>
      <c r="F657" s="3"/>
    </row>
    <row r="658">
      <c r="A658" s="1"/>
      <c r="D658" s="2"/>
      <c r="F658" s="3"/>
    </row>
    <row r="659">
      <c r="A659" s="1"/>
      <c r="D659" s="2"/>
      <c r="F659" s="3"/>
    </row>
    <row r="660">
      <c r="A660" s="1"/>
      <c r="D660" s="2"/>
      <c r="F660" s="3"/>
    </row>
    <row r="661">
      <c r="A661" s="1"/>
      <c r="D661" s="2"/>
      <c r="F661" s="3"/>
    </row>
    <row r="662">
      <c r="A662" s="1"/>
      <c r="D662" s="2"/>
      <c r="F662" s="3"/>
    </row>
    <row r="663">
      <c r="A663" s="1"/>
      <c r="D663" s="2"/>
      <c r="F663" s="3"/>
    </row>
    <row r="664">
      <c r="A664" s="1"/>
      <c r="D664" s="2"/>
      <c r="F664" s="3"/>
    </row>
    <row r="665">
      <c r="A665" s="1"/>
      <c r="D665" s="2"/>
      <c r="F665" s="3"/>
    </row>
    <row r="666">
      <c r="A666" s="1"/>
      <c r="D666" s="2"/>
      <c r="F666" s="3"/>
    </row>
    <row r="667">
      <c r="A667" s="1"/>
      <c r="D667" s="2"/>
      <c r="F667" s="3"/>
    </row>
    <row r="668">
      <c r="A668" s="1"/>
      <c r="D668" s="2"/>
      <c r="F668" s="3"/>
    </row>
    <row r="669">
      <c r="A669" s="1"/>
      <c r="D669" s="2"/>
      <c r="F669" s="3"/>
    </row>
    <row r="670">
      <c r="A670" s="1"/>
      <c r="D670" s="2"/>
      <c r="F670" s="3"/>
    </row>
    <row r="671">
      <c r="A671" s="1"/>
      <c r="D671" s="2"/>
      <c r="F671" s="3"/>
    </row>
    <row r="672">
      <c r="A672" s="1"/>
      <c r="D672" s="2"/>
      <c r="F672" s="3"/>
    </row>
    <row r="673">
      <c r="A673" s="1"/>
      <c r="D673" s="2"/>
      <c r="F673" s="3"/>
    </row>
    <row r="674">
      <c r="A674" s="1"/>
      <c r="D674" s="2"/>
      <c r="F674" s="3"/>
    </row>
    <row r="675">
      <c r="A675" s="1"/>
      <c r="D675" s="2"/>
      <c r="F675" s="3"/>
    </row>
    <row r="676">
      <c r="A676" s="1"/>
      <c r="D676" s="2"/>
      <c r="F676" s="3"/>
    </row>
    <row r="677">
      <c r="A677" s="1"/>
      <c r="D677" s="2"/>
      <c r="F677" s="3"/>
    </row>
    <row r="678">
      <c r="A678" s="1"/>
      <c r="D678" s="2"/>
      <c r="F678" s="3"/>
    </row>
    <row r="679">
      <c r="A679" s="1"/>
      <c r="D679" s="2"/>
      <c r="F679" s="3"/>
    </row>
    <row r="680">
      <c r="A680" s="1"/>
      <c r="D680" s="2"/>
      <c r="F680" s="3"/>
    </row>
    <row r="681">
      <c r="A681" s="1"/>
      <c r="D681" s="2"/>
      <c r="F681" s="3"/>
    </row>
    <row r="682">
      <c r="A682" s="1"/>
      <c r="D682" s="2"/>
      <c r="F682" s="3"/>
    </row>
    <row r="683">
      <c r="A683" s="1"/>
      <c r="D683" s="2"/>
      <c r="F683" s="3"/>
    </row>
    <row r="684">
      <c r="A684" s="1"/>
      <c r="D684" s="2"/>
      <c r="F684" s="3"/>
    </row>
    <row r="685">
      <c r="A685" s="1"/>
      <c r="D685" s="2"/>
      <c r="F685" s="3"/>
    </row>
    <row r="686">
      <c r="A686" s="1"/>
      <c r="D686" s="2"/>
      <c r="F686" s="3"/>
    </row>
    <row r="687">
      <c r="A687" s="1"/>
      <c r="D687" s="2"/>
      <c r="F687" s="3"/>
    </row>
    <row r="688">
      <c r="A688" s="1"/>
      <c r="D688" s="2"/>
      <c r="F688" s="3"/>
    </row>
    <row r="689">
      <c r="A689" s="1"/>
      <c r="D689" s="2"/>
      <c r="F689" s="3"/>
    </row>
    <row r="690">
      <c r="A690" s="1"/>
      <c r="D690" s="2"/>
      <c r="F690" s="3"/>
    </row>
    <row r="691">
      <c r="A691" s="1"/>
      <c r="D691" s="2"/>
      <c r="F691" s="3"/>
    </row>
    <row r="692">
      <c r="A692" s="1"/>
      <c r="D692" s="2"/>
      <c r="F692" s="3"/>
    </row>
    <row r="693">
      <c r="A693" s="1"/>
      <c r="D693" s="2"/>
      <c r="F693" s="3"/>
    </row>
    <row r="694">
      <c r="A694" s="1"/>
      <c r="D694" s="2"/>
      <c r="F694" s="3"/>
    </row>
    <row r="695">
      <c r="A695" s="1"/>
      <c r="D695" s="2"/>
      <c r="F695" s="3"/>
    </row>
    <row r="696">
      <c r="A696" s="1"/>
      <c r="D696" s="2"/>
      <c r="F696" s="3"/>
    </row>
    <row r="697">
      <c r="A697" s="1"/>
      <c r="D697" s="2"/>
      <c r="F697" s="3"/>
    </row>
    <row r="698">
      <c r="A698" s="1"/>
      <c r="D698" s="2"/>
      <c r="F698" s="3"/>
    </row>
    <row r="699">
      <c r="A699" s="1"/>
      <c r="D699" s="2"/>
      <c r="F699" s="3"/>
    </row>
    <row r="700">
      <c r="A700" s="1"/>
      <c r="D700" s="2"/>
      <c r="F700" s="3"/>
    </row>
    <row r="701">
      <c r="A701" s="1"/>
      <c r="D701" s="2"/>
      <c r="F701" s="3"/>
    </row>
    <row r="702">
      <c r="A702" s="1"/>
      <c r="D702" s="2"/>
      <c r="F702" s="3"/>
    </row>
    <row r="703">
      <c r="A703" s="1"/>
      <c r="D703" s="2"/>
      <c r="F703" s="3"/>
    </row>
    <row r="704">
      <c r="A704" s="1"/>
      <c r="D704" s="2"/>
      <c r="F704" s="3"/>
    </row>
    <row r="705">
      <c r="A705" s="1"/>
      <c r="D705" s="2"/>
      <c r="F705" s="3"/>
    </row>
    <row r="706">
      <c r="A706" s="1"/>
      <c r="D706" s="2"/>
      <c r="F706" s="3"/>
    </row>
    <row r="707">
      <c r="A707" s="1"/>
      <c r="D707" s="2"/>
      <c r="F707" s="3"/>
    </row>
    <row r="708">
      <c r="A708" s="1"/>
      <c r="D708" s="2"/>
      <c r="F708" s="3"/>
    </row>
    <row r="709">
      <c r="A709" s="1"/>
      <c r="D709" s="2"/>
      <c r="F709" s="3"/>
    </row>
    <row r="710">
      <c r="A710" s="1"/>
      <c r="D710" s="2"/>
      <c r="F710" s="3"/>
    </row>
    <row r="711">
      <c r="A711" s="1"/>
      <c r="D711" s="2"/>
      <c r="F711" s="3"/>
    </row>
    <row r="712">
      <c r="A712" s="1"/>
      <c r="D712" s="2"/>
      <c r="F712" s="3"/>
    </row>
    <row r="713">
      <c r="A713" s="1"/>
      <c r="D713" s="2"/>
      <c r="F713" s="3"/>
    </row>
    <row r="714">
      <c r="A714" s="1"/>
      <c r="D714" s="2"/>
      <c r="F714" s="3"/>
    </row>
    <row r="715">
      <c r="A715" s="1"/>
      <c r="D715" s="2"/>
      <c r="F715" s="3"/>
    </row>
    <row r="716">
      <c r="A716" s="1"/>
      <c r="D716" s="2"/>
      <c r="F716" s="3"/>
    </row>
    <row r="717">
      <c r="A717" s="1"/>
      <c r="D717" s="2"/>
      <c r="F717" s="3"/>
    </row>
    <row r="718">
      <c r="A718" s="1"/>
      <c r="D718" s="2"/>
      <c r="F718" s="3"/>
    </row>
    <row r="719">
      <c r="A719" s="1"/>
      <c r="D719" s="2"/>
      <c r="F719" s="3"/>
    </row>
    <row r="720">
      <c r="A720" s="1"/>
      <c r="D720" s="2"/>
      <c r="F720" s="3"/>
    </row>
    <row r="721">
      <c r="A721" s="1"/>
      <c r="D721" s="2"/>
      <c r="F721" s="3"/>
    </row>
    <row r="722">
      <c r="A722" s="1"/>
      <c r="D722" s="2"/>
      <c r="F722" s="3"/>
    </row>
    <row r="723">
      <c r="A723" s="1"/>
      <c r="D723" s="2"/>
      <c r="F723" s="3"/>
    </row>
    <row r="724">
      <c r="A724" s="1"/>
      <c r="D724" s="2"/>
      <c r="F724" s="3"/>
    </row>
    <row r="725">
      <c r="A725" s="1"/>
      <c r="D725" s="2"/>
      <c r="F725" s="3"/>
    </row>
    <row r="726">
      <c r="A726" s="1"/>
      <c r="D726" s="2"/>
      <c r="F726" s="3"/>
    </row>
    <row r="727">
      <c r="A727" s="1"/>
      <c r="D727" s="2"/>
      <c r="F727" s="3"/>
    </row>
    <row r="728">
      <c r="A728" s="1"/>
      <c r="D728" s="2"/>
      <c r="F728" s="3"/>
    </row>
    <row r="729">
      <c r="A729" s="1"/>
      <c r="D729" s="2"/>
      <c r="F729" s="3"/>
    </row>
    <row r="730">
      <c r="A730" s="1"/>
      <c r="D730" s="2"/>
      <c r="F730" s="3"/>
    </row>
    <row r="731">
      <c r="A731" s="1"/>
      <c r="D731" s="2"/>
      <c r="F731" s="3"/>
    </row>
    <row r="732">
      <c r="A732" s="1"/>
      <c r="D732" s="2"/>
      <c r="F732" s="3"/>
    </row>
    <row r="733">
      <c r="A733" s="1"/>
      <c r="D733" s="2"/>
      <c r="F733" s="3"/>
    </row>
    <row r="734">
      <c r="A734" s="1"/>
      <c r="D734" s="2"/>
      <c r="F734" s="3"/>
    </row>
    <row r="735">
      <c r="A735" s="1"/>
      <c r="D735" s="2"/>
      <c r="F735" s="3"/>
    </row>
    <row r="736">
      <c r="A736" s="1"/>
      <c r="D736" s="2"/>
      <c r="F736" s="3"/>
    </row>
    <row r="737">
      <c r="A737" s="1"/>
      <c r="D737" s="2"/>
      <c r="F737" s="3"/>
    </row>
    <row r="738">
      <c r="A738" s="1"/>
      <c r="D738" s="2"/>
      <c r="F738" s="3"/>
    </row>
    <row r="739">
      <c r="A739" s="1"/>
      <c r="D739" s="2"/>
      <c r="F739" s="3"/>
    </row>
    <row r="740">
      <c r="A740" s="1"/>
      <c r="D740" s="2"/>
      <c r="F740" s="3"/>
    </row>
    <row r="741">
      <c r="A741" s="1"/>
      <c r="D741" s="2"/>
      <c r="F741" s="3"/>
    </row>
    <row r="742">
      <c r="A742" s="1"/>
      <c r="D742" s="2"/>
      <c r="F742" s="3"/>
    </row>
    <row r="743">
      <c r="A743" s="1"/>
      <c r="D743" s="2"/>
      <c r="F743" s="3"/>
    </row>
    <row r="744">
      <c r="A744" s="1"/>
      <c r="D744" s="2"/>
      <c r="F744" s="3"/>
    </row>
    <row r="745">
      <c r="A745" s="1"/>
      <c r="D745" s="2"/>
      <c r="F745" s="3"/>
    </row>
    <row r="746">
      <c r="A746" s="1"/>
      <c r="D746" s="2"/>
      <c r="F746" s="3"/>
    </row>
    <row r="747">
      <c r="A747" s="1"/>
      <c r="D747" s="2"/>
      <c r="F747" s="3"/>
    </row>
    <row r="748">
      <c r="A748" s="1"/>
      <c r="D748" s="2"/>
      <c r="F748" s="3"/>
    </row>
    <row r="749">
      <c r="A749" s="1"/>
      <c r="D749" s="2"/>
      <c r="F749" s="3"/>
    </row>
    <row r="750">
      <c r="A750" s="1"/>
      <c r="D750" s="2"/>
      <c r="F750" s="3"/>
    </row>
    <row r="751">
      <c r="A751" s="1"/>
      <c r="D751" s="2"/>
      <c r="F751" s="3"/>
    </row>
    <row r="752">
      <c r="A752" s="1"/>
      <c r="D752" s="2"/>
      <c r="F752" s="3"/>
    </row>
    <row r="753">
      <c r="A753" s="1"/>
      <c r="D753" s="2"/>
      <c r="F753" s="3"/>
    </row>
    <row r="754">
      <c r="A754" s="1"/>
      <c r="D754" s="2"/>
      <c r="F754" s="3"/>
    </row>
    <row r="755">
      <c r="A755" s="1"/>
      <c r="D755" s="2"/>
      <c r="F755" s="3"/>
    </row>
    <row r="756">
      <c r="A756" s="1"/>
      <c r="D756" s="2"/>
      <c r="F756" s="3"/>
    </row>
    <row r="757">
      <c r="A757" s="1"/>
      <c r="D757" s="2"/>
      <c r="F757" s="3"/>
    </row>
    <row r="758">
      <c r="A758" s="1"/>
      <c r="D758" s="2"/>
      <c r="F758" s="3"/>
    </row>
    <row r="759">
      <c r="A759" s="1"/>
      <c r="D759" s="2"/>
      <c r="F759" s="3"/>
    </row>
    <row r="760">
      <c r="A760" s="1"/>
      <c r="D760" s="2"/>
      <c r="F760" s="3"/>
    </row>
    <row r="761">
      <c r="A761" s="1"/>
      <c r="D761" s="2"/>
      <c r="F761" s="3"/>
    </row>
    <row r="762">
      <c r="A762" s="1"/>
      <c r="D762" s="2"/>
      <c r="F762" s="3"/>
    </row>
    <row r="763">
      <c r="A763" s="1"/>
      <c r="D763" s="2"/>
      <c r="F763" s="3"/>
    </row>
    <row r="764">
      <c r="A764" s="1"/>
      <c r="D764" s="2"/>
      <c r="F764" s="3"/>
    </row>
    <row r="765">
      <c r="A765" s="1"/>
      <c r="D765" s="2"/>
      <c r="F765" s="3"/>
    </row>
    <row r="766">
      <c r="A766" s="1"/>
      <c r="D766" s="2"/>
      <c r="F766" s="3"/>
    </row>
    <row r="767">
      <c r="A767" s="1"/>
      <c r="D767" s="2"/>
      <c r="F767" s="3"/>
    </row>
    <row r="768">
      <c r="A768" s="1"/>
      <c r="D768" s="2"/>
      <c r="F768" s="3"/>
    </row>
    <row r="769">
      <c r="A769" s="1"/>
      <c r="D769" s="2"/>
      <c r="F769" s="3"/>
    </row>
    <row r="770">
      <c r="A770" s="1"/>
      <c r="D770" s="2"/>
      <c r="F770" s="3"/>
    </row>
    <row r="771">
      <c r="A771" s="1"/>
      <c r="D771" s="2"/>
      <c r="F771" s="3"/>
    </row>
    <row r="772">
      <c r="A772" s="1"/>
      <c r="D772" s="2"/>
      <c r="F772" s="3"/>
    </row>
    <row r="773">
      <c r="A773" s="1"/>
      <c r="D773" s="2"/>
      <c r="F773" s="3"/>
    </row>
    <row r="774">
      <c r="A774" s="1"/>
      <c r="D774" s="2"/>
      <c r="F774" s="3"/>
    </row>
    <row r="775">
      <c r="A775" s="1"/>
      <c r="D775" s="2"/>
      <c r="F775" s="3"/>
    </row>
    <row r="776">
      <c r="A776" s="1"/>
      <c r="D776" s="2"/>
      <c r="F776" s="3"/>
    </row>
    <row r="777">
      <c r="A777" s="1"/>
      <c r="D777" s="2"/>
      <c r="F777" s="3"/>
    </row>
    <row r="778">
      <c r="A778" s="1"/>
      <c r="D778" s="2"/>
      <c r="F778" s="3"/>
    </row>
    <row r="779">
      <c r="A779" s="1"/>
      <c r="D779" s="2"/>
      <c r="F779" s="3"/>
    </row>
    <row r="780">
      <c r="A780" s="1"/>
      <c r="D780" s="2"/>
      <c r="F780" s="3"/>
    </row>
    <row r="781">
      <c r="A781" s="1"/>
      <c r="D781" s="2"/>
      <c r="F781" s="3"/>
    </row>
    <row r="782">
      <c r="A782" s="1"/>
      <c r="D782" s="2"/>
      <c r="F782" s="3"/>
    </row>
    <row r="783">
      <c r="A783" s="1"/>
      <c r="D783" s="2"/>
      <c r="F783" s="3"/>
    </row>
    <row r="784">
      <c r="A784" s="1"/>
      <c r="D784" s="2"/>
      <c r="F784" s="3"/>
    </row>
    <row r="785">
      <c r="A785" s="1"/>
      <c r="D785" s="2"/>
      <c r="F785" s="3"/>
    </row>
    <row r="786">
      <c r="A786" s="1"/>
      <c r="D786" s="2"/>
      <c r="F786" s="3"/>
    </row>
    <row r="787">
      <c r="A787" s="1"/>
      <c r="D787" s="2"/>
      <c r="F787" s="3"/>
    </row>
    <row r="788">
      <c r="A788" s="1"/>
      <c r="D788" s="2"/>
      <c r="F788" s="3"/>
    </row>
    <row r="789">
      <c r="A789" s="1"/>
      <c r="D789" s="2"/>
      <c r="F789" s="3"/>
    </row>
    <row r="790">
      <c r="A790" s="1"/>
      <c r="D790" s="2"/>
      <c r="F790" s="3"/>
    </row>
    <row r="791">
      <c r="A791" s="1"/>
      <c r="D791" s="2"/>
      <c r="F791" s="3"/>
    </row>
    <row r="792">
      <c r="A792" s="1"/>
      <c r="D792" s="2"/>
      <c r="F792" s="3"/>
    </row>
    <row r="793">
      <c r="A793" s="1"/>
      <c r="D793" s="2"/>
      <c r="F793" s="3"/>
    </row>
    <row r="794">
      <c r="A794" s="1"/>
      <c r="D794" s="2"/>
      <c r="F794" s="3"/>
    </row>
    <row r="795">
      <c r="A795" s="1"/>
      <c r="D795" s="2"/>
      <c r="F795" s="3"/>
    </row>
    <row r="796">
      <c r="A796" s="1"/>
      <c r="D796" s="2"/>
      <c r="F796" s="3"/>
    </row>
    <row r="797">
      <c r="A797" s="1"/>
      <c r="D797" s="2"/>
      <c r="F797" s="3"/>
    </row>
    <row r="798">
      <c r="A798" s="1"/>
      <c r="D798" s="2"/>
      <c r="F798" s="3"/>
    </row>
    <row r="799">
      <c r="A799" s="1"/>
      <c r="D799" s="2"/>
      <c r="F799" s="3"/>
    </row>
    <row r="800">
      <c r="A800" s="1"/>
      <c r="D800" s="2"/>
      <c r="F800" s="3"/>
    </row>
    <row r="801">
      <c r="A801" s="1"/>
      <c r="D801" s="2"/>
      <c r="F801" s="3"/>
    </row>
    <row r="802">
      <c r="A802" s="1"/>
      <c r="D802" s="2"/>
      <c r="F802" s="3"/>
    </row>
    <row r="803">
      <c r="A803" s="1"/>
      <c r="D803" s="2"/>
      <c r="F803" s="3"/>
    </row>
    <row r="804">
      <c r="A804" s="1"/>
      <c r="D804" s="2"/>
      <c r="F804" s="3"/>
    </row>
    <row r="805">
      <c r="A805" s="1"/>
      <c r="D805" s="2"/>
      <c r="F805" s="3"/>
    </row>
    <row r="806">
      <c r="A806" s="1"/>
      <c r="D806" s="2"/>
      <c r="F806" s="3"/>
    </row>
    <row r="807">
      <c r="A807" s="1"/>
      <c r="D807" s="2"/>
      <c r="F807" s="3"/>
    </row>
    <row r="808">
      <c r="A808" s="1"/>
      <c r="D808" s="2"/>
      <c r="F808" s="3"/>
    </row>
    <row r="809">
      <c r="A809" s="1"/>
      <c r="D809" s="2"/>
      <c r="F809" s="3"/>
    </row>
    <row r="810">
      <c r="A810" s="1"/>
      <c r="D810" s="2"/>
      <c r="F810" s="3"/>
    </row>
    <row r="811">
      <c r="A811" s="1"/>
      <c r="D811" s="2"/>
      <c r="F811" s="3"/>
    </row>
    <row r="812">
      <c r="A812" s="1"/>
      <c r="D812" s="2"/>
      <c r="F812" s="3"/>
    </row>
    <row r="813">
      <c r="A813" s="1"/>
      <c r="D813" s="2"/>
      <c r="F813" s="3"/>
    </row>
    <row r="814">
      <c r="A814" s="1"/>
      <c r="D814" s="2"/>
      <c r="F814" s="3"/>
    </row>
    <row r="815">
      <c r="A815" s="1"/>
      <c r="D815" s="2"/>
      <c r="F815" s="3"/>
    </row>
    <row r="816">
      <c r="A816" s="1"/>
      <c r="D816" s="2"/>
      <c r="F816" s="3"/>
    </row>
    <row r="817">
      <c r="A817" s="1"/>
      <c r="D817" s="2"/>
      <c r="F817" s="3"/>
    </row>
    <row r="818">
      <c r="A818" s="1"/>
      <c r="D818" s="2"/>
      <c r="F818" s="3"/>
    </row>
    <row r="819">
      <c r="A819" s="1"/>
      <c r="D819" s="2"/>
      <c r="F819" s="3"/>
    </row>
    <row r="820">
      <c r="A820" s="1"/>
      <c r="D820" s="2"/>
      <c r="F820" s="3"/>
    </row>
    <row r="821">
      <c r="A821" s="1"/>
      <c r="D821" s="2"/>
      <c r="F821" s="3"/>
    </row>
    <row r="822">
      <c r="A822" s="1"/>
      <c r="D822" s="2"/>
      <c r="F822" s="3"/>
    </row>
    <row r="823">
      <c r="A823" s="1"/>
      <c r="D823" s="2"/>
      <c r="F823" s="3"/>
    </row>
    <row r="824">
      <c r="A824" s="1"/>
      <c r="D824" s="2"/>
      <c r="F824" s="3"/>
    </row>
    <row r="825">
      <c r="A825" s="1"/>
      <c r="D825" s="2"/>
      <c r="F825" s="3"/>
    </row>
    <row r="826">
      <c r="A826" s="1"/>
      <c r="D826" s="2"/>
      <c r="F826" s="3"/>
    </row>
    <row r="827">
      <c r="A827" s="1"/>
      <c r="D827" s="2"/>
      <c r="F827" s="3"/>
    </row>
    <row r="828">
      <c r="A828" s="1"/>
      <c r="D828" s="2"/>
      <c r="F828" s="3"/>
    </row>
    <row r="829">
      <c r="A829" s="1"/>
      <c r="D829" s="2"/>
      <c r="F829" s="3"/>
    </row>
    <row r="830">
      <c r="A830" s="1"/>
      <c r="D830" s="2"/>
      <c r="F830" s="3"/>
    </row>
    <row r="831">
      <c r="A831" s="1"/>
      <c r="D831" s="2"/>
      <c r="F831" s="3"/>
    </row>
    <row r="832">
      <c r="A832" s="1"/>
      <c r="D832" s="2"/>
      <c r="F832" s="3"/>
    </row>
    <row r="833">
      <c r="A833" s="1"/>
      <c r="D833" s="2"/>
      <c r="F833" s="3"/>
    </row>
    <row r="834">
      <c r="A834" s="1"/>
      <c r="D834" s="2"/>
      <c r="F834" s="3"/>
    </row>
    <row r="835">
      <c r="A835" s="1"/>
      <c r="D835" s="2"/>
      <c r="F835" s="3"/>
    </row>
    <row r="836">
      <c r="A836" s="1"/>
      <c r="D836" s="2"/>
      <c r="F836" s="3"/>
    </row>
    <row r="837">
      <c r="A837" s="1"/>
      <c r="D837" s="2"/>
      <c r="F837" s="3"/>
    </row>
    <row r="838">
      <c r="A838" s="1"/>
      <c r="D838" s="2"/>
      <c r="F838" s="3"/>
    </row>
    <row r="839">
      <c r="A839" s="1"/>
      <c r="D839" s="2"/>
      <c r="F839" s="3"/>
    </row>
    <row r="840">
      <c r="A840" s="1"/>
      <c r="D840" s="2"/>
      <c r="F840" s="3"/>
    </row>
    <row r="841">
      <c r="A841" s="1"/>
      <c r="D841" s="2"/>
      <c r="F841" s="3"/>
    </row>
    <row r="842">
      <c r="A842" s="1"/>
      <c r="D842" s="2"/>
      <c r="F842" s="3"/>
    </row>
    <row r="843">
      <c r="A843" s="1"/>
      <c r="D843" s="2"/>
      <c r="F843" s="3"/>
    </row>
    <row r="844">
      <c r="A844" s="1"/>
      <c r="D844" s="2"/>
      <c r="F844" s="3"/>
    </row>
    <row r="845">
      <c r="A845" s="1"/>
      <c r="D845" s="2"/>
      <c r="F845" s="3"/>
    </row>
    <row r="846">
      <c r="A846" s="1"/>
      <c r="D846" s="2"/>
      <c r="F846" s="3"/>
    </row>
    <row r="847">
      <c r="A847" s="1"/>
      <c r="D847" s="2"/>
      <c r="F847" s="3"/>
    </row>
    <row r="848">
      <c r="A848" s="1"/>
      <c r="D848" s="2"/>
      <c r="F848" s="3"/>
    </row>
    <row r="849">
      <c r="A849" s="1"/>
      <c r="D849" s="2"/>
      <c r="F849" s="3"/>
    </row>
    <row r="850">
      <c r="A850" s="1"/>
      <c r="D850" s="2"/>
      <c r="F850" s="3"/>
    </row>
    <row r="851">
      <c r="A851" s="1"/>
      <c r="D851" s="2"/>
      <c r="F851" s="3"/>
    </row>
    <row r="852">
      <c r="A852" s="1"/>
      <c r="D852" s="2"/>
      <c r="F852" s="3"/>
    </row>
    <row r="853">
      <c r="A853" s="1"/>
      <c r="D853" s="2"/>
      <c r="F853" s="3"/>
    </row>
    <row r="854">
      <c r="A854" s="1"/>
      <c r="D854" s="2"/>
      <c r="F854" s="3"/>
    </row>
    <row r="855">
      <c r="A855" s="1"/>
      <c r="D855" s="2"/>
      <c r="F855" s="3"/>
    </row>
    <row r="856">
      <c r="A856" s="1"/>
      <c r="D856" s="2"/>
      <c r="F856" s="3"/>
    </row>
    <row r="857">
      <c r="A857" s="1"/>
      <c r="D857" s="2"/>
      <c r="F857" s="3"/>
    </row>
    <row r="858">
      <c r="A858" s="1"/>
      <c r="D858" s="2"/>
      <c r="F858" s="3"/>
    </row>
    <row r="859">
      <c r="A859" s="1"/>
      <c r="D859" s="2"/>
      <c r="F859" s="3"/>
    </row>
    <row r="860">
      <c r="A860" s="1"/>
      <c r="D860" s="2"/>
      <c r="F860" s="3"/>
    </row>
    <row r="861">
      <c r="A861" s="1"/>
      <c r="D861" s="2"/>
      <c r="F861" s="3"/>
    </row>
    <row r="862">
      <c r="A862" s="1"/>
      <c r="D862" s="2"/>
      <c r="F862" s="3"/>
    </row>
    <row r="863">
      <c r="A863" s="1"/>
      <c r="D863" s="2"/>
      <c r="F863" s="3"/>
    </row>
    <row r="864">
      <c r="A864" s="1"/>
      <c r="D864" s="2"/>
      <c r="F864" s="3"/>
    </row>
    <row r="865">
      <c r="A865" s="1"/>
      <c r="D865" s="2"/>
      <c r="F865" s="3"/>
    </row>
    <row r="866">
      <c r="A866" s="1"/>
      <c r="D866" s="2"/>
      <c r="F866" s="3"/>
    </row>
    <row r="867">
      <c r="A867" s="1"/>
      <c r="D867" s="2"/>
      <c r="F867" s="3"/>
    </row>
    <row r="868">
      <c r="A868" s="1"/>
      <c r="D868" s="2"/>
      <c r="F868" s="3"/>
    </row>
    <row r="869">
      <c r="A869" s="1"/>
      <c r="D869" s="2"/>
      <c r="F869" s="3"/>
    </row>
    <row r="870">
      <c r="A870" s="1"/>
      <c r="D870" s="2"/>
      <c r="F870" s="3"/>
    </row>
    <row r="871">
      <c r="A871" s="1"/>
      <c r="D871" s="2"/>
      <c r="F871" s="3"/>
    </row>
    <row r="872">
      <c r="A872" s="1"/>
      <c r="D872" s="2"/>
      <c r="F872" s="3"/>
    </row>
    <row r="873">
      <c r="A873" s="1"/>
      <c r="D873" s="2"/>
      <c r="F873" s="3"/>
    </row>
    <row r="874">
      <c r="A874" s="1"/>
      <c r="D874" s="2"/>
      <c r="F874" s="3"/>
    </row>
    <row r="875">
      <c r="A875" s="1"/>
      <c r="D875" s="2"/>
      <c r="F875" s="3"/>
    </row>
    <row r="876">
      <c r="A876" s="1"/>
      <c r="D876" s="2"/>
      <c r="F876" s="3"/>
    </row>
    <row r="877">
      <c r="A877" s="1"/>
      <c r="D877" s="2"/>
      <c r="F877" s="3"/>
    </row>
    <row r="878">
      <c r="A878" s="1"/>
      <c r="D878" s="2"/>
      <c r="F878" s="3"/>
    </row>
    <row r="879">
      <c r="A879" s="1"/>
      <c r="D879" s="2"/>
      <c r="F879" s="3"/>
    </row>
    <row r="880">
      <c r="A880" s="1"/>
      <c r="D880" s="2"/>
      <c r="F880" s="3"/>
    </row>
    <row r="881">
      <c r="A881" s="1"/>
      <c r="D881" s="2"/>
      <c r="F881" s="3"/>
    </row>
    <row r="882">
      <c r="A882" s="1"/>
      <c r="D882" s="2"/>
      <c r="F882" s="3"/>
    </row>
    <row r="883">
      <c r="A883" s="1"/>
      <c r="D883" s="2"/>
      <c r="F883" s="3"/>
    </row>
    <row r="884">
      <c r="A884" s="1"/>
      <c r="D884" s="2"/>
      <c r="F884" s="3"/>
    </row>
    <row r="885">
      <c r="A885" s="1"/>
      <c r="D885" s="2"/>
      <c r="F885" s="3"/>
    </row>
    <row r="886">
      <c r="A886" s="1"/>
      <c r="D886" s="2"/>
      <c r="F886" s="3"/>
    </row>
    <row r="887">
      <c r="A887" s="1"/>
      <c r="D887" s="2"/>
      <c r="F887" s="3"/>
    </row>
    <row r="888">
      <c r="A888" s="1"/>
      <c r="D888" s="2"/>
      <c r="F888" s="3"/>
    </row>
    <row r="889">
      <c r="A889" s="1"/>
      <c r="D889" s="2"/>
      <c r="F889" s="3"/>
    </row>
    <row r="890">
      <c r="A890" s="1"/>
      <c r="D890" s="2"/>
      <c r="F890" s="3"/>
    </row>
    <row r="891">
      <c r="A891" s="1"/>
      <c r="D891" s="2"/>
      <c r="F891" s="3"/>
    </row>
    <row r="892">
      <c r="A892" s="1"/>
      <c r="D892" s="2"/>
      <c r="F892" s="3"/>
    </row>
    <row r="893">
      <c r="A893" s="1"/>
      <c r="D893" s="2"/>
      <c r="F893" s="3"/>
    </row>
    <row r="894">
      <c r="A894" s="1"/>
      <c r="D894" s="2"/>
      <c r="F894" s="3"/>
    </row>
    <row r="895">
      <c r="A895" s="1"/>
      <c r="D895" s="2"/>
      <c r="F895" s="3"/>
    </row>
    <row r="896">
      <c r="A896" s="1"/>
      <c r="D896" s="2"/>
      <c r="F896" s="3"/>
    </row>
    <row r="897">
      <c r="A897" s="1"/>
      <c r="D897" s="2"/>
      <c r="F897" s="3"/>
    </row>
    <row r="898">
      <c r="A898" s="1"/>
      <c r="D898" s="2"/>
      <c r="F898" s="3"/>
    </row>
    <row r="899">
      <c r="A899" s="1"/>
      <c r="D899" s="2"/>
      <c r="F899" s="3"/>
    </row>
    <row r="900">
      <c r="A900" s="1"/>
      <c r="D900" s="2"/>
      <c r="F900" s="3"/>
    </row>
    <row r="901">
      <c r="A901" s="1"/>
      <c r="D901" s="2"/>
      <c r="F901" s="3"/>
    </row>
    <row r="902">
      <c r="A902" s="1"/>
      <c r="D902" s="2"/>
      <c r="F902" s="3"/>
    </row>
    <row r="903">
      <c r="A903" s="1"/>
      <c r="D903" s="2"/>
      <c r="F903" s="3"/>
    </row>
    <row r="904">
      <c r="A904" s="1"/>
      <c r="D904" s="2"/>
      <c r="F904" s="3"/>
    </row>
    <row r="905">
      <c r="A905" s="1"/>
      <c r="D905" s="2"/>
      <c r="F905" s="3"/>
    </row>
    <row r="906">
      <c r="A906" s="1"/>
      <c r="D906" s="2"/>
      <c r="F906" s="3"/>
    </row>
    <row r="907">
      <c r="A907" s="1"/>
      <c r="D907" s="2"/>
      <c r="F907" s="3"/>
    </row>
    <row r="908">
      <c r="A908" s="1"/>
      <c r="D908" s="2"/>
      <c r="F908" s="3"/>
    </row>
    <row r="909">
      <c r="A909" s="1"/>
      <c r="D909" s="2"/>
      <c r="F909" s="3"/>
    </row>
    <row r="910">
      <c r="A910" s="1"/>
      <c r="D910" s="2"/>
      <c r="F910" s="3"/>
    </row>
    <row r="911">
      <c r="A911" s="1"/>
      <c r="D911" s="2"/>
      <c r="F911" s="3"/>
    </row>
    <row r="912">
      <c r="A912" s="1"/>
      <c r="D912" s="2"/>
      <c r="F912" s="3"/>
    </row>
    <row r="913">
      <c r="A913" s="1"/>
      <c r="D913" s="2"/>
      <c r="F913" s="3"/>
    </row>
    <row r="914">
      <c r="A914" s="1"/>
      <c r="D914" s="2"/>
      <c r="F914" s="3"/>
    </row>
    <row r="915">
      <c r="A915" s="1"/>
      <c r="D915" s="2"/>
      <c r="F915" s="3"/>
    </row>
    <row r="916">
      <c r="A916" s="1"/>
      <c r="D916" s="2"/>
      <c r="F916" s="3"/>
    </row>
    <row r="917">
      <c r="A917" s="1"/>
      <c r="D917" s="2"/>
      <c r="F917" s="3"/>
    </row>
    <row r="918">
      <c r="A918" s="1"/>
      <c r="D918" s="2"/>
      <c r="F918" s="3"/>
    </row>
    <row r="919">
      <c r="A919" s="1"/>
      <c r="D919" s="2"/>
      <c r="F919" s="3"/>
    </row>
    <row r="920">
      <c r="A920" s="1"/>
      <c r="D920" s="2"/>
      <c r="F920" s="3"/>
    </row>
    <row r="921">
      <c r="A921" s="1"/>
      <c r="D921" s="2"/>
      <c r="F921" s="3"/>
    </row>
    <row r="922">
      <c r="A922" s="1"/>
      <c r="D922" s="2"/>
      <c r="F922" s="3"/>
    </row>
    <row r="923">
      <c r="A923" s="1"/>
      <c r="D923" s="2"/>
      <c r="F923" s="3"/>
    </row>
    <row r="924">
      <c r="A924" s="1"/>
      <c r="D924" s="2"/>
      <c r="F924" s="3"/>
    </row>
    <row r="925">
      <c r="A925" s="1"/>
      <c r="D925" s="2"/>
      <c r="F925" s="3"/>
    </row>
    <row r="926">
      <c r="A926" s="1"/>
      <c r="D926" s="2"/>
      <c r="F926" s="3"/>
    </row>
    <row r="927">
      <c r="A927" s="1"/>
      <c r="D927" s="2"/>
      <c r="F927" s="3"/>
    </row>
    <row r="928">
      <c r="A928" s="1"/>
      <c r="D928" s="2"/>
      <c r="F928" s="3"/>
    </row>
    <row r="929">
      <c r="A929" s="1"/>
      <c r="D929" s="2"/>
      <c r="F929" s="3"/>
    </row>
    <row r="930">
      <c r="A930" s="1"/>
      <c r="D930" s="2"/>
      <c r="F930" s="3"/>
    </row>
    <row r="931">
      <c r="A931" s="1"/>
      <c r="D931" s="2"/>
      <c r="F931" s="3"/>
    </row>
    <row r="932">
      <c r="A932" s="1"/>
      <c r="D932" s="2"/>
      <c r="F932" s="3"/>
    </row>
    <row r="933">
      <c r="A933" s="1"/>
      <c r="D933" s="2"/>
      <c r="F933" s="3"/>
    </row>
    <row r="934">
      <c r="A934" s="1"/>
      <c r="D934" s="2"/>
      <c r="F934" s="3"/>
    </row>
    <row r="935">
      <c r="A935" s="1"/>
      <c r="D935" s="2"/>
      <c r="F935" s="3"/>
    </row>
    <row r="936">
      <c r="A936" s="1"/>
      <c r="D936" s="2"/>
      <c r="F936" s="3"/>
    </row>
    <row r="937">
      <c r="A937" s="1"/>
      <c r="D937" s="2"/>
      <c r="F937" s="3"/>
    </row>
    <row r="938">
      <c r="A938" s="1"/>
      <c r="D938" s="2"/>
      <c r="F938" s="3"/>
    </row>
    <row r="939">
      <c r="A939" s="1"/>
      <c r="D939" s="2"/>
      <c r="F939" s="3"/>
    </row>
    <row r="940">
      <c r="A940" s="1"/>
      <c r="D940" s="2"/>
      <c r="F940" s="3"/>
    </row>
    <row r="941">
      <c r="A941" s="1"/>
      <c r="D941" s="2"/>
      <c r="F941" s="3"/>
    </row>
    <row r="942">
      <c r="A942" s="1"/>
      <c r="D942" s="2"/>
      <c r="F942" s="3"/>
    </row>
    <row r="943">
      <c r="A943" s="1"/>
      <c r="D943" s="2"/>
      <c r="F943" s="3"/>
    </row>
    <row r="944">
      <c r="A944" s="1"/>
      <c r="D944" s="2"/>
      <c r="F944" s="3"/>
    </row>
    <row r="945">
      <c r="A945" s="1"/>
      <c r="D945" s="2"/>
      <c r="F945" s="3"/>
    </row>
    <row r="946">
      <c r="A946" s="1"/>
      <c r="D946" s="2"/>
      <c r="F946" s="3"/>
    </row>
    <row r="947">
      <c r="A947" s="1"/>
      <c r="D947" s="2"/>
      <c r="F947" s="3"/>
    </row>
    <row r="948">
      <c r="A948" s="1"/>
      <c r="D948" s="2"/>
      <c r="F948" s="3"/>
    </row>
    <row r="949">
      <c r="A949" s="1"/>
      <c r="D949" s="2"/>
      <c r="F949" s="3"/>
    </row>
    <row r="950">
      <c r="A950" s="1"/>
      <c r="D950" s="2"/>
      <c r="F950" s="3"/>
    </row>
    <row r="951">
      <c r="A951" s="1"/>
      <c r="D951" s="2"/>
      <c r="F951" s="3"/>
    </row>
    <row r="952">
      <c r="A952" s="1"/>
      <c r="D952" s="2"/>
      <c r="F952" s="3"/>
    </row>
    <row r="953">
      <c r="A953" s="1"/>
      <c r="D953" s="2"/>
      <c r="F953" s="3"/>
    </row>
    <row r="954">
      <c r="A954" s="1"/>
      <c r="D954" s="2"/>
      <c r="F954" s="3"/>
    </row>
    <row r="955">
      <c r="A955" s="1"/>
      <c r="D955" s="2"/>
      <c r="F955" s="3"/>
    </row>
    <row r="956">
      <c r="A956" s="1"/>
      <c r="D956" s="2"/>
      <c r="F956" s="3"/>
    </row>
    <row r="957">
      <c r="A957" s="1"/>
      <c r="D957" s="2"/>
      <c r="F957" s="3"/>
    </row>
    <row r="958">
      <c r="A958" s="1"/>
      <c r="D958" s="2"/>
      <c r="F958" s="3"/>
    </row>
    <row r="959">
      <c r="A959" s="1"/>
      <c r="D959" s="2"/>
      <c r="F959" s="3"/>
    </row>
    <row r="960">
      <c r="A960" s="1"/>
      <c r="D960" s="2"/>
      <c r="F960" s="3"/>
    </row>
    <row r="961">
      <c r="A961" s="1"/>
      <c r="D961" s="2"/>
      <c r="F961" s="3"/>
    </row>
    <row r="962">
      <c r="A962" s="1"/>
      <c r="D962" s="2"/>
      <c r="F962" s="3"/>
    </row>
    <row r="963">
      <c r="A963" s="1"/>
      <c r="D963" s="2"/>
      <c r="F963" s="3"/>
    </row>
    <row r="964">
      <c r="A964" s="1"/>
      <c r="D964" s="2"/>
      <c r="F964" s="3"/>
    </row>
    <row r="965">
      <c r="A965" s="1"/>
      <c r="D965" s="2"/>
      <c r="F965" s="3"/>
    </row>
    <row r="966">
      <c r="A966" s="1"/>
      <c r="D966" s="2"/>
      <c r="F966" s="3"/>
    </row>
    <row r="967">
      <c r="A967" s="1"/>
      <c r="D967" s="2"/>
      <c r="F967" s="3"/>
    </row>
    <row r="968">
      <c r="A968" s="1"/>
      <c r="D968" s="2"/>
      <c r="F968" s="3"/>
    </row>
    <row r="969">
      <c r="A969" s="1"/>
      <c r="D969" s="2"/>
      <c r="F969" s="3"/>
    </row>
    <row r="970">
      <c r="A970" s="1"/>
      <c r="D970" s="2"/>
      <c r="F970" s="3"/>
    </row>
    <row r="971">
      <c r="A971" s="1"/>
      <c r="D971" s="2"/>
      <c r="F971" s="3"/>
    </row>
    <row r="972">
      <c r="A972" s="1"/>
      <c r="D972" s="2"/>
      <c r="F972" s="3"/>
    </row>
    <row r="973">
      <c r="A973" s="1"/>
      <c r="D973" s="2"/>
      <c r="F973" s="3"/>
    </row>
    <row r="974">
      <c r="A974" s="1"/>
      <c r="D974" s="2"/>
      <c r="F974" s="3"/>
    </row>
    <row r="975">
      <c r="A975" s="1"/>
      <c r="D975" s="2"/>
      <c r="F975" s="3"/>
    </row>
    <row r="976">
      <c r="A976" s="1"/>
      <c r="D976" s="2"/>
      <c r="F976" s="3"/>
    </row>
    <row r="977">
      <c r="A977" s="1"/>
      <c r="D977" s="2"/>
      <c r="F977" s="3"/>
    </row>
    <row r="978">
      <c r="A978" s="1"/>
      <c r="D978" s="2"/>
      <c r="F978" s="3"/>
    </row>
    <row r="979">
      <c r="A979" s="1"/>
      <c r="D979" s="2"/>
      <c r="F979" s="3"/>
    </row>
    <row r="980">
      <c r="A980" s="1"/>
      <c r="D980" s="2"/>
      <c r="F980" s="3"/>
    </row>
    <row r="981">
      <c r="A981" s="1"/>
      <c r="D981" s="2"/>
      <c r="F981" s="3"/>
    </row>
    <row r="982">
      <c r="A982" s="1"/>
      <c r="D982" s="2"/>
      <c r="F982" s="3"/>
    </row>
    <row r="983">
      <c r="A983" s="1"/>
      <c r="D983" s="2"/>
      <c r="F983" s="3"/>
    </row>
    <row r="984">
      <c r="A984" s="1"/>
      <c r="D984" s="2"/>
      <c r="F984" s="3"/>
    </row>
    <row r="985">
      <c r="A985" s="1"/>
      <c r="D985" s="2"/>
      <c r="F985" s="3"/>
    </row>
    <row r="986">
      <c r="A986" s="1"/>
      <c r="D986" s="2"/>
      <c r="F986" s="3"/>
    </row>
    <row r="987">
      <c r="A987" s="1"/>
      <c r="D987" s="2"/>
      <c r="F987" s="3"/>
    </row>
    <row r="988">
      <c r="A988" s="1"/>
      <c r="D988" s="2"/>
      <c r="F988" s="3"/>
    </row>
    <row r="989">
      <c r="A989" s="1"/>
      <c r="D989" s="2"/>
      <c r="F989" s="3"/>
    </row>
    <row r="990">
      <c r="A990" s="1"/>
      <c r="D990" s="2"/>
      <c r="F990" s="3"/>
    </row>
    <row r="991">
      <c r="A991" s="1"/>
      <c r="D991" s="2"/>
      <c r="F991" s="3"/>
    </row>
    <row r="992">
      <c r="A992" s="1"/>
      <c r="D992" s="2"/>
      <c r="F992" s="3"/>
    </row>
    <row r="993">
      <c r="A993" s="1"/>
      <c r="D993" s="2"/>
      <c r="F993" s="3"/>
    </row>
    <row r="994">
      <c r="A994" s="1"/>
      <c r="D994" s="2"/>
      <c r="F994" s="3"/>
    </row>
    <row r="995">
      <c r="A995" s="1"/>
      <c r="D995" s="2"/>
      <c r="F995" s="3"/>
    </row>
    <row r="996">
      <c r="A996" s="1"/>
      <c r="D996" s="2"/>
      <c r="F996" s="3"/>
    </row>
    <row r="997">
      <c r="A997" s="1"/>
      <c r="D997" s="2"/>
      <c r="F997" s="3"/>
    </row>
    <row r="998">
      <c r="A998" s="1"/>
      <c r="D998" s="2"/>
      <c r="F998" s="3"/>
    </row>
    <row r="999">
      <c r="A999" s="1"/>
      <c r="D999" s="2"/>
      <c r="F999" s="3"/>
    </row>
    <row r="1000">
      <c r="A1000" s="1"/>
      <c r="D1000" s="2"/>
      <c r="F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6" max="6" width="25.43"/>
  </cols>
  <sheetData>
    <row r="1">
      <c r="A1" s="31"/>
      <c r="F1" s="30" t="s">
        <v>6207</v>
      </c>
      <c r="G1" s="30" t="s">
        <v>6208</v>
      </c>
    </row>
    <row r="2">
      <c r="A2" s="31">
        <v>44414.0</v>
      </c>
    </row>
    <row r="3">
      <c r="A3" s="1" t="s">
        <v>4</v>
      </c>
      <c r="B3" s="1"/>
      <c r="C3" t="s">
        <v>5</v>
      </c>
      <c r="D3" s="2"/>
    </row>
    <row r="4">
      <c r="A4" s="1" t="s">
        <v>6</v>
      </c>
      <c r="B4" s="1" t="s">
        <v>7</v>
      </c>
      <c r="C4" t="s">
        <v>8</v>
      </c>
      <c r="D4" s="2" t="s">
        <v>9</v>
      </c>
      <c r="E4" t="s">
        <v>11</v>
      </c>
    </row>
    <row r="5">
      <c r="A5" s="4" t="s">
        <v>791</v>
      </c>
      <c r="B5" s="1" t="s">
        <v>6209</v>
      </c>
      <c r="C5" s="32"/>
      <c r="D5" s="20">
        <v>1.0</v>
      </c>
      <c r="E5" s="7">
        <v>1.0</v>
      </c>
      <c r="F5" s="30">
        <v>0.0</v>
      </c>
      <c r="G5" s="30" t="s">
        <v>6210</v>
      </c>
    </row>
    <row r="6">
      <c r="A6" s="4" t="s">
        <v>367</v>
      </c>
      <c r="B6" s="4" t="s">
        <v>25</v>
      </c>
      <c r="C6" s="9">
        <v>1.0</v>
      </c>
      <c r="D6" s="10"/>
      <c r="E6" s="11">
        <v>1.0</v>
      </c>
      <c r="F6" s="30">
        <v>1.0</v>
      </c>
    </row>
    <row r="7">
      <c r="A7" s="4" t="s">
        <v>798</v>
      </c>
      <c r="B7" s="1" t="s">
        <v>23</v>
      </c>
      <c r="C7" s="5">
        <v>1.0</v>
      </c>
      <c r="D7" s="6"/>
      <c r="E7" s="7">
        <v>1.0</v>
      </c>
      <c r="F7" s="30">
        <v>1.0</v>
      </c>
    </row>
    <row r="8">
      <c r="A8" s="4" t="s">
        <v>564</v>
      </c>
      <c r="B8" s="4" t="s">
        <v>18</v>
      </c>
      <c r="C8" s="9">
        <v>1.0</v>
      </c>
      <c r="D8" s="10"/>
      <c r="E8" s="11">
        <v>1.0</v>
      </c>
      <c r="F8" s="30">
        <v>1.0</v>
      </c>
    </row>
    <row r="9">
      <c r="A9" s="4" t="s">
        <v>583</v>
      </c>
      <c r="B9" s="4" t="s">
        <v>23</v>
      </c>
      <c r="C9" s="11">
        <v>1.0</v>
      </c>
      <c r="D9" s="10"/>
      <c r="E9" s="11">
        <v>1.0</v>
      </c>
      <c r="F9" s="30">
        <v>1.0</v>
      </c>
    </row>
    <row r="10">
      <c r="A10" s="4" t="s">
        <v>11</v>
      </c>
      <c r="B10" s="4"/>
      <c r="C10" s="11">
        <v>4.0</v>
      </c>
      <c r="D10" s="9">
        <v>1.0</v>
      </c>
      <c r="E10" s="11">
        <v>5.0</v>
      </c>
      <c r="F10" s="30">
        <v>4.0</v>
      </c>
    </row>
    <row r="12">
      <c r="A12" s="31">
        <v>44425.0</v>
      </c>
    </row>
    <row r="13">
      <c r="A13" s="1" t="s">
        <v>4</v>
      </c>
      <c r="B13" s="1"/>
      <c r="C13" t="s">
        <v>5</v>
      </c>
      <c r="D13" s="2"/>
    </row>
    <row r="14">
      <c r="A14" s="1" t="s">
        <v>6</v>
      </c>
      <c r="B14" s="1" t="s">
        <v>7</v>
      </c>
      <c r="C14" t="s">
        <v>8</v>
      </c>
      <c r="D14" s="2" t="s">
        <v>9</v>
      </c>
      <c r="E14" t="s">
        <v>11</v>
      </c>
      <c r="F14" s="30" t="s">
        <v>6211</v>
      </c>
      <c r="G14" s="30" t="s">
        <v>6208</v>
      </c>
    </row>
    <row r="15">
      <c r="A15" s="4" t="s">
        <v>76</v>
      </c>
      <c r="B15" s="1" t="s">
        <v>25</v>
      </c>
      <c r="C15" s="5">
        <v>1.0</v>
      </c>
      <c r="D15" s="6"/>
      <c r="E15" s="7">
        <v>1.0</v>
      </c>
      <c r="F15" s="30">
        <v>1.0</v>
      </c>
    </row>
    <row r="16">
      <c r="A16" s="4" t="s">
        <v>27</v>
      </c>
      <c r="B16" s="4" t="s">
        <v>13</v>
      </c>
      <c r="C16" s="9">
        <v>1.0</v>
      </c>
      <c r="D16" s="10"/>
      <c r="E16" s="11">
        <v>1.0</v>
      </c>
      <c r="F16" s="30">
        <v>1.0</v>
      </c>
    </row>
    <row r="17">
      <c r="A17" s="4" t="s">
        <v>791</v>
      </c>
      <c r="B17" s="1" t="s">
        <v>6209</v>
      </c>
      <c r="C17" s="32"/>
      <c r="D17" s="20">
        <v>1.0</v>
      </c>
      <c r="E17" s="7">
        <v>1.0</v>
      </c>
      <c r="F17" s="30">
        <v>0.0</v>
      </c>
      <c r="G17" s="30" t="s">
        <v>6210</v>
      </c>
    </row>
    <row r="18">
      <c r="A18" s="4" t="s">
        <v>798</v>
      </c>
      <c r="B18" s="4" t="s">
        <v>23</v>
      </c>
      <c r="C18" s="9">
        <v>1.0</v>
      </c>
      <c r="D18" s="10"/>
      <c r="E18" s="11">
        <v>1.0</v>
      </c>
      <c r="F18" s="30">
        <v>1.0</v>
      </c>
    </row>
    <row r="19">
      <c r="A19" s="4" t="s">
        <v>752</v>
      </c>
      <c r="B19" s="4" t="s">
        <v>13</v>
      </c>
      <c r="C19" s="11">
        <v>1.0</v>
      </c>
      <c r="D19" s="10"/>
      <c r="E19" s="11">
        <v>1.0</v>
      </c>
      <c r="F19" s="30">
        <v>1.0</v>
      </c>
    </row>
    <row r="20">
      <c r="A20" s="4" t="s">
        <v>11</v>
      </c>
      <c r="B20" s="4"/>
      <c r="C20" s="11">
        <v>4.0</v>
      </c>
      <c r="D20" s="9">
        <v>1.0</v>
      </c>
      <c r="E20" s="11">
        <v>5.0</v>
      </c>
      <c r="F20" s="30">
        <v>4.0</v>
      </c>
    </row>
    <row r="22">
      <c r="A22" s="31">
        <v>44426.0</v>
      </c>
    </row>
    <row r="23">
      <c r="A23" s="1" t="s">
        <v>4</v>
      </c>
      <c r="B23" s="1"/>
      <c r="C23" t="s">
        <v>5</v>
      </c>
      <c r="D23" s="2"/>
    </row>
    <row r="24">
      <c r="A24" s="1" t="s">
        <v>6</v>
      </c>
      <c r="B24" s="1" t="s">
        <v>7</v>
      </c>
      <c r="C24" t="s">
        <v>8</v>
      </c>
      <c r="D24" s="2" t="s">
        <v>9</v>
      </c>
      <c r="E24" t="s">
        <v>11</v>
      </c>
    </row>
    <row r="25">
      <c r="A25" s="4" t="s">
        <v>76</v>
      </c>
      <c r="B25" s="1" t="s">
        <v>25</v>
      </c>
      <c r="C25" s="5">
        <v>1.0</v>
      </c>
      <c r="D25" s="6"/>
      <c r="E25" s="7">
        <v>1.0</v>
      </c>
      <c r="F25" s="30">
        <v>1.0</v>
      </c>
    </row>
    <row r="26">
      <c r="A26" s="4" t="s">
        <v>27</v>
      </c>
      <c r="B26" s="4" t="s">
        <v>13</v>
      </c>
      <c r="C26" s="9">
        <v>1.0</v>
      </c>
      <c r="D26" s="10"/>
      <c r="E26" s="11">
        <v>1.0</v>
      </c>
      <c r="F26" s="30">
        <v>1.0</v>
      </c>
    </row>
    <row r="27">
      <c r="A27" s="4" t="s">
        <v>791</v>
      </c>
      <c r="B27" s="1" t="s">
        <v>6209</v>
      </c>
      <c r="C27" s="32"/>
      <c r="D27" s="20">
        <v>1.0</v>
      </c>
      <c r="E27" s="7">
        <v>1.0</v>
      </c>
      <c r="F27" s="30">
        <v>1.0</v>
      </c>
    </row>
    <row r="28">
      <c r="A28" s="4" t="s">
        <v>798</v>
      </c>
      <c r="B28" s="4" t="s">
        <v>23</v>
      </c>
      <c r="C28" s="9">
        <v>1.0</v>
      </c>
      <c r="D28" s="10"/>
      <c r="E28" s="11">
        <v>1.0</v>
      </c>
      <c r="F28" s="30">
        <v>1.0</v>
      </c>
    </row>
    <row r="29">
      <c r="A29" s="4" t="s">
        <v>752</v>
      </c>
      <c r="B29" s="4" t="s">
        <v>13</v>
      </c>
      <c r="C29" s="11">
        <v>1.0</v>
      </c>
      <c r="D29" s="10"/>
      <c r="E29" s="11">
        <v>1.0</v>
      </c>
      <c r="F29" s="30">
        <v>1.0</v>
      </c>
    </row>
    <row r="30">
      <c r="A30" s="4" t="s">
        <v>495</v>
      </c>
      <c r="B30" s="4" t="s">
        <v>25</v>
      </c>
      <c r="C30" s="11">
        <v>1.0</v>
      </c>
      <c r="D30" s="10"/>
      <c r="E30" s="11">
        <v>1.0</v>
      </c>
      <c r="F30" s="30">
        <v>1.0</v>
      </c>
    </row>
    <row r="31">
      <c r="A31" s="4" t="s">
        <v>648</v>
      </c>
      <c r="B31" s="1" t="s">
        <v>18</v>
      </c>
      <c r="C31" s="7">
        <v>1.0</v>
      </c>
      <c r="D31" s="6"/>
      <c r="E31" s="7">
        <v>1.0</v>
      </c>
      <c r="F31" s="30">
        <v>1.0</v>
      </c>
    </row>
    <row r="32">
      <c r="A32" s="4" t="s">
        <v>11</v>
      </c>
      <c r="B32" s="4"/>
      <c r="C32" s="11">
        <v>6.0</v>
      </c>
      <c r="D32" s="9">
        <v>1.0</v>
      </c>
      <c r="E32" s="11">
        <v>7.0</v>
      </c>
      <c r="F32" s="30">
        <v>7.0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1" t="s">
        <v>1072</v>
      </c>
      <c r="B1" s="251" t="s">
        <v>1073</v>
      </c>
      <c r="C1" s="251" t="s">
        <v>6212</v>
      </c>
      <c r="D1" s="251" t="s">
        <v>6213</v>
      </c>
      <c r="E1" s="251" t="s">
        <v>6214</v>
      </c>
    </row>
    <row r="2">
      <c r="A2" s="251" t="s">
        <v>6215</v>
      </c>
      <c r="B2" s="252">
        <v>2.0</v>
      </c>
      <c r="C2" s="251" t="s">
        <v>6216</v>
      </c>
      <c r="D2" s="269"/>
      <c r="E2" s="252">
        <v>0.0</v>
      </c>
    </row>
    <row r="3">
      <c r="A3" s="251" t="s">
        <v>295</v>
      </c>
      <c r="B3" s="252">
        <v>2.0</v>
      </c>
      <c r="C3" s="251" t="s">
        <v>6217</v>
      </c>
      <c r="D3" s="269"/>
      <c r="E3" s="252">
        <v>1.0</v>
      </c>
    </row>
    <row r="4">
      <c r="A4" s="251" t="s">
        <v>65</v>
      </c>
      <c r="B4" s="252">
        <v>2.0</v>
      </c>
      <c r="C4" s="251" t="s">
        <v>1021</v>
      </c>
      <c r="D4" s="269"/>
      <c r="E4" s="252">
        <v>1.0</v>
      </c>
    </row>
    <row r="5">
      <c r="A5" s="251" t="s">
        <v>287</v>
      </c>
      <c r="B5" s="252">
        <v>2.0</v>
      </c>
      <c r="C5" s="251" t="s">
        <v>6218</v>
      </c>
      <c r="D5" s="269"/>
      <c r="E5" s="252">
        <v>1.0</v>
      </c>
    </row>
    <row r="6">
      <c r="A6" s="251" t="s">
        <v>272</v>
      </c>
      <c r="B6" s="252">
        <v>2.0</v>
      </c>
      <c r="C6" s="251" t="s">
        <v>6219</v>
      </c>
      <c r="D6" s="269"/>
      <c r="E6" s="252">
        <v>0.0</v>
      </c>
    </row>
    <row r="7">
      <c r="A7" s="251" t="s">
        <v>6220</v>
      </c>
      <c r="B7" s="252">
        <v>2.0</v>
      </c>
      <c r="C7" s="251" t="s">
        <v>6221</v>
      </c>
      <c r="D7" s="269"/>
      <c r="E7" s="252">
        <v>1.0</v>
      </c>
    </row>
    <row r="8">
      <c r="A8" s="251" t="s">
        <v>6222</v>
      </c>
      <c r="B8" s="252">
        <v>2.0</v>
      </c>
      <c r="C8" s="251" t="s">
        <v>6223</v>
      </c>
      <c r="D8" s="269"/>
      <c r="E8" s="252">
        <v>0.0</v>
      </c>
    </row>
    <row r="9">
      <c r="A9" s="251" t="s">
        <v>98</v>
      </c>
      <c r="B9" s="252">
        <v>2.0</v>
      </c>
      <c r="C9" s="251" t="s">
        <v>1019</v>
      </c>
      <c r="D9" s="269"/>
      <c r="E9" s="252">
        <v>1.0</v>
      </c>
    </row>
    <row r="10">
      <c r="A10" s="251" t="s">
        <v>383</v>
      </c>
      <c r="B10" s="252">
        <v>2.0</v>
      </c>
      <c r="C10" s="251" t="s">
        <v>6224</v>
      </c>
      <c r="D10" s="269"/>
      <c r="E10" s="252">
        <v>1.0</v>
      </c>
    </row>
    <row r="11">
      <c r="A11" s="251" t="s">
        <v>131</v>
      </c>
      <c r="B11" s="252">
        <v>2.0</v>
      </c>
      <c r="C11" s="251" t="s">
        <v>6225</v>
      </c>
      <c r="D11" s="269"/>
      <c r="E11" s="252">
        <v>1.0</v>
      </c>
    </row>
    <row r="12">
      <c r="A12" s="251" t="s">
        <v>362</v>
      </c>
      <c r="B12" s="252">
        <v>2.0</v>
      </c>
      <c r="C12" s="251" t="s">
        <v>6226</v>
      </c>
      <c r="D12" s="269"/>
      <c r="E12" s="252">
        <v>1.0</v>
      </c>
    </row>
    <row r="13">
      <c r="A13" s="251" t="s">
        <v>6227</v>
      </c>
      <c r="B13" s="252">
        <v>2.0</v>
      </c>
      <c r="C13" s="251" t="s">
        <v>6228</v>
      </c>
      <c r="D13" s="269"/>
      <c r="E13" s="252">
        <v>1.0</v>
      </c>
    </row>
    <row r="14">
      <c r="A14" s="251" t="s">
        <v>6229</v>
      </c>
      <c r="B14" s="252">
        <v>2.0</v>
      </c>
      <c r="C14" s="251" t="s">
        <v>6230</v>
      </c>
      <c r="D14" s="269"/>
      <c r="E14" s="252">
        <v>0.0</v>
      </c>
    </row>
    <row r="15">
      <c r="A15" s="251" t="s">
        <v>401</v>
      </c>
      <c r="B15" s="252">
        <v>2.0</v>
      </c>
      <c r="C15" s="251" t="s">
        <v>1123</v>
      </c>
      <c r="D15" s="269"/>
      <c r="E15" s="252">
        <v>0.0</v>
      </c>
    </row>
    <row r="16">
      <c r="A16" s="251" t="s">
        <v>6231</v>
      </c>
      <c r="B16" s="252">
        <v>2.0</v>
      </c>
      <c r="C16" s="251" t="s">
        <v>6232</v>
      </c>
      <c r="D16" s="269"/>
      <c r="E16" s="252">
        <v>0.0</v>
      </c>
    </row>
    <row r="17">
      <c r="A17" s="251" t="s">
        <v>6233</v>
      </c>
      <c r="B17" s="252">
        <v>2.0</v>
      </c>
      <c r="C17" s="251" t="s">
        <v>6234</v>
      </c>
      <c r="D17" s="269"/>
      <c r="E17" s="252">
        <v>0.0</v>
      </c>
    </row>
    <row r="18">
      <c r="A18" s="251" t="s">
        <v>6235</v>
      </c>
      <c r="B18" s="252">
        <v>2.0</v>
      </c>
      <c r="C18" s="251" t="s">
        <v>6236</v>
      </c>
      <c r="D18" s="269"/>
      <c r="E18" s="252">
        <v>0.0</v>
      </c>
    </row>
    <row r="19">
      <c r="A19" s="251" t="s">
        <v>6237</v>
      </c>
      <c r="B19" s="252">
        <v>2.0</v>
      </c>
      <c r="C19" s="251" t="s">
        <v>6238</v>
      </c>
      <c r="D19" s="269"/>
      <c r="E19" s="252">
        <v>0.0</v>
      </c>
    </row>
    <row r="20">
      <c r="A20" s="251" t="s">
        <v>6239</v>
      </c>
      <c r="B20" s="252">
        <v>2.0</v>
      </c>
      <c r="C20" s="251" t="s">
        <v>6240</v>
      </c>
      <c r="D20" s="269"/>
      <c r="E20" s="252">
        <v>0.0</v>
      </c>
    </row>
    <row r="21">
      <c r="A21" s="251" t="s">
        <v>6241</v>
      </c>
      <c r="B21" s="252">
        <v>2.0</v>
      </c>
      <c r="C21" s="251" t="s">
        <v>6242</v>
      </c>
      <c r="D21" s="269"/>
      <c r="E21" s="252">
        <v>0.0</v>
      </c>
    </row>
    <row r="22">
      <c r="A22" s="251" t="s">
        <v>6243</v>
      </c>
      <c r="B22" s="252">
        <v>2.0</v>
      </c>
      <c r="C22" s="251" t="s">
        <v>6244</v>
      </c>
      <c r="D22" s="269"/>
      <c r="E22" s="252">
        <v>0.0</v>
      </c>
    </row>
    <row r="23">
      <c r="A23" s="251" t="s">
        <v>280</v>
      </c>
      <c r="B23" s="252">
        <v>2.0</v>
      </c>
      <c r="C23" s="251" t="s">
        <v>6245</v>
      </c>
      <c r="D23" s="269"/>
      <c r="E23" s="252">
        <v>1.0</v>
      </c>
    </row>
    <row r="24">
      <c r="A24" s="251" t="s">
        <v>6246</v>
      </c>
      <c r="B24" s="252">
        <v>2.0</v>
      </c>
      <c r="C24" s="251" t="s">
        <v>6247</v>
      </c>
      <c r="D24" s="269"/>
      <c r="E24" s="252">
        <v>1.0</v>
      </c>
    </row>
    <row r="25">
      <c r="A25" s="251" t="s">
        <v>6248</v>
      </c>
      <c r="B25" s="252">
        <v>2.0</v>
      </c>
      <c r="C25" s="252">
        <v>10.0</v>
      </c>
      <c r="D25" s="269"/>
      <c r="E25" s="252">
        <v>0.0</v>
      </c>
    </row>
    <row r="26">
      <c r="A26" s="251" t="s">
        <v>6249</v>
      </c>
      <c r="B26" s="252">
        <v>2.0</v>
      </c>
      <c r="C26" s="251" t="s">
        <v>6250</v>
      </c>
      <c r="D26" s="269"/>
      <c r="E26" s="252">
        <v>0.0</v>
      </c>
    </row>
    <row r="27">
      <c r="A27" s="251" t="s">
        <v>6251</v>
      </c>
      <c r="B27" s="252">
        <v>2.0</v>
      </c>
      <c r="C27" s="251" t="s">
        <v>6252</v>
      </c>
      <c r="D27" s="269"/>
      <c r="E27" s="252">
        <v>0.0</v>
      </c>
    </row>
    <row r="28">
      <c r="A28" s="251" t="s">
        <v>6253</v>
      </c>
      <c r="B28" s="252">
        <v>2.0</v>
      </c>
      <c r="C28" s="251" t="s">
        <v>6254</v>
      </c>
      <c r="D28" s="269"/>
      <c r="E28" s="252">
        <v>0.0</v>
      </c>
    </row>
    <row r="29">
      <c r="A29" s="251" t="s">
        <v>6255</v>
      </c>
      <c r="B29" s="252">
        <v>2.0</v>
      </c>
      <c r="C29" s="251" t="s">
        <v>6256</v>
      </c>
      <c r="D29" s="269"/>
      <c r="E29" s="252">
        <v>0.0</v>
      </c>
    </row>
    <row r="30">
      <c r="A30" s="251" t="s">
        <v>6257</v>
      </c>
      <c r="B30" s="252">
        <v>2.0</v>
      </c>
      <c r="C30" s="251" t="s">
        <v>6258</v>
      </c>
      <c r="D30" s="269"/>
      <c r="E30" s="252">
        <v>0.0</v>
      </c>
    </row>
    <row r="31">
      <c r="A31" s="251" t="s">
        <v>6259</v>
      </c>
      <c r="B31" s="252">
        <v>2.0</v>
      </c>
      <c r="C31" s="251" t="s">
        <v>6260</v>
      </c>
      <c r="D31" s="269"/>
      <c r="E31" s="252">
        <v>0.0</v>
      </c>
    </row>
    <row r="32">
      <c r="A32" s="251" t="s">
        <v>6261</v>
      </c>
      <c r="B32" s="252">
        <v>2.0</v>
      </c>
      <c r="C32" s="251" t="s">
        <v>6262</v>
      </c>
      <c r="D32" s="269"/>
      <c r="E32" s="252">
        <v>0.0</v>
      </c>
    </row>
    <row r="33">
      <c r="A33" s="251" t="s">
        <v>6263</v>
      </c>
      <c r="B33" s="252">
        <v>2.0</v>
      </c>
      <c r="C33" s="251" t="s">
        <v>6264</v>
      </c>
      <c r="D33" s="269"/>
      <c r="E33" s="252">
        <v>0.0</v>
      </c>
    </row>
    <row r="34">
      <c r="A34" s="251" t="s">
        <v>6265</v>
      </c>
      <c r="B34" s="252">
        <v>2.0</v>
      </c>
      <c r="C34" s="251" t="s">
        <v>6266</v>
      </c>
      <c r="D34" s="269"/>
      <c r="E34" s="252">
        <v>0.0</v>
      </c>
    </row>
    <row r="35">
      <c r="A35" s="251" t="s">
        <v>6267</v>
      </c>
      <c r="B35" s="252">
        <v>2.0</v>
      </c>
      <c r="C35" s="251" t="s">
        <v>6268</v>
      </c>
      <c r="D35" s="269"/>
      <c r="E35" s="252">
        <v>0.0</v>
      </c>
    </row>
    <row r="36">
      <c r="A36" s="251" t="s">
        <v>6269</v>
      </c>
      <c r="B36" s="252">
        <v>2.0</v>
      </c>
      <c r="C36" s="251" t="s">
        <v>6270</v>
      </c>
      <c r="D36" s="269"/>
      <c r="E36" s="252">
        <v>0.0</v>
      </c>
    </row>
    <row r="37">
      <c r="A37" s="251" t="s">
        <v>6271</v>
      </c>
      <c r="B37" s="252">
        <v>2.0</v>
      </c>
      <c r="C37" s="251" t="s">
        <v>6272</v>
      </c>
      <c r="D37" s="269"/>
      <c r="E37" s="252">
        <v>0.0</v>
      </c>
    </row>
    <row r="38">
      <c r="A38" s="251" t="s">
        <v>6273</v>
      </c>
      <c r="B38" s="252">
        <v>2.0</v>
      </c>
      <c r="C38" s="251" t="s">
        <v>6274</v>
      </c>
      <c r="D38" s="269"/>
      <c r="E38" s="252">
        <v>0.0</v>
      </c>
    </row>
    <row r="39">
      <c r="A39" s="251" t="s">
        <v>6275</v>
      </c>
      <c r="B39" s="252">
        <v>2.0</v>
      </c>
      <c r="C39" s="251" t="s">
        <v>6276</v>
      </c>
      <c r="D39" s="269"/>
      <c r="E39" s="252">
        <v>0.0</v>
      </c>
    </row>
    <row r="40">
      <c r="A40" s="251" t="s">
        <v>6277</v>
      </c>
      <c r="B40" s="252">
        <v>2.0</v>
      </c>
      <c r="C40" s="251" t="s">
        <v>6278</v>
      </c>
      <c r="D40" s="269"/>
      <c r="E40" s="252">
        <v>0.0</v>
      </c>
    </row>
    <row r="41">
      <c r="A41" s="251" t="s">
        <v>6279</v>
      </c>
      <c r="B41" s="252">
        <v>2.0</v>
      </c>
      <c r="C41" s="251" t="s">
        <v>6280</v>
      </c>
      <c r="D41" s="269"/>
      <c r="E41" s="252">
        <v>0.0</v>
      </c>
    </row>
    <row r="42">
      <c r="A42" s="251" t="s">
        <v>6281</v>
      </c>
      <c r="B42" s="252">
        <v>2.0</v>
      </c>
      <c r="C42" s="251" t="s">
        <v>6282</v>
      </c>
      <c r="D42" s="269"/>
      <c r="E42" s="252">
        <v>0.0</v>
      </c>
    </row>
    <row r="43">
      <c r="A43" s="251" t="s">
        <v>6283</v>
      </c>
      <c r="B43" s="252">
        <v>2.0</v>
      </c>
      <c r="C43" s="251" t="s">
        <v>6284</v>
      </c>
      <c r="D43" s="269"/>
      <c r="E43" s="252">
        <v>0.0</v>
      </c>
    </row>
    <row r="44">
      <c r="A44" s="251" t="s">
        <v>6285</v>
      </c>
      <c r="B44" s="252">
        <v>2.0</v>
      </c>
      <c r="C44" s="251" t="s">
        <v>6286</v>
      </c>
      <c r="D44" s="269"/>
      <c r="E44" s="252">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251" t="s">
        <v>1071</v>
      </c>
      <c r="B1" s="251" t="s">
        <v>6287</v>
      </c>
      <c r="C1" s="251" t="s">
        <v>6288</v>
      </c>
      <c r="D1" s="251" t="s">
        <v>6289</v>
      </c>
      <c r="E1" s="251" t="s">
        <v>1072</v>
      </c>
      <c r="F1" s="251" t="s">
        <v>1069</v>
      </c>
    </row>
    <row r="2">
      <c r="A2" s="251" t="s">
        <v>6290</v>
      </c>
      <c r="B2" s="251" t="s">
        <v>6291</v>
      </c>
      <c r="C2" s="251" t="s">
        <v>6292</v>
      </c>
      <c r="D2" s="251" t="s">
        <v>6293</v>
      </c>
      <c r="E2" s="251" t="s">
        <v>65</v>
      </c>
      <c r="F2" s="252">
        <v>1.0</v>
      </c>
    </row>
    <row r="3">
      <c r="A3" s="251" t="s">
        <v>152</v>
      </c>
      <c r="B3" s="251" t="s">
        <v>6294</v>
      </c>
      <c r="C3" s="251" t="s">
        <v>6292</v>
      </c>
      <c r="D3" s="251" t="s">
        <v>6295</v>
      </c>
      <c r="E3" s="251" t="s">
        <v>65</v>
      </c>
      <c r="F3" s="252">
        <v>1.0</v>
      </c>
    </row>
    <row r="4">
      <c r="A4" s="251" t="s">
        <v>6296</v>
      </c>
      <c r="B4" s="251" t="s">
        <v>6297</v>
      </c>
      <c r="C4" s="251" t="s">
        <v>6292</v>
      </c>
      <c r="D4" s="251" t="s">
        <v>6298</v>
      </c>
      <c r="E4" s="251" t="s">
        <v>65</v>
      </c>
      <c r="F4" s="252">
        <v>1.0</v>
      </c>
    </row>
    <row r="5">
      <c r="A5" s="251" t="s">
        <v>160</v>
      </c>
      <c r="B5" s="251" t="s">
        <v>839</v>
      </c>
      <c r="C5" s="251" t="s">
        <v>6292</v>
      </c>
      <c r="D5" s="251" t="s">
        <v>6299</v>
      </c>
      <c r="E5" s="251" t="s">
        <v>65</v>
      </c>
      <c r="F5" s="252">
        <v>1.0</v>
      </c>
    </row>
    <row r="6">
      <c r="A6" s="251" t="s">
        <v>182</v>
      </c>
      <c r="B6" s="251" t="s">
        <v>6300</v>
      </c>
      <c r="C6" s="251" t="s">
        <v>6292</v>
      </c>
      <c r="D6" s="251" t="s">
        <v>6301</v>
      </c>
      <c r="E6" s="251" t="s">
        <v>65</v>
      </c>
      <c r="F6" s="252">
        <v>1.0</v>
      </c>
    </row>
    <row r="7">
      <c r="A7" s="251" t="s">
        <v>190</v>
      </c>
      <c r="B7" s="251" t="s">
        <v>847</v>
      </c>
      <c r="C7" s="251" t="s">
        <v>6292</v>
      </c>
      <c r="D7" s="251" t="s">
        <v>6302</v>
      </c>
      <c r="E7" s="251" t="s">
        <v>65</v>
      </c>
      <c r="F7" s="252">
        <v>1.0</v>
      </c>
    </row>
    <row r="8">
      <c r="A8" s="251" t="s">
        <v>221</v>
      </c>
      <c r="B8" s="251" t="s">
        <v>6303</v>
      </c>
      <c r="C8" s="251" t="s">
        <v>6292</v>
      </c>
      <c r="D8" s="251" t="s">
        <v>6304</v>
      </c>
      <c r="E8" s="251" t="s">
        <v>65</v>
      </c>
      <c r="F8" s="252">
        <v>1.0</v>
      </c>
    </row>
    <row r="9">
      <c r="A9" s="251" t="s">
        <v>231</v>
      </c>
      <c r="B9" s="251" t="s">
        <v>851</v>
      </c>
      <c r="C9" s="251" t="s">
        <v>6292</v>
      </c>
      <c r="D9" s="251" t="s">
        <v>6305</v>
      </c>
      <c r="E9" s="251" t="s">
        <v>65</v>
      </c>
      <c r="F9" s="252">
        <v>1.0</v>
      </c>
    </row>
    <row r="10">
      <c r="A10" s="251" t="s">
        <v>6306</v>
      </c>
      <c r="B10" s="251" t="s">
        <v>6307</v>
      </c>
      <c r="C10" s="251" t="s">
        <v>6292</v>
      </c>
      <c r="D10" s="251" t="s">
        <v>6308</v>
      </c>
      <c r="E10" s="251" t="s">
        <v>65</v>
      </c>
      <c r="F10" s="252">
        <v>1.0</v>
      </c>
    </row>
    <row r="11">
      <c r="A11" s="251" t="s">
        <v>6309</v>
      </c>
      <c r="B11" s="251" t="s">
        <v>6310</v>
      </c>
      <c r="C11" s="251" t="s">
        <v>6311</v>
      </c>
      <c r="D11" s="251" t="s">
        <v>6312</v>
      </c>
      <c r="E11" s="251" t="s">
        <v>295</v>
      </c>
      <c r="F11" s="252">
        <v>1.0</v>
      </c>
    </row>
    <row r="12">
      <c r="A12" s="251" t="s">
        <v>6313</v>
      </c>
      <c r="B12" s="251" t="s">
        <v>6314</v>
      </c>
      <c r="C12" s="251" t="s">
        <v>6311</v>
      </c>
      <c r="D12" s="251" t="s">
        <v>6315</v>
      </c>
      <c r="E12" s="251" t="s">
        <v>295</v>
      </c>
      <c r="F12" s="252">
        <v>1.0</v>
      </c>
    </row>
    <row r="13">
      <c r="A13" s="251" t="s">
        <v>6316</v>
      </c>
      <c r="B13" s="251" t="s">
        <v>6317</v>
      </c>
      <c r="C13" s="251" t="s">
        <v>6311</v>
      </c>
      <c r="D13" s="251" t="s">
        <v>6318</v>
      </c>
      <c r="E13" s="251" t="s">
        <v>295</v>
      </c>
      <c r="F13" s="252">
        <v>1.0</v>
      </c>
    </row>
    <row r="14">
      <c r="A14" s="251" t="s">
        <v>6319</v>
      </c>
      <c r="B14" s="251" t="s">
        <v>6320</v>
      </c>
      <c r="C14" s="251" t="s">
        <v>6311</v>
      </c>
      <c r="D14" s="251" t="s">
        <v>6321</v>
      </c>
      <c r="E14" s="251" t="s">
        <v>295</v>
      </c>
      <c r="F14" s="252">
        <v>1.0</v>
      </c>
    </row>
    <row r="15">
      <c r="A15" s="251" t="s">
        <v>6322</v>
      </c>
      <c r="B15" s="251" t="s">
        <v>6323</v>
      </c>
      <c r="C15" s="251" t="s">
        <v>6311</v>
      </c>
      <c r="D15" s="251" t="s">
        <v>6324</v>
      </c>
      <c r="E15" s="251" t="s">
        <v>295</v>
      </c>
      <c r="F15" s="252">
        <v>1.0</v>
      </c>
    </row>
    <row r="16">
      <c r="A16" s="251" t="s">
        <v>6325</v>
      </c>
      <c r="B16" s="251" t="s">
        <v>6326</v>
      </c>
      <c r="C16" s="251" t="s">
        <v>6311</v>
      </c>
      <c r="D16" s="251" t="s">
        <v>6327</v>
      </c>
      <c r="E16" s="251" t="s">
        <v>295</v>
      </c>
      <c r="F16" s="252">
        <v>1.0</v>
      </c>
    </row>
    <row r="17">
      <c r="A17" s="251" t="s">
        <v>296</v>
      </c>
      <c r="B17" s="251" t="s">
        <v>6328</v>
      </c>
      <c r="C17" s="251" t="s">
        <v>6311</v>
      </c>
      <c r="D17" s="251" t="s">
        <v>6329</v>
      </c>
      <c r="E17" s="251" t="s">
        <v>295</v>
      </c>
      <c r="F17" s="252">
        <v>1.0</v>
      </c>
    </row>
    <row r="18">
      <c r="A18" s="251" t="s">
        <v>6330</v>
      </c>
      <c r="B18" s="251" t="s">
        <v>6331</v>
      </c>
      <c r="C18" s="251" t="s">
        <v>6311</v>
      </c>
      <c r="D18" s="251" t="s">
        <v>6332</v>
      </c>
      <c r="E18" s="251" t="s">
        <v>295</v>
      </c>
      <c r="F18" s="252">
        <v>1.0</v>
      </c>
    </row>
    <row r="19">
      <c r="A19" s="251" t="s">
        <v>303</v>
      </c>
      <c r="B19" s="252">
        <v>3.0</v>
      </c>
      <c r="C19" s="251" t="s">
        <v>6333</v>
      </c>
      <c r="D19" s="251" t="s">
        <v>6334</v>
      </c>
      <c r="E19" s="251" t="s">
        <v>98</v>
      </c>
      <c r="F19" s="252">
        <v>1.0</v>
      </c>
    </row>
    <row r="20">
      <c r="A20" s="251" t="s">
        <v>314</v>
      </c>
      <c r="B20" s="251" t="s">
        <v>821</v>
      </c>
      <c r="C20" s="251" t="s">
        <v>6333</v>
      </c>
      <c r="D20" s="251" t="s">
        <v>6335</v>
      </c>
      <c r="E20" s="251" t="s">
        <v>98</v>
      </c>
      <c r="F20" s="252">
        <v>1.0</v>
      </c>
    </row>
    <row r="21">
      <c r="A21" s="251" t="s">
        <v>325</v>
      </c>
      <c r="B21" s="252">
        <v>5.0</v>
      </c>
      <c r="C21" s="251" t="s">
        <v>6333</v>
      </c>
      <c r="D21" s="251" t="s">
        <v>6336</v>
      </c>
      <c r="E21" s="251" t="s">
        <v>98</v>
      </c>
      <c r="F21" s="252">
        <v>1.0</v>
      </c>
    </row>
    <row r="22">
      <c r="A22" s="251" t="s">
        <v>545</v>
      </c>
      <c r="B22" s="251" t="s">
        <v>6337</v>
      </c>
      <c r="C22" s="251" t="s">
        <v>6338</v>
      </c>
      <c r="D22" s="251" t="s">
        <v>6339</v>
      </c>
      <c r="E22" s="251" t="s">
        <v>383</v>
      </c>
      <c r="F22" s="252">
        <v>1.0</v>
      </c>
    </row>
    <row r="23">
      <c r="A23" s="251" t="s">
        <v>498</v>
      </c>
      <c r="B23" s="251" t="s">
        <v>6340</v>
      </c>
      <c r="C23" s="251" t="s">
        <v>6338</v>
      </c>
      <c r="D23" s="251" t="s">
        <v>6341</v>
      </c>
      <c r="E23" s="251" t="s">
        <v>383</v>
      </c>
      <c r="F23" s="252">
        <v>1.0</v>
      </c>
    </row>
    <row r="24">
      <c r="A24" s="251" t="s">
        <v>470</v>
      </c>
      <c r="B24" s="251" t="s">
        <v>6342</v>
      </c>
      <c r="C24" s="251" t="s">
        <v>6338</v>
      </c>
      <c r="D24" s="251" t="s">
        <v>6343</v>
      </c>
      <c r="E24" s="251" t="s">
        <v>383</v>
      </c>
      <c r="F24" s="252">
        <v>1.0</v>
      </c>
    </row>
    <row r="25">
      <c r="A25" s="251" t="s">
        <v>6344</v>
      </c>
      <c r="B25" s="251" t="s">
        <v>6345</v>
      </c>
      <c r="C25" s="251" t="s">
        <v>6338</v>
      </c>
      <c r="D25" s="251" t="s">
        <v>6346</v>
      </c>
      <c r="E25" s="251" t="s">
        <v>383</v>
      </c>
      <c r="F25" s="252">
        <v>1.0</v>
      </c>
    </row>
    <row r="26">
      <c r="A26" s="251" t="s">
        <v>647</v>
      </c>
      <c r="B26" s="251" t="s">
        <v>6347</v>
      </c>
      <c r="C26" s="251" t="s">
        <v>6338</v>
      </c>
      <c r="D26" s="251" t="s">
        <v>6348</v>
      </c>
      <c r="E26" s="251" t="s">
        <v>383</v>
      </c>
      <c r="F26" s="252">
        <v>1.0</v>
      </c>
    </row>
    <row r="27">
      <c r="A27" s="251" t="s">
        <v>6349</v>
      </c>
      <c r="B27" s="251" t="s">
        <v>6350</v>
      </c>
      <c r="C27" s="251" t="s">
        <v>6338</v>
      </c>
      <c r="D27" s="251" t="s">
        <v>6351</v>
      </c>
      <c r="E27" s="251" t="s">
        <v>383</v>
      </c>
      <c r="F27" s="252">
        <v>1.0</v>
      </c>
    </row>
    <row r="28">
      <c r="A28" s="251" t="s">
        <v>6352</v>
      </c>
      <c r="B28" s="251" t="s">
        <v>6353</v>
      </c>
      <c r="C28" s="251" t="s">
        <v>6338</v>
      </c>
      <c r="D28" s="251" t="s">
        <v>6354</v>
      </c>
      <c r="E28" s="251" t="s">
        <v>383</v>
      </c>
      <c r="F28" s="252">
        <v>1.0</v>
      </c>
    </row>
    <row r="29">
      <c r="A29" s="251" t="s">
        <v>6355</v>
      </c>
      <c r="B29" s="251" t="s">
        <v>6356</v>
      </c>
      <c r="C29" s="251" t="s">
        <v>6338</v>
      </c>
      <c r="D29" s="251" t="s">
        <v>6357</v>
      </c>
      <c r="E29" s="251" t="s">
        <v>383</v>
      </c>
      <c r="F29" s="252">
        <v>1.0</v>
      </c>
    </row>
    <row r="30">
      <c r="A30" s="251" t="s">
        <v>6358</v>
      </c>
      <c r="B30" s="251" t="s">
        <v>6359</v>
      </c>
      <c r="C30" s="251" t="s">
        <v>6360</v>
      </c>
      <c r="D30" s="251" t="s">
        <v>6361</v>
      </c>
      <c r="E30" s="251" t="s">
        <v>287</v>
      </c>
      <c r="F30" s="252">
        <v>1.0</v>
      </c>
    </row>
    <row r="31">
      <c r="A31" s="251" t="s">
        <v>6362</v>
      </c>
      <c r="B31" s="251" t="s">
        <v>6363</v>
      </c>
      <c r="C31" s="251" t="s">
        <v>6364</v>
      </c>
      <c r="D31" s="251" t="s">
        <v>6365</v>
      </c>
      <c r="E31" s="251" t="s">
        <v>6246</v>
      </c>
      <c r="F31" s="252">
        <v>1.0</v>
      </c>
    </row>
    <row r="32">
      <c r="A32" s="251" t="s">
        <v>6366</v>
      </c>
      <c r="B32" s="251" t="s">
        <v>6367</v>
      </c>
      <c r="C32" s="251" t="s">
        <v>6364</v>
      </c>
      <c r="D32" s="251" t="s">
        <v>6368</v>
      </c>
      <c r="E32" s="251" t="s">
        <v>6246</v>
      </c>
      <c r="F32" s="252">
        <v>1.0</v>
      </c>
    </row>
    <row r="33">
      <c r="A33" s="251" t="s">
        <v>6369</v>
      </c>
      <c r="B33" s="251" t="s">
        <v>6370</v>
      </c>
      <c r="C33" s="251" t="s">
        <v>6364</v>
      </c>
      <c r="D33" s="251" t="s">
        <v>6371</v>
      </c>
      <c r="E33" s="251" t="s">
        <v>6246</v>
      </c>
      <c r="F33" s="252">
        <v>1.0</v>
      </c>
    </row>
    <row r="34">
      <c r="A34" s="251" t="s">
        <v>6372</v>
      </c>
      <c r="B34" s="251" t="s">
        <v>6373</v>
      </c>
      <c r="C34" s="251" t="s">
        <v>6364</v>
      </c>
      <c r="D34" s="251" t="s">
        <v>6374</v>
      </c>
      <c r="E34" s="251" t="s">
        <v>6246</v>
      </c>
      <c r="F34" s="252">
        <v>1.0</v>
      </c>
    </row>
    <row r="35">
      <c r="A35" s="251" t="s">
        <v>6375</v>
      </c>
      <c r="B35" s="251" t="s">
        <v>6376</v>
      </c>
      <c r="C35" s="251" t="s">
        <v>6377</v>
      </c>
      <c r="D35" s="251" t="s">
        <v>6378</v>
      </c>
      <c r="E35" s="251" t="s">
        <v>362</v>
      </c>
      <c r="F35" s="252">
        <v>1.0</v>
      </c>
    </row>
    <row r="36">
      <c r="A36" s="251" t="s">
        <v>66</v>
      </c>
      <c r="B36" s="251" t="s">
        <v>6379</v>
      </c>
      <c r="C36" s="251" t="s">
        <v>6292</v>
      </c>
      <c r="D36" s="251" t="s">
        <v>6380</v>
      </c>
      <c r="E36" s="251" t="s">
        <v>65</v>
      </c>
      <c r="F36" s="252">
        <v>1.0</v>
      </c>
    </row>
    <row r="37">
      <c r="A37" s="251" t="s">
        <v>6381</v>
      </c>
      <c r="B37" s="251" t="s">
        <v>6382</v>
      </c>
      <c r="C37" s="251" t="s">
        <v>6292</v>
      </c>
      <c r="D37" s="251" t="s">
        <v>6383</v>
      </c>
      <c r="E37" s="251" t="s">
        <v>65</v>
      </c>
      <c r="F37" s="252">
        <v>1.0</v>
      </c>
    </row>
    <row r="38">
      <c r="A38" s="251" t="s">
        <v>6384</v>
      </c>
      <c r="B38" s="251" t="s">
        <v>6385</v>
      </c>
      <c r="C38" s="251" t="s">
        <v>6338</v>
      </c>
      <c r="D38" s="251" t="s">
        <v>6386</v>
      </c>
      <c r="E38" s="251" t="s">
        <v>383</v>
      </c>
      <c r="F38" s="252">
        <v>1.0</v>
      </c>
    </row>
    <row r="39">
      <c r="A39" s="251" t="s">
        <v>6387</v>
      </c>
      <c r="B39" s="251" t="s">
        <v>6388</v>
      </c>
      <c r="C39" s="251" t="s">
        <v>6389</v>
      </c>
      <c r="D39" s="251" t="s">
        <v>6390</v>
      </c>
      <c r="E39" s="251" t="s">
        <v>280</v>
      </c>
      <c r="F39" s="252">
        <v>1.0</v>
      </c>
    </row>
    <row r="40">
      <c r="A40" s="251" t="s">
        <v>6391</v>
      </c>
      <c r="B40" s="251" t="s">
        <v>6392</v>
      </c>
      <c r="C40" s="251" t="s">
        <v>6338</v>
      </c>
      <c r="D40" s="251" t="s">
        <v>6386</v>
      </c>
      <c r="E40" s="251" t="s">
        <v>6231</v>
      </c>
      <c r="F40" s="252">
        <v>1.0</v>
      </c>
    </row>
    <row r="41">
      <c r="A41" s="251" t="s">
        <v>6393</v>
      </c>
      <c r="B41" s="251" t="s">
        <v>6394</v>
      </c>
      <c r="C41" s="251" t="s">
        <v>6377</v>
      </c>
      <c r="D41" s="251" t="s">
        <v>6395</v>
      </c>
      <c r="E41" s="251" t="s">
        <v>362</v>
      </c>
      <c r="F41" s="252">
        <v>1.0</v>
      </c>
    </row>
    <row r="42">
      <c r="A42" s="251" t="s">
        <v>6396</v>
      </c>
      <c r="B42" s="251" t="s">
        <v>6397</v>
      </c>
      <c r="C42" s="251" t="s">
        <v>6377</v>
      </c>
      <c r="D42" s="251" t="s">
        <v>6398</v>
      </c>
      <c r="E42" s="251" t="s">
        <v>362</v>
      </c>
      <c r="F42" s="252">
        <v>1.0</v>
      </c>
    </row>
    <row r="43">
      <c r="A43" s="251" t="s">
        <v>6399</v>
      </c>
      <c r="B43" s="251" t="s">
        <v>6400</v>
      </c>
      <c r="C43" s="251" t="s">
        <v>6377</v>
      </c>
      <c r="D43" s="251" t="s">
        <v>6401</v>
      </c>
      <c r="E43" s="251" t="s">
        <v>362</v>
      </c>
      <c r="F43" s="252">
        <v>1.0</v>
      </c>
    </row>
    <row r="44">
      <c r="A44" s="251" t="s">
        <v>6402</v>
      </c>
      <c r="B44" s="251" t="s">
        <v>6403</v>
      </c>
      <c r="C44" s="251" t="s">
        <v>6377</v>
      </c>
      <c r="D44" s="251" t="s">
        <v>6404</v>
      </c>
      <c r="E44" s="251" t="s">
        <v>362</v>
      </c>
      <c r="F44" s="252">
        <v>1.0</v>
      </c>
    </row>
    <row r="45">
      <c r="A45" s="251" t="s">
        <v>6405</v>
      </c>
      <c r="B45" s="251" t="s">
        <v>6406</v>
      </c>
      <c r="C45" s="251" t="s">
        <v>6377</v>
      </c>
      <c r="D45" s="251" t="s">
        <v>6407</v>
      </c>
      <c r="E45" s="251" t="s">
        <v>362</v>
      </c>
      <c r="F45" s="252">
        <v>1.0</v>
      </c>
    </row>
    <row r="46">
      <c r="A46" s="251" t="s">
        <v>6408</v>
      </c>
      <c r="B46" s="251" t="s">
        <v>6409</v>
      </c>
      <c r="C46" s="251" t="s">
        <v>6410</v>
      </c>
      <c r="D46" s="251" t="s">
        <v>6411</v>
      </c>
      <c r="E46" s="251" t="s">
        <v>131</v>
      </c>
      <c r="F46" s="252">
        <v>1.0</v>
      </c>
    </row>
    <row r="47">
      <c r="A47" s="251" t="s">
        <v>6412</v>
      </c>
      <c r="B47" s="251" t="s">
        <v>6413</v>
      </c>
      <c r="C47" s="251" t="s">
        <v>6410</v>
      </c>
      <c r="D47" s="251" t="s">
        <v>6411</v>
      </c>
      <c r="E47" s="251" t="s">
        <v>131</v>
      </c>
      <c r="F47" s="252">
        <v>1.0</v>
      </c>
    </row>
    <row r="48">
      <c r="A48" s="251" t="s">
        <v>6414</v>
      </c>
      <c r="B48" s="251" t="s">
        <v>6415</v>
      </c>
      <c r="C48" s="251" t="s">
        <v>6410</v>
      </c>
      <c r="D48" s="251" t="s">
        <v>6416</v>
      </c>
      <c r="E48" s="251" t="s">
        <v>131</v>
      </c>
      <c r="F48" s="252">
        <v>1.0</v>
      </c>
    </row>
    <row r="49">
      <c r="A49" s="251" t="s">
        <v>247</v>
      </c>
      <c r="B49" s="251" t="s">
        <v>6417</v>
      </c>
      <c r="C49" s="251" t="s">
        <v>6292</v>
      </c>
      <c r="D49" s="251" t="s">
        <v>6418</v>
      </c>
      <c r="E49" s="251" t="s">
        <v>65</v>
      </c>
      <c r="F49" s="252">
        <v>1.0</v>
      </c>
    </row>
    <row r="50">
      <c r="A50" s="251" t="s">
        <v>281</v>
      </c>
      <c r="B50" s="251" t="s">
        <v>6419</v>
      </c>
      <c r="C50" s="251" t="s">
        <v>6389</v>
      </c>
      <c r="D50" s="251" t="s">
        <v>6390</v>
      </c>
      <c r="E50" s="251" t="s">
        <v>280</v>
      </c>
      <c r="F50" s="252">
        <v>1.0</v>
      </c>
    </row>
    <row r="51">
      <c r="A51" s="251" t="s">
        <v>6420</v>
      </c>
      <c r="B51" s="251" t="s">
        <v>6421</v>
      </c>
      <c r="C51" s="251" t="s">
        <v>6389</v>
      </c>
      <c r="D51" s="251" t="s">
        <v>6422</v>
      </c>
      <c r="E51" s="251" t="s">
        <v>280</v>
      </c>
      <c r="F51" s="252">
        <v>1.0</v>
      </c>
    </row>
    <row r="52">
      <c r="A52" s="251" t="s">
        <v>6423</v>
      </c>
      <c r="B52" s="251" t="s">
        <v>6424</v>
      </c>
      <c r="C52" s="251" t="s">
        <v>6333</v>
      </c>
      <c r="D52" s="251" t="s">
        <v>6425</v>
      </c>
      <c r="E52" s="251" t="s">
        <v>98</v>
      </c>
      <c r="F52" s="252">
        <v>1.0</v>
      </c>
    </row>
    <row r="53">
      <c r="A53" s="251" t="s">
        <v>331</v>
      </c>
      <c r="B53" s="252">
        <v>6.0</v>
      </c>
      <c r="C53" s="251" t="s">
        <v>6333</v>
      </c>
      <c r="D53" s="251" t="s">
        <v>6426</v>
      </c>
      <c r="E53" s="251" t="s">
        <v>98</v>
      </c>
      <c r="F53" s="252">
        <v>1.0</v>
      </c>
    </row>
    <row r="54">
      <c r="A54" s="251" t="s">
        <v>6427</v>
      </c>
      <c r="B54" s="251" t="s">
        <v>6428</v>
      </c>
      <c r="C54" s="251" t="s">
        <v>6338</v>
      </c>
      <c r="D54" s="251" t="s">
        <v>6429</v>
      </c>
      <c r="E54" s="251" t="s">
        <v>383</v>
      </c>
      <c r="F54" s="252">
        <v>1.0</v>
      </c>
    </row>
    <row r="55">
      <c r="A55" s="251" t="s">
        <v>6430</v>
      </c>
      <c r="B55" s="251" t="s">
        <v>6431</v>
      </c>
      <c r="C55" s="251" t="s">
        <v>6311</v>
      </c>
      <c r="D55" s="251" t="s">
        <v>6432</v>
      </c>
      <c r="E55" s="251" t="s">
        <v>295</v>
      </c>
      <c r="F55" s="252">
        <v>1.0</v>
      </c>
    </row>
    <row r="56">
      <c r="A56" s="251" t="s">
        <v>6433</v>
      </c>
      <c r="B56" s="251" t="s">
        <v>6434</v>
      </c>
      <c r="C56" s="251" t="s">
        <v>6311</v>
      </c>
      <c r="D56" s="251" t="s">
        <v>6435</v>
      </c>
      <c r="E56" s="251" t="s">
        <v>295</v>
      </c>
      <c r="F56" s="252">
        <v>1.0</v>
      </c>
    </row>
    <row r="57">
      <c r="A57" s="251" t="s">
        <v>6436</v>
      </c>
      <c r="B57" s="251" t="s">
        <v>6437</v>
      </c>
      <c r="C57" s="251" t="s">
        <v>6438</v>
      </c>
      <c r="D57" s="251" t="s">
        <v>6439</v>
      </c>
      <c r="E57" s="251" t="s">
        <v>6227</v>
      </c>
      <c r="F57" s="252">
        <v>1.0</v>
      </c>
    </row>
    <row r="58">
      <c r="A58" s="251" t="s">
        <v>6440</v>
      </c>
      <c r="B58" s="251" t="s">
        <v>6441</v>
      </c>
      <c r="C58" s="251" t="s">
        <v>6438</v>
      </c>
      <c r="D58" s="251" t="s">
        <v>6442</v>
      </c>
      <c r="E58" s="251" t="s">
        <v>6227</v>
      </c>
      <c r="F58" s="252">
        <v>1.0</v>
      </c>
    </row>
    <row r="59">
      <c r="A59" s="251" t="s">
        <v>6443</v>
      </c>
      <c r="B59" s="251" t="s">
        <v>6444</v>
      </c>
      <c r="C59" s="251" t="s">
        <v>6438</v>
      </c>
      <c r="D59" s="251" t="s">
        <v>6445</v>
      </c>
      <c r="E59" s="251" t="s">
        <v>6227</v>
      </c>
      <c r="F59" s="252">
        <v>1.0</v>
      </c>
    </row>
    <row r="60">
      <c r="A60" s="251" t="s">
        <v>444</v>
      </c>
      <c r="B60" s="251" t="s">
        <v>6446</v>
      </c>
      <c r="C60" s="251" t="s">
        <v>6410</v>
      </c>
      <c r="D60" s="251" t="s">
        <v>6447</v>
      </c>
      <c r="E60" s="251" t="s">
        <v>131</v>
      </c>
      <c r="F60" s="252">
        <v>1.0</v>
      </c>
    </row>
    <row r="61">
      <c r="A61" s="251" t="s">
        <v>6448</v>
      </c>
      <c r="B61" s="251" t="s">
        <v>6449</v>
      </c>
      <c r="C61" s="251" t="s">
        <v>6410</v>
      </c>
      <c r="D61" s="251" t="s">
        <v>6450</v>
      </c>
      <c r="E61" s="251" t="s">
        <v>131</v>
      </c>
      <c r="F61" s="252">
        <v>1.0</v>
      </c>
    </row>
    <row r="62">
      <c r="A62" s="251" t="s">
        <v>6451</v>
      </c>
      <c r="B62" s="251" t="s">
        <v>6452</v>
      </c>
      <c r="C62" s="251" t="s">
        <v>6410</v>
      </c>
      <c r="D62" s="251" t="s">
        <v>6450</v>
      </c>
      <c r="E62" s="251" t="s">
        <v>131</v>
      </c>
      <c r="F62" s="252">
        <v>1.0</v>
      </c>
    </row>
    <row r="63">
      <c r="A63" s="251" t="s">
        <v>6453</v>
      </c>
      <c r="B63" s="251" t="s">
        <v>6454</v>
      </c>
      <c r="C63" s="251" t="s">
        <v>6410</v>
      </c>
      <c r="D63" s="251" t="s">
        <v>6455</v>
      </c>
      <c r="E63" s="251" t="s">
        <v>131</v>
      </c>
      <c r="F63" s="252">
        <v>1.0</v>
      </c>
    </row>
    <row r="64">
      <c r="A64" s="251" t="s">
        <v>6456</v>
      </c>
      <c r="B64" s="251" t="s">
        <v>6457</v>
      </c>
      <c r="C64" s="251" t="s">
        <v>6410</v>
      </c>
      <c r="D64" s="251" t="s">
        <v>6458</v>
      </c>
      <c r="E64" s="251" t="s">
        <v>131</v>
      </c>
      <c r="F64" s="252">
        <v>1.0</v>
      </c>
    </row>
    <row r="65">
      <c r="A65" s="251" t="s">
        <v>6459</v>
      </c>
      <c r="B65" s="251" t="s">
        <v>6460</v>
      </c>
      <c r="C65" s="251" t="s">
        <v>6377</v>
      </c>
      <c r="D65" s="251" t="s">
        <v>6461</v>
      </c>
      <c r="E65" s="251" t="s">
        <v>362</v>
      </c>
      <c r="F65" s="252">
        <v>1.0</v>
      </c>
    </row>
    <row r="66">
      <c r="A66" s="251" t="s">
        <v>6462</v>
      </c>
      <c r="B66" s="251" t="s">
        <v>6463</v>
      </c>
      <c r="C66" s="251" t="s">
        <v>6364</v>
      </c>
      <c r="D66" s="251" t="s">
        <v>6464</v>
      </c>
      <c r="E66" s="251" t="s">
        <v>6246</v>
      </c>
      <c r="F66" s="252">
        <v>1.0</v>
      </c>
    </row>
    <row r="67">
      <c r="A67" s="251" t="s">
        <v>633</v>
      </c>
      <c r="B67" s="251" t="s">
        <v>6465</v>
      </c>
      <c r="C67" s="251" t="s">
        <v>6466</v>
      </c>
      <c r="D67" s="251" t="s">
        <v>6467</v>
      </c>
      <c r="E67" s="251" t="s">
        <v>287</v>
      </c>
      <c r="F67" s="252">
        <v>1.0</v>
      </c>
    </row>
    <row r="68">
      <c r="A68" s="251" t="s">
        <v>6468</v>
      </c>
      <c r="B68" s="251" t="s">
        <v>6469</v>
      </c>
      <c r="C68" s="251" t="s">
        <v>6377</v>
      </c>
      <c r="D68" s="251" t="s">
        <v>6470</v>
      </c>
      <c r="E68" s="251" t="s">
        <v>362</v>
      </c>
      <c r="F68" s="252">
        <v>1.0</v>
      </c>
    </row>
    <row r="69">
      <c r="A69" s="251" t="s">
        <v>6471</v>
      </c>
      <c r="B69" s="251" t="s">
        <v>6472</v>
      </c>
      <c r="C69" s="251" t="s">
        <v>6377</v>
      </c>
      <c r="D69" s="251" t="s">
        <v>6473</v>
      </c>
      <c r="E69" s="251" t="s">
        <v>362</v>
      </c>
      <c r="F69" s="252">
        <v>1.0</v>
      </c>
    </row>
    <row r="70">
      <c r="A70" s="251" t="s">
        <v>6474</v>
      </c>
      <c r="B70" s="251" t="s">
        <v>6475</v>
      </c>
      <c r="C70" s="251" t="s">
        <v>6377</v>
      </c>
      <c r="D70" s="251" t="s">
        <v>6476</v>
      </c>
      <c r="E70" s="251" t="s">
        <v>362</v>
      </c>
      <c r="F70" s="252">
        <v>1.0</v>
      </c>
    </row>
    <row r="71">
      <c r="A71" s="251" t="s">
        <v>6477</v>
      </c>
      <c r="B71" s="251" t="s">
        <v>6478</v>
      </c>
      <c r="C71" s="251" t="s">
        <v>6377</v>
      </c>
      <c r="D71" s="251" t="s">
        <v>6479</v>
      </c>
      <c r="E71" s="251" t="s">
        <v>362</v>
      </c>
      <c r="F71" s="252">
        <v>1.0</v>
      </c>
    </row>
    <row r="72">
      <c r="A72" s="251" t="s">
        <v>6480</v>
      </c>
      <c r="B72" s="251" t="s">
        <v>6481</v>
      </c>
      <c r="C72" s="251" t="s">
        <v>6377</v>
      </c>
      <c r="D72" s="251" t="s">
        <v>6482</v>
      </c>
      <c r="E72" s="251" t="s">
        <v>362</v>
      </c>
      <c r="F72" s="252">
        <v>1.0</v>
      </c>
    </row>
    <row r="73">
      <c r="A73" s="251" t="s">
        <v>6483</v>
      </c>
      <c r="B73" s="251" t="s">
        <v>6484</v>
      </c>
      <c r="C73" s="251" t="s">
        <v>6377</v>
      </c>
      <c r="D73" s="251" t="s">
        <v>6485</v>
      </c>
      <c r="E73" s="251" t="s">
        <v>362</v>
      </c>
      <c r="F73" s="252">
        <v>1.0</v>
      </c>
    </row>
    <row r="74">
      <c r="A74" s="251" t="s">
        <v>6486</v>
      </c>
      <c r="B74" s="251" t="s">
        <v>6487</v>
      </c>
      <c r="C74" s="251" t="s">
        <v>6377</v>
      </c>
      <c r="D74" s="251" t="s">
        <v>6488</v>
      </c>
      <c r="E74" s="251" t="s">
        <v>362</v>
      </c>
      <c r="F74" s="252">
        <v>1.0</v>
      </c>
    </row>
    <row r="75">
      <c r="A75" s="251" t="s">
        <v>6489</v>
      </c>
      <c r="B75" s="251" t="s">
        <v>6490</v>
      </c>
      <c r="C75" s="251" t="s">
        <v>6377</v>
      </c>
      <c r="D75" s="251" t="s">
        <v>6491</v>
      </c>
      <c r="E75" s="251" t="s">
        <v>362</v>
      </c>
      <c r="F75" s="252">
        <v>1.0</v>
      </c>
    </row>
    <row r="76">
      <c r="A76" s="251" t="s">
        <v>6492</v>
      </c>
      <c r="B76" s="251" t="s">
        <v>6493</v>
      </c>
      <c r="C76" s="251" t="s">
        <v>6377</v>
      </c>
      <c r="D76" s="251" t="s">
        <v>6494</v>
      </c>
      <c r="E76" s="251" t="s">
        <v>362</v>
      </c>
      <c r="F76" s="252">
        <v>1.0</v>
      </c>
    </row>
    <row r="77">
      <c r="A77" s="251" t="s">
        <v>6495</v>
      </c>
      <c r="B77" s="251" t="s">
        <v>6496</v>
      </c>
      <c r="C77" s="251" t="s">
        <v>6338</v>
      </c>
      <c r="D77" s="251" t="s">
        <v>6497</v>
      </c>
      <c r="E77" s="251" t="s">
        <v>383</v>
      </c>
      <c r="F77" s="252">
        <v>1.0</v>
      </c>
    </row>
    <row r="78">
      <c r="A78" s="251" t="s">
        <v>6498</v>
      </c>
      <c r="B78" s="251" t="s">
        <v>6499</v>
      </c>
      <c r="C78" s="251" t="s">
        <v>6311</v>
      </c>
      <c r="D78" s="251" t="s">
        <v>6500</v>
      </c>
      <c r="E78" s="251" t="s">
        <v>295</v>
      </c>
      <c r="F78" s="252">
        <v>1.0</v>
      </c>
    </row>
    <row r="79">
      <c r="A79" s="251" t="s">
        <v>6501</v>
      </c>
      <c r="B79" s="251" t="s">
        <v>6502</v>
      </c>
      <c r="C79" s="251" t="s">
        <v>6503</v>
      </c>
      <c r="D79" s="251" t="s">
        <v>6504</v>
      </c>
      <c r="E79" s="251" t="s">
        <v>6220</v>
      </c>
      <c r="F79" s="252">
        <v>1.0</v>
      </c>
    </row>
    <row r="80">
      <c r="A80" s="251" t="s">
        <v>6505</v>
      </c>
      <c r="B80" s="251" t="s">
        <v>6506</v>
      </c>
      <c r="C80" s="251" t="s">
        <v>6503</v>
      </c>
      <c r="D80" s="251" t="s">
        <v>6507</v>
      </c>
      <c r="E80" s="251" t="s">
        <v>6220</v>
      </c>
      <c r="F80" s="252">
        <v>1.0</v>
      </c>
    </row>
    <row r="81">
      <c r="A81" s="251" t="s">
        <v>6508</v>
      </c>
      <c r="B81" s="251" t="s">
        <v>6509</v>
      </c>
      <c r="C81" s="251" t="s">
        <v>6503</v>
      </c>
      <c r="D81" s="251" t="s">
        <v>6510</v>
      </c>
      <c r="E81" s="251" t="s">
        <v>6220</v>
      </c>
      <c r="F81" s="252">
        <v>1.0</v>
      </c>
    </row>
    <row r="82">
      <c r="A82" s="251" t="s">
        <v>6511</v>
      </c>
      <c r="B82" s="251" t="s">
        <v>6512</v>
      </c>
      <c r="C82" s="251" t="s">
        <v>6503</v>
      </c>
      <c r="D82" s="251" t="s">
        <v>6513</v>
      </c>
      <c r="E82" s="251" t="s">
        <v>6220</v>
      </c>
      <c r="F82" s="252">
        <v>1.0</v>
      </c>
    </row>
    <row r="83">
      <c r="A83" s="251" t="s">
        <v>6514</v>
      </c>
      <c r="B83" s="251" t="s">
        <v>6515</v>
      </c>
      <c r="C83" s="251" t="s">
        <v>6503</v>
      </c>
      <c r="D83" s="251" t="s">
        <v>6516</v>
      </c>
      <c r="E83" s="251" t="s">
        <v>6220</v>
      </c>
      <c r="F83" s="252">
        <v>1.0</v>
      </c>
    </row>
    <row r="84">
      <c r="A84" s="251" t="s">
        <v>6517</v>
      </c>
      <c r="B84" s="251" t="s">
        <v>6518</v>
      </c>
      <c r="C84" s="251" t="s">
        <v>6466</v>
      </c>
      <c r="D84" s="251" t="s">
        <v>6519</v>
      </c>
      <c r="E84" s="251" t="s">
        <v>287</v>
      </c>
      <c r="F84" s="252">
        <v>1.0</v>
      </c>
    </row>
    <row r="85">
      <c r="A85" s="251" t="s">
        <v>6520</v>
      </c>
      <c r="B85" s="251" t="s">
        <v>6521</v>
      </c>
      <c r="C85" s="251" t="s">
        <v>6466</v>
      </c>
      <c r="D85" s="251" t="s">
        <v>6522</v>
      </c>
      <c r="E85" s="251" t="s">
        <v>287</v>
      </c>
      <c r="F85" s="252">
        <v>1.0</v>
      </c>
    </row>
    <row r="86">
      <c r="A86" s="251" t="s">
        <v>6523</v>
      </c>
      <c r="B86" s="251" t="s">
        <v>6524</v>
      </c>
      <c r="C86" s="251" t="s">
        <v>6466</v>
      </c>
      <c r="D86" s="251" t="s">
        <v>6525</v>
      </c>
      <c r="E86" s="251" t="s">
        <v>287</v>
      </c>
      <c r="F86" s="252">
        <v>1.0</v>
      </c>
    </row>
    <row r="87">
      <c r="A87" s="251" t="s">
        <v>6526</v>
      </c>
      <c r="B87" s="251" t="s">
        <v>6527</v>
      </c>
      <c r="C87" s="251" t="s">
        <v>6466</v>
      </c>
      <c r="D87" s="251" t="s">
        <v>6528</v>
      </c>
      <c r="E87" s="251" t="s">
        <v>287</v>
      </c>
      <c r="F87" s="252">
        <v>1.0</v>
      </c>
    </row>
    <row r="88">
      <c r="A88" s="251" t="s">
        <v>6529</v>
      </c>
      <c r="B88" s="251" t="s">
        <v>6530</v>
      </c>
      <c r="C88" s="251" t="s">
        <v>6466</v>
      </c>
      <c r="D88" s="251" t="s">
        <v>6531</v>
      </c>
      <c r="E88" s="251" t="s">
        <v>287</v>
      </c>
      <c r="F88" s="252">
        <v>1.0</v>
      </c>
    </row>
    <row r="89">
      <c r="A89" s="251" t="s">
        <v>6532</v>
      </c>
      <c r="B89" s="251" t="s">
        <v>6533</v>
      </c>
      <c r="C89" s="251" t="s">
        <v>6466</v>
      </c>
      <c r="D89" s="251" t="s">
        <v>6534</v>
      </c>
      <c r="E89" s="251" t="s">
        <v>287</v>
      </c>
      <c r="F89" s="252">
        <v>1.0</v>
      </c>
    </row>
    <row r="90">
      <c r="A90" s="251" t="s">
        <v>626</v>
      </c>
      <c r="B90" s="251" t="s">
        <v>6535</v>
      </c>
      <c r="C90" s="251" t="s">
        <v>6466</v>
      </c>
      <c r="D90" s="251" t="s">
        <v>6536</v>
      </c>
      <c r="E90" s="251" t="s">
        <v>287</v>
      </c>
      <c r="F90" s="252">
        <v>1.0</v>
      </c>
    </row>
    <row r="91">
      <c r="A91" s="251" t="s">
        <v>6537</v>
      </c>
      <c r="B91" s="251" t="s">
        <v>6538</v>
      </c>
      <c r="C91" s="251" t="s">
        <v>6466</v>
      </c>
      <c r="D91" s="251" t="s">
        <v>6539</v>
      </c>
      <c r="E91" s="251" t="s">
        <v>287</v>
      </c>
      <c r="F91" s="252">
        <v>1.0</v>
      </c>
    </row>
    <row r="92">
      <c r="A92" s="251" t="s">
        <v>567</v>
      </c>
      <c r="B92" s="251" t="s">
        <v>6540</v>
      </c>
      <c r="D92" s="251" t="s">
        <v>6541</v>
      </c>
      <c r="E92" s="251" t="s">
        <v>383</v>
      </c>
      <c r="F92" s="252">
        <v>1.0</v>
      </c>
    </row>
    <row r="93">
      <c r="A93" s="251" t="s">
        <v>560</v>
      </c>
      <c r="B93" s="251" t="s">
        <v>6542</v>
      </c>
      <c r="D93" s="251" t="s">
        <v>6543</v>
      </c>
      <c r="E93" s="251" t="s">
        <v>383</v>
      </c>
      <c r="F93" s="252">
        <v>1.0</v>
      </c>
    </row>
    <row r="94">
      <c r="A94" s="251" t="s">
        <v>6544</v>
      </c>
      <c r="B94" s="251" t="s">
        <v>6545</v>
      </c>
      <c r="D94" s="269"/>
      <c r="E94" s="251" t="s">
        <v>272</v>
      </c>
      <c r="F94" s="252">
        <v>0.0</v>
      </c>
    </row>
    <row r="95">
      <c r="A95" s="251" t="s">
        <v>6546</v>
      </c>
      <c r="B95" s="251" t="s">
        <v>6547</v>
      </c>
      <c r="E95" s="251" t="s">
        <v>272</v>
      </c>
      <c r="F95" s="252">
        <v>1.0</v>
      </c>
    </row>
    <row r="96">
      <c r="A96" s="251" t="s">
        <v>6548</v>
      </c>
      <c r="B96" s="251" t="s">
        <v>6549</v>
      </c>
      <c r="C96" s="269"/>
      <c r="D96" s="269"/>
      <c r="E96" s="251" t="s">
        <v>6220</v>
      </c>
      <c r="F96" s="252">
        <v>1.0</v>
      </c>
    </row>
    <row r="97">
      <c r="A97" s="251" t="s">
        <v>6550</v>
      </c>
      <c r="B97" s="251" t="s">
        <v>6551</v>
      </c>
      <c r="D97" s="251" t="s">
        <v>6552</v>
      </c>
      <c r="E97" s="251" t="s">
        <v>6220</v>
      </c>
      <c r="F97" s="252">
        <v>1.0</v>
      </c>
    </row>
    <row r="98">
      <c r="A98" s="251" t="s">
        <v>6553</v>
      </c>
      <c r="B98" s="251" t="s">
        <v>6554</v>
      </c>
      <c r="C98" s="269"/>
      <c r="D98" s="251" t="s">
        <v>6555</v>
      </c>
      <c r="E98" s="251" t="s">
        <v>6220</v>
      </c>
      <c r="F98" s="252">
        <v>1.0</v>
      </c>
    </row>
    <row r="99">
      <c r="A99" s="251" t="s">
        <v>6556</v>
      </c>
      <c r="B99" s="251" t="s">
        <v>6557</v>
      </c>
      <c r="C99" s="269"/>
      <c r="D99" s="251" t="s">
        <v>6558</v>
      </c>
      <c r="E99" s="251" t="s">
        <v>6220</v>
      </c>
      <c r="F99" s="252">
        <v>1.0</v>
      </c>
    </row>
    <row r="100">
      <c r="A100" s="251" t="s">
        <v>6559</v>
      </c>
      <c r="B100" s="251" t="s">
        <v>6560</v>
      </c>
      <c r="D100" s="251" t="s">
        <v>6561</v>
      </c>
      <c r="E100" s="251" t="s">
        <v>6220</v>
      </c>
      <c r="F100" s="252">
        <v>1.0</v>
      </c>
    </row>
    <row r="101">
      <c r="A101" s="251" t="s">
        <v>6562</v>
      </c>
      <c r="B101" s="251" t="s">
        <v>6563</v>
      </c>
      <c r="D101" s="251" t="s">
        <v>6564</v>
      </c>
      <c r="E101" s="251" t="s">
        <v>6220</v>
      </c>
      <c r="F101" s="252">
        <v>1.0</v>
      </c>
    </row>
    <row r="102">
      <c r="A102" s="251" t="s">
        <v>6565</v>
      </c>
      <c r="B102" s="251" t="s">
        <v>6566</v>
      </c>
      <c r="D102" s="251" t="s">
        <v>6567</v>
      </c>
      <c r="E102" s="251" t="s">
        <v>6220</v>
      </c>
      <c r="F102" s="252">
        <v>1.0</v>
      </c>
    </row>
    <row r="103">
      <c r="A103" s="251" t="s">
        <v>6568</v>
      </c>
      <c r="B103" s="251" t="s">
        <v>6569</v>
      </c>
      <c r="D103" s="251" t="s">
        <v>6570</v>
      </c>
      <c r="E103" s="251" t="s">
        <v>6220</v>
      </c>
      <c r="F103" s="252">
        <v>1.0</v>
      </c>
    </row>
    <row r="104">
      <c r="A104" s="251" t="s">
        <v>6571</v>
      </c>
      <c r="B104" s="251" t="s">
        <v>6572</v>
      </c>
      <c r="D104" s="251" t="s">
        <v>6573</v>
      </c>
      <c r="E104" s="251" t="s">
        <v>6220</v>
      </c>
      <c r="F104" s="252">
        <v>1.0</v>
      </c>
    </row>
    <row r="105">
      <c r="A105" s="251" t="s">
        <v>6574</v>
      </c>
      <c r="B105" s="251" t="s">
        <v>6575</v>
      </c>
      <c r="C105" s="269"/>
      <c r="D105" s="251" t="s">
        <v>6576</v>
      </c>
      <c r="E105" s="251" t="s">
        <v>6220</v>
      </c>
      <c r="F105" s="252">
        <v>1.0</v>
      </c>
    </row>
    <row r="106">
      <c r="A106" s="251" t="s">
        <v>6577</v>
      </c>
      <c r="B106" s="251" t="s">
        <v>6578</v>
      </c>
      <c r="C106" s="269"/>
      <c r="D106" s="251" t="s">
        <v>6579</v>
      </c>
      <c r="E106" s="251" t="s">
        <v>383</v>
      </c>
      <c r="F106" s="252">
        <v>1.0</v>
      </c>
    </row>
    <row r="107">
      <c r="A107" s="251" t="s">
        <v>6580</v>
      </c>
      <c r="B107" s="251" t="s">
        <v>6581</v>
      </c>
      <c r="D107" s="251" t="s">
        <v>6582</v>
      </c>
      <c r="E107" s="251" t="s">
        <v>383</v>
      </c>
      <c r="F107" s="252">
        <v>1.0</v>
      </c>
    </row>
    <row r="108">
      <c r="A108" s="251" t="s">
        <v>6583</v>
      </c>
      <c r="B108" s="251" t="s">
        <v>6584</v>
      </c>
      <c r="C108" s="269"/>
      <c r="D108" s="251" t="s">
        <v>6585</v>
      </c>
      <c r="E108" s="251" t="s">
        <v>383</v>
      </c>
      <c r="F108" s="252">
        <v>1.0</v>
      </c>
    </row>
    <row r="109">
      <c r="A109" s="251" t="s">
        <v>6586</v>
      </c>
      <c r="B109" s="251" t="s">
        <v>6587</v>
      </c>
      <c r="C109" s="269"/>
      <c r="D109" s="251" t="s">
        <v>6588</v>
      </c>
      <c r="E109" s="251" t="s">
        <v>383</v>
      </c>
      <c r="F109" s="252">
        <v>1.0</v>
      </c>
    </row>
    <row r="110">
      <c r="A110" s="251" t="s">
        <v>676</v>
      </c>
      <c r="B110" s="251" t="s">
        <v>6589</v>
      </c>
      <c r="C110" s="269"/>
      <c r="D110" s="251" t="s">
        <v>6590</v>
      </c>
      <c r="E110" s="251" t="s">
        <v>383</v>
      </c>
      <c r="F110" s="252">
        <v>1.0</v>
      </c>
    </row>
    <row r="111">
      <c r="A111" s="251" t="s">
        <v>6591</v>
      </c>
      <c r="B111" s="251" t="s">
        <v>6592</v>
      </c>
      <c r="D111" s="251" t="s">
        <v>6593</v>
      </c>
      <c r="E111" s="251" t="s">
        <v>383</v>
      </c>
      <c r="F111" s="252">
        <v>1.0</v>
      </c>
    </row>
    <row r="112">
      <c r="A112" s="251" t="s">
        <v>6594</v>
      </c>
      <c r="B112" s="251" t="s">
        <v>6595</v>
      </c>
      <c r="D112" s="251" t="s">
        <v>6596</v>
      </c>
      <c r="E112" s="251" t="s">
        <v>98</v>
      </c>
      <c r="F112" s="252">
        <v>1.0</v>
      </c>
    </row>
    <row r="113">
      <c r="A113" s="251" t="s">
        <v>6597</v>
      </c>
      <c r="B113" s="251" t="s">
        <v>6598</v>
      </c>
      <c r="D113" s="251" t="s">
        <v>6599</v>
      </c>
      <c r="E113" s="251" t="s">
        <v>98</v>
      </c>
      <c r="F113" s="252">
        <v>1.0</v>
      </c>
    </row>
    <row r="114">
      <c r="A114" s="251" t="s">
        <v>6600</v>
      </c>
      <c r="B114" s="251" t="s">
        <v>6601</v>
      </c>
      <c r="D114" s="251" t="s">
        <v>6602</v>
      </c>
      <c r="E114" s="251" t="s">
        <v>98</v>
      </c>
      <c r="F114" s="252">
        <v>1.0</v>
      </c>
    </row>
    <row r="115">
      <c r="A115" s="251" t="s">
        <v>6603</v>
      </c>
      <c r="B115" s="251" t="s">
        <v>6604</v>
      </c>
      <c r="C115" s="269"/>
      <c r="D115" s="251" t="s">
        <v>6605</v>
      </c>
      <c r="E115" s="251" t="s">
        <v>295</v>
      </c>
      <c r="F115" s="252">
        <v>1.0</v>
      </c>
    </row>
    <row r="116">
      <c r="A116" s="251" t="s">
        <v>6606</v>
      </c>
      <c r="B116" s="251" t="s">
        <v>6607</v>
      </c>
      <c r="C116" s="269"/>
      <c r="D116" s="251" t="s">
        <v>6608</v>
      </c>
      <c r="E116" s="251" t="s">
        <v>295</v>
      </c>
      <c r="F116" s="252">
        <v>1.0</v>
      </c>
    </row>
    <row r="117">
      <c r="A117" s="251" t="s">
        <v>6609</v>
      </c>
      <c r="B117" s="251" t="s">
        <v>6610</v>
      </c>
      <c r="C117" s="269"/>
      <c r="D117" s="251" t="s">
        <v>6611</v>
      </c>
      <c r="E117" s="251" t="s">
        <v>295</v>
      </c>
      <c r="F117" s="252">
        <v>1.0</v>
      </c>
    </row>
    <row r="118">
      <c r="A118" s="251" t="s">
        <v>6612</v>
      </c>
      <c r="B118" s="251" t="s">
        <v>6613</v>
      </c>
      <c r="C118" s="269"/>
      <c r="D118" s="251" t="s">
        <v>6614</v>
      </c>
      <c r="E118" s="251" t="s">
        <v>295</v>
      </c>
      <c r="F118" s="252">
        <v>1.0</v>
      </c>
    </row>
    <row r="119">
      <c r="A119" s="251" t="s">
        <v>6615</v>
      </c>
      <c r="B119" s="251" t="s">
        <v>6616</v>
      </c>
      <c r="C119" s="269"/>
      <c r="D119" s="251" t="s">
        <v>6617</v>
      </c>
      <c r="E119" s="251" t="s">
        <v>295</v>
      </c>
      <c r="F119" s="252">
        <v>1.0</v>
      </c>
    </row>
    <row r="120">
      <c r="A120" s="251" t="s">
        <v>6618</v>
      </c>
      <c r="B120" s="251" t="s">
        <v>6619</v>
      </c>
      <c r="C120" s="269"/>
      <c r="D120" s="251" t="s">
        <v>6620</v>
      </c>
      <c r="E120" s="251" t="s">
        <v>295</v>
      </c>
      <c r="F120" s="252">
        <v>1.0</v>
      </c>
    </row>
    <row r="121">
      <c r="A121" s="251" t="s">
        <v>6621</v>
      </c>
      <c r="B121" s="251" t="s">
        <v>6622</v>
      </c>
      <c r="D121" s="251" t="s">
        <v>6623</v>
      </c>
      <c r="E121" s="251" t="s">
        <v>295</v>
      </c>
      <c r="F121" s="252">
        <v>1.0</v>
      </c>
    </row>
    <row r="122">
      <c r="A122" s="251" t="s">
        <v>6624</v>
      </c>
      <c r="B122" s="251" t="s">
        <v>6625</v>
      </c>
      <c r="C122" s="269"/>
      <c r="D122" s="251" t="s">
        <v>6626</v>
      </c>
      <c r="E122" s="251" t="s">
        <v>295</v>
      </c>
      <c r="F122" s="252">
        <v>1.0</v>
      </c>
    </row>
    <row r="123">
      <c r="A123" s="251" t="s">
        <v>6627</v>
      </c>
      <c r="B123" s="251" t="s">
        <v>6628</v>
      </c>
      <c r="C123" s="269"/>
      <c r="D123" s="251" t="s">
        <v>6629</v>
      </c>
      <c r="E123" s="251" t="s">
        <v>295</v>
      </c>
      <c r="F123" s="252">
        <v>1.0</v>
      </c>
    </row>
    <row r="124">
      <c r="A124" s="251" t="s">
        <v>6630</v>
      </c>
      <c r="B124" s="251" t="s">
        <v>6631</v>
      </c>
      <c r="D124" s="251" t="s">
        <v>6632</v>
      </c>
      <c r="E124" s="251" t="s">
        <v>295</v>
      </c>
      <c r="F124" s="252">
        <v>1.0</v>
      </c>
    </row>
    <row r="125">
      <c r="A125" s="251" t="s">
        <v>6633</v>
      </c>
      <c r="B125" s="251" t="s">
        <v>6634</v>
      </c>
      <c r="C125" s="269"/>
      <c r="D125" s="251" t="s">
        <v>6635</v>
      </c>
      <c r="E125" s="251" t="s">
        <v>295</v>
      </c>
      <c r="F125" s="252">
        <v>1.0</v>
      </c>
    </row>
    <row r="126">
      <c r="A126" s="251" t="s">
        <v>6636</v>
      </c>
      <c r="B126" s="251" t="s">
        <v>6637</v>
      </c>
      <c r="D126" s="251" t="s">
        <v>6638</v>
      </c>
      <c r="E126" s="251" t="s">
        <v>295</v>
      </c>
      <c r="F126" s="252">
        <v>1.0</v>
      </c>
    </row>
    <row r="127">
      <c r="A127" s="251" t="s">
        <v>6639</v>
      </c>
      <c r="B127" s="251" t="s">
        <v>6499</v>
      </c>
      <c r="D127" s="251" t="s">
        <v>6640</v>
      </c>
      <c r="E127" s="251" t="s">
        <v>295</v>
      </c>
      <c r="F127" s="252">
        <v>1.0</v>
      </c>
    </row>
    <row r="128">
      <c r="A128" s="251" t="s">
        <v>6641</v>
      </c>
      <c r="B128" s="251" t="s">
        <v>6642</v>
      </c>
      <c r="C128" s="269"/>
      <c r="D128" s="251" t="s">
        <v>6643</v>
      </c>
      <c r="E128" s="251" t="s">
        <v>287</v>
      </c>
      <c r="F128" s="252">
        <v>1.0</v>
      </c>
    </row>
    <row r="129">
      <c r="A129" s="251" t="s">
        <v>6644</v>
      </c>
      <c r="B129" s="251" t="s">
        <v>6645</v>
      </c>
      <c r="C129" s="269"/>
      <c r="D129" s="251" t="s">
        <v>6646</v>
      </c>
      <c r="E129" s="251" t="s">
        <v>287</v>
      </c>
      <c r="F129" s="252">
        <v>1.0</v>
      </c>
    </row>
    <row r="130">
      <c r="A130" s="251" t="s">
        <v>6647</v>
      </c>
      <c r="B130" s="251" t="s">
        <v>6648</v>
      </c>
      <c r="C130" s="269"/>
      <c r="D130" s="251" t="s">
        <v>6649</v>
      </c>
      <c r="E130" s="251" t="s">
        <v>287</v>
      </c>
      <c r="F130" s="252">
        <v>1.0</v>
      </c>
    </row>
    <row r="131">
      <c r="A131" s="251" t="s">
        <v>6650</v>
      </c>
      <c r="B131" s="251" t="s">
        <v>6651</v>
      </c>
      <c r="C131" s="269"/>
      <c r="D131" s="269"/>
      <c r="E131" s="251" t="s">
        <v>287</v>
      </c>
      <c r="F131" s="252">
        <v>0.0</v>
      </c>
    </row>
    <row r="132">
      <c r="A132" s="251" t="s">
        <v>6652</v>
      </c>
      <c r="B132" s="251" t="s">
        <v>6653</v>
      </c>
      <c r="C132" s="269"/>
      <c r="D132" s="251" t="s">
        <v>6654</v>
      </c>
      <c r="E132" s="251" t="s">
        <v>6222</v>
      </c>
      <c r="F132" s="252">
        <v>1.0</v>
      </c>
    </row>
    <row r="133">
      <c r="A133" s="251" t="s">
        <v>6655</v>
      </c>
      <c r="B133" s="251" t="s">
        <v>6656</v>
      </c>
      <c r="C133" s="269"/>
      <c r="D133" s="251" t="s">
        <v>6657</v>
      </c>
      <c r="E133" s="251" t="s">
        <v>6222</v>
      </c>
      <c r="F133" s="252">
        <v>1.0</v>
      </c>
    </row>
    <row r="134">
      <c r="A134" s="251" t="s">
        <v>6658</v>
      </c>
      <c r="B134" s="251" t="s">
        <v>6659</v>
      </c>
      <c r="C134" s="269"/>
      <c r="D134" s="251" t="s">
        <v>6660</v>
      </c>
      <c r="E134" s="251" t="s">
        <v>6231</v>
      </c>
      <c r="F134" s="252">
        <v>1.0</v>
      </c>
    </row>
    <row r="135">
      <c r="A135" s="251" t="s">
        <v>6661</v>
      </c>
      <c r="B135" s="251" t="s">
        <v>6662</v>
      </c>
      <c r="C135" s="269"/>
      <c r="D135" s="251" t="s">
        <v>6663</v>
      </c>
      <c r="E135" s="251" t="s">
        <v>6231</v>
      </c>
      <c r="F135" s="252">
        <v>1.0</v>
      </c>
    </row>
    <row r="136">
      <c r="A136" s="251" t="s">
        <v>6664</v>
      </c>
      <c r="B136" s="251" t="s">
        <v>6665</v>
      </c>
      <c r="C136" s="269"/>
      <c r="D136" s="251" t="s">
        <v>6666</v>
      </c>
      <c r="E136" s="251" t="s">
        <v>6231</v>
      </c>
      <c r="F136" s="252">
        <v>1.0</v>
      </c>
    </row>
    <row r="137">
      <c r="A137" s="251" t="s">
        <v>6667</v>
      </c>
      <c r="B137" s="251" t="s">
        <v>6668</v>
      </c>
      <c r="C137" s="269"/>
      <c r="D137" s="251" t="s">
        <v>6669</v>
      </c>
      <c r="E137" s="251" t="s">
        <v>362</v>
      </c>
      <c r="F137" s="252">
        <v>1.0</v>
      </c>
    </row>
    <row r="138">
      <c r="A138" s="251" t="s">
        <v>463</v>
      </c>
      <c r="B138" s="251" t="s">
        <v>6670</v>
      </c>
      <c r="C138" s="269"/>
      <c r="D138" s="251" t="s">
        <v>6671</v>
      </c>
      <c r="E138" s="251" t="s">
        <v>131</v>
      </c>
      <c r="F138" s="252">
        <v>1.0</v>
      </c>
    </row>
    <row r="139">
      <c r="A139" s="251" t="s">
        <v>6672</v>
      </c>
      <c r="B139" s="251" t="s">
        <v>6673</v>
      </c>
      <c r="C139" s="269"/>
      <c r="D139" s="251" t="s">
        <v>6674</v>
      </c>
      <c r="E139" s="251" t="s">
        <v>131</v>
      </c>
      <c r="F139" s="252">
        <v>1.0</v>
      </c>
    </row>
  </sheetData>
  <mergeCells count="19">
    <mergeCell ref="B92:C92"/>
    <mergeCell ref="B93:C93"/>
    <mergeCell ref="B94:C94"/>
    <mergeCell ref="B95:D95"/>
    <mergeCell ref="B97:C97"/>
    <mergeCell ref="B100:C100"/>
    <mergeCell ref="B101:C101"/>
    <mergeCell ref="B114:C114"/>
    <mergeCell ref="B121:C121"/>
    <mergeCell ref="B124:C124"/>
    <mergeCell ref="B126:C126"/>
    <mergeCell ref="B127:C127"/>
    <mergeCell ref="B102:C102"/>
    <mergeCell ref="B103:C103"/>
    <mergeCell ref="B104:C104"/>
    <mergeCell ref="B107:C107"/>
    <mergeCell ref="B111:C111"/>
    <mergeCell ref="B112:C112"/>
    <mergeCell ref="B113:C1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0</v>
      </c>
      <c r="B1" s="30" t="s">
        <v>1</v>
      </c>
      <c r="C1" s="30" t="s">
        <v>2</v>
      </c>
    </row>
    <row r="2">
      <c r="A2" s="31">
        <v>44426.0</v>
      </c>
      <c r="C2" s="30">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7" max="7" width="22.43"/>
  </cols>
  <sheetData>
    <row r="1">
      <c r="A1" s="1" t="s">
        <v>3</v>
      </c>
      <c r="B1" s="1"/>
      <c r="F1" s="3"/>
    </row>
    <row r="2">
      <c r="A2" s="1" t="s">
        <v>4</v>
      </c>
      <c r="B2" s="1"/>
      <c r="C2" t="s">
        <v>5</v>
      </c>
      <c r="F2" s="3"/>
    </row>
    <row r="3">
      <c r="A3" s="1" t="s">
        <v>6</v>
      </c>
      <c r="B3" s="1" t="s">
        <v>7</v>
      </c>
      <c r="C3" t="s">
        <v>8</v>
      </c>
      <c r="D3" t="s">
        <v>9</v>
      </c>
      <c r="E3" t="s">
        <v>10</v>
      </c>
      <c r="F3" s="3" t="s">
        <v>11</v>
      </c>
    </row>
    <row r="4">
      <c r="A4" s="1" t="s">
        <v>12</v>
      </c>
      <c r="B4" s="1" t="s">
        <v>13</v>
      </c>
      <c r="C4" s="32"/>
      <c r="D4" s="5">
        <v>1.0</v>
      </c>
      <c r="F4" s="33">
        <v>1.0</v>
      </c>
    </row>
    <row r="5">
      <c r="A5" s="1" t="s">
        <v>14</v>
      </c>
      <c r="B5" s="1" t="s">
        <v>15</v>
      </c>
      <c r="C5" s="5">
        <v>1.0</v>
      </c>
      <c r="D5" s="32"/>
      <c r="F5" s="33">
        <v>1.0</v>
      </c>
      <c r="G5" s="30" t="s">
        <v>16</v>
      </c>
    </row>
    <row r="6">
      <c r="A6" s="1" t="s">
        <v>17</v>
      </c>
      <c r="B6" s="1" t="s">
        <v>18</v>
      </c>
      <c r="C6" s="32"/>
      <c r="D6" s="32"/>
      <c r="E6" s="7">
        <v>1.0</v>
      </c>
      <c r="F6" s="33">
        <v>1.0</v>
      </c>
    </row>
    <row r="7">
      <c r="A7" s="1"/>
      <c r="B7" s="1" t="s">
        <v>19</v>
      </c>
      <c r="C7" s="5">
        <v>1.0</v>
      </c>
      <c r="D7" s="32"/>
      <c r="F7" s="33">
        <v>1.0</v>
      </c>
      <c r="G7" s="34"/>
    </row>
    <row r="8">
      <c r="A8" s="1" t="s">
        <v>20</v>
      </c>
      <c r="B8" s="1" t="s">
        <v>21</v>
      </c>
      <c r="D8" s="32"/>
      <c r="E8" s="7">
        <v>1.0</v>
      </c>
      <c r="F8" s="33">
        <v>1.0</v>
      </c>
      <c r="G8" s="16"/>
    </row>
    <row r="9">
      <c r="A9" s="1" t="s">
        <v>22</v>
      </c>
      <c r="B9" s="1" t="s">
        <v>23</v>
      </c>
      <c r="D9" s="32"/>
      <c r="E9" s="7">
        <v>1.0</v>
      </c>
      <c r="F9" s="33">
        <v>1.0</v>
      </c>
      <c r="G9" s="16"/>
    </row>
    <row r="10">
      <c r="A10" s="1" t="s">
        <v>24</v>
      </c>
      <c r="B10" s="1" t="s">
        <v>25</v>
      </c>
      <c r="D10" s="32"/>
      <c r="E10" s="7">
        <v>1.0</v>
      </c>
      <c r="F10" s="33">
        <v>1.0</v>
      </c>
      <c r="G10" s="16"/>
    </row>
    <row r="11">
      <c r="A11" s="1" t="s">
        <v>26</v>
      </c>
      <c r="B11" s="1" t="s">
        <v>25</v>
      </c>
      <c r="C11" s="7">
        <v>1.0</v>
      </c>
      <c r="D11" s="32"/>
      <c r="F11" s="33">
        <v>1.0</v>
      </c>
      <c r="G11" s="35"/>
    </row>
    <row r="12">
      <c r="A12" s="1" t="s">
        <v>27</v>
      </c>
      <c r="B12" s="1" t="s">
        <v>13</v>
      </c>
      <c r="C12" s="7">
        <v>1.0</v>
      </c>
      <c r="D12" s="32"/>
      <c r="F12" s="33">
        <v>1.0</v>
      </c>
      <c r="G12" s="24" t="s">
        <v>16</v>
      </c>
    </row>
    <row r="13">
      <c r="A13" s="1" t="s">
        <v>28</v>
      </c>
      <c r="B13" s="1" t="s">
        <v>13</v>
      </c>
      <c r="C13" s="7">
        <v>1.0</v>
      </c>
      <c r="D13" s="32"/>
      <c r="F13" s="36">
        <v>1.0</v>
      </c>
      <c r="G13" s="24" t="s">
        <v>16</v>
      </c>
    </row>
    <row r="14">
      <c r="A14" s="1" t="s">
        <v>29</v>
      </c>
      <c r="B14" s="1" t="s">
        <v>13</v>
      </c>
      <c r="C14" s="7">
        <v>1.0</v>
      </c>
      <c r="D14" s="32"/>
      <c r="F14" s="36">
        <v>1.0</v>
      </c>
      <c r="G14" s="24" t="s">
        <v>16</v>
      </c>
    </row>
    <row r="15">
      <c r="A15" s="1" t="s">
        <v>30</v>
      </c>
      <c r="B15" s="1" t="s">
        <v>13</v>
      </c>
      <c r="C15" s="7">
        <v>1.0</v>
      </c>
      <c r="D15" s="32"/>
      <c r="F15" s="36">
        <v>1.0</v>
      </c>
      <c r="G15" s="16"/>
    </row>
    <row r="16">
      <c r="A16" s="1" t="s">
        <v>31</v>
      </c>
      <c r="B16" s="1" t="s">
        <v>23</v>
      </c>
      <c r="C16" s="7">
        <v>1.0</v>
      </c>
      <c r="D16" s="32"/>
      <c r="F16" s="36">
        <v>1.0</v>
      </c>
      <c r="G16" s="16"/>
    </row>
    <row r="17">
      <c r="A17" s="1" t="s">
        <v>32</v>
      </c>
      <c r="B17" s="1" t="s">
        <v>21</v>
      </c>
      <c r="D17" s="32"/>
      <c r="E17" s="7">
        <v>1.0</v>
      </c>
      <c r="F17" s="33">
        <v>1.0</v>
      </c>
      <c r="G17" s="21"/>
    </row>
    <row r="18">
      <c r="A18" s="1" t="s">
        <v>33</v>
      </c>
      <c r="B18" s="1" t="s">
        <v>21</v>
      </c>
      <c r="D18" s="32"/>
      <c r="E18" s="7">
        <v>1.0</v>
      </c>
      <c r="F18" s="36">
        <v>1.0</v>
      </c>
      <c r="G18" s="16"/>
    </row>
    <row r="19">
      <c r="A19" s="1" t="s">
        <v>34</v>
      </c>
      <c r="B19" s="1" t="s">
        <v>23</v>
      </c>
      <c r="D19" s="32"/>
      <c r="E19" s="7">
        <v>1.0</v>
      </c>
      <c r="F19" s="36">
        <v>1.0</v>
      </c>
      <c r="G19" s="22"/>
    </row>
    <row r="20">
      <c r="A20" s="1" t="s">
        <v>35</v>
      </c>
      <c r="B20" s="1" t="s">
        <v>19</v>
      </c>
      <c r="C20" s="32"/>
      <c r="D20" s="32"/>
      <c r="E20" s="7">
        <v>1.0</v>
      </c>
      <c r="F20" s="36">
        <v>1.0</v>
      </c>
      <c r="G20" s="23"/>
    </row>
    <row r="21">
      <c r="A21" s="1" t="s">
        <v>36</v>
      </c>
      <c r="B21" s="1" t="s">
        <v>19</v>
      </c>
      <c r="C21" s="32"/>
      <c r="E21" s="7">
        <v>1.0</v>
      </c>
      <c r="F21" s="36">
        <v>1.0</v>
      </c>
      <c r="G21" s="24"/>
    </row>
    <row r="22">
      <c r="A22" s="1" t="s">
        <v>37</v>
      </c>
      <c r="B22" t="s">
        <v>13</v>
      </c>
      <c r="E22" s="7">
        <v>1.0</v>
      </c>
      <c r="F22" s="36">
        <v>1.0</v>
      </c>
      <c r="G22" s="1"/>
    </row>
    <row r="23">
      <c r="A23" s="1" t="s">
        <v>38</v>
      </c>
      <c r="B23" s="1" t="s">
        <v>23</v>
      </c>
      <c r="C23" s="7">
        <v>1.0</v>
      </c>
      <c r="E23" s="7">
        <v>1.0</v>
      </c>
      <c r="F23" s="33">
        <v>2.0</v>
      </c>
      <c r="G23" s="25"/>
    </row>
    <row r="24">
      <c r="A24" s="1" t="s">
        <v>39</v>
      </c>
      <c r="B24" s="1" t="s">
        <v>23</v>
      </c>
      <c r="C24" s="7">
        <v>1.0</v>
      </c>
      <c r="F24" s="33">
        <v>1.0</v>
      </c>
      <c r="G24" s="25"/>
    </row>
    <row r="25">
      <c r="A25" s="1" t="s">
        <v>40</v>
      </c>
      <c r="B25" s="1" t="s">
        <v>25</v>
      </c>
      <c r="C25" s="7">
        <v>1.0</v>
      </c>
      <c r="F25" s="37">
        <v>1.0</v>
      </c>
      <c r="G25" s="25"/>
    </row>
    <row r="26">
      <c r="A26" s="1" t="s">
        <v>41</v>
      </c>
      <c r="B26" s="1" t="s">
        <v>23</v>
      </c>
      <c r="C26" s="7">
        <v>1.0</v>
      </c>
      <c r="F26" s="37">
        <v>1.0</v>
      </c>
    </row>
    <row r="27">
      <c r="A27" s="1" t="s">
        <v>42</v>
      </c>
      <c r="B27" s="1" t="s">
        <v>25</v>
      </c>
      <c r="E27" s="7">
        <v>1.0</v>
      </c>
      <c r="F27" s="38">
        <v>1.0</v>
      </c>
    </row>
    <row r="28">
      <c r="A28" s="1" t="s">
        <v>11</v>
      </c>
      <c r="B28" s="1"/>
      <c r="C28" s="7">
        <v>12.0</v>
      </c>
      <c r="D28" s="7">
        <v>1.0</v>
      </c>
      <c r="E28" s="7">
        <v>12.0</v>
      </c>
      <c r="F28" s="37">
        <v>25.0</v>
      </c>
    </row>
    <row r="29">
      <c r="A29" s="1" t="s">
        <v>17</v>
      </c>
      <c r="B29" s="1"/>
      <c r="F29" s="26"/>
    </row>
    <row r="30">
      <c r="A30" s="1"/>
      <c r="B30" s="1"/>
      <c r="F30" s="26"/>
    </row>
    <row r="31">
      <c r="A31" s="1"/>
      <c r="B31" s="1"/>
      <c r="F31" s="3"/>
    </row>
    <row r="32">
      <c r="A32" s="1"/>
      <c r="B32" s="1"/>
      <c r="F32" s="3"/>
    </row>
    <row r="33">
      <c r="A33" s="1"/>
      <c r="B33" s="39"/>
      <c r="C33" s="3"/>
      <c r="D33" s="3"/>
      <c r="E33" s="3"/>
      <c r="F33" s="40"/>
      <c r="G33" s="3"/>
      <c r="H33" s="3"/>
      <c r="I33" s="3"/>
      <c r="J33" s="3"/>
      <c r="K33" s="3"/>
      <c r="L33" s="3"/>
      <c r="M33" s="3"/>
      <c r="N33" s="3"/>
      <c r="O33" s="3"/>
      <c r="P33" s="3"/>
      <c r="Q33" s="3"/>
      <c r="R33" s="3"/>
      <c r="S33" s="3"/>
      <c r="T33" s="3"/>
      <c r="U33" s="3"/>
      <c r="V33" s="3"/>
      <c r="W33" s="3"/>
      <c r="X33" s="3"/>
      <c r="Y33" s="3"/>
      <c r="Z33" s="3"/>
    </row>
    <row r="34">
      <c r="A34" s="1"/>
      <c r="B34" s="1"/>
      <c r="F34" s="26"/>
    </row>
    <row r="35">
      <c r="A35" s="1"/>
      <c r="B35" s="1"/>
      <c r="F35" s="3"/>
    </row>
    <row r="36">
      <c r="A36" s="1"/>
      <c r="B36" s="1"/>
      <c r="F36" s="26"/>
    </row>
    <row r="37">
      <c r="A37" s="1"/>
      <c r="B37" s="1"/>
      <c r="F37" s="26"/>
    </row>
    <row r="38">
      <c r="A38" s="1"/>
      <c r="B38" s="1"/>
      <c r="F38" s="26"/>
    </row>
    <row r="39">
      <c r="A39" s="1"/>
      <c r="B39" s="1"/>
      <c r="F39" s="8"/>
    </row>
    <row r="40">
      <c r="A40" s="1"/>
      <c r="B40" s="1"/>
      <c r="F40" s="26"/>
    </row>
    <row r="41">
      <c r="A41" s="1"/>
      <c r="B41" s="1"/>
      <c r="F41" s="26"/>
    </row>
    <row r="42">
      <c r="A42" s="1"/>
      <c r="B42" s="1"/>
      <c r="F42" s="26"/>
    </row>
    <row r="43">
      <c r="A43" s="1"/>
      <c r="B43" s="1"/>
      <c r="F43" s="26"/>
    </row>
    <row r="44">
      <c r="A44" s="1"/>
      <c r="B44" s="1"/>
      <c r="F44" s="26"/>
    </row>
    <row r="45">
      <c r="A45" s="1"/>
      <c r="B45" s="1"/>
      <c r="F45" s="26"/>
    </row>
    <row r="46">
      <c r="A46" s="1"/>
      <c r="B46" s="1"/>
      <c r="F46" s="26"/>
    </row>
    <row r="47">
      <c r="A47" s="1"/>
      <c r="B47" s="1"/>
      <c r="F47" s="26"/>
    </row>
    <row r="48">
      <c r="A48" s="1"/>
      <c r="B48" s="1"/>
      <c r="F48" s="26"/>
    </row>
    <row r="49">
      <c r="A49" s="1"/>
      <c r="B49" s="1"/>
      <c r="F49" s="26"/>
    </row>
    <row r="50">
      <c r="A50" s="1"/>
      <c r="B50" s="1"/>
      <c r="F50" s="3"/>
    </row>
    <row r="51">
      <c r="A51" s="1"/>
      <c r="B51" s="1"/>
      <c r="F51" s="26"/>
    </row>
    <row r="52">
      <c r="A52" s="1"/>
      <c r="F52" s="3"/>
    </row>
    <row r="53">
      <c r="A53" s="1"/>
      <c r="F53" s="26"/>
    </row>
    <row r="54">
      <c r="A54" s="1"/>
      <c r="F54" s="3"/>
    </row>
    <row r="55">
      <c r="A55" s="1"/>
      <c r="F55" s="3"/>
    </row>
    <row r="56">
      <c r="A56" s="1"/>
      <c r="F56" s="26"/>
    </row>
    <row r="57">
      <c r="A57" s="1"/>
      <c r="F57" s="26"/>
    </row>
    <row r="58">
      <c r="A58" s="1"/>
      <c r="F58" s="26"/>
    </row>
    <row r="59">
      <c r="A59" s="1"/>
      <c r="F59" s="26"/>
    </row>
    <row r="60">
      <c r="A60" s="1"/>
      <c r="F60" s="26"/>
    </row>
    <row r="61">
      <c r="A61" s="1"/>
      <c r="F61" s="8"/>
    </row>
    <row r="62">
      <c r="A62" s="1"/>
      <c r="F62" s="3"/>
    </row>
    <row r="63">
      <c r="A63" s="1"/>
      <c r="F63" s="26"/>
    </row>
    <row r="64">
      <c r="A64" s="1"/>
      <c r="F64" s="26"/>
    </row>
    <row r="65">
      <c r="A65" s="1"/>
      <c r="F65" s="3"/>
    </row>
    <row r="66">
      <c r="A66" s="1"/>
      <c r="F66" s="3"/>
    </row>
    <row r="67">
      <c r="A67" s="1"/>
      <c r="F67" s="3"/>
    </row>
    <row r="68">
      <c r="A68" s="1"/>
      <c r="F68" s="3"/>
    </row>
    <row r="69">
      <c r="A69" s="1"/>
      <c r="F69" s="3"/>
    </row>
    <row r="70">
      <c r="A70" s="1"/>
      <c r="F70" s="3"/>
    </row>
    <row r="71">
      <c r="A71" s="1"/>
      <c r="F71" s="26"/>
    </row>
    <row r="72">
      <c r="A72" s="1"/>
      <c r="F72" s="26"/>
    </row>
    <row r="73">
      <c r="A73" s="1"/>
      <c r="F73" s="26"/>
    </row>
    <row r="74">
      <c r="A74" s="1"/>
      <c r="F74" s="26"/>
    </row>
    <row r="75">
      <c r="A75" s="1"/>
      <c r="F75" s="3"/>
    </row>
    <row r="76">
      <c r="A76" s="1"/>
      <c r="F76" s="26"/>
    </row>
    <row r="77">
      <c r="A77" s="1"/>
      <c r="F77" s="3"/>
    </row>
    <row r="78">
      <c r="A78" s="1"/>
      <c r="F78" s="3"/>
    </row>
    <row r="79">
      <c r="A79" s="1"/>
      <c r="F79" s="3"/>
    </row>
    <row r="80">
      <c r="A80" s="1"/>
      <c r="F80" s="3"/>
    </row>
    <row r="81">
      <c r="A81" s="1"/>
      <c r="F81" s="3"/>
    </row>
    <row r="82">
      <c r="A82" s="1"/>
      <c r="F82" s="3"/>
    </row>
    <row r="83">
      <c r="A83" s="1"/>
      <c r="F83" s="3"/>
    </row>
    <row r="84">
      <c r="A84" s="1"/>
      <c r="F84" s="3"/>
    </row>
    <row r="85">
      <c r="A85" s="1"/>
      <c r="F85" s="3"/>
    </row>
    <row r="86">
      <c r="A86" s="1"/>
      <c r="F86" s="3"/>
    </row>
    <row r="87">
      <c r="A87" s="1"/>
      <c r="F87" s="3"/>
    </row>
    <row r="88">
      <c r="A88" s="1"/>
      <c r="F88" s="3"/>
    </row>
    <row r="89">
      <c r="A89" s="1"/>
      <c r="F89" s="3"/>
    </row>
    <row r="90">
      <c r="A90" s="1"/>
      <c r="F90" s="3"/>
    </row>
    <row r="91">
      <c r="A91" s="1"/>
      <c r="F91" s="3"/>
    </row>
    <row r="92">
      <c r="A92" s="1"/>
      <c r="F92" s="3"/>
    </row>
    <row r="93">
      <c r="A93" s="1"/>
      <c r="F93" s="3"/>
    </row>
    <row r="94">
      <c r="A94" s="1"/>
      <c r="F94" s="3"/>
    </row>
    <row r="95">
      <c r="A95" s="1"/>
      <c r="F95" s="3"/>
    </row>
    <row r="96">
      <c r="A96" s="1"/>
      <c r="F96" s="3"/>
    </row>
    <row r="97">
      <c r="A97" s="1"/>
      <c r="F97" s="3"/>
    </row>
    <row r="98">
      <c r="A98" s="1"/>
      <c r="F98" s="3"/>
    </row>
    <row r="99">
      <c r="A99" s="1"/>
      <c r="F99" s="3"/>
    </row>
    <row r="100">
      <c r="A100" s="1"/>
      <c r="F100" s="3"/>
    </row>
    <row r="101">
      <c r="A101" s="1"/>
      <c r="F101" s="3"/>
    </row>
    <row r="102">
      <c r="A102" s="1"/>
      <c r="F102" s="3"/>
    </row>
    <row r="103">
      <c r="A103" s="1"/>
      <c r="F103" s="3"/>
    </row>
    <row r="104">
      <c r="A104" s="1"/>
      <c r="F104" s="3"/>
    </row>
    <row r="105">
      <c r="A105" s="1"/>
      <c r="F105" s="3"/>
    </row>
    <row r="106">
      <c r="A106" s="1"/>
      <c r="F106" s="3"/>
    </row>
    <row r="107">
      <c r="A107" s="1"/>
      <c r="F107" s="3"/>
    </row>
    <row r="108">
      <c r="A108" s="1"/>
      <c r="F108" s="3"/>
    </row>
    <row r="109">
      <c r="A109" s="1"/>
      <c r="F109" s="3"/>
    </row>
    <row r="110">
      <c r="A110" s="1"/>
      <c r="F110" s="3"/>
    </row>
    <row r="111">
      <c r="A111" s="1"/>
      <c r="F111" s="3"/>
    </row>
    <row r="112">
      <c r="A112" s="1"/>
      <c r="F112" s="3"/>
    </row>
    <row r="113">
      <c r="A113" s="1"/>
      <c r="F113" s="3"/>
    </row>
    <row r="114">
      <c r="A114" s="1"/>
      <c r="F114" s="3"/>
    </row>
    <row r="115">
      <c r="A115" s="1"/>
      <c r="F115" s="3"/>
    </row>
    <row r="116">
      <c r="A116" s="1"/>
      <c r="F116" s="3"/>
    </row>
    <row r="117">
      <c r="A117" s="1"/>
      <c r="F117" s="3"/>
    </row>
    <row r="118">
      <c r="A118" s="1"/>
      <c r="F118" s="3"/>
    </row>
    <row r="119">
      <c r="A119" s="1"/>
      <c r="F119" s="3"/>
    </row>
    <row r="120">
      <c r="A120" s="1"/>
      <c r="F120" s="3"/>
    </row>
    <row r="121">
      <c r="A121" s="1"/>
      <c r="F121" s="3"/>
    </row>
    <row r="122">
      <c r="A122" s="1"/>
      <c r="F122" s="3"/>
    </row>
    <row r="123">
      <c r="A123" s="1"/>
      <c r="F123" s="3"/>
    </row>
    <row r="124">
      <c r="A124" s="1"/>
      <c r="F124" s="3"/>
    </row>
    <row r="125">
      <c r="A125" s="1"/>
      <c r="F125" s="3"/>
    </row>
    <row r="126">
      <c r="A126" s="1"/>
      <c r="F126" s="3"/>
    </row>
    <row r="127">
      <c r="A127" s="1"/>
      <c r="F127" s="3"/>
    </row>
    <row r="128">
      <c r="A128" s="1"/>
      <c r="F128" s="3"/>
    </row>
    <row r="129">
      <c r="A129" s="1"/>
      <c r="F129" s="3"/>
    </row>
    <row r="130">
      <c r="A130" s="1"/>
      <c r="F130" s="3"/>
    </row>
    <row r="131">
      <c r="A131" s="1"/>
      <c r="F131" s="3"/>
    </row>
    <row r="132">
      <c r="A132" s="1"/>
      <c r="F132" s="3"/>
    </row>
    <row r="133">
      <c r="A133" s="1"/>
      <c r="F133" s="3"/>
    </row>
    <row r="134">
      <c r="A134" s="1"/>
      <c r="F134" s="3"/>
    </row>
    <row r="135">
      <c r="A135" s="1"/>
      <c r="F135" s="3"/>
    </row>
    <row r="136">
      <c r="A136" s="1"/>
      <c r="F136" s="3"/>
    </row>
    <row r="137">
      <c r="A137" s="1"/>
      <c r="F137" s="3"/>
    </row>
    <row r="138">
      <c r="A138" s="1"/>
      <c r="F138" s="3"/>
    </row>
    <row r="139">
      <c r="A139" s="1"/>
      <c r="F139" s="3"/>
    </row>
    <row r="140">
      <c r="A140" s="1"/>
      <c r="F140" s="3"/>
    </row>
    <row r="141">
      <c r="A141" s="1"/>
      <c r="F141" s="3"/>
    </row>
    <row r="142">
      <c r="A142" s="1"/>
      <c r="F142" s="3"/>
    </row>
    <row r="143">
      <c r="A143" s="1"/>
      <c r="F143" s="3"/>
    </row>
    <row r="144">
      <c r="A144" s="1"/>
      <c r="F144" s="3"/>
    </row>
    <row r="145">
      <c r="A145" s="1"/>
      <c r="F145" s="3"/>
    </row>
    <row r="146">
      <c r="A146" s="1"/>
      <c r="F146" s="3"/>
    </row>
    <row r="147">
      <c r="A147" s="1"/>
      <c r="F147" s="3"/>
    </row>
    <row r="148">
      <c r="A148" s="1"/>
      <c r="F148" s="3"/>
    </row>
    <row r="149">
      <c r="A149" s="1"/>
      <c r="F149" s="3"/>
    </row>
    <row r="150">
      <c r="A150" s="1"/>
      <c r="F150" s="3"/>
    </row>
    <row r="151">
      <c r="A151" s="1"/>
      <c r="F151" s="3"/>
    </row>
    <row r="152">
      <c r="A152" s="1"/>
      <c r="F152" s="3"/>
    </row>
    <row r="153">
      <c r="A153" s="1"/>
      <c r="F153" s="3"/>
    </row>
    <row r="154">
      <c r="A154" s="1"/>
      <c r="F154" s="3"/>
    </row>
    <row r="155">
      <c r="A155" s="1"/>
      <c r="F155" s="3"/>
    </row>
    <row r="156">
      <c r="A156" s="1"/>
      <c r="F156" s="3"/>
    </row>
    <row r="157">
      <c r="A157" s="1"/>
      <c r="F157" s="3"/>
    </row>
    <row r="158">
      <c r="A158" s="1"/>
      <c r="F158" s="3"/>
    </row>
    <row r="159">
      <c r="A159" s="1"/>
      <c r="F159" s="3"/>
    </row>
    <row r="160">
      <c r="A160" s="1"/>
      <c r="F160" s="3"/>
    </row>
    <row r="161">
      <c r="A161" s="1"/>
      <c r="F161" s="3"/>
    </row>
    <row r="162">
      <c r="A162" s="1"/>
      <c r="F162" s="3"/>
    </row>
    <row r="163">
      <c r="A163" s="1"/>
      <c r="F163" s="3"/>
    </row>
    <row r="164">
      <c r="A164" s="1"/>
      <c r="F164" s="3"/>
    </row>
    <row r="165">
      <c r="A165" s="1"/>
      <c r="F165" s="3"/>
    </row>
    <row r="166">
      <c r="A166" s="1"/>
      <c r="F166" s="3"/>
    </row>
    <row r="167">
      <c r="A167" s="1"/>
      <c r="F167" s="3"/>
    </row>
    <row r="168">
      <c r="A168" s="1"/>
      <c r="F168" s="3"/>
    </row>
    <row r="169">
      <c r="A169" s="1"/>
      <c r="F169" s="3"/>
    </row>
    <row r="170">
      <c r="A170" s="1"/>
      <c r="F170" s="3"/>
    </row>
    <row r="171">
      <c r="A171" s="1"/>
      <c r="F171" s="3"/>
    </row>
    <row r="172">
      <c r="A172" s="1"/>
      <c r="F172" s="3"/>
    </row>
    <row r="173">
      <c r="A173" s="1"/>
      <c r="F173" s="3"/>
    </row>
    <row r="174">
      <c r="A174" s="1"/>
      <c r="F174" s="3"/>
    </row>
    <row r="175">
      <c r="A175" s="1"/>
      <c r="F175" s="3"/>
    </row>
    <row r="176">
      <c r="A176" s="1"/>
      <c r="F176" s="3"/>
    </row>
    <row r="177">
      <c r="A177" s="1"/>
      <c r="F177" s="3"/>
    </row>
    <row r="178">
      <c r="A178" s="1"/>
      <c r="F178" s="3"/>
    </row>
    <row r="179">
      <c r="A179" s="1"/>
      <c r="F179" s="3"/>
    </row>
    <row r="180">
      <c r="A180" s="1"/>
      <c r="F180" s="3"/>
    </row>
    <row r="181">
      <c r="A181" s="1"/>
      <c r="F181" s="3"/>
    </row>
    <row r="182">
      <c r="A182" s="1"/>
      <c r="F182" s="3"/>
    </row>
    <row r="183">
      <c r="A183" s="1"/>
      <c r="F183" s="3"/>
    </row>
    <row r="184">
      <c r="A184" s="1"/>
      <c r="F184" s="3"/>
    </row>
    <row r="185">
      <c r="A185" s="1"/>
      <c r="F185" s="3"/>
    </row>
    <row r="186">
      <c r="A186" s="1"/>
      <c r="F186" s="3"/>
    </row>
    <row r="187">
      <c r="A187" s="1"/>
      <c r="F187" s="3"/>
    </row>
    <row r="188">
      <c r="A188" s="1"/>
      <c r="F188" s="3"/>
    </row>
    <row r="189">
      <c r="A189" s="1"/>
      <c r="F189" s="3"/>
    </row>
    <row r="190">
      <c r="A190" s="1"/>
      <c r="F190" s="3"/>
    </row>
    <row r="191">
      <c r="A191" s="1"/>
      <c r="F191" s="3"/>
    </row>
    <row r="192">
      <c r="A192" s="1"/>
      <c r="F192" s="3"/>
    </row>
    <row r="193">
      <c r="A193" s="1"/>
      <c r="F193" s="3"/>
    </row>
    <row r="194">
      <c r="A194" s="1"/>
      <c r="F194" s="3"/>
    </row>
    <row r="195">
      <c r="A195" s="1"/>
      <c r="F195" s="3"/>
    </row>
    <row r="196">
      <c r="A196" s="1"/>
      <c r="F196" s="3"/>
    </row>
    <row r="197">
      <c r="A197" s="1"/>
      <c r="F197" s="3"/>
    </row>
    <row r="198">
      <c r="A198" s="1"/>
      <c r="F198" s="3"/>
    </row>
    <row r="199">
      <c r="A199" s="1"/>
      <c r="F199" s="3"/>
    </row>
    <row r="200">
      <c r="A200" s="1"/>
      <c r="F200" s="3"/>
    </row>
    <row r="201">
      <c r="A201" s="1"/>
      <c r="F201" s="3"/>
    </row>
    <row r="202">
      <c r="A202" s="1"/>
      <c r="F202" s="3"/>
    </row>
    <row r="203">
      <c r="A203" s="1"/>
      <c r="F203" s="3"/>
    </row>
    <row r="204">
      <c r="A204" s="1"/>
      <c r="F204" s="3"/>
    </row>
    <row r="205">
      <c r="A205" s="1"/>
      <c r="F205" s="3"/>
    </row>
    <row r="206">
      <c r="A206" s="1"/>
      <c r="F206" s="3"/>
    </row>
    <row r="207">
      <c r="A207" s="1"/>
      <c r="F207" s="3"/>
    </row>
    <row r="208">
      <c r="A208" s="1"/>
      <c r="F208" s="3"/>
    </row>
    <row r="209">
      <c r="A209" s="1"/>
      <c r="F209" s="3"/>
    </row>
    <row r="210">
      <c r="A210" s="1"/>
      <c r="F210" s="3"/>
    </row>
    <row r="211">
      <c r="A211" s="1"/>
      <c r="F211" s="3"/>
    </row>
    <row r="212">
      <c r="A212" s="1"/>
      <c r="F212" s="3"/>
    </row>
    <row r="213">
      <c r="A213" s="1"/>
      <c r="F213" s="3"/>
    </row>
    <row r="214">
      <c r="A214" s="1"/>
      <c r="F214" s="3"/>
    </row>
    <row r="215">
      <c r="A215" s="1"/>
      <c r="F215" s="3"/>
    </row>
    <row r="216">
      <c r="A216" s="1"/>
      <c r="F216" s="3"/>
    </row>
    <row r="217">
      <c r="A217" s="1"/>
      <c r="F217" s="3"/>
    </row>
    <row r="218">
      <c r="A218" s="1"/>
      <c r="F218" s="3"/>
    </row>
    <row r="219">
      <c r="A219" s="1"/>
      <c r="F219" s="3"/>
    </row>
    <row r="220">
      <c r="A220" s="1"/>
      <c r="F220" s="3"/>
    </row>
    <row r="221">
      <c r="A221" s="1"/>
      <c r="F221" s="3"/>
    </row>
    <row r="222">
      <c r="A222" s="1"/>
      <c r="F222" s="3"/>
    </row>
    <row r="223">
      <c r="A223" s="1"/>
      <c r="F223" s="3"/>
    </row>
    <row r="224">
      <c r="A224" s="1"/>
      <c r="F224" s="3"/>
    </row>
    <row r="225">
      <c r="A225" s="1"/>
      <c r="F225" s="3"/>
    </row>
    <row r="226">
      <c r="A226" s="1"/>
      <c r="F226" s="3"/>
    </row>
    <row r="227">
      <c r="A227" s="1"/>
      <c r="F227" s="3"/>
    </row>
    <row r="228">
      <c r="A228" s="1"/>
      <c r="F228" s="3"/>
    </row>
    <row r="229">
      <c r="A229" s="1"/>
      <c r="F229" s="3"/>
    </row>
    <row r="230">
      <c r="A230" s="1"/>
      <c r="F230" s="3"/>
    </row>
    <row r="231">
      <c r="A231" s="1"/>
      <c r="F231" s="3"/>
    </row>
    <row r="232">
      <c r="A232" s="1"/>
      <c r="F232" s="3"/>
    </row>
    <row r="233">
      <c r="A233" s="1"/>
      <c r="F233" s="3"/>
    </row>
    <row r="234">
      <c r="A234" s="1"/>
      <c r="F234" s="3"/>
    </row>
    <row r="235">
      <c r="A235" s="1"/>
      <c r="F235" s="3"/>
    </row>
    <row r="236">
      <c r="A236" s="1"/>
      <c r="F236" s="3"/>
    </row>
    <row r="237">
      <c r="A237" s="1"/>
      <c r="F237" s="3"/>
    </row>
    <row r="238">
      <c r="A238" s="1"/>
      <c r="F238" s="3"/>
    </row>
    <row r="239">
      <c r="A239" s="1"/>
      <c r="F239" s="3"/>
    </row>
    <row r="240">
      <c r="A240" s="1"/>
      <c r="F240" s="3"/>
    </row>
    <row r="241">
      <c r="A241" s="1"/>
      <c r="F241" s="3"/>
    </row>
    <row r="242">
      <c r="A242" s="1"/>
      <c r="F242" s="3"/>
    </row>
    <row r="243">
      <c r="A243" s="1"/>
      <c r="F243" s="3"/>
    </row>
    <row r="244">
      <c r="A244" s="1"/>
      <c r="F244" s="3"/>
    </row>
    <row r="245">
      <c r="A245" s="1"/>
      <c r="F245" s="3"/>
    </row>
    <row r="246">
      <c r="A246" s="1"/>
      <c r="F246" s="3"/>
    </row>
    <row r="247">
      <c r="A247" s="1"/>
      <c r="F247" s="3"/>
    </row>
    <row r="248">
      <c r="A248" s="1"/>
      <c r="F248" s="3"/>
    </row>
    <row r="249">
      <c r="A249" s="1"/>
      <c r="F249" s="3"/>
    </row>
    <row r="250">
      <c r="A250" s="1"/>
      <c r="F250" s="3"/>
    </row>
    <row r="251">
      <c r="A251" s="1"/>
      <c r="F251" s="3"/>
    </row>
    <row r="252">
      <c r="A252" s="1"/>
      <c r="F252" s="3"/>
    </row>
    <row r="253">
      <c r="A253" s="1"/>
      <c r="F253" s="3"/>
    </row>
    <row r="254">
      <c r="A254" s="1"/>
      <c r="F254" s="3"/>
    </row>
    <row r="255">
      <c r="A255" s="1"/>
      <c r="F255" s="3"/>
    </row>
    <row r="256">
      <c r="A256" s="1"/>
      <c r="F256" s="3"/>
    </row>
    <row r="257">
      <c r="A257" s="1"/>
      <c r="F257" s="3"/>
    </row>
    <row r="258">
      <c r="A258" s="1"/>
      <c r="F258" s="3"/>
    </row>
    <row r="259">
      <c r="A259" s="1"/>
      <c r="F259" s="3"/>
    </row>
    <row r="260">
      <c r="A260" s="1"/>
      <c r="F260" s="3"/>
    </row>
    <row r="261">
      <c r="A261" s="1"/>
      <c r="F261" s="3"/>
    </row>
    <row r="262">
      <c r="A262" s="1"/>
      <c r="F262" s="3"/>
    </row>
    <row r="263">
      <c r="A263" s="1"/>
      <c r="F263" s="3"/>
    </row>
    <row r="264">
      <c r="A264" s="1"/>
      <c r="F264" s="3"/>
    </row>
    <row r="265">
      <c r="A265" s="1"/>
      <c r="F265" s="3"/>
    </row>
    <row r="266">
      <c r="A266" s="1"/>
      <c r="F266" s="3"/>
    </row>
    <row r="267">
      <c r="A267" s="1"/>
      <c r="F267" s="3"/>
    </row>
    <row r="268">
      <c r="A268" s="1"/>
      <c r="F268" s="3"/>
    </row>
    <row r="269">
      <c r="A269" s="1"/>
      <c r="F269" s="3"/>
    </row>
    <row r="270">
      <c r="A270" s="1"/>
      <c r="F270" s="3"/>
    </row>
    <row r="271">
      <c r="A271" s="1"/>
      <c r="F271" s="3"/>
    </row>
    <row r="272">
      <c r="A272" s="1"/>
      <c r="F272" s="3"/>
    </row>
    <row r="273">
      <c r="A273" s="1"/>
      <c r="F273" s="3"/>
    </row>
    <row r="274">
      <c r="A274" s="1"/>
      <c r="F274" s="3"/>
    </row>
    <row r="275">
      <c r="A275" s="1"/>
      <c r="F275" s="3"/>
    </row>
    <row r="276">
      <c r="A276" s="1"/>
      <c r="F276" s="3"/>
    </row>
    <row r="277">
      <c r="A277" s="1"/>
      <c r="F277" s="3"/>
    </row>
    <row r="278">
      <c r="A278" s="1"/>
      <c r="F278" s="3"/>
    </row>
    <row r="279">
      <c r="A279" s="1"/>
      <c r="F279" s="3"/>
    </row>
    <row r="280">
      <c r="A280" s="1"/>
      <c r="F280" s="3"/>
    </row>
    <row r="281">
      <c r="A281" s="1"/>
      <c r="F281" s="3"/>
    </row>
    <row r="282">
      <c r="A282" s="1"/>
      <c r="F282" s="3"/>
    </row>
    <row r="283">
      <c r="A283" s="1"/>
      <c r="F283" s="3"/>
    </row>
    <row r="284">
      <c r="A284" s="1"/>
      <c r="F284" s="3"/>
    </row>
    <row r="285">
      <c r="A285" s="1"/>
      <c r="F285" s="3"/>
    </row>
    <row r="286">
      <c r="A286" s="1"/>
      <c r="F286" s="3"/>
    </row>
    <row r="287">
      <c r="A287" s="1"/>
      <c r="F287" s="3"/>
    </row>
    <row r="288">
      <c r="A288" s="1"/>
      <c r="F288" s="3"/>
    </row>
    <row r="289">
      <c r="A289" s="1"/>
      <c r="F289" s="3"/>
    </row>
    <row r="290">
      <c r="A290" s="1"/>
      <c r="F290" s="3"/>
    </row>
    <row r="291">
      <c r="A291" s="1"/>
      <c r="F291" s="3"/>
    </row>
    <row r="292">
      <c r="A292" s="1"/>
      <c r="F292" s="3"/>
    </row>
    <row r="293">
      <c r="A293" s="1"/>
      <c r="F293" s="3"/>
    </row>
    <row r="294">
      <c r="A294" s="1"/>
      <c r="F294" s="3"/>
    </row>
    <row r="295">
      <c r="A295" s="1"/>
      <c r="F295" s="3"/>
    </row>
    <row r="296">
      <c r="A296" s="1"/>
      <c r="F296" s="3"/>
    </row>
    <row r="297">
      <c r="A297" s="1"/>
      <c r="F297" s="3"/>
    </row>
    <row r="298">
      <c r="A298" s="1"/>
      <c r="F298" s="3"/>
    </row>
    <row r="299">
      <c r="A299" s="1"/>
      <c r="F299" s="3"/>
    </row>
    <row r="300">
      <c r="A300" s="1"/>
      <c r="F300" s="3"/>
    </row>
    <row r="301">
      <c r="A301" s="1"/>
      <c r="F301" s="3"/>
    </row>
    <row r="302">
      <c r="A302" s="1"/>
      <c r="F302" s="3"/>
    </row>
    <row r="303">
      <c r="A303" s="1"/>
      <c r="F303" s="3"/>
    </row>
    <row r="304">
      <c r="A304" s="1"/>
      <c r="F304" s="3"/>
    </row>
    <row r="305">
      <c r="A305" s="1"/>
      <c r="F305" s="3"/>
    </row>
    <row r="306">
      <c r="A306" s="1"/>
      <c r="F306" s="3"/>
    </row>
    <row r="307">
      <c r="A307" s="1"/>
      <c r="F307" s="3"/>
    </row>
    <row r="308">
      <c r="A308" s="1"/>
      <c r="F308" s="3"/>
    </row>
    <row r="309">
      <c r="A309" s="1"/>
      <c r="F309" s="3"/>
    </row>
    <row r="310">
      <c r="A310" s="1"/>
      <c r="F310" s="3"/>
    </row>
    <row r="311">
      <c r="A311" s="1"/>
      <c r="F311" s="3"/>
    </row>
    <row r="312">
      <c r="A312" s="1"/>
      <c r="F312" s="3"/>
    </row>
    <row r="313">
      <c r="A313" s="1"/>
      <c r="F313" s="3"/>
    </row>
    <row r="314">
      <c r="A314" s="1"/>
      <c r="F314" s="3"/>
    </row>
    <row r="315">
      <c r="A315" s="1"/>
      <c r="F315" s="3"/>
    </row>
    <row r="316">
      <c r="A316" s="1"/>
      <c r="F316" s="3"/>
    </row>
    <row r="317">
      <c r="A317" s="1"/>
      <c r="F317" s="3"/>
    </row>
    <row r="318">
      <c r="A318" s="1"/>
      <c r="F318" s="3"/>
    </row>
    <row r="319">
      <c r="A319" s="1"/>
      <c r="F319" s="3"/>
    </row>
    <row r="320">
      <c r="A320" s="1"/>
      <c r="F320" s="3"/>
    </row>
    <row r="321">
      <c r="A321" s="1"/>
      <c r="F321" s="3"/>
    </row>
    <row r="322">
      <c r="A322" s="1"/>
      <c r="F322" s="3"/>
    </row>
    <row r="323">
      <c r="A323" s="1"/>
      <c r="F323" s="3"/>
    </row>
    <row r="324">
      <c r="A324" s="1"/>
      <c r="F324" s="3"/>
    </row>
    <row r="325">
      <c r="A325" s="1"/>
      <c r="F325" s="3"/>
    </row>
    <row r="326">
      <c r="A326" s="1"/>
      <c r="F326" s="3"/>
    </row>
    <row r="327">
      <c r="A327" s="1"/>
      <c r="F327" s="3"/>
    </row>
    <row r="328">
      <c r="A328" s="1"/>
      <c r="F328" s="3"/>
    </row>
    <row r="329">
      <c r="A329" s="1"/>
      <c r="F329" s="3"/>
    </row>
    <row r="330">
      <c r="A330" s="1"/>
      <c r="F330" s="3"/>
    </row>
    <row r="331">
      <c r="A331" s="1"/>
      <c r="F331" s="3"/>
    </row>
    <row r="332">
      <c r="A332" s="1"/>
      <c r="F332" s="3"/>
    </row>
    <row r="333">
      <c r="A333" s="1"/>
      <c r="F333" s="3"/>
    </row>
    <row r="334">
      <c r="A334" s="1"/>
      <c r="F334" s="3"/>
    </row>
    <row r="335">
      <c r="A335" s="1"/>
      <c r="F335" s="3"/>
    </row>
    <row r="336">
      <c r="A336" s="1"/>
      <c r="F336" s="3"/>
    </row>
    <row r="337">
      <c r="A337" s="1"/>
      <c r="F337" s="3"/>
    </row>
    <row r="338">
      <c r="A338" s="1"/>
      <c r="F338" s="3"/>
    </row>
    <row r="339">
      <c r="A339" s="1"/>
      <c r="F339" s="3"/>
    </row>
    <row r="340">
      <c r="A340" s="1"/>
      <c r="F340" s="3"/>
    </row>
    <row r="341">
      <c r="A341" s="1"/>
      <c r="F341" s="3"/>
    </row>
    <row r="342">
      <c r="A342" s="1"/>
      <c r="F342" s="3"/>
    </row>
    <row r="343">
      <c r="A343" s="1"/>
      <c r="F343" s="3"/>
    </row>
    <row r="344">
      <c r="A344" s="1"/>
      <c r="F344" s="3"/>
    </row>
    <row r="345">
      <c r="A345" s="1"/>
      <c r="F345" s="3"/>
    </row>
    <row r="346">
      <c r="A346" s="1"/>
      <c r="F346" s="3"/>
    </row>
    <row r="347">
      <c r="A347" s="1"/>
      <c r="F347" s="3"/>
    </row>
    <row r="348">
      <c r="A348" s="1"/>
      <c r="F348" s="3"/>
    </row>
    <row r="349">
      <c r="A349" s="1"/>
      <c r="F349" s="3"/>
    </row>
    <row r="350">
      <c r="A350" s="1"/>
      <c r="F350" s="3"/>
    </row>
    <row r="351">
      <c r="A351" s="1"/>
      <c r="F351" s="3"/>
    </row>
    <row r="352">
      <c r="A352" s="1"/>
      <c r="F352" s="3"/>
    </row>
    <row r="353">
      <c r="A353" s="1"/>
      <c r="F353" s="3"/>
    </row>
    <row r="354">
      <c r="A354" s="1"/>
      <c r="F354" s="3"/>
    </row>
    <row r="355">
      <c r="A355" s="1"/>
      <c r="F355" s="3"/>
    </row>
    <row r="356">
      <c r="A356" s="1"/>
      <c r="F356" s="3"/>
    </row>
    <row r="357">
      <c r="A357" s="1"/>
      <c r="F357" s="3"/>
    </row>
    <row r="358">
      <c r="A358" s="1"/>
      <c r="F358" s="3"/>
    </row>
    <row r="359">
      <c r="A359" s="1"/>
      <c r="F359" s="3"/>
    </row>
    <row r="360">
      <c r="A360" s="1"/>
      <c r="F360" s="3"/>
    </row>
    <row r="361">
      <c r="A361" s="1"/>
      <c r="F361" s="3"/>
    </row>
    <row r="362">
      <c r="A362" s="1"/>
      <c r="F362" s="3"/>
    </row>
    <row r="363">
      <c r="A363" s="1"/>
      <c r="F363" s="3"/>
    </row>
    <row r="364">
      <c r="A364" s="1"/>
      <c r="F364" s="3"/>
    </row>
    <row r="365">
      <c r="A365" s="1"/>
      <c r="F365" s="3"/>
    </row>
    <row r="366">
      <c r="A366" s="1"/>
      <c r="F366" s="3"/>
    </row>
    <row r="367">
      <c r="A367" s="1"/>
      <c r="F367" s="3"/>
    </row>
    <row r="368">
      <c r="A368" s="1"/>
      <c r="F368" s="3"/>
    </row>
    <row r="369">
      <c r="A369" s="1"/>
      <c r="F369" s="3"/>
    </row>
    <row r="370">
      <c r="A370" s="1"/>
      <c r="F370" s="3"/>
    </row>
    <row r="371">
      <c r="A371" s="1"/>
      <c r="F371" s="3"/>
    </row>
    <row r="372">
      <c r="A372" s="1"/>
      <c r="F372" s="3"/>
    </row>
    <row r="373">
      <c r="A373" s="1"/>
      <c r="F373" s="3"/>
    </row>
    <row r="374">
      <c r="A374" s="1"/>
      <c r="F374" s="3"/>
    </row>
    <row r="375">
      <c r="A375" s="1"/>
      <c r="F375" s="3"/>
    </row>
    <row r="376">
      <c r="A376" s="1"/>
      <c r="F376" s="3"/>
    </row>
    <row r="377">
      <c r="A377" s="1"/>
      <c r="F377" s="3"/>
    </row>
    <row r="378">
      <c r="A378" s="1"/>
      <c r="F378" s="3"/>
    </row>
    <row r="379">
      <c r="A379" s="1"/>
      <c r="F379" s="3"/>
    </row>
    <row r="380">
      <c r="A380" s="1"/>
      <c r="F380" s="3"/>
    </row>
    <row r="381">
      <c r="A381" s="1"/>
      <c r="F381" s="3"/>
    </row>
    <row r="382">
      <c r="A382" s="1"/>
      <c r="F382" s="3"/>
    </row>
    <row r="383">
      <c r="A383" s="1"/>
      <c r="F383" s="3"/>
    </row>
    <row r="384">
      <c r="A384" s="1"/>
      <c r="F384" s="3"/>
    </row>
    <row r="385">
      <c r="A385" s="1"/>
      <c r="F385" s="3"/>
    </row>
    <row r="386">
      <c r="A386" s="1"/>
      <c r="F386" s="3"/>
    </row>
    <row r="387">
      <c r="A387" s="1"/>
      <c r="F387" s="3"/>
    </row>
    <row r="388">
      <c r="A388" s="1"/>
      <c r="F388" s="3"/>
    </row>
    <row r="389">
      <c r="A389" s="1"/>
      <c r="F389" s="3"/>
    </row>
    <row r="390">
      <c r="A390" s="1"/>
      <c r="F390" s="3"/>
    </row>
    <row r="391">
      <c r="A391" s="1"/>
      <c r="F391" s="3"/>
    </row>
    <row r="392">
      <c r="A392" s="1"/>
      <c r="F392" s="3"/>
    </row>
    <row r="393">
      <c r="A393" s="1"/>
      <c r="F393" s="3"/>
    </row>
    <row r="394">
      <c r="A394" s="1"/>
      <c r="F394" s="3"/>
    </row>
    <row r="395">
      <c r="A395" s="1"/>
      <c r="F395" s="3"/>
    </row>
    <row r="396">
      <c r="A396" s="1"/>
      <c r="F396" s="3"/>
    </row>
    <row r="397">
      <c r="A397" s="1"/>
      <c r="F397" s="3"/>
    </row>
    <row r="398">
      <c r="A398" s="1"/>
      <c r="F398" s="3"/>
    </row>
    <row r="399">
      <c r="A399" s="1"/>
      <c r="F399" s="3"/>
    </row>
    <row r="400">
      <c r="A400" s="1"/>
      <c r="F400" s="3"/>
    </row>
    <row r="401">
      <c r="A401" s="1"/>
      <c r="F401" s="3"/>
    </row>
    <row r="402">
      <c r="A402" s="1"/>
      <c r="F402" s="3"/>
    </row>
    <row r="403">
      <c r="A403" s="1"/>
      <c r="F403" s="3"/>
    </row>
    <row r="404">
      <c r="A404" s="1"/>
      <c r="F404" s="3"/>
    </row>
    <row r="405">
      <c r="A405" s="1"/>
      <c r="F405" s="3"/>
    </row>
    <row r="406">
      <c r="A406" s="1"/>
      <c r="F406" s="3"/>
    </row>
    <row r="407">
      <c r="A407" s="1"/>
      <c r="F407" s="3"/>
    </row>
    <row r="408">
      <c r="A408" s="1"/>
      <c r="F408" s="3"/>
    </row>
    <row r="409">
      <c r="A409" s="1"/>
      <c r="F409" s="3"/>
    </row>
    <row r="410">
      <c r="A410" s="1"/>
      <c r="F410" s="3"/>
    </row>
    <row r="411">
      <c r="A411" s="1"/>
      <c r="F411" s="3"/>
    </row>
    <row r="412">
      <c r="A412" s="1"/>
      <c r="F412" s="3"/>
    </row>
    <row r="413">
      <c r="A413" s="1"/>
      <c r="F413" s="3"/>
    </row>
    <row r="414">
      <c r="A414" s="1"/>
      <c r="F414" s="3"/>
    </row>
    <row r="415">
      <c r="A415" s="1"/>
      <c r="F415" s="3"/>
    </row>
    <row r="416">
      <c r="A416" s="1"/>
      <c r="F416" s="3"/>
    </row>
    <row r="417">
      <c r="A417" s="1"/>
      <c r="F417" s="3"/>
    </row>
    <row r="418">
      <c r="A418" s="1"/>
      <c r="F418" s="3"/>
    </row>
    <row r="419">
      <c r="A419" s="1"/>
      <c r="F419" s="3"/>
    </row>
    <row r="420">
      <c r="A420" s="1"/>
      <c r="F420" s="3"/>
    </row>
    <row r="421">
      <c r="A421" s="1"/>
      <c r="F421" s="3"/>
    </row>
    <row r="422">
      <c r="A422" s="1"/>
      <c r="F422" s="3"/>
    </row>
    <row r="423">
      <c r="A423" s="1"/>
      <c r="F423" s="3"/>
    </row>
    <row r="424">
      <c r="A424" s="1"/>
      <c r="F424" s="3"/>
    </row>
    <row r="425">
      <c r="A425" s="1"/>
      <c r="F425" s="3"/>
    </row>
    <row r="426">
      <c r="A426" s="1"/>
      <c r="F426" s="3"/>
    </row>
    <row r="427">
      <c r="A427" s="1"/>
      <c r="F427" s="3"/>
    </row>
    <row r="428">
      <c r="A428" s="1"/>
      <c r="F428" s="3"/>
    </row>
    <row r="429">
      <c r="A429" s="1"/>
      <c r="F429" s="3"/>
    </row>
    <row r="430">
      <c r="A430" s="1"/>
      <c r="F430" s="3"/>
    </row>
    <row r="431">
      <c r="A431" s="1"/>
      <c r="F431" s="3"/>
    </row>
    <row r="432">
      <c r="A432" s="1"/>
      <c r="F432" s="3"/>
    </row>
    <row r="433">
      <c r="A433" s="1"/>
      <c r="F433" s="3"/>
    </row>
    <row r="434">
      <c r="A434" s="1"/>
      <c r="F434" s="3"/>
    </row>
    <row r="435">
      <c r="A435" s="1"/>
      <c r="F435" s="3"/>
    </row>
    <row r="436">
      <c r="A436" s="1"/>
      <c r="F436" s="3"/>
    </row>
    <row r="437">
      <c r="A437" s="1"/>
      <c r="F437" s="3"/>
    </row>
    <row r="438">
      <c r="A438" s="1"/>
      <c r="F438" s="3"/>
    </row>
    <row r="439">
      <c r="A439" s="1"/>
      <c r="F439" s="3"/>
    </row>
    <row r="440">
      <c r="A440" s="1"/>
      <c r="F440" s="3"/>
    </row>
    <row r="441">
      <c r="A441" s="1"/>
      <c r="F441" s="3"/>
    </row>
    <row r="442">
      <c r="A442" s="1"/>
      <c r="F442" s="3"/>
    </row>
    <row r="443">
      <c r="A443" s="1"/>
      <c r="F443" s="3"/>
    </row>
    <row r="444">
      <c r="A444" s="1"/>
      <c r="F444" s="3"/>
    </row>
    <row r="445">
      <c r="A445" s="1"/>
      <c r="F445" s="3"/>
    </row>
    <row r="446">
      <c r="A446" s="1"/>
      <c r="F446" s="3"/>
    </row>
    <row r="447">
      <c r="A447" s="1"/>
      <c r="F447" s="3"/>
    </row>
    <row r="448">
      <c r="A448" s="1"/>
      <c r="F448" s="3"/>
    </row>
    <row r="449">
      <c r="A449" s="1"/>
      <c r="F449" s="3"/>
    </row>
    <row r="450">
      <c r="A450" s="1"/>
      <c r="F450" s="3"/>
    </row>
    <row r="451">
      <c r="A451" s="1"/>
      <c r="F451" s="3"/>
    </row>
    <row r="452">
      <c r="A452" s="1"/>
      <c r="F452" s="3"/>
    </row>
    <row r="453">
      <c r="A453" s="1"/>
      <c r="F453" s="3"/>
    </row>
    <row r="454">
      <c r="A454" s="1"/>
      <c r="F454" s="3"/>
    </row>
    <row r="455">
      <c r="A455" s="1"/>
      <c r="F455" s="3"/>
    </row>
    <row r="456">
      <c r="A456" s="1"/>
      <c r="F456" s="3"/>
    </row>
    <row r="457">
      <c r="A457" s="1"/>
      <c r="F457" s="3"/>
    </row>
    <row r="458">
      <c r="A458" s="1"/>
      <c r="F458" s="3"/>
    </row>
    <row r="459">
      <c r="A459" s="1"/>
      <c r="F459" s="3"/>
    </row>
    <row r="460">
      <c r="A460" s="1"/>
      <c r="F460" s="3"/>
    </row>
    <row r="461">
      <c r="A461" s="1"/>
      <c r="F461" s="3"/>
    </row>
    <row r="462">
      <c r="A462" s="1"/>
      <c r="F462" s="3"/>
    </row>
    <row r="463">
      <c r="A463" s="1"/>
      <c r="F463" s="3"/>
    </row>
    <row r="464">
      <c r="A464" s="1"/>
      <c r="F464" s="3"/>
    </row>
    <row r="465">
      <c r="A465" s="1"/>
      <c r="F465" s="3"/>
    </row>
    <row r="466">
      <c r="A466" s="1"/>
      <c r="F466" s="3"/>
    </row>
    <row r="467">
      <c r="A467" s="1"/>
      <c r="F467" s="3"/>
    </row>
    <row r="468">
      <c r="A468" s="1"/>
      <c r="F468" s="3"/>
    </row>
    <row r="469">
      <c r="A469" s="1"/>
      <c r="F469" s="3"/>
    </row>
    <row r="470">
      <c r="A470" s="1"/>
      <c r="F470" s="3"/>
    </row>
    <row r="471">
      <c r="A471" s="1"/>
      <c r="F471" s="3"/>
    </row>
    <row r="472">
      <c r="A472" s="1"/>
      <c r="F472" s="3"/>
    </row>
    <row r="473">
      <c r="A473" s="1"/>
      <c r="F473" s="3"/>
    </row>
    <row r="474">
      <c r="A474" s="1"/>
      <c r="F474" s="3"/>
    </row>
    <row r="475">
      <c r="A475" s="1"/>
      <c r="F475" s="3"/>
    </row>
    <row r="476">
      <c r="A476" s="1"/>
      <c r="F476" s="3"/>
    </row>
    <row r="477">
      <c r="A477" s="1"/>
      <c r="F477" s="3"/>
    </row>
    <row r="478">
      <c r="A478" s="1"/>
      <c r="F478" s="3"/>
    </row>
    <row r="479">
      <c r="A479" s="1"/>
      <c r="F479" s="3"/>
    </row>
    <row r="480">
      <c r="A480" s="1"/>
      <c r="F480" s="3"/>
    </row>
    <row r="481">
      <c r="A481" s="1"/>
      <c r="F481" s="3"/>
    </row>
    <row r="482">
      <c r="A482" s="1"/>
      <c r="F482" s="3"/>
    </row>
    <row r="483">
      <c r="A483" s="1"/>
      <c r="F483" s="3"/>
    </row>
    <row r="484">
      <c r="A484" s="1"/>
      <c r="F484" s="3"/>
    </row>
    <row r="485">
      <c r="A485" s="1"/>
      <c r="F485" s="3"/>
    </row>
    <row r="486">
      <c r="A486" s="1"/>
      <c r="F486" s="3"/>
    </row>
    <row r="487">
      <c r="A487" s="1"/>
      <c r="F487" s="3"/>
    </row>
    <row r="488">
      <c r="A488" s="1"/>
      <c r="F488" s="3"/>
    </row>
    <row r="489">
      <c r="A489" s="1"/>
      <c r="F489" s="3"/>
    </row>
    <row r="490">
      <c r="A490" s="1"/>
      <c r="F490" s="3"/>
    </row>
    <row r="491">
      <c r="A491" s="1"/>
      <c r="F491" s="3"/>
    </row>
    <row r="492">
      <c r="A492" s="1"/>
      <c r="F492" s="3"/>
    </row>
    <row r="493">
      <c r="A493" s="1"/>
      <c r="F493" s="3"/>
    </row>
    <row r="494">
      <c r="A494" s="1"/>
      <c r="F494" s="3"/>
    </row>
    <row r="495">
      <c r="A495" s="1"/>
      <c r="F495" s="3"/>
    </row>
    <row r="496">
      <c r="A496" s="1"/>
      <c r="F496" s="3"/>
    </row>
    <row r="497">
      <c r="A497" s="1"/>
      <c r="F497" s="3"/>
    </row>
    <row r="498">
      <c r="A498" s="1"/>
      <c r="F498" s="3"/>
    </row>
    <row r="499">
      <c r="A499" s="1"/>
      <c r="F499" s="3"/>
    </row>
    <row r="500">
      <c r="A500" s="1"/>
      <c r="F500" s="3"/>
    </row>
    <row r="501">
      <c r="A501" s="1"/>
      <c r="F501" s="3"/>
    </row>
    <row r="502">
      <c r="A502" s="1"/>
      <c r="F502" s="3"/>
    </row>
    <row r="503">
      <c r="A503" s="1"/>
      <c r="F503" s="3"/>
    </row>
    <row r="504">
      <c r="A504" s="1"/>
      <c r="F504" s="3"/>
    </row>
    <row r="505">
      <c r="A505" s="1"/>
      <c r="F505" s="3"/>
    </row>
    <row r="506">
      <c r="A506" s="1"/>
      <c r="F506" s="3"/>
    </row>
    <row r="507">
      <c r="A507" s="1"/>
      <c r="F507" s="3"/>
    </row>
    <row r="508">
      <c r="A508" s="1"/>
      <c r="F508" s="3"/>
    </row>
    <row r="509">
      <c r="A509" s="1"/>
      <c r="F509" s="3"/>
    </row>
    <row r="510">
      <c r="A510" s="1"/>
      <c r="F510" s="3"/>
    </row>
    <row r="511">
      <c r="A511" s="1"/>
      <c r="F511" s="3"/>
    </row>
    <row r="512">
      <c r="A512" s="1"/>
      <c r="F512" s="3"/>
    </row>
    <row r="513">
      <c r="A513" s="1"/>
      <c r="F513" s="3"/>
    </row>
    <row r="514">
      <c r="A514" s="1"/>
      <c r="F514" s="3"/>
    </row>
    <row r="515">
      <c r="A515" s="1"/>
      <c r="F515" s="3"/>
    </row>
    <row r="516">
      <c r="A516" s="1"/>
      <c r="F516" s="3"/>
    </row>
    <row r="517">
      <c r="A517" s="1"/>
      <c r="F517" s="3"/>
    </row>
    <row r="518">
      <c r="A518" s="1"/>
      <c r="F518" s="3"/>
    </row>
    <row r="519">
      <c r="A519" s="1"/>
      <c r="F519" s="3"/>
    </row>
    <row r="520">
      <c r="A520" s="1"/>
      <c r="F520" s="3"/>
    </row>
    <row r="521">
      <c r="A521" s="1"/>
      <c r="F521" s="3"/>
    </row>
    <row r="522">
      <c r="A522" s="1"/>
      <c r="F522" s="3"/>
    </row>
    <row r="523">
      <c r="A523" s="1"/>
      <c r="F523" s="3"/>
    </row>
    <row r="524">
      <c r="A524" s="1"/>
      <c r="F524" s="3"/>
    </row>
    <row r="525">
      <c r="A525" s="1"/>
      <c r="F525" s="3"/>
    </row>
    <row r="526">
      <c r="A526" s="1"/>
      <c r="F526" s="3"/>
    </row>
    <row r="527">
      <c r="A527" s="1"/>
      <c r="F527" s="3"/>
    </row>
    <row r="528">
      <c r="A528" s="1"/>
      <c r="F528" s="3"/>
    </row>
    <row r="529">
      <c r="A529" s="1"/>
      <c r="F529" s="3"/>
    </row>
    <row r="530">
      <c r="A530" s="1"/>
      <c r="F530" s="3"/>
    </row>
    <row r="531">
      <c r="A531" s="1"/>
      <c r="F531" s="3"/>
    </row>
    <row r="532">
      <c r="A532" s="1"/>
      <c r="F532" s="3"/>
    </row>
    <row r="533">
      <c r="A533" s="1"/>
      <c r="F533" s="3"/>
    </row>
    <row r="534">
      <c r="A534" s="1"/>
      <c r="F534" s="3"/>
    </row>
    <row r="535">
      <c r="A535" s="1"/>
      <c r="F535" s="3"/>
    </row>
    <row r="536">
      <c r="A536" s="1"/>
      <c r="F536" s="3"/>
    </row>
    <row r="537">
      <c r="A537" s="1"/>
      <c r="F537" s="3"/>
    </row>
    <row r="538">
      <c r="A538" s="1"/>
      <c r="F538" s="3"/>
    </row>
    <row r="539">
      <c r="A539" s="1"/>
      <c r="F539" s="3"/>
    </row>
    <row r="540">
      <c r="A540" s="1"/>
      <c r="F540" s="3"/>
    </row>
    <row r="541">
      <c r="A541" s="1"/>
      <c r="F541" s="3"/>
    </row>
    <row r="542">
      <c r="A542" s="1"/>
      <c r="F542" s="3"/>
    </row>
    <row r="543">
      <c r="A543" s="1"/>
      <c r="F543" s="3"/>
    </row>
    <row r="544">
      <c r="A544" s="1"/>
      <c r="F544" s="3"/>
    </row>
    <row r="545">
      <c r="A545" s="1"/>
      <c r="F545" s="3"/>
    </row>
    <row r="546">
      <c r="A546" s="1"/>
      <c r="F546" s="3"/>
    </row>
    <row r="547">
      <c r="A547" s="1"/>
      <c r="F547" s="3"/>
    </row>
    <row r="548">
      <c r="A548" s="1"/>
      <c r="F548" s="3"/>
    </row>
    <row r="549">
      <c r="A549" s="1"/>
      <c r="F549" s="3"/>
    </row>
    <row r="550">
      <c r="A550" s="1"/>
      <c r="F550" s="3"/>
    </row>
    <row r="551">
      <c r="A551" s="1"/>
      <c r="F551" s="3"/>
    </row>
    <row r="552">
      <c r="A552" s="1"/>
      <c r="F552" s="3"/>
    </row>
    <row r="553">
      <c r="A553" s="1"/>
      <c r="F553" s="3"/>
    </row>
    <row r="554">
      <c r="A554" s="1"/>
      <c r="F554" s="3"/>
    </row>
    <row r="555">
      <c r="A555" s="1"/>
      <c r="F555" s="3"/>
    </row>
    <row r="556">
      <c r="A556" s="1"/>
      <c r="F556" s="3"/>
    </row>
    <row r="557">
      <c r="A557" s="1"/>
      <c r="F557" s="3"/>
    </row>
    <row r="558">
      <c r="A558" s="1"/>
      <c r="F558" s="3"/>
    </row>
    <row r="559">
      <c r="A559" s="1"/>
      <c r="F559" s="3"/>
    </row>
    <row r="560">
      <c r="A560" s="1"/>
      <c r="F560" s="3"/>
    </row>
    <row r="561">
      <c r="A561" s="1"/>
      <c r="F561" s="3"/>
    </row>
    <row r="562">
      <c r="A562" s="1"/>
      <c r="F562" s="3"/>
    </row>
    <row r="563">
      <c r="A563" s="1"/>
      <c r="F563" s="3"/>
    </row>
    <row r="564">
      <c r="A564" s="1"/>
      <c r="F564" s="3"/>
    </row>
    <row r="565">
      <c r="A565" s="1"/>
      <c r="F565" s="3"/>
    </row>
    <row r="566">
      <c r="A566" s="1"/>
      <c r="F566" s="3"/>
    </row>
    <row r="567">
      <c r="A567" s="1"/>
      <c r="F567" s="3"/>
    </row>
    <row r="568">
      <c r="A568" s="1"/>
      <c r="F568" s="3"/>
    </row>
    <row r="569">
      <c r="A569" s="1"/>
      <c r="F569" s="3"/>
    </row>
    <row r="570">
      <c r="A570" s="1"/>
      <c r="F570" s="3"/>
    </row>
    <row r="571">
      <c r="A571" s="1"/>
      <c r="F571" s="3"/>
    </row>
    <row r="572">
      <c r="A572" s="1"/>
      <c r="F572" s="3"/>
    </row>
    <row r="573">
      <c r="A573" s="1"/>
      <c r="F573" s="3"/>
    </row>
    <row r="574">
      <c r="A574" s="1"/>
      <c r="F574" s="3"/>
    </row>
    <row r="575">
      <c r="A575" s="1"/>
      <c r="F575" s="3"/>
    </row>
    <row r="576">
      <c r="A576" s="1"/>
      <c r="F576" s="3"/>
    </row>
    <row r="577">
      <c r="A577" s="1"/>
      <c r="F577" s="3"/>
    </row>
    <row r="578">
      <c r="A578" s="1"/>
      <c r="F578" s="3"/>
    </row>
    <row r="579">
      <c r="A579" s="1"/>
      <c r="F579" s="3"/>
    </row>
    <row r="580">
      <c r="A580" s="1"/>
      <c r="F580" s="3"/>
    </row>
    <row r="581">
      <c r="A581" s="1"/>
      <c r="F581" s="3"/>
    </row>
    <row r="582">
      <c r="A582" s="1"/>
      <c r="F582" s="3"/>
    </row>
    <row r="583">
      <c r="A583" s="1"/>
      <c r="F583" s="3"/>
    </row>
    <row r="584">
      <c r="A584" s="1"/>
      <c r="F584" s="3"/>
    </row>
    <row r="585">
      <c r="A585" s="1"/>
      <c r="F585" s="3"/>
    </row>
    <row r="586">
      <c r="A586" s="1"/>
      <c r="F586" s="3"/>
    </row>
    <row r="587">
      <c r="A587" s="1"/>
      <c r="F587" s="3"/>
    </row>
    <row r="588">
      <c r="A588" s="1"/>
      <c r="F588" s="3"/>
    </row>
    <row r="589">
      <c r="A589" s="1"/>
      <c r="F589" s="3"/>
    </row>
    <row r="590">
      <c r="A590" s="1"/>
      <c r="F590" s="3"/>
    </row>
    <row r="591">
      <c r="A591" s="1"/>
      <c r="F591" s="3"/>
    </row>
    <row r="592">
      <c r="A592" s="1"/>
      <c r="F592" s="3"/>
    </row>
    <row r="593">
      <c r="A593" s="1"/>
      <c r="F593" s="3"/>
    </row>
    <row r="594">
      <c r="A594" s="1"/>
      <c r="F594" s="3"/>
    </row>
    <row r="595">
      <c r="A595" s="1"/>
      <c r="F595" s="3"/>
    </row>
    <row r="596">
      <c r="A596" s="1"/>
      <c r="F596" s="3"/>
    </row>
    <row r="597">
      <c r="A597" s="1"/>
      <c r="F597" s="3"/>
    </row>
    <row r="598">
      <c r="A598" s="1"/>
      <c r="F598" s="3"/>
    </row>
    <row r="599">
      <c r="A599" s="1"/>
      <c r="F599" s="3"/>
    </row>
    <row r="600">
      <c r="A600" s="1"/>
      <c r="F600" s="3"/>
    </row>
    <row r="601">
      <c r="A601" s="1"/>
      <c r="F601" s="3"/>
    </row>
    <row r="602">
      <c r="A602" s="1"/>
      <c r="F602" s="3"/>
    </row>
    <row r="603">
      <c r="A603" s="1"/>
      <c r="F603" s="3"/>
    </row>
    <row r="604">
      <c r="A604" s="1"/>
      <c r="F604" s="3"/>
    </row>
    <row r="605">
      <c r="A605" s="1"/>
      <c r="F605" s="3"/>
    </row>
    <row r="606">
      <c r="A606" s="1"/>
      <c r="F606" s="3"/>
    </row>
    <row r="607">
      <c r="A607" s="1"/>
      <c r="F607" s="3"/>
    </row>
    <row r="608">
      <c r="A608" s="1"/>
      <c r="F608" s="3"/>
    </row>
    <row r="609">
      <c r="A609" s="1"/>
      <c r="F609" s="3"/>
    </row>
    <row r="610">
      <c r="A610" s="1"/>
      <c r="F610" s="3"/>
    </row>
    <row r="611">
      <c r="A611" s="1"/>
      <c r="F611" s="3"/>
    </row>
    <row r="612">
      <c r="A612" s="1"/>
      <c r="F612" s="3"/>
    </row>
    <row r="613">
      <c r="A613" s="1"/>
      <c r="F613" s="3"/>
    </row>
    <row r="614">
      <c r="A614" s="1"/>
      <c r="F614" s="3"/>
    </row>
    <row r="615">
      <c r="A615" s="1"/>
      <c r="F615" s="3"/>
    </row>
    <row r="616">
      <c r="A616" s="1"/>
      <c r="F616" s="3"/>
    </row>
    <row r="617">
      <c r="A617" s="1"/>
      <c r="F617" s="3"/>
    </row>
    <row r="618">
      <c r="A618" s="1"/>
      <c r="F618" s="3"/>
    </row>
    <row r="619">
      <c r="A619" s="1"/>
      <c r="F619" s="3"/>
    </row>
    <row r="620">
      <c r="A620" s="1"/>
      <c r="F620" s="3"/>
    </row>
    <row r="621">
      <c r="A621" s="1"/>
      <c r="F621" s="3"/>
    </row>
    <row r="622">
      <c r="A622" s="1"/>
      <c r="F622" s="3"/>
    </row>
    <row r="623">
      <c r="A623" s="1"/>
      <c r="F623" s="3"/>
    </row>
    <row r="624">
      <c r="A624" s="1"/>
      <c r="F624" s="3"/>
    </row>
    <row r="625">
      <c r="A625" s="1"/>
      <c r="F625" s="3"/>
    </row>
    <row r="626">
      <c r="A626" s="1"/>
      <c r="F626" s="3"/>
    </row>
    <row r="627">
      <c r="A627" s="1"/>
      <c r="F627" s="3"/>
    </row>
    <row r="628">
      <c r="A628" s="1"/>
      <c r="F628" s="3"/>
    </row>
    <row r="629">
      <c r="A629" s="1"/>
      <c r="F629" s="3"/>
    </row>
    <row r="630">
      <c r="A630" s="1"/>
      <c r="F630" s="3"/>
    </row>
    <row r="631">
      <c r="A631" s="1"/>
      <c r="F631" s="3"/>
    </row>
    <row r="632">
      <c r="A632" s="1"/>
      <c r="F632" s="3"/>
    </row>
    <row r="633">
      <c r="A633" s="1"/>
      <c r="F633" s="3"/>
    </row>
    <row r="634">
      <c r="A634" s="1"/>
      <c r="F634" s="3"/>
    </row>
    <row r="635">
      <c r="A635" s="1"/>
      <c r="F635" s="3"/>
    </row>
    <row r="636">
      <c r="A636" s="1"/>
      <c r="F636" s="3"/>
    </row>
    <row r="637">
      <c r="A637" s="1"/>
      <c r="F637" s="3"/>
    </row>
    <row r="638">
      <c r="A638" s="1"/>
      <c r="F638" s="3"/>
    </row>
    <row r="639">
      <c r="A639" s="1"/>
      <c r="F639" s="3"/>
    </row>
    <row r="640">
      <c r="A640" s="1"/>
      <c r="F640" s="3"/>
    </row>
    <row r="641">
      <c r="A641" s="1"/>
      <c r="F641" s="3"/>
    </row>
    <row r="642">
      <c r="A642" s="1"/>
      <c r="F642" s="3"/>
    </row>
    <row r="643">
      <c r="A643" s="1"/>
      <c r="F643" s="3"/>
    </row>
    <row r="644">
      <c r="A644" s="1"/>
      <c r="F644" s="3"/>
    </row>
    <row r="645">
      <c r="A645" s="1"/>
      <c r="F645" s="3"/>
    </row>
    <row r="646">
      <c r="A646" s="1"/>
      <c r="F646" s="3"/>
    </row>
    <row r="647">
      <c r="A647" s="1"/>
      <c r="F647" s="3"/>
    </row>
    <row r="648">
      <c r="A648" s="1"/>
      <c r="F648" s="3"/>
    </row>
    <row r="649">
      <c r="A649" s="1"/>
      <c r="F649" s="3"/>
    </row>
    <row r="650">
      <c r="A650" s="1"/>
      <c r="F650" s="3"/>
    </row>
    <row r="651">
      <c r="A651" s="1"/>
      <c r="F651" s="3"/>
    </row>
    <row r="652">
      <c r="A652" s="1"/>
      <c r="F652" s="3"/>
    </row>
    <row r="653">
      <c r="A653" s="1"/>
      <c r="F653" s="3"/>
    </row>
    <row r="654">
      <c r="A654" s="1"/>
      <c r="F654" s="3"/>
    </row>
    <row r="655">
      <c r="A655" s="1"/>
      <c r="F655" s="3"/>
    </row>
    <row r="656">
      <c r="A656" s="1"/>
      <c r="F656" s="3"/>
    </row>
    <row r="657">
      <c r="A657" s="1"/>
      <c r="F657" s="3"/>
    </row>
    <row r="658">
      <c r="A658" s="1"/>
      <c r="F658" s="3"/>
    </row>
    <row r="659">
      <c r="A659" s="1"/>
      <c r="F659" s="3"/>
    </row>
    <row r="660">
      <c r="A660" s="1"/>
      <c r="F660" s="3"/>
    </row>
    <row r="661">
      <c r="A661" s="1"/>
      <c r="F661" s="3"/>
    </row>
    <row r="662">
      <c r="A662" s="1"/>
      <c r="F662" s="3"/>
    </row>
    <row r="663">
      <c r="A663" s="1"/>
      <c r="F663" s="3"/>
    </row>
    <row r="664">
      <c r="A664" s="1"/>
      <c r="F664" s="3"/>
    </row>
    <row r="665">
      <c r="A665" s="1"/>
      <c r="F665" s="3"/>
    </row>
    <row r="666">
      <c r="A666" s="1"/>
      <c r="F666" s="3"/>
    </row>
    <row r="667">
      <c r="A667" s="1"/>
      <c r="F667" s="3"/>
    </row>
    <row r="668">
      <c r="A668" s="1"/>
      <c r="F668" s="3"/>
    </row>
    <row r="669">
      <c r="A669" s="1"/>
      <c r="F669" s="3"/>
    </row>
    <row r="670">
      <c r="A670" s="1"/>
      <c r="F670" s="3"/>
    </row>
    <row r="671">
      <c r="A671" s="1"/>
      <c r="F671" s="3"/>
    </row>
    <row r="672">
      <c r="A672" s="1"/>
      <c r="F672" s="3"/>
    </row>
    <row r="673">
      <c r="A673" s="1"/>
      <c r="F673" s="3"/>
    </row>
    <row r="674">
      <c r="A674" s="1"/>
      <c r="F674" s="3"/>
    </row>
    <row r="675">
      <c r="A675" s="1"/>
      <c r="F675" s="3"/>
    </row>
    <row r="676">
      <c r="A676" s="1"/>
      <c r="F676" s="3"/>
    </row>
    <row r="677">
      <c r="A677" s="1"/>
      <c r="F677" s="3"/>
    </row>
    <row r="678">
      <c r="A678" s="1"/>
      <c r="F678" s="3"/>
    </row>
    <row r="679">
      <c r="A679" s="1"/>
      <c r="F679" s="3"/>
    </row>
    <row r="680">
      <c r="A680" s="1"/>
      <c r="F680" s="3"/>
    </row>
    <row r="681">
      <c r="A681" s="1"/>
      <c r="F681" s="3"/>
    </row>
    <row r="682">
      <c r="A682" s="1"/>
      <c r="F682" s="3"/>
    </row>
    <row r="683">
      <c r="A683" s="1"/>
      <c r="F683" s="3"/>
    </row>
    <row r="684">
      <c r="A684" s="1"/>
      <c r="F684" s="3"/>
    </row>
    <row r="685">
      <c r="A685" s="1"/>
      <c r="F685" s="3"/>
    </row>
    <row r="686">
      <c r="A686" s="1"/>
      <c r="F686" s="3"/>
    </row>
    <row r="687">
      <c r="A687" s="1"/>
      <c r="F687" s="3"/>
    </row>
    <row r="688">
      <c r="A688" s="1"/>
      <c r="F688" s="3"/>
    </row>
    <row r="689">
      <c r="A689" s="1"/>
      <c r="F689" s="3"/>
    </row>
    <row r="690">
      <c r="A690" s="1"/>
      <c r="F690" s="3"/>
    </row>
    <row r="691">
      <c r="A691" s="1"/>
      <c r="F691" s="3"/>
    </row>
    <row r="692">
      <c r="A692" s="1"/>
      <c r="F692" s="3"/>
    </row>
    <row r="693">
      <c r="A693" s="1"/>
      <c r="F693" s="3"/>
    </row>
    <row r="694">
      <c r="A694" s="1"/>
      <c r="F694" s="3"/>
    </row>
    <row r="695">
      <c r="A695" s="1"/>
      <c r="F695" s="3"/>
    </row>
    <row r="696">
      <c r="A696" s="1"/>
      <c r="F696" s="3"/>
    </row>
    <row r="697">
      <c r="A697" s="1"/>
      <c r="F697" s="3"/>
    </row>
    <row r="698">
      <c r="A698" s="1"/>
      <c r="F698" s="3"/>
    </row>
    <row r="699">
      <c r="A699" s="1"/>
      <c r="F699" s="3"/>
    </row>
    <row r="700">
      <c r="A700" s="1"/>
      <c r="F700" s="3"/>
    </row>
    <row r="701">
      <c r="A701" s="1"/>
      <c r="F701" s="3"/>
    </row>
    <row r="702">
      <c r="A702" s="1"/>
      <c r="F702" s="3"/>
    </row>
    <row r="703">
      <c r="A703" s="1"/>
      <c r="F703" s="3"/>
    </row>
    <row r="704">
      <c r="A704" s="1"/>
      <c r="F704" s="3"/>
    </row>
    <row r="705">
      <c r="A705" s="1"/>
      <c r="F705" s="3"/>
    </row>
    <row r="706">
      <c r="A706" s="1"/>
      <c r="F706" s="3"/>
    </row>
    <row r="707">
      <c r="A707" s="1"/>
      <c r="F707" s="3"/>
    </row>
    <row r="708">
      <c r="A708" s="1"/>
      <c r="F708" s="3"/>
    </row>
    <row r="709">
      <c r="A709" s="1"/>
      <c r="F709" s="3"/>
    </row>
    <row r="710">
      <c r="A710" s="1"/>
      <c r="F710" s="3"/>
    </row>
    <row r="711">
      <c r="A711" s="1"/>
      <c r="F711" s="3"/>
    </row>
    <row r="712">
      <c r="A712" s="1"/>
      <c r="F712" s="3"/>
    </row>
    <row r="713">
      <c r="A713" s="1"/>
      <c r="F713" s="3"/>
    </row>
    <row r="714">
      <c r="A714" s="1"/>
      <c r="F714" s="3"/>
    </row>
    <row r="715">
      <c r="A715" s="1"/>
      <c r="F715" s="3"/>
    </row>
    <row r="716">
      <c r="A716" s="1"/>
      <c r="F716" s="3"/>
    </row>
    <row r="717">
      <c r="A717" s="1"/>
      <c r="F717" s="3"/>
    </row>
    <row r="718">
      <c r="A718" s="1"/>
      <c r="F718" s="3"/>
    </row>
    <row r="719">
      <c r="A719" s="1"/>
      <c r="F719" s="3"/>
    </row>
    <row r="720">
      <c r="A720" s="1"/>
      <c r="F720" s="3"/>
    </row>
    <row r="721">
      <c r="A721" s="1"/>
      <c r="F721" s="3"/>
    </row>
    <row r="722">
      <c r="A722" s="1"/>
      <c r="F722" s="3"/>
    </row>
    <row r="723">
      <c r="A723" s="1"/>
      <c r="F723" s="3"/>
    </row>
    <row r="724">
      <c r="A724" s="1"/>
      <c r="F724" s="3"/>
    </row>
    <row r="725">
      <c r="A725" s="1"/>
      <c r="F725" s="3"/>
    </row>
    <row r="726">
      <c r="A726" s="1"/>
      <c r="F726" s="3"/>
    </row>
    <row r="727">
      <c r="A727" s="1"/>
      <c r="F727" s="3"/>
    </row>
    <row r="728">
      <c r="A728" s="1"/>
      <c r="F728" s="3"/>
    </row>
    <row r="729">
      <c r="A729" s="1"/>
      <c r="F729" s="3"/>
    </row>
    <row r="730">
      <c r="A730" s="1"/>
      <c r="F730" s="3"/>
    </row>
    <row r="731">
      <c r="A731" s="1"/>
      <c r="F731" s="3"/>
    </row>
    <row r="732">
      <c r="A732" s="1"/>
      <c r="F732" s="3"/>
    </row>
    <row r="733">
      <c r="A733" s="1"/>
      <c r="F733" s="3"/>
    </row>
    <row r="734">
      <c r="A734" s="1"/>
      <c r="F734" s="3"/>
    </row>
    <row r="735">
      <c r="A735" s="1"/>
      <c r="F735" s="3"/>
    </row>
    <row r="736">
      <c r="A736" s="1"/>
      <c r="F736" s="3"/>
    </row>
    <row r="737">
      <c r="A737" s="1"/>
      <c r="F737" s="3"/>
    </row>
    <row r="738">
      <c r="A738" s="1"/>
      <c r="F738" s="3"/>
    </row>
    <row r="739">
      <c r="A739" s="1"/>
      <c r="F739" s="3"/>
    </row>
    <row r="740">
      <c r="A740" s="1"/>
      <c r="F740" s="3"/>
    </row>
    <row r="741">
      <c r="A741" s="1"/>
      <c r="F741" s="3"/>
    </row>
    <row r="742">
      <c r="A742" s="1"/>
      <c r="F742" s="3"/>
    </row>
    <row r="743">
      <c r="A743" s="1"/>
      <c r="F743" s="3"/>
    </row>
    <row r="744">
      <c r="A744" s="1"/>
      <c r="F744" s="3"/>
    </row>
    <row r="745">
      <c r="A745" s="1"/>
      <c r="F745" s="3"/>
    </row>
    <row r="746">
      <c r="A746" s="1"/>
      <c r="F746" s="3"/>
    </row>
    <row r="747">
      <c r="A747" s="1"/>
      <c r="F747" s="3"/>
    </row>
    <row r="748">
      <c r="A748" s="1"/>
      <c r="F748" s="3"/>
    </row>
    <row r="749">
      <c r="A749" s="1"/>
      <c r="F749" s="3"/>
    </row>
    <row r="750">
      <c r="A750" s="1"/>
      <c r="F750" s="3"/>
    </row>
    <row r="751">
      <c r="A751" s="1"/>
      <c r="F751" s="3"/>
    </row>
    <row r="752">
      <c r="A752" s="1"/>
      <c r="F752" s="3"/>
    </row>
    <row r="753">
      <c r="A753" s="1"/>
      <c r="F753" s="3"/>
    </row>
    <row r="754">
      <c r="A754" s="1"/>
      <c r="F754" s="3"/>
    </row>
    <row r="755">
      <c r="A755" s="1"/>
      <c r="F755" s="3"/>
    </row>
    <row r="756">
      <c r="A756" s="1"/>
      <c r="F756" s="3"/>
    </row>
    <row r="757">
      <c r="A757" s="1"/>
      <c r="F757" s="3"/>
    </row>
    <row r="758">
      <c r="A758" s="1"/>
      <c r="F758" s="3"/>
    </row>
    <row r="759">
      <c r="A759" s="1"/>
      <c r="F759" s="3"/>
    </row>
    <row r="760">
      <c r="A760" s="1"/>
      <c r="F760" s="3"/>
    </row>
    <row r="761">
      <c r="A761" s="1"/>
      <c r="F761" s="3"/>
    </row>
    <row r="762">
      <c r="A762" s="1"/>
      <c r="F762" s="3"/>
    </row>
    <row r="763">
      <c r="A763" s="1"/>
      <c r="F763" s="3"/>
    </row>
    <row r="764">
      <c r="A764" s="1"/>
      <c r="F764" s="3"/>
    </row>
    <row r="765">
      <c r="A765" s="1"/>
      <c r="F765" s="3"/>
    </row>
    <row r="766">
      <c r="A766" s="1"/>
      <c r="F766" s="3"/>
    </row>
    <row r="767">
      <c r="A767" s="1"/>
      <c r="F767" s="3"/>
    </row>
    <row r="768">
      <c r="A768" s="1"/>
      <c r="F768" s="3"/>
    </row>
    <row r="769">
      <c r="A769" s="1"/>
      <c r="F769" s="3"/>
    </row>
    <row r="770">
      <c r="A770" s="1"/>
      <c r="F770" s="3"/>
    </row>
    <row r="771">
      <c r="A771" s="1"/>
      <c r="F771" s="3"/>
    </row>
    <row r="772">
      <c r="A772" s="1"/>
      <c r="F772" s="3"/>
    </row>
    <row r="773">
      <c r="A773" s="1"/>
      <c r="F773" s="3"/>
    </row>
    <row r="774">
      <c r="A774" s="1"/>
      <c r="F774" s="3"/>
    </row>
    <row r="775">
      <c r="A775" s="1"/>
      <c r="F775" s="3"/>
    </row>
    <row r="776">
      <c r="A776" s="1"/>
      <c r="F776" s="3"/>
    </row>
    <row r="777">
      <c r="A777" s="1"/>
      <c r="F777" s="3"/>
    </row>
    <row r="778">
      <c r="A778" s="1"/>
      <c r="F778" s="3"/>
    </row>
    <row r="779">
      <c r="A779" s="1"/>
      <c r="F779" s="3"/>
    </row>
    <row r="780">
      <c r="A780" s="1"/>
      <c r="F780" s="3"/>
    </row>
    <row r="781">
      <c r="A781" s="1"/>
      <c r="F781" s="3"/>
    </row>
    <row r="782">
      <c r="A782" s="1"/>
      <c r="F782" s="3"/>
    </row>
    <row r="783">
      <c r="A783" s="1"/>
      <c r="F783" s="3"/>
    </row>
    <row r="784">
      <c r="A784" s="1"/>
      <c r="F784" s="3"/>
    </row>
    <row r="785">
      <c r="A785" s="1"/>
      <c r="F785" s="3"/>
    </row>
    <row r="786">
      <c r="A786" s="1"/>
      <c r="F786" s="3"/>
    </row>
    <row r="787">
      <c r="A787" s="1"/>
      <c r="F787" s="3"/>
    </row>
    <row r="788">
      <c r="A788" s="1"/>
      <c r="F788" s="3"/>
    </row>
    <row r="789">
      <c r="A789" s="1"/>
      <c r="F789" s="3"/>
    </row>
    <row r="790">
      <c r="A790" s="1"/>
      <c r="F790" s="3"/>
    </row>
    <row r="791">
      <c r="A791" s="1"/>
      <c r="F791" s="3"/>
    </row>
    <row r="792">
      <c r="A792" s="1"/>
      <c r="F792" s="3"/>
    </row>
    <row r="793">
      <c r="A793" s="1"/>
      <c r="F793" s="3"/>
    </row>
    <row r="794">
      <c r="A794" s="1"/>
      <c r="F794" s="3"/>
    </row>
    <row r="795">
      <c r="A795" s="1"/>
      <c r="F795" s="3"/>
    </row>
    <row r="796">
      <c r="A796" s="1"/>
      <c r="F796" s="3"/>
    </row>
    <row r="797">
      <c r="A797" s="1"/>
      <c r="F797" s="3"/>
    </row>
    <row r="798">
      <c r="A798" s="1"/>
      <c r="F798" s="3"/>
    </row>
    <row r="799">
      <c r="A799" s="1"/>
      <c r="F799" s="3"/>
    </row>
    <row r="800">
      <c r="A800" s="1"/>
      <c r="F800" s="3"/>
    </row>
    <row r="801">
      <c r="A801" s="1"/>
      <c r="F801" s="3"/>
    </row>
    <row r="802">
      <c r="A802" s="1"/>
      <c r="F802" s="3"/>
    </row>
    <row r="803">
      <c r="A803" s="1"/>
      <c r="F803" s="3"/>
    </row>
    <row r="804">
      <c r="A804" s="1"/>
      <c r="F804" s="3"/>
    </row>
    <row r="805">
      <c r="A805" s="1"/>
      <c r="F805" s="3"/>
    </row>
    <row r="806">
      <c r="A806" s="1"/>
      <c r="F806" s="3"/>
    </row>
    <row r="807">
      <c r="A807" s="1"/>
      <c r="F807" s="3"/>
    </row>
    <row r="808">
      <c r="A808" s="1"/>
      <c r="F808" s="3"/>
    </row>
    <row r="809">
      <c r="A809" s="1"/>
      <c r="F809" s="3"/>
    </row>
    <row r="810">
      <c r="A810" s="1"/>
      <c r="F810" s="3"/>
    </row>
    <row r="811">
      <c r="A811" s="1"/>
      <c r="F811" s="3"/>
    </row>
    <row r="812">
      <c r="A812" s="1"/>
      <c r="F812" s="3"/>
    </row>
    <row r="813">
      <c r="A813" s="1"/>
      <c r="F813" s="3"/>
    </row>
    <row r="814">
      <c r="A814" s="1"/>
      <c r="F814" s="3"/>
    </row>
    <row r="815">
      <c r="A815" s="1"/>
      <c r="F815" s="3"/>
    </row>
    <row r="816">
      <c r="A816" s="1"/>
      <c r="F816" s="3"/>
    </row>
    <row r="817">
      <c r="A817" s="1"/>
      <c r="F817" s="3"/>
    </row>
    <row r="818">
      <c r="A818" s="1"/>
      <c r="F818" s="3"/>
    </row>
    <row r="819">
      <c r="A819" s="1"/>
      <c r="F819" s="3"/>
    </row>
    <row r="820">
      <c r="A820" s="1"/>
      <c r="F820" s="3"/>
    </row>
    <row r="821">
      <c r="A821" s="1"/>
      <c r="F821" s="3"/>
    </row>
    <row r="822">
      <c r="A822" s="1"/>
      <c r="F822" s="3"/>
    </row>
    <row r="823">
      <c r="A823" s="1"/>
      <c r="F823" s="3"/>
    </row>
    <row r="824">
      <c r="A824" s="1"/>
      <c r="F824" s="3"/>
    </row>
    <row r="825">
      <c r="A825" s="1"/>
      <c r="F825" s="3"/>
    </row>
    <row r="826">
      <c r="A826" s="1"/>
      <c r="F826" s="3"/>
    </row>
    <row r="827">
      <c r="A827" s="1"/>
      <c r="F827" s="3"/>
    </row>
    <row r="828">
      <c r="A828" s="1"/>
      <c r="F828" s="3"/>
    </row>
    <row r="829">
      <c r="A829" s="1"/>
      <c r="F829" s="3"/>
    </row>
    <row r="830">
      <c r="A830" s="1"/>
      <c r="F830" s="3"/>
    </row>
    <row r="831">
      <c r="A831" s="1"/>
      <c r="F831" s="3"/>
    </row>
    <row r="832">
      <c r="A832" s="1"/>
      <c r="F832" s="3"/>
    </row>
    <row r="833">
      <c r="A833" s="1"/>
      <c r="F833" s="3"/>
    </row>
    <row r="834">
      <c r="A834" s="1"/>
      <c r="F834" s="3"/>
    </row>
    <row r="835">
      <c r="A835" s="1"/>
      <c r="F835" s="3"/>
    </row>
    <row r="836">
      <c r="A836" s="1"/>
      <c r="F836" s="3"/>
    </row>
    <row r="837">
      <c r="A837" s="1"/>
      <c r="F837" s="3"/>
    </row>
    <row r="838">
      <c r="A838" s="1"/>
      <c r="F838" s="3"/>
    </row>
    <row r="839">
      <c r="A839" s="1"/>
      <c r="F839" s="3"/>
    </row>
    <row r="840">
      <c r="A840" s="1"/>
      <c r="F840" s="3"/>
    </row>
    <row r="841">
      <c r="A841" s="1"/>
      <c r="F841" s="3"/>
    </row>
    <row r="842">
      <c r="A842" s="1"/>
      <c r="F842" s="3"/>
    </row>
    <row r="843">
      <c r="A843" s="1"/>
      <c r="F843" s="3"/>
    </row>
    <row r="844">
      <c r="A844" s="1"/>
      <c r="F844" s="3"/>
    </row>
    <row r="845">
      <c r="A845" s="1"/>
      <c r="F845" s="3"/>
    </row>
    <row r="846">
      <c r="A846" s="1"/>
      <c r="F846" s="3"/>
    </row>
    <row r="847">
      <c r="A847" s="1"/>
      <c r="F847" s="3"/>
    </row>
    <row r="848">
      <c r="A848" s="1"/>
      <c r="F848" s="3"/>
    </row>
    <row r="849">
      <c r="A849" s="1"/>
      <c r="F849" s="3"/>
    </row>
    <row r="850">
      <c r="A850" s="1"/>
      <c r="F850" s="3"/>
    </row>
    <row r="851">
      <c r="A851" s="1"/>
      <c r="F851" s="3"/>
    </row>
    <row r="852">
      <c r="A852" s="1"/>
      <c r="F852" s="3"/>
    </row>
    <row r="853">
      <c r="A853" s="1"/>
      <c r="F853" s="3"/>
    </row>
    <row r="854">
      <c r="A854" s="1"/>
      <c r="F854" s="3"/>
    </row>
    <row r="855">
      <c r="A855" s="1"/>
      <c r="F855" s="3"/>
    </row>
    <row r="856">
      <c r="A856" s="1"/>
      <c r="F856" s="3"/>
    </row>
    <row r="857">
      <c r="A857" s="1"/>
      <c r="F857" s="3"/>
    </row>
    <row r="858">
      <c r="A858" s="1"/>
      <c r="F858" s="3"/>
    </row>
    <row r="859">
      <c r="A859" s="1"/>
      <c r="F859" s="3"/>
    </row>
    <row r="860">
      <c r="A860" s="1"/>
      <c r="F860" s="3"/>
    </row>
    <row r="861">
      <c r="A861" s="1"/>
      <c r="F861" s="3"/>
    </row>
    <row r="862">
      <c r="A862" s="1"/>
      <c r="F862" s="3"/>
    </row>
    <row r="863">
      <c r="A863" s="1"/>
      <c r="F863" s="3"/>
    </row>
    <row r="864">
      <c r="A864" s="1"/>
      <c r="F864" s="3"/>
    </row>
    <row r="865">
      <c r="A865" s="1"/>
      <c r="F865" s="3"/>
    </row>
    <row r="866">
      <c r="A866" s="1"/>
      <c r="F866" s="3"/>
    </row>
    <row r="867">
      <c r="A867" s="1"/>
      <c r="F867" s="3"/>
    </row>
    <row r="868">
      <c r="A868" s="1"/>
      <c r="F868" s="3"/>
    </row>
    <row r="869">
      <c r="A869" s="1"/>
      <c r="F869" s="3"/>
    </row>
    <row r="870">
      <c r="A870" s="1"/>
      <c r="F870" s="3"/>
    </row>
    <row r="871">
      <c r="A871" s="1"/>
      <c r="F871" s="3"/>
    </row>
    <row r="872">
      <c r="A872" s="1"/>
      <c r="F872" s="3"/>
    </row>
    <row r="873">
      <c r="A873" s="1"/>
      <c r="F873" s="3"/>
    </row>
    <row r="874">
      <c r="A874" s="1"/>
      <c r="F874" s="3"/>
    </row>
    <row r="875">
      <c r="A875" s="1"/>
      <c r="F875" s="3"/>
    </row>
    <row r="876">
      <c r="A876" s="1"/>
      <c r="F876" s="3"/>
    </row>
    <row r="877">
      <c r="A877" s="1"/>
      <c r="F877" s="3"/>
    </row>
    <row r="878">
      <c r="A878" s="1"/>
      <c r="F878" s="3"/>
    </row>
    <row r="879">
      <c r="A879" s="1"/>
      <c r="F879" s="3"/>
    </row>
    <row r="880">
      <c r="A880" s="1"/>
      <c r="F880" s="3"/>
    </row>
    <row r="881">
      <c r="A881" s="1"/>
      <c r="F881" s="3"/>
    </row>
    <row r="882">
      <c r="A882" s="1"/>
      <c r="F882" s="3"/>
    </row>
    <row r="883">
      <c r="A883" s="1"/>
      <c r="F883" s="3"/>
    </row>
    <row r="884">
      <c r="A884" s="1"/>
      <c r="F884" s="3"/>
    </row>
    <row r="885">
      <c r="A885" s="1"/>
      <c r="F885" s="3"/>
    </row>
    <row r="886">
      <c r="A886" s="1"/>
      <c r="F886" s="3"/>
    </row>
    <row r="887">
      <c r="A887" s="1"/>
      <c r="F887" s="3"/>
    </row>
    <row r="888">
      <c r="A888" s="1"/>
      <c r="F888" s="3"/>
    </row>
    <row r="889">
      <c r="A889" s="1"/>
      <c r="F889" s="3"/>
    </row>
    <row r="890">
      <c r="A890" s="1"/>
      <c r="F890" s="3"/>
    </row>
    <row r="891">
      <c r="A891" s="1"/>
      <c r="F891" s="3"/>
    </row>
    <row r="892">
      <c r="A892" s="1"/>
      <c r="F892" s="3"/>
    </row>
    <row r="893">
      <c r="A893" s="1"/>
      <c r="F893" s="3"/>
    </row>
    <row r="894">
      <c r="A894" s="1"/>
      <c r="F894" s="3"/>
    </row>
    <row r="895">
      <c r="A895" s="1"/>
      <c r="F895" s="3"/>
    </row>
    <row r="896">
      <c r="A896" s="1"/>
      <c r="F896" s="3"/>
    </row>
    <row r="897">
      <c r="A897" s="1"/>
      <c r="F897" s="3"/>
    </row>
    <row r="898">
      <c r="A898" s="1"/>
      <c r="F898" s="3"/>
    </row>
    <row r="899">
      <c r="A899" s="1"/>
      <c r="F899" s="3"/>
    </row>
    <row r="900">
      <c r="A900" s="1"/>
      <c r="F900" s="3"/>
    </row>
    <row r="901">
      <c r="A901" s="1"/>
      <c r="F901" s="3"/>
    </row>
    <row r="902">
      <c r="A902" s="1"/>
      <c r="F902" s="3"/>
    </row>
    <row r="903">
      <c r="A903" s="1"/>
      <c r="F903" s="3"/>
    </row>
    <row r="904">
      <c r="A904" s="1"/>
      <c r="F904" s="3"/>
    </row>
    <row r="905">
      <c r="A905" s="1"/>
      <c r="F905" s="3"/>
    </row>
    <row r="906">
      <c r="A906" s="1"/>
      <c r="F906" s="3"/>
    </row>
    <row r="907">
      <c r="A907" s="1"/>
      <c r="F907" s="3"/>
    </row>
    <row r="908">
      <c r="A908" s="1"/>
      <c r="F908" s="3"/>
    </row>
    <row r="909">
      <c r="A909" s="1"/>
      <c r="F909" s="3"/>
    </row>
    <row r="910">
      <c r="A910" s="1"/>
      <c r="F910" s="3"/>
    </row>
    <row r="911">
      <c r="A911" s="1"/>
      <c r="F911" s="3"/>
    </row>
    <row r="912">
      <c r="A912" s="1"/>
      <c r="F912" s="3"/>
    </row>
    <row r="913">
      <c r="A913" s="1"/>
      <c r="F913" s="3"/>
    </row>
    <row r="914">
      <c r="A914" s="1"/>
      <c r="F914" s="3"/>
    </row>
    <row r="915">
      <c r="A915" s="1"/>
      <c r="F915" s="3"/>
    </row>
    <row r="916">
      <c r="A916" s="1"/>
      <c r="F916" s="3"/>
    </row>
    <row r="917">
      <c r="A917" s="1"/>
      <c r="F917" s="3"/>
    </row>
    <row r="918">
      <c r="A918" s="1"/>
      <c r="F918" s="3"/>
    </row>
    <row r="919">
      <c r="A919" s="1"/>
      <c r="F919" s="3"/>
    </row>
    <row r="920">
      <c r="A920" s="1"/>
      <c r="F920" s="3"/>
    </row>
    <row r="921">
      <c r="A921" s="1"/>
      <c r="F921" s="3"/>
    </row>
    <row r="922">
      <c r="A922" s="1"/>
      <c r="F922" s="3"/>
    </row>
    <row r="923">
      <c r="A923" s="1"/>
      <c r="F923" s="3"/>
    </row>
    <row r="924">
      <c r="A924" s="1"/>
      <c r="F924" s="3"/>
    </row>
    <row r="925">
      <c r="A925" s="1"/>
      <c r="F925" s="3"/>
    </row>
    <row r="926">
      <c r="A926" s="1"/>
      <c r="F926" s="3"/>
    </row>
    <row r="927">
      <c r="A927" s="1"/>
      <c r="F927" s="3"/>
    </row>
    <row r="928">
      <c r="A928" s="1"/>
      <c r="F928" s="3"/>
    </row>
    <row r="929">
      <c r="A929" s="1"/>
      <c r="F929" s="3"/>
    </row>
    <row r="930">
      <c r="A930" s="1"/>
      <c r="F930" s="3"/>
    </row>
    <row r="931">
      <c r="A931" s="1"/>
      <c r="F931" s="3"/>
    </row>
    <row r="932">
      <c r="A932" s="1"/>
      <c r="F932" s="3"/>
    </row>
    <row r="933">
      <c r="A933" s="1"/>
      <c r="F933" s="3"/>
    </row>
    <row r="934">
      <c r="A934" s="1"/>
      <c r="F934" s="3"/>
    </row>
    <row r="935">
      <c r="A935" s="1"/>
      <c r="F935" s="3"/>
    </row>
    <row r="936">
      <c r="A936" s="1"/>
      <c r="F936" s="3"/>
    </row>
    <row r="937">
      <c r="A937" s="1"/>
      <c r="F937" s="3"/>
    </row>
    <row r="938">
      <c r="A938" s="1"/>
      <c r="F938" s="3"/>
    </row>
    <row r="939">
      <c r="A939" s="1"/>
      <c r="F939" s="3"/>
    </row>
    <row r="940">
      <c r="A940" s="1"/>
      <c r="F940" s="3"/>
    </row>
    <row r="941">
      <c r="A941" s="1"/>
      <c r="F941" s="3"/>
    </row>
    <row r="942">
      <c r="A942" s="1"/>
      <c r="F942" s="3"/>
    </row>
    <row r="943">
      <c r="A943" s="1"/>
      <c r="F943" s="3"/>
    </row>
    <row r="944">
      <c r="A944" s="1"/>
      <c r="F944" s="3"/>
    </row>
    <row r="945">
      <c r="A945" s="1"/>
      <c r="F945" s="3"/>
    </row>
    <row r="946">
      <c r="A946" s="1"/>
      <c r="F946" s="3"/>
    </row>
    <row r="947">
      <c r="A947" s="1"/>
      <c r="F947" s="3"/>
    </row>
    <row r="948">
      <c r="A948" s="1"/>
      <c r="F948" s="3"/>
    </row>
    <row r="949">
      <c r="A949" s="1"/>
      <c r="F949" s="3"/>
    </row>
    <row r="950">
      <c r="A950" s="1"/>
      <c r="F950" s="3"/>
    </row>
    <row r="951">
      <c r="A951" s="1"/>
      <c r="F951" s="3"/>
    </row>
    <row r="952">
      <c r="A952" s="1"/>
      <c r="F952" s="3"/>
    </row>
    <row r="953">
      <c r="A953" s="1"/>
      <c r="F953" s="3"/>
    </row>
    <row r="954">
      <c r="A954" s="1"/>
      <c r="F954" s="3"/>
    </row>
    <row r="955">
      <c r="A955" s="1"/>
      <c r="F955" s="3"/>
    </row>
    <row r="956">
      <c r="A956" s="1"/>
      <c r="F956" s="3"/>
    </row>
    <row r="957">
      <c r="A957" s="1"/>
      <c r="F957" s="3"/>
    </row>
    <row r="958">
      <c r="A958" s="1"/>
      <c r="F958" s="3"/>
    </row>
    <row r="959">
      <c r="A959" s="1"/>
      <c r="F959" s="3"/>
    </row>
    <row r="960">
      <c r="A960" s="1"/>
      <c r="F960" s="3"/>
    </row>
    <row r="961">
      <c r="A961" s="1"/>
      <c r="F961" s="3"/>
    </row>
    <row r="962">
      <c r="A962" s="1"/>
      <c r="F962" s="3"/>
    </row>
    <row r="963">
      <c r="A963" s="1"/>
      <c r="F963" s="3"/>
    </row>
    <row r="964">
      <c r="A964" s="1"/>
      <c r="F964" s="3"/>
    </row>
    <row r="965">
      <c r="A965" s="1"/>
      <c r="F965" s="3"/>
    </row>
    <row r="966">
      <c r="A966" s="1"/>
      <c r="F966" s="3"/>
    </row>
    <row r="967">
      <c r="A967" s="1"/>
      <c r="F967" s="3"/>
    </row>
    <row r="968">
      <c r="A968" s="1"/>
      <c r="F968" s="3"/>
    </row>
    <row r="969">
      <c r="A969" s="1"/>
      <c r="F969" s="3"/>
    </row>
    <row r="970">
      <c r="A970" s="1"/>
      <c r="F970" s="3"/>
    </row>
    <row r="971">
      <c r="A971" s="1"/>
      <c r="F971" s="3"/>
    </row>
    <row r="972">
      <c r="A972" s="1"/>
      <c r="F972" s="3"/>
    </row>
    <row r="973">
      <c r="A973" s="1"/>
      <c r="F973" s="3"/>
    </row>
    <row r="974">
      <c r="A974" s="1"/>
      <c r="F974" s="3"/>
    </row>
    <row r="975">
      <c r="A975" s="1"/>
      <c r="F975" s="3"/>
    </row>
    <row r="976">
      <c r="A976" s="1"/>
      <c r="F976" s="3"/>
    </row>
    <row r="977">
      <c r="A977" s="1"/>
      <c r="F977" s="3"/>
    </row>
    <row r="978">
      <c r="A978" s="1"/>
      <c r="F978" s="3"/>
    </row>
    <row r="979">
      <c r="A979" s="1"/>
      <c r="F979" s="3"/>
    </row>
    <row r="980">
      <c r="A980" s="1"/>
      <c r="F980" s="3"/>
    </row>
    <row r="981">
      <c r="A981" s="1"/>
      <c r="F981" s="3"/>
    </row>
    <row r="982">
      <c r="A982" s="1"/>
      <c r="F982" s="3"/>
    </row>
    <row r="983">
      <c r="A983" s="1"/>
      <c r="F983" s="3"/>
    </row>
    <row r="984">
      <c r="A984" s="1"/>
      <c r="F984" s="3"/>
    </row>
    <row r="985">
      <c r="A985" s="1"/>
      <c r="F985" s="3"/>
    </row>
    <row r="986">
      <c r="A986" s="1"/>
      <c r="F986" s="3"/>
    </row>
    <row r="987">
      <c r="A987" s="1"/>
      <c r="F987" s="3"/>
    </row>
    <row r="988">
      <c r="A988" s="1"/>
      <c r="F988" s="3"/>
    </row>
    <row r="989">
      <c r="A989" s="1"/>
      <c r="F989" s="3"/>
    </row>
    <row r="990">
      <c r="A990" s="1"/>
      <c r="F990" s="3"/>
    </row>
    <row r="991">
      <c r="A991" s="1"/>
      <c r="F991" s="3"/>
    </row>
    <row r="992">
      <c r="A992" s="1"/>
      <c r="F992" s="3"/>
    </row>
    <row r="993">
      <c r="A993" s="1"/>
      <c r="F993" s="3"/>
    </row>
    <row r="994">
      <c r="A994" s="1"/>
      <c r="F994" s="3"/>
    </row>
    <row r="995">
      <c r="A995" s="1"/>
      <c r="F995" s="3"/>
    </row>
    <row r="996">
      <c r="A996" s="1"/>
      <c r="F996" s="3"/>
    </row>
    <row r="997">
      <c r="A997" s="1"/>
      <c r="F997" s="3"/>
    </row>
    <row r="998">
      <c r="A998" s="1"/>
      <c r="F998" s="3"/>
    </row>
    <row r="999">
      <c r="A999" s="1"/>
      <c r="F999" s="3"/>
    </row>
  </sheetData>
  <autoFilter ref="$A$3:$Z$5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4.57"/>
    <col customWidth="1" min="2" max="2" width="41.86"/>
    <col customWidth="1" min="3" max="3" width="21.57"/>
    <col customWidth="1" min="4" max="4" width="22.86"/>
    <col customWidth="1" min="5" max="5" width="31.14"/>
    <col customWidth="1" min="6" max="8" width="21.57"/>
    <col customWidth="1" min="9" max="9" width="11.43"/>
    <col customWidth="1" min="10" max="10" width="5.43"/>
    <col customWidth="1" min="11" max="11" width="9.86"/>
    <col customWidth="1" min="12" max="12" width="12.86"/>
    <col customWidth="1" min="13" max="13" width="21.57"/>
    <col customWidth="1" min="14" max="14" width="18.57"/>
    <col customWidth="1" min="15" max="15" width="13.71"/>
    <col customWidth="1" min="16" max="16" width="13.57"/>
    <col customWidth="1" min="17" max="17" width="9.86"/>
    <col customWidth="1" min="18" max="18" width="19.29"/>
    <col customWidth="1" min="19" max="19" width="14.86"/>
    <col customWidth="1" min="20" max="28" width="21.57"/>
  </cols>
  <sheetData>
    <row r="1">
      <c r="A1" s="41" t="s">
        <v>43</v>
      </c>
      <c r="B1" s="41" t="s">
        <v>44</v>
      </c>
      <c r="C1" s="41" t="s">
        <v>45</v>
      </c>
      <c r="D1" s="41" t="s">
        <v>46</v>
      </c>
      <c r="E1" s="41" t="s">
        <v>47</v>
      </c>
      <c r="F1" s="41" t="s">
        <v>48</v>
      </c>
      <c r="G1" s="41" t="s">
        <v>49</v>
      </c>
      <c r="H1" s="41" t="s">
        <v>50</v>
      </c>
      <c r="I1" s="41" t="s">
        <v>51</v>
      </c>
      <c r="J1" s="41" t="s">
        <v>52</v>
      </c>
      <c r="K1" s="41" t="s">
        <v>53</v>
      </c>
      <c r="L1" s="41" t="s">
        <v>54</v>
      </c>
      <c r="M1" s="41" t="s">
        <v>55</v>
      </c>
      <c r="N1" s="41" t="s">
        <v>56</v>
      </c>
      <c r="O1" s="41" t="s">
        <v>57</v>
      </c>
      <c r="P1" s="42" t="s">
        <v>58</v>
      </c>
      <c r="Q1" s="42" t="s">
        <v>59</v>
      </c>
      <c r="R1" s="43" t="s">
        <v>60</v>
      </c>
      <c r="S1" s="41" t="s">
        <v>61</v>
      </c>
      <c r="T1" s="44" t="s">
        <v>62</v>
      </c>
      <c r="U1" s="45"/>
      <c r="V1" s="45"/>
      <c r="W1" s="45"/>
      <c r="X1" s="45"/>
      <c r="Y1" s="45"/>
      <c r="Z1" s="45"/>
      <c r="AA1" s="45"/>
      <c r="AB1" s="46"/>
    </row>
    <row r="2" hidden="1">
      <c r="A2" s="47" t="s">
        <v>12</v>
      </c>
      <c r="B2" s="48" t="s">
        <v>63</v>
      </c>
      <c r="C2" s="48">
        <v>1.0</v>
      </c>
      <c r="D2" s="48">
        <v>8.0986068E7</v>
      </c>
      <c r="E2" s="48" t="s">
        <v>64</v>
      </c>
      <c r="F2" s="48">
        <v>2.0</v>
      </c>
      <c r="G2" s="48" t="s">
        <v>65</v>
      </c>
      <c r="H2" s="48" t="s">
        <v>66</v>
      </c>
      <c r="I2" s="48">
        <v>2.0</v>
      </c>
      <c r="J2" s="48">
        <v>256.0</v>
      </c>
      <c r="K2" s="48">
        <v>6.28</v>
      </c>
      <c r="L2" s="49" t="s">
        <v>67</v>
      </c>
      <c r="M2" s="49" t="s">
        <v>68</v>
      </c>
      <c r="N2" s="48" t="s">
        <v>69</v>
      </c>
      <c r="O2" s="48">
        <v>20859.0</v>
      </c>
      <c r="P2" s="50">
        <v>39000.0</v>
      </c>
      <c r="Q2" s="50">
        <v>10.0</v>
      </c>
      <c r="R2" s="51">
        <v>0.0</v>
      </c>
      <c r="S2" s="48">
        <v>0.0</v>
      </c>
      <c r="T2" s="52"/>
      <c r="U2" s="52"/>
      <c r="V2" s="52"/>
      <c r="W2" s="52"/>
      <c r="X2" s="52"/>
      <c r="Y2" s="52"/>
      <c r="Z2" s="52"/>
      <c r="AA2" s="52"/>
      <c r="AB2" s="53"/>
    </row>
    <row r="3" hidden="1">
      <c r="A3" s="54" t="s">
        <v>14</v>
      </c>
      <c r="B3" s="55" t="s">
        <v>70</v>
      </c>
      <c r="C3" s="56">
        <v>1.0</v>
      </c>
      <c r="D3" s="57" t="s">
        <v>71</v>
      </c>
      <c r="E3" s="58" t="s">
        <v>72</v>
      </c>
      <c r="F3" s="56">
        <v>1.0</v>
      </c>
      <c r="G3" s="56" t="s">
        <v>65</v>
      </c>
      <c r="H3" s="57" t="s">
        <v>73</v>
      </c>
      <c r="I3" s="57">
        <v>2.0</v>
      </c>
      <c r="J3" s="57">
        <v>64.0</v>
      </c>
      <c r="K3" s="58">
        <v>4.0</v>
      </c>
      <c r="L3" s="59" t="s">
        <v>74</v>
      </c>
      <c r="M3" s="60" t="s">
        <v>75</v>
      </c>
      <c r="N3" s="52"/>
      <c r="O3" s="52"/>
      <c r="P3" s="61"/>
      <c r="Q3" s="61"/>
      <c r="R3" s="51">
        <v>0.0</v>
      </c>
      <c r="S3" s="52"/>
      <c r="T3" s="52"/>
      <c r="U3" s="52"/>
      <c r="V3" s="52"/>
      <c r="W3" s="52"/>
      <c r="X3" s="52"/>
      <c r="Y3" s="52"/>
      <c r="Z3" s="52"/>
      <c r="AA3" s="52"/>
      <c r="AB3" s="53"/>
    </row>
    <row r="4" hidden="1">
      <c r="A4" s="4" t="s">
        <v>76</v>
      </c>
      <c r="B4" s="62" t="s">
        <v>77</v>
      </c>
      <c r="C4" s="63">
        <v>1.0</v>
      </c>
      <c r="D4" s="64" t="s">
        <v>71</v>
      </c>
      <c r="E4" s="58" t="s">
        <v>78</v>
      </c>
      <c r="F4" s="63">
        <v>1.0</v>
      </c>
      <c r="G4" s="63" t="s">
        <v>65</v>
      </c>
      <c r="H4" s="64" t="s">
        <v>73</v>
      </c>
      <c r="I4" s="64">
        <v>3.0</v>
      </c>
      <c r="J4" s="64">
        <v>128.0</v>
      </c>
      <c r="K4" s="58">
        <v>4.7</v>
      </c>
      <c r="L4" s="65" t="s">
        <v>79</v>
      </c>
      <c r="M4" s="66" t="s">
        <v>80</v>
      </c>
      <c r="N4" s="12" t="s">
        <v>81</v>
      </c>
      <c r="O4" s="64">
        <v>27749.0</v>
      </c>
      <c r="P4" s="67">
        <v>31999.0</v>
      </c>
      <c r="Q4" s="68"/>
      <c r="R4" s="51">
        <v>0.0</v>
      </c>
      <c r="S4" s="69"/>
      <c r="T4" s="69"/>
      <c r="U4" s="69"/>
      <c r="V4" s="69"/>
      <c r="W4" s="69"/>
      <c r="X4" s="69"/>
      <c r="Y4" s="69"/>
      <c r="Z4" s="69"/>
      <c r="AA4" s="69"/>
      <c r="AB4" s="70"/>
    </row>
    <row r="5" hidden="1">
      <c r="A5" s="4" t="s">
        <v>76</v>
      </c>
      <c r="B5" s="62" t="s">
        <v>82</v>
      </c>
      <c r="C5" s="63">
        <v>1.0</v>
      </c>
      <c r="D5" s="64" t="s">
        <v>83</v>
      </c>
      <c r="E5" s="58" t="s">
        <v>78</v>
      </c>
      <c r="F5" s="63">
        <v>2.0</v>
      </c>
      <c r="G5" s="63" t="s">
        <v>65</v>
      </c>
      <c r="H5" s="64" t="s">
        <v>73</v>
      </c>
      <c r="I5" s="64">
        <v>3.0</v>
      </c>
      <c r="J5" s="64">
        <v>128.0</v>
      </c>
      <c r="K5" s="58">
        <v>4.7</v>
      </c>
      <c r="L5" s="65" t="s">
        <v>79</v>
      </c>
      <c r="M5" s="66" t="s">
        <v>80</v>
      </c>
      <c r="N5" s="12" t="s">
        <v>81</v>
      </c>
      <c r="O5" s="64">
        <v>27209.0</v>
      </c>
      <c r="P5" s="67">
        <v>31999.0</v>
      </c>
      <c r="Q5" s="68"/>
      <c r="R5" s="51">
        <v>0.0</v>
      </c>
      <c r="S5" s="69"/>
      <c r="T5" s="69"/>
      <c r="U5" s="69"/>
      <c r="V5" s="69"/>
      <c r="W5" s="69"/>
      <c r="X5" s="69"/>
      <c r="Y5" s="69"/>
      <c r="Z5" s="69"/>
      <c r="AA5" s="69"/>
      <c r="AB5" s="70"/>
    </row>
    <row r="6" hidden="1">
      <c r="A6" s="4" t="s">
        <v>84</v>
      </c>
      <c r="B6" s="62" t="s">
        <v>85</v>
      </c>
      <c r="C6" s="63">
        <v>1.0</v>
      </c>
      <c r="D6" s="64" t="s">
        <v>71</v>
      </c>
      <c r="E6" s="58" t="s">
        <v>86</v>
      </c>
      <c r="F6" s="63">
        <v>1.0</v>
      </c>
      <c r="G6" s="63" t="s">
        <v>65</v>
      </c>
      <c r="H6" s="64" t="s">
        <v>73</v>
      </c>
      <c r="I6" s="64">
        <v>3.0</v>
      </c>
      <c r="J6" s="64">
        <v>64.0</v>
      </c>
      <c r="K6" s="58">
        <v>4.7</v>
      </c>
      <c r="L6" s="65" t="s">
        <v>87</v>
      </c>
      <c r="M6" s="66" t="s">
        <v>80</v>
      </c>
      <c r="N6" s="64" t="s">
        <v>88</v>
      </c>
      <c r="O6" s="64">
        <v>24819.0</v>
      </c>
      <c r="P6" s="67">
        <v>32999.0</v>
      </c>
      <c r="Q6" s="68"/>
      <c r="R6" s="51">
        <v>0.0</v>
      </c>
      <c r="S6" s="69"/>
      <c r="T6" s="64" t="s">
        <v>89</v>
      </c>
      <c r="U6" s="69"/>
      <c r="V6" s="69"/>
      <c r="W6" s="69"/>
      <c r="X6" s="69"/>
      <c r="Y6" s="69"/>
      <c r="Z6" s="69"/>
      <c r="AA6" s="69"/>
      <c r="AB6" s="70"/>
    </row>
    <row r="7" hidden="1">
      <c r="A7" s="71" t="s">
        <v>17</v>
      </c>
      <c r="B7" s="72" t="s">
        <v>90</v>
      </c>
      <c r="C7" s="72">
        <v>1.0</v>
      </c>
      <c r="D7" s="72">
        <v>3.211234311E9</v>
      </c>
      <c r="E7" s="73" t="s">
        <v>91</v>
      </c>
      <c r="F7" s="72">
        <v>1.0</v>
      </c>
      <c r="G7" s="72" t="s">
        <v>65</v>
      </c>
      <c r="H7" s="72" t="s">
        <v>92</v>
      </c>
      <c r="I7" s="74">
        <v>4.0</v>
      </c>
      <c r="J7" s="74">
        <v>64.0</v>
      </c>
      <c r="K7" s="73">
        <v>6.5</v>
      </c>
      <c r="L7" s="75" t="s">
        <v>93</v>
      </c>
      <c r="M7" s="76" t="s">
        <v>94</v>
      </c>
      <c r="N7" s="77" t="s">
        <v>95</v>
      </c>
      <c r="O7" s="77">
        <v>37729.0</v>
      </c>
      <c r="P7" s="77">
        <v>49999.0</v>
      </c>
      <c r="Q7" s="78"/>
      <c r="R7" s="51">
        <v>0.0</v>
      </c>
      <c r="S7" s="78"/>
      <c r="T7" s="77" t="s">
        <v>89</v>
      </c>
      <c r="U7" s="79"/>
      <c r="V7" s="79"/>
      <c r="W7" s="79"/>
      <c r="X7" s="79"/>
      <c r="Y7" s="79"/>
      <c r="Z7" s="79"/>
      <c r="AA7" s="79"/>
      <c r="AB7" s="80"/>
    </row>
    <row r="8" hidden="1">
      <c r="A8" s="81" t="s">
        <v>26</v>
      </c>
      <c r="B8" s="48" t="s">
        <v>96</v>
      </c>
      <c r="C8" s="48">
        <v>1.0</v>
      </c>
      <c r="D8" s="48">
        <v>2.5952553E7</v>
      </c>
      <c r="E8" s="48" t="s">
        <v>97</v>
      </c>
      <c r="F8" s="48">
        <v>1.0</v>
      </c>
      <c r="G8" s="48" t="s">
        <v>98</v>
      </c>
      <c r="H8" s="48" t="s">
        <v>99</v>
      </c>
      <c r="I8" s="48">
        <v>6.0</v>
      </c>
      <c r="J8" s="48">
        <v>128.0</v>
      </c>
      <c r="K8" s="48">
        <v>6.41</v>
      </c>
      <c r="L8" s="57" t="s">
        <v>100</v>
      </c>
      <c r="M8" s="57" t="s">
        <v>101</v>
      </c>
      <c r="N8" s="48" t="s">
        <v>102</v>
      </c>
      <c r="O8" s="48">
        <v>18019.0</v>
      </c>
      <c r="P8" s="50">
        <v>35999.0</v>
      </c>
      <c r="Q8" s="50">
        <v>10.0</v>
      </c>
      <c r="R8" s="51">
        <v>0.0</v>
      </c>
      <c r="S8" s="82"/>
      <c r="T8" s="52"/>
      <c r="U8" s="52"/>
      <c r="V8" s="52"/>
      <c r="W8" s="52"/>
      <c r="X8" s="52"/>
      <c r="Y8" s="52"/>
      <c r="Z8" s="52"/>
      <c r="AA8" s="52"/>
      <c r="AB8" s="53"/>
    </row>
    <row r="9" hidden="1">
      <c r="A9" s="83" t="s">
        <v>27</v>
      </c>
      <c r="B9" s="84" t="s">
        <v>103</v>
      </c>
      <c r="C9" s="85">
        <v>1.0</v>
      </c>
      <c r="D9" s="86" t="s">
        <v>104</v>
      </c>
      <c r="E9" s="64" t="s">
        <v>105</v>
      </c>
      <c r="F9" s="84">
        <v>2.0</v>
      </c>
      <c r="G9" s="84" t="s">
        <v>98</v>
      </c>
      <c r="H9" s="84" t="s">
        <v>106</v>
      </c>
      <c r="I9" s="87">
        <v>6.0</v>
      </c>
      <c r="J9" s="87">
        <v>128.0</v>
      </c>
      <c r="K9" s="58">
        <v>6.41</v>
      </c>
      <c r="L9" s="88" t="s">
        <v>107</v>
      </c>
      <c r="M9" s="89" t="s">
        <v>108</v>
      </c>
      <c r="N9" s="64" t="s">
        <v>109</v>
      </c>
      <c r="O9" s="64">
        <v>20469.0</v>
      </c>
      <c r="P9" s="64">
        <v>39999.0</v>
      </c>
      <c r="Q9" s="69"/>
      <c r="R9" s="51">
        <v>0.0</v>
      </c>
      <c r="S9" s="69"/>
      <c r="T9" s="69"/>
      <c r="U9" s="69"/>
      <c r="V9" s="69"/>
      <c r="W9" s="69"/>
      <c r="X9" s="69"/>
      <c r="Y9" s="69"/>
      <c r="Z9" s="69"/>
      <c r="AA9" s="69"/>
      <c r="AB9" s="70"/>
    </row>
    <row r="10" hidden="1">
      <c r="A10" s="90" t="s">
        <v>28</v>
      </c>
      <c r="B10" s="91" t="s">
        <v>110</v>
      </c>
      <c r="C10" s="92">
        <v>1.0</v>
      </c>
      <c r="D10" s="93" t="s">
        <v>104</v>
      </c>
      <c r="E10" s="57" t="s">
        <v>105</v>
      </c>
      <c r="F10" s="91">
        <v>2.0</v>
      </c>
      <c r="G10" s="91" t="s">
        <v>98</v>
      </c>
      <c r="H10" s="91" t="s">
        <v>106</v>
      </c>
      <c r="I10" s="94">
        <v>8.0</v>
      </c>
      <c r="J10" s="94">
        <v>256.0</v>
      </c>
      <c r="K10" s="58">
        <v>6.41</v>
      </c>
      <c r="L10" s="95" t="s">
        <v>111</v>
      </c>
      <c r="M10" s="96" t="s">
        <v>108</v>
      </c>
      <c r="N10" s="57" t="s">
        <v>109</v>
      </c>
      <c r="O10" s="57">
        <v>22109.0</v>
      </c>
      <c r="P10" s="97">
        <v>49999.0</v>
      </c>
      <c r="Q10" s="61"/>
      <c r="R10" s="51">
        <v>0.0</v>
      </c>
      <c r="S10" s="52"/>
      <c r="T10" s="52"/>
      <c r="U10" s="98"/>
      <c r="V10" s="98"/>
      <c r="W10" s="98"/>
      <c r="X10" s="98"/>
      <c r="Y10" s="98"/>
      <c r="Z10" s="98"/>
      <c r="AA10" s="98"/>
      <c r="AB10" s="80"/>
    </row>
    <row r="11" hidden="1">
      <c r="A11" s="99" t="s">
        <v>29</v>
      </c>
      <c r="B11" s="48" t="s">
        <v>112</v>
      </c>
      <c r="C11" s="48">
        <v>1.0</v>
      </c>
      <c r="D11" s="48">
        <v>841515.0</v>
      </c>
      <c r="E11" s="48" t="s">
        <v>113</v>
      </c>
      <c r="F11" s="48">
        <v>2.0</v>
      </c>
      <c r="G11" s="48" t="s">
        <v>98</v>
      </c>
      <c r="H11" s="48" t="s">
        <v>114</v>
      </c>
      <c r="I11" s="48">
        <v>6.0</v>
      </c>
      <c r="J11" s="48">
        <v>128.0</v>
      </c>
      <c r="K11" s="48">
        <v>6.41</v>
      </c>
      <c r="L11" s="57" t="s">
        <v>115</v>
      </c>
      <c r="M11" s="57" t="s">
        <v>116</v>
      </c>
      <c r="N11" s="48" t="s">
        <v>117</v>
      </c>
      <c r="O11" s="48">
        <v>26939.0</v>
      </c>
      <c r="P11" s="48">
        <v>49999.0</v>
      </c>
      <c r="Q11" s="48">
        <v>10.0</v>
      </c>
      <c r="R11" s="51">
        <v>0.0</v>
      </c>
      <c r="S11" s="82"/>
      <c r="T11" s="52"/>
      <c r="U11" s="52"/>
      <c r="V11" s="52"/>
      <c r="W11" s="52"/>
      <c r="X11" s="52"/>
      <c r="Y11" s="52"/>
      <c r="Z11" s="52"/>
      <c r="AA11" s="52"/>
      <c r="AB11" s="53"/>
    </row>
    <row r="12" hidden="1">
      <c r="A12" s="100" t="s">
        <v>30</v>
      </c>
      <c r="B12" s="84" t="s">
        <v>118</v>
      </c>
      <c r="C12" s="85">
        <v>1.0</v>
      </c>
      <c r="D12" s="64">
        <v>9.807060504E9</v>
      </c>
      <c r="E12" s="58" t="s">
        <v>119</v>
      </c>
      <c r="F12" s="84">
        <v>2.0</v>
      </c>
      <c r="G12" s="84" t="s">
        <v>98</v>
      </c>
      <c r="H12" s="64" t="s">
        <v>120</v>
      </c>
      <c r="I12" s="64">
        <v>8.0</v>
      </c>
      <c r="J12" s="64">
        <v>128.0</v>
      </c>
      <c r="K12" s="58">
        <v>6.55</v>
      </c>
      <c r="L12" s="88" t="s">
        <v>121</v>
      </c>
      <c r="M12" s="101" t="s">
        <v>122</v>
      </c>
      <c r="N12" s="64" t="s">
        <v>123</v>
      </c>
      <c r="O12" s="64">
        <v>25849.0</v>
      </c>
      <c r="P12" s="67">
        <v>35999.0</v>
      </c>
      <c r="Q12" s="68"/>
      <c r="R12" s="51">
        <v>0.0</v>
      </c>
      <c r="S12" s="69"/>
      <c r="T12" s="69"/>
      <c r="U12" s="102"/>
      <c r="V12" s="102"/>
      <c r="W12" s="102"/>
      <c r="X12" s="102"/>
      <c r="Y12" s="102"/>
      <c r="Z12" s="102"/>
      <c r="AA12" s="102"/>
      <c r="AB12" s="103"/>
    </row>
    <row r="13" hidden="1">
      <c r="A13" s="91" t="s">
        <v>124</v>
      </c>
      <c r="B13" s="91" t="s">
        <v>125</v>
      </c>
      <c r="C13" s="92">
        <v>1.0</v>
      </c>
      <c r="D13" s="57">
        <v>9.807060504E9</v>
      </c>
      <c r="E13" s="104" t="s">
        <v>126</v>
      </c>
      <c r="F13" s="91">
        <v>1.0</v>
      </c>
      <c r="G13" s="91" t="s">
        <v>98</v>
      </c>
      <c r="H13" s="57" t="s">
        <v>120</v>
      </c>
      <c r="I13" s="105">
        <v>8.0</v>
      </c>
      <c r="J13" s="105">
        <v>128.0</v>
      </c>
      <c r="K13" s="104">
        <v>6.55</v>
      </c>
      <c r="L13" s="106" t="s">
        <v>127</v>
      </c>
      <c r="M13" s="107" t="s">
        <v>122</v>
      </c>
      <c r="N13" s="57" t="s">
        <v>128</v>
      </c>
      <c r="O13" s="57">
        <v>29139.0</v>
      </c>
      <c r="P13" s="97">
        <v>38999.0</v>
      </c>
      <c r="Q13" s="61"/>
      <c r="R13" s="51">
        <v>0.0</v>
      </c>
      <c r="S13" s="52"/>
      <c r="T13" s="52"/>
      <c r="U13" s="52"/>
      <c r="V13" s="52"/>
      <c r="W13" s="52"/>
      <c r="X13" s="52"/>
      <c r="Y13" s="52"/>
      <c r="Z13" s="52"/>
      <c r="AA13" s="52"/>
      <c r="AB13" s="53"/>
    </row>
    <row r="14" hidden="1">
      <c r="A14" s="108" t="s">
        <v>38</v>
      </c>
      <c r="B14" s="109" t="s">
        <v>129</v>
      </c>
      <c r="C14" s="91">
        <v>1.0</v>
      </c>
      <c r="D14" s="93">
        <v>2.676898864E9</v>
      </c>
      <c r="E14" s="110" t="s">
        <v>130</v>
      </c>
      <c r="F14" s="91">
        <v>2.0</v>
      </c>
      <c r="G14" s="91" t="s">
        <v>131</v>
      </c>
      <c r="H14" s="91" t="s">
        <v>132</v>
      </c>
      <c r="I14" s="93">
        <v>4.0</v>
      </c>
      <c r="J14" s="93">
        <v>128.0</v>
      </c>
      <c r="K14" s="58">
        <v>6.38</v>
      </c>
      <c r="L14" s="111" t="s">
        <v>133</v>
      </c>
      <c r="M14" s="107" t="s">
        <v>134</v>
      </c>
      <c r="N14" s="57" t="s">
        <v>135</v>
      </c>
      <c r="O14" s="57">
        <v>11309.0</v>
      </c>
      <c r="P14" s="97">
        <v>15999.0</v>
      </c>
      <c r="Q14" s="61"/>
      <c r="R14" s="51">
        <v>0.0</v>
      </c>
      <c r="S14" s="52"/>
      <c r="T14" s="52"/>
      <c r="U14" s="52"/>
      <c r="V14" s="52"/>
      <c r="W14" s="52"/>
      <c r="X14" s="52"/>
      <c r="Y14" s="52"/>
      <c r="Z14" s="52"/>
      <c r="AA14" s="52"/>
      <c r="AB14" s="53"/>
    </row>
    <row r="15" hidden="1">
      <c r="A15" s="112" t="s">
        <v>39</v>
      </c>
      <c r="B15" s="113" t="s">
        <v>136</v>
      </c>
      <c r="C15" s="93">
        <v>1.0</v>
      </c>
      <c r="D15" s="93">
        <v>2.1487625985E10</v>
      </c>
      <c r="E15" s="110" t="s">
        <v>137</v>
      </c>
      <c r="F15" s="93">
        <v>1.0</v>
      </c>
      <c r="G15" s="93" t="s">
        <v>131</v>
      </c>
      <c r="H15" s="93" t="s">
        <v>138</v>
      </c>
      <c r="I15" s="93">
        <v>6.0</v>
      </c>
      <c r="J15" s="93">
        <v>64.0</v>
      </c>
      <c r="K15" s="57">
        <v>6.53</v>
      </c>
      <c r="L15" s="96" t="s">
        <v>139</v>
      </c>
      <c r="M15" s="57" t="s">
        <v>140</v>
      </c>
      <c r="N15" s="105" t="s">
        <v>141</v>
      </c>
      <c r="O15" s="57">
        <v>11469.0</v>
      </c>
      <c r="P15" s="57">
        <v>19999.0</v>
      </c>
      <c r="Q15" s="52"/>
      <c r="R15" s="51">
        <v>0.0</v>
      </c>
      <c r="S15" s="52"/>
      <c r="T15" s="57" t="s">
        <v>89</v>
      </c>
      <c r="U15" s="52"/>
      <c r="V15" s="52"/>
      <c r="W15" s="52"/>
      <c r="X15" s="52"/>
      <c r="Y15" s="52"/>
      <c r="Z15" s="52"/>
      <c r="AA15" s="52"/>
      <c r="AB15" s="53"/>
    </row>
    <row r="16" hidden="1">
      <c r="A16" s="112" t="s">
        <v>40</v>
      </c>
      <c r="B16" s="113" t="s">
        <v>142</v>
      </c>
      <c r="C16" s="93">
        <v>1.0</v>
      </c>
      <c r="D16" s="93" t="s">
        <v>143</v>
      </c>
      <c r="E16" s="110" t="s">
        <v>144</v>
      </c>
      <c r="F16" s="93">
        <v>2.0</v>
      </c>
      <c r="G16" s="93" t="s">
        <v>131</v>
      </c>
      <c r="H16" s="93" t="s">
        <v>145</v>
      </c>
      <c r="I16" s="93">
        <v>4.0</v>
      </c>
      <c r="J16" s="93">
        <v>32.0</v>
      </c>
      <c r="K16" s="58">
        <v>6.3</v>
      </c>
      <c r="L16" s="96" t="s">
        <v>146</v>
      </c>
      <c r="M16" s="57" t="s">
        <v>147</v>
      </c>
      <c r="N16" s="57" t="s">
        <v>148</v>
      </c>
      <c r="O16" s="57">
        <v>64849.0</v>
      </c>
      <c r="P16" s="97">
        <v>12899.0</v>
      </c>
      <c r="Q16" s="61"/>
      <c r="R16" s="51">
        <v>0.0</v>
      </c>
      <c r="S16" s="52"/>
      <c r="T16" s="57" t="s">
        <v>89</v>
      </c>
      <c r="U16" s="52"/>
      <c r="V16" s="52"/>
      <c r="W16" s="52"/>
      <c r="X16" s="52"/>
      <c r="Y16" s="52"/>
      <c r="Z16" s="52"/>
      <c r="AA16" s="52"/>
      <c r="AB16" s="53"/>
    </row>
    <row r="17" hidden="1">
      <c r="A17" s="52" t="s">
        <v>149</v>
      </c>
      <c r="B17" s="57" t="s">
        <v>150</v>
      </c>
      <c r="C17" s="57">
        <v>1.0</v>
      </c>
      <c r="D17" s="57">
        <v>5.8462157963E10</v>
      </c>
      <c r="E17" s="57" t="s">
        <v>151</v>
      </c>
      <c r="F17" s="57">
        <v>2.0</v>
      </c>
      <c r="G17" s="57" t="s">
        <v>65</v>
      </c>
      <c r="H17" s="57" t="s">
        <v>152</v>
      </c>
      <c r="I17" s="57">
        <v>1.0</v>
      </c>
      <c r="J17" s="57">
        <v>16.0</v>
      </c>
      <c r="K17" s="57">
        <v>4.0</v>
      </c>
      <c r="L17" s="57" t="s">
        <v>153</v>
      </c>
      <c r="M17" s="57" t="s">
        <v>154</v>
      </c>
      <c r="N17" s="52" t="str">
        <f t="shared" ref="N17:N19" si="1">CONCAT(B17,".png")</f>
        <v>FT03_iPhone_5S_1_16_2_GREY.png</v>
      </c>
      <c r="O17" s="57">
        <v>4399.0</v>
      </c>
      <c r="P17" s="57">
        <v>35000.0</v>
      </c>
      <c r="Q17" s="57">
        <v>10.0</v>
      </c>
      <c r="R17" s="51">
        <v>0.0</v>
      </c>
      <c r="S17" s="52"/>
      <c r="T17" s="52"/>
      <c r="U17" s="52"/>
      <c r="V17" s="52"/>
      <c r="W17" s="52"/>
      <c r="X17" s="52"/>
      <c r="Y17" s="52"/>
      <c r="Z17" s="52"/>
      <c r="AA17" s="52"/>
      <c r="AB17" s="53"/>
    </row>
    <row r="18" hidden="1">
      <c r="A18" s="52" t="s">
        <v>149</v>
      </c>
      <c r="B18" s="57" t="s">
        <v>155</v>
      </c>
      <c r="C18" s="57">
        <v>1.0</v>
      </c>
      <c r="D18" s="57">
        <v>5.8462157963E10</v>
      </c>
      <c r="E18" s="57" t="s">
        <v>156</v>
      </c>
      <c r="F18" s="57">
        <v>2.0</v>
      </c>
      <c r="G18" s="57" t="s">
        <v>65</v>
      </c>
      <c r="H18" s="57" t="s">
        <v>152</v>
      </c>
      <c r="I18" s="57">
        <v>1.0</v>
      </c>
      <c r="J18" s="57">
        <v>16.0</v>
      </c>
      <c r="K18" s="52"/>
      <c r="L18" s="52"/>
      <c r="M18" s="52"/>
      <c r="N18" s="52" t="str">
        <f t="shared" si="1"/>
        <v>FT03_iPhone_5S_1_16_2_SILVER.png</v>
      </c>
      <c r="O18" s="57">
        <v>4399.0</v>
      </c>
      <c r="P18" s="52"/>
      <c r="Q18" s="52"/>
      <c r="R18" s="51">
        <v>0.0</v>
      </c>
      <c r="S18" s="52"/>
      <c r="T18" s="98"/>
      <c r="U18" s="52"/>
      <c r="V18" s="52"/>
      <c r="W18" s="52"/>
      <c r="X18" s="52"/>
      <c r="Y18" s="52"/>
      <c r="Z18" s="52"/>
      <c r="AA18" s="52"/>
      <c r="AB18" s="53"/>
    </row>
    <row r="19" hidden="1">
      <c r="A19" s="98" t="s">
        <v>157</v>
      </c>
      <c r="B19" s="114" t="s">
        <v>158</v>
      </c>
      <c r="C19" s="115">
        <v>1.0</v>
      </c>
      <c r="D19" s="115">
        <v>8.9781944E7</v>
      </c>
      <c r="E19" s="115" t="s">
        <v>159</v>
      </c>
      <c r="F19" s="114">
        <v>1.0</v>
      </c>
      <c r="G19" s="115" t="s">
        <v>65</v>
      </c>
      <c r="H19" s="115" t="s">
        <v>160</v>
      </c>
      <c r="I19" s="115">
        <v>1.0</v>
      </c>
      <c r="J19" s="115">
        <v>16.0</v>
      </c>
      <c r="K19" s="115">
        <v>4.7</v>
      </c>
      <c r="L19" s="116" t="s">
        <v>161</v>
      </c>
      <c r="M19" s="116" t="s">
        <v>162</v>
      </c>
      <c r="N19" s="117" t="str">
        <f t="shared" si="1"/>
        <v>FT03_iPhone_6_1_16_1_GOLD.png</v>
      </c>
      <c r="O19" s="115">
        <v>7099.0</v>
      </c>
      <c r="P19" s="115">
        <v>62000.0</v>
      </c>
      <c r="Q19" s="115">
        <v>10.0</v>
      </c>
      <c r="R19" s="51">
        <v>0.0</v>
      </c>
      <c r="S19" s="114">
        <v>2.0</v>
      </c>
      <c r="T19" s="102"/>
      <c r="U19" s="69"/>
      <c r="V19" s="69"/>
      <c r="W19" s="69"/>
      <c r="X19" s="69"/>
      <c r="Y19" s="69"/>
      <c r="Z19" s="69"/>
      <c r="AA19" s="69"/>
      <c r="AB19" s="70"/>
    </row>
    <row r="20" hidden="1">
      <c r="A20" s="98" t="s">
        <v>157</v>
      </c>
      <c r="B20" s="118" t="s">
        <v>163</v>
      </c>
      <c r="C20" s="119">
        <v>1.0</v>
      </c>
      <c r="D20" s="119">
        <v>1231684.0</v>
      </c>
      <c r="E20" s="119" t="s">
        <v>164</v>
      </c>
      <c r="F20" s="118">
        <v>1.0</v>
      </c>
      <c r="G20" s="119" t="s">
        <v>65</v>
      </c>
      <c r="H20" s="119" t="s">
        <v>160</v>
      </c>
      <c r="I20" s="119">
        <v>1.0</v>
      </c>
      <c r="J20" s="119">
        <v>16.0</v>
      </c>
      <c r="K20" s="119">
        <v>4.7</v>
      </c>
      <c r="L20" s="120" t="s">
        <v>161</v>
      </c>
      <c r="M20" s="120" t="s">
        <v>162</v>
      </c>
      <c r="N20" s="118" t="s">
        <v>165</v>
      </c>
      <c r="O20" s="118">
        <v>7499.0</v>
      </c>
      <c r="P20" s="119">
        <v>62000.0</v>
      </c>
      <c r="Q20" s="119">
        <v>10.0</v>
      </c>
      <c r="R20" s="51">
        <v>0.0</v>
      </c>
      <c r="S20" s="119">
        <v>0.0</v>
      </c>
      <c r="T20" s="57" t="s">
        <v>89</v>
      </c>
      <c r="U20" s="52"/>
      <c r="V20" s="52"/>
      <c r="W20" s="52"/>
      <c r="X20" s="52"/>
      <c r="Y20" s="52"/>
      <c r="Z20" s="52"/>
      <c r="AA20" s="52"/>
      <c r="AB20" s="53"/>
    </row>
    <row r="21" hidden="1">
      <c r="A21" s="52" t="s">
        <v>157</v>
      </c>
      <c r="B21" s="48" t="s">
        <v>166</v>
      </c>
      <c r="C21" s="48">
        <v>1.0</v>
      </c>
      <c r="D21" s="48">
        <v>1.8598685E7</v>
      </c>
      <c r="E21" s="48" t="s">
        <v>167</v>
      </c>
      <c r="F21" s="48">
        <v>1.0</v>
      </c>
      <c r="G21" s="48" t="s">
        <v>65</v>
      </c>
      <c r="H21" s="48" t="s">
        <v>160</v>
      </c>
      <c r="I21" s="48">
        <v>1.0</v>
      </c>
      <c r="J21" s="48">
        <v>16.0</v>
      </c>
      <c r="K21" s="48">
        <v>4.7</v>
      </c>
      <c r="L21" s="57" t="s">
        <v>161</v>
      </c>
      <c r="M21" s="57" t="s">
        <v>162</v>
      </c>
      <c r="N21" s="48" t="str">
        <f t="shared" ref="N21:N22" si="2">CONCAT(B21,".png")</f>
        <v>FT03_iPhone_6_1_16_1_SILVER.png</v>
      </c>
      <c r="O21" s="48">
        <v>7999.0</v>
      </c>
      <c r="P21" s="48">
        <v>62000.0</v>
      </c>
      <c r="Q21" s="48">
        <v>10.0</v>
      </c>
      <c r="R21" s="51">
        <v>0.0</v>
      </c>
      <c r="S21" s="48">
        <v>0.0</v>
      </c>
      <c r="T21" s="52"/>
      <c r="U21" s="52"/>
      <c r="V21" s="52"/>
      <c r="W21" s="52"/>
      <c r="X21" s="52"/>
      <c r="Y21" s="52"/>
      <c r="Z21" s="52"/>
      <c r="AA21" s="52"/>
      <c r="AB21" s="53"/>
    </row>
    <row r="22" hidden="1">
      <c r="A22" s="69" t="s">
        <v>157</v>
      </c>
      <c r="B22" s="121" t="s">
        <v>168</v>
      </c>
      <c r="C22" s="121">
        <v>1.0</v>
      </c>
      <c r="D22" s="121">
        <v>8.9781944E7</v>
      </c>
      <c r="E22" s="121" t="s">
        <v>159</v>
      </c>
      <c r="F22" s="121">
        <v>2.0</v>
      </c>
      <c r="G22" s="121" t="s">
        <v>65</v>
      </c>
      <c r="H22" s="121" t="s">
        <v>160</v>
      </c>
      <c r="I22" s="121">
        <v>1.0</v>
      </c>
      <c r="J22" s="121">
        <v>16.0</v>
      </c>
      <c r="K22" s="121">
        <v>4.7</v>
      </c>
      <c r="L22" s="64" t="s">
        <v>161</v>
      </c>
      <c r="M22" s="64" t="s">
        <v>162</v>
      </c>
      <c r="N22" s="121" t="str">
        <f t="shared" si="2"/>
        <v>FT03_iPhone_6_1_16_2_GOLD.png</v>
      </c>
      <c r="O22" s="121">
        <v>7089.0</v>
      </c>
      <c r="P22" s="121">
        <v>62000.0</v>
      </c>
      <c r="Q22" s="121">
        <v>10.0</v>
      </c>
      <c r="R22" s="51">
        <v>0.0</v>
      </c>
      <c r="S22" s="121">
        <v>0.0</v>
      </c>
      <c r="T22" s="69"/>
      <c r="U22" s="102"/>
      <c r="V22" s="102"/>
      <c r="W22" s="102"/>
      <c r="X22" s="102"/>
      <c r="Y22" s="102"/>
      <c r="Z22" s="102"/>
      <c r="AA22" s="102"/>
      <c r="AB22" s="103"/>
    </row>
    <row r="23" hidden="1">
      <c r="A23" s="93" t="s">
        <v>157</v>
      </c>
      <c r="B23" s="118" t="s">
        <v>169</v>
      </c>
      <c r="C23" s="93">
        <v>1.0</v>
      </c>
      <c r="D23" s="93">
        <v>1.234567654E9</v>
      </c>
      <c r="E23" s="93" t="s">
        <v>170</v>
      </c>
      <c r="F23" s="93">
        <v>1.0</v>
      </c>
      <c r="G23" s="122" t="s">
        <v>65</v>
      </c>
      <c r="H23" s="122" t="s">
        <v>160</v>
      </c>
      <c r="I23" s="93">
        <v>1.0</v>
      </c>
      <c r="J23" s="93">
        <v>16.0</v>
      </c>
      <c r="K23" s="110">
        <v>4.7</v>
      </c>
      <c r="L23" s="57" t="s">
        <v>161</v>
      </c>
      <c r="M23" s="57" t="s">
        <v>162</v>
      </c>
      <c r="N23" s="48" t="s">
        <v>171</v>
      </c>
      <c r="O23" s="57">
        <v>7099.0</v>
      </c>
      <c r="P23" s="93">
        <v>42999.0</v>
      </c>
      <c r="Q23" s="112"/>
      <c r="R23" s="51">
        <v>0.0</v>
      </c>
      <c r="S23" s="112"/>
      <c r="T23" s="93" t="s">
        <v>89</v>
      </c>
      <c r="U23" s="52"/>
      <c r="V23" s="52"/>
      <c r="W23" s="52"/>
      <c r="X23" s="52"/>
      <c r="Y23" s="52"/>
      <c r="Z23" s="52"/>
      <c r="AA23" s="52"/>
      <c r="AB23" s="53"/>
    </row>
    <row r="24" hidden="1">
      <c r="A24" s="98" t="s">
        <v>157</v>
      </c>
      <c r="B24" s="119" t="s">
        <v>172</v>
      </c>
      <c r="C24" s="119">
        <v>1.0</v>
      </c>
      <c r="D24" s="119">
        <v>1231684.0</v>
      </c>
      <c r="E24" s="119" t="s">
        <v>164</v>
      </c>
      <c r="F24" s="118">
        <v>2.0</v>
      </c>
      <c r="G24" s="119" t="s">
        <v>65</v>
      </c>
      <c r="H24" s="119" t="s">
        <v>160</v>
      </c>
      <c r="I24" s="119">
        <v>1.0</v>
      </c>
      <c r="J24" s="119">
        <v>16.0</v>
      </c>
      <c r="K24" s="119">
        <v>4.7</v>
      </c>
      <c r="L24" s="120" t="s">
        <v>161</v>
      </c>
      <c r="M24" s="120" t="s">
        <v>162</v>
      </c>
      <c r="N24" s="118" t="s">
        <v>165</v>
      </c>
      <c r="O24" s="118">
        <v>7099.0</v>
      </c>
      <c r="P24" s="119">
        <v>62000.0</v>
      </c>
      <c r="Q24" s="119">
        <v>10.0</v>
      </c>
      <c r="R24" s="51">
        <v>0.0</v>
      </c>
      <c r="S24" s="119">
        <v>0.0</v>
      </c>
      <c r="T24" s="57" t="s">
        <v>89</v>
      </c>
      <c r="U24" s="98"/>
      <c r="V24" s="98"/>
      <c r="W24" s="98"/>
      <c r="X24" s="98"/>
      <c r="Y24" s="98"/>
      <c r="Z24" s="98"/>
      <c r="AA24" s="98"/>
      <c r="AB24" s="80"/>
    </row>
    <row r="25" hidden="1">
      <c r="A25" s="52" t="s">
        <v>173</v>
      </c>
      <c r="B25" s="48" t="s">
        <v>174</v>
      </c>
      <c r="C25" s="48">
        <v>1.0</v>
      </c>
      <c r="D25" s="123">
        <v>6.28E9</v>
      </c>
      <c r="E25" s="48" t="s">
        <v>159</v>
      </c>
      <c r="F25" s="48">
        <v>2.0</v>
      </c>
      <c r="G25" s="48" t="s">
        <v>65</v>
      </c>
      <c r="H25" s="48" t="s">
        <v>160</v>
      </c>
      <c r="I25" s="48">
        <v>1.0</v>
      </c>
      <c r="J25" s="48">
        <v>32.0</v>
      </c>
      <c r="K25" s="48">
        <v>4.7</v>
      </c>
      <c r="L25" s="57" t="s">
        <v>175</v>
      </c>
      <c r="M25" s="57" t="s">
        <v>162</v>
      </c>
      <c r="N25" s="48" t="s">
        <v>171</v>
      </c>
      <c r="O25" s="48">
        <v>7579.0</v>
      </c>
      <c r="P25" s="48">
        <v>62000.0</v>
      </c>
      <c r="Q25" s="48">
        <v>10.0</v>
      </c>
      <c r="R25" s="51">
        <v>0.0</v>
      </c>
      <c r="S25" s="48">
        <v>0.0</v>
      </c>
      <c r="T25" s="57" t="s">
        <v>89</v>
      </c>
      <c r="U25" s="52"/>
      <c r="V25" s="52"/>
      <c r="W25" s="52"/>
      <c r="X25" s="52"/>
      <c r="Y25" s="52"/>
      <c r="Z25" s="52"/>
      <c r="AA25" s="52"/>
      <c r="AB25" s="53"/>
    </row>
    <row r="26" hidden="1">
      <c r="A26" s="124" t="s">
        <v>173</v>
      </c>
      <c r="B26" s="48" t="s">
        <v>176</v>
      </c>
      <c r="C26" s="48">
        <v>1.0</v>
      </c>
      <c r="D26" s="123">
        <v>6.28E9</v>
      </c>
      <c r="E26" s="48" t="s">
        <v>164</v>
      </c>
      <c r="F26" s="48">
        <v>2.0</v>
      </c>
      <c r="G26" s="48" t="s">
        <v>65</v>
      </c>
      <c r="H26" s="48" t="s">
        <v>160</v>
      </c>
      <c r="I26" s="48">
        <v>1.0</v>
      </c>
      <c r="J26" s="48">
        <v>32.0</v>
      </c>
      <c r="K26" s="48">
        <v>4.7</v>
      </c>
      <c r="L26" s="57" t="s">
        <v>175</v>
      </c>
      <c r="M26" s="57" t="s">
        <v>162</v>
      </c>
      <c r="N26" s="118" t="s">
        <v>177</v>
      </c>
      <c r="O26" s="48">
        <v>7919.0</v>
      </c>
      <c r="P26" s="48">
        <v>62000.0</v>
      </c>
      <c r="Q26" s="48">
        <v>10.0</v>
      </c>
      <c r="R26" s="51">
        <v>0.0</v>
      </c>
      <c r="S26" s="48">
        <v>0.0</v>
      </c>
      <c r="T26" s="52"/>
      <c r="U26" s="52"/>
      <c r="V26" s="52"/>
      <c r="W26" s="52"/>
      <c r="X26" s="52"/>
      <c r="Y26" s="52"/>
      <c r="Z26" s="52"/>
      <c r="AA26" s="52"/>
      <c r="AB26" s="53"/>
    </row>
    <row r="27" hidden="1">
      <c r="A27" s="52" t="s">
        <v>173</v>
      </c>
      <c r="B27" s="48" t="s">
        <v>178</v>
      </c>
      <c r="C27" s="48">
        <v>1.0</v>
      </c>
      <c r="D27" s="123">
        <v>6.28E9</v>
      </c>
      <c r="E27" s="48" t="s">
        <v>164</v>
      </c>
      <c r="F27" s="48">
        <v>1.0</v>
      </c>
      <c r="G27" s="48" t="s">
        <v>65</v>
      </c>
      <c r="H27" s="48" t="s">
        <v>160</v>
      </c>
      <c r="I27" s="48">
        <v>1.0</v>
      </c>
      <c r="J27" s="48">
        <v>32.0</v>
      </c>
      <c r="K27" s="48">
        <v>4.7</v>
      </c>
      <c r="L27" s="57" t="s">
        <v>175</v>
      </c>
      <c r="M27" s="57" t="s">
        <v>162</v>
      </c>
      <c r="N27" s="118" t="s">
        <v>165</v>
      </c>
      <c r="O27" s="48">
        <v>8569.0</v>
      </c>
      <c r="P27" s="48">
        <v>62000.0</v>
      </c>
      <c r="Q27" s="48">
        <v>10.0</v>
      </c>
      <c r="R27" s="51">
        <v>0.0</v>
      </c>
      <c r="S27" s="48">
        <v>0.0</v>
      </c>
      <c r="T27" s="57" t="s">
        <v>89</v>
      </c>
      <c r="U27" s="52"/>
      <c r="V27" s="52"/>
      <c r="W27" s="52"/>
      <c r="X27" s="52"/>
      <c r="Y27" s="52"/>
      <c r="Z27" s="52"/>
      <c r="AA27" s="52"/>
      <c r="AB27" s="53"/>
    </row>
    <row r="28" hidden="1">
      <c r="A28" s="120" t="s">
        <v>179</v>
      </c>
      <c r="B28" s="118" t="s">
        <v>180</v>
      </c>
      <c r="C28" s="119">
        <v>1.0</v>
      </c>
      <c r="D28" s="119">
        <v>1231684.0</v>
      </c>
      <c r="E28" s="118" t="s">
        <v>181</v>
      </c>
      <c r="F28" s="118">
        <v>1.0</v>
      </c>
      <c r="G28" s="119" t="s">
        <v>65</v>
      </c>
      <c r="H28" s="119" t="s">
        <v>182</v>
      </c>
      <c r="I28" s="119">
        <v>1.0</v>
      </c>
      <c r="J28" s="119">
        <v>16.0</v>
      </c>
      <c r="K28" s="119">
        <v>4.7</v>
      </c>
      <c r="L28" s="120" t="s">
        <v>161</v>
      </c>
      <c r="M28" s="120" t="s">
        <v>162</v>
      </c>
      <c r="N28" s="119" t="str">
        <f t="shared" ref="N28:N33" si="3">CONCAT(B28,".png")</f>
        <v>FT03_iPhone_6+_1_16_1_ROSEGOLD.png</v>
      </c>
      <c r="O28" s="119">
        <v>7299.0</v>
      </c>
      <c r="P28" s="119">
        <v>62000.0</v>
      </c>
      <c r="Q28" s="119">
        <v>10.0</v>
      </c>
      <c r="R28" s="51">
        <v>0.0</v>
      </c>
      <c r="S28" s="119">
        <v>0.0</v>
      </c>
      <c r="T28" s="52"/>
      <c r="U28" s="52"/>
      <c r="V28" s="52"/>
      <c r="W28" s="52"/>
      <c r="X28" s="52"/>
      <c r="Y28" s="52"/>
      <c r="Z28" s="52"/>
      <c r="AA28" s="52"/>
      <c r="AB28" s="53"/>
    </row>
    <row r="29" hidden="1">
      <c r="A29" s="125" t="s">
        <v>179</v>
      </c>
      <c r="B29" s="118" t="s">
        <v>183</v>
      </c>
      <c r="C29" s="119">
        <v>1.0</v>
      </c>
      <c r="D29" s="119">
        <v>8.9781944E7</v>
      </c>
      <c r="E29" s="118" t="s">
        <v>184</v>
      </c>
      <c r="F29" s="118">
        <v>2.0</v>
      </c>
      <c r="G29" s="119" t="s">
        <v>65</v>
      </c>
      <c r="H29" s="118" t="s">
        <v>182</v>
      </c>
      <c r="I29" s="119">
        <v>1.0</v>
      </c>
      <c r="J29" s="119">
        <v>16.0</v>
      </c>
      <c r="K29" s="119">
        <v>4.7</v>
      </c>
      <c r="L29" s="120" t="s">
        <v>161</v>
      </c>
      <c r="M29" s="120" t="s">
        <v>162</v>
      </c>
      <c r="N29" s="119" t="str">
        <f t="shared" si="3"/>
        <v>FT03_iPhone_6+_1_16_2_GOLD.png</v>
      </c>
      <c r="O29" s="119">
        <v>7299.0</v>
      </c>
      <c r="P29" s="119">
        <v>62000.0</v>
      </c>
      <c r="Q29" s="119">
        <v>10.0</v>
      </c>
      <c r="R29" s="51">
        <v>0.0</v>
      </c>
      <c r="S29" s="119">
        <v>0.0</v>
      </c>
      <c r="T29" s="52"/>
      <c r="U29" s="52"/>
      <c r="V29" s="52"/>
      <c r="W29" s="52"/>
      <c r="X29" s="52"/>
      <c r="Y29" s="52"/>
      <c r="Z29" s="52"/>
      <c r="AA29" s="52"/>
      <c r="AB29" s="53"/>
    </row>
    <row r="30" hidden="1">
      <c r="A30" s="125" t="s">
        <v>179</v>
      </c>
      <c r="B30" s="118" t="s">
        <v>185</v>
      </c>
      <c r="C30" s="119">
        <v>1.0</v>
      </c>
      <c r="D30" s="119">
        <v>1231684.0</v>
      </c>
      <c r="E30" s="118" t="s">
        <v>186</v>
      </c>
      <c r="F30" s="119">
        <v>2.0</v>
      </c>
      <c r="G30" s="119" t="s">
        <v>65</v>
      </c>
      <c r="H30" s="118" t="s">
        <v>182</v>
      </c>
      <c r="I30" s="119">
        <v>1.0</v>
      </c>
      <c r="J30" s="119">
        <v>16.0</v>
      </c>
      <c r="K30" s="119">
        <v>4.7</v>
      </c>
      <c r="L30" s="120" t="s">
        <v>161</v>
      </c>
      <c r="M30" s="120" t="s">
        <v>162</v>
      </c>
      <c r="N30" s="119" t="str">
        <f t="shared" si="3"/>
        <v>FT03_iPhone_6+_1_16_2_GREY.png</v>
      </c>
      <c r="O30" s="119">
        <v>7299.0</v>
      </c>
      <c r="P30" s="119">
        <v>62000.0</v>
      </c>
      <c r="Q30" s="119">
        <v>10.0</v>
      </c>
      <c r="R30" s="51">
        <v>0.0</v>
      </c>
      <c r="S30" s="119">
        <v>0.0</v>
      </c>
      <c r="T30" s="52"/>
      <c r="U30" s="52"/>
      <c r="V30" s="52"/>
      <c r="W30" s="52"/>
      <c r="X30" s="52"/>
      <c r="Y30" s="52"/>
      <c r="Z30" s="52"/>
      <c r="AA30" s="52"/>
      <c r="AB30" s="53"/>
    </row>
    <row r="31" hidden="1">
      <c r="A31" s="57" t="s">
        <v>187</v>
      </c>
      <c r="B31" s="48" t="s">
        <v>188</v>
      </c>
      <c r="C31" s="48">
        <v>1.0</v>
      </c>
      <c r="D31" s="123">
        <v>1.53E9</v>
      </c>
      <c r="E31" s="48" t="s">
        <v>189</v>
      </c>
      <c r="F31" s="48">
        <v>1.0</v>
      </c>
      <c r="G31" s="48" t="s">
        <v>65</v>
      </c>
      <c r="H31" s="48" t="s">
        <v>190</v>
      </c>
      <c r="I31" s="48">
        <v>2.0</v>
      </c>
      <c r="J31" s="48">
        <v>128.0</v>
      </c>
      <c r="K31" s="48">
        <v>4.7</v>
      </c>
      <c r="L31" s="57" t="s">
        <v>191</v>
      </c>
      <c r="M31" s="57" t="s">
        <v>192</v>
      </c>
      <c r="N31" s="48" t="str">
        <f t="shared" si="3"/>
        <v>FT03_iPhone_6S_2_128_1_ROSEGOLD.png</v>
      </c>
      <c r="O31" s="48">
        <v>10199.0</v>
      </c>
      <c r="P31" s="48">
        <v>32000.0</v>
      </c>
      <c r="Q31" s="48">
        <v>10.0</v>
      </c>
      <c r="R31" s="51">
        <v>0.0</v>
      </c>
      <c r="S31" s="48">
        <v>0.0</v>
      </c>
      <c r="T31" s="52"/>
      <c r="U31" s="52"/>
      <c r="V31" s="52"/>
      <c r="W31" s="52"/>
      <c r="X31" s="52"/>
      <c r="Y31" s="52"/>
      <c r="Z31" s="52"/>
      <c r="AA31" s="52"/>
      <c r="AB31" s="53"/>
    </row>
    <row r="32" hidden="1">
      <c r="A32" s="52" t="s">
        <v>193</v>
      </c>
      <c r="B32" s="48" t="s">
        <v>194</v>
      </c>
      <c r="C32" s="48">
        <v>1.0</v>
      </c>
      <c r="D32" s="48">
        <v>2.5952553E7</v>
      </c>
      <c r="E32" s="48" t="s">
        <v>189</v>
      </c>
      <c r="F32" s="48">
        <v>1.0</v>
      </c>
      <c r="G32" s="48" t="s">
        <v>65</v>
      </c>
      <c r="H32" s="48" t="s">
        <v>190</v>
      </c>
      <c r="I32" s="48">
        <v>2.0</v>
      </c>
      <c r="J32" s="48">
        <v>16.0</v>
      </c>
      <c r="K32" s="48">
        <v>4.7</v>
      </c>
      <c r="L32" s="57" t="s">
        <v>195</v>
      </c>
      <c r="M32" s="57" t="s">
        <v>192</v>
      </c>
      <c r="N32" s="48" t="str">
        <f t="shared" si="3"/>
        <v>FT03_iPhone_6S_2_16_1_ROSEGOLD.png</v>
      </c>
      <c r="O32" s="48">
        <v>8099.0</v>
      </c>
      <c r="P32" s="48">
        <v>23000.0</v>
      </c>
      <c r="Q32" s="48">
        <v>10.0</v>
      </c>
      <c r="R32" s="51">
        <v>0.0</v>
      </c>
      <c r="S32" s="48">
        <v>0.0</v>
      </c>
      <c r="T32" s="52"/>
      <c r="U32" s="52"/>
      <c r="V32" s="52"/>
      <c r="W32" s="52"/>
      <c r="X32" s="52"/>
      <c r="Y32" s="52"/>
      <c r="Z32" s="52"/>
      <c r="AA32" s="52"/>
      <c r="AB32" s="53"/>
    </row>
    <row r="33" hidden="1">
      <c r="A33" s="52" t="s">
        <v>193</v>
      </c>
      <c r="B33" s="48" t="s">
        <v>196</v>
      </c>
      <c r="C33" s="48">
        <v>1.0</v>
      </c>
      <c r="D33" s="48">
        <v>2.5952553E7</v>
      </c>
      <c r="E33" s="48" t="s">
        <v>197</v>
      </c>
      <c r="F33" s="48">
        <v>2.0</v>
      </c>
      <c r="G33" s="48" t="s">
        <v>65</v>
      </c>
      <c r="H33" s="48" t="s">
        <v>190</v>
      </c>
      <c r="I33" s="48">
        <v>2.0</v>
      </c>
      <c r="J33" s="48">
        <v>16.0</v>
      </c>
      <c r="K33" s="48">
        <v>4.7</v>
      </c>
      <c r="L33" s="57" t="s">
        <v>195</v>
      </c>
      <c r="M33" s="57" t="s">
        <v>192</v>
      </c>
      <c r="N33" s="48" t="str">
        <f t="shared" si="3"/>
        <v>FT03_iPhone_6S_2_16_2_GOLD.png</v>
      </c>
      <c r="O33" s="48">
        <v>8099.0</v>
      </c>
      <c r="P33" s="48">
        <v>23000.0</v>
      </c>
      <c r="Q33" s="48">
        <v>10.0</v>
      </c>
      <c r="R33" s="51">
        <v>0.0</v>
      </c>
      <c r="S33" s="48">
        <v>0.0</v>
      </c>
      <c r="T33" s="52"/>
      <c r="U33" s="52"/>
      <c r="V33" s="52"/>
      <c r="W33" s="52"/>
      <c r="X33" s="52"/>
      <c r="Y33" s="52"/>
      <c r="Z33" s="52"/>
      <c r="AA33" s="52"/>
      <c r="AB33" s="53"/>
    </row>
    <row r="34" hidden="1">
      <c r="A34" s="4" t="s">
        <v>198</v>
      </c>
      <c r="B34" s="121" t="s">
        <v>199</v>
      </c>
      <c r="C34" s="121">
        <v>1.0</v>
      </c>
      <c r="D34" s="121">
        <v>2.5952553E7</v>
      </c>
      <c r="E34" s="121" t="s">
        <v>200</v>
      </c>
      <c r="F34" s="121">
        <v>2.0</v>
      </c>
      <c r="G34" s="121" t="s">
        <v>65</v>
      </c>
      <c r="H34" s="121" t="s">
        <v>190</v>
      </c>
      <c r="I34" s="121">
        <v>2.0</v>
      </c>
      <c r="J34" s="121">
        <v>16.0</v>
      </c>
      <c r="K34" s="121">
        <v>4.7</v>
      </c>
      <c r="L34" s="64" t="s">
        <v>195</v>
      </c>
      <c r="M34" s="64" t="s">
        <v>192</v>
      </c>
      <c r="N34" s="121" t="s">
        <v>201</v>
      </c>
      <c r="O34" s="121">
        <v>7799.0</v>
      </c>
      <c r="P34" s="121">
        <v>23000.0</v>
      </c>
      <c r="Q34" s="121">
        <v>10.0</v>
      </c>
      <c r="R34" s="51">
        <v>0.0</v>
      </c>
      <c r="S34" s="121">
        <v>0.0</v>
      </c>
      <c r="T34" s="102"/>
      <c r="U34" s="69"/>
      <c r="V34" s="69"/>
      <c r="W34" s="69"/>
      <c r="X34" s="69"/>
      <c r="Y34" s="69"/>
      <c r="Z34" s="69"/>
      <c r="AA34" s="69"/>
      <c r="AB34" s="70"/>
    </row>
    <row r="35" hidden="1">
      <c r="A35" s="52" t="s">
        <v>202</v>
      </c>
      <c r="B35" s="48" t="s">
        <v>203</v>
      </c>
      <c r="C35" s="48">
        <v>1.0</v>
      </c>
      <c r="D35" s="123">
        <v>6.59E8</v>
      </c>
      <c r="E35" s="48" t="s">
        <v>189</v>
      </c>
      <c r="F35" s="48">
        <v>1.0</v>
      </c>
      <c r="G35" s="48" t="s">
        <v>65</v>
      </c>
      <c r="H35" s="48" t="s">
        <v>190</v>
      </c>
      <c r="I35" s="48">
        <v>2.0</v>
      </c>
      <c r="J35" s="48">
        <v>32.0</v>
      </c>
      <c r="K35" s="48">
        <v>4.7</v>
      </c>
      <c r="L35" s="57" t="s">
        <v>204</v>
      </c>
      <c r="M35" s="57" t="s">
        <v>192</v>
      </c>
      <c r="N35" s="48" t="str">
        <f t="shared" ref="N35:N37" si="4">CONCAT(B35,".png")</f>
        <v>FT03_iPhone_6S_2_32_1_ROSEGOLD.png</v>
      </c>
      <c r="O35" s="48">
        <v>9599.0</v>
      </c>
      <c r="P35" s="48">
        <v>28000.0</v>
      </c>
      <c r="Q35" s="48">
        <v>10.0</v>
      </c>
      <c r="R35" s="51">
        <v>0.0</v>
      </c>
      <c r="S35" s="48">
        <v>0.0</v>
      </c>
      <c r="T35" s="52"/>
      <c r="U35" s="52"/>
      <c r="V35" s="52"/>
      <c r="W35" s="52"/>
      <c r="X35" s="52"/>
      <c r="Y35" s="52"/>
      <c r="Z35" s="52"/>
      <c r="AA35" s="52"/>
      <c r="AB35" s="53"/>
    </row>
    <row r="36" hidden="1">
      <c r="A36" s="52" t="s">
        <v>202</v>
      </c>
      <c r="B36" s="48" t="s">
        <v>205</v>
      </c>
      <c r="C36" s="48">
        <v>1.0</v>
      </c>
      <c r="D36" s="48">
        <v>841515.0</v>
      </c>
      <c r="E36" s="48" t="s">
        <v>206</v>
      </c>
      <c r="F36" s="48">
        <v>2.0</v>
      </c>
      <c r="G36" s="48" t="s">
        <v>65</v>
      </c>
      <c r="H36" s="48" t="s">
        <v>190</v>
      </c>
      <c r="I36" s="48">
        <v>2.0</v>
      </c>
      <c r="J36" s="48">
        <v>32.0</v>
      </c>
      <c r="K36" s="48">
        <v>4.7</v>
      </c>
      <c r="L36" s="57" t="s">
        <v>204</v>
      </c>
      <c r="M36" s="57" t="s">
        <v>192</v>
      </c>
      <c r="N36" s="48" t="str">
        <f t="shared" si="4"/>
        <v>FT03_iPhone_6S_2_32_2_BLACK.png</v>
      </c>
      <c r="O36" s="48">
        <v>9599.0</v>
      </c>
      <c r="P36" s="48">
        <v>28000.0</v>
      </c>
      <c r="Q36" s="48">
        <v>10.0</v>
      </c>
      <c r="R36" s="51">
        <v>0.0</v>
      </c>
      <c r="S36" s="48">
        <v>0.0</v>
      </c>
      <c r="T36" s="52"/>
      <c r="U36" s="52"/>
      <c r="V36" s="52"/>
      <c r="W36" s="52"/>
      <c r="X36" s="52"/>
      <c r="Y36" s="52"/>
      <c r="Z36" s="52"/>
      <c r="AA36" s="52"/>
      <c r="AB36" s="53"/>
    </row>
    <row r="37" hidden="1">
      <c r="A37" s="52" t="s">
        <v>202</v>
      </c>
      <c r="B37" s="48" t="s">
        <v>207</v>
      </c>
      <c r="C37" s="48">
        <v>1.0</v>
      </c>
      <c r="D37" s="123">
        <v>5.22E8</v>
      </c>
      <c r="E37" s="48" t="s">
        <v>197</v>
      </c>
      <c r="F37" s="48">
        <v>2.0</v>
      </c>
      <c r="G37" s="48" t="s">
        <v>65</v>
      </c>
      <c r="H37" s="48" t="s">
        <v>190</v>
      </c>
      <c r="I37" s="48">
        <v>2.0</v>
      </c>
      <c r="J37" s="48">
        <v>32.0</v>
      </c>
      <c r="K37" s="48">
        <v>4.7</v>
      </c>
      <c r="L37" s="57" t="s">
        <v>204</v>
      </c>
      <c r="M37" s="57" t="s">
        <v>192</v>
      </c>
      <c r="N37" s="48" t="str">
        <f t="shared" si="4"/>
        <v>FT03_iPhone_6S_2_32_2_GOLD.png</v>
      </c>
      <c r="O37" s="48">
        <v>9599.0</v>
      </c>
      <c r="P37" s="48">
        <v>28000.0</v>
      </c>
      <c r="Q37" s="48">
        <v>10.0</v>
      </c>
      <c r="R37" s="51">
        <v>0.0</v>
      </c>
      <c r="S37" s="48">
        <v>0.0</v>
      </c>
      <c r="T37" s="52"/>
      <c r="U37" s="52"/>
      <c r="V37" s="52"/>
      <c r="W37" s="52"/>
      <c r="X37" s="52"/>
      <c r="Y37" s="52"/>
      <c r="Z37" s="52"/>
      <c r="AA37" s="52"/>
      <c r="AB37" s="53"/>
    </row>
    <row r="38" hidden="1">
      <c r="A38" s="69" t="s">
        <v>202</v>
      </c>
      <c r="B38" s="121" t="s">
        <v>208</v>
      </c>
      <c r="C38" s="121">
        <v>1.0</v>
      </c>
      <c r="D38" s="121">
        <v>5.9853258E7</v>
      </c>
      <c r="E38" s="121" t="s">
        <v>200</v>
      </c>
      <c r="F38" s="121">
        <v>2.0</v>
      </c>
      <c r="G38" s="121" t="s">
        <v>65</v>
      </c>
      <c r="H38" s="121" t="s">
        <v>190</v>
      </c>
      <c r="I38" s="121">
        <v>2.0</v>
      </c>
      <c r="J38" s="121">
        <v>32.0</v>
      </c>
      <c r="K38" s="121">
        <v>4.7</v>
      </c>
      <c r="L38" s="64" t="s">
        <v>204</v>
      </c>
      <c r="M38" s="64" t="s">
        <v>192</v>
      </c>
      <c r="N38" s="121" t="s">
        <v>201</v>
      </c>
      <c r="O38" s="121">
        <v>9069.0</v>
      </c>
      <c r="P38" s="121">
        <v>28000.0</v>
      </c>
      <c r="Q38" s="121">
        <v>10.0</v>
      </c>
      <c r="R38" s="51">
        <v>0.0</v>
      </c>
      <c r="S38" s="121">
        <v>0.0</v>
      </c>
      <c r="T38" s="126" t="s">
        <v>89</v>
      </c>
      <c r="U38" s="69"/>
      <c r="V38" s="69"/>
      <c r="W38" s="69"/>
      <c r="X38" s="69"/>
      <c r="Y38" s="69"/>
      <c r="Z38" s="69"/>
      <c r="AA38" s="69"/>
      <c r="AB38" s="70"/>
    </row>
    <row r="39" hidden="1">
      <c r="A39" s="52" t="s">
        <v>202</v>
      </c>
      <c r="B39" s="48" t="s">
        <v>209</v>
      </c>
      <c r="C39" s="48">
        <v>1.0</v>
      </c>
      <c r="D39" s="123">
        <v>6.59E8</v>
      </c>
      <c r="E39" s="48" t="s">
        <v>189</v>
      </c>
      <c r="F39" s="48">
        <v>2.0</v>
      </c>
      <c r="G39" s="48" t="s">
        <v>65</v>
      </c>
      <c r="H39" s="48" t="s">
        <v>190</v>
      </c>
      <c r="I39" s="48">
        <v>2.0</v>
      </c>
      <c r="J39" s="48">
        <v>32.0</v>
      </c>
      <c r="K39" s="48">
        <v>4.7</v>
      </c>
      <c r="L39" s="57" t="s">
        <v>204</v>
      </c>
      <c r="M39" s="57" t="s">
        <v>192</v>
      </c>
      <c r="N39" s="48" t="str">
        <f>CONCAT(B39,".png")</f>
        <v>FT03_iPhone_6S_2_32_2_ROSEGOLD.png</v>
      </c>
      <c r="O39" s="48">
        <v>9599.0</v>
      </c>
      <c r="P39" s="48">
        <v>28000.0</v>
      </c>
      <c r="Q39" s="48">
        <v>10.0</v>
      </c>
      <c r="R39" s="51">
        <v>0.0</v>
      </c>
      <c r="S39" s="48">
        <v>0.0</v>
      </c>
      <c r="T39" s="52"/>
      <c r="U39" s="52"/>
      <c r="V39" s="52"/>
      <c r="W39" s="52"/>
      <c r="X39" s="52"/>
      <c r="Y39" s="52"/>
      <c r="Z39" s="52"/>
      <c r="AA39" s="52"/>
      <c r="AB39" s="53"/>
    </row>
    <row r="40" hidden="1">
      <c r="A40" s="52" t="s">
        <v>202</v>
      </c>
      <c r="B40" s="48" t="s">
        <v>210</v>
      </c>
      <c r="C40" s="48">
        <v>1.0</v>
      </c>
      <c r="D40" s="48">
        <v>841515.0</v>
      </c>
      <c r="E40" s="48" t="s">
        <v>211</v>
      </c>
      <c r="F40" s="48">
        <v>2.0</v>
      </c>
      <c r="G40" s="48" t="s">
        <v>65</v>
      </c>
      <c r="H40" s="48" t="s">
        <v>190</v>
      </c>
      <c r="I40" s="48">
        <v>2.0</v>
      </c>
      <c r="J40" s="48">
        <v>32.0</v>
      </c>
      <c r="K40" s="48">
        <v>4.7</v>
      </c>
      <c r="L40" s="57" t="s">
        <v>204</v>
      </c>
      <c r="M40" s="57" t="s">
        <v>192</v>
      </c>
      <c r="N40" s="48" t="s">
        <v>212</v>
      </c>
      <c r="O40" s="48">
        <v>8219.0</v>
      </c>
      <c r="P40" s="48">
        <v>28000.0</v>
      </c>
      <c r="Q40" s="48">
        <v>10.0</v>
      </c>
      <c r="R40" s="51">
        <v>0.0</v>
      </c>
      <c r="S40" s="48">
        <v>0.0</v>
      </c>
      <c r="T40" s="125" t="s">
        <v>89</v>
      </c>
      <c r="U40" s="52"/>
      <c r="V40" s="52"/>
      <c r="W40" s="52"/>
      <c r="X40" s="52"/>
      <c r="Y40" s="52"/>
      <c r="Z40" s="52"/>
      <c r="AA40" s="52"/>
      <c r="AB40" s="53"/>
    </row>
    <row r="41" hidden="1">
      <c r="A41" s="102" t="s">
        <v>213</v>
      </c>
      <c r="B41" s="114" t="s">
        <v>214</v>
      </c>
      <c r="C41" s="115">
        <v>1.0</v>
      </c>
      <c r="D41" s="127">
        <v>1.53E9</v>
      </c>
      <c r="E41" s="115" t="s">
        <v>189</v>
      </c>
      <c r="F41" s="114">
        <v>1.0</v>
      </c>
      <c r="G41" s="115" t="s">
        <v>65</v>
      </c>
      <c r="H41" s="115" t="s">
        <v>190</v>
      </c>
      <c r="I41" s="115">
        <v>2.0</v>
      </c>
      <c r="J41" s="115">
        <v>64.0</v>
      </c>
      <c r="K41" s="115">
        <v>4.7</v>
      </c>
      <c r="L41" s="116" t="s">
        <v>191</v>
      </c>
      <c r="M41" s="116" t="s">
        <v>192</v>
      </c>
      <c r="N41" s="115" t="str">
        <f>CONCAT(B41,".png")</f>
        <v>FT03_iPhone_6S_2_64_1_ROSEGOLD.png</v>
      </c>
      <c r="O41" s="115">
        <v>10199.0</v>
      </c>
      <c r="P41" s="115">
        <v>32000.0</v>
      </c>
      <c r="Q41" s="115">
        <v>10.0</v>
      </c>
      <c r="R41" s="51">
        <v>0.0</v>
      </c>
      <c r="S41" s="115">
        <v>0.0</v>
      </c>
      <c r="T41" s="69"/>
      <c r="U41" s="69"/>
      <c r="V41" s="69"/>
      <c r="W41" s="69"/>
      <c r="X41" s="69"/>
      <c r="Y41" s="69"/>
      <c r="Z41" s="69"/>
      <c r="AA41" s="69"/>
      <c r="AB41" s="70"/>
    </row>
    <row r="42" hidden="1">
      <c r="A42" s="4" t="s">
        <v>213</v>
      </c>
      <c r="B42" s="121" t="s">
        <v>215</v>
      </c>
      <c r="C42" s="121">
        <v>1.0</v>
      </c>
      <c r="D42" s="128">
        <v>5.69E8</v>
      </c>
      <c r="E42" s="121" t="s">
        <v>200</v>
      </c>
      <c r="F42" s="121">
        <v>2.0</v>
      </c>
      <c r="G42" s="121" t="s">
        <v>65</v>
      </c>
      <c r="H42" s="121" t="s">
        <v>190</v>
      </c>
      <c r="I42" s="121">
        <v>2.0</v>
      </c>
      <c r="J42" s="121">
        <v>64.0</v>
      </c>
      <c r="K42" s="121">
        <v>4.7</v>
      </c>
      <c r="L42" s="64" t="s">
        <v>191</v>
      </c>
      <c r="M42" s="64" t="s">
        <v>192</v>
      </c>
      <c r="N42" s="121" t="s">
        <v>216</v>
      </c>
      <c r="O42" s="129">
        <v>10079.0</v>
      </c>
      <c r="P42" s="121">
        <v>32000.0</v>
      </c>
      <c r="Q42" s="121">
        <v>10.0</v>
      </c>
      <c r="R42" s="51">
        <v>0.0</v>
      </c>
      <c r="S42" s="121">
        <v>0.0</v>
      </c>
      <c r="T42" s="64" t="s">
        <v>89</v>
      </c>
      <c r="U42" s="69"/>
      <c r="V42" s="69"/>
      <c r="W42" s="69"/>
      <c r="X42" s="69"/>
      <c r="Y42" s="69"/>
      <c r="Z42" s="69"/>
      <c r="AA42" s="69"/>
      <c r="AB42" s="70"/>
    </row>
    <row r="43" hidden="1">
      <c r="A43" s="52" t="s">
        <v>213</v>
      </c>
      <c r="B43" s="48" t="s">
        <v>217</v>
      </c>
      <c r="C43" s="48">
        <v>1.0</v>
      </c>
      <c r="D43" s="123">
        <v>1.53E9</v>
      </c>
      <c r="E43" s="48" t="s">
        <v>189</v>
      </c>
      <c r="F43" s="48">
        <v>2.0</v>
      </c>
      <c r="G43" s="48" t="s">
        <v>65</v>
      </c>
      <c r="H43" s="48" t="s">
        <v>190</v>
      </c>
      <c r="I43" s="48">
        <v>2.0</v>
      </c>
      <c r="J43" s="48">
        <v>64.0</v>
      </c>
      <c r="K43" s="48">
        <v>4.7</v>
      </c>
      <c r="L43" s="57" t="s">
        <v>191</v>
      </c>
      <c r="M43" s="57" t="s">
        <v>192</v>
      </c>
      <c r="N43" s="48" t="str">
        <f t="shared" ref="N43:N45" si="5">CONCAT(B43,".png")</f>
        <v>FT03_iPhone_6S_2_64_2_ROSEGOLD.png</v>
      </c>
      <c r="O43" s="48">
        <v>10199.0</v>
      </c>
      <c r="P43" s="48">
        <v>32000.0</v>
      </c>
      <c r="Q43" s="48">
        <v>10.0</v>
      </c>
      <c r="R43" s="51">
        <v>0.0</v>
      </c>
      <c r="S43" s="48">
        <v>0.0</v>
      </c>
      <c r="T43" s="52"/>
      <c r="U43" s="52"/>
      <c r="V43" s="52"/>
      <c r="W43" s="52"/>
      <c r="X43" s="52"/>
      <c r="Y43" s="52"/>
      <c r="Z43" s="52"/>
      <c r="AA43" s="52"/>
      <c r="AB43" s="53"/>
    </row>
    <row r="44" hidden="1">
      <c r="A44" s="52" t="s">
        <v>218</v>
      </c>
      <c r="B44" s="48" t="s">
        <v>219</v>
      </c>
      <c r="C44" s="48">
        <v>1.0</v>
      </c>
      <c r="D44" s="123">
        <v>8.53E8</v>
      </c>
      <c r="E44" s="48" t="s">
        <v>220</v>
      </c>
      <c r="F44" s="48">
        <v>1.0</v>
      </c>
      <c r="G44" s="48" t="s">
        <v>65</v>
      </c>
      <c r="H44" s="48" t="s">
        <v>221</v>
      </c>
      <c r="I44" s="48">
        <v>2.0</v>
      </c>
      <c r="J44" s="48">
        <v>64.0</v>
      </c>
      <c r="K44" s="48">
        <v>5.5</v>
      </c>
      <c r="L44" s="57" t="s">
        <v>222</v>
      </c>
      <c r="M44" s="57" t="s">
        <v>223</v>
      </c>
      <c r="N44" s="48" t="str">
        <f t="shared" si="5"/>
        <v>FT03_iPhone_6S+_2_64_1_ROSEGOLD.png</v>
      </c>
      <c r="O44" s="48">
        <v>11999.0</v>
      </c>
      <c r="P44" s="48">
        <v>45000.0</v>
      </c>
      <c r="Q44" s="48">
        <v>10.0</v>
      </c>
      <c r="R44" s="51">
        <v>0.0</v>
      </c>
      <c r="S44" s="48">
        <v>0.0</v>
      </c>
      <c r="T44" s="52"/>
      <c r="U44" s="52"/>
      <c r="V44" s="52"/>
      <c r="W44" s="52"/>
      <c r="X44" s="52"/>
      <c r="Y44" s="52"/>
      <c r="Z44" s="52"/>
      <c r="AA44" s="52"/>
      <c r="AB44" s="53"/>
    </row>
    <row r="45" hidden="1">
      <c r="A45" s="52" t="s">
        <v>218</v>
      </c>
      <c r="B45" s="48" t="s">
        <v>224</v>
      </c>
      <c r="C45" s="48">
        <v>1.0</v>
      </c>
      <c r="D45" s="123">
        <v>8.53E8</v>
      </c>
      <c r="E45" s="48" t="s">
        <v>225</v>
      </c>
      <c r="F45" s="48">
        <v>1.0</v>
      </c>
      <c r="G45" s="48" t="s">
        <v>65</v>
      </c>
      <c r="H45" s="48" t="s">
        <v>221</v>
      </c>
      <c r="I45" s="48">
        <v>2.0</v>
      </c>
      <c r="J45" s="48">
        <v>64.0</v>
      </c>
      <c r="K45" s="48"/>
      <c r="L45" s="48"/>
      <c r="M45" s="48"/>
      <c r="N45" s="48" t="str">
        <f t="shared" si="5"/>
        <v>FT03_iPhone_6S+_2_64_2_GREY.png</v>
      </c>
      <c r="O45" s="48">
        <v>11999.0</v>
      </c>
      <c r="P45" s="48">
        <v>45000.0</v>
      </c>
      <c r="Q45" s="48">
        <v>10.0</v>
      </c>
      <c r="R45" s="51">
        <v>0.0</v>
      </c>
      <c r="S45" s="48">
        <v>0.0</v>
      </c>
      <c r="T45" s="52"/>
      <c r="U45" s="52"/>
      <c r="V45" s="52"/>
      <c r="W45" s="52"/>
      <c r="X45" s="52"/>
      <c r="Y45" s="52"/>
      <c r="Z45" s="52"/>
      <c r="AA45" s="52"/>
      <c r="AB45" s="53"/>
    </row>
    <row r="46" hidden="1">
      <c r="A46" s="69" t="s">
        <v>218</v>
      </c>
      <c r="B46" s="121" t="s">
        <v>226</v>
      </c>
      <c r="C46" s="121">
        <v>1.0</v>
      </c>
      <c r="D46" s="128">
        <v>8.53E8</v>
      </c>
      <c r="E46" s="121" t="s">
        <v>220</v>
      </c>
      <c r="F46" s="121">
        <v>1.0</v>
      </c>
      <c r="G46" s="121" t="s">
        <v>65</v>
      </c>
      <c r="H46" s="121" t="s">
        <v>221</v>
      </c>
      <c r="I46" s="121">
        <v>2.0</v>
      </c>
      <c r="J46" s="121">
        <v>64.0</v>
      </c>
      <c r="K46" s="121">
        <v>5.5</v>
      </c>
      <c r="L46" s="64" t="s">
        <v>222</v>
      </c>
      <c r="M46" s="64" t="s">
        <v>223</v>
      </c>
      <c r="N46" s="121" t="s">
        <v>227</v>
      </c>
      <c r="O46" s="121">
        <v>11769.0</v>
      </c>
      <c r="P46" s="121">
        <v>45000.0</v>
      </c>
      <c r="Q46" s="121">
        <v>10.0</v>
      </c>
      <c r="R46" s="51">
        <v>0.0</v>
      </c>
      <c r="S46" s="121">
        <v>0.0</v>
      </c>
      <c r="T46" s="69"/>
      <c r="U46" s="69"/>
      <c r="V46" s="69"/>
      <c r="W46" s="69"/>
      <c r="X46" s="69"/>
      <c r="Y46" s="69"/>
      <c r="Z46" s="69"/>
      <c r="AA46" s="69"/>
      <c r="AB46" s="70"/>
    </row>
    <row r="47" hidden="1">
      <c r="A47" s="112" t="s">
        <v>228</v>
      </c>
      <c r="B47" s="48" t="s">
        <v>229</v>
      </c>
      <c r="C47" s="48">
        <v>1.0</v>
      </c>
      <c r="D47" s="123">
        <v>9.87E9</v>
      </c>
      <c r="E47" s="48" t="s">
        <v>230</v>
      </c>
      <c r="F47" s="48">
        <v>2.0</v>
      </c>
      <c r="G47" s="48" t="s">
        <v>65</v>
      </c>
      <c r="H47" s="48" t="s">
        <v>231</v>
      </c>
      <c r="I47" s="48">
        <v>2.0</v>
      </c>
      <c r="J47" s="48">
        <v>32.0</v>
      </c>
      <c r="K47" s="48">
        <v>4.7</v>
      </c>
      <c r="L47" s="57" t="s">
        <v>232</v>
      </c>
      <c r="M47" s="57" t="s">
        <v>233</v>
      </c>
      <c r="N47" s="130" t="str">
        <f t="shared" ref="N47:N49" si="6">CONCAT(B47,".png")</f>
        <v>FT03_iPhone_7_2_32_2_DARK GREY.png</v>
      </c>
      <c r="O47" s="48">
        <v>10979.0</v>
      </c>
      <c r="P47" s="48">
        <v>27999.0</v>
      </c>
      <c r="Q47" s="48">
        <v>10.0</v>
      </c>
      <c r="R47" s="51">
        <v>0.0</v>
      </c>
      <c r="S47" s="48">
        <v>0.0</v>
      </c>
      <c r="T47" s="98"/>
      <c r="U47" s="52"/>
      <c r="V47" s="52"/>
      <c r="W47" s="52"/>
      <c r="X47" s="52"/>
      <c r="Y47" s="52"/>
      <c r="Z47" s="52"/>
      <c r="AA47" s="52"/>
      <c r="AB47" s="53"/>
    </row>
    <row r="48" hidden="1">
      <c r="A48" s="112" t="s">
        <v>228</v>
      </c>
      <c r="B48" s="48" t="s">
        <v>234</v>
      </c>
      <c r="C48" s="48">
        <v>1.0</v>
      </c>
      <c r="D48" s="123">
        <v>9.87E9</v>
      </c>
      <c r="E48" s="48" t="s">
        <v>235</v>
      </c>
      <c r="F48" s="48">
        <v>2.0</v>
      </c>
      <c r="G48" s="48" t="s">
        <v>65</v>
      </c>
      <c r="H48" s="48" t="s">
        <v>231</v>
      </c>
      <c r="I48" s="48">
        <v>2.0</v>
      </c>
      <c r="J48" s="48">
        <v>32.0</v>
      </c>
      <c r="K48" s="48">
        <v>4.7</v>
      </c>
      <c r="L48" s="57" t="s">
        <v>232</v>
      </c>
      <c r="M48" s="57" t="s">
        <v>233</v>
      </c>
      <c r="N48" s="130" t="str">
        <f t="shared" si="6"/>
        <v>FT03_iPhone_7_2_32_2_BLACK.png</v>
      </c>
      <c r="O48" s="48">
        <v>10979.0</v>
      </c>
      <c r="P48" s="48">
        <v>11319.0</v>
      </c>
      <c r="Q48" s="48">
        <v>10.0</v>
      </c>
      <c r="R48" s="51">
        <v>0.0</v>
      </c>
      <c r="S48" s="48">
        <v>0.0</v>
      </c>
      <c r="T48" s="98"/>
      <c r="U48" s="52"/>
      <c r="V48" s="52"/>
      <c r="W48" s="52"/>
      <c r="X48" s="52"/>
      <c r="Y48" s="52"/>
      <c r="Z48" s="52"/>
      <c r="AA48" s="52"/>
      <c r="AB48" s="53"/>
    </row>
    <row r="49" hidden="1">
      <c r="A49" s="112" t="s">
        <v>228</v>
      </c>
      <c r="B49" s="48" t="s">
        <v>236</v>
      </c>
      <c r="C49" s="48">
        <v>1.0</v>
      </c>
      <c r="D49" s="123">
        <v>9.87E9</v>
      </c>
      <c r="E49" s="48" t="s">
        <v>237</v>
      </c>
      <c r="F49" s="48">
        <v>2.0</v>
      </c>
      <c r="G49" s="48" t="s">
        <v>65</v>
      </c>
      <c r="H49" s="48" t="s">
        <v>231</v>
      </c>
      <c r="I49" s="48">
        <v>2.0</v>
      </c>
      <c r="J49" s="48">
        <v>32.0</v>
      </c>
      <c r="K49" s="48">
        <v>5.5</v>
      </c>
      <c r="L49" s="57" t="s">
        <v>238</v>
      </c>
      <c r="M49" s="57" t="s">
        <v>233</v>
      </c>
      <c r="N49" s="48" t="str">
        <f t="shared" si="6"/>
        <v>FT03_iPhone_7_2_32_2_GREY.png</v>
      </c>
      <c r="O49" s="48">
        <v>10979.0</v>
      </c>
      <c r="P49" s="48">
        <v>27999.0</v>
      </c>
      <c r="Q49" s="48">
        <v>10.0</v>
      </c>
      <c r="R49" s="51">
        <v>0.0</v>
      </c>
      <c r="S49" s="48">
        <v>0.0</v>
      </c>
      <c r="T49" s="52"/>
      <c r="U49" s="52"/>
      <c r="V49" s="52"/>
      <c r="W49" s="52"/>
      <c r="X49" s="52"/>
      <c r="Y49" s="52"/>
      <c r="Z49" s="52"/>
      <c r="AA49" s="52"/>
      <c r="AB49" s="53"/>
    </row>
    <row r="50" hidden="1">
      <c r="A50" s="131" t="s">
        <v>228</v>
      </c>
      <c r="B50" s="121" t="s">
        <v>239</v>
      </c>
      <c r="C50" s="121">
        <v>1.0</v>
      </c>
      <c r="D50" s="128">
        <v>9.87E9</v>
      </c>
      <c r="E50" s="121" t="s">
        <v>240</v>
      </c>
      <c r="F50" s="121">
        <v>2.0</v>
      </c>
      <c r="G50" s="121" t="s">
        <v>65</v>
      </c>
      <c r="H50" s="121" t="s">
        <v>231</v>
      </c>
      <c r="I50" s="121">
        <v>2.0</v>
      </c>
      <c r="J50" s="121">
        <v>32.0</v>
      </c>
      <c r="K50" s="121">
        <v>4.7</v>
      </c>
      <c r="L50" s="64" t="s">
        <v>232</v>
      </c>
      <c r="M50" s="64" t="s">
        <v>233</v>
      </c>
      <c r="N50" s="30" t="s">
        <v>241</v>
      </c>
      <c r="O50" s="121">
        <v>11319.0</v>
      </c>
      <c r="P50" s="121">
        <v>27999.0</v>
      </c>
      <c r="Q50" s="121">
        <v>10.0</v>
      </c>
      <c r="R50" s="51">
        <v>0.0</v>
      </c>
      <c r="S50" s="121">
        <v>0.0</v>
      </c>
      <c r="T50" s="102"/>
      <c r="U50" s="69"/>
      <c r="V50" s="69"/>
      <c r="W50" s="69"/>
      <c r="X50" s="69"/>
      <c r="Y50" s="69"/>
      <c r="Z50" s="69"/>
      <c r="AA50" s="69"/>
      <c r="AB50" s="70"/>
    </row>
    <row r="51" hidden="1">
      <c r="A51" s="47" t="s">
        <v>242</v>
      </c>
      <c r="B51" s="48" t="s">
        <v>243</v>
      </c>
      <c r="C51" s="48">
        <v>1.0</v>
      </c>
      <c r="D51" s="48">
        <v>8.0986068E7</v>
      </c>
      <c r="E51" s="48" t="s">
        <v>64</v>
      </c>
      <c r="F51" s="48">
        <v>2.0</v>
      </c>
      <c r="G51" s="48" t="s">
        <v>65</v>
      </c>
      <c r="H51" s="48" t="s">
        <v>66</v>
      </c>
      <c r="I51" s="48">
        <v>2.0</v>
      </c>
      <c r="J51" s="48">
        <v>64.0</v>
      </c>
      <c r="K51" s="48">
        <v>6.28</v>
      </c>
      <c r="L51" s="49" t="s">
        <v>67</v>
      </c>
      <c r="M51" s="49" t="s">
        <v>68</v>
      </c>
      <c r="N51" s="48" t="str">
        <f>CONCAT(B51,".png")</f>
        <v>FT03_iPhone_8_2_64_2_BLACK.png</v>
      </c>
      <c r="O51" s="48">
        <v>13800.0</v>
      </c>
      <c r="P51" s="48">
        <v>39000.0</v>
      </c>
      <c r="Q51" s="48">
        <v>10.0</v>
      </c>
      <c r="R51" s="51">
        <v>0.0</v>
      </c>
      <c r="S51" s="48">
        <v>0.0</v>
      </c>
      <c r="T51" s="52"/>
      <c r="U51" s="52"/>
      <c r="V51" s="52"/>
      <c r="W51" s="52"/>
      <c r="X51" s="52"/>
      <c r="Y51" s="52"/>
      <c r="Z51" s="52"/>
      <c r="AA51" s="52"/>
      <c r="AB51" s="53"/>
    </row>
    <row r="52" hidden="1">
      <c r="A52" s="54" t="s">
        <v>14</v>
      </c>
      <c r="B52" s="132"/>
      <c r="C52" s="56">
        <v>1.0</v>
      </c>
      <c r="D52" s="57" t="s">
        <v>71</v>
      </c>
      <c r="E52" s="58" t="s">
        <v>86</v>
      </c>
      <c r="F52" s="56">
        <v>1.0</v>
      </c>
      <c r="G52" s="133"/>
      <c r="H52" s="52"/>
      <c r="I52" s="57">
        <v>2.0</v>
      </c>
      <c r="J52" s="57">
        <v>64.0</v>
      </c>
      <c r="K52" s="58">
        <v>4.0</v>
      </c>
      <c r="L52" s="59" t="s">
        <v>74</v>
      </c>
      <c r="M52" s="60" t="s">
        <v>75</v>
      </c>
      <c r="N52" s="52"/>
      <c r="O52" s="52"/>
      <c r="P52" s="61"/>
      <c r="Q52" s="61"/>
      <c r="R52" s="51">
        <v>0.0</v>
      </c>
      <c r="S52" s="52"/>
      <c r="T52" s="52"/>
      <c r="U52" s="52"/>
      <c r="V52" s="52"/>
      <c r="W52" s="52"/>
      <c r="X52" s="52"/>
      <c r="Y52" s="52"/>
      <c r="Z52" s="52"/>
      <c r="AA52" s="52"/>
      <c r="AB52" s="53"/>
    </row>
    <row r="53" hidden="1">
      <c r="A53" s="134" t="s">
        <v>244</v>
      </c>
      <c r="B53" s="118" t="s">
        <v>245</v>
      </c>
      <c r="C53" s="119">
        <v>1.0</v>
      </c>
      <c r="D53" s="119">
        <v>8.4064468E7</v>
      </c>
      <c r="E53" s="118" t="s">
        <v>246</v>
      </c>
      <c r="F53" s="119">
        <v>2.0</v>
      </c>
      <c r="G53" s="119" t="s">
        <v>65</v>
      </c>
      <c r="H53" s="118" t="s">
        <v>247</v>
      </c>
      <c r="I53" s="119">
        <v>3.0</v>
      </c>
      <c r="J53" s="119">
        <v>64.0</v>
      </c>
      <c r="K53" s="118">
        <v>5.8</v>
      </c>
      <c r="L53" s="57" t="s">
        <v>248</v>
      </c>
      <c r="M53" s="57" t="s">
        <v>249</v>
      </c>
      <c r="N53" s="119" t="str">
        <f>CONCAT(B53,".png")</f>
        <v>FT03_iPhone_XR_3_64_2_SILVER.png</v>
      </c>
      <c r="O53" s="119">
        <v>28899.0</v>
      </c>
      <c r="P53" s="119">
        <v>47000.0</v>
      </c>
      <c r="Q53" s="119">
        <v>10.0</v>
      </c>
      <c r="R53" s="51">
        <v>0.0</v>
      </c>
      <c r="S53" s="119">
        <v>0.0</v>
      </c>
      <c r="T53" s="52"/>
      <c r="U53" s="52"/>
      <c r="V53" s="52"/>
      <c r="W53" s="52"/>
      <c r="X53" s="52"/>
      <c r="Y53" s="52"/>
      <c r="Z53" s="52"/>
      <c r="AA53" s="52"/>
      <c r="AB53" s="53"/>
    </row>
    <row r="54" hidden="1">
      <c r="A54" s="90" t="s">
        <v>250</v>
      </c>
      <c r="B54" s="91" t="s">
        <v>251</v>
      </c>
      <c r="C54" s="92">
        <v>1.0</v>
      </c>
      <c r="D54" s="93" t="s">
        <v>252</v>
      </c>
      <c r="E54" s="57" t="s">
        <v>253</v>
      </c>
      <c r="F54" s="91">
        <v>1.0</v>
      </c>
      <c r="G54" s="91" t="s">
        <v>65</v>
      </c>
      <c r="H54" s="91" t="s">
        <v>254</v>
      </c>
      <c r="I54" s="94">
        <v>3.0</v>
      </c>
      <c r="J54" s="94">
        <v>128.0</v>
      </c>
      <c r="K54" s="58">
        <v>6.1</v>
      </c>
      <c r="L54" s="106" t="s">
        <v>255</v>
      </c>
      <c r="M54" s="107" t="s">
        <v>256</v>
      </c>
      <c r="N54" s="57" t="s">
        <v>257</v>
      </c>
      <c r="O54" s="57">
        <v>31649.0</v>
      </c>
      <c r="P54" s="97">
        <v>49999.0</v>
      </c>
      <c r="Q54" s="61"/>
      <c r="R54" s="51">
        <v>0.0</v>
      </c>
      <c r="S54" s="52"/>
      <c r="T54" s="52"/>
      <c r="U54" s="52"/>
      <c r="V54" s="52"/>
      <c r="W54" s="52"/>
      <c r="X54" s="52"/>
      <c r="Y54" s="52"/>
      <c r="Z54" s="52"/>
      <c r="AA54" s="52"/>
      <c r="AB54" s="53"/>
    </row>
    <row r="55" hidden="1">
      <c r="A55" s="52" t="s">
        <v>258</v>
      </c>
      <c r="B55" s="48" t="s">
        <v>259</v>
      </c>
      <c r="C55" s="48">
        <v>1.0</v>
      </c>
      <c r="D55" s="48">
        <v>8.4064468E7</v>
      </c>
      <c r="E55" s="48" t="s">
        <v>260</v>
      </c>
      <c r="F55" s="48">
        <v>2.0</v>
      </c>
      <c r="G55" s="48" t="s">
        <v>65</v>
      </c>
      <c r="H55" s="48" t="s">
        <v>254</v>
      </c>
      <c r="I55" s="48">
        <v>3.0</v>
      </c>
      <c r="J55" s="48">
        <v>64.0</v>
      </c>
      <c r="K55" s="48">
        <v>6.1</v>
      </c>
      <c r="L55" s="57" t="s">
        <v>261</v>
      </c>
      <c r="M55" s="57" t="s">
        <v>262</v>
      </c>
      <c r="N55" s="48" t="str">
        <f>CONCAT(B55,".png")</f>
        <v>FT03_iPhone_XR_3_64_2_RED.png</v>
      </c>
      <c r="O55" s="48">
        <v>28899.0</v>
      </c>
      <c r="P55" s="48">
        <v>47000.0</v>
      </c>
      <c r="Q55" s="48">
        <v>10.0</v>
      </c>
      <c r="R55" s="51">
        <v>0.0</v>
      </c>
      <c r="S55" s="48">
        <v>0.0</v>
      </c>
      <c r="T55" s="52"/>
      <c r="U55" s="52"/>
      <c r="V55" s="52"/>
      <c r="W55" s="52"/>
      <c r="X55" s="52"/>
      <c r="Y55" s="52"/>
      <c r="Z55" s="52"/>
      <c r="AA55" s="52"/>
      <c r="AB55" s="53"/>
    </row>
    <row r="56" hidden="1">
      <c r="A56" s="14" t="s">
        <v>258</v>
      </c>
      <c r="B56" s="135" t="s">
        <v>263</v>
      </c>
      <c r="C56" s="136">
        <v>1.0</v>
      </c>
      <c r="D56" s="136">
        <v>8.4064468E7</v>
      </c>
      <c r="E56" s="135" t="s">
        <v>264</v>
      </c>
      <c r="F56" s="136">
        <v>2.0</v>
      </c>
      <c r="G56" s="136" t="s">
        <v>65</v>
      </c>
      <c r="H56" s="136" t="s">
        <v>254</v>
      </c>
      <c r="I56" s="137">
        <v>3.0</v>
      </c>
      <c r="J56" s="137">
        <v>64.0</v>
      </c>
      <c r="K56" s="137">
        <v>6.1</v>
      </c>
      <c r="L56" s="138" t="s">
        <v>261</v>
      </c>
      <c r="M56" s="138" t="s">
        <v>262</v>
      </c>
      <c r="N56" s="12" t="s">
        <v>265</v>
      </c>
      <c r="O56" s="139">
        <v>29409.0</v>
      </c>
      <c r="P56" s="136">
        <v>47000.0</v>
      </c>
      <c r="Q56" s="136">
        <v>10.0</v>
      </c>
      <c r="R56" s="51">
        <v>0.0</v>
      </c>
      <c r="S56" s="136">
        <v>0.0</v>
      </c>
      <c r="T56" s="140"/>
      <c r="U56" s="140"/>
      <c r="V56" s="140"/>
      <c r="W56" s="140"/>
      <c r="X56" s="140"/>
      <c r="Y56" s="140"/>
      <c r="Z56" s="140"/>
      <c r="AA56" s="140"/>
      <c r="AB56" s="141"/>
    </row>
    <row r="57" hidden="1">
      <c r="A57" s="142" t="s">
        <v>264</v>
      </c>
      <c r="B57" s="91" t="s">
        <v>266</v>
      </c>
      <c r="C57" s="92">
        <v>1.0</v>
      </c>
      <c r="D57" s="93" t="s">
        <v>252</v>
      </c>
      <c r="E57" s="57" t="s">
        <v>253</v>
      </c>
      <c r="F57" s="91">
        <v>2.0</v>
      </c>
      <c r="G57" s="91" t="s">
        <v>65</v>
      </c>
      <c r="H57" s="91" t="s">
        <v>254</v>
      </c>
      <c r="I57" s="94">
        <v>3.0</v>
      </c>
      <c r="J57" s="94">
        <v>128.0</v>
      </c>
      <c r="K57" s="58">
        <v>6.1</v>
      </c>
      <c r="L57" s="106" t="s">
        <v>255</v>
      </c>
      <c r="M57" s="107" t="s">
        <v>256</v>
      </c>
      <c r="N57" s="57" t="s">
        <v>257</v>
      </c>
      <c r="O57" s="57">
        <v>30139.0</v>
      </c>
      <c r="P57" s="97">
        <v>49999.0</v>
      </c>
      <c r="Q57" s="61"/>
      <c r="R57" s="51">
        <v>0.0</v>
      </c>
      <c r="S57" s="52"/>
      <c r="T57" s="52"/>
      <c r="U57" s="52"/>
      <c r="V57" s="52"/>
      <c r="W57" s="52"/>
      <c r="X57" s="52"/>
      <c r="Y57" s="52"/>
      <c r="Z57" s="52"/>
      <c r="AA57" s="52"/>
      <c r="AB57" s="53"/>
    </row>
    <row r="58" hidden="1">
      <c r="A58" s="71" t="s">
        <v>17</v>
      </c>
      <c r="B58" s="91" t="s">
        <v>267</v>
      </c>
      <c r="C58" s="91">
        <v>1.0</v>
      </c>
      <c r="D58" s="91">
        <v>3.211234311E9</v>
      </c>
      <c r="E58" s="58" t="s">
        <v>268</v>
      </c>
      <c r="F58" s="91">
        <v>2.0</v>
      </c>
      <c r="G58" s="91" t="s">
        <v>65</v>
      </c>
      <c r="H58" s="91" t="s">
        <v>92</v>
      </c>
      <c r="I58" s="93">
        <v>4.0</v>
      </c>
      <c r="J58" s="93">
        <v>64.0</v>
      </c>
      <c r="K58" s="58">
        <v>6.5</v>
      </c>
      <c r="L58" s="111" t="s">
        <v>93</v>
      </c>
      <c r="M58" s="107" t="s">
        <v>94</v>
      </c>
      <c r="N58" s="57" t="s">
        <v>269</v>
      </c>
      <c r="O58" s="57">
        <v>34829.0</v>
      </c>
      <c r="P58" s="57">
        <v>49999.0</v>
      </c>
      <c r="Q58" s="52"/>
      <c r="R58" s="51">
        <v>0.0</v>
      </c>
      <c r="S58" s="52"/>
      <c r="T58" s="57" t="s">
        <v>89</v>
      </c>
      <c r="U58" s="98"/>
      <c r="V58" s="98"/>
      <c r="W58" s="98"/>
      <c r="X58" s="98"/>
      <c r="Y58" s="98"/>
      <c r="Z58" s="98"/>
      <c r="AA58" s="98"/>
      <c r="AB58" s="80"/>
    </row>
    <row r="59" hidden="1">
      <c r="A59" s="112" t="s">
        <v>20</v>
      </c>
      <c r="B59" s="113" t="s">
        <v>270</v>
      </c>
      <c r="C59" s="93">
        <v>1.0</v>
      </c>
      <c r="D59" s="93">
        <v>1.298789955E9</v>
      </c>
      <c r="E59" s="93" t="s">
        <v>271</v>
      </c>
      <c r="F59" s="93">
        <v>2.0</v>
      </c>
      <c r="G59" s="93" t="s">
        <v>272</v>
      </c>
      <c r="H59" s="93" t="s">
        <v>273</v>
      </c>
      <c r="I59" s="93">
        <v>4.0</v>
      </c>
      <c r="J59" s="93">
        <v>64.0</v>
      </c>
      <c r="K59" s="58">
        <v>6.26</v>
      </c>
      <c r="L59" s="96" t="s">
        <v>274</v>
      </c>
      <c r="M59" s="57" t="s">
        <v>275</v>
      </c>
      <c r="N59" s="57" t="s">
        <v>276</v>
      </c>
      <c r="O59" s="57">
        <v>6479.0</v>
      </c>
      <c r="P59" s="57">
        <v>18999.0</v>
      </c>
      <c r="Q59" s="57">
        <v>10.0</v>
      </c>
      <c r="R59" s="51">
        <v>0.0</v>
      </c>
      <c r="S59" s="52"/>
      <c r="T59" s="57" t="s">
        <v>89</v>
      </c>
      <c r="U59" s="52"/>
      <c r="V59" s="52"/>
      <c r="W59" s="52"/>
      <c r="X59" s="52"/>
      <c r="Y59" s="52"/>
      <c r="Z59" s="52"/>
      <c r="AA59" s="52"/>
      <c r="AB59" s="53"/>
    </row>
    <row r="60" hidden="1">
      <c r="A60" s="112" t="s">
        <v>277</v>
      </c>
      <c r="B60" s="113" t="s">
        <v>278</v>
      </c>
      <c r="C60" s="93">
        <v>1.0</v>
      </c>
      <c r="D60" s="93">
        <v>2.298789955E9</v>
      </c>
      <c r="E60" s="93" t="s">
        <v>279</v>
      </c>
      <c r="F60" s="93">
        <v>2.0</v>
      </c>
      <c r="G60" s="93" t="s">
        <v>280</v>
      </c>
      <c r="H60" s="93" t="s">
        <v>281</v>
      </c>
      <c r="I60" s="93">
        <v>4.0</v>
      </c>
      <c r="J60" s="93">
        <v>64.0</v>
      </c>
      <c r="K60" s="58">
        <v>5.0</v>
      </c>
      <c r="L60" s="96" t="s">
        <v>282</v>
      </c>
      <c r="M60" s="57" t="s">
        <v>283</v>
      </c>
      <c r="N60" s="57" t="s">
        <v>284</v>
      </c>
      <c r="O60" s="57">
        <v>6059.0</v>
      </c>
      <c r="P60" s="57">
        <v>41999.0</v>
      </c>
      <c r="Q60" s="57">
        <v>10.0</v>
      </c>
      <c r="R60" s="51">
        <v>0.0</v>
      </c>
      <c r="S60" s="52"/>
      <c r="T60" s="57" t="s">
        <v>89</v>
      </c>
      <c r="U60" s="52"/>
      <c r="V60" s="52"/>
      <c r="W60" s="52"/>
      <c r="X60" s="52"/>
      <c r="Y60" s="52"/>
      <c r="Z60" s="52"/>
      <c r="AA60" s="52"/>
      <c r="AB60" s="53"/>
    </row>
    <row r="61" hidden="1">
      <c r="A61" s="71" t="s">
        <v>22</v>
      </c>
      <c r="B61" s="93" t="s">
        <v>285</v>
      </c>
      <c r="C61" s="91">
        <v>1.0</v>
      </c>
      <c r="D61" s="91">
        <v>1.23456789E10</v>
      </c>
      <c r="E61" s="92" t="s">
        <v>286</v>
      </c>
      <c r="F61" s="91">
        <v>2.0</v>
      </c>
      <c r="G61" s="91" t="s">
        <v>287</v>
      </c>
      <c r="H61" s="91" t="s">
        <v>288</v>
      </c>
      <c r="I61" s="91">
        <v>3.0</v>
      </c>
      <c r="J61" s="93">
        <v>32.0</v>
      </c>
      <c r="K61" s="58">
        <v>5.84</v>
      </c>
      <c r="L61" s="107" t="s">
        <v>289</v>
      </c>
      <c r="M61" s="57" t="s">
        <v>290</v>
      </c>
      <c r="N61" s="57" t="s">
        <v>291</v>
      </c>
      <c r="O61" s="57">
        <v>4939.0</v>
      </c>
      <c r="P61" s="57">
        <v>18999.0</v>
      </c>
      <c r="Q61" s="57">
        <v>10.0</v>
      </c>
      <c r="R61" s="51">
        <v>0.0</v>
      </c>
      <c r="S61" s="57">
        <v>0.0</v>
      </c>
      <c r="T61" s="57" t="s">
        <v>89</v>
      </c>
      <c r="U61" s="52"/>
      <c r="V61" s="52"/>
      <c r="W61" s="52"/>
      <c r="X61" s="52"/>
      <c r="Y61" s="52"/>
      <c r="Z61" s="52"/>
      <c r="AA61" s="52"/>
      <c r="AB61" s="53"/>
    </row>
    <row r="62" hidden="1">
      <c r="A62" s="112" t="s">
        <v>292</v>
      </c>
      <c r="B62" s="113" t="s">
        <v>293</v>
      </c>
      <c r="C62" s="93">
        <v>1.0</v>
      </c>
      <c r="D62" s="93">
        <v>7.798155457E9</v>
      </c>
      <c r="E62" s="110" t="s">
        <v>294</v>
      </c>
      <c r="F62" s="93">
        <v>2.0</v>
      </c>
      <c r="G62" s="93" t="s">
        <v>295</v>
      </c>
      <c r="H62" s="93" t="s">
        <v>296</v>
      </c>
      <c r="I62" s="93">
        <v>3.0</v>
      </c>
      <c r="J62" s="93">
        <v>32.0</v>
      </c>
      <c r="K62" s="58">
        <v>5.5</v>
      </c>
      <c r="L62" s="96" t="s">
        <v>297</v>
      </c>
      <c r="M62" s="57" t="s">
        <v>298</v>
      </c>
      <c r="N62" s="57" t="s">
        <v>299</v>
      </c>
      <c r="O62" s="57">
        <v>2339.0</v>
      </c>
      <c r="P62" s="57">
        <v>14599.0</v>
      </c>
      <c r="Q62" s="57">
        <v>10.0</v>
      </c>
      <c r="R62" s="51">
        <v>0.0</v>
      </c>
      <c r="S62" s="52"/>
      <c r="T62" s="57" t="s">
        <v>89</v>
      </c>
      <c r="U62" s="52"/>
      <c r="V62" s="52"/>
      <c r="W62" s="52"/>
      <c r="X62" s="52"/>
      <c r="Y62" s="52"/>
      <c r="Z62" s="52"/>
      <c r="AA62" s="52"/>
      <c r="AB62" s="53"/>
    </row>
    <row r="63" hidden="1">
      <c r="A63" s="52" t="s">
        <v>300</v>
      </c>
      <c r="B63" s="48" t="s">
        <v>301</v>
      </c>
      <c r="C63" s="48">
        <v>1.0</v>
      </c>
      <c r="D63" s="48">
        <v>5.2852098E7</v>
      </c>
      <c r="E63" s="48" t="s">
        <v>302</v>
      </c>
      <c r="F63" s="48">
        <v>2.0</v>
      </c>
      <c r="G63" s="48" t="s">
        <v>98</v>
      </c>
      <c r="H63" s="48" t="s">
        <v>303</v>
      </c>
      <c r="I63" s="48">
        <v>6.0</v>
      </c>
      <c r="J63" s="48">
        <v>64.0</v>
      </c>
      <c r="K63" s="48">
        <v>5.5</v>
      </c>
      <c r="L63" s="96" t="s">
        <v>304</v>
      </c>
      <c r="M63" s="107" t="s">
        <v>305</v>
      </c>
      <c r="N63" s="82" t="str">
        <f>CONCAT(B63,".png")</f>
        <v>FT08_1+3_6_64_2_DARKGREY.png</v>
      </c>
      <c r="O63" s="48">
        <v>5299.0</v>
      </c>
      <c r="P63" s="48">
        <v>27999.0</v>
      </c>
      <c r="Q63" s="48">
        <v>10.0</v>
      </c>
      <c r="R63" s="51">
        <v>0.0</v>
      </c>
      <c r="S63" s="82"/>
      <c r="T63" s="52"/>
      <c r="U63" s="52"/>
      <c r="V63" s="52"/>
      <c r="W63" s="52"/>
      <c r="X63" s="52"/>
      <c r="Y63" s="52"/>
      <c r="Z63" s="52"/>
      <c r="AA63" s="52"/>
      <c r="AB63" s="53"/>
    </row>
    <row r="64" hidden="1">
      <c r="A64" s="52" t="s">
        <v>300</v>
      </c>
      <c r="B64" s="48" t="s">
        <v>306</v>
      </c>
      <c r="C64" s="48">
        <v>1.0</v>
      </c>
      <c r="D64" s="48">
        <v>8.0956504E7</v>
      </c>
      <c r="E64" s="48" t="s">
        <v>307</v>
      </c>
      <c r="F64" s="48">
        <v>2.0</v>
      </c>
      <c r="G64" s="48" t="s">
        <v>98</v>
      </c>
      <c r="H64" s="48" t="s">
        <v>303</v>
      </c>
      <c r="I64" s="48">
        <v>6.0</v>
      </c>
      <c r="J64" s="48">
        <v>64.0</v>
      </c>
      <c r="K64" s="48">
        <v>5.5</v>
      </c>
      <c r="L64" s="96" t="s">
        <v>304</v>
      </c>
      <c r="M64" s="107" t="s">
        <v>305</v>
      </c>
      <c r="N64" s="48" t="s">
        <v>308</v>
      </c>
      <c r="O64" s="48">
        <v>5439.0</v>
      </c>
      <c r="P64" s="48">
        <v>27999.0</v>
      </c>
      <c r="Q64" s="48">
        <v>10.0</v>
      </c>
      <c r="R64" s="51">
        <v>0.0</v>
      </c>
      <c r="S64" s="82"/>
      <c r="T64" s="57" t="s">
        <v>89</v>
      </c>
      <c r="U64" s="52"/>
      <c r="V64" s="52"/>
      <c r="W64" s="52"/>
      <c r="X64" s="52"/>
      <c r="Y64" s="52"/>
      <c r="Z64" s="52"/>
      <c r="AA64" s="52"/>
      <c r="AB64" s="53"/>
    </row>
    <row r="65" hidden="1">
      <c r="A65" s="57" t="s">
        <v>309</v>
      </c>
      <c r="B65" s="48" t="s">
        <v>310</v>
      </c>
      <c r="C65" s="48">
        <v>1.0</v>
      </c>
      <c r="D65" s="48">
        <v>8809098.0</v>
      </c>
      <c r="E65" s="48" t="s">
        <v>311</v>
      </c>
      <c r="F65" s="48">
        <v>2.0</v>
      </c>
      <c r="G65" s="48" t="s">
        <v>98</v>
      </c>
      <c r="H65" s="48" t="s">
        <v>303</v>
      </c>
      <c r="I65" s="48">
        <v>6.0</v>
      </c>
      <c r="J65" s="48">
        <v>64.0</v>
      </c>
      <c r="K65" s="48">
        <v>5.5</v>
      </c>
      <c r="L65" s="96" t="s">
        <v>304</v>
      </c>
      <c r="M65" s="107" t="s">
        <v>305</v>
      </c>
      <c r="N65" s="82" t="str">
        <f>CONCAT(B65,".png")</f>
        <v>FT08_1+3_6_64_2_GOLD.png</v>
      </c>
      <c r="O65" s="48">
        <v>5439.0</v>
      </c>
      <c r="P65" s="48">
        <v>27999.0</v>
      </c>
      <c r="Q65" s="48">
        <v>10.0</v>
      </c>
      <c r="R65" s="51">
        <v>0.0</v>
      </c>
      <c r="S65" s="82"/>
      <c r="T65" s="52"/>
      <c r="U65" s="52"/>
      <c r="V65" s="52"/>
      <c r="W65" s="52"/>
      <c r="X65" s="52"/>
      <c r="Y65" s="52"/>
      <c r="Z65" s="52"/>
      <c r="AA65" s="52"/>
      <c r="AB65" s="53"/>
    </row>
    <row r="66" hidden="1">
      <c r="A66" s="52" t="s">
        <v>309</v>
      </c>
      <c r="B66" s="48" t="s">
        <v>312</v>
      </c>
      <c r="C66" s="48">
        <v>1.0</v>
      </c>
      <c r="D66" s="123">
        <v>8.06E8</v>
      </c>
      <c r="E66" s="48" t="s">
        <v>313</v>
      </c>
      <c r="F66" s="48">
        <v>2.0</v>
      </c>
      <c r="G66" s="48" t="s">
        <v>98</v>
      </c>
      <c r="H66" s="48" t="s">
        <v>314</v>
      </c>
      <c r="I66" s="48">
        <v>6.0</v>
      </c>
      <c r="J66" s="48">
        <v>64.0</v>
      </c>
      <c r="K66" s="48">
        <v>5.5</v>
      </c>
      <c r="L66" s="57" t="s">
        <v>315</v>
      </c>
      <c r="M66" s="57" t="s">
        <v>316</v>
      </c>
      <c r="N66" s="48" t="s">
        <v>308</v>
      </c>
      <c r="O66" s="48">
        <v>6359.0</v>
      </c>
      <c r="P66" s="48">
        <v>27999.0</v>
      </c>
      <c r="Q66" s="48">
        <v>10.0</v>
      </c>
      <c r="R66" s="51">
        <v>0.0</v>
      </c>
      <c r="S66" s="82"/>
      <c r="T66" s="57" t="s">
        <v>89</v>
      </c>
      <c r="U66" s="52"/>
      <c r="V66" s="52"/>
      <c r="W66" s="52"/>
      <c r="X66" s="52"/>
      <c r="Y66" s="52"/>
      <c r="Z66" s="52"/>
      <c r="AA66" s="52"/>
      <c r="AB66" s="53"/>
    </row>
    <row r="67" hidden="1">
      <c r="A67" s="52" t="s">
        <v>309</v>
      </c>
      <c r="B67" s="48" t="s">
        <v>317</v>
      </c>
      <c r="C67" s="48">
        <v>1.0</v>
      </c>
      <c r="D67" s="123">
        <v>9.81E9</v>
      </c>
      <c r="E67" s="48" t="s">
        <v>318</v>
      </c>
      <c r="F67" s="48">
        <v>2.0</v>
      </c>
      <c r="G67" s="48" t="s">
        <v>98</v>
      </c>
      <c r="H67" s="48" t="s">
        <v>314</v>
      </c>
      <c r="I67" s="48">
        <v>6.0</v>
      </c>
      <c r="J67" s="48">
        <v>64.0</v>
      </c>
      <c r="K67" s="48">
        <v>5.5</v>
      </c>
      <c r="L67" s="57" t="s">
        <v>315</v>
      </c>
      <c r="M67" s="57" t="s">
        <v>316</v>
      </c>
      <c r="N67" s="48" t="s">
        <v>319</v>
      </c>
      <c r="O67" s="48">
        <v>6359.0</v>
      </c>
      <c r="P67" s="48">
        <v>27999.0</v>
      </c>
      <c r="Q67" s="48">
        <v>10.0</v>
      </c>
      <c r="R67" s="51">
        <v>0.0</v>
      </c>
      <c r="S67" s="82"/>
      <c r="T67" s="57" t="s">
        <v>89</v>
      </c>
      <c r="U67" s="52"/>
      <c r="V67" s="52"/>
      <c r="W67" s="52"/>
      <c r="X67" s="52"/>
      <c r="Y67" s="52"/>
      <c r="Z67" s="52"/>
      <c r="AA67" s="52"/>
      <c r="AB67" s="53"/>
    </row>
    <row r="68" hidden="1">
      <c r="A68" s="52" t="s">
        <v>309</v>
      </c>
      <c r="B68" s="48" t="s">
        <v>320</v>
      </c>
      <c r="C68" s="48">
        <v>1.0</v>
      </c>
      <c r="D68" s="48">
        <v>8.9781944E7</v>
      </c>
      <c r="E68" s="48" t="s">
        <v>321</v>
      </c>
      <c r="F68" s="48">
        <v>2.0</v>
      </c>
      <c r="G68" s="48" t="s">
        <v>98</v>
      </c>
      <c r="H68" s="48" t="s">
        <v>314</v>
      </c>
      <c r="I68" s="48">
        <v>6.0</v>
      </c>
      <c r="J68" s="48">
        <v>64.0</v>
      </c>
      <c r="K68" s="48">
        <v>5.5</v>
      </c>
      <c r="L68" s="57" t="s">
        <v>315</v>
      </c>
      <c r="M68" s="82"/>
      <c r="N68" s="82" t="str">
        <f>CONCAT(B68,".png")</f>
        <v>FT08_1+3T_6_64_2_GREY.png</v>
      </c>
      <c r="O68" s="48">
        <v>6099.0</v>
      </c>
      <c r="P68" s="48">
        <v>27999.0</v>
      </c>
      <c r="Q68" s="48">
        <v>10.0</v>
      </c>
      <c r="R68" s="51">
        <v>0.0</v>
      </c>
      <c r="S68" s="82"/>
      <c r="T68" s="52"/>
      <c r="U68" s="52"/>
      <c r="V68" s="52"/>
      <c r="W68" s="52"/>
      <c r="X68" s="52"/>
      <c r="Y68" s="52"/>
      <c r="Z68" s="52"/>
      <c r="AA68" s="52"/>
      <c r="AB68" s="53"/>
    </row>
    <row r="69" hidden="1">
      <c r="A69" s="99" t="s">
        <v>322</v>
      </c>
      <c r="B69" s="48" t="s">
        <v>323</v>
      </c>
      <c r="C69" s="48">
        <v>1.0</v>
      </c>
      <c r="D69" s="48">
        <v>1231684.0</v>
      </c>
      <c r="E69" s="48" t="s">
        <v>324</v>
      </c>
      <c r="F69" s="48">
        <v>2.0</v>
      </c>
      <c r="G69" s="48" t="s">
        <v>98</v>
      </c>
      <c r="H69" s="48" t="s">
        <v>325</v>
      </c>
      <c r="I69" s="48">
        <v>6.0</v>
      </c>
      <c r="J69" s="48">
        <v>64.0</v>
      </c>
      <c r="K69" s="48">
        <v>5.5</v>
      </c>
      <c r="L69" s="107" t="s">
        <v>326</v>
      </c>
      <c r="M69" s="107" t="s">
        <v>327</v>
      </c>
      <c r="N69" s="57" t="s">
        <v>328</v>
      </c>
      <c r="O69" s="48">
        <v>8259.0</v>
      </c>
      <c r="P69" s="48">
        <v>29999.0</v>
      </c>
      <c r="Q69" s="48">
        <v>10.0</v>
      </c>
      <c r="R69" s="51">
        <v>0.0</v>
      </c>
      <c r="S69" s="82"/>
      <c r="T69" s="52"/>
      <c r="U69" s="52"/>
      <c r="V69" s="52"/>
      <c r="W69" s="52"/>
      <c r="X69" s="52"/>
      <c r="Y69" s="52"/>
      <c r="Z69" s="52"/>
      <c r="AA69" s="52"/>
      <c r="AB69" s="53"/>
    </row>
    <row r="70" hidden="1">
      <c r="A70" s="52" t="s">
        <v>24</v>
      </c>
      <c r="B70" s="48" t="s">
        <v>329</v>
      </c>
      <c r="C70" s="48">
        <v>1.0</v>
      </c>
      <c r="D70" s="123">
        <v>6.28E9</v>
      </c>
      <c r="E70" s="48" t="s">
        <v>330</v>
      </c>
      <c r="F70" s="48">
        <v>1.0</v>
      </c>
      <c r="G70" s="48" t="s">
        <v>98</v>
      </c>
      <c r="H70" s="48" t="s">
        <v>331</v>
      </c>
      <c r="I70" s="48">
        <v>6.0</v>
      </c>
      <c r="J70" s="48">
        <v>64.0</v>
      </c>
      <c r="K70" s="48">
        <v>6.28</v>
      </c>
      <c r="L70" s="96" t="s">
        <v>332</v>
      </c>
      <c r="M70" s="107" t="s">
        <v>68</v>
      </c>
      <c r="N70" s="57" t="s">
        <v>333</v>
      </c>
      <c r="O70" s="48">
        <v>13369.0</v>
      </c>
      <c r="P70" s="48">
        <v>33999.0</v>
      </c>
      <c r="Q70" s="48">
        <v>10.0</v>
      </c>
      <c r="R70" s="51">
        <v>0.0</v>
      </c>
      <c r="S70" s="82"/>
      <c r="T70" s="57" t="s">
        <v>89</v>
      </c>
      <c r="U70" s="52"/>
      <c r="V70" s="52"/>
      <c r="W70" s="52"/>
      <c r="X70" s="52"/>
      <c r="Y70" s="52"/>
      <c r="Z70" s="52"/>
      <c r="AA70" s="52"/>
      <c r="AB70" s="53"/>
    </row>
    <row r="71" hidden="1">
      <c r="A71" s="52" t="s">
        <v>24</v>
      </c>
      <c r="B71" s="48" t="s">
        <v>334</v>
      </c>
      <c r="C71" s="48">
        <v>1.0</v>
      </c>
      <c r="D71" s="123">
        <v>6.28E9</v>
      </c>
      <c r="E71" s="48" t="s">
        <v>330</v>
      </c>
      <c r="F71" s="48">
        <v>2.0</v>
      </c>
      <c r="G71" s="48" t="s">
        <v>98</v>
      </c>
      <c r="H71" s="48" t="s">
        <v>331</v>
      </c>
      <c r="I71" s="48">
        <v>8.0</v>
      </c>
      <c r="J71" s="48">
        <v>128.0</v>
      </c>
      <c r="K71" s="48">
        <v>6.28</v>
      </c>
      <c r="L71" s="96" t="s">
        <v>335</v>
      </c>
      <c r="M71" s="107" t="s">
        <v>68</v>
      </c>
      <c r="N71" s="57" t="s">
        <v>336</v>
      </c>
      <c r="O71" s="48">
        <v>13269.0</v>
      </c>
      <c r="P71" s="48">
        <v>33999.0</v>
      </c>
      <c r="Q71" s="48">
        <v>10.0</v>
      </c>
      <c r="R71" s="51">
        <v>0.0</v>
      </c>
      <c r="S71" s="82"/>
      <c r="T71" s="57" t="s">
        <v>89</v>
      </c>
      <c r="U71" s="52"/>
      <c r="V71" s="52"/>
      <c r="W71" s="52"/>
      <c r="X71" s="52"/>
      <c r="Y71" s="52"/>
      <c r="Z71" s="52"/>
      <c r="AA71" s="52"/>
      <c r="AB71" s="53"/>
    </row>
    <row r="72" hidden="1">
      <c r="A72" s="4" t="s">
        <v>337</v>
      </c>
      <c r="B72" s="48" t="s">
        <v>338</v>
      </c>
      <c r="C72" s="48">
        <v>1.0</v>
      </c>
      <c r="D72" s="123" t="s">
        <v>339</v>
      </c>
      <c r="E72" s="48" t="s">
        <v>330</v>
      </c>
      <c r="F72" s="48">
        <v>2.0</v>
      </c>
      <c r="G72" s="48" t="s">
        <v>98</v>
      </c>
      <c r="H72" s="48" t="s">
        <v>331</v>
      </c>
      <c r="I72" s="48">
        <v>6.0</v>
      </c>
      <c r="J72" s="48">
        <v>64.0</v>
      </c>
      <c r="K72" s="48">
        <v>6.28</v>
      </c>
      <c r="L72" s="107" t="s">
        <v>67</v>
      </c>
      <c r="M72" s="107" t="s">
        <v>68</v>
      </c>
      <c r="N72" s="57" t="s">
        <v>336</v>
      </c>
      <c r="O72" s="48">
        <v>14439.0</v>
      </c>
      <c r="P72" s="48">
        <v>33999.0</v>
      </c>
      <c r="Q72" s="48">
        <v>10.0</v>
      </c>
      <c r="R72" s="51">
        <v>0.0</v>
      </c>
      <c r="S72" s="82"/>
      <c r="T72" s="57" t="s">
        <v>89</v>
      </c>
      <c r="U72" s="52"/>
      <c r="V72" s="52"/>
      <c r="W72" s="52"/>
      <c r="X72" s="52"/>
      <c r="Y72" s="52"/>
      <c r="Z72" s="52"/>
      <c r="AA72" s="52"/>
      <c r="AB72" s="53"/>
    </row>
    <row r="73" hidden="1">
      <c r="A73" s="52" t="s">
        <v>26</v>
      </c>
      <c r="B73" s="48" t="s">
        <v>340</v>
      </c>
      <c r="C73" s="48">
        <v>1.0</v>
      </c>
      <c r="D73" s="48">
        <v>2.5952553E7</v>
      </c>
      <c r="E73" s="48" t="s">
        <v>97</v>
      </c>
      <c r="F73" s="48">
        <v>2.0</v>
      </c>
      <c r="G73" s="48" t="s">
        <v>98</v>
      </c>
      <c r="H73" s="48" t="s">
        <v>99</v>
      </c>
      <c r="I73" s="48">
        <v>6.0</v>
      </c>
      <c r="J73" s="48">
        <v>128.0</v>
      </c>
      <c r="K73" s="48">
        <v>6.41</v>
      </c>
      <c r="L73" s="57" t="s">
        <v>100</v>
      </c>
      <c r="M73" s="57" t="s">
        <v>101</v>
      </c>
      <c r="N73" s="82" t="str">
        <f t="shared" ref="N73:N74" si="7">CONCAT(B73,".png")</f>
        <v>FT08_1+6T_6_128_2_BLACK.png</v>
      </c>
      <c r="O73" s="48">
        <v>15999.0</v>
      </c>
      <c r="P73" s="48">
        <v>35999.0</v>
      </c>
      <c r="Q73" s="48">
        <v>10.0</v>
      </c>
      <c r="R73" s="51">
        <v>0.0</v>
      </c>
      <c r="S73" s="82"/>
      <c r="T73" s="52"/>
      <c r="U73" s="52"/>
      <c r="V73" s="52"/>
      <c r="W73" s="52"/>
      <c r="X73" s="52"/>
      <c r="Y73" s="52"/>
      <c r="Z73" s="52"/>
      <c r="AA73" s="52"/>
      <c r="AB73" s="53"/>
    </row>
    <row r="74" hidden="1">
      <c r="A74" s="125" t="s">
        <v>341</v>
      </c>
      <c r="B74" s="118" t="s">
        <v>342</v>
      </c>
      <c r="C74" s="119">
        <v>1.0</v>
      </c>
      <c r="D74" s="119">
        <v>841515.0</v>
      </c>
      <c r="E74" s="119" t="s">
        <v>343</v>
      </c>
      <c r="F74" s="118">
        <v>1.0</v>
      </c>
      <c r="G74" s="119" t="s">
        <v>98</v>
      </c>
      <c r="H74" s="119" t="s">
        <v>114</v>
      </c>
      <c r="I74" s="118">
        <v>12.0</v>
      </c>
      <c r="J74" s="119">
        <v>256.0</v>
      </c>
      <c r="K74" s="119">
        <v>6.41</v>
      </c>
      <c r="L74" s="120" t="s">
        <v>344</v>
      </c>
      <c r="M74" s="120" t="s">
        <v>116</v>
      </c>
      <c r="N74" s="143" t="str">
        <f t="shared" si="7"/>
        <v>FT08_1+7_Pro_12_256_1_BLUE.png</v>
      </c>
      <c r="O74" s="118">
        <v>30599.0</v>
      </c>
      <c r="P74" s="119">
        <v>49999.0</v>
      </c>
      <c r="Q74" s="119">
        <v>10.0</v>
      </c>
      <c r="R74" s="51">
        <v>0.0</v>
      </c>
      <c r="S74" s="118">
        <v>0.0</v>
      </c>
      <c r="T74" s="52"/>
      <c r="U74" s="52"/>
      <c r="V74" s="52"/>
      <c r="W74" s="52"/>
      <c r="X74" s="52"/>
      <c r="Y74" s="52"/>
      <c r="Z74" s="52"/>
      <c r="AA74" s="52"/>
      <c r="AB74" s="53"/>
    </row>
    <row r="75" hidden="1">
      <c r="R75" s="51">
        <v>0.0</v>
      </c>
    </row>
    <row r="76" hidden="1">
      <c r="A76" s="99" t="s">
        <v>345</v>
      </c>
      <c r="B76" s="48" t="s">
        <v>346</v>
      </c>
      <c r="C76" s="48">
        <v>1.0</v>
      </c>
      <c r="D76" s="48">
        <v>841515.0</v>
      </c>
      <c r="E76" s="48" t="s">
        <v>343</v>
      </c>
      <c r="F76" s="48">
        <v>1.0</v>
      </c>
      <c r="G76" s="48" t="s">
        <v>98</v>
      </c>
      <c r="H76" s="48" t="s">
        <v>114</v>
      </c>
      <c r="I76" s="48">
        <v>8.0</v>
      </c>
      <c r="J76" s="48">
        <v>256.0</v>
      </c>
      <c r="K76" s="48">
        <v>6.41</v>
      </c>
      <c r="L76" s="57" t="s">
        <v>344</v>
      </c>
      <c r="M76" s="57" t="s">
        <v>116</v>
      </c>
      <c r="N76" s="57" t="s">
        <v>347</v>
      </c>
      <c r="O76" s="48">
        <v>28279.0</v>
      </c>
      <c r="P76" s="48">
        <v>49999.0</v>
      </c>
      <c r="Q76" s="48">
        <v>10.0</v>
      </c>
      <c r="R76" s="51">
        <v>0.0</v>
      </c>
      <c r="S76" s="82"/>
      <c r="T76" s="57" t="s">
        <v>89</v>
      </c>
      <c r="U76" s="52"/>
      <c r="V76" s="52"/>
      <c r="W76" s="52"/>
      <c r="X76" s="52"/>
      <c r="Y76" s="52"/>
      <c r="Z76" s="52"/>
      <c r="AA76" s="52"/>
      <c r="AB76" s="53"/>
    </row>
    <row r="77" hidden="1">
      <c r="A77" s="52" t="s">
        <v>345</v>
      </c>
      <c r="B77" s="48" t="s">
        <v>348</v>
      </c>
      <c r="C77" s="48">
        <v>1.0</v>
      </c>
      <c r="D77" s="48">
        <v>841515.0</v>
      </c>
      <c r="E77" s="48" t="s">
        <v>343</v>
      </c>
      <c r="F77" s="48">
        <v>2.0</v>
      </c>
      <c r="G77" s="48" t="s">
        <v>98</v>
      </c>
      <c r="H77" s="48" t="s">
        <v>114</v>
      </c>
      <c r="I77" s="48">
        <v>8.0</v>
      </c>
      <c r="J77" s="48">
        <v>256.0</v>
      </c>
      <c r="K77" s="48">
        <v>6.41</v>
      </c>
      <c r="L77" s="57" t="s">
        <v>344</v>
      </c>
      <c r="M77" s="57" t="s">
        <v>116</v>
      </c>
      <c r="N77" s="82" t="str">
        <f t="shared" ref="N77:N78" si="8">CONCAT(B77,".png")</f>
        <v>FT08_1+7_Pro_8_256_2_BLUE.png</v>
      </c>
      <c r="O77" s="48">
        <v>28799.0</v>
      </c>
      <c r="P77" s="48">
        <v>49999.0</v>
      </c>
      <c r="Q77" s="48">
        <v>10.0</v>
      </c>
      <c r="R77" s="51">
        <v>0.0</v>
      </c>
      <c r="S77" s="82"/>
      <c r="T77" s="52"/>
      <c r="U77" s="52"/>
      <c r="V77" s="52"/>
      <c r="W77" s="52"/>
      <c r="X77" s="52"/>
      <c r="Y77" s="52"/>
      <c r="Z77" s="52"/>
      <c r="AA77" s="52"/>
      <c r="AB77" s="53"/>
    </row>
    <row r="78" hidden="1">
      <c r="A78" s="52" t="s">
        <v>349</v>
      </c>
      <c r="B78" s="48" t="s">
        <v>350</v>
      </c>
      <c r="C78" s="48">
        <v>1.0</v>
      </c>
      <c r="D78" s="123">
        <v>5.22E8</v>
      </c>
      <c r="E78" s="48" t="s">
        <v>351</v>
      </c>
      <c r="F78" s="48">
        <v>2.0</v>
      </c>
      <c r="G78" s="48" t="s">
        <v>98</v>
      </c>
      <c r="H78" s="48" t="s">
        <v>352</v>
      </c>
      <c r="I78" s="48">
        <v>12.0</v>
      </c>
      <c r="J78" s="48">
        <v>256.0</v>
      </c>
      <c r="K78" s="48">
        <v>6.67</v>
      </c>
      <c r="L78" s="57" t="s">
        <v>353</v>
      </c>
      <c r="M78" s="57" t="s">
        <v>354</v>
      </c>
      <c r="N78" s="82" t="str">
        <f t="shared" si="8"/>
        <v>FT08_1+7T_Pro_12_256_2_ORANGE.png</v>
      </c>
      <c r="O78" s="48">
        <v>42899.0</v>
      </c>
      <c r="P78" s="48">
        <v>53999.0</v>
      </c>
      <c r="Q78" s="48">
        <v>10.0</v>
      </c>
      <c r="R78" s="51">
        <v>0.0</v>
      </c>
      <c r="S78" s="82"/>
      <c r="T78" s="52"/>
      <c r="U78" s="52"/>
      <c r="V78" s="52"/>
      <c r="W78" s="52"/>
      <c r="X78" s="52"/>
      <c r="Y78" s="52"/>
      <c r="Z78" s="52"/>
      <c r="AA78" s="52"/>
      <c r="AB78" s="53"/>
    </row>
    <row r="79" hidden="1">
      <c r="A79" s="132" t="s">
        <v>355</v>
      </c>
      <c r="B79" s="132"/>
      <c r="C79" s="144">
        <v>1.0</v>
      </c>
      <c r="D79" s="57">
        <v>1.107060504E9</v>
      </c>
      <c r="E79" s="110" t="s">
        <v>351</v>
      </c>
      <c r="F79" s="133"/>
      <c r="G79" s="133"/>
      <c r="H79" s="52"/>
      <c r="I79" s="57">
        <v>12.0</v>
      </c>
      <c r="J79" s="57">
        <v>256.0</v>
      </c>
      <c r="K79" s="58">
        <v>6.67</v>
      </c>
      <c r="L79" s="60" t="s">
        <v>353</v>
      </c>
      <c r="M79" s="60" t="s">
        <v>354</v>
      </c>
      <c r="N79" s="52"/>
      <c r="O79" s="52"/>
      <c r="P79" s="61"/>
      <c r="Q79" s="61"/>
      <c r="R79" s="51">
        <v>0.0</v>
      </c>
      <c r="S79" s="52"/>
      <c r="T79" s="52"/>
      <c r="U79" s="52"/>
      <c r="V79" s="52"/>
      <c r="W79" s="52"/>
      <c r="X79" s="52"/>
      <c r="Y79" s="52"/>
      <c r="Z79" s="52"/>
      <c r="AA79" s="52"/>
      <c r="AB79" s="53"/>
    </row>
    <row r="80" hidden="1">
      <c r="A80" s="71" t="s">
        <v>356</v>
      </c>
      <c r="B80" s="71"/>
      <c r="C80" s="91">
        <v>1.0</v>
      </c>
      <c r="D80" s="91">
        <v>7.890891235E9</v>
      </c>
      <c r="E80" s="91" t="s">
        <v>357</v>
      </c>
      <c r="F80" s="91">
        <v>1.0</v>
      </c>
      <c r="G80" s="71"/>
      <c r="H80" s="71"/>
      <c r="I80" s="93">
        <v>3.0</v>
      </c>
      <c r="J80" s="93">
        <v>32.0</v>
      </c>
      <c r="K80" s="91">
        <v>6.2</v>
      </c>
      <c r="L80" s="107" t="s">
        <v>358</v>
      </c>
      <c r="M80" s="57" t="s">
        <v>359</v>
      </c>
      <c r="N80" s="107"/>
      <c r="O80" s="107"/>
      <c r="P80" s="71"/>
      <c r="Q80" s="91">
        <v>10.0</v>
      </c>
      <c r="R80" s="51">
        <v>0.0</v>
      </c>
      <c r="S80" s="91">
        <v>0.0</v>
      </c>
      <c r="T80" s="52"/>
      <c r="U80" s="52"/>
      <c r="V80" s="52"/>
      <c r="W80" s="52"/>
      <c r="X80" s="52"/>
      <c r="Y80" s="52"/>
      <c r="Z80" s="52"/>
      <c r="AA80" s="52"/>
      <c r="AB80" s="53"/>
    </row>
    <row r="81" hidden="1">
      <c r="A81" s="1" t="s">
        <v>32</v>
      </c>
      <c r="B81" s="48" t="s">
        <v>360</v>
      </c>
      <c r="C81" s="48">
        <v>1.0</v>
      </c>
      <c r="D81" s="48">
        <v>5.9853258E7</v>
      </c>
      <c r="E81" s="48" t="s">
        <v>361</v>
      </c>
      <c r="F81" s="48">
        <v>2.0</v>
      </c>
      <c r="G81" s="48" t="s">
        <v>362</v>
      </c>
      <c r="H81" s="48" t="s">
        <v>363</v>
      </c>
      <c r="I81" s="48">
        <v>6.0</v>
      </c>
      <c r="J81" s="48">
        <v>128.0</v>
      </c>
      <c r="K81" s="58">
        <v>6.53</v>
      </c>
      <c r="L81" s="145" t="s">
        <v>364</v>
      </c>
      <c r="M81" s="146" t="s">
        <v>365</v>
      </c>
      <c r="N81" s="48" t="s">
        <v>366</v>
      </c>
      <c r="O81" s="48">
        <v>10499.0</v>
      </c>
      <c r="P81" s="48">
        <v>23990.0</v>
      </c>
      <c r="Q81" s="48">
        <v>10.0</v>
      </c>
      <c r="R81" s="51">
        <v>0.0</v>
      </c>
      <c r="S81" s="52"/>
      <c r="T81" s="52"/>
      <c r="U81" s="52"/>
      <c r="V81" s="52"/>
      <c r="W81" s="52"/>
      <c r="X81" s="52"/>
      <c r="Y81" s="52"/>
      <c r="Z81" s="52"/>
      <c r="AA81" s="52"/>
      <c r="AB81" s="53"/>
    </row>
    <row r="82" hidden="1">
      <c r="A82" s="4" t="s">
        <v>367</v>
      </c>
      <c r="B82" s="121" t="s">
        <v>368</v>
      </c>
      <c r="C82" s="121">
        <v>1.0</v>
      </c>
      <c r="D82" s="121">
        <v>5.9853258E7</v>
      </c>
      <c r="E82" s="121" t="s">
        <v>369</v>
      </c>
      <c r="F82" s="121">
        <v>2.0</v>
      </c>
      <c r="G82" s="121" t="s">
        <v>362</v>
      </c>
      <c r="H82" s="121" t="s">
        <v>370</v>
      </c>
      <c r="I82" s="121">
        <v>8.0</v>
      </c>
      <c r="J82" s="121">
        <v>128.0</v>
      </c>
      <c r="K82" s="58">
        <v>6.53</v>
      </c>
      <c r="L82" s="147" t="s">
        <v>371</v>
      </c>
      <c r="M82" s="66" t="s">
        <v>372</v>
      </c>
      <c r="N82" s="12" t="s">
        <v>373</v>
      </c>
      <c r="O82" s="121">
        <v>14399.0</v>
      </c>
      <c r="P82" s="121">
        <v>23990.0</v>
      </c>
      <c r="Q82" s="121">
        <v>10.0</v>
      </c>
      <c r="R82" s="51">
        <v>0.0</v>
      </c>
      <c r="S82" s="69"/>
      <c r="T82" s="69"/>
      <c r="U82" s="69"/>
      <c r="V82" s="69"/>
      <c r="W82" s="69"/>
      <c r="X82" s="69"/>
      <c r="Y82" s="69"/>
      <c r="Z82" s="69"/>
      <c r="AA82" s="69"/>
      <c r="AB82" s="70"/>
    </row>
    <row r="83" hidden="1">
      <c r="A83" s="99" t="s">
        <v>33</v>
      </c>
      <c r="B83" s="48" t="s">
        <v>360</v>
      </c>
      <c r="C83" s="48">
        <v>1.0</v>
      </c>
      <c r="D83" s="48">
        <v>5.9853258E7</v>
      </c>
      <c r="E83" s="48" t="s">
        <v>361</v>
      </c>
      <c r="F83" s="48">
        <v>2.0</v>
      </c>
      <c r="G83" s="48" t="s">
        <v>362</v>
      </c>
      <c r="H83" s="48" t="s">
        <v>363</v>
      </c>
      <c r="I83" s="48">
        <v>6.0</v>
      </c>
      <c r="J83" s="48">
        <v>64.0</v>
      </c>
      <c r="K83" s="58">
        <v>6.53</v>
      </c>
      <c r="L83" s="148" t="s">
        <v>374</v>
      </c>
      <c r="M83" s="146" t="s">
        <v>365</v>
      </c>
      <c r="N83" s="48" t="s">
        <v>366</v>
      </c>
      <c r="O83" s="48">
        <v>10499.0</v>
      </c>
      <c r="P83" s="48">
        <v>23990.0</v>
      </c>
      <c r="Q83" s="48">
        <v>10.0</v>
      </c>
      <c r="R83" s="51">
        <v>0.0</v>
      </c>
      <c r="S83" s="52"/>
      <c r="T83" s="52"/>
      <c r="U83" s="52"/>
      <c r="V83" s="52"/>
      <c r="W83" s="52"/>
      <c r="X83" s="52"/>
      <c r="Y83" s="52"/>
      <c r="Z83" s="52"/>
      <c r="AA83" s="52"/>
      <c r="AB83" s="53"/>
    </row>
    <row r="84" hidden="1">
      <c r="A84" s="71" t="s">
        <v>34</v>
      </c>
      <c r="B84" s="91" t="s">
        <v>375</v>
      </c>
      <c r="C84" s="92">
        <v>1.0</v>
      </c>
      <c r="D84" s="93">
        <v>2.676898865E9</v>
      </c>
      <c r="E84" s="58" t="s">
        <v>376</v>
      </c>
      <c r="F84" s="91">
        <v>2.0</v>
      </c>
      <c r="G84" s="91" t="s">
        <v>362</v>
      </c>
      <c r="H84" s="91" t="s">
        <v>377</v>
      </c>
      <c r="I84" s="93">
        <v>8.0</v>
      </c>
      <c r="J84" s="93">
        <v>256.0</v>
      </c>
      <c r="K84" s="58">
        <v>6.53</v>
      </c>
      <c r="L84" s="111" t="s">
        <v>378</v>
      </c>
      <c r="M84" s="107" t="s">
        <v>379</v>
      </c>
      <c r="N84" s="57" t="s">
        <v>380</v>
      </c>
      <c r="O84" s="57">
        <v>14989.0</v>
      </c>
      <c r="P84" s="97">
        <v>23999.0</v>
      </c>
      <c r="Q84" s="61"/>
      <c r="R84" s="51">
        <v>0.0</v>
      </c>
      <c r="S84" s="52"/>
      <c r="T84" s="52"/>
      <c r="U84" s="52"/>
      <c r="V84" s="52"/>
      <c r="W84" s="52"/>
      <c r="X84" s="52"/>
      <c r="Y84" s="52"/>
      <c r="Z84" s="52"/>
      <c r="AA84" s="52"/>
      <c r="AB84" s="53"/>
    </row>
    <row r="85" hidden="1">
      <c r="A85" s="48" t="s">
        <v>381</v>
      </c>
      <c r="B85" s="48" t="s">
        <v>382</v>
      </c>
      <c r="C85" s="48">
        <v>1.0</v>
      </c>
      <c r="D85" s="48">
        <v>8809098.0</v>
      </c>
      <c r="E85" s="48" t="s">
        <v>381</v>
      </c>
      <c r="F85" s="48">
        <v>1.0</v>
      </c>
      <c r="G85" s="48" t="s">
        <v>383</v>
      </c>
      <c r="H85" s="48" t="s">
        <v>384</v>
      </c>
      <c r="I85" s="48">
        <v>6.0</v>
      </c>
      <c r="J85" s="48">
        <v>128.0</v>
      </c>
      <c r="K85" s="48">
        <v>6.18</v>
      </c>
      <c r="L85" s="96" t="s">
        <v>385</v>
      </c>
      <c r="M85" s="107" t="s">
        <v>386</v>
      </c>
      <c r="N85" s="82" t="str">
        <f>CONCAT(B85,".png")</f>
        <v>FT09_Poco_F1_6_128_1_BLUE.png</v>
      </c>
      <c r="O85" s="48">
        <v>9579.0</v>
      </c>
      <c r="P85" s="48">
        <v>15999.0</v>
      </c>
      <c r="Q85" s="48">
        <v>10.0</v>
      </c>
      <c r="R85" s="51">
        <v>0.0</v>
      </c>
      <c r="S85" s="48">
        <v>0.0</v>
      </c>
      <c r="T85" s="98"/>
      <c r="U85" s="52"/>
      <c r="V85" s="52"/>
      <c r="W85" s="52"/>
      <c r="X85" s="52"/>
      <c r="Y85" s="52"/>
      <c r="Z85" s="52"/>
      <c r="AA85" s="52"/>
      <c r="AB85" s="53"/>
    </row>
    <row r="86" hidden="1">
      <c r="A86" s="112" t="s">
        <v>387</v>
      </c>
      <c r="B86" s="91"/>
      <c r="C86" s="91">
        <v>1.0</v>
      </c>
      <c r="D86" s="91">
        <v>1.234554321E9</v>
      </c>
      <c r="E86" s="91" t="s">
        <v>388</v>
      </c>
      <c r="F86" s="91">
        <v>2.0</v>
      </c>
      <c r="G86" s="149"/>
      <c r="H86" s="149"/>
      <c r="I86" s="93">
        <v>2.0</v>
      </c>
      <c r="J86" s="93">
        <v>16.0</v>
      </c>
      <c r="K86" s="58">
        <v>6.2</v>
      </c>
      <c r="L86" s="49" t="s">
        <v>389</v>
      </c>
      <c r="M86" s="49" t="s">
        <v>390</v>
      </c>
      <c r="N86" s="107"/>
      <c r="O86" s="49"/>
      <c r="P86" s="149"/>
      <c r="Q86" s="91">
        <v>10.0</v>
      </c>
      <c r="R86" s="51">
        <v>0.0</v>
      </c>
      <c r="S86" s="91">
        <v>0.0</v>
      </c>
      <c r="T86" s="52"/>
      <c r="U86" s="52"/>
      <c r="V86" s="52"/>
      <c r="W86" s="52"/>
      <c r="X86" s="52"/>
      <c r="Y86" s="52"/>
      <c r="Z86" s="52"/>
      <c r="AA86" s="52"/>
      <c r="AB86" s="53"/>
    </row>
    <row r="87" hidden="1">
      <c r="A87" s="150" t="s">
        <v>35</v>
      </c>
      <c r="B87" s="35"/>
      <c r="C87" s="144">
        <v>1.0</v>
      </c>
      <c r="D87" s="57" t="s">
        <v>391</v>
      </c>
      <c r="E87" s="58" t="s">
        <v>392</v>
      </c>
      <c r="F87" s="35"/>
      <c r="G87" s="35"/>
      <c r="H87" s="52"/>
      <c r="I87" s="57">
        <v>4.0</v>
      </c>
      <c r="J87" s="57">
        <v>64.0</v>
      </c>
      <c r="K87" s="58">
        <v>6.5</v>
      </c>
      <c r="L87" s="151" t="s">
        <v>393</v>
      </c>
      <c r="M87" s="152"/>
      <c r="N87" s="52"/>
      <c r="O87" s="52"/>
      <c r="P87" s="61"/>
      <c r="Q87" s="61"/>
      <c r="R87" s="51">
        <v>0.0</v>
      </c>
      <c r="S87" s="52"/>
      <c r="T87" s="52"/>
      <c r="U87" s="52"/>
      <c r="V87" s="52"/>
      <c r="W87" s="52"/>
      <c r="X87" s="52"/>
      <c r="Y87" s="52"/>
      <c r="Z87" s="52"/>
      <c r="AA87" s="52"/>
      <c r="AB87" s="53"/>
    </row>
    <row r="88" hidden="1">
      <c r="A88" s="153" t="s">
        <v>36</v>
      </c>
      <c r="B88" s="153"/>
      <c r="C88" s="154">
        <v>1.0</v>
      </c>
      <c r="D88" s="64" t="s">
        <v>394</v>
      </c>
      <c r="E88" s="110" t="s">
        <v>395</v>
      </c>
      <c r="F88" s="155"/>
      <c r="G88" s="155"/>
      <c r="H88" s="69"/>
      <c r="I88" s="64">
        <v>6.0</v>
      </c>
      <c r="J88" s="64">
        <v>128.0</v>
      </c>
      <c r="K88" s="58">
        <v>6.5</v>
      </c>
      <c r="L88" s="156" t="s">
        <v>396</v>
      </c>
      <c r="M88" s="157" t="s">
        <v>397</v>
      </c>
      <c r="N88" s="69"/>
      <c r="O88" s="64">
        <v>13559.0</v>
      </c>
      <c r="P88" s="68"/>
      <c r="Q88" s="68"/>
      <c r="R88" s="51">
        <v>0.0</v>
      </c>
      <c r="S88" s="69"/>
      <c r="T88" s="69"/>
      <c r="U88" s="69"/>
      <c r="V88" s="69"/>
      <c r="W88" s="69"/>
      <c r="X88" s="69"/>
      <c r="Y88" s="69"/>
      <c r="Z88" s="69"/>
      <c r="AA88" s="69"/>
      <c r="AB88" s="70"/>
    </row>
    <row r="89" hidden="1">
      <c r="A89" s="52" t="s">
        <v>398</v>
      </c>
      <c r="B89" s="48" t="s">
        <v>399</v>
      </c>
      <c r="C89" s="48">
        <v>1.0</v>
      </c>
      <c r="D89" s="123">
        <v>5.69E8</v>
      </c>
      <c r="E89" s="48" t="s">
        <v>400</v>
      </c>
      <c r="F89" s="48">
        <v>2.0</v>
      </c>
      <c r="G89" s="48" t="s">
        <v>401</v>
      </c>
      <c r="H89" s="48" t="s">
        <v>402</v>
      </c>
      <c r="I89" s="48">
        <v>6.0</v>
      </c>
      <c r="J89" s="48">
        <v>128.0</v>
      </c>
      <c r="K89" s="48">
        <v>6.7</v>
      </c>
      <c r="L89" s="57" t="s">
        <v>403</v>
      </c>
      <c r="M89" s="57" t="s">
        <v>404</v>
      </c>
      <c r="N89" s="82" t="str">
        <f>CONCAT(B89,".png")</f>
        <v>FT14_A70_6_128_2_BLUE.png</v>
      </c>
      <c r="O89" s="48">
        <v>12099.0</v>
      </c>
      <c r="P89" s="48">
        <v>24999.0</v>
      </c>
      <c r="Q89" s="48">
        <v>10.0</v>
      </c>
      <c r="R89" s="51">
        <v>0.0</v>
      </c>
      <c r="S89" s="82"/>
      <c r="T89" s="52"/>
      <c r="U89" s="52"/>
      <c r="V89" s="52"/>
      <c r="W89" s="52"/>
      <c r="X89" s="52"/>
      <c r="Y89" s="52"/>
      <c r="Z89" s="52"/>
      <c r="AA89" s="52"/>
      <c r="AB89" s="53"/>
    </row>
    <row r="90" hidden="1">
      <c r="A90" s="112" t="s">
        <v>405</v>
      </c>
      <c r="B90" s="113" t="s">
        <v>406</v>
      </c>
      <c r="C90" s="93">
        <v>1.0</v>
      </c>
      <c r="D90" s="93">
        <v>5.676898765E9</v>
      </c>
      <c r="E90" s="93" t="s">
        <v>407</v>
      </c>
      <c r="F90" s="93">
        <v>2.0</v>
      </c>
      <c r="G90" s="93" t="s">
        <v>401</v>
      </c>
      <c r="H90" s="93" t="s">
        <v>408</v>
      </c>
      <c r="I90" s="93">
        <v>3.0</v>
      </c>
      <c r="J90" s="93">
        <v>16.0</v>
      </c>
      <c r="K90" s="58">
        <v>5.5</v>
      </c>
      <c r="L90" s="96" t="s">
        <v>409</v>
      </c>
      <c r="M90" s="57" t="s">
        <v>410</v>
      </c>
      <c r="N90" s="57" t="s">
        <v>411</v>
      </c>
      <c r="O90" s="57">
        <v>4669.0</v>
      </c>
      <c r="P90" s="97">
        <v>15999.0</v>
      </c>
      <c r="Q90" s="61"/>
      <c r="R90" s="51">
        <v>0.0</v>
      </c>
      <c r="S90" s="52"/>
      <c r="T90" s="57" t="s">
        <v>89</v>
      </c>
      <c r="U90" s="52"/>
      <c r="V90" s="52"/>
      <c r="W90" s="52"/>
      <c r="X90" s="52"/>
      <c r="Y90" s="52"/>
      <c r="Z90" s="52"/>
      <c r="AA90" s="52"/>
      <c r="AB90" s="53"/>
    </row>
    <row r="91" hidden="1">
      <c r="A91" s="53" t="s">
        <v>412</v>
      </c>
      <c r="B91" s="48" t="s">
        <v>413</v>
      </c>
      <c r="C91" s="48">
        <v>1.0</v>
      </c>
      <c r="D91" s="123">
        <v>9.87E9</v>
      </c>
      <c r="E91" s="48" t="s">
        <v>414</v>
      </c>
      <c r="F91" s="48">
        <v>2.0</v>
      </c>
      <c r="G91" s="48" t="s">
        <v>401</v>
      </c>
      <c r="H91" s="48" t="s">
        <v>415</v>
      </c>
      <c r="I91" s="48">
        <v>2.0</v>
      </c>
      <c r="J91" s="48">
        <v>128.0</v>
      </c>
      <c r="K91" s="82"/>
      <c r="L91" s="82"/>
      <c r="M91" s="82"/>
      <c r="N91" s="82" t="str">
        <f>CONCAT(B91,".png")</f>
        <v>FT14_NOTE10_Lite_8_128_2_BLACK.png</v>
      </c>
      <c r="O91" s="48">
        <v>22699.0</v>
      </c>
      <c r="P91" s="48">
        <v>52599.0</v>
      </c>
      <c r="Q91" s="48">
        <v>10.0</v>
      </c>
      <c r="R91" s="51">
        <v>0.0</v>
      </c>
      <c r="S91" s="82"/>
      <c r="T91" s="98"/>
      <c r="U91" s="52"/>
      <c r="V91" s="52"/>
      <c r="W91" s="52"/>
      <c r="X91" s="52"/>
      <c r="Y91" s="52"/>
      <c r="Z91" s="52"/>
      <c r="AA91" s="52"/>
      <c r="AB91" s="53"/>
    </row>
    <row r="92" hidden="1">
      <c r="A92" s="112" t="s">
        <v>416</v>
      </c>
      <c r="B92" s="113" t="s">
        <v>417</v>
      </c>
      <c r="C92" s="93">
        <v>1.0</v>
      </c>
      <c r="D92" s="93">
        <v>8.52149853215E11</v>
      </c>
      <c r="E92" s="110" t="s">
        <v>418</v>
      </c>
      <c r="F92" s="93">
        <v>2.0</v>
      </c>
      <c r="G92" s="93" t="s">
        <v>401</v>
      </c>
      <c r="H92" s="158" t="s">
        <v>419</v>
      </c>
      <c r="I92" s="93">
        <v>1.0</v>
      </c>
      <c r="J92" s="93">
        <v>1.0</v>
      </c>
      <c r="K92" s="58">
        <v>2.4</v>
      </c>
      <c r="L92" s="96" t="s">
        <v>420</v>
      </c>
      <c r="M92" s="57" t="s">
        <v>421</v>
      </c>
      <c r="N92" s="52"/>
      <c r="O92" s="52"/>
      <c r="P92" s="52"/>
      <c r="Q92" s="52"/>
      <c r="R92" s="51">
        <v>0.0</v>
      </c>
      <c r="S92" s="52"/>
      <c r="T92" s="57" t="s">
        <v>89</v>
      </c>
      <c r="U92" s="52"/>
      <c r="V92" s="52"/>
      <c r="W92" s="52"/>
      <c r="X92" s="52"/>
      <c r="Y92" s="52"/>
      <c r="Z92" s="52"/>
      <c r="AA92" s="52"/>
      <c r="AB92" s="53"/>
    </row>
    <row r="93" hidden="1">
      <c r="A93" s="108" t="s">
        <v>38</v>
      </c>
      <c r="B93" s="109" t="s">
        <v>422</v>
      </c>
      <c r="C93" s="91">
        <v>1.0</v>
      </c>
      <c r="D93" s="93">
        <v>2.676898863E9</v>
      </c>
      <c r="E93" s="110" t="s">
        <v>130</v>
      </c>
      <c r="F93" s="91">
        <v>1.0</v>
      </c>
      <c r="G93" s="91" t="s">
        <v>131</v>
      </c>
      <c r="H93" s="91" t="s">
        <v>132</v>
      </c>
      <c r="I93" s="93">
        <v>4.0</v>
      </c>
      <c r="J93" s="93">
        <v>128.0</v>
      </c>
      <c r="K93" s="58">
        <v>6.38</v>
      </c>
      <c r="L93" s="111" t="s">
        <v>133</v>
      </c>
      <c r="M93" s="107" t="s">
        <v>134</v>
      </c>
      <c r="N93" s="57" t="s">
        <v>135</v>
      </c>
      <c r="O93" s="57">
        <v>11649.0</v>
      </c>
      <c r="P93" s="97">
        <v>15999.0</v>
      </c>
      <c r="Q93" s="61"/>
      <c r="R93" s="51">
        <v>0.0</v>
      </c>
      <c r="S93" s="52"/>
      <c r="T93" s="52"/>
      <c r="U93" s="52"/>
      <c r="V93" s="52"/>
      <c r="W93" s="52"/>
      <c r="X93" s="52"/>
      <c r="Y93" s="52"/>
      <c r="Z93" s="52"/>
      <c r="AA93" s="52"/>
      <c r="AB93" s="53"/>
    </row>
    <row r="94" hidden="1">
      <c r="A94" s="159" t="s">
        <v>38</v>
      </c>
      <c r="B94" s="48" t="s">
        <v>129</v>
      </c>
      <c r="C94" s="48">
        <v>1.0</v>
      </c>
      <c r="D94" s="48">
        <v>8.4064468E7</v>
      </c>
      <c r="E94" s="48" t="s">
        <v>130</v>
      </c>
      <c r="F94" s="48">
        <v>2.0</v>
      </c>
      <c r="G94" s="48" t="s">
        <v>131</v>
      </c>
      <c r="H94" s="48" t="s">
        <v>132</v>
      </c>
      <c r="I94" s="48">
        <v>4.0</v>
      </c>
      <c r="J94" s="48">
        <v>128.0</v>
      </c>
      <c r="K94" s="52"/>
      <c r="L94" s="52"/>
      <c r="M94" s="52"/>
      <c r="N94" s="82" t="str">
        <f t="shared" ref="N94:N95" si="9">CONCAT(B94,".png")</f>
        <v>FT10_S1_4_128_2_BLUE.png</v>
      </c>
      <c r="O94" s="48">
        <v>0.0</v>
      </c>
      <c r="P94" s="48">
        <v>39000.0</v>
      </c>
      <c r="Q94" s="48">
        <v>10.0</v>
      </c>
      <c r="R94" s="51">
        <v>0.0</v>
      </c>
      <c r="S94" s="82"/>
      <c r="T94" s="52"/>
      <c r="U94" s="52"/>
      <c r="V94" s="52"/>
      <c r="W94" s="52"/>
      <c r="X94" s="52"/>
      <c r="Y94" s="52"/>
      <c r="Z94" s="52"/>
      <c r="AA94" s="52"/>
      <c r="AB94" s="53"/>
    </row>
    <row r="95" hidden="1">
      <c r="A95" s="160" t="s">
        <v>38</v>
      </c>
      <c r="B95" s="143" t="s">
        <v>129</v>
      </c>
      <c r="C95" s="143">
        <v>1.0</v>
      </c>
      <c r="D95" s="143">
        <v>8.4064468E7</v>
      </c>
      <c r="E95" s="143" t="s">
        <v>130</v>
      </c>
      <c r="F95" s="118">
        <v>1.0</v>
      </c>
      <c r="G95" s="143" t="s">
        <v>131</v>
      </c>
      <c r="H95" s="143" t="s">
        <v>132</v>
      </c>
      <c r="I95" s="143">
        <v>4.0</v>
      </c>
      <c r="J95" s="143">
        <v>128.0</v>
      </c>
      <c r="K95" s="160"/>
      <c r="L95" s="98"/>
      <c r="M95" s="98"/>
      <c r="N95" s="143" t="str">
        <f t="shared" si="9"/>
        <v>FT10_S1_4_128_2_BLUE.png</v>
      </c>
      <c r="O95" s="118">
        <v>10899.0</v>
      </c>
      <c r="P95" s="143">
        <v>39000.0</v>
      </c>
      <c r="Q95" s="143">
        <v>10.0</v>
      </c>
      <c r="R95" s="51">
        <v>0.0</v>
      </c>
      <c r="S95" s="118">
        <v>0.0</v>
      </c>
      <c r="T95" s="52"/>
      <c r="U95" s="52"/>
      <c r="V95" s="52"/>
      <c r="W95" s="52"/>
      <c r="X95" s="52"/>
      <c r="Y95" s="52"/>
      <c r="Z95" s="52"/>
      <c r="AA95" s="52"/>
      <c r="AB95" s="53"/>
    </row>
    <row r="96" hidden="1">
      <c r="A96" s="71" t="s">
        <v>423</v>
      </c>
      <c r="B96" s="109" t="s">
        <v>424</v>
      </c>
      <c r="C96" s="91">
        <v>1.0</v>
      </c>
      <c r="D96" s="93">
        <v>2.676898862E9</v>
      </c>
      <c r="E96" s="58" t="s">
        <v>425</v>
      </c>
      <c r="F96" s="91">
        <v>1.0</v>
      </c>
      <c r="G96" s="161" t="s">
        <v>131</v>
      </c>
      <c r="H96" s="91" t="s">
        <v>426</v>
      </c>
      <c r="I96" s="93">
        <v>6.0</v>
      </c>
      <c r="J96" s="93">
        <v>64.0</v>
      </c>
      <c r="K96" s="58">
        <v>6.41</v>
      </c>
      <c r="L96" s="111" t="s">
        <v>427</v>
      </c>
      <c r="M96" s="107" t="s">
        <v>428</v>
      </c>
      <c r="N96" s="57" t="s">
        <v>429</v>
      </c>
      <c r="O96" s="57">
        <v>8989.0</v>
      </c>
      <c r="P96" s="57">
        <v>15999.0</v>
      </c>
      <c r="Q96" s="52"/>
      <c r="R96" s="51">
        <v>0.0</v>
      </c>
      <c r="S96" s="52"/>
      <c r="T96" s="52"/>
      <c r="U96" s="52"/>
      <c r="V96" s="52"/>
      <c r="W96" s="52"/>
      <c r="X96" s="52"/>
      <c r="Y96" s="52"/>
      <c r="Z96" s="52"/>
      <c r="AA96" s="52"/>
      <c r="AB96" s="53"/>
    </row>
    <row r="97" hidden="1">
      <c r="A97" s="112" t="s">
        <v>39</v>
      </c>
      <c r="B97" s="113" t="s">
        <v>430</v>
      </c>
      <c r="C97" s="93">
        <v>1.0</v>
      </c>
      <c r="D97" s="93">
        <v>2.1487625985E10</v>
      </c>
      <c r="E97" s="110" t="s">
        <v>137</v>
      </c>
      <c r="F97" s="93">
        <v>2.0</v>
      </c>
      <c r="G97" s="93" t="s">
        <v>131</v>
      </c>
      <c r="H97" s="93" t="s">
        <v>138</v>
      </c>
      <c r="I97" s="93">
        <v>6.0</v>
      </c>
      <c r="J97" s="93">
        <v>64.0</v>
      </c>
      <c r="K97" s="57">
        <v>6.53</v>
      </c>
      <c r="L97" s="96" t="s">
        <v>139</v>
      </c>
      <c r="M97" s="57" t="s">
        <v>140</v>
      </c>
      <c r="N97" s="57" t="s">
        <v>141</v>
      </c>
      <c r="O97" s="57">
        <v>10239.0</v>
      </c>
      <c r="P97" s="57">
        <v>19999.0</v>
      </c>
      <c r="Q97" s="52"/>
      <c r="R97" s="51">
        <v>0.0</v>
      </c>
      <c r="S97" s="52"/>
      <c r="T97" s="57" t="s">
        <v>89</v>
      </c>
      <c r="U97" s="52"/>
      <c r="V97" s="52"/>
      <c r="W97" s="52"/>
      <c r="X97" s="52"/>
      <c r="Y97" s="52"/>
      <c r="Z97" s="52"/>
      <c r="AA97" s="52"/>
      <c r="AB97" s="53"/>
    </row>
    <row r="98" hidden="1">
      <c r="A98" s="160" t="s">
        <v>39</v>
      </c>
      <c r="B98" s="162" t="s">
        <v>431</v>
      </c>
      <c r="C98" s="160">
        <v>1.0</v>
      </c>
      <c r="D98" s="160">
        <v>2.1487625985E10</v>
      </c>
      <c r="E98" s="163" t="s">
        <v>432</v>
      </c>
      <c r="F98" s="160">
        <v>2.0</v>
      </c>
      <c r="G98" s="160" t="s">
        <v>131</v>
      </c>
      <c r="H98" s="160" t="s">
        <v>138</v>
      </c>
      <c r="I98" s="160">
        <v>6.0</v>
      </c>
      <c r="J98" s="160">
        <v>64.0</v>
      </c>
      <c r="K98" s="98">
        <v>6.53</v>
      </c>
      <c r="L98" s="111" t="s">
        <v>139</v>
      </c>
      <c r="M98" s="98" t="s">
        <v>140</v>
      </c>
      <c r="N98" s="98" t="s">
        <v>141</v>
      </c>
      <c r="O98" s="98">
        <v>10239.0</v>
      </c>
      <c r="P98" s="98">
        <v>19999.0</v>
      </c>
      <c r="Q98" s="160"/>
      <c r="R98" s="51">
        <v>0.0</v>
      </c>
      <c r="S98" s="160"/>
      <c r="T98" s="98" t="s">
        <v>89</v>
      </c>
      <c r="U98" s="52"/>
      <c r="V98" s="52"/>
      <c r="W98" s="52"/>
      <c r="X98" s="52"/>
      <c r="Y98" s="52"/>
      <c r="Z98" s="52"/>
      <c r="AA98" s="52"/>
      <c r="AB98" s="53"/>
    </row>
    <row r="99" hidden="1">
      <c r="A99" s="160" t="s">
        <v>39</v>
      </c>
      <c r="B99" s="162" t="s">
        <v>433</v>
      </c>
      <c r="C99" s="160">
        <v>1.0</v>
      </c>
      <c r="D99" s="160">
        <v>2.1487625985E10</v>
      </c>
      <c r="E99" s="164" t="s">
        <v>137</v>
      </c>
      <c r="F99" s="160">
        <v>2.0</v>
      </c>
      <c r="G99" s="160" t="s">
        <v>131</v>
      </c>
      <c r="H99" s="160" t="s">
        <v>138</v>
      </c>
      <c r="I99" s="160">
        <v>6.0</v>
      </c>
      <c r="J99" s="160">
        <v>64.0</v>
      </c>
      <c r="K99" s="98">
        <v>6.53</v>
      </c>
      <c r="L99" s="111" t="s">
        <v>139</v>
      </c>
      <c r="M99" s="98" t="s">
        <v>140</v>
      </c>
      <c r="N99" s="98" t="s">
        <v>141</v>
      </c>
      <c r="O99" s="98">
        <v>10239.0</v>
      </c>
      <c r="P99" s="98">
        <v>19999.0</v>
      </c>
      <c r="Q99" s="160"/>
      <c r="R99" s="51">
        <v>0.0</v>
      </c>
      <c r="S99" s="160"/>
      <c r="T99" s="98" t="s">
        <v>89</v>
      </c>
      <c r="U99" s="52"/>
      <c r="V99" s="52"/>
      <c r="W99" s="52"/>
      <c r="X99" s="52"/>
      <c r="Y99" s="52"/>
      <c r="Z99" s="52"/>
      <c r="AA99" s="52"/>
      <c r="AB99" s="53"/>
    </row>
    <row r="100" hidden="1">
      <c r="A100" s="112" t="s">
        <v>434</v>
      </c>
      <c r="B100" s="113" t="s">
        <v>435</v>
      </c>
      <c r="C100" s="93">
        <v>1.0</v>
      </c>
      <c r="D100" s="93">
        <v>9.82474126E8</v>
      </c>
      <c r="E100" s="93" t="s">
        <v>436</v>
      </c>
      <c r="F100" s="93">
        <v>2.0</v>
      </c>
      <c r="G100" s="93" t="s">
        <v>131</v>
      </c>
      <c r="H100" s="93" t="s">
        <v>437</v>
      </c>
      <c r="I100" s="93">
        <v>6.0</v>
      </c>
      <c r="J100" s="93">
        <v>128.0</v>
      </c>
      <c r="K100" s="58">
        <v>6.39</v>
      </c>
      <c r="L100" s="96" t="s">
        <v>438</v>
      </c>
      <c r="M100" s="57" t="s">
        <v>439</v>
      </c>
      <c r="N100" s="57" t="s">
        <v>440</v>
      </c>
      <c r="O100" s="57">
        <v>11399.0</v>
      </c>
      <c r="P100" s="57">
        <v>22999.0</v>
      </c>
      <c r="Q100" s="52"/>
      <c r="R100" s="51">
        <v>0.0</v>
      </c>
      <c r="S100" s="52"/>
      <c r="T100" s="57" t="s">
        <v>89</v>
      </c>
      <c r="U100" s="52"/>
      <c r="V100" s="52"/>
      <c r="W100" s="52"/>
      <c r="X100" s="52"/>
      <c r="Y100" s="52"/>
      <c r="Z100" s="52"/>
      <c r="AA100" s="52"/>
      <c r="AB100" s="53"/>
    </row>
    <row r="101" hidden="1">
      <c r="A101" s="71" t="s">
        <v>441</v>
      </c>
      <c r="B101" s="109" t="s">
        <v>442</v>
      </c>
      <c r="C101" s="91">
        <v>1.0</v>
      </c>
      <c r="D101" s="93">
        <v>2.676898861E9</v>
      </c>
      <c r="E101" s="58" t="s">
        <v>443</v>
      </c>
      <c r="F101" s="91">
        <v>1.0</v>
      </c>
      <c r="G101" s="91" t="s">
        <v>131</v>
      </c>
      <c r="H101" s="91" t="s">
        <v>444</v>
      </c>
      <c r="I101" s="93">
        <v>4.0</v>
      </c>
      <c r="J101" s="93">
        <v>64.0</v>
      </c>
      <c r="K101" s="58">
        <v>5.99</v>
      </c>
      <c r="L101" s="111" t="s">
        <v>445</v>
      </c>
      <c r="M101" s="107" t="s">
        <v>446</v>
      </c>
      <c r="N101" s="57" t="s">
        <v>447</v>
      </c>
      <c r="O101" s="57">
        <v>7149.0</v>
      </c>
      <c r="P101" s="57">
        <v>11999.0</v>
      </c>
      <c r="Q101" s="52"/>
      <c r="R101" s="51">
        <v>0.0</v>
      </c>
      <c r="S101" s="52"/>
      <c r="T101" s="52"/>
      <c r="U101" s="52"/>
      <c r="V101" s="52"/>
      <c r="W101" s="52"/>
      <c r="X101" s="52"/>
      <c r="Y101" s="52"/>
      <c r="Z101" s="52"/>
      <c r="AA101" s="52"/>
      <c r="AB101" s="53"/>
    </row>
    <row r="102" hidden="1">
      <c r="A102" s="112" t="s">
        <v>40</v>
      </c>
      <c r="B102" s="113" t="s">
        <v>448</v>
      </c>
      <c r="C102" s="93">
        <v>1.0</v>
      </c>
      <c r="D102" s="93">
        <v>9.8627426478E10</v>
      </c>
      <c r="E102" s="110" t="s">
        <v>449</v>
      </c>
      <c r="F102" s="93">
        <v>1.0</v>
      </c>
      <c r="G102" s="93" t="s">
        <v>131</v>
      </c>
      <c r="H102" s="93" t="s">
        <v>145</v>
      </c>
      <c r="I102" s="93">
        <v>4.0</v>
      </c>
      <c r="J102" s="93">
        <v>32.0</v>
      </c>
      <c r="K102" s="58">
        <v>6.3</v>
      </c>
      <c r="L102" s="96" t="s">
        <v>146</v>
      </c>
      <c r="M102" s="57" t="s">
        <v>147</v>
      </c>
      <c r="N102" s="57" t="s">
        <v>450</v>
      </c>
      <c r="O102" s="57">
        <v>6789.0</v>
      </c>
      <c r="P102" s="57">
        <v>12899.0</v>
      </c>
      <c r="Q102" s="52"/>
      <c r="R102" s="51">
        <v>0.0</v>
      </c>
      <c r="S102" s="52"/>
      <c r="T102" s="57" t="s">
        <v>89</v>
      </c>
      <c r="U102" s="52"/>
      <c r="V102" s="52"/>
      <c r="W102" s="52"/>
      <c r="X102" s="52"/>
      <c r="Y102" s="52"/>
      <c r="Z102" s="52"/>
      <c r="AA102" s="52"/>
      <c r="AB102" s="53"/>
    </row>
    <row r="103" hidden="1">
      <c r="A103" s="112" t="s">
        <v>451</v>
      </c>
      <c r="B103" s="113" t="s">
        <v>452</v>
      </c>
      <c r="C103" s="93">
        <v>1.0</v>
      </c>
      <c r="D103" s="93" t="s">
        <v>453</v>
      </c>
      <c r="E103" s="110" t="s">
        <v>454</v>
      </c>
      <c r="F103" s="93">
        <v>1.0</v>
      </c>
      <c r="G103" s="93" t="s">
        <v>131</v>
      </c>
      <c r="H103" s="93" t="s">
        <v>455</v>
      </c>
      <c r="I103" s="93">
        <v>3.0</v>
      </c>
      <c r="J103" s="93">
        <v>64.0</v>
      </c>
      <c r="K103" s="57">
        <v>6.35</v>
      </c>
      <c r="L103" s="96" t="s">
        <v>456</v>
      </c>
      <c r="M103" s="57" t="s">
        <v>457</v>
      </c>
      <c r="N103" s="57" t="s">
        <v>458</v>
      </c>
      <c r="O103" s="57">
        <v>8299.0</v>
      </c>
      <c r="P103" s="57">
        <v>15999.0</v>
      </c>
      <c r="Q103" s="52"/>
      <c r="R103" s="51">
        <v>0.0</v>
      </c>
      <c r="S103" s="52"/>
      <c r="T103" s="57" t="s">
        <v>89</v>
      </c>
      <c r="U103" s="52"/>
      <c r="V103" s="52"/>
      <c r="W103" s="52"/>
      <c r="X103" s="52"/>
      <c r="Y103" s="52"/>
      <c r="Z103" s="52"/>
      <c r="AA103" s="52"/>
      <c r="AB103" s="53"/>
    </row>
    <row r="104" hidden="1">
      <c r="A104" s="112" t="s">
        <v>459</v>
      </c>
      <c r="B104" s="113" t="s">
        <v>460</v>
      </c>
      <c r="C104" s="93">
        <v>1.0</v>
      </c>
      <c r="D104" s="93" t="s">
        <v>461</v>
      </c>
      <c r="E104" s="110" t="s">
        <v>462</v>
      </c>
      <c r="F104" s="93">
        <v>1.0</v>
      </c>
      <c r="G104" s="93" t="s">
        <v>131</v>
      </c>
      <c r="H104" s="93" t="s">
        <v>463</v>
      </c>
      <c r="I104" s="93">
        <v>4.0</v>
      </c>
      <c r="J104" s="93">
        <v>64.0</v>
      </c>
      <c r="K104" s="57">
        <v>4.5</v>
      </c>
      <c r="L104" s="96" t="s">
        <v>464</v>
      </c>
      <c r="M104" s="57" t="s">
        <v>465</v>
      </c>
      <c r="N104" s="57" t="s">
        <v>466</v>
      </c>
      <c r="O104" s="57">
        <v>9169.0</v>
      </c>
      <c r="P104" s="57">
        <v>19169.0</v>
      </c>
      <c r="Q104" s="52"/>
      <c r="R104" s="51">
        <v>0.0</v>
      </c>
      <c r="S104" s="52"/>
      <c r="T104" s="57" t="s">
        <v>89</v>
      </c>
      <c r="U104" s="52"/>
      <c r="V104" s="52"/>
      <c r="W104" s="52"/>
      <c r="X104" s="52"/>
      <c r="Y104" s="52"/>
      <c r="Z104" s="52"/>
      <c r="AA104" s="52"/>
      <c r="AB104" s="53"/>
    </row>
    <row r="105" hidden="1">
      <c r="A105" s="52" t="s">
        <v>467</v>
      </c>
      <c r="B105" s="48" t="s">
        <v>468</v>
      </c>
      <c r="C105" s="48">
        <v>1.0</v>
      </c>
      <c r="D105" s="123">
        <v>8.91E8</v>
      </c>
      <c r="E105" s="48" t="s">
        <v>469</v>
      </c>
      <c r="F105" s="48">
        <v>1.0</v>
      </c>
      <c r="G105" s="48" t="s">
        <v>383</v>
      </c>
      <c r="H105" s="48" t="s">
        <v>470</v>
      </c>
      <c r="I105" s="48">
        <v>4.0</v>
      </c>
      <c r="J105" s="48">
        <v>64.0</v>
      </c>
      <c r="K105" s="119">
        <v>5.5</v>
      </c>
      <c r="L105" s="165" t="s">
        <v>471</v>
      </c>
      <c r="M105" s="111" t="s">
        <v>472</v>
      </c>
      <c r="N105" s="82" t="str">
        <f t="shared" ref="N105:N108" si="10">CONCAT(B105,".png")</f>
        <v>FT09_Mi_A1_4_64_1_BLACK.png</v>
      </c>
      <c r="O105" s="48">
        <v>0.0</v>
      </c>
      <c r="P105" s="48">
        <v>39000.0</v>
      </c>
      <c r="Q105" s="48">
        <v>10.0</v>
      </c>
      <c r="R105" s="51">
        <v>0.0</v>
      </c>
      <c r="S105" s="82"/>
      <c r="T105" s="52"/>
      <c r="U105" s="52"/>
      <c r="V105" s="52"/>
      <c r="W105" s="52"/>
      <c r="X105" s="52"/>
      <c r="Y105" s="52"/>
      <c r="Z105" s="52"/>
      <c r="AA105" s="52"/>
      <c r="AB105" s="53"/>
    </row>
    <row r="106" hidden="1">
      <c r="A106" s="52" t="s">
        <v>467</v>
      </c>
      <c r="B106" s="48" t="s">
        <v>473</v>
      </c>
      <c r="C106" s="48">
        <v>1.0</v>
      </c>
      <c r="D106" s="48">
        <v>8.525842E7</v>
      </c>
      <c r="E106" s="48" t="s">
        <v>474</v>
      </c>
      <c r="F106" s="48">
        <v>1.0</v>
      </c>
      <c r="G106" s="48" t="s">
        <v>383</v>
      </c>
      <c r="H106" s="48" t="s">
        <v>470</v>
      </c>
      <c r="I106" s="48">
        <v>4.0</v>
      </c>
      <c r="J106" s="48">
        <v>64.0</v>
      </c>
      <c r="K106" s="119">
        <v>5.5</v>
      </c>
      <c r="L106" s="165" t="s">
        <v>471</v>
      </c>
      <c r="M106" s="111" t="s">
        <v>472</v>
      </c>
      <c r="N106" s="82" t="str">
        <f t="shared" si="10"/>
        <v>FT09_Mi_A1_4_64_1_GOLD.png</v>
      </c>
      <c r="O106" s="48">
        <v>0.0</v>
      </c>
      <c r="P106" s="48">
        <v>39000.0</v>
      </c>
      <c r="Q106" s="48">
        <v>10.0</v>
      </c>
      <c r="R106" s="51">
        <v>0.0</v>
      </c>
      <c r="S106" s="82"/>
      <c r="T106" s="52"/>
      <c r="U106" s="52"/>
      <c r="V106" s="52"/>
      <c r="W106" s="52"/>
      <c r="X106" s="52"/>
      <c r="Y106" s="52"/>
      <c r="Z106" s="52"/>
      <c r="AA106" s="52"/>
      <c r="AB106" s="53"/>
    </row>
    <row r="107" hidden="1">
      <c r="A107" s="52" t="s">
        <v>467</v>
      </c>
      <c r="B107" s="48" t="s">
        <v>475</v>
      </c>
      <c r="C107" s="48">
        <v>1.0</v>
      </c>
      <c r="D107" s="48">
        <v>932521.0</v>
      </c>
      <c r="E107" s="48" t="s">
        <v>469</v>
      </c>
      <c r="F107" s="48">
        <v>2.0</v>
      </c>
      <c r="G107" s="48" t="s">
        <v>383</v>
      </c>
      <c r="H107" s="48" t="s">
        <v>470</v>
      </c>
      <c r="I107" s="48">
        <v>4.0</v>
      </c>
      <c r="J107" s="48">
        <v>64.0</v>
      </c>
      <c r="K107" s="119">
        <v>5.5</v>
      </c>
      <c r="L107" s="165" t="s">
        <v>471</v>
      </c>
      <c r="M107" s="111" t="s">
        <v>472</v>
      </c>
      <c r="N107" s="82" t="str">
        <f t="shared" si="10"/>
        <v>FT09_Mi_A1_4_64_2_BLACK.png</v>
      </c>
      <c r="O107" s="48">
        <v>5689.0</v>
      </c>
      <c r="P107" s="48">
        <v>14000.0</v>
      </c>
      <c r="Q107" s="48">
        <v>10.0</v>
      </c>
      <c r="R107" s="51">
        <v>0.0</v>
      </c>
      <c r="S107" s="48">
        <v>0.0</v>
      </c>
      <c r="T107" s="52"/>
      <c r="U107" s="98"/>
      <c r="V107" s="98"/>
      <c r="W107" s="98"/>
      <c r="X107" s="98"/>
      <c r="Y107" s="98"/>
      <c r="Z107" s="98"/>
      <c r="AA107" s="98"/>
      <c r="AB107" s="80"/>
    </row>
    <row r="108" hidden="1">
      <c r="A108" s="159" t="s">
        <v>476</v>
      </c>
      <c r="B108" s="48" t="s">
        <v>477</v>
      </c>
      <c r="C108" s="48">
        <v>1.0</v>
      </c>
      <c r="D108" s="48">
        <v>5.2852098E7</v>
      </c>
      <c r="E108" s="48" t="s">
        <v>478</v>
      </c>
      <c r="F108" s="48">
        <v>1.0</v>
      </c>
      <c r="G108" s="48" t="s">
        <v>383</v>
      </c>
      <c r="H108" s="48" t="s">
        <v>479</v>
      </c>
      <c r="I108" s="48">
        <v>4.0</v>
      </c>
      <c r="J108" s="48">
        <v>64.0</v>
      </c>
      <c r="K108" s="48">
        <v>5.99</v>
      </c>
      <c r="L108" s="96" t="s">
        <v>480</v>
      </c>
      <c r="M108" s="107" t="s">
        <v>481</v>
      </c>
      <c r="N108" s="82" t="str">
        <f t="shared" si="10"/>
        <v>FT09_Mi_A2_6_64_1_BLACK.png</v>
      </c>
      <c r="O108" s="48">
        <v>6129.0</v>
      </c>
      <c r="P108" s="48">
        <v>39000.0</v>
      </c>
      <c r="Q108" s="48">
        <v>10.0</v>
      </c>
      <c r="R108" s="51">
        <v>0.0</v>
      </c>
      <c r="S108" s="48">
        <v>0.0</v>
      </c>
      <c r="T108" s="52"/>
      <c r="U108" s="52"/>
      <c r="V108" s="52"/>
      <c r="W108" s="52"/>
      <c r="X108" s="52"/>
      <c r="Y108" s="52"/>
      <c r="Z108" s="52"/>
      <c r="AA108" s="52"/>
      <c r="AB108" s="53"/>
    </row>
    <row r="109" hidden="1">
      <c r="A109" s="112" t="s">
        <v>482</v>
      </c>
      <c r="B109" s="113" t="s">
        <v>483</v>
      </c>
      <c r="C109" s="93">
        <v>1.0</v>
      </c>
      <c r="D109" s="93" t="s">
        <v>484</v>
      </c>
      <c r="E109" s="110" t="s">
        <v>485</v>
      </c>
      <c r="F109" s="93">
        <v>1.0</v>
      </c>
      <c r="G109" s="93" t="s">
        <v>383</v>
      </c>
      <c r="H109" s="93" t="s">
        <v>486</v>
      </c>
      <c r="I109" s="93">
        <v>4.0</v>
      </c>
      <c r="J109" s="93">
        <v>64.0</v>
      </c>
      <c r="K109" s="57">
        <v>6.8</v>
      </c>
      <c r="L109" s="96" t="s">
        <v>487</v>
      </c>
      <c r="M109" s="57" t="s">
        <v>488</v>
      </c>
      <c r="N109" s="57" t="s">
        <v>489</v>
      </c>
      <c r="O109" s="57">
        <v>9069.0</v>
      </c>
      <c r="P109" s="57">
        <v>18999.0</v>
      </c>
      <c r="Q109" s="52"/>
      <c r="R109" s="51">
        <v>0.0</v>
      </c>
      <c r="S109" s="52"/>
      <c r="T109" s="57" t="s">
        <v>89</v>
      </c>
      <c r="U109" s="52"/>
      <c r="V109" s="52"/>
      <c r="W109" s="52"/>
      <c r="X109" s="52"/>
      <c r="Y109" s="52"/>
      <c r="Z109" s="52"/>
      <c r="AA109" s="52"/>
      <c r="AB109" s="53"/>
    </row>
    <row r="110">
      <c r="A110" s="4" t="s">
        <v>490</v>
      </c>
      <c r="B110" s="113" t="s">
        <v>491</v>
      </c>
      <c r="C110" s="93">
        <v>1.0</v>
      </c>
      <c r="D110" s="93" t="s">
        <v>484</v>
      </c>
      <c r="E110" s="110" t="s">
        <v>492</v>
      </c>
      <c r="F110" s="93">
        <v>2.0</v>
      </c>
      <c r="G110" s="93" t="s">
        <v>383</v>
      </c>
      <c r="H110" s="93" t="s">
        <v>486</v>
      </c>
      <c r="I110" s="93">
        <v>6.0</v>
      </c>
      <c r="J110" s="93">
        <v>128.0</v>
      </c>
      <c r="K110" s="57">
        <v>6.8</v>
      </c>
      <c r="L110" s="96" t="s">
        <v>493</v>
      </c>
      <c r="M110" s="57" t="s">
        <v>488</v>
      </c>
      <c r="N110" s="30" t="s">
        <v>494</v>
      </c>
      <c r="O110" s="57">
        <v>9969.0</v>
      </c>
      <c r="P110" s="57">
        <v>18999.0</v>
      </c>
      <c r="Q110" s="52"/>
      <c r="R110" s="51">
        <v>2.0</v>
      </c>
      <c r="S110" s="52"/>
      <c r="T110" s="57" t="s">
        <v>89</v>
      </c>
      <c r="U110" s="52"/>
      <c r="V110" s="52"/>
      <c r="W110" s="52"/>
      <c r="X110" s="52"/>
      <c r="Y110" s="52"/>
      <c r="Z110" s="52"/>
      <c r="AA110" s="52"/>
      <c r="AB110" s="53"/>
    </row>
    <row r="111" hidden="1">
      <c r="A111" s="52" t="s">
        <v>495</v>
      </c>
      <c r="B111" s="48" t="s">
        <v>496</v>
      </c>
      <c r="C111" s="48">
        <v>1.0</v>
      </c>
      <c r="D111" s="123">
        <v>8.06E8</v>
      </c>
      <c r="E111" s="48" t="s">
        <v>497</v>
      </c>
      <c r="F111" s="48">
        <v>1.0</v>
      </c>
      <c r="G111" s="48" t="s">
        <v>383</v>
      </c>
      <c r="H111" s="48" t="s">
        <v>498</v>
      </c>
      <c r="I111" s="48">
        <v>2.0</v>
      </c>
      <c r="J111" s="48">
        <v>16.0</v>
      </c>
      <c r="K111" s="82"/>
      <c r="L111" s="48" t="s">
        <v>499</v>
      </c>
      <c r="M111" s="82"/>
      <c r="N111" s="82" t="str">
        <f t="shared" ref="N111:N112" si="11">CONCAT(B111,".png")</f>
        <v>FT09_Redmi_4_2_16_1_BLACK.png</v>
      </c>
      <c r="O111" s="48">
        <v>3599.0</v>
      </c>
      <c r="P111" s="48">
        <v>5999.0</v>
      </c>
      <c r="Q111" s="48">
        <v>10.0</v>
      </c>
      <c r="R111" s="51">
        <v>0.0</v>
      </c>
      <c r="S111" s="82"/>
      <c r="T111" s="52"/>
      <c r="U111" s="52"/>
      <c r="V111" s="52"/>
      <c r="W111" s="52"/>
      <c r="X111" s="52"/>
      <c r="Y111" s="52"/>
      <c r="Z111" s="52"/>
      <c r="AA111" s="52"/>
      <c r="AB111" s="53"/>
    </row>
    <row r="112" hidden="1">
      <c r="A112" s="52" t="s">
        <v>495</v>
      </c>
      <c r="B112" s="48" t="s">
        <v>500</v>
      </c>
      <c r="C112" s="48">
        <v>1.0</v>
      </c>
      <c r="D112" s="123">
        <v>9.81E9</v>
      </c>
      <c r="E112" s="48" t="s">
        <v>501</v>
      </c>
      <c r="F112" s="48">
        <v>1.0</v>
      </c>
      <c r="G112" s="48" t="s">
        <v>383</v>
      </c>
      <c r="H112" s="48" t="s">
        <v>498</v>
      </c>
      <c r="I112" s="48">
        <v>2.0</v>
      </c>
      <c r="J112" s="48">
        <v>16.0</v>
      </c>
      <c r="K112" s="82"/>
      <c r="L112" s="82"/>
      <c r="M112" s="82"/>
      <c r="N112" s="82" t="str">
        <f t="shared" si="11"/>
        <v>FT09_Redmi_4_2_16_1_GOLD.png</v>
      </c>
      <c r="O112" s="48">
        <v>3599.0</v>
      </c>
      <c r="P112" s="48">
        <v>5999.0</v>
      </c>
      <c r="Q112" s="48">
        <v>10.0</v>
      </c>
      <c r="R112" s="51">
        <v>0.0</v>
      </c>
      <c r="S112" s="82"/>
      <c r="T112" s="52"/>
      <c r="U112" s="52"/>
      <c r="V112" s="52"/>
      <c r="W112" s="52"/>
      <c r="X112" s="52"/>
      <c r="Y112" s="52"/>
      <c r="Z112" s="52"/>
      <c r="AA112" s="52"/>
      <c r="AB112" s="53"/>
    </row>
    <row r="113" hidden="1">
      <c r="A113" s="52" t="s">
        <v>495</v>
      </c>
      <c r="B113" s="48" t="s">
        <v>502</v>
      </c>
      <c r="C113" s="48">
        <v>1.0</v>
      </c>
      <c r="D113" s="48">
        <v>8.9781944E7</v>
      </c>
      <c r="E113" s="48" t="s">
        <v>497</v>
      </c>
      <c r="F113" s="48">
        <v>2.0</v>
      </c>
      <c r="G113" s="48" t="s">
        <v>383</v>
      </c>
      <c r="H113" s="48" t="s">
        <v>498</v>
      </c>
      <c r="I113" s="48">
        <v>2.0</v>
      </c>
      <c r="J113" s="48">
        <v>16.0</v>
      </c>
      <c r="K113" s="48">
        <v>5.5</v>
      </c>
      <c r="L113" s="24" t="s">
        <v>499</v>
      </c>
      <c r="M113" s="166" t="s">
        <v>503</v>
      </c>
      <c r="N113" s="48" t="s">
        <v>504</v>
      </c>
      <c r="O113" s="118">
        <v>3959.0</v>
      </c>
      <c r="P113" s="119">
        <v>5999.0</v>
      </c>
      <c r="Q113" s="48">
        <v>10.0</v>
      </c>
      <c r="R113" s="51">
        <v>0.0</v>
      </c>
      <c r="S113" s="82"/>
      <c r="T113" s="52"/>
      <c r="U113" s="71"/>
      <c r="V113" s="71"/>
      <c r="W113" s="71"/>
      <c r="X113" s="71"/>
      <c r="Y113" s="52"/>
      <c r="Z113" s="52"/>
      <c r="AA113" s="52"/>
      <c r="AB113" s="53"/>
    </row>
    <row r="114" hidden="1">
      <c r="A114" s="53" t="s">
        <v>495</v>
      </c>
      <c r="B114" s="130" t="s">
        <v>505</v>
      </c>
      <c r="C114" s="130">
        <v>1.0</v>
      </c>
      <c r="D114" s="130">
        <v>1231684.0</v>
      </c>
      <c r="E114" s="130" t="s">
        <v>506</v>
      </c>
      <c r="F114" s="130">
        <v>2.0</v>
      </c>
      <c r="G114" s="130" t="s">
        <v>383</v>
      </c>
      <c r="H114" s="130" t="s">
        <v>498</v>
      </c>
      <c r="I114" s="130">
        <v>2.0</v>
      </c>
      <c r="J114" s="130">
        <v>16.0</v>
      </c>
      <c r="K114" s="167"/>
      <c r="L114" s="167"/>
      <c r="M114" s="82"/>
      <c r="N114" s="82" t="str">
        <f>CONCAT(B114,".png")</f>
        <v>FT09_Redmi_4_2_16_2_ROSEGOLD.png</v>
      </c>
      <c r="O114" s="118">
        <v>3299.0</v>
      </c>
      <c r="P114" s="119">
        <v>5999.0</v>
      </c>
      <c r="Q114" s="48">
        <v>10.0</v>
      </c>
      <c r="R114" s="51">
        <v>0.0</v>
      </c>
      <c r="S114" s="82"/>
      <c r="T114" s="52"/>
      <c r="U114" s="71"/>
      <c r="V114" s="71"/>
      <c r="W114" s="71"/>
      <c r="X114" s="168"/>
      <c r="Y114" s="52"/>
      <c r="Z114" s="52"/>
      <c r="AA114" s="52"/>
      <c r="AB114" s="53"/>
    </row>
    <row r="115" hidden="1">
      <c r="A115" s="169" t="s">
        <v>507</v>
      </c>
      <c r="B115" s="170" t="s">
        <v>508</v>
      </c>
      <c r="C115" s="74">
        <v>1.0</v>
      </c>
      <c r="D115" s="74" t="s">
        <v>509</v>
      </c>
      <c r="E115" s="171" t="s">
        <v>497</v>
      </c>
      <c r="F115" s="74">
        <v>2.0</v>
      </c>
      <c r="G115" s="74" t="s">
        <v>383</v>
      </c>
      <c r="H115" s="74" t="s">
        <v>498</v>
      </c>
      <c r="I115" s="74">
        <v>3.0</v>
      </c>
      <c r="J115" s="74">
        <v>32.0</v>
      </c>
      <c r="K115" s="77">
        <v>5.0</v>
      </c>
      <c r="L115" s="172" t="s">
        <v>510</v>
      </c>
      <c r="M115" s="77" t="s">
        <v>503</v>
      </c>
      <c r="N115" s="77" t="s">
        <v>511</v>
      </c>
      <c r="O115" s="77">
        <v>3599.0</v>
      </c>
      <c r="P115" s="77">
        <v>5999.0</v>
      </c>
      <c r="Q115" s="78"/>
      <c r="R115" s="51">
        <v>0.0</v>
      </c>
      <c r="S115" s="78"/>
      <c r="T115" s="77" t="s">
        <v>89</v>
      </c>
      <c r="U115" s="173"/>
      <c r="V115" s="52"/>
      <c r="W115" s="52"/>
      <c r="X115" s="52"/>
      <c r="Y115" s="52"/>
      <c r="Z115" s="52"/>
      <c r="AA115" s="52"/>
      <c r="AB115" s="53"/>
    </row>
    <row r="116" hidden="1">
      <c r="A116" s="53" t="s">
        <v>512</v>
      </c>
      <c r="B116" s="48" t="s">
        <v>513</v>
      </c>
      <c r="C116" s="48">
        <v>1.0</v>
      </c>
      <c r="D116" s="48">
        <v>5.9853258E7</v>
      </c>
      <c r="E116" s="48" t="s">
        <v>514</v>
      </c>
      <c r="F116" s="48">
        <v>1.0</v>
      </c>
      <c r="G116" s="48" t="s">
        <v>383</v>
      </c>
      <c r="H116" s="48" t="s">
        <v>515</v>
      </c>
      <c r="I116" s="48">
        <v>2.0</v>
      </c>
      <c r="J116" s="48">
        <v>16.0</v>
      </c>
      <c r="K116" s="82"/>
      <c r="L116" s="48" t="s">
        <v>516</v>
      </c>
      <c r="M116" s="82"/>
      <c r="N116" s="82" t="str">
        <f>CONCAT(B116,".png")</f>
        <v>FT09_Redmi_5_2_16_1_BLACK.png</v>
      </c>
      <c r="O116" s="48">
        <v>0.0</v>
      </c>
      <c r="P116" s="48">
        <v>39000.0</v>
      </c>
      <c r="Q116" s="48">
        <v>10.0</v>
      </c>
      <c r="R116" s="51">
        <v>0.0</v>
      </c>
      <c r="S116" s="82"/>
      <c r="T116" s="52"/>
      <c r="U116" s="52"/>
      <c r="V116" s="52"/>
      <c r="W116" s="52"/>
      <c r="X116" s="52"/>
      <c r="Y116" s="52"/>
      <c r="Z116" s="52"/>
      <c r="AA116" s="52"/>
      <c r="AB116" s="53"/>
    </row>
    <row r="117" hidden="1">
      <c r="A117" s="93" t="s">
        <v>517</v>
      </c>
      <c r="B117" s="93"/>
      <c r="C117" s="93">
        <v>1.0</v>
      </c>
      <c r="D117" s="93">
        <v>7.689542371E9</v>
      </c>
      <c r="E117" s="93" t="s">
        <v>518</v>
      </c>
      <c r="F117" s="93">
        <v>1.0</v>
      </c>
      <c r="G117" s="174"/>
      <c r="H117" s="174"/>
      <c r="I117" s="175">
        <v>3.0</v>
      </c>
      <c r="J117" s="105">
        <v>64.0</v>
      </c>
      <c r="K117" s="105">
        <v>5.45</v>
      </c>
      <c r="L117" s="57" t="s">
        <v>519</v>
      </c>
      <c r="M117" s="57" t="s">
        <v>520</v>
      </c>
      <c r="N117" s="52"/>
      <c r="O117" s="52"/>
      <c r="P117" s="52"/>
      <c r="Q117" s="57">
        <v>10.0</v>
      </c>
      <c r="R117" s="51">
        <v>0.0</v>
      </c>
      <c r="S117" s="57">
        <v>0.0</v>
      </c>
      <c r="T117" s="52"/>
      <c r="U117" s="112"/>
      <c r="V117" s="112"/>
      <c r="W117" s="112"/>
      <c r="X117" s="52"/>
      <c r="Y117" s="52"/>
      <c r="Z117" s="52"/>
      <c r="AA117" s="52"/>
      <c r="AB117" s="53"/>
    </row>
    <row r="118" hidden="1">
      <c r="A118" s="57" t="s">
        <v>521</v>
      </c>
      <c r="B118" s="57" t="s">
        <v>522</v>
      </c>
      <c r="C118" s="57">
        <v>1.0</v>
      </c>
      <c r="D118" s="57">
        <v>9.876543211E9</v>
      </c>
      <c r="E118" s="57" t="s">
        <v>523</v>
      </c>
      <c r="F118" s="57">
        <v>1.0</v>
      </c>
      <c r="G118" s="57" t="s">
        <v>383</v>
      </c>
      <c r="H118" s="57" t="s">
        <v>524</v>
      </c>
      <c r="I118" s="57">
        <v>3.0</v>
      </c>
      <c r="J118" s="57">
        <v>32.0</v>
      </c>
      <c r="K118" s="57">
        <v>5.48</v>
      </c>
      <c r="L118" s="57" t="s">
        <v>525</v>
      </c>
      <c r="M118" s="57" t="s">
        <v>526</v>
      </c>
      <c r="N118" s="57" t="s">
        <v>527</v>
      </c>
      <c r="O118" s="57">
        <v>5599.0</v>
      </c>
      <c r="P118" s="57">
        <v>7999.0</v>
      </c>
      <c r="Q118" s="57">
        <v>10.0</v>
      </c>
      <c r="R118" s="51">
        <v>0.0</v>
      </c>
      <c r="S118" s="57">
        <v>0.0</v>
      </c>
      <c r="T118" s="52"/>
      <c r="U118" s="52"/>
      <c r="V118" s="52"/>
      <c r="W118" s="52"/>
      <c r="X118" s="52"/>
      <c r="Y118" s="52"/>
      <c r="Z118" s="52"/>
      <c r="AA118" s="52"/>
      <c r="AB118" s="53"/>
    </row>
    <row r="119" hidden="1">
      <c r="A119" s="174" t="s">
        <v>528</v>
      </c>
      <c r="B119" s="113" t="s">
        <v>529</v>
      </c>
      <c r="C119" s="93">
        <v>1.0</v>
      </c>
      <c r="D119" s="93" t="s">
        <v>530</v>
      </c>
      <c r="E119" s="176" t="s">
        <v>531</v>
      </c>
      <c r="F119" s="93">
        <v>1.0</v>
      </c>
      <c r="G119" s="93" t="s">
        <v>383</v>
      </c>
      <c r="H119" s="93" t="s">
        <v>524</v>
      </c>
      <c r="I119" s="175">
        <v>4.0</v>
      </c>
      <c r="J119" s="175">
        <v>64.0</v>
      </c>
      <c r="K119" s="105">
        <v>5.84</v>
      </c>
      <c r="L119" s="96" t="s">
        <v>532</v>
      </c>
      <c r="M119" s="57" t="s">
        <v>533</v>
      </c>
      <c r="N119" s="105" t="s">
        <v>534</v>
      </c>
      <c r="O119" s="57">
        <v>6249.0</v>
      </c>
      <c r="P119" s="57">
        <v>14999.0</v>
      </c>
      <c r="Q119" s="52"/>
      <c r="R119" s="51">
        <v>0.0</v>
      </c>
      <c r="S119" s="52"/>
      <c r="T119" s="57" t="s">
        <v>89</v>
      </c>
      <c r="U119" s="52"/>
      <c r="V119" s="52"/>
      <c r="W119" s="52"/>
      <c r="X119" s="52"/>
      <c r="Y119" s="52"/>
      <c r="Z119" s="52"/>
      <c r="AA119" s="52"/>
      <c r="AB119" s="53"/>
    </row>
    <row r="120" hidden="1">
      <c r="A120" s="177" t="s">
        <v>535</v>
      </c>
      <c r="B120" s="52"/>
      <c r="C120" s="57">
        <v>1.0</v>
      </c>
      <c r="D120" s="57">
        <v>9.807060504E9</v>
      </c>
      <c r="E120" s="57" t="s">
        <v>523</v>
      </c>
      <c r="F120" s="57">
        <v>1.0</v>
      </c>
      <c r="G120" s="52"/>
      <c r="H120" s="52"/>
      <c r="I120" s="57">
        <v>4.0</v>
      </c>
      <c r="J120" s="57">
        <v>64.0</v>
      </c>
      <c r="K120" s="57">
        <v>5.48</v>
      </c>
      <c r="L120" s="57" t="s">
        <v>536</v>
      </c>
      <c r="M120" s="57" t="s">
        <v>526</v>
      </c>
      <c r="N120" s="53"/>
      <c r="O120" s="52"/>
      <c r="P120" s="52"/>
      <c r="Q120" s="57">
        <v>10.0</v>
      </c>
      <c r="R120" s="51">
        <v>0.0</v>
      </c>
      <c r="S120" s="57">
        <v>0.0</v>
      </c>
      <c r="T120" s="52"/>
      <c r="U120" s="52"/>
      <c r="V120" s="52"/>
      <c r="W120" s="52"/>
      <c r="X120" s="52"/>
      <c r="Y120" s="52"/>
      <c r="Z120" s="52"/>
      <c r="AA120" s="52"/>
      <c r="AB120" s="53"/>
    </row>
    <row r="121" hidden="1">
      <c r="A121" s="57" t="s">
        <v>537</v>
      </c>
      <c r="B121" s="52"/>
      <c r="C121" s="57">
        <v>1.0</v>
      </c>
      <c r="D121" s="48">
        <v>1.234516711E9</v>
      </c>
      <c r="E121" s="178" t="s">
        <v>538</v>
      </c>
      <c r="F121" s="57">
        <v>1.0</v>
      </c>
      <c r="G121" s="52"/>
      <c r="H121" s="52"/>
      <c r="I121" s="57">
        <v>2.0</v>
      </c>
      <c r="J121" s="57">
        <v>16.0</v>
      </c>
      <c r="K121" s="179">
        <v>5.45</v>
      </c>
      <c r="L121" s="57" t="s">
        <v>539</v>
      </c>
      <c r="M121" s="57" t="s">
        <v>540</v>
      </c>
      <c r="N121" s="53"/>
      <c r="O121" s="52"/>
      <c r="P121" s="52"/>
      <c r="Q121" s="57">
        <v>10.0</v>
      </c>
      <c r="R121" s="51">
        <v>0.0</v>
      </c>
      <c r="S121" s="57">
        <v>0.0</v>
      </c>
      <c r="T121" s="52"/>
      <c r="U121" s="52"/>
      <c r="V121" s="52"/>
      <c r="W121" s="52"/>
      <c r="X121" s="52"/>
      <c r="Y121" s="52"/>
      <c r="Z121" s="52"/>
      <c r="AA121" s="52"/>
      <c r="AB121" s="53"/>
    </row>
    <row r="122" hidden="1">
      <c r="A122" s="53" t="s">
        <v>541</v>
      </c>
      <c r="B122" s="48" t="s">
        <v>542</v>
      </c>
      <c r="C122" s="48">
        <v>1.0</v>
      </c>
      <c r="D122" s="123" t="s">
        <v>543</v>
      </c>
      <c r="E122" s="48" t="s">
        <v>544</v>
      </c>
      <c r="F122" s="48">
        <v>1.0</v>
      </c>
      <c r="G122" s="48" t="s">
        <v>383</v>
      </c>
      <c r="H122" s="48" t="s">
        <v>545</v>
      </c>
      <c r="I122" s="48">
        <v>2.0</v>
      </c>
      <c r="J122" s="48">
        <v>32.0</v>
      </c>
      <c r="K122" s="48">
        <v>5.5</v>
      </c>
      <c r="L122" s="96" t="s">
        <v>546</v>
      </c>
      <c r="M122" s="49" t="s">
        <v>547</v>
      </c>
      <c r="N122" s="130" t="str">
        <f t="shared" ref="N122:N125" si="12">CONCAT(B122,".png")</f>
        <v>FT09_Redmi_Note_4_2_32_1_BLACK.png</v>
      </c>
      <c r="O122" s="48">
        <v>4259.0</v>
      </c>
      <c r="P122" s="48">
        <v>9700.0</v>
      </c>
      <c r="Q122" s="48">
        <v>20.0</v>
      </c>
      <c r="R122" s="51">
        <v>0.0</v>
      </c>
      <c r="S122" s="48">
        <v>0.0</v>
      </c>
      <c r="T122" s="57" t="s">
        <v>548</v>
      </c>
      <c r="U122" s="52"/>
      <c r="V122" s="52"/>
      <c r="W122" s="52"/>
      <c r="X122" s="52"/>
      <c r="Y122" s="52"/>
      <c r="Z122" s="52"/>
      <c r="AA122" s="52"/>
      <c r="AB122" s="53"/>
    </row>
    <row r="123" hidden="1">
      <c r="A123" s="52" t="s">
        <v>541</v>
      </c>
      <c r="B123" s="48" t="s">
        <v>549</v>
      </c>
      <c r="C123" s="48">
        <v>1.0</v>
      </c>
      <c r="D123" s="123">
        <v>5.69E8</v>
      </c>
      <c r="E123" s="48" t="s">
        <v>544</v>
      </c>
      <c r="F123" s="48">
        <v>2.0</v>
      </c>
      <c r="G123" s="48" t="s">
        <v>383</v>
      </c>
      <c r="H123" s="48" t="s">
        <v>545</v>
      </c>
      <c r="I123" s="130">
        <v>2.0</v>
      </c>
      <c r="J123" s="130">
        <v>32.0</v>
      </c>
      <c r="K123" s="130">
        <v>5.5</v>
      </c>
      <c r="L123" s="96" t="s">
        <v>546</v>
      </c>
      <c r="M123" s="49" t="s">
        <v>547</v>
      </c>
      <c r="N123" s="48" t="str">
        <f t="shared" si="12"/>
        <v>FT09_Redmi_Note_4_2_32_2_BLACK.png</v>
      </c>
      <c r="O123" s="48">
        <v>4200.0</v>
      </c>
      <c r="P123" s="48">
        <v>9700.0</v>
      </c>
      <c r="Q123" s="48">
        <v>20.0</v>
      </c>
      <c r="R123" s="51">
        <v>0.0</v>
      </c>
      <c r="S123" s="48">
        <v>0.0</v>
      </c>
      <c r="T123" s="52"/>
      <c r="U123" s="52"/>
      <c r="V123" s="52"/>
      <c r="W123" s="52"/>
      <c r="X123" s="52"/>
      <c r="Y123" s="52"/>
      <c r="Z123" s="52"/>
      <c r="AA123" s="52"/>
      <c r="AB123" s="53"/>
    </row>
    <row r="124" hidden="1">
      <c r="A124" s="52" t="s">
        <v>550</v>
      </c>
      <c r="B124" s="48" t="s">
        <v>551</v>
      </c>
      <c r="C124" s="48">
        <v>1.0</v>
      </c>
      <c r="D124" s="123">
        <v>1.53E9</v>
      </c>
      <c r="E124" s="48" t="s">
        <v>552</v>
      </c>
      <c r="F124" s="48">
        <v>2.0</v>
      </c>
      <c r="G124" s="48" t="s">
        <v>383</v>
      </c>
      <c r="H124" s="48" t="s">
        <v>545</v>
      </c>
      <c r="I124" s="130">
        <v>3.0</v>
      </c>
      <c r="J124" s="130">
        <v>32.0</v>
      </c>
      <c r="K124" s="130">
        <v>5.5</v>
      </c>
      <c r="L124" s="96" t="s">
        <v>546</v>
      </c>
      <c r="M124" s="49" t="s">
        <v>547</v>
      </c>
      <c r="N124" s="130" t="str">
        <f t="shared" si="12"/>
        <v>FT09_Redmi_Note_4_3_32_2_GREY.png</v>
      </c>
      <c r="O124" s="48">
        <v>4500.0</v>
      </c>
      <c r="P124" s="48">
        <v>10500.0</v>
      </c>
      <c r="Q124" s="48">
        <v>5.0</v>
      </c>
      <c r="R124" s="51">
        <v>0.0</v>
      </c>
      <c r="S124" s="48">
        <v>0.0</v>
      </c>
      <c r="T124" s="52"/>
      <c r="U124" s="52"/>
      <c r="V124" s="52"/>
      <c r="W124" s="52"/>
      <c r="X124" s="52"/>
      <c r="Y124" s="52"/>
      <c r="Z124" s="52"/>
      <c r="AA124" s="52"/>
      <c r="AB124" s="53"/>
    </row>
    <row r="125" hidden="1">
      <c r="A125" s="52" t="s">
        <v>553</v>
      </c>
      <c r="B125" s="48" t="s">
        <v>554</v>
      </c>
      <c r="C125" s="48">
        <v>1.0</v>
      </c>
      <c r="D125" s="123">
        <v>8.53E8</v>
      </c>
      <c r="E125" s="130" t="s">
        <v>555</v>
      </c>
      <c r="F125" s="48">
        <v>2.0</v>
      </c>
      <c r="G125" s="48" t="s">
        <v>383</v>
      </c>
      <c r="H125" s="48" t="s">
        <v>545</v>
      </c>
      <c r="I125" s="130">
        <v>4.0</v>
      </c>
      <c r="J125" s="130">
        <v>64.0</v>
      </c>
      <c r="K125" s="130">
        <v>5.5</v>
      </c>
      <c r="L125" s="96" t="s">
        <v>556</v>
      </c>
      <c r="M125" s="49" t="s">
        <v>547</v>
      </c>
      <c r="N125" s="130" t="str">
        <f t="shared" si="12"/>
        <v>FT09_Redmi_Note_4_4_64_2_GREY.png</v>
      </c>
      <c r="O125" s="48">
        <v>4700.0</v>
      </c>
      <c r="P125" s="48">
        <v>10999.0</v>
      </c>
      <c r="Q125" s="48">
        <v>5.0</v>
      </c>
      <c r="R125" s="51">
        <v>0.0</v>
      </c>
      <c r="S125" s="48">
        <v>0.0</v>
      </c>
      <c r="T125" s="52"/>
      <c r="U125" s="52"/>
      <c r="V125" s="52"/>
      <c r="W125" s="52"/>
      <c r="X125" s="52"/>
      <c r="Y125" s="52"/>
      <c r="Z125" s="52"/>
      <c r="AA125" s="52"/>
      <c r="AB125" s="53"/>
    </row>
    <row r="126">
      <c r="A126" s="4" t="s">
        <v>557</v>
      </c>
      <c r="B126" s="109" t="s">
        <v>558</v>
      </c>
      <c r="C126" s="91">
        <v>1.0</v>
      </c>
      <c r="D126" s="93">
        <v>2.676898765E9</v>
      </c>
      <c r="E126" s="110" t="s">
        <v>559</v>
      </c>
      <c r="F126" s="91">
        <v>2.0</v>
      </c>
      <c r="G126" s="91" t="s">
        <v>383</v>
      </c>
      <c r="H126" s="91" t="s">
        <v>560</v>
      </c>
      <c r="I126" s="93">
        <v>3.0</v>
      </c>
      <c r="J126" s="93">
        <v>32.0</v>
      </c>
      <c r="K126" s="58">
        <v>5.99</v>
      </c>
      <c r="L126" s="111" t="s">
        <v>561</v>
      </c>
      <c r="M126" s="107" t="s">
        <v>562</v>
      </c>
      <c r="N126" s="57" t="s">
        <v>563</v>
      </c>
      <c r="O126" s="57">
        <v>5799.0</v>
      </c>
      <c r="P126" s="97">
        <v>12999.0</v>
      </c>
      <c r="Q126" s="61"/>
      <c r="R126" s="51">
        <v>2.0</v>
      </c>
      <c r="S126" s="52"/>
      <c r="T126" s="52"/>
      <c r="U126" s="52"/>
      <c r="V126" s="52"/>
      <c r="W126" s="52"/>
      <c r="X126" s="52"/>
      <c r="Y126" s="52"/>
      <c r="Z126" s="52"/>
      <c r="AA126" s="52"/>
      <c r="AB126" s="53"/>
    </row>
    <row r="127" hidden="1">
      <c r="A127" s="57" t="s">
        <v>564</v>
      </c>
      <c r="B127" s="48" t="s">
        <v>565</v>
      </c>
      <c r="C127" s="48">
        <v>1.0</v>
      </c>
      <c r="D127" s="123">
        <v>9.87E9</v>
      </c>
      <c r="E127" s="48" t="s">
        <v>566</v>
      </c>
      <c r="F127" s="48">
        <v>1.0</v>
      </c>
      <c r="G127" s="48" t="s">
        <v>383</v>
      </c>
      <c r="H127" s="48" t="s">
        <v>567</v>
      </c>
      <c r="I127" s="130">
        <v>4.0</v>
      </c>
      <c r="J127" s="130">
        <v>64.0</v>
      </c>
      <c r="K127" s="48">
        <v>5.99</v>
      </c>
      <c r="L127" s="96" t="s">
        <v>568</v>
      </c>
      <c r="M127" s="49" t="s">
        <v>569</v>
      </c>
      <c r="N127" s="57" t="s">
        <v>570</v>
      </c>
      <c r="O127" s="48">
        <v>6700.0</v>
      </c>
      <c r="P127" s="48">
        <v>13999.0</v>
      </c>
      <c r="Q127" s="48">
        <v>5.0</v>
      </c>
      <c r="R127" s="51">
        <v>0.0</v>
      </c>
      <c r="S127" s="48">
        <v>0.0</v>
      </c>
      <c r="T127" s="52"/>
      <c r="U127" s="52"/>
      <c r="V127" s="52"/>
      <c r="W127" s="52"/>
      <c r="X127" s="52"/>
      <c r="Y127" s="52"/>
      <c r="Z127" s="52"/>
      <c r="AA127" s="52"/>
      <c r="AB127" s="53"/>
    </row>
    <row r="128" hidden="1">
      <c r="A128" s="57" t="s">
        <v>564</v>
      </c>
      <c r="B128" s="48" t="s">
        <v>571</v>
      </c>
      <c r="C128" s="48">
        <v>1.0</v>
      </c>
      <c r="D128" s="123" t="s">
        <v>572</v>
      </c>
      <c r="E128" s="48" t="s">
        <v>573</v>
      </c>
      <c r="F128" s="48">
        <v>2.0</v>
      </c>
      <c r="G128" s="48" t="s">
        <v>383</v>
      </c>
      <c r="H128" s="48" t="s">
        <v>567</v>
      </c>
      <c r="I128" s="130">
        <v>4.0</v>
      </c>
      <c r="J128" s="130">
        <v>64.0</v>
      </c>
      <c r="K128" s="48">
        <v>5.99</v>
      </c>
      <c r="L128" s="96" t="s">
        <v>568</v>
      </c>
      <c r="M128" s="49" t="s">
        <v>569</v>
      </c>
      <c r="N128" s="57" t="s">
        <v>574</v>
      </c>
      <c r="O128" s="48">
        <v>6919.0</v>
      </c>
      <c r="P128" s="48">
        <v>13999.0</v>
      </c>
      <c r="Q128" s="48">
        <v>5.0</v>
      </c>
      <c r="R128" s="51">
        <v>0.0</v>
      </c>
      <c r="S128" s="48">
        <v>0.0</v>
      </c>
      <c r="T128" s="52"/>
      <c r="U128" s="52"/>
      <c r="V128" s="52"/>
      <c r="W128" s="52"/>
      <c r="X128" s="52"/>
      <c r="Y128" s="52"/>
      <c r="Z128" s="52"/>
      <c r="AA128" s="52"/>
      <c r="AB128" s="53"/>
    </row>
    <row r="129" hidden="1">
      <c r="A129" s="174" t="s">
        <v>575</v>
      </c>
      <c r="B129" s="113" t="s">
        <v>576</v>
      </c>
      <c r="C129" s="93">
        <v>1.0</v>
      </c>
      <c r="D129" s="93" t="s">
        <v>577</v>
      </c>
      <c r="E129" s="110" t="s">
        <v>578</v>
      </c>
      <c r="F129" s="93">
        <v>1.0</v>
      </c>
      <c r="G129" s="93" t="s">
        <v>383</v>
      </c>
      <c r="H129" s="93" t="s">
        <v>579</v>
      </c>
      <c r="I129" s="175">
        <v>6.0</v>
      </c>
      <c r="J129" s="175">
        <v>64.0</v>
      </c>
      <c r="K129" s="57">
        <v>6.26</v>
      </c>
      <c r="L129" s="96" t="s">
        <v>580</v>
      </c>
      <c r="M129" s="57" t="s">
        <v>581</v>
      </c>
      <c r="N129" s="57" t="s">
        <v>582</v>
      </c>
      <c r="O129" s="57">
        <v>7659.0</v>
      </c>
      <c r="P129" s="57">
        <v>16999.0</v>
      </c>
      <c r="Q129" s="52"/>
      <c r="R129" s="51">
        <v>0.0</v>
      </c>
      <c r="S129" s="52"/>
      <c r="T129" s="57" t="s">
        <v>548</v>
      </c>
      <c r="U129" s="52"/>
      <c r="V129" s="52"/>
      <c r="W129" s="52"/>
      <c r="X129" s="52"/>
      <c r="Y129" s="52"/>
      <c r="Z129" s="52"/>
      <c r="AA129" s="52"/>
      <c r="AB129" s="53"/>
    </row>
    <row r="130" hidden="1">
      <c r="A130" s="174" t="s">
        <v>583</v>
      </c>
      <c r="B130" s="113" t="s">
        <v>584</v>
      </c>
      <c r="C130" s="93">
        <v>1.0</v>
      </c>
      <c r="D130" s="93">
        <v>5.676898765E9</v>
      </c>
      <c r="E130" s="110" t="s">
        <v>585</v>
      </c>
      <c r="F130" s="93">
        <v>1.0</v>
      </c>
      <c r="G130" s="93" t="s">
        <v>383</v>
      </c>
      <c r="H130" s="93" t="s">
        <v>586</v>
      </c>
      <c r="I130" s="175">
        <v>6.0</v>
      </c>
      <c r="J130" s="175">
        <v>128.0</v>
      </c>
      <c r="K130" s="57">
        <v>6.3</v>
      </c>
      <c r="L130" s="96" t="s">
        <v>587</v>
      </c>
      <c r="M130" s="57" t="s">
        <v>588</v>
      </c>
      <c r="N130" s="57" t="s">
        <v>589</v>
      </c>
      <c r="O130" s="57">
        <v>10349.0</v>
      </c>
      <c r="P130" s="57">
        <v>19999.0</v>
      </c>
      <c r="Q130" s="52"/>
      <c r="R130" s="51">
        <v>0.0</v>
      </c>
      <c r="S130" s="52"/>
      <c r="T130" s="57" t="s">
        <v>89</v>
      </c>
      <c r="U130" s="52"/>
      <c r="V130" s="52"/>
      <c r="W130" s="52"/>
      <c r="X130" s="52"/>
      <c r="Y130" s="52"/>
      <c r="Z130" s="52"/>
      <c r="AA130" s="52"/>
      <c r="AB130" s="53"/>
    </row>
    <row r="131" hidden="1">
      <c r="A131" s="174" t="s">
        <v>583</v>
      </c>
      <c r="B131" s="113" t="s">
        <v>590</v>
      </c>
      <c r="C131" s="93">
        <v>1.0</v>
      </c>
      <c r="D131" s="93" t="s">
        <v>591</v>
      </c>
      <c r="E131" s="110" t="s">
        <v>585</v>
      </c>
      <c r="F131" s="93">
        <v>2.0</v>
      </c>
      <c r="G131" s="93" t="s">
        <v>383</v>
      </c>
      <c r="H131" s="93" t="s">
        <v>586</v>
      </c>
      <c r="I131" s="175">
        <v>6.0</v>
      </c>
      <c r="J131" s="175">
        <v>128.0</v>
      </c>
      <c r="K131" s="57">
        <v>6.3</v>
      </c>
      <c r="L131" s="96" t="s">
        <v>587</v>
      </c>
      <c r="M131" s="57" t="s">
        <v>588</v>
      </c>
      <c r="N131" s="57" t="s">
        <v>592</v>
      </c>
      <c r="O131" s="57">
        <v>10349.0</v>
      </c>
      <c r="P131" s="57">
        <v>19999.0</v>
      </c>
      <c r="Q131" s="52"/>
      <c r="R131" s="51">
        <v>0.0</v>
      </c>
      <c r="S131" s="52"/>
      <c r="T131" s="57" t="s">
        <v>89</v>
      </c>
      <c r="U131" s="52"/>
      <c r="V131" s="52"/>
      <c r="W131" s="52"/>
      <c r="X131" s="52"/>
      <c r="Y131" s="52"/>
      <c r="Z131" s="52"/>
      <c r="AA131" s="52"/>
      <c r="AB131" s="53"/>
    </row>
    <row r="132" hidden="1">
      <c r="A132" s="180" t="s">
        <v>593</v>
      </c>
      <c r="B132" s="84" t="s">
        <v>594</v>
      </c>
      <c r="C132" s="85">
        <v>1.0</v>
      </c>
      <c r="D132" s="64">
        <v>6.5763246181E10</v>
      </c>
      <c r="E132" s="84" t="s">
        <v>595</v>
      </c>
      <c r="F132" s="84">
        <v>1.0</v>
      </c>
      <c r="G132" s="64" t="s">
        <v>383</v>
      </c>
      <c r="H132" s="84" t="s">
        <v>596</v>
      </c>
      <c r="I132" s="181">
        <v>8.0</v>
      </c>
      <c r="J132" s="181">
        <v>128.0</v>
      </c>
      <c r="K132" s="64">
        <v>6.53</v>
      </c>
      <c r="L132" s="101" t="s">
        <v>597</v>
      </c>
      <c r="M132" s="101" t="s">
        <v>598</v>
      </c>
      <c r="N132" s="64" t="s">
        <v>599</v>
      </c>
      <c r="O132" s="64">
        <v>13349.0</v>
      </c>
      <c r="P132" s="64">
        <v>17999.0</v>
      </c>
      <c r="Q132" s="115">
        <v>10.0</v>
      </c>
      <c r="R132" s="51">
        <v>0.0</v>
      </c>
      <c r="S132" s="69"/>
      <c r="T132" s="64" t="s">
        <v>89</v>
      </c>
      <c r="U132" s="69"/>
      <c r="V132" s="69"/>
      <c r="W132" s="69"/>
      <c r="X132" s="69"/>
      <c r="Y132" s="69"/>
      <c r="Z132" s="69"/>
      <c r="AA132" s="69"/>
      <c r="AB132" s="70"/>
    </row>
    <row r="133" hidden="1">
      <c r="A133" s="180" t="s">
        <v>593</v>
      </c>
      <c r="B133" s="84" t="s">
        <v>600</v>
      </c>
      <c r="C133" s="85">
        <v>1.0</v>
      </c>
      <c r="D133" s="64">
        <v>6.5763246126E10</v>
      </c>
      <c r="E133" s="84" t="s">
        <v>601</v>
      </c>
      <c r="F133" s="84">
        <v>2.0</v>
      </c>
      <c r="G133" s="64" t="s">
        <v>383</v>
      </c>
      <c r="H133" s="84" t="s">
        <v>596</v>
      </c>
      <c r="I133" s="181">
        <v>8.0</v>
      </c>
      <c r="J133" s="181">
        <v>128.0</v>
      </c>
      <c r="K133" s="182">
        <v>6.53</v>
      </c>
      <c r="L133" s="89" t="s">
        <v>602</v>
      </c>
      <c r="M133" s="101" t="s">
        <v>598</v>
      </c>
      <c r="N133" s="64" t="s">
        <v>603</v>
      </c>
      <c r="O133" s="64">
        <v>13069.0</v>
      </c>
      <c r="P133" s="64">
        <v>17999.0</v>
      </c>
      <c r="Q133" s="115">
        <v>10.0</v>
      </c>
      <c r="R133" s="51">
        <v>0.0</v>
      </c>
      <c r="S133" s="69"/>
      <c r="T133" s="64" t="s">
        <v>89</v>
      </c>
      <c r="U133" s="69"/>
      <c r="V133" s="69"/>
      <c r="W133" s="69"/>
      <c r="X133" s="69"/>
      <c r="Y133" s="69"/>
      <c r="Z133" s="69"/>
      <c r="AA133" s="69"/>
      <c r="AB133" s="70"/>
    </row>
    <row r="134" hidden="1">
      <c r="A134" s="91">
        <v>13619.0</v>
      </c>
      <c r="B134" s="91" t="s">
        <v>604</v>
      </c>
      <c r="C134" s="92">
        <v>1.0</v>
      </c>
      <c r="D134" s="57">
        <v>6.5762244618E10</v>
      </c>
      <c r="E134" s="183" t="s">
        <v>605</v>
      </c>
      <c r="F134" s="91">
        <v>1.0</v>
      </c>
      <c r="G134" s="57" t="s">
        <v>383</v>
      </c>
      <c r="H134" s="183" t="s">
        <v>596</v>
      </c>
      <c r="I134" s="175">
        <v>8.0</v>
      </c>
      <c r="J134" s="175">
        <v>128.0</v>
      </c>
      <c r="K134" s="105">
        <v>6.53</v>
      </c>
      <c r="L134" s="107" t="s">
        <v>597</v>
      </c>
      <c r="M134" s="107" t="s">
        <v>598</v>
      </c>
      <c r="N134" s="57" t="s">
        <v>606</v>
      </c>
      <c r="O134" s="57">
        <v>13349.0</v>
      </c>
      <c r="P134" s="57">
        <v>17999.0</v>
      </c>
      <c r="Q134" s="119">
        <v>10.0</v>
      </c>
      <c r="R134" s="51">
        <v>0.0</v>
      </c>
      <c r="S134" s="52"/>
      <c r="T134" s="57" t="s">
        <v>89</v>
      </c>
      <c r="U134" s="52"/>
      <c r="V134" s="52"/>
      <c r="W134" s="52"/>
      <c r="X134" s="52"/>
      <c r="Y134" s="52"/>
      <c r="Z134" s="52"/>
      <c r="AA134" s="52"/>
      <c r="AB134" s="53"/>
    </row>
    <row r="135" hidden="1">
      <c r="A135" s="57" t="s">
        <v>607</v>
      </c>
      <c r="B135" s="57" t="s">
        <v>608</v>
      </c>
      <c r="C135" s="57">
        <v>1.0</v>
      </c>
      <c r="D135" s="57">
        <v>6.5763223618E10</v>
      </c>
      <c r="E135" s="105" t="s">
        <v>609</v>
      </c>
      <c r="F135" s="57">
        <v>2.0</v>
      </c>
      <c r="G135" s="57" t="s">
        <v>383</v>
      </c>
      <c r="H135" s="57" t="s">
        <v>610</v>
      </c>
      <c r="I135" s="175">
        <v>3.0</v>
      </c>
      <c r="J135" s="175">
        <v>32.0</v>
      </c>
      <c r="K135" s="57">
        <v>5.99</v>
      </c>
      <c r="L135" s="57" t="s">
        <v>611</v>
      </c>
      <c r="M135" s="57" t="s">
        <v>612</v>
      </c>
      <c r="N135" s="57" t="s">
        <v>613</v>
      </c>
      <c r="O135" s="57">
        <v>5269.0</v>
      </c>
      <c r="P135" s="57">
        <v>13999.0</v>
      </c>
      <c r="Q135" s="119">
        <v>10.0</v>
      </c>
      <c r="R135" s="51">
        <v>0.0</v>
      </c>
      <c r="S135" s="52"/>
      <c r="T135" s="57" t="s">
        <v>89</v>
      </c>
      <c r="U135" s="52"/>
      <c r="V135" s="52"/>
      <c r="W135" s="52"/>
      <c r="X135" s="52"/>
      <c r="Y135" s="52"/>
      <c r="Z135" s="52"/>
      <c r="AA135" s="52"/>
      <c r="AB135" s="53"/>
    </row>
    <row r="136" hidden="1">
      <c r="A136" s="48"/>
      <c r="B136" s="48" t="s">
        <v>614</v>
      </c>
      <c r="C136" s="48">
        <v>1.0</v>
      </c>
      <c r="D136" s="48">
        <v>8525852.0</v>
      </c>
      <c r="E136" s="48" t="s">
        <v>615</v>
      </c>
      <c r="F136" s="48">
        <v>1.0</v>
      </c>
      <c r="G136" s="130" t="s">
        <v>65</v>
      </c>
      <c r="H136" s="130" t="s">
        <v>221</v>
      </c>
      <c r="I136" s="130">
        <v>2.0</v>
      </c>
      <c r="J136" s="130">
        <v>64.0</v>
      </c>
      <c r="K136" s="130"/>
      <c r="L136" s="48"/>
      <c r="M136" s="48"/>
      <c r="N136" s="48" t="str">
        <f t="shared" ref="N136:N153" si="13">CONCAT(B136,".png")</f>
        <v>FT03_iPhone_6S+_2_64_2_SILVER.png</v>
      </c>
      <c r="O136" s="48">
        <v>11999.0</v>
      </c>
      <c r="P136" s="48">
        <v>45000.0</v>
      </c>
      <c r="Q136" s="48">
        <v>10.0</v>
      </c>
      <c r="R136" s="51">
        <v>0.0</v>
      </c>
      <c r="S136" s="48">
        <v>0.0</v>
      </c>
      <c r="T136" s="52"/>
      <c r="U136" s="52"/>
      <c r="V136" s="52"/>
      <c r="W136" s="52"/>
      <c r="X136" s="52"/>
      <c r="Y136" s="52"/>
      <c r="Z136" s="52"/>
      <c r="AA136" s="52"/>
      <c r="AB136" s="53"/>
    </row>
    <row r="137" hidden="1">
      <c r="A137" s="48"/>
      <c r="B137" s="48" t="s">
        <v>234</v>
      </c>
      <c r="C137" s="48">
        <v>1.0</v>
      </c>
      <c r="D137" s="123">
        <v>9.87E9</v>
      </c>
      <c r="E137" s="130" t="s">
        <v>235</v>
      </c>
      <c r="F137" s="48">
        <v>2.0</v>
      </c>
      <c r="G137" s="48" t="s">
        <v>65</v>
      </c>
      <c r="H137" s="48" t="s">
        <v>231</v>
      </c>
      <c r="I137" s="130">
        <v>2.0</v>
      </c>
      <c r="J137" s="130">
        <v>32.0</v>
      </c>
      <c r="K137" s="130">
        <v>5.5</v>
      </c>
      <c r="L137" s="57" t="s">
        <v>238</v>
      </c>
      <c r="M137" s="57" t="s">
        <v>233</v>
      </c>
      <c r="N137" s="48" t="str">
        <f t="shared" si="13"/>
        <v>FT03_iPhone_7_2_32_2_BLACK.png</v>
      </c>
      <c r="O137" s="48">
        <v>12399.0</v>
      </c>
      <c r="P137" s="48">
        <v>27999.0</v>
      </c>
      <c r="Q137" s="48">
        <v>10.0</v>
      </c>
      <c r="R137" s="51">
        <v>0.0</v>
      </c>
      <c r="S137" s="48">
        <v>0.0</v>
      </c>
      <c r="T137" s="52"/>
      <c r="U137" s="52"/>
      <c r="V137" s="52"/>
      <c r="W137" s="52"/>
      <c r="X137" s="52"/>
      <c r="Y137" s="52"/>
      <c r="Z137" s="52"/>
      <c r="AA137" s="52"/>
      <c r="AB137" s="53"/>
    </row>
    <row r="138" hidden="1">
      <c r="A138" s="48"/>
      <c r="B138" s="48" t="s">
        <v>616</v>
      </c>
      <c r="C138" s="48">
        <v>1.0</v>
      </c>
      <c r="D138" s="123">
        <v>9.87E9</v>
      </c>
      <c r="E138" s="130" t="s">
        <v>617</v>
      </c>
      <c r="F138" s="48">
        <v>2.0</v>
      </c>
      <c r="G138" s="48" t="s">
        <v>65</v>
      </c>
      <c r="H138" s="48" t="s">
        <v>231</v>
      </c>
      <c r="I138" s="130">
        <v>2.0</v>
      </c>
      <c r="J138" s="130">
        <v>32.0</v>
      </c>
      <c r="K138" s="130">
        <v>5.5</v>
      </c>
      <c r="L138" s="57" t="s">
        <v>238</v>
      </c>
      <c r="M138" s="57" t="s">
        <v>233</v>
      </c>
      <c r="N138" s="48" t="str">
        <f t="shared" si="13"/>
        <v>FT03_iPhone_7_2_32_2_GOLD.png</v>
      </c>
      <c r="O138" s="48">
        <v>12399.0</v>
      </c>
      <c r="P138" s="48">
        <v>27999.0</v>
      </c>
      <c r="Q138" s="48">
        <v>10.0</v>
      </c>
      <c r="R138" s="51">
        <v>0.0</v>
      </c>
      <c r="S138" s="48">
        <v>0.0</v>
      </c>
      <c r="T138" s="52"/>
      <c r="U138" s="52"/>
      <c r="V138" s="52"/>
      <c r="W138" s="52"/>
      <c r="X138" s="52"/>
      <c r="Y138" s="52"/>
      <c r="Z138" s="52"/>
      <c r="AA138" s="52"/>
      <c r="AB138" s="53"/>
    </row>
    <row r="139" hidden="1">
      <c r="A139" s="48"/>
      <c r="B139" s="48" t="s">
        <v>618</v>
      </c>
      <c r="C139" s="48">
        <v>1.0</v>
      </c>
      <c r="D139" s="123">
        <v>9.81E8</v>
      </c>
      <c r="E139" s="130" t="s">
        <v>240</v>
      </c>
      <c r="F139" s="48">
        <v>2.0</v>
      </c>
      <c r="G139" s="48" t="s">
        <v>65</v>
      </c>
      <c r="H139" s="130" t="s">
        <v>231</v>
      </c>
      <c r="I139" s="130">
        <v>2.0</v>
      </c>
      <c r="J139" s="130">
        <v>32.0</v>
      </c>
      <c r="K139" s="48">
        <v>5.5</v>
      </c>
      <c r="L139" s="57" t="s">
        <v>238</v>
      </c>
      <c r="M139" s="57" t="s">
        <v>233</v>
      </c>
      <c r="N139" s="48" t="str">
        <f t="shared" si="13"/>
        <v>FT03_iPhone_7_2_32_2_ROSEGOLD.png</v>
      </c>
      <c r="O139" s="48">
        <v>12399.0</v>
      </c>
      <c r="P139" s="48">
        <v>27999.0</v>
      </c>
      <c r="Q139" s="48">
        <v>10.0</v>
      </c>
      <c r="R139" s="51">
        <v>0.0</v>
      </c>
      <c r="S139" s="48">
        <v>0.0</v>
      </c>
      <c r="T139" s="52"/>
      <c r="U139" s="52"/>
      <c r="V139" s="52"/>
      <c r="W139" s="52"/>
      <c r="X139" s="52"/>
      <c r="Y139" s="52"/>
      <c r="Z139" s="52"/>
      <c r="AA139" s="52"/>
      <c r="AB139" s="53"/>
    </row>
    <row r="140" hidden="1">
      <c r="A140" s="48"/>
      <c r="B140" s="48" t="s">
        <v>619</v>
      </c>
      <c r="C140" s="48">
        <v>1.0</v>
      </c>
      <c r="D140" s="123">
        <v>8.01E10</v>
      </c>
      <c r="E140" s="130" t="s">
        <v>620</v>
      </c>
      <c r="F140" s="48">
        <v>2.0</v>
      </c>
      <c r="G140" s="48" t="s">
        <v>65</v>
      </c>
      <c r="H140" s="48" t="s">
        <v>621</v>
      </c>
      <c r="I140" s="130">
        <v>4.0</v>
      </c>
      <c r="J140" s="130">
        <v>64.0</v>
      </c>
      <c r="K140" s="48">
        <v>5.8</v>
      </c>
      <c r="L140" s="96" t="s">
        <v>622</v>
      </c>
      <c r="M140" s="49" t="s">
        <v>623</v>
      </c>
      <c r="N140" s="48" t="str">
        <f t="shared" si="13"/>
        <v>FT03_iPhone_XS_4_64_2_BLACK.png</v>
      </c>
      <c r="O140" s="48">
        <v>38089.0</v>
      </c>
      <c r="P140" s="48">
        <v>69900.0</v>
      </c>
      <c r="Q140" s="48">
        <v>10.0</v>
      </c>
      <c r="R140" s="51">
        <v>0.0</v>
      </c>
      <c r="S140" s="48">
        <v>0.0</v>
      </c>
      <c r="T140" s="52"/>
      <c r="U140" s="52"/>
      <c r="V140" s="52"/>
      <c r="W140" s="52"/>
      <c r="X140" s="52"/>
      <c r="Y140" s="52"/>
      <c r="Z140" s="52"/>
      <c r="AA140" s="52"/>
      <c r="AB140" s="53"/>
    </row>
    <row r="141" hidden="1">
      <c r="A141" s="48"/>
      <c r="B141" s="48" t="s">
        <v>624</v>
      </c>
      <c r="C141" s="48">
        <v>1.0</v>
      </c>
      <c r="D141" s="123">
        <v>8.91E8</v>
      </c>
      <c r="E141" s="130" t="s">
        <v>625</v>
      </c>
      <c r="F141" s="48">
        <v>1.0</v>
      </c>
      <c r="G141" s="48" t="s">
        <v>287</v>
      </c>
      <c r="H141" s="48" t="s">
        <v>626</v>
      </c>
      <c r="I141" s="130">
        <v>3.0</v>
      </c>
      <c r="J141" s="130">
        <v>32.0</v>
      </c>
      <c r="K141" s="48">
        <v>5.7</v>
      </c>
      <c r="L141" s="107" t="s">
        <v>627</v>
      </c>
      <c r="M141" s="107" t="s">
        <v>628</v>
      </c>
      <c r="N141" s="82" t="str">
        <f t="shared" si="13"/>
        <v>FT04_Honor_7A_3_32_1_BLACK.png</v>
      </c>
      <c r="O141" s="82"/>
      <c r="P141" s="82"/>
      <c r="Q141" s="82"/>
      <c r="R141" s="51">
        <v>0.0</v>
      </c>
      <c r="S141" s="82"/>
      <c r="T141" s="52"/>
      <c r="U141" s="52"/>
      <c r="V141" s="52"/>
      <c r="W141" s="52"/>
      <c r="X141" s="52"/>
      <c r="Y141" s="52"/>
      <c r="Z141" s="52"/>
      <c r="AA141" s="52"/>
      <c r="AB141" s="53"/>
    </row>
    <row r="142" hidden="1">
      <c r="A142" s="48"/>
      <c r="B142" s="48" t="s">
        <v>629</v>
      </c>
      <c r="C142" s="48">
        <v>1.0</v>
      </c>
      <c r="D142" s="48">
        <v>932521.0</v>
      </c>
      <c r="E142" s="130" t="s">
        <v>630</v>
      </c>
      <c r="F142" s="48">
        <v>1.0</v>
      </c>
      <c r="G142" s="48" t="s">
        <v>287</v>
      </c>
      <c r="H142" s="48" t="s">
        <v>626</v>
      </c>
      <c r="I142" s="130">
        <v>3.0</v>
      </c>
      <c r="J142" s="130">
        <v>32.0</v>
      </c>
      <c r="K142" s="48">
        <v>5.7</v>
      </c>
      <c r="L142" s="107" t="s">
        <v>627</v>
      </c>
      <c r="M142" s="107" t="s">
        <v>628</v>
      </c>
      <c r="N142" s="82" t="str">
        <f t="shared" si="13"/>
        <v>FT04_Honor_7A_3_32_1_BLUE.png</v>
      </c>
      <c r="O142" s="82"/>
      <c r="P142" s="82"/>
      <c r="Q142" s="82"/>
      <c r="R142" s="51">
        <v>0.0</v>
      </c>
      <c r="S142" s="82"/>
      <c r="T142" s="52"/>
      <c r="U142" s="52"/>
      <c r="V142" s="52"/>
      <c r="W142" s="52"/>
      <c r="X142" s="52"/>
      <c r="Y142" s="52"/>
      <c r="Z142" s="52"/>
      <c r="AA142" s="52"/>
      <c r="AB142" s="53"/>
    </row>
    <row r="143" hidden="1">
      <c r="A143" s="48"/>
      <c r="B143" s="48" t="s">
        <v>631</v>
      </c>
      <c r="C143" s="48">
        <v>1.0</v>
      </c>
      <c r="D143" s="48">
        <v>8.525842E7</v>
      </c>
      <c r="E143" s="130" t="s">
        <v>632</v>
      </c>
      <c r="F143" s="48">
        <v>1.0</v>
      </c>
      <c r="G143" s="48" t="s">
        <v>287</v>
      </c>
      <c r="H143" s="48" t="s">
        <v>633</v>
      </c>
      <c r="I143" s="130">
        <v>3.0</v>
      </c>
      <c r="J143" s="130">
        <v>32.0</v>
      </c>
      <c r="K143" s="48">
        <v>5.65</v>
      </c>
      <c r="L143" s="96" t="s">
        <v>634</v>
      </c>
      <c r="M143" s="107" t="s">
        <v>635</v>
      </c>
      <c r="N143" s="82" t="str">
        <f t="shared" si="13"/>
        <v>FT04_Honor_9_Lite_3_32_1_BLUE.png</v>
      </c>
      <c r="O143" s="82"/>
      <c r="P143" s="82"/>
      <c r="Q143" s="82"/>
      <c r="R143" s="51">
        <v>0.0</v>
      </c>
      <c r="S143" s="82"/>
      <c r="T143" s="52"/>
      <c r="U143" s="52"/>
      <c r="V143" s="52"/>
      <c r="W143" s="52"/>
      <c r="X143" s="52"/>
      <c r="Y143" s="52"/>
      <c r="Z143" s="52"/>
      <c r="AA143" s="52"/>
      <c r="AB143" s="53"/>
    </row>
    <row r="144" hidden="1">
      <c r="A144" s="48"/>
      <c r="B144" s="48" t="s">
        <v>636</v>
      </c>
      <c r="C144" s="48">
        <v>1.0</v>
      </c>
      <c r="D144" s="48">
        <v>1231684.0</v>
      </c>
      <c r="E144" s="130" t="s">
        <v>637</v>
      </c>
      <c r="F144" s="48">
        <v>1.0</v>
      </c>
      <c r="G144" s="48" t="s">
        <v>98</v>
      </c>
      <c r="H144" s="48" t="s">
        <v>325</v>
      </c>
      <c r="I144" s="130">
        <v>6.0</v>
      </c>
      <c r="J144" s="130">
        <v>64.0</v>
      </c>
      <c r="K144" s="48">
        <v>5.5</v>
      </c>
      <c r="L144" s="107" t="s">
        <v>326</v>
      </c>
      <c r="M144" s="107" t="s">
        <v>327</v>
      </c>
      <c r="N144" s="82" t="str">
        <f t="shared" si="13"/>
        <v>FT08_1+5_6_64_1_BLACK.png</v>
      </c>
      <c r="O144" s="48">
        <v>8099.0</v>
      </c>
      <c r="P144" s="48">
        <v>29999.0</v>
      </c>
      <c r="Q144" s="48">
        <v>10.0</v>
      </c>
      <c r="R144" s="51">
        <v>0.0</v>
      </c>
      <c r="S144" s="82"/>
      <c r="T144" s="52"/>
      <c r="U144" s="52"/>
      <c r="V144" s="52"/>
      <c r="W144" s="52"/>
      <c r="X144" s="52"/>
      <c r="Y144" s="52"/>
      <c r="Z144" s="52"/>
      <c r="AA144" s="52"/>
      <c r="AB144" s="53"/>
    </row>
    <row r="145" hidden="1">
      <c r="A145" s="48"/>
      <c r="B145" s="48" t="s">
        <v>638</v>
      </c>
      <c r="C145" s="48">
        <v>1.0</v>
      </c>
      <c r="D145" s="48">
        <v>1.8598685E7</v>
      </c>
      <c r="E145" s="130" t="s">
        <v>330</v>
      </c>
      <c r="F145" s="48">
        <v>2.0</v>
      </c>
      <c r="G145" s="48" t="s">
        <v>98</v>
      </c>
      <c r="H145" s="48" t="s">
        <v>331</v>
      </c>
      <c r="I145" s="130">
        <v>6.0</v>
      </c>
      <c r="J145" s="130">
        <v>64.0</v>
      </c>
      <c r="K145" s="48">
        <v>6.28</v>
      </c>
      <c r="L145" s="107" t="s">
        <v>67</v>
      </c>
      <c r="M145" s="107" t="s">
        <v>68</v>
      </c>
      <c r="N145" s="82" t="str">
        <f t="shared" si="13"/>
        <v>FT08_1+6_4_64_2_BLACK.png</v>
      </c>
      <c r="O145" s="48">
        <v>13199.0</v>
      </c>
      <c r="P145" s="48">
        <v>39999.0</v>
      </c>
      <c r="Q145" s="48">
        <v>10.0</v>
      </c>
      <c r="R145" s="51">
        <v>0.0</v>
      </c>
      <c r="S145" s="82"/>
      <c r="T145" s="52"/>
      <c r="U145" s="52"/>
      <c r="V145" s="52"/>
      <c r="W145" s="52"/>
      <c r="X145" s="52"/>
      <c r="Y145" s="52"/>
      <c r="Z145" s="52"/>
      <c r="AA145" s="52"/>
      <c r="AB145" s="53"/>
    </row>
    <row r="146" hidden="1">
      <c r="A146" s="48"/>
      <c r="B146" s="48" t="s">
        <v>477</v>
      </c>
      <c r="C146" s="48">
        <v>1.0</v>
      </c>
      <c r="D146" s="48">
        <v>5.2852098E7</v>
      </c>
      <c r="E146" s="48" t="s">
        <v>478</v>
      </c>
      <c r="F146" s="48">
        <v>1.0</v>
      </c>
      <c r="G146" s="48" t="s">
        <v>383</v>
      </c>
      <c r="H146" s="48" t="s">
        <v>479</v>
      </c>
      <c r="I146" s="48">
        <v>6.0</v>
      </c>
      <c r="J146" s="48">
        <v>64.0</v>
      </c>
      <c r="K146" s="48">
        <v>5.99</v>
      </c>
      <c r="L146" s="96" t="s">
        <v>480</v>
      </c>
      <c r="M146" s="107" t="s">
        <v>481</v>
      </c>
      <c r="N146" s="82" t="str">
        <f t="shared" si="13"/>
        <v>FT09_Mi_A2_6_64_1_BLACK.png</v>
      </c>
      <c r="O146" s="48">
        <v>0.0</v>
      </c>
      <c r="P146" s="48">
        <v>39000.0</v>
      </c>
      <c r="Q146" s="48">
        <v>10.0</v>
      </c>
      <c r="R146" s="51">
        <v>0.0</v>
      </c>
      <c r="S146" s="82"/>
      <c r="T146" s="52"/>
      <c r="U146" s="52"/>
      <c r="V146" s="52"/>
      <c r="W146" s="52"/>
      <c r="X146" s="52"/>
      <c r="Y146" s="52"/>
      <c r="Z146" s="52"/>
      <c r="AA146" s="52"/>
      <c r="AB146" s="53"/>
    </row>
    <row r="147" hidden="1">
      <c r="A147" s="48"/>
      <c r="B147" s="48" t="s">
        <v>639</v>
      </c>
      <c r="C147" s="48">
        <v>1.0</v>
      </c>
      <c r="D147" s="48">
        <v>8.0956504E7</v>
      </c>
      <c r="E147" s="48" t="s">
        <v>381</v>
      </c>
      <c r="F147" s="48">
        <v>2.0</v>
      </c>
      <c r="G147" s="48" t="s">
        <v>383</v>
      </c>
      <c r="H147" s="48" t="s">
        <v>384</v>
      </c>
      <c r="I147" s="48">
        <v>6.0</v>
      </c>
      <c r="J147" s="48">
        <v>64.0</v>
      </c>
      <c r="K147" s="48">
        <v>6.18</v>
      </c>
      <c r="L147" s="96" t="s">
        <v>640</v>
      </c>
      <c r="M147" s="107" t="s">
        <v>386</v>
      </c>
      <c r="N147" s="82" t="str">
        <f t="shared" si="13"/>
        <v>FT09_Poco_F1_6_64_2_BLUE.png</v>
      </c>
      <c r="O147" s="48">
        <v>7899.0</v>
      </c>
      <c r="P147" s="48">
        <v>39000.0</v>
      </c>
      <c r="Q147" s="48">
        <v>10.0</v>
      </c>
      <c r="R147" s="51">
        <v>0.0</v>
      </c>
      <c r="S147" s="82"/>
      <c r="T147" s="52"/>
      <c r="U147" s="52"/>
      <c r="V147" s="52"/>
      <c r="W147" s="52"/>
      <c r="X147" s="52"/>
      <c r="Y147" s="52"/>
      <c r="Z147" s="52"/>
      <c r="AA147" s="52"/>
      <c r="AB147" s="174"/>
    </row>
    <row r="148" hidden="1">
      <c r="A148" s="130"/>
      <c r="B148" s="48" t="s">
        <v>641</v>
      </c>
      <c r="C148" s="48">
        <v>1.0</v>
      </c>
      <c r="D148" s="48">
        <v>1.8598685E7</v>
      </c>
      <c r="E148" s="130" t="s">
        <v>497</v>
      </c>
      <c r="F148" s="48">
        <v>1.0</v>
      </c>
      <c r="G148" s="48" t="s">
        <v>383</v>
      </c>
      <c r="H148" s="48" t="s">
        <v>498</v>
      </c>
      <c r="I148" s="130">
        <v>3.0</v>
      </c>
      <c r="J148" s="130">
        <v>32.0</v>
      </c>
      <c r="K148" s="167"/>
      <c r="L148" s="82"/>
      <c r="M148" s="82"/>
      <c r="N148" s="82" t="str">
        <f t="shared" si="13"/>
        <v>FT09_Redmi_4_3_32_1_BLACK.png</v>
      </c>
      <c r="O148" s="48">
        <v>3699.0</v>
      </c>
      <c r="P148" s="48">
        <v>5599.0</v>
      </c>
      <c r="Q148" s="48">
        <v>10.0</v>
      </c>
      <c r="R148" s="51">
        <v>0.0</v>
      </c>
      <c r="S148" s="82"/>
      <c r="T148" s="52"/>
      <c r="U148" s="52"/>
      <c r="V148" s="52"/>
      <c r="W148" s="52"/>
      <c r="X148" s="52"/>
      <c r="Y148" s="52"/>
      <c r="Z148" s="52"/>
      <c r="AA148" s="52"/>
      <c r="AB148" s="53"/>
    </row>
    <row r="149" hidden="1">
      <c r="A149" s="130"/>
      <c r="B149" s="48" t="s">
        <v>642</v>
      </c>
      <c r="C149" s="48">
        <v>1.0</v>
      </c>
      <c r="D149" s="48">
        <v>2.5952553E7</v>
      </c>
      <c r="E149" s="130" t="s">
        <v>506</v>
      </c>
      <c r="F149" s="48">
        <v>1.0</v>
      </c>
      <c r="G149" s="48" t="s">
        <v>383</v>
      </c>
      <c r="H149" s="48" t="s">
        <v>498</v>
      </c>
      <c r="I149" s="130">
        <v>3.0</v>
      </c>
      <c r="J149" s="130">
        <v>32.0</v>
      </c>
      <c r="K149" s="167"/>
      <c r="L149" s="82"/>
      <c r="M149" s="82"/>
      <c r="N149" s="82" t="str">
        <f t="shared" si="13"/>
        <v>FT09_Redmi_4_3_32_1_ROSEGOLD.png</v>
      </c>
      <c r="O149" s="48">
        <v>3699.0</v>
      </c>
      <c r="P149" s="48">
        <v>5599.0</v>
      </c>
      <c r="Q149" s="48">
        <v>10.0</v>
      </c>
      <c r="R149" s="51">
        <v>0.0</v>
      </c>
      <c r="S149" s="82"/>
      <c r="T149" s="52"/>
      <c r="U149" s="52"/>
      <c r="V149" s="52"/>
      <c r="W149" s="52"/>
      <c r="X149" s="52"/>
      <c r="Y149" s="52"/>
      <c r="Z149" s="52"/>
      <c r="AA149" s="52"/>
      <c r="AB149" s="53"/>
    </row>
    <row r="150" hidden="1">
      <c r="A150" s="130"/>
      <c r="B150" s="48" t="s">
        <v>508</v>
      </c>
      <c r="C150" s="48">
        <v>1.0</v>
      </c>
      <c r="D150" s="123">
        <v>6.28E9</v>
      </c>
      <c r="E150" s="130" t="s">
        <v>497</v>
      </c>
      <c r="F150" s="48">
        <v>2.0</v>
      </c>
      <c r="G150" s="48" t="s">
        <v>383</v>
      </c>
      <c r="H150" s="48" t="s">
        <v>498</v>
      </c>
      <c r="I150" s="130">
        <v>3.0</v>
      </c>
      <c r="J150" s="130">
        <v>32.0</v>
      </c>
      <c r="K150" s="167"/>
      <c r="L150" s="82"/>
      <c r="M150" s="82"/>
      <c r="N150" s="82" t="str">
        <f t="shared" si="13"/>
        <v>FT09_Redmi_4_3_32_2_BLACK.png</v>
      </c>
      <c r="O150" s="48">
        <v>0.0</v>
      </c>
      <c r="P150" s="48">
        <v>39000.0</v>
      </c>
      <c r="Q150" s="48">
        <v>10.0</v>
      </c>
      <c r="R150" s="51">
        <v>0.0</v>
      </c>
      <c r="S150" s="82"/>
      <c r="T150" s="52"/>
      <c r="U150" s="52"/>
      <c r="V150" s="52"/>
      <c r="W150" s="52"/>
      <c r="X150" s="52"/>
      <c r="Y150" s="52"/>
      <c r="Z150" s="52"/>
      <c r="AA150" s="52"/>
      <c r="AB150" s="53"/>
    </row>
    <row r="151" hidden="1">
      <c r="A151" s="105"/>
      <c r="B151" s="48" t="s">
        <v>643</v>
      </c>
      <c r="C151" s="48">
        <v>1.0</v>
      </c>
      <c r="D151" s="123">
        <v>5.22E8</v>
      </c>
      <c r="E151" s="130" t="s">
        <v>501</v>
      </c>
      <c r="F151" s="48">
        <v>1.0</v>
      </c>
      <c r="G151" s="48" t="s">
        <v>383</v>
      </c>
      <c r="H151" s="48" t="s">
        <v>498</v>
      </c>
      <c r="I151" s="130">
        <v>4.0</v>
      </c>
      <c r="J151" s="130">
        <v>64.0</v>
      </c>
      <c r="K151" s="167"/>
      <c r="L151" s="82"/>
      <c r="M151" s="82"/>
      <c r="N151" s="82" t="str">
        <f t="shared" si="13"/>
        <v>FT09_Redmi_4_4_64_1_GOLD.png</v>
      </c>
      <c r="O151" s="48">
        <v>0.0</v>
      </c>
      <c r="P151" s="48">
        <v>39000.0</v>
      </c>
      <c r="Q151" s="48">
        <v>10.0</v>
      </c>
      <c r="R151" s="51">
        <v>0.0</v>
      </c>
      <c r="S151" s="82"/>
      <c r="T151" s="52"/>
      <c r="U151" s="52"/>
      <c r="V151" s="52"/>
      <c r="W151" s="52"/>
      <c r="X151" s="52"/>
      <c r="Y151" s="52"/>
      <c r="Z151" s="52"/>
      <c r="AA151" s="52"/>
      <c r="AB151" s="53"/>
    </row>
    <row r="152" hidden="1">
      <c r="A152" s="105"/>
      <c r="B152" s="48" t="s">
        <v>644</v>
      </c>
      <c r="C152" s="48">
        <v>1.0</v>
      </c>
      <c r="D152" s="48">
        <v>841515.0</v>
      </c>
      <c r="E152" s="130" t="s">
        <v>497</v>
      </c>
      <c r="F152" s="48">
        <v>2.0</v>
      </c>
      <c r="G152" s="48" t="s">
        <v>383</v>
      </c>
      <c r="H152" s="48" t="s">
        <v>498</v>
      </c>
      <c r="I152" s="130">
        <v>4.0</v>
      </c>
      <c r="J152" s="130">
        <v>64.0</v>
      </c>
      <c r="K152" s="167"/>
      <c r="L152" s="82"/>
      <c r="M152" s="82"/>
      <c r="N152" s="82" t="str">
        <f t="shared" si="13"/>
        <v>FT09_Redmi_4_4_64_2_BLACK.png</v>
      </c>
      <c r="O152" s="48">
        <v>0.0</v>
      </c>
      <c r="P152" s="48">
        <v>39000.0</v>
      </c>
      <c r="Q152" s="48">
        <v>10.0</v>
      </c>
      <c r="R152" s="51">
        <v>0.0</v>
      </c>
      <c r="S152" s="82"/>
      <c r="T152" s="52"/>
      <c r="U152" s="52"/>
      <c r="V152" s="52"/>
      <c r="W152" s="52"/>
      <c r="X152" s="52"/>
      <c r="Y152" s="52"/>
      <c r="Z152" s="52"/>
      <c r="AA152" s="52"/>
      <c r="AB152" s="53"/>
    </row>
    <row r="153" hidden="1">
      <c r="A153" s="130"/>
      <c r="B153" s="48" t="s">
        <v>645</v>
      </c>
      <c r="C153" s="48">
        <v>1.0</v>
      </c>
      <c r="D153" s="123">
        <v>6.59E8</v>
      </c>
      <c r="E153" s="130" t="s">
        <v>646</v>
      </c>
      <c r="F153" s="48">
        <v>1.0</v>
      </c>
      <c r="G153" s="48" t="s">
        <v>383</v>
      </c>
      <c r="H153" s="48" t="s">
        <v>647</v>
      </c>
      <c r="I153" s="130">
        <v>2.0</v>
      </c>
      <c r="J153" s="130">
        <v>16.0</v>
      </c>
      <c r="K153" s="167"/>
      <c r="L153" s="82"/>
      <c r="M153" s="82"/>
      <c r="N153" s="82" t="str">
        <f t="shared" si="13"/>
        <v>FT09_Redmi_5A_2_16_1_GOLD.png</v>
      </c>
      <c r="O153" s="48">
        <v>3299.0</v>
      </c>
      <c r="P153" s="48">
        <v>5999.0</v>
      </c>
      <c r="Q153" s="48">
        <v>10.0</v>
      </c>
      <c r="R153" s="51">
        <v>0.0</v>
      </c>
      <c r="S153" s="82"/>
      <c r="T153" s="52"/>
      <c r="U153" s="52"/>
      <c r="V153" s="52"/>
      <c r="W153" s="52"/>
      <c r="X153" s="52"/>
      <c r="Y153" s="52"/>
      <c r="Z153" s="52"/>
      <c r="AA153" s="52"/>
      <c r="AB153" s="53"/>
    </row>
    <row r="154" hidden="1">
      <c r="A154" s="4" t="s">
        <v>648</v>
      </c>
      <c r="B154" s="48" t="s">
        <v>649</v>
      </c>
      <c r="C154" s="48">
        <v>1.0</v>
      </c>
      <c r="D154" s="123">
        <v>6.59E8</v>
      </c>
      <c r="E154" s="130" t="s">
        <v>646</v>
      </c>
      <c r="F154" s="48">
        <v>2.0</v>
      </c>
      <c r="G154" s="48" t="s">
        <v>383</v>
      </c>
      <c r="H154" s="48" t="s">
        <v>647</v>
      </c>
      <c r="I154" s="130">
        <v>3.0</v>
      </c>
      <c r="J154" s="130">
        <v>32.0</v>
      </c>
      <c r="K154" s="130">
        <v>5.7</v>
      </c>
      <c r="L154" s="24" t="s">
        <v>650</v>
      </c>
      <c r="M154" s="166" t="s">
        <v>651</v>
      </c>
      <c r="N154" s="48" t="s">
        <v>652</v>
      </c>
      <c r="O154" s="48">
        <v>4339.0</v>
      </c>
      <c r="P154" s="48">
        <v>5999.0</v>
      </c>
      <c r="Q154" s="48">
        <v>10.0</v>
      </c>
      <c r="R154" s="51">
        <v>0.0</v>
      </c>
      <c r="S154" s="82"/>
      <c r="T154" s="52"/>
      <c r="U154" s="52"/>
      <c r="V154" s="52"/>
      <c r="W154" s="52"/>
      <c r="X154" s="52"/>
      <c r="Y154" s="52"/>
      <c r="Z154" s="52"/>
      <c r="AA154" s="52"/>
      <c r="AB154" s="53"/>
    </row>
    <row r="155">
      <c r="A155" s="4" t="s">
        <v>653</v>
      </c>
      <c r="B155" s="48" t="s">
        <v>654</v>
      </c>
      <c r="C155" s="48">
        <v>1.0</v>
      </c>
      <c r="D155" s="123">
        <v>6.59E8</v>
      </c>
      <c r="E155" s="130" t="s">
        <v>655</v>
      </c>
      <c r="F155" s="48">
        <v>2.0</v>
      </c>
      <c r="G155" s="48" t="s">
        <v>383</v>
      </c>
      <c r="H155" s="48" t="s">
        <v>647</v>
      </c>
      <c r="I155" s="130">
        <v>2.0</v>
      </c>
      <c r="J155" s="130">
        <v>16.0</v>
      </c>
      <c r="K155" s="130">
        <v>5.7</v>
      </c>
      <c r="L155" s="24" t="s">
        <v>516</v>
      </c>
      <c r="M155" s="166" t="s">
        <v>651</v>
      </c>
      <c r="N155" s="48" t="s">
        <v>656</v>
      </c>
      <c r="O155" s="48">
        <v>3889.0</v>
      </c>
      <c r="P155" s="48">
        <v>5999.0</v>
      </c>
      <c r="Q155" s="48">
        <v>10.0</v>
      </c>
      <c r="R155" s="51">
        <v>2.0</v>
      </c>
      <c r="S155" s="82"/>
      <c r="T155" s="52"/>
      <c r="U155" s="52"/>
      <c r="V155" s="52"/>
      <c r="W155" s="52"/>
      <c r="X155" s="52"/>
      <c r="Y155" s="52"/>
      <c r="Z155" s="52"/>
      <c r="AA155" s="52"/>
      <c r="AB155" s="53"/>
    </row>
    <row r="156">
      <c r="A156" s="4" t="s">
        <v>653</v>
      </c>
      <c r="B156" s="48" t="s">
        <v>657</v>
      </c>
      <c r="C156" s="48">
        <v>1.0</v>
      </c>
      <c r="D156" s="123">
        <v>6.59E8</v>
      </c>
      <c r="E156" s="130" t="s">
        <v>658</v>
      </c>
      <c r="F156" s="48">
        <v>2.0</v>
      </c>
      <c r="G156" s="48" t="s">
        <v>383</v>
      </c>
      <c r="H156" s="48" t="s">
        <v>647</v>
      </c>
      <c r="I156" s="130">
        <v>2.0</v>
      </c>
      <c r="J156" s="130">
        <v>16.0</v>
      </c>
      <c r="K156" s="130">
        <v>5.7</v>
      </c>
      <c r="L156" s="24" t="s">
        <v>516</v>
      </c>
      <c r="M156" s="166" t="s">
        <v>651</v>
      </c>
      <c r="N156" s="48" t="s">
        <v>659</v>
      </c>
      <c r="O156" s="48">
        <v>3889.0</v>
      </c>
      <c r="P156" s="48">
        <v>5999.0</v>
      </c>
      <c r="Q156" s="48">
        <v>10.0</v>
      </c>
      <c r="R156" s="51">
        <v>2.0</v>
      </c>
      <c r="S156" s="82"/>
      <c r="T156" s="52"/>
      <c r="U156" s="52"/>
      <c r="V156" s="52"/>
      <c r="W156" s="52"/>
      <c r="X156" s="52"/>
      <c r="Y156" s="52"/>
      <c r="Z156" s="52"/>
      <c r="AA156" s="52"/>
      <c r="AB156" s="53"/>
    </row>
    <row r="157" hidden="1">
      <c r="A157" s="130"/>
      <c r="B157" s="48" t="s">
        <v>660</v>
      </c>
      <c r="C157" s="48">
        <v>1.0</v>
      </c>
      <c r="D157" s="123">
        <v>9.87E9</v>
      </c>
      <c r="E157" s="48" t="s">
        <v>661</v>
      </c>
      <c r="F157" s="48">
        <v>1.0</v>
      </c>
      <c r="G157" s="48" t="s">
        <v>383</v>
      </c>
      <c r="H157" s="48" t="s">
        <v>560</v>
      </c>
      <c r="I157" s="48">
        <v>3.0</v>
      </c>
      <c r="J157" s="48">
        <v>32.0</v>
      </c>
      <c r="K157" s="130"/>
      <c r="L157" s="130"/>
      <c r="M157" s="48"/>
      <c r="N157" s="48" t="str">
        <f t="shared" ref="N157:N177" si="14">CONCAT(B157,".png")</f>
        <v>FT09_Redmi_Note_5_3_32_1_GOLD.png</v>
      </c>
      <c r="O157" s="48">
        <v>4200.0</v>
      </c>
      <c r="P157" s="48">
        <v>9700.0</v>
      </c>
      <c r="Q157" s="48">
        <v>20.0</v>
      </c>
      <c r="R157" s="51">
        <v>0.0</v>
      </c>
      <c r="S157" s="48">
        <v>0.0</v>
      </c>
      <c r="T157" s="52"/>
      <c r="U157" s="52"/>
      <c r="V157" s="52"/>
      <c r="W157" s="52"/>
      <c r="X157" s="52"/>
      <c r="Y157" s="52"/>
      <c r="Z157" s="52"/>
      <c r="AA157" s="52"/>
      <c r="AB157" s="53"/>
    </row>
    <row r="158" hidden="1">
      <c r="A158" s="184"/>
      <c r="B158" s="185" t="s">
        <v>558</v>
      </c>
      <c r="C158" s="185">
        <v>1.0</v>
      </c>
      <c r="D158" s="185">
        <v>8525852.0</v>
      </c>
      <c r="E158" s="185" t="s">
        <v>559</v>
      </c>
      <c r="F158" s="185">
        <v>2.0</v>
      </c>
      <c r="G158" s="185" t="s">
        <v>383</v>
      </c>
      <c r="H158" s="185" t="s">
        <v>560</v>
      </c>
      <c r="I158" s="130">
        <v>3.0</v>
      </c>
      <c r="J158" s="186">
        <v>32.0</v>
      </c>
      <c r="K158" s="185"/>
      <c r="L158" s="185"/>
      <c r="M158" s="185"/>
      <c r="N158" s="185" t="str">
        <f t="shared" si="14"/>
        <v>FT09_Redmi_Note_5_3_32_2_BLACK.png</v>
      </c>
      <c r="O158" s="185">
        <v>4200.0</v>
      </c>
      <c r="P158" s="185">
        <v>9700.0</v>
      </c>
      <c r="Q158" s="185">
        <v>20.0</v>
      </c>
      <c r="R158" s="51">
        <v>0.0</v>
      </c>
      <c r="S158" s="185">
        <v>0.0</v>
      </c>
      <c r="T158" s="78"/>
      <c r="U158" s="173"/>
      <c r="V158" s="173"/>
      <c r="W158" s="173"/>
      <c r="X158" s="173"/>
      <c r="Y158" s="173"/>
      <c r="Z158" s="173"/>
      <c r="AA158" s="173"/>
      <c r="AB158" s="187"/>
    </row>
    <row r="159" hidden="1">
      <c r="A159" s="184"/>
      <c r="B159" s="185" t="s">
        <v>565</v>
      </c>
      <c r="C159" s="185">
        <v>1.0</v>
      </c>
      <c r="D159" s="188">
        <v>9.87E9</v>
      </c>
      <c r="E159" s="185" t="s">
        <v>566</v>
      </c>
      <c r="F159" s="185">
        <v>1.0</v>
      </c>
      <c r="G159" s="185" t="s">
        <v>383</v>
      </c>
      <c r="H159" s="185" t="s">
        <v>567</v>
      </c>
      <c r="I159" s="130">
        <v>4.0</v>
      </c>
      <c r="J159" s="186">
        <v>64.0</v>
      </c>
      <c r="K159" s="185">
        <v>5.99</v>
      </c>
      <c r="L159" s="172" t="s">
        <v>568</v>
      </c>
      <c r="M159" s="189" t="s">
        <v>569</v>
      </c>
      <c r="N159" s="185" t="str">
        <f t="shared" si="14"/>
        <v>FT09_Redmi_Note_5_Pro_4_64_1_BLACK.png</v>
      </c>
      <c r="O159" s="185">
        <v>6700.0</v>
      </c>
      <c r="P159" s="185">
        <v>13999.0</v>
      </c>
      <c r="Q159" s="185">
        <v>5.0</v>
      </c>
      <c r="R159" s="51">
        <v>0.0</v>
      </c>
      <c r="S159" s="185">
        <v>0.0</v>
      </c>
      <c r="T159" s="78"/>
      <c r="U159" s="173"/>
      <c r="V159" s="173"/>
      <c r="W159" s="173"/>
      <c r="X159" s="173"/>
      <c r="Y159" s="173"/>
      <c r="Z159" s="173"/>
      <c r="AA159" s="173"/>
      <c r="AB159" s="187"/>
    </row>
    <row r="160" hidden="1">
      <c r="A160" s="48"/>
      <c r="B160" s="48" t="s">
        <v>662</v>
      </c>
      <c r="C160" s="48">
        <v>1.0</v>
      </c>
      <c r="D160" s="48">
        <v>8.0986068E7</v>
      </c>
      <c r="E160" s="48" t="s">
        <v>663</v>
      </c>
      <c r="F160" s="48">
        <v>1.0</v>
      </c>
      <c r="G160" s="48" t="s">
        <v>383</v>
      </c>
      <c r="H160" s="48" t="s">
        <v>567</v>
      </c>
      <c r="I160" s="48">
        <v>4.0</v>
      </c>
      <c r="J160" s="48">
        <v>64.0</v>
      </c>
      <c r="K160" s="48">
        <v>5.99</v>
      </c>
      <c r="L160" s="96" t="s">
        <v>568</v>
      </c>
      <c r="M160" s="49" t="s">
        <v>569</v>
      </c>
      <c r="N160" s="48" t="str">
        <f t="shared" si="14"/>
        <v>FT09_Redmi_Note_5_Pro_4_64_1_BLUE.png</v>
      </c>
      <c r="O160" s="48">
        <v>6700.0</v>
      </c>
      <c r="P160" s="48">
        <v>13999.0</v>
      </c>
      <c r="Q160" s="48">
        <v>5.0</v>
      </c>
      <c r="R160" s="51">
        <v>0.0</v>
      </c>
      <c r="S160" s="48">
        <v>0.0</v>
      </c>
      <c r="T160" s="52"/>
      <c r="U160" s="52"/>
      <c r="V160" s="52"/>
      <c r="W160" s="52"/>
      <c r="X160" s="52"/>
      <c r="Y160" s="52"/>
      <c r="Z160" s="52"/>
      <c r="AA160" s="52"/>
      <c r="AB160" s="53"/>
    </row>
    <row r="161" hidden="1">
      <c r="A161" s="48"/>
      <c r="B161" s="48" t="s">
        <v>664</v>
      </c>
      <c r="C161" s="48">
        <v>1.0</v>
      </c>
      <c r="D161" s="48">
        <v>8.4064468E7</v>
      </c>
      <c r="E161" s="48" t="s">
        <v>573</v>
      </c>
      <c r="F161" s="48">
        <v>1.0</v>
      </c>
      <c r="G161" s="48" t="s">
        <v>383</v>
      </c>
      <c r="H161" s="48" t="s">
        <v>567</v>
      </c>
      <c r="I161" s="48">
        <v>4.0</v>
      </c>
      <c r="J161" s="48">
        <v>64.0</v>
      </c>
      <c r="K161" s="130">
        <v>5.99</v>
      </c>
      <c r="L161" s="96" t="s">
        <v>568</v>
      </c>
      <c r="M161" s="49" t="s">
        <v>569</v>
      </c>
      <c r="N161" s="48" t="str">
        <f t="shared" si="14"/>
        <v>FT09_Redmi_Note_5_Pro_4_64_1_GOLD.png</v>
      </c>
      <c r="O161" s="48">
        <v>6700.0</v>
      </c>
      <c r="P161" s="48">
        <v>13999.0</v>
      </c>
      <c r="Q161" s="48">
        <v>5.0</v>
      </c>
      <c r="R161" s="51">
        <v>0.0</v>
      </c>
      <c r="S161" s="48">
        <v>0.0</v>
      </c>
      <c r="T161" s="52"/>
      <c r="U161" s="52"/>
      <c r="V161" s="52"/>
      <c r="W161" s="52"/>
      <c r="X161" s="52"/>
      <c r="Y161" s="52"/>
      <c r="Z161" s="52"/>
      <c r="AA161" s="52"/>
      <c r="AB161" s="53"/>
    </row>
    <row r="162" hidden="1">
      <c r="A162" s="48"/>
      <c r="B162" s="48" t="s">
        <v>665</v>
      </c>
      <c r="C162" s="48">
        <v>1.0</v>
      </c>
      <c r="D162" s="123">
        <v>8.01E10</v>
      </c>
      <c r="E162" s="48" t="s">
        <v>666</v>
      </c>
      <c r="F162" s="48">
        <v>1.0</v>
      </c>
      <c r="G162" s="48" t="s">
        <v>383</v>
      </c>
      <c r="H162" s="48" t="s">
        <v>567</v>
      </c>
      <c r="I162" s="48">
        <v>4.0</v>
      </c>
      <c r="J162" s="48">
        <v>64.0</v>
      </c>
      <c r="K162" s="130">
        <v>5.99</v>
      </c>
      <c r="L162" s="96" t="s">
        <v>568</v>
      </c>
      <c r="M162" s="49" t="s">
        <v>569</v>
      </c>
      <c r="N162" s="48" t="str">
        <f t="shared" si="14"/>
        <v>FT09_Redmi_Note_5_Pro_4_64_1_RED.png</v>
      </c>
      <c r="O162" s="48">
        <v>6700.0</v>
      </c>
      <c r="P162" s="48">
        <v>13999.0</v>
      </c>
      <c r="Q162" s="48">
        <v>5.0</v>
      </c>
      <c r="R162" s="51">
        <v>0.0</v>
      </c>
      <c r="S162" s="48">
        <v>0.0</v>
      </c>
      <c r="T162" s="52"/>
      <c r="U162" s="52"/>
      <c r="V162" s="52"/>
      <c r="W162" s="52"/>
      <c r="X162" s="52"/>
      <c r="Y162" s="52"/>
      <c r="Z162" s="52"/>
      <c r="AA162" s="52"/>
      <c r="AB162" s="53"/>
    </row>
    <row r="163" hidden="1">
      <c r="A163" s="48"/>
      <c r="B163" s="48" t="s">
        <v>667</v>
      </c>
      <c r="C163" s="48">
        <v>1.0</v>
      </c>
      <c r="D163" s="123">
        <v>8.91E8</v>
      </c>
      <c r="E163" s="48" t="s">
        <v>668</v>
      </c>
      <c r="F163" s="48">
        <v>1.0</v>
      </c>
      <c r="G163" s="48" t="s">
        <v>383</v>
      </c>
      <c r="H163" s="48" t="s">
        <v>567</v>
      </c>
      <c r="I163" s="48">
        <v>4.0</v>
      </c>
      <c r="J163" s="48">
        <v>64.0</v>
      </c>
      <c r="K163" s="130">
        <v>5.99</v>
      </c>
      <c r="L163" s="96" t="s">
        <v>568</v>
      </c>
      <c r="M163" s="49" t="s">
        <v>569</v>
      </c>
      <c r="N163" s="48" t="str">
        <f t="shared" si="14"/>
        <v>FT09_Redmi_Note_5_Pro_4_64_1_ROSEGOLD.png</v>
      </c>
      <c r="O163" s="48">
        <v>6700.0</v>
      </c>
      <c r="P163" s="48">
        <v>13999.0</v>
      </c>
      <c r="Q163" s="48">
        <v>5.0</v>
      </c>
      <c r="R163" s="51">
        <v>0.0</v>
      </c>
      <c r="S163" s="48">
        <v>0.0</v>
      </c>
      <c r="T163" s="52"/>
      <c r="U163" s="52"/>
      <c r="V163" s="52"/>
      <c r="W163" s="52"/>
      <c r="X163" s="52"/>
      <c r="Y163" s="52"/>
      <c r="Z163" s="52"/>
      <c r="AA163" s="52"/>
      <c r="AB163" s="53"/>
    </row>
    <row r="164" hidden="1">
      <c r="A164" s="48"/>
      <c r="B164" s="48" t="s">
        <v>669</v>
      </c>
      <c r="C164" s="48">
        <v>1.0</v>
      </c>
      <c r="D164" s="123">
        <v>9.81E8</v>
      </c>
      <c r="E164" s="48" t="s">
        <v>566</v>
      </c>
      <c r="F164" s="48">
        <v>2.0</v>
      </c>
      <c r="G164" s="48" t="s">
        <v>383</v>
      </c>
      <c r="H164" s="48" t="s">
        <v>567</v>
      </c>
      <c r="I164" s="48">
        <v>4.0</v>
      </c>
      <c r="J164" s="48">
        <v>64.0</v>
      </c>
      <c r="K164" s="130">
        <v>5.99</v>
      </c>
      <c r="L164" s="96" t="s">
        <v>568</v>
      </c>
      <c r="M164" s="49" t="s">
        <v>569</v>
      </c>
      <c r="N164" s="48" t="str">
        <f t="shared" si="14"/>
        <v>FT09_Redmi_Note_5_Pro_4_64_2_BLACK.png</v>
      </c>
      <c r="O164" s="48">
        <v>6700.0</v>
      </c>
      <c r="P164" s="48">
        <v>13999.0</v>
      </c>
      <c r="Q164" s="48">
        <v>5.0</v>
      </c>
      <c r="R164" s="51">
        <v>0.0</v>
      </c>
      <c r="S164" s="48">
        <v>0.0</v>
      </c>
      <c r="T164" s="52"/>
      <c r="U164" s="52"/>
      <c r="V164" s="52"/>
      <c r="W164" s="52"/>
      <c r="X164" s="52"/>
      <c r="Y164" s="52"/>
      <c r="Z164" s="52"/>
      <c r="AA164" s="52"/>
      <c r="AB164" s="53"/>
    </row>
    <row r="165" hidden="1">
      <c r="A165" s="48"/>
      <c r="B165" s="48" t="s">
        <v>670</v>
      </c>
      <c r="C165" s="48">
        <v>1.0</v>
      </c>
      <c r="D165" s="48">
        <v>932521.0</v>
      </c>
      <c r="E165" s="48" t="s">
        <v>671</v>
      </c>
      <c r="F165" s="48">
        <v>1.0</v>
      </c>
      <c r="G165" s="48" t="s">
        <v>383</v>
      </c>
      <c r="H165" s="48" t="s">
        <v>579</v>
      </c>
      <c r="I165" s="48">
        <v>4.0</v>
      </c>
      <c r="J165" s="48">
        <v>64.0</v>
      </c>
      <c r="K165" s="48"/>
      <c r="L165" s="48"/>
      <c r="M165" s="48"/>
      <c r="N165" s="48" t="str">
        <f t="shared" si="14"/>
        <v>FT09_Redmi_Note_6_Pro_4_64_1_BLACK.png</v>
      </c>
      <c r="O165" s="48">
        <v>6700.0</v>
      </c>
      <c r="P165" s="48">
        <v>13999.0</v>
      </c>
      <c r="Q165" s="48">
        <v>5.0</v>
      </c>
      <c r="R165" s="51">
        <v>0.0</v>
      </c>
      <c r="S165" s="48">
        <v>0.0</v>
      </c>
      <c r="T165" s="52"/>
      <c r="U165" s="98"/>
      <c r="V165" s="98"/>
      <c r="W165" s="98"/>
      <c r="X165" s="98"/>
      <c r="Y165" s="98"/>
      <c r="Z165" s="98"/>
      <c r="AA165" s="98"/>
      <c r="AB165" s="80"/>
    </row>
    <row r="166" hidden="1">
      <c r="A166" s="130"/>
      <c r="B166" s="48" t="s">
        <v>672</v>
      </c>
      <c r="C166" s="48">
        <v>1.0</v>
      </c>
      <c r="D166" s="48">
        <v>8.525842E7</v>
      </c>
      <c r="E166" s="48" t="s">
        <v>673</v>
      </c>
      <c r="F166" s="48">
        <v>1.0</v>
      </c>
      <c r="G166" s="48" t="s">
        <v>383</v>
      </c>
      <c r="H166" s="48" t="s">
        <v>579</v>
      </c>
      <c r="I166" s="48">
        <v>4.0</v>
      </c>
      <c r="J166" s="48">
        <v>64.0</v>
      </c>
      <c r="K166" s="48"/>
      <c r="L166" s="48"/>
      <c r="M166" s="48"/>
      <c r="N166" s="48" t="str">
        <f t="shared" si="14"/>
        <v>FT09_Redmi_Note_6_Pro_4_64_1_BLUE.png</v>
      </c>
      <c r="O166" s="48">
        <v>6700.0</v>
      </c>
      <c r="P166" s="48">
        <v>13999.0</v>
      </c>
      <c r="Q166" s="48">
        <v>5.0</v>
      </c>
      <c r="R166" s="51">
        <v>0.0</v>
      </c>
      <c r="S166" s="48">
        <v>0.0</v>
      </c>
      <c r="T166" s="52"/>
      <c r="U166" s="52"/>
      <c r="V166" s="52"/>
      <c r="W166" s="52"/>
      <c r="X166" s="52"/>
      <c r="Y166" s="52"/>
      <c r="Z166" s="52"/>
      <c r="AA166" s="52"/>
      <c r="AB166" s="53"/>
    </row>
    <row r="167" hidden="1">
      <c r="A167" s="48"/>
      <c r="B167" s="48" t="s">
        <v>674</v>
      </c>
      <c r="C167" s="48">
        <v>1.0</v>
      </c>
      <c r="D167" s="48">
        <v>5.2852098E7</v>
      </c>
      <c r="E167" s="48" t="s">
        <v>675</v>
      </c>
      <c r="F167" s="48">
        <v>1.0</v>
      </c>
      <c r="G167" s="48" t="s">
        <v>383</v>
      </c>
      <c r="H167" s="48" t="s">
        <v>676</v>
      </c>
      <c r="I167" s="48">
        <v>3.0</v>
      </c>
      <c r="J167" s="48">
        <v>32.0</v>
      </c>
      <c r="K167" s="167"/>
      <c r="L167" s="82"/>
      <c r="M167" s="82"/>
      <c r="N167" s="82" t="str">
        <f t="shared" si="14"/>
        <v>FT09_Redmi_Y1_3_32_1_GOLD.png</v>
      </c>
      <c r="O167" s="48">
        <v>6700.0</v>
      </c>
      <c r="P167" s="48">
        <v>13999.0</v>
      </c>
      <c r="Q167" s="48">
        <v>5.0</v>
      </c>
      <c r="R167" s="51">
        <v>0.0</v>
      </c>
      <c r="S167" s="82"/>
      <c r="T167" s="52"/>
      <c r="U167" s="52"/>
      <c r="V167" s="52"/>
      <c r="W167" s="52"/>
      <c r="X167" s="52"/>
      <c r="Y167" s="52"/>
      <c r="Z167" s="52"/>
      <c r="AA167" s="52"/>
      <c r="AB167" s="53"/>
    </row>
    <row r="168" hidden="1">
      <c r="A168" s="130"/>
      <c r="B168" s="48" t="s">
        <v>677</v>
      </c>
      <c r="C168" s="48">
        <v>1.0</v>
      </c>
      <c r="D168" s="123">
        <v>8.01E10</v>
      </c>
      <c r="E168" s="130" t="s">
        <v>678</v>
      </c>
      <c r="F168" s="48">
        <v>2.0</v>
      </c>
      <c r="G168" s="48" t="s">
        <v>131</v>
      </c>
      <c r="H168" s="48" t="s">
        <v>679</v>
      </c>
      <c r="I168" s="130">
        <v>2.0</v>
      </c>
      <c r="J168" s="130">
        <v>16.0</v>
      </c>
      <c r="K168" s="167"/>
      <c r="L168" s="82"/>
      <c r="M168" s="82"/>
      <c r="N168" s="167" t="str">
        <f t="shared" si="14"/>
        <v>FT10_Y81i_2_16_2_BLACK.png</v>
      </c>
      <c r="O168" s="48">
        <v>0.0</v>
      </c>
      <c r="P168" s="48">
        <v>39000.0</v>
      </c>
      <c r="Q168" s="48">
        <v>10.0</v>
      </c>
      <c r="R168" s="51">
        <v>0.0</v>
      </c>
      <c r="S168" s="82"/>
      <c r="T168" s="52"/>
      <c r="U168" s="52"/>
      <c r="V168" s="52"/>
      <c r="W168" s="52"/>
      <c r="X168" s="52"/>
      <c r="Y168" s="52"/>
      <c r="Z168" s="52"/>
      <c r="AA168" s="52"/>
      <c r="AB168" s="53"/>
    </row>
    <row r="169" hidden="1">
      <c r="A169" s="48"/>
      <c r="B169" s="48" t="s">
        <v>680</v>
      </c>
      <c r="C169" s="48">
        <v>1.0</v>
      </c>
      <c r="D169" s="48">
        <v>5.9853258E7</v>
      </c>
      <c r="E169" s="48" t="s">
        <v>681</v>
      </c>
      <c r="F169" s="48">
        <v>1.0</v>
      </c>
      <c r="G169" s="48" t="s">
        <v>362</v>
      </c>
      <c r="H169" s="48" t="s">
        <v>363</v>
      </c>
      <c r="I169" s="48">
        <v>6.0</v>
      </c>
      <c r="J169" s="48">
        <v>128.0</v>
      </c>
      <c r="K169" s="167"/>
      <c r="L169" s="82"/>
      <c r="M169" s="82"/>
      <c r="N169" s="82" t="str">
        <f t="shared" si="14"/>
        <v>FT11_F11_PRO_6_128_1_BLUE.png</v>
      </c>
      <c r="O169" s="48">
        <v>12699.0</v>
      </c>
      <c r="P169" s="48">
        <v>23990.0</v>
      </c>
      <c r="Q169" s="48">
        <v>10.0</v>
      </c>
      <c r="R169" s="51">
        <v>0.0</v>
      </c>
      <c r="S169" s="82"/>
      <c r="T169" s="98"/>
      <c r="U169" s="52"/>
      <c r="V169" s="52"/>
      <c r="W169" s="52"/>
      <c r="X169" s="52"/>
      <c r="Y169" s="52"/>
      <c r="Z169" s="52"/>
      <c r="AA169" s="52"/>
      <c r="AB169" s="53"/>
    </row>
    <row r="170" hidden="1">
      <c r="A170" s="130"/>
      <c r="B170" s="48" t="s">
        <v>682</v>
      </c>
      <c r="C170" s="48">
        <v>1.0</v>
      </c>
      <c r="D170" s="123">
        <v>6.59E8</v>
      </c>
      <c r="E170" s="48" t="s">
        <v>683</v>
      </c>
      <c r="F170" s="48">
        <v>1.0</v>
      </c>
      <c r="G170" s="48" t="s">
        <v>362</v>
      </c>
      <c r="H170" s="48" t="s">
        <v>684</v>
      </c>
      <c r="I170" s="48">
        <v>3.0</v>
      </c>
      <c r="J170" s="48">
        <v>32.0</v>
      </c>
      <c r="K170" s="48">
        <v>6.2</v>
      </c>
      <c r="L170" s="96" t="s">
        <v>685</v>
      </c>
      <c r="M170" s="107" t="s">
        <v>686</v>
      </c>
      <c r="N170" s="82" t="str">
        <f t="shared" si="14"/>
        <v>FT11_RealMe_2_3_32_1_BLACK.png</v>
      </c>
      <c r="O170" s="48">
        <v>5699.0</v>
      </c>
      <c r="P170" s="48">
        <v>8990.0</v>
      </c>
      <c r="Q170" s="48">
        <v>10.0</v>
      </c>
      <c r="R170" s="51">
        <v>0.0</v>
      </c>
      <c r="S170" s="82"/>
      <c r="T170" s="52"/>
      <c r="U170" s="52"/>
      <c r="V170" s="52"/>
      <c r="W170" s="52"/>
      <c r="X170" s="52"/>
      <c r="Y170" s="52"/>
      <c r="Z170" s="52"/>
      <c r="AA170" s="52"/>
      <c r="AB170" s="53"/>
    </row>
    <row r="171" hidden="1">
      <c r="A171" s="130"/>
      <c r="B171" s="48" t="s">
        <v>687</v>
      </c>
      <c r="C171" s="48">
        <v>1.0</v>
      </c>
      <c r="D171" s="123">
        <v>1.53E9</v>
      </c>
      <c r="E171" s="130" t="s">
        <v>688</v>
      </c>
      <c r="F171" s="48">
        <v>1.0</v>
      </c>
      <c r="G171" s="48" t="s">
        <v>401</v>
      </c>
      <c r="H171" s="48" t="s">
        <v>689</v>
      </c>
      <c r="I171" s="48">
        <v>6.0</v>
      </c>
      <c r="J171" s="48">
        <v>128.0</v>
      </c>
      <c r="K171" s="82"/>
      <c r="L171" s="82"/>
      <c r="M171" s="82"/>
      <c r="N171" s="82" t="str">
        <f t="shared" si="14"/>
        <v>FT14_A50_6_128_1_BLUE.png</v>
      </c>
      <c r="O171" s="82"/>
      <c r="P171" s="82"/>
      <c r="Q171" s="82"/>
      <c r="R171" s="51">
        <v>0.0</v>
      </c>
      <c r="S171" s="82"/>
      <c r="T171" s="52"/>
      <c r="U171" s="52"/>
      <c r="V171" s="52"/>
      <c r="W171" s="52"/>
      <c r="X171" s="52"/>
      <c r="Y171" s="52"/>
      <c r="Z171" s="52"/>
      <c r="AA171" s="52"/>
      <c r="AB171" s="53"/>
    </row>
    <row r="172" hidden="1">
      <c r="A172" s="130"/>
      <c r="B172" s="48" t="s">
        <v>690</v>
      </c>
      <c r="C172" s="48">
        <v>1.0</v>
      </c>
      <c r="D172" s="123">
        <v>8.53E8</v>
      </c>
      <c r="E172" s="130" t="s">
        <v>691</v>
      </c>
      <c r="F172" s="48">
        <v>1.0</v>
      </c>
      <c r="G172" s="48" t="s">
        <v>401</v>
      </c>
      <c r="H172" s="48" t="s">
        <v>692</v>
      </c>
      <c r="I172" s="48">
        <v>6.0</v>
      </c>
      <c r="J172" s="48">
        <v>128.0</v>
      </c>
      <c r="K172" s="167"/>
      <c r="L172" s="82"/>
      <c r="M172" s="82"/>
      <c r="N172" s="82" t="str">
        <f t="shared" si="14"/>
        <v>FT14_A51_6_128_1_BACK.png</v>
      </c>
      <c r="O172" s="82"/>
      <c r="P172" s="82"/>
      <c r="Q172" s="82"/>
      <c r="R172" s="51">
        <v>0.0</v>
      </c>
      <c r="S172" s="82"/>
      <c r="T172" s="52"/>
      <c r="U172" s="52"/>
      <c r="V172" s="52"/>
      <c r="W172" s="52"/>
      <c r="X172" s="52"/>
      <c r="Y172" s="52"/>
      <c r="Z172" s="52"/>
      <c r="AA172" s="52"/>
      <c r="AB172" s="53"/>
    </row>
    <row r="173" hidden="1">
      <c r="A173" s="48"/>
      <c r="B173" s="48" t="s">
        <v>693</v>
      </c>
      <c r="C173" s="48">
        <v>1.0</v>
      </c>
      <c r="D173" s="48">
        <v>8525852.0</v>
      </c>
      <c r="E173" s="130" t="s">
        <v>694</v>
      </c>
      <c r="F173" s="48">
        <v>2.0</v>
      </c>
      <c r="G173" s="48" t="s">
        <v>401</v>
      </c>
      <c r="H173" s="48" t="s">
        <v>695</v>
      </c>
      <c r="I173" s="48">
        <v>2.0</v>
      </c>
      <c r="J173" s="48">
        <v>32.0</v>
      </c>
      <c r="K173" s="167"/>
      <c r="L173" s="82"/>
      <c r="M173" s="82"/>
      <c r="N173" s="82" t="str">
        <f t="shared" si="14"/>
        <v>FT14_J5_2017_2_32_2_BLACK.png</v>
      </c>
      <c r="O173" s="48">
        <v>4599.0</v>
      </c>
      <c r="P173" s="48">
        <v>12999.0</v>
      </c>
      <c r="Q173" s="82"/>
      <c r="R173" s="51">
        <v>0.0</v>
      </c>
      <c r="S173" s="82"/>
      <c r="T173" s="52"/>
      <c r="U173" s="52"/>
      <c r="V173" s="52"/>
      <c r="W173" s="52"/>
      <c r="X173" s="52"/>
      <c r="Y173" s="52"/>
      <c r="Z173" s="52"/>
      <c r="AA173" s="52"/>
      <c r="AB173" s="53"/>
    </row>
    <row r="174" hidden="1">
      <c r="A174" s="48"/>
      <c r="B174" s="48" t="s">
        <v>696</v>
      </c>
      <c r="C174" s="48">
        <v>1.0</v>
      </c>
      <c r="D174" s="123">
        <v>9.87E9</v>
      </c>
      <c r="E174" s="130" t="s">
        <v>697</v>
      </c>
      <c r="F174" s="48">
        <v>2.0</v>
      </c>
      <c r="G174" s="48" t="s">
        <v>401</v>
      </c>
      <c r="H174" s="48" t="s">
        <v>698</v>
      </c>
      <c r="I174" s="48">
        <v>2.0</v>
      </c>
      <c r="J174" s="48">
        <v>128.0</v>
      </c>
      <c r="K174" s="167"/>
      <c r="L174" s="82"/>
      <c r="M174" s="82"/>
      <c r="N174" s="82" t="str">
        <f t="shared" si="14"/>
        <v>FT14_NOTE10_8_128_2_BLACK.png</v>
      </c>
      <c r="O174" s="82"/>
      <c r="P174" s="82"/>
      <c r="Q174" s="82"/>
      <c r="R174" s="51">
        <v>0.0</v>
      </c>
      <c r="S174" s="82"/>
      <c r="T174" s="71"/>
      <c r="U174" s="52"/>
      <c r="V174" s="52"/>
      <c r="W174" s="52"/>
      <c r="X174" s="52"/>
      <c r="Y174" s="52"/>
      <c r="Z174" s="52"/>
      <c r="AA174" s="52"/>
      <c r="AB174" s="53"/>
    </row>
    <row r="175" hidden="1">
      <c r="A175" s="48"/>
      <c r="B175" s="48" t="s">
        <v>699</v>
      </c>
      <c r="C175" s="48">
        <v>1.0</v>
      </c>
      <c r="D175" s="123">
        <v>9.87E9</v>
      </c>
      <c r="E175" s="130" t="s">
        <v>700</v>
      </c>
      <c r="F175" s="48">
        <v>1.0</v>
      </c>
      <c r="G175" s="48" t="s">
        <v>401</v>
      </c>
      <c r="H175" s="48" t="s">
        <v>701</v>
      </c>
      <c r="I175" s="48">
        <v>4.0</v>
      </c>
      <c r="J175" s="48">
        <v>64.0</v>
      </c>
      <c r="K175" s="167"/>
      <c r="L175" s="82"/>
      <c r="M175" s="82"/>
      <c r="N175" s="82" t="str">
        <f t="shared" si="14"/>
        <v>FT14_S9_4_64_1_BLACK.png</v>
      </c>
      <c r="O175" s="82"/>
      <c r="P175" s="82"/>
      <c r="Q175" s="82"/>
      <c r="R175" s="51">
        <v>0.0</v>
      </c>
      <c r="S175" s="82"/>
      <c r="T175" s="71"/>
      <c r="U175" s="52"/>
      <c r="V175" s="52"/>
      <c r="W175" s="52"/>
      <c r="X175" s="52"/>
      <c r="Y175" s="52"/>
      <c r="Z175" s="52"/>
      <c r="AA175" s="52"/>
      <c r="AB175" s="53"/>
    </row>
    <row r="176" hidden="1">
      <c r="A176" s="48"/>
      <c r="B176" s="48" t="s">
        <v>702</v>
      </c>
      <c r="C176" s="48">
        <v>1.0</v>
      </c>
      <c r="D176" s="123">
        <v>9.81E8</v>
      </c>
      <c r="E176" s="130" t="s">
        <v>703</v>
      </c>
      <c r="F176" s="48">
        <v>2.0</v>
      </c>
      <c r="G176" s="48" t="s">
        <v>401</v>
      </c>
      <c r="H176" s="48" t="s">
        <v>704</v>
      </c>
      <c r="I176" s="48">
        <v>6.0</v>
      </c>
      <c r="J176" s="48">
        <v>128.0</v>
      </c>
      <c r="K176" s="167"/>
      <c r="L176" s="82"/>
      <c r="M176" s="82"/>
      <c r="N176" s="82" t="str">
        <f t="shared" si="14"/>
        <v>FT14_S9+_6_128_2_BROWN.png</v>
      </c>
      <c r="O176" s="48">
        <v>15799.0</v>
      </c>
      <c r="P176" s="48">
        <v>70000.0</v>
      </c>
      <c r="Q176" s="82"/>
      <c r="R176" s="51">
        <v>0.0</v>
      </c>
      <c r="S176" s="82"/>
      <c r="T176" s="160"/>
      <c r="U176" s="52"/>
      <c r="V176" s="52"/>
      <c r="W176" s="52"/>
      <c r="X176" s="52"/>
      <c r="Y176" s="52"/>
      <c r="Z176" s="52"/>
      <c r="AA176" s="52"/>
      <c r="AB176" s="53"/>
    </row>
    <row r="177" hidden="1">
      <c r="A177" s="48"/>
      <c r="B177" s="48" t="s">
        <v>705</v>
      </c>
      <c r="C177" s="48">
        <v>1.0</v>
      </c>
      <c r="D177" s="48">
        <v>8.0986068E7</v>
      </c>
      <c r="E177" s="130" t="s">
        <v>706</v>
      </c>
      <c r="F177" s="48">
        <v>2.0</v>
      </c>
      <c r="G177" s="48" t="s">
        <v>401</v>
      </c>
      <c r="H177" s="48" t="s">
        <v>704</v>
      </c>
      <c r="I177" s="48">
        <v>6.0</v>
      </c>
      <c r="J177" s="48">
        <v>64.0</v>
      </c>
      <c r="K177" s="167"/>
      <c r="L177" s="82"/>
      <c r="M177" s="82"/>
      <c r="N177" s="82" t="str">
        <f t="shared" si="14"/>
        <v>FT14_S9+_6_64_2_BLUE.png</v>
      </c>
      <c r="O177" s="82"/>
      <c r="P177" s="82"/>
      <c r="Q177" s="82"/>
      <c r="R177" s="51">
        <v>0.0</v>
      </c>
      <c r="S177" s="82"/>
      <c r="T177" s="52"/>
      <c r="U177" s="52"/>
      <c r="V177" s="52"/>
      <c r="W177" s="52"/>
      <c r="X177" s="52"/>
      <c r="Y177" s="52"/>
      <c r="Z177" s="52"/>
      <c r="AA177" s="52"/>
      <c r="AB177" s="53"/>
    </row>
    <row r="178" hidden="1">
      <c r="A178" s="190" t="s">
        <v>707</v>
      </c>
      <c r="B178" s="191"/>
      <c r="C178" s="92">
        <v>1.0</v>
      </c>
      <c r="D178" s="93" t="s">
        <v>708</v>
      </c>
      <c r="E178" s="53" t="s">
        <v>709</v>
      </c>
      <c r="F178" s="91"/>
      <c r="G178" s="71"/>
      <c r="H178" s="52"/>
      <c r="I178" s="52">
        <v>6.0</v>
      </c>
      <c r="J178" s="52">
        <v>128.0</v>
      </c>
      <c r="K178" s="53">
        <v>6.3</v>
      </c>
      <c r="L178" s="95" t="s">
        <v>710</v>
      </c>
      <c r="M178" s="107" t="s">
        <v>711</v>
      </c>
      <c r="N178" s="52"/>
      <c r="O178" s="52"/>
      <c r="P178" s="52"/>
      <c r="Q178" s="52"/>
      <c r="R178" s="51">
        <v>0.0</v>
      </c>
      <c r="S178" s="52"/>
      <c r="T178" s="52"/>
      <c r="U178" s="52"/>
      <c r="V178" s="52"/>
      <c r="W178" s="52"/>
      <c r="X178" s="52"/>
      <c r="Y178" s="52"/>
      <c r="Z178" s="52"/>
      <c r="AA178" s="52"/>
      <c r="AB178" s="53"/>
    </row>
    <row r="179" hidden="1">
      <c r="A179" s="93" t="s">
        <v>42</v>
      </c>
      <c r="B179" s="52"/>
      <c r="C179" s="52"/>
      <c r="D179" s="52"/>
      <c r="E179" s="105" t="s">
        <v>712</v>
      </c>
      <c r="F179" s="52"/>
      <c r="G179" s="52"/>
      <c r="H179" s="52"/>
      <c r="I179" s="52"/>
      <c r="J179" s="52"/>
      <c r="K179" s="53"/>
      <c r="L179" s="52"/>
      <c r="M179" s="52"/>
      <c r="N179" s="52"/>
      <c r="O179" s="52"/>
      <c r="P179" s="52"/>
      <c r="Q179" s="52"/>
      <c r="R179" s="51">
        <v>0.0</v>
      </c>
      <c r="S179" s="52"/>
      <c r="T179" s="52"/>
      <c r="U179" s="52"/>
      <c r="V179" s="52"/>
      <c r="W179" s="52"/>
      <c r="X179" s="52"/>
      <c r="Y179" s="52"/>
      <c r="Z179" s="52"/>
      <c r="AA179" s="52"/>
      <c r="AB179" s="53"/>
    </row>
    <row r="180" hidden="1">
      <c r="A180" s="192" t="s">
        <v>41</v>
      </c>
      <c r="B180" s="113" t="s">
        <v>713</v>
      </c>
      <c r="C180" s="93">
        <v>1.0</v>
      </c>
      <c r="D180" s="93" t="s">
        <v>714</v>
      </c>
      <c r="E180" s="176" t="s">
        <v>715</v>
      </c>
      <c r="F180" s="93">
        <v>1.0</v>
      </c>
      <c r="G180" s="93" t="s">
        <v>131</v>
      </c>
      <c r="H180" s="93" t="s">
        <v>716</v>
      </c>
      <c r="I180" s="175">
        <v>4.0</v>
      </c>
      <c r="J180" s="175">
        <v>128.0</v>
      </c>
      <c r="K180" s="176">
        <v>6.47</v>
      </c>
      <c r="L180" s="193" t="s">
        <v>717</v>
      </c>
      <c r="M180" s="57" t="s">
        <v>718</v>
      </c>
      <c r="N180" s="57" t="s">
        <v>719</v>
      </c>
      <c r="O180" s="57">
        <v>12199.0</v>
      </c>
      <c r="P180" s="97">
        <v>25999.0</v>
      </c>
      <c r="Q180" s="61"/>
      <c r="R180" s="51">
        <v>0.0</v>
      </c>
      <c r="S180" s="52"/>
      <c r="T180" s="52"/>
      <c r="U180" s="52"/>
      <c r="V180" s="52"/>
      <c r="W180" s="52"/>
      <c r="X180" s="52"/>
      <c r="Y180" s="52"/>
      <c r="Z180" s="52"/>
      <c r="AA180" s="52"/>
      <c r="AB180" s="53"/>
    </row>
    <row r="181" hidden="1">
      <c r="A181" s="192" t="s">
        <v>720</v>
      </c>
      <c r="B181" s="194" t="s">
        <v>721</v>
      </c>
      <c r="C181" s="93">
        <v>1.0</v>
      </c>
      <c r="D181" s="93">
        <v>2.148762463E9</v>
      </c>
      <c r="E181" s="176" t="s">
        <v>722</v>
      </c>
      <c r="F181" s="93">
        <v>1.0</v>
      </c>
      <c r="G181" s="93" t="s">
        <v>401</v>
      </c>
      <c r="H181" s="93" t="s">
        <v>723</v>
      </c>
      <c r="I181" s="175">
        <v>8.0</v>
      </c>
      <c r="J181" s="175">
        <v>128.0</v>
      </c>
      <c r="K181" s="176">
        <v>6.1</v>
      </c>
      <c r="L181" s="193" t="s">
        <v>724</v>
      </c>
      <c r="M181" s="57" t="s">
        <v>725</v>
      </c>
      <c r="N181" s="57" t="s">
        <v>726</v>
      </c>
      <c r="O181" s="57">
        <v>24219.0</v>
      </c>
      <c r="P181" s="97">
        <v>55999.0</v>
      </c>
      <c r="Q181" s="61"/>
      <c r="R181" s="51">
        <v>0.0</v>
      </c>
      <c r="S181" s="52"/>
      <c r="T181" s="52"/>
      <c r="U181" s="52"/>
      <c r="V181" s="52"/>
      <c r="W181" s="52"/>
      <c r="X181" s="52"/>
      <c r="Y181" s="52"/>
      <c r="Z181" s="52"/>
      <c r="AA181" s="52"/>
      <c r="AB181" s="53"/>
    </row>
    <row r="182" hidden="1">
      <c r="A182" s="94" t="s">
        <v>727</v>
      </c>
      <c r="B182" s="94" t="s">
        <v>728</v>
      </c>
      <c r="C182" s="94">
        <v>1.0</v>
      </c>
      <c r="D182" s="93" t="s">
        <v>729</v>
      </c>
      <c r="E182" s="176" t="s">
        <v>730</v>
      </c>
      <c r="F182" s="94">
        <v>1.0</v>
      </c>
      <c r="G182" s="94" t="s">
        <v>383</v>
      </c>
      <c r="H182" s="94" t="s">
        <v>731</v>
      </c>
      <c r="I182" s="175">
        <v>3.0</v>
      </c>
      <c r="J182" s="175">
        <v>32.0</v>
      </c>
      <c r="K182" s="58">
        <v>6.3</v>
      </c>
      <c r="L182" s="195" t="s">
        <v>732</v>
      </c>
      <c r="M182" s="193" t="s">
        <v>733</v>
      </c>
      <c r="N182" s="57" t="s">
        <v>734</v>
      </c>
      <c r="O182" s="52"/>
      <c r="P182" s="61"/>
      <c r="Q182" s="61"/>
      <c r="R182" s="51">
        <v>0.0</v>
      </c>
      <c r="S182" s="52"/>
      <c r="T182" s="52"/>
      <c r="U182" s="52"/>
      <c r="V182" s="52"/>
      <c r="W182" s="52"/>
      <c r="X182" s="52"/>
      <c r="Y182" s="52"/>
      <c r="Z182" s="52"/>
      <c r="AA182" s="52"/>
      <c r="AB182" s="53"/>
    </row>
    <row r="183" hidden="1">
      <c r="A183" s="196" t="s">
        <v>451</v>
      </c>
      <c r="B183" s="94" t="s">
        <v>735</v>
      </c>
      <c r="C183" s="94">
        <v>1.0</v>
      </c>
      <c r="D183" s="94" t="s">
        <v>736</v>
      </c>
      <c r="E183" s="176" t="s">
        <v>737</v>
      </c>
      <c r="F183" s="94">
        <v>1.0</v>
      </c>
      <c r="G183" s="94" t="s">
        <v>131</v>
      </c>
      <c r="H183" s="94" t="s">
        <v>455</v>
      </c>
      <c r="I183" s="175">
        <v>3.0</v>
      </c>
      <c r="J183" s="175">
        <v>64.0</v>
      </c>
      <c r="K183" s="104">
        <v>6.35</v>
      </c>
      <c r="L183" s="195" t="s">
        <v>456</v>
      </c>
      <c r="M183" s="193" t="s">
        <v>457</v>
      </c>
      <c r="N183" s="52"/>
      <c r="O183" s="52"/>
      <c r="P183" s="61"/>
      <c r="Q183" s="61"/>
      <c r="R183" s="51">
        <v>0.0</v>
      </c>
      <c r="S183" s="52"/>
      <c r="T183" s="52"/>
      <c r="U183" s="52"/>
      <c r="V183" s="52"/>
      <c r="W183" s="52"/>
      <c r="X183" s="52"/>
      <c r="Y183" s="52"/>
      <c r="Z183" s="52"/>
      <c r="AA183" s="52"/>
      <c r="AB183" s="53"/>
    </row>
    <row r="184" hidden="1">
      <c r="A184" s="124" t="s">
        <v>738</v>
      </c>
      <c r="B184" s="94" t="s">
        <v>728</v>
      </c>
      <c r="C184" s="94">
        <v>1.0</v>
      </c>
      <c r="D184" s="93" t="s">
        <v>729</v>
      </c>
      <c r="E184" s="176" t="s">
        <v>730</v>
      </c>
      <c r="F184" s="94">
        <v>2.0</v>
      </c>
      <c r="G184" s="94" t="s">
        <v>383</v>
      </c>
      <c r="H184" s="94" t="s">
        <v>731</v>
      </c>
      <c r="I184" s="175">
        <v>4.0</v>
      </c>
      <c r="J184" s="175">
        <v>64.0</v>
      </c>
      <c r="K184" s="58">
        <v>6.3</v>
      </c>
      <c r="L184" s="195" t="s">
        <v>732</v>
      </c>
      <c r="M184" s="193" t="s">
        <v>739</v>
      </c>
      <c r="N184" s="57" t="s">
        <v>740</v>
      </c>
      <c r="O184" s="197">
        <v>8049.0</v>
      </c>
      <c r="P184" s="97">
        <v>17999.0</v>
      </c>
      <c r="Q184" s="61"/>
      <c r="R184" s="51">
        <v>0.0</v>
      </c>
      <c r="S184" s="52"/>
      <c r="T184" s="52"/>
      <c r="U184" s="52"/>
      <c r="V184" s="52"/>
      <c r="W184" s="52"/>
      <c r="X184" s="52"/>
      <c r="Y184" s="52"/>
      <c r="Z184" s="52"/>
      <c r="AA184" s="52"/>
      <c r="AB184" s="53"/>
    </row>
    <row r="185" hidden="1">
      <c r="A185" s="57" t="s">
        <v>741</v>
      </c>
      <c r="B185" s="48" t="s">
        <v>742</v>
      </c>
      <c r="C185" s="48">
        <v>1.0</v>
      </c>
      <c r="D185" s="123">
        <v>6.28E9</v>
      </c>
      <c r="E185" s="48" t="s">
        <v>159</v>
      </c>
      <c r="F185" s="48">
        <v>2.0</v>
      </c>
      <c r="G185" s="48" t="s">
        <v>65</v>
      </c>
      <c r="H185" s="48" t="s">
        <v>160</v>
      </c>
      <c r="I185" s="48">
        <v>1.0</v>
      </c>
      <c r="J185" s="48">
        <v>128.0</v>
      </c>
      <c r="K185" s="48">
        <v>4.7</v>
      </c>
      <c r="L185" s="57" t="s">
        <v>743</v>
      </c>
      <c r="M185" s="57" t="s">
        <v>162</v>
      </c>
      <c r="N185" s="48" t="s">
        <v>744</v>
      </c>
      <c r="O185" s="48">
        <v>9179.0</v>
      </c>
      <c r="P185" s="48">
        <v>42000.0</v>
      </c>
      <c r="Q185" s="48">
        <v>10.0</v>
      </c>
      <c r="R185" s="51">
        <v>0.0</v>
      </c>
      <c r="S185" s="48">
        <v>0.0</v>
      </c>
      <c r="T185" s="57" t="s">
        <v>89</v>
      </c>
      <c r="U185" s="52"/>
      <c r="V185" s="52"/>
      <c r="W185" s="52"/>
      <c r="X185" s="52"/>
      <c r="Y185" s="52"/>
      <c r="Z185" s="52"/>
      <c r="AA185" s="52"/>
      <c r="AB185" s="53"/>
    </row>
    <row r="186" hidden="1">
      <c r="A186" s="57" t="s">
        <v>745</v>
      </c>
      <c r="B186" s="48" t="s">
        <v>746</v>
      </c>
      <c r="C186" s="48">
        <v>1.0</v>
      </c>
      <c r="D186" s="123">
        <v>6.28E9</v>
      </c>
      <c r="E186" s="48" t="s">
        <v>164</v>
      </c>
      <c r="F186" s="48">
        <v>1.0</v>
      </c>
      <c r="G186" s="48" t="s">
        <v>65</v>
      </c>
      <c r="H186" s="48" t="s">
        <v>160</v>
      </c>
      <c r="I186" s="48">
        <v>1.0</v>
      </c>
      <c r="J186" s="48">
        <v>64.0</v>
      </c>
      <c r="K186" s="48">
        <v>4.7</v>
      </c>
      <c r="L186" s="57" t="s">
        <v>747</v>
      </c>
      <c r="M186" s="57" t="s">
        <v>162</v>
      </c>
      <c r="N186" s="118" t="s">
        <v>177</v>
      </c>
      <c r="O186" s="48">
        <v>8569.0</v>
      </c>
      <c r="P186" s="48">
        <v>62000.0</v>
      </c>
      <c r="Q186" s="48">
        <v>10.0</v>
      </c>
      <c r="R186" s="51">
        <v>0.0</v>
      </c>
      <c r="S186" s="48">
        <v>0.0</v>
      </c>
      <c r="T186" s="57" t="s">
        <v>89</v>
      </c>
      <c r="U186" s="52"/>
      <c r="V186" s="52"/>
      <c r="W186" s="52"/>
      <c r="X186" s="52"/>
      <c r="Y186" s="52"/>
      <c r="Z186" s="52"/>
      <c r="AA186" s="52"/>
      <c r="AB186" s="53"/>
    </row>
    <row r="187" hidden="1">
      <c r="A187" s="52" t="s">
        <v>202</v>
      </c>
      <c r="B187" s="48" t="s">
        <v>210</v>
      </c>
      <c r="C187" s="48">
        <v>1.0</v>
      </c>
      <c r="D187" s="48">
        <v>841515.0</v>
      </c>
      <c r="E187" s="48" t="s">
        <v>211</v>
      </c>
      <c r="F187" s="48">
        <v>2.0</v>
      </c>
      <c r="G187" s="48" t="s">
        <v>65</v>
      </c>
      <c r="H187" s="48" t="s">
        <v>190</v>
      </c>
      <c r="I187" s="48">
        <v>2.0</v>
      </c>
      <c r="J187" s="48">
        <v>32.0</v>
      </c>
      <c r="K187" s="48">
        <v>4.7</v>
      </c>
      <c r="L187" s="57" t="s">
        <v>204</v>
      </c>
      <c r="M187" s="57" t="s">
        <v>192</v>
      </c>
      <c r="N187" s="48" t="s">
        <v>201</v>
      </c>
      <c r="O187" s="48">
        <v>8789.0</v>
      </c>
      <c r="P187" s="48">
        <v>28000.0</v>
      </c>
      <c r="Q187" s="48">
        <v>10.0</v>
      </c>
      <c r="R187" s="51">
        <v>0.0</v>
      </c>
      <c r="S187" s="48">
        <v>0.0</v>
      </c>
      <c r="T187" s="125" t="s">
        <v>89</v>
      </c>
      <c r="U187" s="52"/>
      <c r="V187" s="52"/>
      <c r="W187" s="52"/>
      <c r="X187" s="52"/>
      <c r="Y187" s="52"/>
      <c r="Z187" s="52"/>
      <c r="AA187" s="52"/>
      <c r="AB187" s="53"/>
    </row>
    <row r="188" hidden="1">
      <c r="A188" s="1" t="s">
        <v>748</v>
      </c>
      <c r="B188" s="91" t="s">
        <v>749</v>
      </c>
      <c r="C188" s="92">
        <v>1.0</v>
      </c>
      <c r="D188" s="57">
        <v>6.5762244618E10</v>
      </c>
      <c r="E188" s="183" t="s">
        <v>750</v>
      </c>
      <c r="F188" s="91">
        <v>2.0</v>
      </c>
      <c r="G188" s="57" t="s">
        <v>383</v>
      </c>
      <c r="H188" s="183" t="s">
        <v>596</v>
      </c>
      <c r="I188" s="175">
        <v>8.0</v>
      </c>
      <c r="J188" s="175">
        <v>128.0</v>
      </c>
      <c r="K188" s="105">
        <v>6.53</v>
      </c>
      <c r="L188" s="107" t="s">
        <v>597</v>
      </c>
      <c r="M188" s="107" t="s">
        <v>598</v>
      </c>
      <c r="N188" s="57" t="s">
        <v>751</v>
      </c>
      <c r="O188" s="57">
        <v>11919.0</v>
      </c>
      <c r="P188" s="57">
        <v>17999.0</v>
      </c>
      <c r="Q188" s="119">
        <v>10.0</v>
      </c>
      <c r="R188" s="51">
        <v>0.0</v>
      </c>
      <c r="S188" s="52"/>
      <c r="T188" s="57" t="s">
        <v>89</v>
      </c>
      <c r="U188" s="52"/>
      <c r="V188" s="52"/>
      <c r="W188" s="52"/>
      <c r="X188" s="52"/>
      <c r="Y188" s="52"/>
      <c r="Z188" s="52"/>
      <c r="AA188" s="52"/>
      <c r="AB188" s="53"/>
    </row>
    <row r="189" hidden="1">
      <c r="A189" s="4" t="s">
        <v>752</v>
      </c>
      <c r="B189" s="194" t="s">
        <v>753</v>
      </c>
      <c r="C189" s="21">
        <v>1.0</v>
      </c>
      <c r="D189" s="21" t="s">
        <v>754</v>
      </c>
      <c r="E189" s="176" t="s">
        <v>755</v>
      </c>
      <c r="F189" s="21">
        <v>2.0</v>
      </c>
      <c r="G189" s="21" t="s">
        <v>401</v>
      </c>
      <c r="H189" s="21" t="s">
        <v>756</v>
      </c>
      <c r="I189" s="30">
        <v>8.0</v>
      </c>
      <c r="J189" s="30">
        <v>128.0</v>
      </c>
      <c r="K189" s="57">
        <v>6.26</v>
      </c>
      <c r="L189" s="198" t="s">
        <v>757</v>
      </c>
      <c r="M189" s="24" t="s">
        <v>758</v>
      </c>
      <c r="N189" s="30" t="s">
        <v>759</v>
      </c>
      <c r="O189" s="57">
        <v>16899.0</v>
      </c>
      <c r="P189" s="97">
        <v>28999.0</v>
      </c>
      <c r="Q189" s="61"/>
      <c r="R189" s="51">
        <v>0.0</v>
      </c>
      <c r="S189" s="52"/>
      <c r="T189" s="52"/>
      <c r="U189" s="52"/>
      <c r="V189" s="52"/>
      <c r="W189" s="52"/>
      <c r="X189" s="52"/>
      <c r="Y189" s="52"/>
      <c r="Z189" s="52"/>
      <c r="AA189" s="52"/>
      <c r="AB189" s="53"/>
    </row>
    <row r="190" hidden="1">
      <c r="A190" s="125" t="s">
        <v>760</v>
      </c>
      <c r="B190" s="118" t="s">
        <v>761</v>
      </c>
      <c r="C190" s="119">
        <v>1.0</v>
      </c>
      <c r="D190" s="119">
        <v>1231684.0</v>
      </c>
      <c r="E190" s="119" t="s">
        <v>164</v>
      </c>
      <c r="F190" s="118">
        <v>2.0</v>
      </c>
      <c r="G190" s="119" t="s">
        <v>65</v>
      </c>
      <c r="H190" s="119" t="s">
        <v>160</v>
      </c>
      <c r="I190" s="119">
        <v>1.0</v>
      </c>
      <c r="J190" s="119">
        <v>16.0</v>
      </c>
      <c r="K190" s="119">
        <v>4.7</v>
      </c>
      <c r="L190" s="120" t="s">
        <v>161</v>
      </c>
      <c r="M190" s="120" t="s">
        <v>162</v>
      </c>
      <c r="N190" s="118" t="s">
        <v>177</v>
      </c>
      <c r="O190" s="118">
        <v>8539.0</v>
      </c>
      <c r="P190" s="118">
        <v>42000.0</v>
      </c>
      <c r="Q190" s="119">
        <v>10.0</v>
      </c>
      <c r="R190" s="51">
        <v>0.0</v>
      </c>
      <c r="S190" s="119">
        <v>0.0</v>
      </c>
      <c r="T190" s="57" t="s">
        <v>89</v>
      </c>
      <c r="U190" s="52"/>
      <c r="V190" s="52"/>
      <c r="W190" s="52"/>
      <c r="X190" s="52"/>
      <c r="Y190" s="52"/>
      <c r="Z190" s="52"/>
      <c r="AA190" s="52"/>
      <c r="AB190" s="53"/>
    </row>
    <row r="191" hidden="1">
      <c r="A191" s="175" t="s">
        <v>762</v>
      </c>
      <c r="B191" s="113" t="s">
        <v>763</v>
      </c>
      <c r="C191" s="93">
        <v>1.0</v>
      </c>
      <c r="D191" s="93" t="s">
        <v>577</v>
      </c>
      <c r="E191" s="110" t="s">
        <v>764</v>
      </c>
      <c r="F191" s="93">
        <v>2.0</v>
      </c>
      <c r="G191" s="93" t="s">
        <v>383</v>
      </c>
      <c r="H191" s="93" t="s">
        <v>579</v>
      </c>
      <c r="I191" s="175">
        <v>4.0</v>
      </c>
      <c r="J191" s="175">
        <v>64.0</v>
      </c>
      <c r="K191" s="57">
        <v>6.26</v>
      </c>
      <c r="L191" s="96" t="s">
        <v>580</v>
      </c>
      <c r="M191" s="57" t="s">
        <v>581</v>
      </c>
      <c r="N191" s="30" t="s">
        <v>765</v>
      </c>
      <c r="O191" s="57">
        <v>7109.0</v>
      </c>
      <c r="P191" s="57">
        <v>16999.0</v>
      </c>
      <c r="Q191" s="52"/>
      <c r="R191" s="51">
        <v>0.0</v>
      </c>
      <c r="S191" s="52"/>
      <c r="T191" s="57" t="s">
        <v>548</v>
      </c>
      <c r="U191" s="52"/>
      <c r="V191" s="52"/>
      <c r="W191" s="52"/>
      <c r="X191" s="52"/>
      <c r="Y191" s="52"/>
      <c r="Z191" s="52"/>
      <c r="AA191" s="52"/>
      <c r="AB191" s="53"/>
    </row>
    <row r="192" hidden="1">
      <c r="A192" s="174" t="s">
        <v>583</v>
      </c>
      <c r="B192" s="113" t="s">
        <v>766</v>
      </c>
      <c r="C192" s="93">
        <v>1.0</v>
      </c>
      <c r="D192" s="93">
        <v>5.676898765E9</v>
      </c>
      <c r="E192" s="110" t="s">
        <v>585</v>
      </c>
      <c r="F192" s="93">
        <v>1.0</v>
      </c>
      <c r="G192" s="93" t="s">
        <v>383</v>
      </c>
      <c r="H192" s="93" t="s">
        <v>586</v>
      </c>
      <c r="I192" s="175">
        <v>6.0</v>
      </c>
      <c r="J192" s="175">
        <v>128.0</v>
      </c>
      <c r="K192" s="57">
        <v>6.3</v>
      </c>
      <c r="L192" s="96" t="s">
        <v>587</v>
      </c>
      <c r="M192" s="57" t="s">
        <v>588</v>
      </c>
      <c r="N192" s="57" t="s">
        <v>589</v>
      </c>
      <c r="O192" s="57">
        <v>10349.0</v>
      </c>
      <c r="P192" s="57">
        <v>19999.0</v>
      </c>
      <c r="Q192" s="52"/>
      <c r="R192" s="51">
        <v>0.0</v>
      </c>
      <c r="S192" s="52"/>
      <c r="T192" s="57" t="s">
        <v>89</v>
      </c>
      <c r="U192" s="52"/>
      <c r="V192" s="52"/>
      <c r="W192" s="52"/>
      <c r="X192" s="52"/>
      <c r="Y192" s="52"/>
      <c r="Z192" s="52"/>
      <c r="AA192" s="52"/>
      <c r="AB192" s="53"/>
    </row>
    <row r="193" hidden="1">
      <c r="A193" s="131" t="s">
        <v>228</v>
      </c>
      <c r="B193" s="121" t="s">
        <v>234</v>
      </c>
      <c r="C193" s="121">
        <v>1.0</v>
      </c>
      <c r="D193" s="128">
        <v>9.87E9</v>
      </c>
      <c r="E193" s="121" t="s">
        <v>235</v>
      </c>
      <c r="F193" s="121">
        <v>2.0</v>
      </c>
      <c r="G193" s="121" t="s">
        <v>65</v>
      </c>
      <c r="H193" s="121" t="s">
        <v>231</v>
      </c>
      <c r="I193" s="121">
        <v>2.0</v>
      </c>
      <c r="J193" s="121">
        <v>32.0</v>
      </c>
      <c r="K193" s="121">
        <v>4.7</v>
      </c>
      <c r="L193" s="64" t="s">
        <v>232</v>
      </c>
      <c r="M193" s="64" t="s">
        <v>233</v>
      </c>
      <c r="N193" s="121" t="s">
        <v>767</v>
      </c>
      <c r="O193" s="121">
        <v>11319.0</v>
      </c>
      <c r="P193" s="121">
        <v>27999.0</v>
      </c>
      <c r="Q193" s="121">
        <v>10.0</v>
      </c>
      <c r="R193" s="51">
        <v>0.0</v>
      </c>
      <c r="S193" s="121">
        <v>0.0</v>
      </c>
      <c r="T193" s="102"/>
      <c r="U193" s="69"/>
      <c r="V193" s="69"/>
      <c r="W193" s="69"/>
      <c r="X193" s="69"/>
      <c r="Y193" s="69"/>
      <c r="Z193" s="69"/>
      <c r="AA193" s="69"/>
      <c r="AB193" s="70"/>
    </row>
    <row r="194" hidden="1">
      <c r="A194" s="4" t="s">
        <v>768</v>
      </c>
      <c r="B194" s="64" t="s">
        <v>769</v>
      </c>
      <c r="C194" s="64">
        <v>1.0</v>
      </c>
      <c r="D194" s="64" t="s">
        <v>770</v>
      </c>
      <c r="E194" s="64" t="s">
        <v>771</v>
      </c>
      <c r="F194" s="64">
        <v>2.0</v>
      </c>
      <c r="G194" s="64" t="s">
        <v>362</v>
      </c>
      <c r="H194" s="64" t="s">
        <v>772</v>
      </c>
      <c r="I194" s="64">
        <v>4.0</v>
      </c>
      <c r="J194" s="64">
        <v>64.0</v>
      </c>
      <c r="K194" s="64">
        <v>6.3</v>
      </c>
      <c r="L194" s="199" t="s">
        <v>773</v>
      </c>
      <c r="M194" s="200" t="s">
        <v>774</v>
      </c>
      <c r="N194" s="12" t="s">
        <v>775</v>
      </c>
      <c r="O194" s="64">
        <v>7269.0</v>
      </c>
      <c r="P194" s="67">
        <v>13999.0</v>
      </c>
      <c r="Q194" s="68"/>
      <c r="R194" s="51">
        <v>0.0</v>
      </c>
      <c r="S194" s="69"/>
      <c r="T194" s="69"/>
      <c r="U194" s="69"/>
      <c r="V194" s="69"/>
      <c r="W194" s="69"/>
      <c r="X194" s="69"/>
      <c r="Y194" s="69"/>
      <c r="Z194" s="69"/>
      <c r="AA194" s="69"/>
      <c r="AB194" s="70"/>
    </row>
    <row r="195" hidden="1">
      <c r="A195" s="4" t="s">
        <v>198</v>
      </c>
      <c r="B195" s="121" t="s">
        <v>776</v>
      </c>
      <c r="C195" s="121">
        <v>1.0</v>
      </c>
      <c r="D195" s="128">
        <v>9.87E9</v>
      </c>
      <c r="E195" s="121" t="s">
        <v>777</v>
      </c>
      <c r="F195" s="121">
        <v>2.0</v>
      </c>
      <c r="G195" s="121" t="s">
        <v>65</v>
      </c>
      <c r="H195" s="121" t="s">
        <v>231</v>
      </c>
      <c r="I195" s="121">
        <v>2.0</v>
      </c>
      <c r="J195" s="121">
        <v>128.0</v>
      </c>
      <c r="K195" s="121">
        <v>5.5</v>
      </c>
      <c r="L195" s="64" t="s">
        <v>778</v>
      </c>
      <c r="M195" s="64" t="s">
        <v>233</v>
      </c>
      <c r="N195" s="121" t="s">
        <v>767</v>
      </c>
      <c r="O195" s="121">
        <v>13669.0</v>
      </c>
      <c r="P195" s="121">
        <v>27999.0</v>
      </c>
      <c r="Q195" s="121">
        <v>10.0</v>
      </c>
      <c r="R195" s="51">
        <v>0.0</v>
      </c>
      <c r="S195" s="121">
        <v>0.0</v>
      </c>
      <c r="T195" s="69"/>
      <c r="U195" s="69"/>
      <c r="V195" s="69"/>
      <c r="W195" s="69"/>
      <c r="X195" s="69"/>
      <c r="Y195" s="69"/>
      <c r="Z195" s="69"/>
      <c r="AA195" s="69"/>
      <c r="AB195" s="70"/>
    </row>
    <row r="196" hidden="1">
      <c r="A196" s="47" t="s">
        <v>242</v>
      </c>
      <c r="B196" s="48" t="s">
        <v>779</v>
      </c>
      <c r="C196" s="48">
        <v>1.0</v>
      </c>
      <c r="D196" s="48">
        <v>8.0986068E7</v>
      </c>
      <c r="E196" s="48" t="s">
        <v>780</v>
      </c>
      <c r="F196" s="48">
        <v>2.0</v>
      </c>
      <c r="G196" s="48" t="s">
        <v>65</v>
      </c>
      <c r="H196" s="48" t="s">
        <v>66</v>
      </c>
      <c r="I196" s="48">
        <v>2.0</v>
      </c>
      <c r="J196" s="48">
        <v>64.0</v>
      </c>
      <c r="K196" s="48">
        <v>6.28</v>
      </c>
      <c r="L196" s="49" t="s">
        <v>67</v>
      </c>
      <c r="M196" s="49" t="s">
        <v>68</v>
      </c>
      <c r="N196" s="48" t="str">
        <f>CONCAT(B196,".png")</f>
        <v>FT03_iPhone_8_2_64_2_Gold .png</v>
      </c>
      <c r="O196" s="48">
        <v>18119.0</v>
      </c>
      <c r="P196" s="48">
        <v>39000.0</v>
      </c>
      <c r="Q196" s="48">
        <v>10.0</v>
      </c>
      <c r="R196" s="51">
        <v>0.0</v>
      </c>
      <c r="S196" s="48">
        <v>0.0</v>
      </c>
      <c r="T196" s="52"/>
      <c r="U196" s="52"/>
      <c r="V196" s="52"/>
      <c r="W196" s="52"/>
      <c r="X196" s="52"/>
      <c r="Y196" s="52"/>
      <c r="Z196" s="52"/>
      <c r="AA196" s="52"/>
      <c r="AB196" s="53"/>
    </row>
    <row r="197" hidden="1">
      <c r="A197" s="99" t="s">
        <v>322</v>
      </c>
      <c r="B197" s="48" t="s">
        <v>323</v>
      </c>
      <c r="C197" s="48">
        <v>1.0</v>
      </c>
      <c r="D197" s="48">
        <v>1231684.0</v>
      </c>
      <c r="E197" s="48" t="s">
        <v>324</v>
      </c>
      <c r="F197" s="48">
        <v>2.0</v>
      </c>
      <c r="G197" s="48" t="s">
        <v>98</v>
      </c>
      <c r="H197" s="48" t="s">
        <v>325</v>
      </c>
      <c r="I197" s="48">
        <v>6.0</v>
      </c>
      <c r="J197" s="48">
        <v>64.0</v>
      </c>
      <c r="K197" s="48">
        <v>5.5</v>
      </c>
      <c r="L197" s="107" t="s">
        <v>326</v>
      </c>
      <c r="M197" s="107" t="s">
        <v>327</v>
      </c>
      <c r="N197" s="57" t="s">
        <v>781</v>
      </c>
      <c r="O197" s="48">
        <v>8849.0</v>
      </c>
      <c r="P197" s="48">
        <v>29999.0</v>
      </c>
      <c r="Q197" s="48">
        <v>10.0</v>
      </c>
      <c r="R197" s="51">
        <v>0.0</v>
      </c>
      <c r="S197" s="82"/>
      <c r="T197" s="52"/>
      <c r="U197" s="52"/>
      <c r="V197" s="52"/>
      <c r="W197" s="52"/>
      <c r="X197" s="52"/>
      <c r="Y197" s="52"/>
      <c r="Z197" s="52"/>
      <c r="AA197" s="52"/>
      <c r="AB197" s="53"/>
    </row>
    <row r="198">
      <c r="A198" s="4" t="s">
        <v>782</v>
      </c>
      <c r="B198" s="52"/>
      <c r="C198" s="52"/>
      <c r="D198" s="52"/>
      <c r="E198" s="52"/>
      <c r="F198" s="52"/>
      <c r="G198" s="52"/>
      <c r="H198" s="52"/>
      <c r="I198" s="52"/>
      <c r="J198" s="52"/>
      <c r="K198" s="52"/>
      <c r="L198" s="52"/>
      <c r="M198" s="52"/>
      <c r="N198" s="52"/>
      <c r="O198" s="52"/>
      <c r="P198" s="61"/>
      <c r="Q198" s="61"/>
      <c r="R198" s="51">
        <v>0.0</v>
      </c>
      <c r="S198" s="52"/>
      <c r="T198" s="52"/>
      <c r="U198" s="52"/>
      <c r="V198" s="52"/>
      <c r="W198" s="52"/>
      <c r="X198" s="52"/>
      <c r="Y198" s="52"/>
      <c r="Z198" s="52"/>
      <c r="AA198" s="52"/>
      <c r="AB198" s="53"/>
    </row>
    <row r="199">
      <c r="A199" s="4" t="s">
        <v>783</v>
      </c>
      <c r="B199" s="69"/>
      <c r="C199" s="69"/>
      <c r="D199" s="69"/>
      <c r="E199" s="69"/>
      <c r="F199" s="69"/>
      <c r="G199" s="69"/>
      <c r="H199" s="69"/>
      <c r="I199" s="69"/>
      <c r="J199" s="69"/>
      <c r="K199" s="69"/>
      <c r="L199" s="69"/>
      <c r="M199" s="69"/>
      <c r="N199" s="69"/>
      <c r="O199" s="201">
        <v>19629.0</v>
      </c>
      <c r="P199" s="68"/>
      <c r="Q199" s="68"/>
      <c r="R199" s="51">
        <v>0.0</v>
      </c>
      <c r="S199" s="69"/>
      <c r="T199" s="69"/>
      <c r="U199" s="69"/>
      <c r="V199" s="69"/>
      <c r="W199" s="69"/>
      <c r="X199" s="69"/>
      <c r="Y199" s="69"/>
      <c r="Z199" s="69"/>
      <c r="AA199" s="69"/>
      <c r="AB199" s="70"/>
    </row>
    <row r="200">
      <c r="A200" s="4" t="s">
        <v>213</v>
      </c>
      <c r="B200" s="52"/>
      <c r="C200" s="52"/>
      <c r="D200" s="52"/>
      <c r="E200" s="52"/>
      <c r="F200" s="52"/>
      <c r="G200" s="52"/>
      <c r="H200" s="52"/>
      <c r="I200" s="52"/>
      <c r="J200" s="52"/>
      <c r="K200" s="52"/>
      <c r="L200" s="52"/>
      <c r="M200" s="52"/>
      <c r="N200" s="52"/>
      <c r="O200" s="202">
        <v>10079.0</v>
      </c>
      <c r="P200" s="61"/>
      <c r="Q200" s="61"/>
      <c r="R200" s="51">
        <v>0.0</v>
      </c>
      <c r="S200" s="52"/>
      <c r="T200" s="52"/>
      <c r="U200" s="52"/>
      <c r="V200" s="52"/>
      <c r="W200" s="52"/>
      <c r="X200" s="52"/>
      <c r="Y200" s="52"/>
      <c r="Z200" s="52"/>
      <c r="AA200" s="52"/>
      <c r="AB200" s="53"/>
    </row>
    <row r="201">
      <c r="A201" s="4" t="s">
        <v>784</v>
      </c>
      <c r="B201" s="52"/>
      <c r="C201" s="52"/>
      <c r="D201" s="52"/>
      <c r="E201" s="52"/>
      <c r="F201" s="52"/>
      <c r="G201" s="52"/>
      <c r="H201" s="52"/>
      <c r="I201" s="52"/>
      <c r="J201" s="52"/>
      <c r="K201" s="52"/>
      <c r="L201" s="52"/>
      <c r="M201" s="52"/>
      <c r="N201" s="52"/>
      <c r="O201" s="203">
        <v>31989.0</v>
      </c>
      <c r="P201" s="61"/>
      <c r="Q201" s="61"/>
      <c r="R201" s="51">
        <v>0.0</v>
      </c>
      <c r="S201" s="52"/>
      <c r="T201" s="52"/>
      <c r="U201" s="52"/>
      <c r="V201" s="52"/>
      <c r="W201" s="52"/>
      <c r="X201" s="52"/>
      <c r="Y201" s="52"/>
      <c r="Z201" s="52"/>
      <c r="AA201" s="52"/>
      <c r="AB201" s="53"/>
    </row>
    <row r="202">
      <c r="A202" s="4" t="s">
        <v>244</v>
      </c>
      <c r="B202" s="52"/>
      <c r="C202" s="52"/>
      <c r="D202" s="52"/>
      <c r="E202" s="52"/>
      <c r="F202" s="52"/>
      <c r="G202" s="52"/>
      <c r="H202" s="52"/>
      <c r="I202" s="52"/>
      <c r="J202" s="52"/>
      <c r="K202" s="52"/>
      <c r="L202" s="52"/>
      <c r="M202" s="52"/>
      <c r="N202" s="52"/>
      <c r="O202" s="203">
        <v>29449.0</v>
      </c>
      <c r="P202" s="61"/>
      <c r="Q202" s="61"/>
      <c r="R202" s="51">
        <v>0.0</v>
      </c>
      <c r="S202" s="52"/>
      <c r="T202" s="52"/>
      <c r="U202" s="52"/>
      <c r="V202" s="52"/>
      <c r="W202" s="52"/>
      <c r="X202" s="52"/>
      <c r="Y202" s="52"/>
      <c r="Z202" s="52"/>
      <c r="AA202" s="52"/>
      <c r="AB202" s="53"/>
    </row>
    <row r="203">
      <c r="A203" s="4" t="s">
        <v>250</v>
      </c>
      <c r="B203" s="52"/>
      <c r="C203" s="52"/>
      <c r="D203" s="52"/>
      <c r="E203" s="52"/>
      <c r="F203" s="52"/>
      <c r="G203" s="52"/>
      <c r="H203" s="52"/>
      <c r="I203" s="52"/>
      <c r="J203" s="52"/>
      <c r="K203" s="52"/>
      <c r="L203" s="52"/>
      <c r="M203" s="52"/>
      <c r="N203" s="52"/>
      <c r="O203" s="203">
        <v>32009.0</v>
      </c>
      <c r="P203" s="61"/>
      <c r="Q203" s="61"/>
      <c r="R203" s="51">
        <v>0.0</v>
      </c>
      <c r="S203" s="52"/>
      <c r="T203" s="52"/>
      <c r="U203" s="52"/>
      <c r="V203" s="52"/>
      <c r="W203" s="52"/>
      <c r="X203" s="52"/>
      <c r="Y203" s="52"/>
      <c r="Z203" s="52"/>
      <c r="AA203" s="52"/>
      <c r="AB203" s="53"/>
    </row>
    <row r="204">
      <c r="A204" s="4" t="s">
        <v>785</v>
      </c>
      <c r="B204" s="69"/>
      <c r="C204" s="69"/>
      <c r="D204" s="69"/>
      <c r="E204" s="69"/>
      <c r="F204" s="69"/>
      <c r="G204" s="69"/>
      <c r="H204" s="69"/>
      <c r="I204" s="69"/>
      <c r="J204" s="69"/>
      <c r="K204" s="69"/>
      <c r="L204" s="64" t="s">
        <v>786</v>
      </c>
      <c r="M204" s="69"/>
      <c r="N204" s="69"/>
      <c r="O204" s="202">
        <v>10019.0</v>
      </c>
      <c r="P204" s="68"/>
      <c r="Q204" s="68"/>
      <c r="R204" s="51">
        <v>0.0</v>
      </c>
      <c r="S204" s="69"/>
      <c r="T204" s="69"/>
      <c r="U204" s="69"/>
      <c r="V204" s="69"/>
      <c r="W204" s="69"/>
      <c r="X204" s="69"/>
      <c r="Y204" s="69"/>
      <c r="Z204" s="69"/>
      <c r="AA204" s="69"/>
      <c r="AB204" s="70"/>
    </row>
    <row r="205">
      <c r="A205" s="4" t="s">
        <v>787</v>
      </c>
      <c r="B205" s="69"/>
      <c r="C205" s="69"/>
      <c r="D205" s="69"/>
      <c r="E205" s="69"/>
      <c r="F205" s="69"/>
      <c r="G205" s="69"/>
      <c r="H205" s="69"/>
      <c r="I205" s="69"/>
      <c r="J205" s="69"/>
      <c r="K205" s="69"/>
      <c r="L205" s="64" t="s">
        <v>788</v>
      </c>
      <c r="M205" s="69"/>
      <c r="N205" s="69"/>
      <c r="O205" s="202">
        <v>9139.0</v>
      </c>
      <c r="P205" s="68"/>
      <c r="Q205" s="68"/>
      <c r="R205" s="51">
        <v>0.0</v>
      </c>
      <c r="S205" s="69"/>
      <c r="T205" s="69"/>
      <c r="U205" s="69"/>
      <c r="V205" s="69"/>
      <c r="W205" s="69"/>
      <c r="X205" s="69"/>
      <c r="Y205" s="69"/>
      <c r="Z205" s="69"/>
      <c r="AA205" s="69"/>
      <c r="AB205" s="70"/>
    </row>
    <row r="206">
      <c r="A206" s="4" t="s">
        <v>789</v>
      </c>
      <c r="B206" s="69"/>
      <c r="C206" s="69"/>
      <c r="D206" s="69"/>
      <c r="E206" s="69"/>
      <c r="F206" s="69"/>
      <c r="G206" s="69"/>
      <c r="H206" s="69"/>
      <c r="I206" s="69"/>
      <c r="J206" s="69"/>
      <c r="K206" s="69"/>
      <c r="L206" s="204" t="s">
        <v>790</v>
      </c>
      <c r="M206" s="69"/>
      <c r="N206" s="69"/>
      <c r="O206" s="202">
        <v>8389.0</v>
      </c>
      <c r="P206" s="68"/>
      <c r="Q206" s="68"/>
      <c r="R206" s="51">
        <v>0.0</v>
      </c>
      <c r="S206" s="69"/>
      <c r="T206" s="69"/>
      <c r="U206" s="69"/>
      <c r="V206" s="69"/>
      <c r="W206" s="69"/>
      <c r="X206" s="69"/>
      <c r="Y206" s="69"/>
      <c r="Z206" s="69"/>
      <c r="AA206" s="69"/>
      <c r="AB206" s="70"/>
    </row>
    <row r="207">
      <c r="A207" s="4" t="s">
        <v>451</v>
      </c>
      <c r="B207" s="69"/>
      <c r="C207" s="69"/>
      <c r="D207" s="69"/>
      <c r="E207" s="69"/>
      <c r="F207" s="69"/>
      <c r="G207" s="69"/>
      <c r="H207" s="69"/>
      <c r="I207" s="69"/>
      <c r="J207" s="69"/>
      <c r="K207" s="69"/>
      <c r="L207" s="199" t="s">
        <v>456</v>
      </c>
      <c r="M207" s="200" t="s">
        <v>457</v>
      </c>
      <c r="N207" s="69"/>
      <c r="O207" s="202">
        <v>8129.0</v>
      </c>
      <c r="P207" s="68"/>
      <c r="Q207" s="68"/>
      <c r="R207" s="51">
        <v>0.0</v>
      </c>
      <c r="S207" s="69"/>
      <c r="T207" s="69"/>
      <c r="U207" s="69"/>
      <c r="V207" s="69"/>
      <c r="W207" s="69"/>
      <c r="X207" s="69"/>
      <c r="Y207" s="69"/>
      <c r="Z207" s="69"/>
      <c r="AA207" s="69"/>
      <c r="AB207" s="70"/>
    </row>
    <row r="208">
      <c r="A208" s="4" t="s">
        <v>791</v>
      </c>
      <c r="B208" s="64" t="s">
        <v>792</v>
      </c>
      <c r="C208" s="64">
        <v>1.0</v>
      </c>
      <c r="D208" s="64" t="s">
        <v>793</v>
      </c>
      <c r="E208" s="64" t="s">
        <v>794</v>
      </c>
      <c r="F208" s="64">
        <v>1.0</v>
      </c>
      <c r="G208" s="64" t="s">
        <v>98</v>
      </c>
      <c r="H208" s="64" t="s">
        <v>98</v>
      </c>
      <c r="I208" s="64">
        <v>6.0</v>
      </c>
      <c r="J208" s="64">
        <v>128.0</v>
      </c>
      <c r="K208" s="64">
        <v>6.55</v>
      </c>
      <c r="L208" s="66" t="s">
        <v>795</v>
      </c>
      <c r="M208" s="66" t="s">
        <v>796</v>
      </c>
      <c r="N208" s="12" t="s">
        <v>797</v>
      </c>
      <c r="O208" s="64">
        <v>34739.0</v>
      </c>
      <c r="P208" s="67">
        <v>49999.0</v>
      </c>
      <c r="Q208" s="68"/>
      <c r="R208" s="51">
        <v>2.0</v>
      </c>
      <c r="S208" s="69"/>
      <c r="T208" s="69"/>
      <c r="U208" s="69"/>
      <c r="V208" s="69"/>
      <c r="W208" s="69"/>
      <c r="X208" s="69"/>
      <c r="Y208" s="69"/>
      <c r="Z208" s="69"/>
      <c r="AA208" s="69"/>
      <c r="AB208" s="70"/>
    </row>
    <row r="209">
      <c r="A209" s="4" t="s">
        <v>798</v>
      </c>
      <c r="B209" s="57" t="s">
        <v>799</v>
      </c>
      <c r="C209" s="57">
        <v>1.0</v>
      </c>
      <c r="D209" s="57" t="s">
        <v>800</v>
      </c>
      <c r="E209" s="57" t="s">
        <v>801</v>
      </c>
      <c r="F209" s="57">
        <v>2.0</v>
      </c>
      <c r="G209" s="57" t="s">
        <v>98</v>
      </c>
      <c r="H209" s="57" t="s">
        <v>802</v>
      </c>
      <c r="I209" s="57">
        <v>4.0</v>
      </c>
      <c r="J209" s="57">
        <v>64.0</v>
      </c>
      <c r="K209" s="57">
        <v>6.4</v>
      </c>
      <c r="L209" s="24" t="s">
        <v>803</v>
      </c>
      <c r="M209" s="24" t="s">
        <v>804</v>
      </c>
      <c r="N209" s="30" t="s">
        <v>805</v>
      </c>
      <c r="O209" s="57">
        <v>7619.0</v>
      </c>
      <c r="P209" s="97">
        <v>13999.0</v>
      </c>
      <c r="Q209" s="61"/>
      <c r="R209" s="51">
        <v>0.0</v>
      </c>
      <c r="S209" s="52"/>
      <c r="T209" s="52"/>
      <c r="U209" s="52"/>
      <c r="V209" s="52"/>
      <c r="W209" s="52"/>
      <c r="X209" s="52"/>
      <c r="Y209" s="52"/>
      <c r="Z209" s="52"/>
      <c r="AA209" s="52"/>
      <c r="AB209" s="53"/>
    </row>
    <row r="210">
      <c r="A210" s="52"/>
      <c r="B210" s="52"/>
      <c r="C210" s="52"/>
      <c r="D210" s="52"/>
      <c r="E210" s="52"/>
      <c r="F210" s="52"/>
      <c r="G210" s="52"/>
      <c r="H210" s="52"/>
      <c r="I210" s="52"/>
      <c r="J210" s="52"/>
      <c r="K210" s="52"/>
      <c r="L210" s="52"/>
      <c r="M210" s="52"/>
      <c r="N210" s="52"/>
      <c r="O210" s="52"/>
      <c r="P210" s="61"/>
      <c r="Q210" s="61"/>
      <c r="R210" s="51">
        <v>0.0</v>
      </c>
      <c r="S210" s="52"/>
      <c r="T210" s="52"/>
      <c r="U210" s="52"/>
      <c r="V210" s="52"/>
      <c r="W210" s="52"/>
      <c r="X210" s="52"/>
      <c r="Y210" s="52"/>
      <c r="Z210" s="52"/>
      <c r="AA210" s="52"/>
      <c r="AB210" s="53"/>
    </row>
    <row r="211">
      <c r="A211" s="52"/>
      <c r="B211" s="52"/>
      <c r="C211" s="52"/>
      <c r="D211" s="52"/>
      <c r="E211" s="52"/>
      <c r="F211" s="52"/>
      <c r="G211" s="52"/>
      <c r="H211" s="52"/>
      <c r="I211" s="52"/>
      <c r="J211" s="52"/>
      <c r="K211" s="52"/>
      <c r="L211" s="52"/>
      <c r="M211" s="52"/>
      <c r="N211" s="52"/>
      <c r="O211" s="52"/>
      <c r="P211" s="61"/>
      <c r="Q211" s="61"/>
      <c r="R211" s="51">
        <v>0.0</v>
      </c>
      <c r="S211" s="52"/>
      <c r="T211" s="52"/>
      <c r="U211" s="52"/>
      <c r="V211" s="52"/>
      <c r="W211" s="52"/>
      <c r="X211" s="52"/>
      <c r="Y211" s="52"/>
      <c r="Z211" s="52"/>
      <c r="AA211" s="52"/>
      <c r="AB211" s="53"/>
    </row>
    <row r="212">
      <c r="A212" s="52"/>
      <c r="B212" s="52"/>
      <c r="C212" s="52"/>
      <c r="D212" s="52"/>
      <c r="E212" s="52"/>
      <c r="F212" s="52"/>
      <c r="G212" s="52"/>
      <c r="H212" s="52"/>
      <c r="I212" s="52"/>
      <c r="J212" s="52"/>
      <c r="K212" s="52"/>
      <c r="L212" s="52"/>
      <c r="M212" s="52"/>
      <c r="N212" s="52"/>
      <c r="O212" s="52"/>
      <c r="P212" s="61"/>
      <c r="Q212" s="61"/>
      <c r="R212" s="51">
        <v>0.0</v>
      </c>
      <c r="S212" s="52"/>
      <c r="T212" s="52"/>
      <c r="U212" s="52"/>
      <c r="V212" s="52"/>
      <c r="W212" s="52"/>
      <c r="X212" s="52"/>
      <c r="Y212" s="52"/>
      <c r="Z212" s="52"/>
      <c r="AA212" s="52"/>
      <c r="AB212" s="53"/>
    </row>
    <row r="213">
      <c r="A213" s="52"/>
      <c r="B213" s="52"/>
      <c r="C213" s="52"/>
      <c r="D213" s="52"/>
      <c r="E213" s="52"/>
      <c r="F213" s="52"/>
      <c r="G213" s="52"/>
      <c r="H213" s="52"/>
      <c r="I213" s="52"/>
      <c r="J213" s="52"/>
      <c r="K213" s="52"/>
      <c r="L213" s="52"/>
      <c r="M213" s="52"/>
      <c r="N213" s="52"/>
      <c r="O213" s="52"/>
      <c r="P213" s="61"/>
      <c r="Q213" s="61"/>
      <c r="R213" s="51">
        <v>0.0</v>
      </c>
      <c r="S213" s="52"/>
      <c r="T213" s="52"/>
      <c r="U213" s="52"/>
      <c r="V213" s="52"/>
      <c r="W213" s="52"/>
      <c r="X213" s="52"/>
      <c r="Y213" s="52"/>
      <c r="Z213" s="52"/>
      <c r="AA213" s="52"/>
      <c r="AB213" s="53"/>
    </row>
    <row r="214">
      <c r="A214" s="52"/>
      <c r="B214" s="52"/>
      <c r="C214" s="52"/>
      <c r="D214" s="52"/>
      <c r="E214" s="52"/>
      <c r="F214" s="52"/>
      <c r="G214" s="52"/>
      <c r="H214" s="52"/>
      <c r="I214" s="52"/>
      <c r="J214" s="52"/>
      <c r="K214" s="52"/>
      <c r="L214" s="52"/>
      <c r="M214" s="52"/>
      <c r="N214" s="52"/>
      <c r="O214" s="52"/>
      <c r="P214" s="61"/>
      <c r="Q214" s="61"/>
      <c r="R214" s="51">
        <v>0.0</v>
      </c>
      <c r="S214" s="52"/>
      <c r="T214" s="52"/>
      <c r="U214" s="52"/>
      <c r="V214" s="52"/>
      <c r="W214" s="52"/>
      <c r="X214" s="52"/>
      <c r="Y214" s="52"/>
      <c r="Z214" s="52"/>
      <c r="AA214" s="52"/>
      <c r="AB214" s="53"/>
    </row>
    <row r="215">
      <c r="A215" s="52"/>
      <c r="B215" s="52"/>
      <c r="C215" s="52"/>
      <c r="D215" s="52"/>
      <c r="E215" s="52"/>
      <c r="F215" s="52"/>
      <c r="G215" s="52"/>
      <c r="H215" s="52"/>
      <c r="I215" s="52"/>
      <c r="J215" s="52"/>
      <c r="K215" s="52"/>
      <c r="L215" s="52"/>
      <c r="M215" s="52"/>
      <c r="N215" s="52"/>
      <c r="O215" s="52"/>
      <c r="P215" s="61"/>
      <c r="Q215" s="61"/>
      <c r="R215" s="51">
        <v>0.0</v>
      </c>
      <c r="S215" s="52"/>
      <c r="T215" s="52"/>
      <c r="U215" s="52"/>
      <c r="V215" s="52"/>
      <c r="W215" s="52"/>
      <c r="X215" s="52"/>
      <c r="Y215" s="52"/>
      <c r="Z215" s="52"/>
      <c r="AA215" s="52"/>
      <c r="AB215" s="53"/>
    </row>
    <row r="216">
      <c r="A216" s="52"/>
      <c r="B216" s="52"/>
      <c r="C216" s="52"/>
      <c r="D216" s="52"/>
      <c r="E216" s="52"/>
      <c r="F216" s="52"/>
      <c r="G216" s="52"/>
      <c r="H216" s="52"/>
      <c r="I216" s="52"/>
      <c r="J216" s="52"/>
      <c r="K216" s="52"/>
      <c r="L216" s="52"/>
      <c r="M216" s="52"/>
      <c r="N216" s="52"/>
      <c r="O216" s="52"/>
      <c r="P216" s="61"/>
      <c r="Q216" s="61"/>
      <c r="R216" s="51">
        <v>0.0</v>
      </c>
      <c r="S216" s="52"/>
      <c r="T216" s="52"/>
      <c r="U216" s="52"/>
      <c r="V216" s="52"/>
      <c r="W216" s="52"/>
      <c r="X216" s="52"/>
      <c r="Y216" s="52"/>
      <c r="Z216" s="52"/>
      <c r="AA216" s="52"/>
      <c r="AB216" s="53"/>
    </row>
    <row r="217">
      <c r="A217" s="52"/>
      <c r="B217" s="52"/>
      <c r="C217" s="52"/>
      <c r="D217" s="52"/>
      <c r="E217" s="52"/>
      <c r="F217" s="52"/>
      <c r="G217" s="52"/>
      <c r="H217" s="52"/>
      <c r="I217" s="52"/>
      <c r="J217" s="52"/>
      <c r="K217" s="52"/>
      <c r="L217" s="52"/>
      <c r="M217" s="52"/>
      <c r="N217" s="52"/>
      <c r="O217" s="52"/>
      <c r="P217" s="61"/>
      <c r="Q217" s="61"/>
      <c r="R217" s="51">
        <v>0.0</v>
      </c>
      <c r="S217" s="52"/>
      <c r="T217" s="52"/>
      <c r="U217" s="52"/>
      <c r="V217" s="52"/>
      <c r="W217" s="52"/>
      <c r="X217" s="52"/>
      <c r="Y217" s="52"/>
      <c r="Z217" s="52"/>
      <c r="AA217" s="52"/>
      <c r="AB217" s="53"/>
    </row>
    <row r="218">
      <c r="A218" s="52"/>
      <c r="B218" s="52"/>
      <c r="C218" s="52"/>
      <c r="D218" s="52"/>
      <c r="E218" s="52"/>
      <c r="F218" s="52"/>
      <c r="G218" s="52"/>
      <c r="H218" s="52"/>
      <c r="I218" s="52"/>
      <c r="J218" s="52"/>
      <c r="K218" s="52"/>
      <c r="L218" s="52"/>
      <c r="M218" s="52"/>
      <c r="N218" s="52"/>
      <c r="O218" s="52"/>
      <c r="P218" s="61"/>
      <c r="Q218" s="61"/>
      <c r="R218" s="51">
        <v>0.0</v>
      </c>
      <c r="S218" s="52"/>
      <c r="T218" s="52"/>
      <c r="U218" s="52"/>
      <c r="V218" s="52"/>
      <c r="W218" s="52"/>
      <c r="X218" s="52"/>
      <c r="Y218" s="52"/>
      <c r="Z218" s="52"/>
      <c r="AA218" s="52"/>
      <c r="AB218" s="53"/>
    </row>
    <row r="219">
      <c r="A219" s="52"/>
      <c r="B219" s="52"/>
      <c r="C219" s="52"/>
      <c r="D219" s="52"/>
      <c r="E219" s="52"/>
      <c r="F219" s="52"/>
      <c r="G219" s="52"/>
      <c r="H219" s="52"/>
      <c r="I219" s="52"/>
      <c r="J219" s="52"/>
      <c r="K219" s="52"/>
      <c r="L219" s="52"/>
      <c r="M219" s="52"/>
      <c r="N219" s="52"/>
      <c r="O219" s="52"/>
      <c r="P219" s="61"/>
      <c r="Q219" s="61"/>
      <c r="R219" s="51">
        <v>0.0</v>
      </c>
      <c r="S219" s="52"/>
      <c r="T219" s="52"/>
      <c r="U219" s="52"/>
      <c r="V219" s="52"/>
      <c r="W219" s="52"/>
      <c r="X219" s="52"/>
      <c r="Y219" s="52"/>
      <c r="Z219" s="52"/>
      <c r="AA219" s="52"/>
      <c r="AB219" s="53"/>
    </row>
    <row r="220">
      <c r="A220" s="52"/>
      <c r="B220" s="52"/>
      <c r="C220" s="52"/>
      <c r="D220" s="52"/>
      <c r="E220" s="52"/>
      <c r="F220" s="52"/>
      <c r="G220" s="52"/>
      <c r="H220" s="52"/>
      <c r="I220" s="52"/>
      <c r="J220" s="52"/>
      <c r="K220" s="52"/>
      <c r="L220" s="52"/>
      <c r="M220" s="52"/>
      <c r="N220" s="52"/>
      <c r="O220" s="52"/>
      <c r="P220" s="61"/>
      <c r="Q220" s="61"/>
      <c r="R220" s="51">
        <v>0.0</v>
      </c>
      <c r="S220" s="52"/>
      <c r="T220" s="52"/>
      <c r="U220" s="52"/>
      <c r="V220" s="52"/>
      <c r="W220" s="52"/>
      <c r="X220" s="52"/>
      <c r="Y220" s="52"/>
      <c r="Z220" s="52"/>
      <c r="AA220" s="52"/>
      <c r="AB220" s="53"/>
    </row>
    <row r="221">
      <c r="A221" s="52"/>
      <c r="B221" s="52"/>
      <c r="C221" s="52"/>
      <c r="D221" s="52"/>
      <c r="E221" s="52"/>
      <c r="F221" s="52"/>
      <c r="G221" s="52"/>
      <c r="H221" s="52"/>
      <c r="I221" s="52"/>
      <c r="J221" s="52"/>
      <c r="K221" s="52"/>
      <c r="L221" s="52"/>
      <c r="M221" s="52"/>
      <c r="N221" s="52"/>
      <c r="O221" s="52"/>
      <c r="P221" s="61"/>
      <c r="Q221" s="61"/>
      <c r="R221" s="51">
        <v>0.0</v>
      </c>
      <c r="S221" s="52"/>
      <c r="T221" s="52"/>
      <c r="U221" s="52"/>
      <c r="V221" s="52"/>
      <c r="W221" s="52"/>
      <c r="X221" s="52"/>
      <c r="Y221" s="52"/>
      <c r="Z221" s="52"/>
      <c r="AA221" s="52"/>
      <c r="AB221" s="53"/>
    </row>
    <row r="222">
      <c r="A222" s="52"/>
      <c r="B222" s="52"/>
      <c r="C222" s="52"/>
      <c r="D222" s="52"/>
      <c r="E222" s="52"/>
      <c r="F222" s="52"/>
      <c r="G222" s="52"/>
      <c r="H222" s="52"/>
      <c r="I222" s="52"/>
      <c r="J222" s="52"/>
      <c r="K222" s="52"/>
      <c r="L222" s="52"/>
      <c r="M222" s="52"/>
      <c r="N222" s="52"/>
      <c r="O222" s="52"/>
      <c r="P222" s="61"/>
      <c r="Q222" s="61"/>
      <c r="R222" s="51">
        <v>0.0</v>
      </c>
      <c r="S222" s="52"/>
      <c r="T222" s="52"/>
      <c r="U222" s="52"/>
      <c r="V222" s="52"/>
      <c r="W222" s="52"/>
      <c r="X222" s="52"/>
      <c r="Y222" s="52"/>
      <c r="Z222" s="52"/>
      <c r="AA222" s="52"/>
      <c r="AB222" s="53"/>
    </row>
    <row r="223">
      <c r="A223" s="52"/>
      <c r="B223" s="52"/>
      <c r="C223" s="52"/>
      <c r="D223" s="52"/>
      <c r="E223" s="52"/>
      <c r="F223" s="52"/>
      <c r="G223" s="52"/>
      <c r="H223" s="52"/>
      <c r="I223" s="52"/>
      <c r="J223" s="52"/>
      <c r="K223" s="52"/>
      <c r="L223" s="52"/>
      <c r="M223" s="52"/>
      <c r="N223" s="52"/>
      <c r="O223" s="52"/>
      <c r="P223" s="61"/>
      <c r="Q223" s="61"/>
      <c r="R223" s="51">
        <v>0.0</v>
      </c>
      <c r="S223" s="52"/>
      <c r="T223" s="52"/>
      <c r="U223" s="52"/>
      <c r="V223" s="52"/>
      <c r="W223" s="52"/>
      <c r="X223" s="52"/>
      <c r="Y223" s="52"/>
      <c r="Z223" s="52"/>
      <c r="AA223" s="52"/>
      <c r="AB223" s="53"/>
    </row>
    <row r="224">
      <c r="A224" s="52"/>
      <c r="B224" s="52"/>
      <c r="C224" s="52"/>
      <c r="D224" s="52"/>
      <c r="E224" s="52"/>
      <c r="F224" s="52"/>
      <c r="G224" s="52"/>
      <c r="H224" s="52"/>
      <c r="I224" s="52"/>
      <c r="J224" s="52"/>
      <c r="K224" s="52"/>
      <c r="L224" s="52"/>
      <c r="M224" s="52"/>
      <c r="N224" s="52"/>
      <c r="O224" s="52"/>
      <c r="P224" s="61"/>
      <c r="Q224" s="61"/>
      <c r="R224" s="51">
        <v>0.0</v>
      </c>
      <c r="S224" s="52"/>
      <c r="T224" s="52"/>
      <c r="U224" s="52"/>
      <c r="V224" s="52"/>
      <c r="W224" s="52"/>
      <c r="X224" s="52"/>
      <c r="Y224" s="52"/>
      <c r="Z224" s="52"/>
      <c r="AA224" s="52"/>
      <c r="AB224" s="53"/>
    </row>
    <row r="225">
      <c r="A225" s="52"/>
      <c r="B225" s="52"/>
      <c r="C225" s="52"/>
      <c r="D225" s="52"/>
      <c r="E225" s="52"/>
      <c r="F225" s="52"/>
      <c r="G225" s="52"/>
      <c r="H225" s="52"/>
      <c r="I225" s="52"/>
      <c r="J225" s="52"/>
      <c r="K225" s="52"/>
      <c r="L225" s="52"/>
      <c r="M225" s="52"/>
      <c r="N225" s="52"/>
      <c r="O225" s="52"/>
      <c r="P225" s="61"/>
      <c r="Q225" s="61"/>
      <c r="R225" s="51">
        <v>0.0</v>
      </c>
      <c r="S225" s="52"/>
      <c r="T225" s="52"/>
      <c r="U225" s="52"/>
      <c r="V225" s="52"/>
      <c r="W225" s="52"/>
      <c r="X225" s="52"/>
      <c r="Y225" s="52"/>
      <c r="Z225" s="52"/>
      <c r="AA225" s="52"/>
      <c r="AB225" s="53"/>
    </row>
    <row r="226">
      <c r="A226" s="52"/>
      <c r="B226" s="52"/>
      <c r="C226" s="52"/>
      <c r="D226" s="52"/>
      <c r="E226" s="52"/>
      <c r="F226" s="52"/>
      <c r="G226" s="52"/>
      <c r="H226" s="52"/>
      <c r="I226" s="52"/>
      <c r="J226" s="52"/>
      <c r="K226" s="52"/>
      <c r="L226" s="52"/>
      <c r="M226" s="52"/>
      <c r="N226" s="52"/>
      <c r="O226" s="52"/>
      <c r="P226" s="61"/>
      <c r="Q226" s="61"/>
      <c r="R226" s="51">
        <v>0.0</v>
      </c>
      <c r="S226" s="52"/>
      <c r="T226" s="52"/>
      <c r="U226" s="52"/>
      <c r="V226" s="52"/>
      <c r="W226" s="52"/>
      <c r="X226" s="52"/>
      <c r="Y226" s="52"/>
      <c r="Z226" s="52"/>
      <c r="AA226" s="52"/>
      <c r="AB226" s="53"/>
    </row>
    <row r="227">
      <c r="A227" s="52"/>
      <c r="B227" s="52"/>
      <c r="C227" s="52"/>
      <c r="D227" s="52"/>
      <c r="E227" s="52"/>
      <c r="F227" s="52"/>
      <c r="G227" s="52"/>
      <c r="H227" s="52"/>
      <c r="I227" s="52"/>
      <c r="J227" s="52"/>
      <c r="K227" s="52"/>
      <c r="L227" s="52"/>
      <c r="M227" s="52"/>
      <c r="N227" s="52"/>
      <c r="O227" s="52"/>
      <c r="P227" s="61"/>
      <c r="Q227" s="61"/>
      <c r="R227" s="51">
        <v>0.0</v>
      </c>
      <c r="S227" s="52"/>
      <c r="T227" s="52"/>
      <c r="U227" s="52"/>
      <c r="V227" s="52"/>
      <c r="W227" s="52"/>
      <c r="X227" s="52"/>
      <c r="Y227" s="52"/>
      <c r="Z227" s="52"/>
      <c r="AA227" s="52"/>
      <c r="AB227" s="53"/>
    </row>
    <row r="228">
      <c r="A228" s="52"/>
      <c r="B228" s="52"/>
      <c r="C228" s="52"/>
      <c r="D228" s="52"/>
      <c r="E228" s="52"/>
      <c r="F228" s="52"/>
      <c r="G228" s="52"/>
      <c r="H228" s="52"/>
      <c r="I228" s="52"/>
      <c r="J228" s="52"/>
      <c r="K228" s="52"/>
      <c r="L228" s="52"/>
      <c r="M228" s="52"/>
      <c r="N228" s="52"/>
      <c r="O228" s="52"/>
      <c r="P228" s="61"/>
      <c r="Q228" s="61"/>
      <c r="R228" s="51">
        <v>0.0</v>
      </c>
      <c r="S228" s="52"/>
      <c r="T228" s="52"/>
      <c r="U228" s="52"/>
      <c r="V228" s="52"/>
      <c r="W228" s="52"/>
      <c r="X228" s="52"/>
      <c r="Y228" s="52"/>
      <c r="Z228" s="52"/>
      <c r="AA228" s="52"/>
      <c r="AB228" s="53"/>
    </row>
    <row r="229">
      <c r="A229" s="52"/>
      <c r="B229" s="52"/>
      <c r="C229" s="52"/>
      <c r="D229" s="52"/>
      <c r="E229" s="52"/>
      <c r="F229" s="52"/>
      <c r="G229" s="52"/>
      <c r="H229" s="52"/>
      <c r="I229" s="52"/>
      <c r="J229" s="52"/>
      <c r="K229" s="52"/>
      <c r="L229" s="52"/>
      <c r="M229" s="52"/>
      <c r="N229" s="52"/>
      <c r="O229" s="52"/>
      <c r="P229" s="61"/>
      <c r="Q229" s="61"/>
      <c r="R229" s="51">
        <v>0.0</v>
      </c>
      <c r="S229" s="52"/>
      <c r="T229" s="52"/>
      <c r="U229" s="52"/>
      <c r="V229" s="52"/>
      <c r="W229" s="52"/>
      <c r="X229" s="52"/>
      <c r="Y229" s="52"/>
      <c r="Z229" s="52"/>
      <c r="AA229" s="52"/>
      <c r="AB229" s="53"/>
    </row>
    <row r="230">
      <c r="A230" s="52"/>
      <c r="B230" s="52"/>
      <c r="C230" s="52"/>
      <c r="D230" s="52"/>
      <c r="E230" s="52"/>
      <c r="F230" s="52"/>
      <c r="G230" s="52"/>
      <c r="H230" s="52"/>
      <c r="I230" s="52"/>
      <c r="J230" s="52"/>
      <c r="K230" s="52"/>
      <c r="L230" s="52"/>
      <c r="M230" s="52"/>
      <c r="N230" s="52"/>
      <c r="O230" s="52"/>
      <c r="P230" s="61"/>
      <c r="Q230" s="61"/>
      <c r="R230" s="51">
        <v>0.0</v>
      </c>
      <c r="S230" s="52"/>
      <c r="T230" s="52"/>
      <c r="U230" s="52"/>
      <c r="V230" s="52"/>
      <c r="W230" s="52"/>
      <c r="X230" s="52"/>
      <c r="Y230" s="52"/>
      <c r="Z230" s="52"/>
      <c r="AA230" s="52"/>
      <c r="AB230" s="53"/>
    </row>
    <row r="231">
      <c r="A231" s="52"/>
      <c r="B231" s="52"/>
      <c r="C231" s="52"/>
      <c r="D231" s="52"/>
      <c r="E231" s="52"/>
      <c r="F231" s="52"/>
      <c r="G231" s="52"/>
      <c r="H231" s="52"/>
      <c r="I231" s="52"/>
      <c r="J231" s="52"/>
      <c r="K231" s="52"/>
      <c r="L231" s="52"/>
      <c r="M231" s="52"/>
      <c r="N231" s="52"/>
      <c r="O231" s="52"/>
      <c r="P231" s="61"/>
      <c r="Q231" s="61"/>
      <c r="R231" s="51">
        <v>0.0</v>
      </c>
      <c r="S231" s="52"/>
      <c r="T231" s="52"/>
      <c r="U231" s="52"/>
      <c r="V231" s="52"/>
      <c r="W231" s="52"/>
      <c r="X231" s="52"/>
      <c r="Y231" s="52"/>
      <c r="Z231" s="52"/>
      <c r="AA231" s="52"/>
      <c r="AB231" s="53"/>
    </row>
    <row r="232">
      <c r="A232" s="52"/>
      <c r="B232" s="52"/>
      <c r="C232" s="52"/>
      <c r="D232" s="52"/>
      <c r="E232" s="52"/>
      <c r="F232" s="52"/>
      <c r="G232" s="52"/>
      <c r="H232" s="52"/>
      <c r="I232" s="52"/>
      <c r="J232" s="52"/>
      <c r="K232" s="52"/>
      <c r="L232" s="52"/>
      <c r="M232" s="52"/>
      <c r="N232" s="52"/>
      <c r="O232" s="52"/>
      <c r="P232" s="61"/>
      <c r="Q232" s="61"/>
      <c r="R232" s="51">
        <v>0.0</v>
      </c>
      <c r="S232" s="52"/>
      <c r="T232" s="52"/>
      <c r="U232" s="52"/>
      <c r="V232" s="52"/>
      <c r="W232" s="52"/>
      <c r="X232" s="52"/>
      <c r="Y232" s="52"/>
      <c r="Z232" s="52"/>
      <c r="AA232" s="52"/>
      <c r="AB232" s="53"/>
    </row>
    <row r="233">
      <c r="A233" s="52"/>
      <c r="B233" s="52"/>
      <c r="C233" s="52"/>
      <c r="D233" s="52"/>
      <c r="E233" s="52"/>
      <c r="F233" s="52"/>
      <c r="G233" s="52"/>
      <c r="H233" s="52"/>
      <c r="I233" s="52"/>
      <c r="J233" s="52"/>
      <c r="K233" s="52"/>
      <c r="L233" s="52"/>
      <c r="M233" s="52"/>
      <c r="N233" s="52"/>
      <c r="O233" s="52"/>
      <c r="P233" s="61"/>
      <c r="Q233" s="61"/>
      <c r="R233" s="51">
        <v>0.0</v>
      </c>
      <c r="S233" s="52"/>
      <c r="T233" s="52"/>
      <c r="U233" s="52"/>
      <c r="V233" s="52"/>
      <c r="W233" s="52"/>
      <c r="X233" s="52"/>
      <c r="Y233" s="52"/>
      <c r="Z233" s="52"/>
      <c r="AA233" s="52"/>
      <c r="AB233" s="53"/>
    </row>
    <row r="234">
      <c r="A234" s="52"/>
      <c r="B234" s="52"/>
      <c r="C234" s="52"/>
      <c r="D234" s="52"/>
      <c r="E234" s="52"/>
      <c r="F234" s="52"/>
      <c r="G234" s="52"/>
      <c r="H234" s="52"/>
      <c r="I234" s="52"/>
      <c r="J234" s="52"/>
      <c r="K234" s="52"/>
      <c r="L234" s="52"/>
      <c r="M234" s="52"/>
      <c r="N234" s="52"/>
      <c r="O234" s="52"/>
      <c r="P234" s="61"/>
      <c r="Q234" s="61"/>
      <c r="R234" s="51">
        <v>0.0</v>
      </c>
      <c r="S234" s="52"/>
      <c r="T234" s="52"/>
      <c r="U234" s="52"/>
      <c r="V234" s="52"/>
      <c r="W234" s="52"/>
      <c r="X234" s="52"/>
      <c r="Y234" s="52"/>
      <c r="Z234" s="52"/>
      <c r="AA234" s="52"/>
      <c r="AB234" s="53"/>
    </row>
    <row r="235">
      <c r="A235" s="52"/>
      <c r="B235" s="52"/>
      <c r="C235" s="52"/>
      <c r="D235" s="52"/>
      <c r="E235" s="52"/>
      <c r="F235" s="52"/>
      <c r="G235" s="52"/>
      <c r="H235" s="52"/>
      <c r="I235" s="52"/>
      <c r="J235" s="52"/>
      <c r="K235" s="52"/>
      <c r="L235" s="52"/>
      <c r="M235" s="52"/>
      <c r="N235" s="52"/>
      <c r="O235" s="52"/>
      <c r="P235" s="61"/>
      <c r="Q235" s="61"/>
      <c r="R235" s="51">
        <v>0.0</v>
      </c>
      <c r="S235" s="52"/>
      <c r="T235" s="52"/>
      <c r="U235" s="52"/>
      <c r="V235" s="52"/>
      <c r="W235" s="52"/>
      <c r="X235" s="52"/>
      <c r="Y235" s="52"/>
      <c r="Z235" s="52"/>
      <c r="AA235" s="52"/>
      <c r="AB235" s="53"/>
    </row>
    <row r="236">
      <c r="A236" s="52"/>
      <c r="B236" s="52"/>
      <c r="C236" s="52"/>
      <c r="D236" s="52"/>
      <c r="E236" s="52"/>
      <c r="F236" s="52"/>
      <c r="G236" s="52"/>
      <c r="H236" s="52"/>
      <c r="I236" s="52"/>
      <c r="J236" s="52"/>
      <c r="K236" s="52"/>
      <c r="L236" s="52"/>
      <c r="M236" s="52"/>
      <c r="N236" s="52"/>
      <c r="O236" s="52"/>
      <c r="P236" s="61"/>
      <c r="Q236" s="61"/>
      <c r="R236" s="51">
        <v>0.0</v>
      </c>
      <c r="S236" s="52"/>
      <c r="T236" s="52"/>
      <c r="U236" s="52"/>
      <c r="V236" s="52"/>
      <c r="W236" s="52"/>
      <c r="X236" s="52"/>
      <c r="Y236" s="52"/>
      <c r="Z236" s="52"/>
      <c r="AA236" s="52"/>
      <c r="AB236" s="53"/>
    </row>
    <row r="237">
      <c r="A237" s="52"/>
      <c r="B237" s="52"/>
      <c r="C237" s="52"/>
      <c r="D237" s="52"/>
      <c r="E237" s="52"/>
      <c r="F237" s="52"/>
      <c r="G237" s="52"/>
      <c r="H237" s="52"/>
      <c r="I237" s="52"/>
      <c r="J237" s="52"/>
      <c r="K237" s="52"/>
      <c r="L237" s="52"/>
      <c r="M237" s="52"/>
      <c r="N237" s="52"/>
      <c r="O237" s="52"/>
      <c r="P237" s="61"/>
      <c r="Q237" s="61"/>
      <c r="R237" s="51">
        <v>0.0</v>
      </c>
      <c r="S237" s="52"/>
      <c r="T237" s="52"/>
      <c r="U237" s="52"/>
      <c r="V237" s="52"/>
      <c r="W237" s="52"/>
      <c r="X237" s="52"/>
      <c r="Y237" s="52"/>
      <c r="Z237" s="52"/>
      <c r="AA237" s="52"/>
      <c r="AB237" s="53"/>
    </row>
    <row r="238">
      <c r="A238" s="52"/>
      <c r="B238" s="52"/>
      <c r="C238" s="52"/>
      <c r="D238" s="52"/>
      <c r="E238" s="52"/>
      <c r="F238" s="52"/>
      <c r="G238" s="52"/>
      <c r="H238" s="52"/>
      <c r="I238" s="52"/>
      <c r="J238" s="52"/>
      <c r="K238" s="52"/>
      <c r="L238" s="52"/>
      <c r="M238" s="52"/>
      <c r="N238" s="52"/>
      <c r="O238" s="52"/>
      <c r="P238" s="61"/>
      <c r="Q238" s="61"/>
      <c r="R238" s="51">
        <v>0.0</v>
      </c>
      <c r="S238" s="52"/>
      <c r="T238" s="52"/>
      <c r="U238" s="52"/>
      <c r="V238" s="52"/>
      <c r="W238" s="52"/>
      <c r="X238" s="52"/>
      <c r="Y238" s="52"/>
      <c r="Z238" s="52"/>
      <c r="AA238" s="52"/>
      <c r="AB238" s="53"/>
    </row>
    <row r="239">
      <c r="A239" s="52"/>
      <c r="B239" s="52"/>
      <c r="C239" s="52"/>
      <c r="D239" s="52"/>
      <c r="E239" s="52"/>
      <c r="F239" s="52"/>
      <c r="G239" s="52"/>
      <c r="H239" s="52"/>
      <c r="I239" s="52"/>
      <c r="J239" s="52"/>
      <c r="K239" s="52"/>
      <c r="L239" s="52"/>
      <c r="M239" s="52"/>
      <c r="N239" s="52"/>
      <c r="O239" s="52"/>
      <c r="P239" s="61"/>
      <c r="Q239" s="61"/>
      <c r="R239" s="51">
        <v>0.0</v>
      </c>
      <c r="S239" s="52"/>
      <c r="T239" s="52"/>
      <c r="U239" s="52"/>
      <c r="V239" s="52"/>
      <c r="W239" s="52"/>
      <c r="X239" s="52"/>
      <c r="Y239" s="52"/>
      <c r="Z239" s="52"/>
      <c r="AA239" s="52"/>
      <c r="AB239" s="53"/>
    </row>
    <row r="240">
      <c r="A240" s="52"/>
      <c r="B240" s="52"/>
      <c r="C240" s="52"/>
      <c r="D240" s="52"/>
      <c r="E240" s="52"/>
      <c r="F240" s="52"/>
      <c r="G240" s="52"/>
      <c r="H240" s="52"/>
      <c r="I240" s="52"/>
      <c r="J240" s="52"/>
      <c r="K240" s="52"/>
      <c r="L240" s="52"/>
      <c r="M240" s="52"/>
      <c r="N240" s="52"/>
      <c r="O240" s="52"/>
      <c r="P240" s="61"/>
      <c r="Q240" s="61"/>
      <c r="R240" s="51">
        <v>0.0</v>
      </c>
      <c r="S240" s="52"/>
      <c r="T240" s="52"/>
      <c r="U240" s="52"/>
      <c r="V240" s="52"/>
      <c r="W240" s="52"/>
      <c r="X240" s="52"/>
      <c r="Y240" s="52"/>
      <c r="Z240" s="52"/>
      <c r="AA240" s="52"/>
      <c r="AB240" s="53"/>
    </row>
    <row r="241">
      <c r="A241" s="52"/>
      <c r="B241" s="52"/>
      <c r="C241" s="52"/>
      <c r="D241" s="52"/>
      <c r="E241" s="52"/>
      <c r="F241" s="52"/>
      <c r="G241" s="52"/>
      <c r="H241" s="52"/>
      <c r="I241" s="52"/>
      <c r="J241" s="52"/>
      <c r="K241" s="52"/>
      <c r="L241" s="52"/>
      <c r="M241" s="52"/>
      <c r="N241" s="52"/>
      <c r="O241" s="52"/>
      <c r="P241" s="61"/>
      <c r="Q241" s="61"/>
      <c r="R241" s="51">
        <v>0.0</v>
      </c>
      <c r="S241" s="52"/>
      <c r="T241" s="52"/>
      <c r="U241" s="52"/>
      <c r="V241" s="52"/>
      <c r="W241" s="52"/>
      <c r="X241" s="52"/>
      <c r="Y241" s="52"/>
      <c r="Z241" s="52"/>
      <c r="AA241" s="52"/>
      <c r="AB241" s="53"/>
    </row>
    <row r="242">
      <c r="A242" s="52"/>
      <c r="B242" s="52"/>
      <c r="C242" s="52"/>
      <c r="D242" s="52"/>
      <c r="E242" s="52"/>
      <c r="F242" s="52"/>
      <c r="G242" s="52"/>
      <c r="H242" s="52"/>
      <c r="I242" s="52"/>
      <c r="J242" s="52"/>
      <c r="K242" s="52"/>
      <c r="L242" s="52"/>
      <c r="M242" s="52"/>
      <c r="N242" s="52"/>
      <c r="O242" s="52"/>
      <c r="P242" s="61"/>
      <c r="Q242" s="61"/>
      <c r="R242" s="51">
        <v>0.0</v>
      </c>
      <c r="S242" s="52"/>
      <c r="T242" s="52"/>
      <c r="U242" s="52"/>
      <c r="V242" s="52"/>
      <c r="W242" s="52"/>
      <c r="X242" s="52"/>
      <c r="Y242" s="52"/>
      <c r="Z242" s="52"/>
      <c r="AA242" s="52"/>
      <c r="AB242" s="53"/>
    </row>
    <row r="243">
      <c r="A243" s="52"/>
      <c r="B243" s="52"/>
      <c r="C243" s="52"/>
      <c r="D243" s="52"/>
      <c r="E243" s="52"/>
      <c r="F243" s="52"/>
      <c r="G243" s="52"/>
      <c r="H243" s="52"/>
      <c r="I243" s="52"/>
      <c r="J243" s="52"/>
      <c r="K243" s="52"/>
      <c r="L243" s="52"/>
      <c r="M243" s="52"/>
      <c r="N243" s="52"/>
      <c r="O243" s="52"/>
      <c r="P243" s="61"/>
      <c r="Q243" s="61"/>
      <c r="R243" s="51">
        <v>0.0</v>
      </c>
      <c r="S243" s="52"/>
      <c r="T243" s="52"/>
      <c r="U243" s="52"/>
      <c r="V243" s="52"/>
      <c r="W243" s="52"/>
      <c r="X243" s="52"/>
      <c r="Y243" s="52"/>
      <c r="Z243" s="52"/>
      <c r="AA243" s="52"/>
      <c r="AB243" s="53"/>
    </row>
    <row r="244">
      <c r="A244" s="52"/>
      <c r="B244" s="52"/>
      <c r="C244" s="52"/>
      <c r="D244" s="52"/>
      <c r="E244" s="52"/>
      <c r="F244" s="52"/>
      <c r="G244" s="52"/>
      <c r="H244" s="52"/>
      <c r="I244" s="52"/>
      <c r="J244" s="52"/>
      <c r="K244" s="52"/>
      <c r="L244" s="52"/>
      <c r="M244" s="52"/>
      <c r="N244" s="52"/>
      <c r="O244" s="52"/>
      <c r="P244" s="61"/>
      <c r="Q244" s="61"/>
      <c r="R244" s="51">
        <v>0.0</v>
      </c>
      <c r="S244" s="52"/>
      <c r="T244" s="52"/>
      <c r="U244" s="52"/>
      <c r="V244" s="52"/>
      <c r="W244" s="52"/>
      <c r="X244" s="52"/>
      <c r="Y244" s="52"/>
      <c r="Z244" s="52"/>
      <c r="AA244" s="52"/>
      <c r="AB244" s="53"/>
    </row>
    <row r="245">
      <c r="A245" s="52"/>
      <c r="B245" s="52"/>
      <c r="C245" s="52"/>
      <c r="D245" s="52"/>
      <c r="E245" s="52"/>
      <c r="F245" s="52"/>
      <c r="G245" s="52"/>
      <c r="H245" s="52"/>
      <c r="I245" s="52"/>
      <c r="J245" s="52"/>
      <c r="K245" s="52"/>
      <c r="L245" s="52"/>
      <c r="M245" s="52"/>
      <c r="N245" s="52"/>
      <c r="O245" s="52"/>
      <c r="P245" s="61"/>
      <c r="Q245" s="61"/>
      <c r="R245" s="51">
        <v>0.0</v>
      </c>
      <c r="S245" s="52"/>
      <c r="T245" s="52"/>
      <c r="U245" s="52"/>
      <c r="V245" s="52"/>
      <c r="W245" s="52"/>
      <c r="X245" s="52"/>
      <c r="Y245" s="52"/>
      <c r="Z245" s="52"/>
      <c r="AA245" s="52"/>
      <c r="AB245" s="53"/>
    </row>
    <row r="246">
      <c r="A246" s="52"/>
      <c r="B246" s="52"/>
      <c r="C246" s="52"/>
      <c r="D246" s="52"/>
      <c r="E246" s="52"/>
      <c r="F246" s="52"/>
      <c r="G246" s="52"/>
      <c r="H246" s="52"/>
      <c r="I246" s="52"/>
      <c r="J246" s="52"/>
      <c r="K246" s="52"/>
      <c r="L246" s="52"/>
      <c r="M246" s="52"/>
      <c r="N246" s="52"/>
      <c r="O246" s="52"/>
      <c r="P246" s="61"/>
      <c r="Q246" s="61"/>
      <c r="R246" s="51">
        <v>0.0</v>
      </c>
      <c r="S246" s="52"/>
      <c r="T246" s="52"/>
      <c r="U246" s="52"/>
      <c r="V246" s="52"/>
      <c r="W246" s="52"/>
      <c r="X246" s="52"/>
      <c r="Y246" s="52"/>
      <c r="Z246" s="52"/>
      <c r="AA246" s="52"/>
      <c r="AB246" s="53"/>
    </row>
    <row r="247">
      <c r="A247" s="52"/>
      <c r="B247" s="52"/>
      <c r="C247" s="52"/>
      <c r="D247" s="52"/>
      <c r="E247" s="52"/>
      <c r="F247" s="52"/>
      <c r="G247" s="52"/>
      <c r="H247" s="52"/>
      <c r="I247" s="52"/>
      <c r="J247" s="52"/>
      <c r="K247" s="52"/>
      <c r="L247" s="52"/>
      <c r="M247" s="52"/>
      <c r="N247" s="52"/>
      <c r="O247" s="52"/>
      <c r="P247" s="61"/>
      <c r="Q247" s="61"/>
      <c r="R247" s="51">
        <v>0.0</v>
      </c>
      <c r="S247" s="52"/>
      <c r="T247" s="52"/>
      <c r="U247" s="52"/>
      <c r="V247" s="52"/>
      <c r="W247" s="52"/>
      <c r="X247" s="52"/>
      <c r="Y247" s="52"/>
      <c r="Z247" s="52"/>
      <c r="AA247" s="52"/>
      <c r="AB247" s="53"/>
    </row>
    <row r="248">
      <c r="A248" s="52"/>
      <c r="B248" s="52"/>
      <c r="C248" s="52"/>
      <c r="D248" s="52"/>
      <c r="E248" s="52"/>
      <c r="F248" s="52"/>
      <c r="G248" s="52"/>
      <c r="H248" s="52"/>
      <c r="I248" s="52"/>
      <c r="J248" s="52"/>
      <c r="K248" s="52"/>
      <c r="L248" s="52"/>
      <c r="M248" s="52"/>
      <c r="N248" s="52"/>
      <c r="O248" s="52"/>
      <c r="P248" s="61"/>
      <c r="Q248" s="61"/>
      <c r="R248" s="51">
        <v>0.0</v>
      </c>
      <c r="S248" s="52"/>
      <c r="T248" s="52"/>
      <c r="U248" s="52"/>
      <c r="V248" s="52"/>
      <c r="W248" s="52"/>
      <c r="X248" s="52"/>
      <c r="Y248" s="52"/>
      <c r="Z248" s="52"/>
      <c r="AA248" s="52"/>
      <c r="AB248" s="53"/>
    </row>
    <row r="249">
      <c r="A249" s="52"/>
      <c r="B249" s="52"/>
      <c r="C249" s="52"/>
      <c r="D249" s="52"/>
      <c r="E249" s="52"/>
      <c r="F249" s="52"/>
      <c r="G249" s="52"/>
      <c r="H249" s="52"/>
      <c r="I249" s="52"/>
      <c r="J249" s="52"/>
      <c r="K249" s="52"/>
      <c r="L249" s="52"/>
      <c r="M249" s="52"/>
      <c r="N249" s="52"/>
      <c r="O249" s="52"/>
      <c r="P249" s="61"/>
      <c r="Q249" s="61"/>
      <c r="R249" s="51">
        <v>0.0</v>
      </c>
      <c r="S249" s="52"/>
      <c r="T249" s="52"/>
      <c r="U249" s="52"/>
      <c r="V249" s="52"/>
      <c r="W249" s="52"/>
      <c r="X249" s="52"/>
      <c r="Y249" s="52"/>
      <c r="Z249" s="52"/>
      <c r="AA249" s="52"/>
      <c r="AB249" s="53"/>
    </row>
    <row r="250">
      <c r="A250" s="52"/>
      <c r="B250" s="52"/>
      <c r="C250" s="52"/>
      <c r="D250" s="52"/>
      <c r="E250" s="52"/>
      <c r="F250" s="52"/>
      <c r="G250" s="52"/>
      <c r="H250" s="52"/>
      <c r="I250" s="52"/>
      <c r="J250" s="52"/>
      <c r="K250" s="52"/>
      <c r="L250" s="52"/>
      <c r="M250" s="52"/>
      <c r="N250" s="52"/>
      <c r="O250" s="52"/>
      <c r="P250" s="61"/>
      <c r="Q250" s="61"/>
      <c r="R250" s="51">
        <v>0.0</v>
      </c>
      <c r="S250" s="52"/>
      <c r="T250" s="52"/>
      <c r="U250" s="52"/>
      <c r="V250" s="52"/>
      <c r="W250" s="52"/>
      <c r="X250" s="52"/>
      <c r="Y250" s="52"/>
      <c r="Z250" s="52"/>
      <c r="AA250" s="52"/>
      <c r="AB250" s="53"/>
    </row>
    <row r="251">
      <c r="A251" s="52"/>
      <c r="B251" s="52"/>
      <c r="C251" s="52"/>
      <c r="D251" s="52"/>
      <c r="E251" s="52"/>
      <c r="F251" s="52"/>
      <c r="G251" s="52"/>
      <c r="H251" s="52"/>
      <c r="I251" s="52"/>
      <c r="J251" s="52"/>
      <c r="K251" s="52"/>
      <c r="L251" s="52"/>
      <c r="M251" s="52"/>
      <c r="N251" s="52"/>
      <c r="O251" s="52"/>
      <c r="P251" s="61"/>
      <c r="Q251" s="61"/>
      <c r="R251" s="51">
        <v>0.0</v>
      </c>
      <c r="S251" s="52"/>
      <c r="T251" s="52"/>
      <c r="U251" s="52"/>
      <c r="V251" s="52"/>
      <c r="W251" s="52"/>
      <c r="X251" s="52"/>
      <c r="Y251" s="52"/>
      <c r="Z251" s="52"/>
      <c r="AA251" s="52"/>
      <c r="AB251" s="53"/>
    </row>
    <row r="252">
      <c r="A252" s="52"/>
      <c r="B252" s="52"/>
      <c r="C252" s="52"/>
      <c r="D252" s="52"/>
      <c r="E252" s="52"/>
      <c r="F252" s="52"/>
      <c r="G252" s="52"/>
      <c r="H252" s="52"/>
      <c r="I252" s="52"/>
      <c r="J252" s="52"/>
      <c r="K252" s="52"/>
      <c r="L252" s="52"/>
      <c r="M252" s="52"/>
      <c r="N252" s="52"/>
      <c r="O252" s="52"/>
      <c r="P252" s="61"/>
      <c r="Q252" s="61"/>
      <c r="R252" s="51">
        <v>0.0</v>
      </c>
      <c r="S252" s="52"/>
      <c r="T252" s="52"/>
      <c r="U252" s="52"/>
      <c r="V252" s="52"/>
      <c r="W252" s="52"/>
      <c r="X252" s="52"/>
      <c r="Y252" s="52"/>
      <c r="Z252" s="52"/>
      <c r="AA252" s="52"/>
      <c r="AB252" s="53"/>
    </row>
    <row r="253">
      <c r="A253" s="52"/>
      <c r="B253" s="52"/>
      <c r="C253" s="52"/>
      <c r="D253" s="52"/>
      <c r="E253" s="52"/>
      <c r="F253" s="52"/>
      <c r="G253" s="52"/>
      <c r="H253" s="52"/>
      <c r="I253" s="52"/>
      <c r="J253" s="52"/>
      <c r="K253" s="52"/>
      <c r="L253" s="52"/>
      <c r="M253" s="52"/>
      <c r="N253" s="52"/>
      <c r="O253" s="52"/>
      <c r="P253" s="61"/>
      <c r="Q253" s="61"/>
      <c r="R253" s="51">
        <v>0.0</v>
      </c>
      <c r="S253" s="52"/>
      <c r="T253" s="52"/>
      <c r="U253" s="52"/>
      <c r="V253" s="52"/>
      <c r="W253" s="52"/>
      <c r="X253" s="52"/>
      <c r="Y253" s="52"/>
      <c r="Z253" s="52"/>
      <c r="AA253" s="52"/>
      <c r="AB253" s="53"/>
    </row>
    <row r="254">
      <c r="A254" s="52"/>
      <c r="B254" s="52"/>
      <c r="C254" s="52"/>
      <c r="D254" s="52"/>
      <c r="E254" s="52"/>
      <c r="F254" s="52"/>
      <c r="G254" s="52"/>
      <c r="H254" s="52"/>
      <c r="I254" s="52"/>
      <c r="J254" s="52"/>
      <c r="K254" s="52"/>
      <c r="L254" s="52"/>
      <c r="M254" s="52"/>
      <c r="N254" s="52"/>
      <c r="O254" s="52"/>
      <c r="P254" s="61"/>
      <c r="Q254" s="61"/>
      <c r="R254" s="51">
        <v>0.0</v>
      </c>
      <c r="S254" s="52"/>
      <c r="T254" s="52"/>
      <c r="U254" s="52"/>
      <c r="V254" s="52"/>
      <c r="W254" s="52"/>
      <c r="X254" s="52"/>
      <c r="Y254" s="52"/>
      <c r="Z254" s="52"/>
      <c r="AA254" s="52"/>
      <c r="AB254" s="53"/>
    </row>
    <row r="255">
      <c r="A255" s="52"/>
      <c r="B255" s="52"/>
      <c r="C255" s="52"/>
      <c r="D255" s="52"/>
      <c r="E255" s="52"/>
      <c r="F255" s="52"/>
      <c r="G255" s="52"/>
      <c r="H255" s="52"/>
      <c r="I255" s="52"/>
      <c r="J255" s="52"/>
      <c r="K255" s="52"/>
      <c r="L255" s="52"/>
      <c r="M255" s="52"/>
      <c r="N255" s="52"/>
      <c r="O255" s="52"/>
      <c r="P255" s="61"/>
      <c r="Q255" s="61"/>
      <c r="R255" s="51">
        <v>0.0</v>
      </c>
      <c r="S255" s="52"/>
      <c r="T255" s="52"/>
      <c r="U255" s="52"/>
      <c r="V255" s="52"/>
      <c r="W255" s="52"/>
      <c r="X255" s="52"/>
      <c r="Y255" s="52"/>
      <c r="Z255" s="52"/>
      <c r="AA255" s="52"/>
      <c r="AB255" s="53"/>
    </row>
    <row r="256">
      <c r="A256" s="52"/>
      <c r="B256" s="52"/>
      <c r="C256" s="52"/>
      <c r="D256" s="52"/>
      <c r="E256" s="52"/>
      <c r="F256" s="52"/>
      <c r="G256" s="52"/>
      <c r="H256" s="52"/>
      <c r="I256" s="52"/>
      <c r="J256" s="52"/>
      <c r="K256" s="52"/>
      <c r="L256" s="52"/>
      <c r="M256" s="52"/>
      <c r="N256" s="52"/>
      <c r="O256" s="52"/>
      <c r="P256" s="61"/>
      <c r="Q256" s="61"/>
      <c r="R256" s="51">
        <v>0.0</v>
      </c>
      <c r="S256" s="52"/>
      <c r="T256" s="52"/>
      <c r="U256" s="52"/>
      <c r="V256" s="52"/>
      <c r="W256" s="52"/>
      <c r="X256" s="52"/>
      <c r="Y256" s="52"/>
      <c r="Z256" s="52"/>
      <c r="AA256" s="52"/>
      <c r="AB256" s="53"/>
    </row>
    <row r="257">
      <c r="A257" s="52"/>
      <c r="B257" s="52"/>
      <c r="C257" s="52"/>
      <c r="D257" s="52"/>
      <c r="E257" s="52"/>
      <c r="F257" s="52"/>
      <c r="G257" s="52"/>
      <c r="H257" s="52"/>
      <c r="I257" s="52"/>
      <c r="J257" s="52"/>
      <c r="K257" s="52"/>
      <c r="L257" s="52"/>
      <c r="M257" s="52"/>
      <c r="N257" s="52"/>
      <c r="O257" s="52"/>
      <c r="P257" s="61"/>
      <c r="Q257" s="61"/>
      <c r="R257" s="51">
        <v>0.0</v>
      </c>
      <c r="S257" s="52"/>
      <c r="T257" s="52"/>
      <c r="U257" s="52"/>
      <c r="V257" s="52"/>
      <c r="W257" s="52"/>
      <c r="X257" s="52"/>
      <c r="Y257" s="52"/>
      <c r="Z257" s="52"/>
      <c r="AA257" s="52"/>
      <c r="AB257" s="53"/>
    </row>
    <row r="258">
      <c r="A258" s="52"/>
      <c r="B258" s="52"/>
      <c r="C258" s="52"/>
      <c r="D258" s="52"/>
      <c r="E258" s="52"/>
      <c r="F258" s="52"/>
      <c r="G258" s="52"/>
      <c r="H258" s="52"/>
      <c r="I258" s="52"/>
      <c r="J258" s="52"/>
      <c r="K258" s="52"/>
      <c r="L258" s="52"/>
      <c r="M258" s="52"/>
      <c r="N258" s="52"/>
      <c r="O258" s="52"/>
      <c r="P258" s="61"/>
      <c r="Q258" s="61"/>
      <c r="R258" s="51">
        <v>0.0</v>
      </c>
      <c r="S258" s="52"/>
      <c r="T258" s="52"/>
      <c r="U258" s="52"/>
      <c r="V258" s="52"/>
      <c r="W258" s="52"/>
      <c r="X258" s="52"/>
      <c r="Y258" s="52"/>
      <c r="Z258" s="52"/>
      <c r="AA258" s="52"/>
      <c r="AB258" s="53"/>
    </row>
    <row r="259">
      <c r="A259" s="52"/>
      <c r="B259" s="52"/>
      <c r="C259" s="52"/>
      <c r="D259" s="52"/>
      <c r="E259" s="52"/>
      <c r="F259" s="52"/>
      <c r="G259" s="52"/>
      <c r="H259" s="52"/>
      <c r="I259" s="52"/>
      <c r="J259" s="52"/>
      <c r="K259" s="52"/>
      <c r="L259" s="52"/>
      <c r="M259" s="52"/>
      <c r="N259" s="52"/>
      <c r="O259" s="52"/>
      <c r="P259" s="61"/>
      <c r="Q259" s="61"/>
      <c r="R259" s="51">
        <v>0.0</v>
      </c>
      <c r="S259" s="52"/>
      <c r="T259" s="52"/>
      <c r="U259" s="52"/>
      <c r="V259" s="52"/>
      <c r="W259" s="52"/>
      <c r="X259" s="52"/>
      <c r="Y259" s="52"/>
      <c r="Z259" s="52"/>
      <c r="AA259" s="52"/>
      <c r="AB259" s="53"/>
    </row>
    <row r="260">
      <c r="A260" s="52"/>
      <c r="B260" s="52"/>
      <c r="C260" s="52"/>
      <c r="D260" s="52"/>
      <c r="E260" s="52"/>
      <c r="F260" s="52"/>
      <c r="G260" s="52"/>
      <c r="H260" s="52"/>
      <c r="I260" s="52"/>
      <c r="J260" s="52"/>
      <c r="K260" s="52"/>
      <c r="L260" s="52"/>
      <c r="M260" s="52"/>
      <c r="N260" s="52"/>
      <c r="O260" s="52"/>
      <c r="P260" s="61"/>
      <c r="Q260" s="61"/>
      <c r="R260" s="51">
        <v>0.0</v>
      </c>
      <c r="S260" s="52"/>
      <c r="T260" s="52"/>
      <c r="U260" s="52"/>
      <c r="V260" s="52"/>
      <c r="W260" s="52"/>
      <c r="X260" s="52"/>
      <c r="Y260" s="52"/>
      <c r="Z260" s="52"/>
      <c r="AA260" s="52"/>
      <c r="AB260" s="53"/>
    </row>
    <row r="261">
      <c r="A261" s="52"/>
      <c r="B261" s="52"/>
      <c r="C261" s="52"/>
      <c r="D261" s="52"/>
      <c r="E261" s="52"/>
      <c r="F261" s="52"/>
      <c r="G261" s="52"/>
      <c r="H261" s="52"/>
      <c r="I261" s="52"/>
      <c r="J261" s="52"/>
      <c r="K261" s="52"/>
      <c r="L261" s="52"/>
      <c r="M261" s="52"/>
      <c r="N261" s="52"/>
      <c r="O261" s="52"/>
      <c r="P261" s="61"/>
      <c r="Q261" s="61"/>
      <c r="R261" s="51">
        <v>0.0</v>
      </c>
      <c r="S261" s="52"/>
      <c r="T261" s="52"/>
      <c r="U261" s="52"/>
      <c r="V261" s="52"/>
      <c r="W261" s="52"/>
      <c r="X261" s="52"/>
      <c r="Y261" s="52"/>
      <c r="Z261" s="52"/>
      <c r="AA261" s="52"/>
      <c r="AB261" s="53"/>
    </row>
    <row r="262">
      <c r="A262" s="52"/>
      <c r="B262" s="52"/>
      <c r="C262" s="52"/>
      <c r="D262" s="52"/>
      <c r="E262" s="52"/>
      <c r="F262" s="52"/>
      <c r="G262" s="52"/>
      <c r="H262" s="52"/>
      <c r="I262" s="52"/>
      <c r="J262" s="52"/>
      <c r="K262" s="52"/>
      <c r="L262" s="52"/>
      <c r="M262" s="52"/>
      <c r="N262" s="52"/>
      <c r="O262" s="52"/>
      <c r="P262" s="61"/>
      <c r="Q262" s="61"/>
      <c r="R262" s="51">
        <v>0.0</v>
      </c>
      <c r="S262" s="52"/>
      <c r="T262" s="52"/>
      <c r="U262" s="52"/>
      <c r="V262" s="52"/>
      <c r="W262" s="52"/>
      <c r="X262" s="52"/>
      <c r="Y262" s="52"/>
      <c r="Z262" s="52"/>
      <c r="AA262" s="52"/>
      <c r="AB262" s="53"/>
    </row>
    <row r="263">
      <c r="A263" s="52"/>
      <c r="B263" s="52"/>
      <c r="C263" s="52"/>
      <c r="D263" s="52"/>
      <c r="E263" s="52"/>
      <c r="F263" s="52"/>
      <c r="G263" s="52"/>
      <c r="H263" s="52"/>
      <c r="I263" s="52"/>
      <c r="J263" s="52"/>
      <c r="K263" s="52"/>
      <c r="L263" s="52"/>
      <c r="M263" s="52"/>
      <c r="N263" s="52"/>
      <c r="O263" s="52"/>
      <c r="P263" s="61"/>
      <c r="Q263" s="61"/>
      <c r="R263" s="51">
        <v>0.0</v>
      </c>
      <c r="S263" s="52"/>
      <c r="T263" s="52"/>
      <c r="U263" s="52"/>
      <c r="V263" s="52"/>
      <c r="W263" s="52"/>
      <c r="X263" s="52"/>
      <c r="Y263" s="52"/>
      <c r="Z263" s="52"/>
      <c r="AA263" s="52"/>
      <c r="AB263" s="53"/>
    </row>
    <row r="264">
      <c r="A264" s="52"/>
      <c r="B264" s="52"/>
      <c r="C264" s="52"/>
      <c r="D264" s="52"/>
      <c r="E264" s="52"/>
      <c r="F264" s="52"/>
      <c r="G264" s="52"/>
      <c r="H264" s="52"/>
      <c r="I264" s="52"/>
      <c r="J264" s="52"/>
      <c r="K264" s="52"/>
      <c r="L264" s="52"/>
      <c r="M264" s="52"/>
      <c r="N264" s="52"/>
      <c r="O264" s="52"/>
      <c r="P264" s="61"/>
      <c r="Q264" s="61"/>
      <c r="R264" s="51">
        <v>0.0</v>
      </c>
      <c r="S264" s="52"/>
      <c r="T264" s="52"/>
      <c r="U264" s="52"/>
      <c r="V264" s="52"/>
      <c r="W264" s="52"/>
      <c r="X264" s="52"/>
      <c r="Y264" s="52"/>
      <c r="Z264" s="52"/>
      <c r="AA264" s="52"/>
      <c r="AB264" s="53"/>
    </row>
    <row r="265">
      <c r="A265" s="52"/>
      <c r="B265" s="52"/>
      <c r="C265" s="52"/>
      <c r="D265" s="52"/>
      <c r="E265" s="52"/>
      <c r="F265" s="52"/>
      <c r="G265" s="52"/>
      <c r="H265" s="52"/>
      <c r="I265" s="52"/>
      <c r="J265" s="52"/>
      <c r="K265" s="52"/>
      <c r="L265" s="52"/>
      <c r="M265" s="52"/>
      <c r="N265" s="52"/>
      <c r="O265" s="52"/>
      <c r="P265" s="61"/>
      <c r="Q265" s="61"/>
      <c r="R265" s="51">
        <v>0.0</v>
      </c>
      <c r="S265" s="52"/>
      <c r="T265" s="52"/>
      <c r="U265" s="52"/>
      <c r="V265" s="52"/>
      <c r="W265" s="52"/>
      <c r="X265" s="52"/>
      <c r="Y265" s="52"/>
      <c r="Z265" s="52"/>
      <c r="AA265" s="52"/>
      <c r="AB265" s="53"/>
    </row>
    <row r="266">
      <c r="A266" s="52"/>
      <c r="B266" s="52"/>
      <c r="C266" s="52"/>
      <c r="D266" s="52"/>
      <c r="E266" s="52"/>
      <c r="F266" s="52"/>
      <c r="G266" s="52"/>
      <c r="H266" s="52"/>
      <c r="I266" s="52"/>
      <c r="J266" s="52"/>
      <c r="K266" s="52"/>
      <c r="L266" s="52"/>
      <c r="M266" s="52"/>
      <c r="N266" s="52"/>
      <c r="O266" s="52"/>
      <c r="P266" s="61"/>
      <c r="Q266" s="61"/>
      <c r="R266" s="51">
        <v>0.0</v>
      </c>
      <c r="S266" s="52"/>
      <c r="T266" s="52"/>
      <c r="U266" s="52"/>
      <c r="V266" s="52"/>
      <c r="W266" s="52"/>
      <c r="X266" s="52"/>
      <c r="Y266" s="52"/>
      <c r="Z266" s="52"/>
      <c r="AA266" s="52"/>
      <c r="AB266" s="53"/>
    </row>
    <row r="267">
      <c r="A267" s="52"/>
      <c r="B267" s="52"/>
      <c r="C267" s="52"/>
      <c r="D267" s="52"/>
      <c r="E267" s="52"/>
      <c r="F267" s="52"/>
      <c r="G267" s="52"/>
      <c r="H267" s="52"/>
      <c r="I267" s="52"/>
      <c r="J267" s="52"/>
      <c r="K267" s="52"/>
      <c r="L267" s="52"/>
      <c r="M267" s="52"/>
      <c r="N267" s="52"/>
      <c r="O267" s="52"/>
      <c r="P267" s="61"/>
      <c r="Q267" s="61"/>
      <c r="R267" s="51">
        <v>0.0</v>
      </c>
      <c r="S267" s="52"/>
      <c r="T267" s="52"/>
      <c r="U267" s="52"/>
      <c r="V267" s="52"/>
      <c r="W267" s="52"/>
      <c r="X267" s="52"/>
      <c r="Y267" s="52"/>
      <c r="Z267" s="52"/>
      <c r="AA267" s="52"/>
      <c r="AB267" s="53"/>
    </row>
    <row r="268">
      <c r="A268" s="52"/>
      <c r="B268" s="52"/>
      <c r="C268" s="52"/>
      <c r="D268" s="52"/>
      <c r="E268" s="52"/>
      <c r="F268" s="52"/>
      <c r="G268" s="52"/>
      <c r="H268" s="52"/>
      <c r="I268" s="52"/>
      <c r="J268" s="52"/>
      <c r="K268" s="52"/>
      <c r="L268" s="52"/>
      <c r="M268" s="52"/>
      <c r="N268" s="52"/>
      <c r="O268" s="52"/>
      <c r="P268" s="61"/>
      <c r="Q268" s="61"/>
      <c r="R268" s="51">
        <v>0.0</v>
      </c>
      <c r="S268" s="52"/>
      <c r="T268" s="52"/>
      <c r="U268" s="52"/>
      <c r="V268" s="52"/>
      <c r="W268" s="52"/>
      <c r="X268" s="52"/>
      <c r="Y268" s="52"/>
      <c r="Z268" s="52"/>
      <c r="AA268" s="52"/>
      <c r="AB268" s="53"/>
    </row>
    <row r="269">
      <c r="A269" s="52"/>
      <c r="B269" s="52"/>
      <c r="C269" s="52"/>
      <c r="D269" s="52"/>
      <c r="E269" s="52"/>
      <c r="F269" s="52"/>
      <c r="G269" s="52"/>
      <c r="H269" s="52"/>
      <c r="I269" s="52"/>
      <c r="J269" s="52"/>
      <c r="K269" s="52"/>
      <c r="L269" s="52"/>
      <c r="M269" s="52"/>
      <c r="N269" s="52"/>
      <c r="O269" s="52"/>
      <c r="P269" s="61"/>
      <c r="Q269" s="61"/>
      <c r="R269" s="51">
        <v>0.0</v>
      </c>
      <c r="S269" s="52"/>
      <c r="T269" s="52"/>
      <c r="U269" s="52"/>
      <c r="V269" s="52"/>
      <c r="W269" s="52"/>
      <c r="X269" s="52"/>
      <c r="Y269" s="52"/>
      <c r="Z269" s="52"/>
      <c r="AA269" s="52"/>
      <c r="AB269" s="53"/>
    </row>
    <row r="270">
      <c r="A270" s="52"/>
      <c r="B270" s="52"/>
      <c r="C270" s="52"/>
      <c r="D270" s="52"/>
      <c r="E270" s="52"/>
      <c r="F270" s="52"/>
      <c r="G270" s="52"/>
      <c r="H270" s="52"/>
      <c r="I270" s="52"/>
      <c r="J270" s="52"/>
      <c r="K270" s="52"/>
      <c r="L270" s="52"/>
      <c r="M270" s="52"/>
      <c r="N270" s="52"/>
      <c r="O270" s="52"/>
      <c r="P270" s="61"/>
      <c r="Q270" s="61"/>
      <c r="R270" s="51">
        <v>0.0</v>
      </c>
      <c r="S270" s="52"/>
      <c r="T270" s="52"/>
      <c r="U270" s="52"/>
      <c r="V270" s="52"/>
      <c r="W270" s="52"/>
      <c r="X270" s="52"/>
      <c r="Y270" s="52"/>
      <c r="Z270" s="52"/>
      <c r="AA270" s="52"/>
      <c r="AB270" s="53"/>
    </row>
    <row r="271">
      <c r="A271" s="52"/>
      <c r="B271" s="52"/>
      <c r="C271" s="52"/>
      <c r="D271" s="52"/>
      <c r="E271" s="52"/>
      <c r="F271" s="52"/>
      <c r="G271" s="52"/>
      <c r="H271" s="52"/>
      <c r="I271" s="52"/>
      <c r="J271" s="52"/>
      <c r="K271" s="52"/>
      <c r="L271" s="52"/>
      <c r="M271" s="52"/>
      <c r="N271" s="52"/>
      <c r="O271" s="52"/>
      <c r="P271" s="61"/>
      <c r="Q271" s="61"/>
      <c r="R271" s="51">
        <v>0.0</v>
      </c>
      <c r="S271" s="52"/>
      <c r="T271" s="52"/>
      <c r="U271" s="52"/>
      <c r="V271" s="52"/>
      <c r="W271" s="52"/>
      <c r="X271" s="52"/>
      <c r="Y271" s="52"/>
      <c r="Z271" s="52"/>
      <c r="AA271" s="52"/>
      <c r="AB271" s="53"/>
    </row>
    <row r="272">
      <c r="A272" s="52"/>
      <c r="B272" s="52"/>
      <c r="C272" s="52"/>
      <c r="D272" s="52"/>
      <c r="E272" s="52"/>
      <c r="F272" s="52"/>
      <c r="G272" s="52"/>
      <c r="H272" s="52"/>
      <c r="I272" s="52"/>
      <c r="J272" s="52"/>
      <c r="K272" s="52"/>
      <c r="L272" s="52"/>
      <c r="M272" s="52"/>
      <c r="N272" s="52"/>
      <c r="O272" s="52"/>
      <c r="P272" s="61"/>
      <c r="Q272" s="61"/>
      <c r="R272" s="51">
        <v>0.0</v>
      </c>
      <c r="S272" s="52"/>
      <c r="T272" s="52"/>
      <c r="U272" s="52"/>
      <c r="V272" s="52"/>
      <c r="W272" s="52"/>
      <c r="X272" s="52"/>
      <c r="Y272" s="52"/>
      <c r="Z272" s="52"/>
      <c r="AA272" s="52"/>
      <c r="AB272" s="53"/>
    </row>
    <row r="273">
      <c r="A273" s="52"/>
      <c r="B273" s="52"/>
      <c r="C273" s="52"/>
      <c r="D273" s="52"/>
      <c r="E273" s="52"/>
      <c r="F273" s="52"/>
      <c r="G273" s="52"/>
      <c r="H273" s="52"/>
      <c r="I273" s="52"/>
      <c r="J273" s="52"/>
      <c r="K273" s="52"/>
      <c r="L273" s="52"/>
      <c r="M273" s="52"/>
      <c r="N273" s="52"/>
      <c r="O273" s="52"/>
      <c r="P273" s="61"/>
      <c r="Q273" s="61"/>
      <c r="R273" s="51">
        <v>0.0</v>
      </c>
      <c r="S273" s="52"/>
      <c r="T273" s="52"/>
      <c r="U273" s="52"/>
      <c r="V273" s="52"/>
      <c r="W273" s="52"/>
      <c r="X273" s="52"/>
      <c r="Y273" s="52"/>
      <c r="Z273" s="52"/>
      <c r="AA273" s="52"/>
      <c r="AB273" s="53"/>
    </row>
    <row r="274">
      <c r="A274" s="52"/>
      <c r="B274" s="52"/>
      <c r="C274" s="52"/>
      <c r="D274" s="52"/>
      <c r="E274" s="52"/>
      <c r="F274" s="52"/>
      <c r="G274" s="52"/>
      <c r="H274" s="52"/>
      <c r="I274" s="52"/>
      <c r="J274" s="52"/>
      <c r="K274" s="52"/>
      <c r="L274" s="52"/>
      <c r="M274" s="52"/>
      <c r="N274" s="52"/>
      <c r="O274" s="52"/>
      <c r="P274" s="61"/>
      <c r="Q274" s="61"/>
      <c r="R274" s="51">
        <v>0.0</v>
      </c>
      <c r="S274" s="52"/>
      <c r="T274" s="52"/>
      <c r="U274" s="52"/>
      <c r="V274" s="52"/>
      <c r="W274" s="52"/>
      <c r="X274" s="52"/>
      <c r="Y274" s="52"/>
      <c r="Z274" s="52"/>
      <c r="AA274" s="52"/>
      <c r="AB274" s="53"/>
    </row>
    <row r="275">
      <c r="A275" s="52"/>
      <c r="B275" s="52"/>
      <c r="C275" s="52"/>
      <c r="D275" s="52"/>
      <c r="E275" s="52"/>
      <c r="F275" s="52"/>
      <c r="G275" s="52"/>
      <c r="H275" s="52"/>
      <c r="I275" s="52"/>
      <c r="J275" s="52"/>
      <c r="K275" s="52"/>
      <c r="L275" s="52"/>
      <c r="M275" s="52"/>
      <c r="N275" s="52"/>
      <c r="O275" s="52"/>
      <c r="P275" s="61"/>
      <c r="Q275" s="61"/>
      <c r="R275" s="51">
        <v>0.0</v>
      </c>
      <c r="S275" s="52"/>
      <c r="T275" s="52"/>
      <c r="U275" s="52"/>
      <c r="V275" s="52"/>
      <c r="W275" s="52"/>
      <c r="X275" s="52"/>
      <c r="Y275" s="52"/>
      <c r="Z275" s="52"/>
      <c r="AA275" s="52"/>
      <c r="AB275" s="53"/>
    </row>
    <row r="276">
      <c r="A276" s="52"/>
      <c r="B276" s="52"/>
      <c r="C276" s="52"/>
      <c r="D276" s="52"/>
      <c r="E276" s="52"/>
      <c r="F276" s="52"/>
      <c r="G276" s="52"/>
      <c r="H276" s="52"/>
      <c r="I276" s="52"/>
      <c r="J276" s="52"/>
      <c r="K276" s="52"/>
      <c r="L276" s="52"/>
      <c r="M276" s="52"/>
      <c r="N276" s="52"/>
      <c r="O276" s="52"/>
      <c r="P276" s="61"/>
      <c r="Q276" s="61"/>
      <c r="R276" s="51">
        <v>0.0</v>
      </c>
      <c r="S276" s="52"/>
      <c r="T276" s="52"/>
      <c r="U276" s="52"/>
      <c r="V276" s="52"/>
      <c r="W276" s="52"/>
      <c r="X276" s="52"/>
      <c r="Y276" s="52"/>
      <c r="Z276" s="52"/>
      <c r="AA276" s="52"/>
      <c r="AB276" s="53"/>
    </row>
    <row r="277">
      <c r="A277" s="52"/>
      <c r="B277" s="52"/>
      <c r="C277" s="52"/>
      <c r="D277" s="52"/>
      <c r="E277" s="52"/>
      <c r="F277" s="52"/>
      <c r="G277" s="52"/>
      <c r="H277" s="52"/>
      <c r="I277" s="52"/>
      <c r="J277" s="52"/>
      <c r="K277" s="52"/>
      <c r="L277" s="52"/>
      <c r="M277" s="52"/>
      <c r="N277" s="52"/>
      <c r="O277" s="52"/>
      <c r="P277" s="61"/>
      <c r="Q277" s="61"/>
      <c r="R277" s="51">
        <v>0.0</v>
      </c>
      <c r="S277" s="52"/>
      <c r="T277" s="52"/>
      <c r="U277" s="52"/>
      <c r="V277" s="52"/>
      <c r="W277" s="52"/>
      <c r="X277" s="52"/>
      <c r="Y277" s="52"/>
      <c r="Z277" s="52"/>
      <c r="AA277" s="52"/>
      <c r="AB277" s="53"/>
    </row>
    <row r="278">
      <c r="A278" s="52"/>
      <c r="B278" s="52"/>
      <c r="C278" s="52"/>
      <c r="D278" s="52"/>
      <c r="E278" s="52"/>
      <c r="F278" s="52"/>
      <c r="G278" s="52"/>
      <c r="H278" s="52"/>
      <c r="I278" s="52"/>
      <c r="J278" s="52"/>
      <c r="K278" s="52"/>
      <c r="L278" s="52"/>
      <c r="M278" s="52"/>
      <c r="N278" s="52"/>
      <c r="O278" s="52"/>
      <c r="P278" s="61"/>
      <c r="Q278" s="61"/>
      <c r="R278" s="51">
        <v>0.0</v>
      </c>
      <c r="S278" s="52"/>
      <c r="T278" s="52"/>
      <c r="U278" s="52"/>
      <c r="V278" s="52"/>
      <c r="W278" s="52"/>
      <c r="X278" s="52"/>
      <c r="Y278" s="52"/>
      <c r="Z278" s="52"/>
      <c r="AA278" s="52"/>
      <c r="AB278" s="53"/>
    </row>
    <row r="279">
      <c r="A279" s="52"/>
      <c r="B279" s="52"/>
      <c r="C279" s="52"/>
      <c r="D279" s="52"/>
      <c r="E279" s="52"/>
      <c r="F279" s="52"/>
      <c r="G279" s="52"/>
      <c r="H279" s="52"/>
      <c r="I279" s="52"/>
      <c r="J279" s="52"/>
      <c r="K279" s="52"/>
      <c r="L279" s="52"/>
      <c r="M279" s="52"/>
      <c r="N279" s="52"/>
      <c r="O279" s="52"/>
      <c r="P279" s="61"/>
      <c r="Q279" s="61"/>
      <c r="R279" s="51">
        <v>0.0</v>
      </c>
      <c r="S279" s="52"/>
      <c r="T279" s="52"/>
      <c r="U279" s="52"/>
      <c r="V279" s="52"/>
      <c r="W279" s="52"/>
      <c r="X279" s="52"/>
      <c r="Y279" s="52"/>
      <c r="Z279" s="52"/>
      <c r="AA279" s="52"/>
      <c r="AB279" s="53"/>
    </row>
    <row r="280">
      <c r="A280" s="52"/>
      <c r="B280" s="52"/>
      <c r="C280" s="52"/>
      <c r="D280" s="52"/>
      <c r="E280" s="52"/>
      <c r="F280" s="52"/>
      <c r="G280" s="52"/>
      <c r="H280" s="52"/>
      <c r="I280" s="52"/>
      <c r="J280" s="52"/>
      <c r="K280" s="52"/>
      <c r="L280" s="52"/>
      <c r="M280" s="52"/>
      <c r="N280" s="52"/>
      <c r="O280" s="52"/>
      <c r="P280" s="61"/>
      <c r="Q280" s="61"/>
      <c r="R280" s="51">
        <v>0.0</v>
      </c>
      <c r="S280" s="52"/>
      <c r="T280" s="52"/>
      <c r="U280" s="52"/>
      <c r="V280" s="52"/>
      <c r="W280" s="52"/>
      <c r="X280" s="52"/>
      <c r="Y280" s="52"/>
      <c r="Z280" s="52"/>
      <c r="AA280" s="52"/>
      <c r="AB280" s="53"/>
    </row>
    <row r="281">
      <c r="A281" s="52"/>
      <c r="B281" s="52"/>
      <c r="C281" s="52"/>
      <c r="D281" s="52"/>
      <c r="E281" s="52"/>
      <c r="F281" s="52"/>
      <c r="G281" s="52"/>
      <c r="H281" s="52"/>
      <c r="I281" s="52"/>
      <c r="J281" s="52"/>
      <c r="K281" s="52"/>
      <c r="L281" s="52"/>
      <c r="M281" s="52"/>
      <c r="N281" s="52"/>
      <c r="O281" s="52"/>
      <c r="P281" s="61"/>
      <c r="Q281" s="61"/>
      <c r="R281" s="51">
        <v>0.0</v>
      </c>
      <c r="S281" s="52"/>
      <c r="T281" s="52"/>
      <c r="U281" s="52"/>
      <c r="V281" s="52"/>
      <c r="W281" s="52"/>
      <c r="X281" s="52"/>
      <c r="Y281" s="52"/>
      <c r="Z281" s="52"/>
      <c r="AA281" s="52"/>
      <c r="AB281" s="53"/>
    </row>
    <row r="282">
      <c r="A282" s="52"/>
      <c r="B282" s="52"/>
      <c r="C282" s="52"/>
      <c r="D282" s="52"/>
      <c r="E282" s="52"/>
      <c r="F282" s="52"/>
      <c r="G282" s="52"/>
      <c r="H282" s="52"/>
      <c r="I282" s="52"/>
      <c r="J282" s="52"/>
      <c r="K282" s="52"/>
      <c r="L282" s="52"/>
      <c r="M282" s="52"/>
      <c r="N282" s="52"/>
      <c r="O282" s="52"/>
      <c r="P282" s="61"/>
      <c r="Q282" s="61"/>
      <c r="R282" s="51">
        <v>0.0</v>
      </c>
      <c r="S282" s="52"/>
      <c r="T282" s="52"/>
      <c r="U282" s="52"/>
      <c r="V282" s="52"/>
      <c r="W282" s="52"/>
      <c r="X282" s="52"/>
      <c r="Y282" s="52"/>
      <c r="Z282" s="52"/>
      <c r="AA282" s="52"/>
      <c r="AB282" s="53"/>
    </row>
    <row r="283">
      <c r="A283" s="52"/>
      <c r="B283" s="52"/>
      <c r="C283" s="52"/>
      <c r="D283" s="52"/>
      <c r="E283" s="52"/>
      <c r="F283" s="52"/>
      <c r="G283" s="52"/>
      <c r="H283" s="52"/>
      <c r="I283" s="52"/>
      <c r="J283" s="52"/>
      <c r="K283" s="52"/>
      <c r="L283" s="52"/>
      <c r="M283" s="52"/>
      <c r="N283" s="52"/>
      <c r="O283" s="52"/>
      <c r="P283" s="61"/>
      <c r="Q283" s="61"/>
      <c r="R283" s="51">
        <v>0.0</v>
      </c>
      <c r="S283" s="52"/>
      <c r="T283" s="52"/>
      <c r="U283" s="52"/>
      <c r="V283" s="52"/>
      <c r="W283" s="52"/>
      <c r="X283" s="52"/>
      <c r="Y283" s="52"/>
      <c r="Z283" s="52"/>
      <c r="AA283" s="52"/>
      <c r="AB283" s="53"/>
    </row>
    <row r="284">
      <c r="A284" s="52"/>
      <c r="B284" s="52"/>
      <c r="C284" s="52"/>
      <c r="D284" s="52"/>
      <c r="E284" s="52"/>
      <c r="F284" s="52"/>
      <c r="G284" s="52"/>
      <c r="H284" s="52"/>
      <c r="I284" s="52"/>
      <c r="J284" s="52"/>
      <c r="K284" s="52"/>
      <c r="L284" s="52"/>
      <c r="M284" s="52"/>
      <c r="N284" s="52"/>
      <c r="O284" s="52"/>
      <c r="P284" s="61"/>
      <c r="Q284" s="61"/>
      <c r="R284" s="51">
        <v>0.0</v>
      </c>
      <c r="S284" s="52"/>
      <c r="T284" s="52"/>
      <c r="U284" s="52"/>
      <c r="V284" s="52"/>
      <c r="W284" s="52"/>
      <c r="X284" s="52"/>
      <c r="Y284" s="52"/>
      <c r="Z284" s="52"/>
      <c r="AA284" s="52"/>
      <c r="AB284" s="53"/>
    </row>
    <row r="285">
      <c r="A285" s="52"/>
      <c r="B285" s="52"/>
      <c r="C285" s="52"/>
      <c r="D285" s="52"/>
      <c r="E285" s="52"/>
      <c r="F285" s="52"/>
      <c r="G285" s="52"/>
      <c r="H285" s="52"/>
      <c r="I285" s="52"/>
      <c r="J285" s="52"/>
      <c r="K285" s="52"/>
      <c r="L285" s="52"/>
      <c r="M285" s="52"/>
      <c r="N285" s="52"/>
      <c r="O285" s="52"/>
      <c r="P285" s="61"/>
      <c r="Q285" s="61"/>
      <c r="R285" s="51">
        <v>0.0</v>
      </c>
      <c r="S285" s="52"/>
      <c r="T285" s="52"/>
      <c r="U285" s="52"/>
      <c r="V285" s="52"/>
      <c r="W285" s="52"/>
      <c r="X285" s="52"/>
      <c r="Y285" s="52"/>
      <c r="Z285" s="52"/>
      <c r="AA285" s="52"/>
      <c r="AB285" s="53"/>
    </row>
    <row r="286">
      <c r="A286" s="52"/>
      <c r="B286" s="52"/>
      <c r="C286" s="52"/>
      <c r="D286" s="52"/>
      <c r="E286" s="52"/>
      <c r="F286" s="52"/>
      <c r="G286" s="52"/>
      <c r="H286" s="52"/>
      <c r="I286" s="52"/>
      <c r="J286" s="52"/>
      <c r="K286" s="52"/>
      <c r="L286" s="52"/>
      <c r="M286" s="52"/>
      <c r="N286" s="52"/>
      <c r="O286" s="52"/>
      <c r="P286" s="61"/>
      <c r="Q286" s="61"/>
      <c r="R286" s="51">
        <v>0.0</v>
      </c>
      <c r="S286" s="52"/>
      <c r="T286" s="52"/>
      <c r="U286" s="52"/>
      <c r="V286" s="52"/>
      <c r="W286" s="52"/>
      <c r="X286" s="52"/>
      <c r="Y286" s="52"/>
      <c r="Z286" s="52"/>
      <c r="AA286" s="52"/>
      <c r="AB286" s="53"/>
    </row>
    <row r="287">
      <c r="A287" s="52"/>
      <c r="B287" s="52"/>
      <c r="C287" s="52"/>
      <c r="D287" s="52"/>
      <c r="E287" s="52"/>
      <c r="F287" s="52"/>
      <c r="G287" s="52"/>
      <c r="H287" s="52"/>
      <c r="I287" s="52"/>
      <c r="J287" s="52"/>
      <c r="K287" s="52"/>
      <c r="L287" s="52"/>
      <c r="M287" s="52"/>
      <c r="N287" s="52"/>
      <c r="O287" s="52"/>
      <c r="P287" s="61"/>
      <c r="Q287" s="61"/>
      <c r="R287" s="51">
        <v>0.0</v>
      </c>
      <c r="S287" s="52"/>
      <c r="T287" s="52"/>
      <c r="U287" s="52"/>
      <c r="V287" s="52"/>
      <c r="W287" s="52"/>
      <c r="X287" s="52"/>
      <c r="Y287" s="52"/>
      <c r="Z287" s="52"/>
      <c r="AA287" s="52"/>
      <c r="AB287" s="53"/>
    </row>
    <row r="288">
      <c r="A288" s="52"/>
      <c r="B288" s="52"/>
      <c r="C288" s="52"/>
      <c r="D288" s="52"/>
      <c r="E288" s="52"/>
      <c r="F288" s="52"/>
      <c r="G288" s="52"/>
      <c r="H288" s="52"/>
      <c r="I288" s="52"/>
      <c r="J288" s="52"/>
      <c r="K288" s="52"/>
      <c r="L288" s="52"/>
      <c r="M288" s="52"/>
      <c r="N288" s="52"/>
      <c r="O288" s="52"/>
      <c r="P288" s="61"/>
      <c r="Q288" s="61"/>
      <c r="R288" s="51">
        <v>0.0</v>
      </c>
      <c r="S288" s="52"/>
      <c r="T288" s="52"/>
      <c r="U288" s="52"/>
      <c r="V288" s="52"/>
      <c r="W288" s="52"/>
      <c r="X288" s="52"/>
      <c r="Y288" s="52"/>
      <c r="Z288" s="52"/>
      <c r="AA288" s="52"/>
      <c r="AB288" s="53"/>
    </row>
    <row r="289">
      <c r="A289" s="52"/>
      <c r="B289" s="52"/>
      <c r="C289" s="52"/>
      <c r="D289" s="52"/>
      <c r="E289" s="52"/>
      <c r="F289" s="52"/>
      <c r="G289" s="52"/>
      <c r="H289" s="52"/>
      <c r="I289" s="52"/>
      <c r="J289" s="52"/>
      <c r="K289" s="52"/>
      <c r="L289" s="52"/>
      <c r="M289" s="52"/>
      <c r="N289" s="52"/>
      <c r="O289" s="52"/>
      <c r="P289" s="61"/>
      <c r="Q289" s="61"/>
      <c r="R289" s="51">
        <v>0.0</v>
      </c>
      <c r="S289" s="52"/>
      <c r="T289" s="52"/>
      <c r="U289" s="52"/>
      <c r="V289" s="52"/>
      <c r="W289" s="52"/>
      <c r="X289" s="52"/>
      <c r="Y289" s="52"/>
      <c r="Z289" s="52"/>
      <c r="AA289" s="52"/>
      <c r="AB289" s="53"/>
    </row>
    <row r="290">
      <c r="A290" s="52"/>
      <c r="B290" s="52"/>
      <c r="C290" s="52"/>
      <c r="D290" s="52"/>
      <c r="E290" s="52"/>
      <c r="F290" s="52"/>
      <c r="G290" s="52"/>
      <c r="H290" s="52"/>
      <c r="I290" s="52"/>
      <c r="J290" s="52"/>
      <c r="K290" s="52"/>
      <c r="L290" s="52"/>
      <c r="M290" s="52"/>
      <c r="N290" s="52"/>
      <c r="O290" s="52"/>
      <c r="P290" s="61"/>
      <c r="Q290" s="61"/>
      <c r="R290" s="51">
        <v>0.0</v>
      </c>
      <c r="S290" s="52"/>
      <c r="T290" s="52"/>
      <c r="U290" s="52"/>
      <c r="V290" s="52"/>
      <c r="W290" s="52"/>
      <c r="X290" s="52"/>
      <c r="Y290" s="52"/>
      <c r="Z290" s="52"/>
      <c r="AA290" s="52"/>
      <c r="AB290" s="53"/>
    </row>
    <row r="291">
      <c r="A291" s="52"/>
      <c r="B291" s="52"/>
      <c r="C291" s="52"/>
      <c r="D291" s="52"/>
      <c r="E291" s="52"/>
      <c r="F291" s="52"/>
      <c r="G291" s="52"/>
      <c r="H291" s="52"/>
      <c r="I291" s="52"/>
      <c r="J291" s="52"/>
      <c r="K291" s="52"/>
      <c r="L291" s="52"/>
      <c r="M291" s="52"/>
      <c r="N291" s="52"/>
      <c r="O291" s="52"/>
      <c r="P291" s="61"/>
      <c r="Q291" s="61"/>
      <c r="R291" s="51">
        <v>0.0</v>
      </c>
      <c r="S291" s="52"/>
      <c r="T291" s="52"/>
      <c r="U291" s="52"/>
      <c r="V291" s="52"/>
      <c r="W291" s="52"/>
      <c r="X291" s="52"/>
      <c r="Y291" s="52"/>
      <c r="Z291" s="52"/>
      <c r="AA291" s="52"/>
      <c r="AB291" s="53"/>
    </row>
    <row r="292">
      <c r="A292" s="52"/>
      <c r="B292" s="52"/>
      <c r="C292" s="52"/>
      <c r="D292" s="52"/>
      <c r="E292" s="52"/>
      <c r="F292" s="52"/>
      <c r="G292" s="52"/>
      <c r="H292" s="52"/>
      <c r="I292" s="52"/>
      <c r="J292" s="52"/>
      <c r="K292" s="52"/>
      <c r="L292" s="52"/>
      <c r="M292" s="52"/>
      <c r="N292" s="52"/>
      <c r="O292" s="52"/>
      <c r="P292" s="61"/>
      <c r="Q292" s="61"/>
      <c r="R292" s="51">
        <v>0.0</v>
      </c>
      <c r="S292" s="52"/>
      <c r="T292" s="52"/>
      <c r="U292" s="52"/>
      <c r="V292" s="52"/>
      <c r="W292" s="52"/>
      <c r="X292" s="52"/>
      <c r="Y292" s="52"/>
      <c r="Z292" s="52"/>
      <c r="AA292" s="52"/>
      <c r="AB292" s="53"/>
    </row>
    <row r="293">
      <c r="A293" s="52"/>
      <c r="B293" s="52"/>
      <c r="C293" s="52"/>
      <c r="D293" s="52"/>
      <c r="E293" s="52"/>
      <c r="F293" s="52"/>
      <c r="G293" s="52"/>
      <c r="H293" s="52"/>
      <c r="I293" s="52"/>
      <c r="J293" s="52"/>
      <c r="K293" s="52"/>
      <c r="L293" s="52"/>
      <c r="M293" s="52"/>
      <c r="N293" s="52"/>
      <c r="O293" s="52"/>
      <c r="P293" s="61"/>
      <c r="Q293" s="61"/>
      <c r="R293" s="51">
        <v>0.0</v>
      </c>
      <c r="S293" s="52"/>
      <c r="T293" s="52"/>
      <c r="U293" s="52"/>
      <c r="V293" s="52"/>
      <c r="W293" s="52"/>
      <c r="X293" s="52"/>
      <c r="Y293" s="52"/>
      <c r="Z293" s="52"/>
      <c r="AA293" s="52"/>
      <c r="AB293" s="53"/>
    </row>
    <row r="294">
      <c r="A294" s="52"/>
      <c r="B294" s="52"/>
      <c r="C294" s="52"/>
      <c r="D294" s="52"/>
      <c r="E294" s="52"/>
      <c r="F294" s="52"/>
      <c r="G294" s="52"/>
      <c r="H294" s="52"/>
      <c r="I294" s="52"/>
      <c r="J294" s="52"/>
      <c r="K294" s="52"/>
      <c r="L294" s="52"/>
      <c r="M294" s="52"/>
      <c r="N294" s="52"/>
      <c r="O294" s="52"/>
      <c r="P294" s="61"/>
      <c r="Q294" s="61"/>
      <c r="R294" s="51">
        <v>0.0</v>
      </c>
      <c r="S294" s="52"/>
      <c r="T294" s="52"/>
      <c r="U294" s="52"/>
      <c r="V294" s="52"/>
      <c r="W294" s="52"/>
      <c r="X294" s="52"/>
      <c r="Y294" s="52"/>
      <c r="Z294" s="52"/>
      <c r="AA294" s="52"/>
      <c r="AB294" s="53"/>
    </row>
    <row r="295">
      <c r="A295" s="52"/>
      <c r="B295" s="52"/>
      <c r="C295" s="52"/>
      <c r="D295" s="52"/>
      <c r="E295" s="52"/>
      <c r="F295" s="52"/>
      <c r="G295" s="52"/>
      <c r="H295" s="52"/>
      <c r="I295" s="52"/>
      <c r="J295" s="52"/>
      <c r="K295" s="52"/>
      <c r="L295" s="52"/>
      <c r="M295" s="52"/>
      <c r="N295" s="52"/>
      <c r="O295" s="52"/>
      <c r="P295" s="61"/>
      <c r="Q295" s="61"/>
      <c r="R295" s="51">
        <v>0.0</v>
      </c>
      <c r="S295" s="52"/>
      <c r="T295" s="52"/>
      <c r="U295" s="52"/>
      <c r="V295" s="52"/>
      <c r="W295" s="52"/>
      <c r="X295" s="52"/>
      <c r="Y295" s="52"/>
      <c r="Z295" s="52"/>
      <c r="AA295" s="52"/>
      <c r="AB295" s="53"/>
    </row>
    <row r="296">
      <c r="A296" s="52"/>
      <c r="B296" s="52"/>
      <c r="C296" s="52"/>
      <c r="D296" s="52"/>
      <c r="E296" s="52"/>
      <c r="F296" s="52"/>
      <c r="G296" s="52"/>
      <c r="H296" s="52"/>
      <c r="I296" s="52"/>
      <c r="J296" s="52"/>
      <c r="K296" s="52"/>
      <c r="L296" s="52"/>
      <c r="M296" s="52"/>
      <c r="N296" s="52"/>
      <c r="O296" s="52"/>
      <c r="P296" s="61"/>
      <c r="Q296" s="61"/>
      <c r="R296" s="51">
        <v>0.0</v>
      </c>
      <c r="S296" s="52"/>
      <c r="T296" s="52"/>
      <c r="U296" s="52"/>
      <c r="V296" s="52"/>
      <c r="W296" s="52"/>
      <c r="X296" s="52"/>
      <c r="Y296" s="52"/>
      <c r="Z296" s="52"/>
      <c r="AA296" s="52"/>
      <c r="AB296" s="53"/>
    </row>
    <row r="297">
      <c r="A297" s="52"/>
      <c r="B297" s="52"/>
      <c r="C297" s="52"/>
      <c r="D297" s="52"/>
      <c r="E297" s="52"/>
      <c r="F297" s="52"/>
      <c r="G297" s="52"/>
      <c r="H297" s="52"/>
      <c r="I297" s="52"/>
      <c r="J297" s="52"/>
      <c r="K297" s="52"/>
      <c r="L297" s="52"/>
      <c r="M297" s="52"/>
      <c r="N297" s="52"/>
      <c r="O297" s="52"/>
      <c r="P297" s="61"/>
      <c r="Q297" s="61"/>
      <c r="R297" s="51">
        <v>0.0</v>
      </c>
      <c r="S297" s="52"/>
      <c r="T297" s="52"/>
      <c r="U297" s="52"/>
      <c r="V297" s="52"/>
      <c r="W297" s="52"/>
      <c r="X297" s="52"/>
      <c r="Y297" s="52"/>
      <c r="Z297" s="52"/>
      <c r="AA297" s="52"/>
      <c r="AB297" s="53"/>
    </row>
    <row r="298">
      <c r="A298" s="52"/>
      <c r="B298" s="52"/>
      <c r="C298" s="52"/>
      <c r="D298" s="52"/>
      <c r="E298" s="52"/>
      <c r="F298" s="52"/>
      <c r="G298" s="52"/>
      <c r="H298" s="52"/>
      <c r="I298" s="52"/>
      <c r="J298" s="52"/>
      <c r="K298" s="52"/>
      <c r="L298" s="52"/>
      <c r="M298" s="52"/>
      <c r="N298" s="52"/>
      <c r="O298" s="52"/>
      <c r="P298" s="61"/>
      <c r="Q298" s="61"/>
      <c r="R298" s="51">
        <v>0.0</v>
      </c>
      <c r="S298" s="52"/>
      <c r="T298" s="52"/>
      <c r="U298" s="52"/>
      <c r="V298" s="52"/>
      <c r="W298" s="52"/>
      <c r="X298" s="52"/>
      <c r="Y298" s="52"/>
      <c r="Z298" s="52"/>
      <c r="AA298" s="52"/>
      <c r="AB298" s="53"/>
    </row>
    <row r="299">
      <c r="A299" s="52"/>
      <c r="B299" s="52"/>
      <c r="C299" s="52"/>
      <c r="D299" s="52"/>
      <c r="E299" s="52"/>
      <c r="F299" s="52"/>
      <c r="G299" s="52"/>
      <c r="H299" s="52"/>
      <c r="I299" s="52"/>
      <c r="J299" s="52"/>
      <c r="K299" s="52"/>
      <c r="L299" s="52"/>
      <c r="M299" s="52"/>
      <c r="N299" s="52"/>
      <c r="O299" s="52"/>
      <c r="P299" s="61"/>
      <c r="Q299" s="61"/>
      <c r="R299" s="51">
        <v>0.0</v>
      </c>
      <c r="S299" s="52"/>
      <c r="T299" s="52"/>
      <c r="U299" s="52"/>
      <c r="V299" s="52"/>
      <c r="W299" s="52"/>
      <c r="X299" s="52"/>
      <c r="Y299" s="52"/>
      <c r="Z299" s="52"/>
      <c r="AA299" s="52"/>
      <c r="AB299" s="53"/>
    </row>
    <row r="300">
      <c r="A300" s="52"/>
      <c r="B300" s="52"/>
      <c r="C300" s="52"/>
      <c r="D300" s="52"/>
      <c r="E300" s="52"/>
      <c r="F300" s="52"/>
      <c r="G300" s="52"/>
      <c r="H300" s="52"/>
      <c r="I300" s="52"/>
      <c r="J300" s="52"/>
      <c r="K300" s="52"/>
      <c r="L300" s="52"/>
      <c r="M300" s="52"/>
      <c r="N300" s="52"/>
      <c r="O300" s="52"/>
      <c r="P300" s="61"/>
      <c r="Q300" s="61"/>
      <c r="R300" s="51">
        <v>0.0</v>
      </c>
      <c r="S300" s="52"/>
      <c r="T300" s="52"/>
      <c r="U300" s="52"/>
      <c r="V300" s="52"/>
      <c r="W300" s="52"/>
      <c r="X300" s="52"/>
      <c r="Y300" s="52"/>
      <c r="Z300" s="52"/>
      <c r="AA300" s="52"/>
      <c r="AB300" s="53"/>
    </row>
    <row r="301">
      <c r="A301" s="52"/>
      <c r="B301" s="52"/>
      <c r="C301" s="52"/>
      <c r="D301" s="52"/>
      <c r="E301" s="52"/>
      <c r="F301" s="52"/>
      <c r="G301" s="52"/>
      <c r="H301" s="52"/>
      <c r="I301" s="52"/>
      <c r="J301" s="52"/>
      <c r="K301" s="52"/>
      <c r="L301" s="52"/>
      <c r="M301" s="52"/>
      <c r="N301" s="52"/>
      <c r="O301" s="52"/>
      <c r="P301" s="61"/>
      <c r="Q301" s="61"/>
      <c r="R301" s="51">
        <v>0.0</v>
      </c>
      <c r="S301" s="52"/>
      <c r="T301" s="52"/>
      <c r="U301" s="52"/>
      <c r="V301" s="52"/>
      <c r="W301" s="52"/>
      <c r="X301" s="52"/>
      <c r="Y301" s="52"/>
      <c r="Z301" s="52"/>
      <c r="AA301" s="52"/>
      <c r="AB301" s="53"/>
    </row>
    <row r="302">
      <c r="A302" s="52"/>
      <c r="B302" s="52"/>
      <c r="C302" s="52"/>
      <c r="D302" s="52"/>
      <c r="E302" s="52"/>
      <c r="F302" s="52"/>
      <c r="G302" s="52"/>
      <c r="H302" s="52"/>
      <c r="I302" s="52"/>
      <c r="J302" s="52"/>
      <c r="K302" s="52"/>
      <c r="L302" s="52"/>
      <c r="M302" s="52"/>
      <c r="N302" s="52"/>
      <c r="O302" s="52"/>
      <c r="P302" s="61"/>
      <c r="Q302" s="61"/>
      <c r="R302" s="51">
        <v>0.0</v>
      </c>
      <c r="S302" s="52"/>
      <c r="T302" s="52"/>
      <c r="U302" s="52"/>
      <c r="V302" s="52"/>
      <c r="W302" s="52"/>
      <c r="X302" s="52"/>
      <c r="Y302" s="52"/>
      <c r="Z302" s="52"/>
      <c r="AA302" s="52"/>
      <c r="AB302" s="53"/>
    </row>
    <row r="303">
      <c r="A303" s="52"/>
      <c r="B303" s="52"/>
      <c r="C303" s="52"/>
      <c r="D303" s="52"/>
      <c r="E303" s="52"/>
      <c r="F303" s="52"/>
      <c r="G303" s="52"/>
      <c r="H303" s="52"/>
      <c r="I303" s="52"/>
      <c r="J303" s="52"/>
      <c r="K303" s="52"/>
      <c r="L303" s="52"/>
      <c r="M303" s="52"/>
      <c r="N303" s="52"/>
      <c r="O303" s="52"/>
      <c r="P303" s="61"/>
      <c r="Q303" s="61"/>
      <c r="R303" s="51">
        <v>0.0</v>
      </c>
      <c r="S303" s="52"/>
      <c r="T303" s="52"/>
      <c r="U303" s="52"/>
      <c r="V303" s="52"/>
      <c r="W303" s="52"/>
      <c r="X303" s="52"/>
      <c r="Y303" s="52"/>
      <c r="Z303" s="52"/>
      <c r="AA303" s="52"/>
      <c r="AB303" s="53"/>
    </row>
    <row r="304">
      <c r="A304" s="52"/>
      <c r="B304" s="52"/>
      <c r="C304" s="52"/>
      <c r="D304" s="52"/>
      <c r="E304" s="52"/>
      <c r="F304" s="52"/>
      <c r="G304" s="52"/>
      <c r="H304" s="52"/>
      <c r="I304" s="52"/>
      <c r="J304" s="52"/>
      <c r="K304" s="52"/>
      <c r="L304" s="52"/>
      <c r="M304" s="52"/>
      <c r="N304" s="52"/>
      <c r="O304" s="52"/>
      <c r="P304" s="61"/>
      <c r="Q304" s="61"/>
      <c r="R304" s="51">
        <v>0.0</v>
      </c>
      <c r="S304" s="52"/>
      <c r="T304" s="52"/>
      <c r="U304" s="52"/>
      <c r="V304" s="52"/>
      <c r="W304" s="52"/>
      <c r="X304" s="52"/>
      <c r="Y304" s="52"/>
      <c r="Z304" s="52"/>
      <c r="AA304" s="52"/>
      <c r="AB304" s="53"/>
    </row>
    <row r="305">
      <c r="A305" s="52"/>
      <c r="B305" s="52"/>
      <c r="C305" s="52"/>
      <c r="D305" s="52"/>
      <c r="E305" s="52"/>
      <c r="F305" s="52"/>
      <c r="G305" s="52"/>
      <c r="H305" s="52"/>
      <c r="I305" s="52"/>
      <c r="J305" s="52"/>
      <c r="K305" s="52"/>
      <c r="L305" s="52"/>
      <c r="M305" s="52"/>
      <c r="N305" s="52"/>
      <c r="O305" s="52"/>
      <c r="P305" s="61"/>
      <c r="Q305" s="61"/>
      <c r="R305" s="51">
        <v>0.0</v>
      </c>
      <c r="S305" s="52"/>
      <c r="T305" s="52"/>
      <c r="U305" s="52"/>
      <c r="V305" s="52"/>
      <c r="W305" s="52"/>
      <c r="X305" s="52"/>
      <c r="Y305" s="52"/>
      <c r="Z305" s="52"/>
      <c r="AA305" s="52"/>
      <c r="AB305" s="53"/>
    </row>
    <row r="306">
      <c r="A306" s="52"/>
      <c r="B306" s="52"/>
      <c r="C306" s="52"/>
      <c r="D306" s="52"/>
      <c r="E306" s="52"/>
      <c r="F306" s="52"/>
      <c r="G306" s="52"/>
      <c r="H306" s="52"/>
      <c r="I306" s="52"/>
      <c r="J306" s="52"/>
      <c r="K306" s="52"/>
      <c r="L306" s="52"/>
      <c r="M306" s="52"/>
      <c r="N306" s="52"/>
      <c r="O306" s="52"/>
      <c r="P306" s="61"/>
      <c r="Q306" s="61"/>
      <c r="R306" s="51">
        <v>0.0</v>
      </c>
      <c r="S306" s="52"/>
      <c r="T306" s="52"/>
      <c r="U306" s="52"/>
      <c r="V306" s="52"/>
      <c r="W306" s="52"/>
      <c r="X306" s="52"/>
      <c r="Y306" s="52"/>
      <c r="Z306" s="52"/>
      <c r="AA306" s="52"/>
      <c r="AB306" s="53"/>
    </row>
    <row r="307">
      <c r="A307" s="52"/>
      <c r="B307" s="52"/>
      <c r="C307" s="52"/>
      <c r="D307" s="52"/>
      <c r="E307" s="52"/>
      <c r="F307" s="52"/>
      <c r="G307" s="52"/>
      <c r="H307" s="52"/>
      <c r="I307" s="52"/>
      <c r="J307" s="52"/>
      <c r="K307" s="52"/>
      <c r="L307" s="52"/>
      <c r="M307" s="52"/>
      <c r="N307" s="52"/>
      <c r="O307" s="52"/>
      <c r="P307" s="61"/>
      <c r="Q307" s="61"/>
      <c r="R307" s="51">
        <v>0.0</v>
      </c>
      <c r="S307" s="52"/>
      <c r="T307" s="52"/>
      <c r="U307" s="52"/>
      <c r="V307" s="52"/>
      <c r="W307" s="52"/>
      <c r="X307" s="52"/>
      <c r="Y307" s="52"/>
      <c r="Z307" s="52"/>
      <c r="AA307" s="52"/>
      <c r="AB307" s="53"/>
    </row>
    <row r="308">
      <c r="A308" s="52"/>
      <c r="B308" s="52"/>
      <c r="C308" s="52"/>
      <c r="D308" s="52"/>
      <c r="E308" s="52"/>
      <c r="F308" s="52"/>
      <c r="G308" s="52"/>
      <c r="H308" s="52"/>
      <c r="I308" s="52"/>
      <c r="J308" s="52"/>
      <c r="K308" s="52"/>
      <c r="L308" s="52"/>
      <c r="M308" s="52"/>
      <c r="N308" s="52"/>
      <c r="O308" s="52"/>
      <c r="P308" s="61"/>
      <c r="Q308" s="61"/>
      <c r="R308" s="51">
        <v>0.0</v>
      </c>
      <c r="S308" s="52"/>
      <c r="T308" s="52"/>
      <c r="U308" s="52"/>
      <c r="V308" s="52"/>
      <c r="W308" s="52"/>
      <c r="X308" s="52"/>
      <c r="Y308" s="52"/>
      <c r="Z308" s="52"/>
      <c r="AA308" s="52"/>
      <c r="AB308" s="53"/>
    </row>
    <row r="309">
      <c r="A309" s="52"/>
      <c r="B309" s="52"/>
      <c r="C309" s="52"/>
      <c r="D309" s="52"/>
      <c r="E309" s="52"/>
      <c r="F309" s="52"/>
      <c r="G309" s="52"/>
      <c r="H309" s="52"/>
      <c r="I309" s="52"/>
      <c r="J309" s="52"/>
      <c r="K309" s="52"/>
      <c r="L309" s="52"/>
      <c r="M309" s="52"/>
      <c r="N309" s="52"/>
      <c r="O309" s="52"/>
      <c r="P309" s="61"/>
      <c r="Q309" s="61"/>
      <c r="R309" s="51">
        <v>0.0</v>
      </c>
      <c r="S309" s="52"/>
      <c r="T309" s="52"/>
      <c r="U309" s="52"/>
      <c r="V309" s="52"/>
      <c r="W309" s="52"/>
      <c r="X309" s="52"/>
      <c r="Y309" s="52"/>
      <c r="Z309" s="52"/>
      <c r="AA309" s="52"/>
      <c r="AB309" s="53"/>
    </row>
    <row r="310">
      <c r="A310" s="52"/>
      <c r="B310" s="52"/>
      <c r="C310" s="52"/>
      <c r="D310" s="52"/>
      <c r="E310" s="52"/>
      <c r="F310" s="52"/>
      <c r="G310" s="52"/>
      <c r="H310" s="52"/>
      <c r="I310" s="52"/>
      <c r="J310" s="52"/>
      <c r="K310" s="52"/>
      <c r="L310" s="52"/>
      <c r="M310" s="52"/>
      <c r="N310" s="52"/>
      <c r="O310" s="52"/>
      <c r="P310" s="61"/>
      <c r="Q310" s="61"/>
      <c r="R310" s="51">
        <v>0.0</v>
      </c>
      <c r="S310" s="52"/>
      <c r="T310" s="52"/>
      <c r="U310" s="52"/>
      <c r="V310" s="52"/>
      <c r="W310" s="52"/>
      <c r="X310" s="52"/>
      <c r="Y310" s="52"/>
      <c r="Z310" s="52"/>
      <c r="AA310" s="52"/>
      <c r="AB310" s="53"/>
    </row>
    <row r="311">
      <c r="A311" s="52"/>
      <c r="B311" s="52"/>
      <c r="C311" s="52"/>
      <c r="D311" s="52"/>
      <c r="E311" s="52"/>
      <c r="F311" s="52"/>
      <c r="G311" s="52"/>
      <c r="H311" s="52"/>
      <c r="I311" s="52"/>
      <c r="J311" s="52"/>
      <c r="K311" s="52"/>
      <c r="L311" s="52"/>
      <c r="M311" s="52"/>
      <c r="N311" s="52"/>
      <c r="O311" s="52"/>
      <c r="P311" s="61"/>
      <c r="Q311" s="61"/>
      <c r="R311" s="51">
        <v>0.0</v>
      </c>
      <c r="S311" s="52"/>
      <c r="T311" s="52"/>
      <c r="U311" s="52"/>
      <c r="V311" s="52"/>
      <c r="W311" s="52"/>
      <c r="X311" s="52"/>
      <c r="Y311" s="52"/>
      <c r="Z311" s="52"/>
      <c r="AA311" s="52"/>
      <c r="AB311" s="53"/>
    </row>
    <row r="312">
      <c r="A312" s="52"/>
      <c r="B312" s="52"/>
      <c r="C312" s="52"/>
      <c r="D312" s="52"/>
      <c r="E312" s="52"/>
      <c r="F312" s="52"/>
      <c r="G312" s="52"/>
      <c r="H312" s="52"/>
      <c r="I312" s="52"/>
      <c r="J312" s="52"/>
      <c r="K312" s="52"/>
      <c r="L312" s="52"/>
      <c r="M312" s="52"/>
      <c r="N312" s="52"/>
      <c r="O312" s="52"/>
      <c r="P312" s="61"/>
      <c r="Q312" s="61"/>
      <c r="R312" s="51">
        <v>0.0</v>
      </c>
      <c r="S312" s="52"/>
      <c r="T312" s="52"/>
      <c r="U312" s="52"/>
      <c r="V312" s="52"/>
      <c r="W312" s="52"/>
      <c r="X312" s="52"/>
      <c r="Y312" s="52"/>
      <c r="Z312" s="52"/>
      <c r="AA312" s="52"/>
      <c r="AB312" s="53"/>
    </row>
    <row r="313">
      <c r="A313" s="52"/>
      <c r="B313" s="52"/>
      <c r="C313" s="52"/>
      <c r="D313" s="52"/>
      <c r="E313" s="52"/>
      <c r="F313" s="52"/>
      <c r="G313" s="52"/>
      <c r="H313" s="52"/>
      <c r="I313" s="52"/>
      <c r="J313" s="52"/>
      <c r="K313" s="52"/>
      <c r="L313" s="52"/>
      <c r="M313" s="52"/>
      <c r="N313" s="52"/>
      <c r="O313" s="52"/>
      <c r="P313" s="61"/>
      <c r="Q313" s="61"/>
      <c r="R313" s="51">
        <v>0.0</v>
      </c>
      <c r="S313" s="52"/>
      <c r="T313" s="52"/>
      <c r="U313" s="52"/>
      <c r="V313" s="52"/>
      <c r="W313" s="52"/>
      <c r="X313" s="52"/>
      <c r="Y313" s="52"/>
      <c r="Z313" s="52"/>
      <c r="AA313" s="52"/>
      <c r="AB313" s="53"/>
    </row>
    <row r="314">
      <c r="A314" s="52"/>
      <c r="B314" s="52"/>
      <c r="C314" s="52"/>
      <c r="D314" s="52"/>
      <c r="E314" s="52"/>
      <c r="F314" s="52"/>
      <c r="G314" s="52"/>
      <c r="H314" s="52"/>
      <c r="I314" s="52"/>
      <c r="J314" s="52"/>
      <c r="K314" s="52"/>
      <c r="L314" s="52"/>
      <c r="M314" s="52"/>
      <c r="N314" s="52"/>
      <c r="O314" s="52"/>
      <c r="P314" s="61"/>
      <c r="Q314" s="61"/>
      <c r="R314" s="51">
        <v>0.0</v>
      </c>
      <c r="S314" s="52"/>
      <c r="T314" s="52"/>
      <c r="U314" s="52"/>
      <c r="V314" s="52"/>
      <c r="W314" s="52"/>
      <c r="X314" s="52"/>
      <c r="Y314" s="52"/>
      <c r="Z314" s="52"/>
      <c r="AA314" s="52"/>
      <c r="AB314" s="53"/>
    </row>
    <row r="315">
      <c r="A315" s="52"/>
      <c r="B315" s="52"/>
      <c r="C315" s="52"/>
      <c r="D315" s="52"/>
      <c r="E315" s="52"/>
      <c r="F315" s="52"/>
      <c r="G315" s="52"/>
      <c r="H315" s="52"/>
      <c r="I315" s="52"/>
      <c r="J315" s="52"/>
      <c r="K315" s="52"/>
      <c r="L315" s="52"/>
      <c r="M315" s="52"/>
      <c r="N315" s="52"/>
      <c r="O315" s="52"/>
      <c r="P315" s="61"/>
      <c r="Q315" s="61"/>
      <c r="R315" s="51">
        <v>0.0</v>
      </c>
      <c r="S315" s="52"/>
      <c r="T315" s="52"/>
      <c r="U315" s="52"/>
      <c r="V315" s="52"/>
      <c r="W315" s="52"/>
      <c r="X315" s="52"/>
      <c r="Y315" s="52"/>
      <c r="Z315" s="52"/>
      <c r="AA315" s="52"/>
      <c r="AB315" s="53"/>
    </row>
    <row r="316">
      <c r="A316" s="52"/>
      <c r="B316" s="52"/>
      <c r="C316" s="52"/>
      <c r="D316" s="52"/>
      <c r="E316" s="52"/>
      <c r="F316" s="52"/>
      <c r="G316" s="52"/>
      <c r="H316" s="52"/>
      <c r="I316" s="52"/>
      <c r="J316" s="52"/>
      <c r="K316" s="52"/>
      <c r="L316" s="52"/>
      <c r="M316" s="52"/>
      <c r="N316" s="52"/>
      <c r="O316" s="52"/>
      <c r="P316" s="61"/>
      <c r="Q316" s="61"/>
      <c r="R316" s="51">
        <v>0.0</v>
      </c>
      <c r="S316" s="52"/>
      <c r="T316" s="52"/>
      <c r="U316" s="52"/>
      <c r="V316" s="52"/>
      <c r="W316" s="52"/>
      <c r="X316" s="52"/>
      <c r="Y316" s="52"/>
      <c r="Z316" s="52"/>
      <c r="AA316" s="52"/>
      <c r="AB316" s="53"/>
    </row>
    <row r="317">
      <c r="A317" s="52"/>
      <c r="B317" s="52"/>
      <c r="C317" s="52"/>
      <c r="D317" s="52"/>
      <c r="E317" s="52"/>
      <c r="F317" s="52"/>
      <c r="G317" s="52"/>
      <c r="H317" s="52"/>
      <c r="I317" s="52"/>
      <c r="J317" s="52"/>
      <c r="K317" s="52"/>
      <c r="L317" s="52"/>
      <c r="M317" s="52"/>
      <c r="N317" s="52"/>
      <c r="O317" s="52"/>
      <c r="P317" s="61"/>
      <c r="Q317" s="61"/>
      <c r="R317" s="51">
        <v>0.0</v>
      </c>
      <c r="S317" s="52"/>
      <c r="T317" s="52"/>
      <c r="U317" s="52"/>
      <c r="V317" s="52"/>
      <c r="W317" s="52"/>
      <c r="X317" s="52"/>
      <c r="Y317" s="52"/>
      <c r="Z317" s="52"/>
      <c r="AA317" s="52"/>
      <c r="AB317" s="53"/>
    </row>
    <row r="318">
      <c r="A318" s="52"/>
      <c r="B318" s="52"/>
      <c r="C318" s="52"/>
      <c r="D318" s="52"/>
      <c r="E318" s="52"/>
      <c r="F318" s="52"/>
      <c r="G318" s="52"/>
      <c r="H318" s="52"/>
      <c r="I318" s="52"/>
      <c r="J318" s="52"/>
      <c r="K318" s="52"/>
      <c r="L318" s="52"/>
      <c r="M318" s="52"/>
      <c r="N318" s="52"/>
      <c r="O318" s="52"/>
      <c r="P318" s="61"/>
      <c r="Q318" s="61"/>
      <c r="R318" s="51">
        <v>0.0</v>
      </c>
      <c r="S318" s="52"/>
      <c r="T318" s="52"/>
      <c r="U318" s="52"/>
      <c r="V318" s="52"/>
      <c r="W318" s="52"/>
      <c r="X318" s="52"/>
      <c r="Y318" s="52"/>
      <c r="Z318" s="52"/>
      <c r="AA318" s="52"/>
      <c r="AB318" s="53"/>
    </row>
    <row r="319">
      <c r="A319" s="52"/>
      <c r="B319" s="52"/>
      <c r="C319" s="52"/>
      <c r="D319" s="52"/>
      <c r="E319" s="52"/>
      <c r="F319" s="52"/>
      <c r="G319" s="52"/>
      <c r="H319" s="52"/>
      <c r="I319" s="52"/>
      <c r="J319" s="52"/>
      <c r="K319" s="52"/>
      <c r="L319" s="52"/>
      <c r="M319" s="52"/>
      <c r="N319" s="52"/>
      <c r="O319" s="52"/>
      <c r="P319" s="61"/>
      <c r="Q319" s="61"/>
      <c r="R319" s="51">
        <v>0.0</v>
      </c>
      <c r="S319" s="52"/>
      <c r="T319" s="52"/>
      <c r="U319" s="52"/>
      <c r="V319" s="52"/>
      <c r="W319" s="52"/>
      <c r="X319" s="52"/>
      <c r="Y319" s="52"/>
      <c r="Z319" s="52"/>
      <c r="AA319" s="52"/>
      <c r="AB319" s="53"/>
    </row>
    <row r="320">
      <c r="A320" s="52"/>
      <c r="B320" s="52"/>
      <c r="C320" s="52"/>
      <c r="D320" s="52"/>
      <c r="E320" s="52"/>
      <c r="F320" s="52"/>
      <c r="G320" s="52"/>
      <c r="H320" s="52"/>
      <c r="I320" s="52"/>
      <c r="J320" s="52"/>
      <c r="K320" s="52"/>
      <c r="L320" s="52"/>
      <c r="M320" s="52"/>
      <c r="N320" s="52"/>
      <c r="O320" s="52"/>
      <c r="P320" s="61"/>
      <c r="Q320" s="61"/>
      <c r="R320" s="51">
        <v>0.0</v>
      </c>
      <c r="S320" s="52"/>
      <c r="T320" s="52"/>
      <c r="U320" s="52"/>
      <c r="V320" s="52"/>
      <c r="W320" s="52"/>
      <c r="X320" s="52"/>
      <c r="Y320" s="52"/>
      <c r="Z320" s="52"/>
      <c r="AA320" s="52"/>
      <c r="AB320" s="53"/>
    </row>
    <row r="321">
      <c r="A321" s="52"/>
      <c r="B321" s="52"/>
      <c r="C321" s="52"/>
      <c r="D321" s="52"/>
      <c r="E321" s="52"/>
      <c r="F321" s="52"/>
      <c r="G321" s="52"/>
      <c r="H321" s="52"/>
      <c r="I321" s="52"/>
      <c r="J321" s="52"/>
      <c r="K321" s="52"/>
      <c r="L321" s="52"/>
      <c r="M321" s="52"/>
      <c r="N321" s="52"/>
      <c r="O321" s="52"/>
      <c r="P321" s="61"/>
      <c r="Q321" s="61"/>
      <c r="R321" s="51">
        <v>0.0</v>
      </c>
      <c r="S321" s="52"/>
      <c r="T321" s="52"/>
      <c r="U321" s="52"/>
      <c r="V321" s="52"/>
      <c r="W321" s="52"/>
      <c r="X321" s="52"/>
      <c r="Y321" s="52"/>
      <c r="Z321" s="52"/>
      <c r="AA321" s="52"/>
      <c r="AB321" s="53"/>
    </row>
    <row r="322">
      <c r="A322" s="52"/>
      <c r="B322" s="52"/>
      <c r="C322" s="52"/>
      <c r="D322" s="52"/>
      <c r="E322" s="52"/>
      <c r="F322" s="52"/>
      <c r="G322" s="52"/>
      <c r="H322" s="52"/>
      <c r="I322" s="52"/>
      <c r="J322" s="52"/>
      <c r="K322" s="52"/>
      <c r="L322" s="52"/>
      <c r="M322" s="52"/>
      <c r="N322" s="52"/>
      <c r="O322" s="52"/>
      <c r="P322" s="61"/>
      <c r="Q322" s="61"/>
      <c r="R322" s="51">
        <v>0.0</v>
      </c>
      <c r="S322" s="52"/>
      <c r="T322" s="52"/>
      <c r="U322" s="52"/>
      <c r="V322" s="52"/>
      <c r="W322" s="52"/>
      <c r="X322" s="52"/>
      <c r="Y322" s="52"/>
      <c r="Z322" s="52"/>
      <c r="AA322" s="52"/>
      <c r="AB322" s="53"/>
    </row>
    <row r="323">
      <c r="A323" s="52"/>
      <c r="B323" s="52"/>
      <c r="C323" s="52"/>
      <c r="D323" s="52"/>
      <c r="E323" s="52"/>
      <c r="F323" s="52"/>
      <c r="G323" s="52"/>
      <c r="H323" s="52"/>
      <c r="I323" s="52"/>
      <c r="J323" s="52"/>
      <c r="K323" s="52"/>
      <c r="L323" s="52"/>
      <c r="M323" s="52"/>
      <c r="N323" s="52"/>
      <c r="O323" s="52"/>
      <c r="P323" s="61"/>
      <c r="Q323" s="61"/>
      <c r="R323" s="51">
        <v>0.0</v>
      </c>
      <c r="S323" s="52"/>
      <c r="T323" s="52"/>
      <c r="U323" s="52"/>
      <c r="V323" s="52"/>
      <c r="W323" s="52"/>
      <c r="X323" s="52"/>
      <c r="Y323" s="52"/>
      <c r="Z323" s="52"/>
      <c r="AA323" s="52"/>
      <c r="AB323" s="53"/>
    </row>
    <row r="324">
      <c r="A324" s="52"/>
      <c r="B324" s="52"/>
      <c r="C324" s="52"/>
      <c r="D324" s="52"/>
      <c r="E324" s="52"/>
      <c r="F324" s="52"/>
      <c r="G324" s="52"/>
      <c r="H324" s="52"/>
      <c r="I324" s="52"/>
      <c r="J324" s="52"/>
      <c r="K324" s="52"/>
      <c r="L324" s="52"/>
      <c r="M324" s="52"/>
      <c r="N324" s="52"/>
      <c r="O324" s="52"/>
      <c r="P324" s="61"/>
      <c r="Q324" s="61"/>
      <c r="R324" s="51">
        <v>0.0</v>
      </c>
      <c r="S324" s="52"/>
      <c r="T324" s="52"/>
      <c r="U324" s="52"/>
      <c r="V324" s="52"/>
      <c r="W324" s="52"/>
      <c r="X324" s="52"/>
      <c r="Y324" s="52"/>
      <c r="Z324" s="52"/>
      <c r="AA324" s="52"/>
      <c r="AB324" s="53"/>
    </row>
    <row r="325">
      <c r="A325" s="52"/>
      <c r="B325" s="52"/>
      <c r="C325" s="52"/>
      <c r="D325" s="52"/>
      <c r="E325" s="52"/>
      <c r="F325" s="52"/>
      <c r="G325" s="52"/>
      <c r="H325" s="52"/>
      <c r="I325" s="52"/>
      <c r="J325" s="52"/>
      <c r="K325" s="52"/>
      <c r="L325" s="52"/>
      <c r="M325" s="52"/>
      <c r="N325" s="52"/>
      <c r="O325" s="52"/>
      <c r="P325" s="61"/>
      <c r="Q325" s="61"/>
      <c r="R325" s="51">
        <v>0.0</v>
      </c>
      <c r="S325" s="52"/>
      <c r="T325" s="52"/>
      <c r="U325" s="52"/>
      <c r="V325" s="52"/>
      <c r="W325" s="52"/>
      <c r="X325" s="52"/>
      <c r="Y325" s="52"/>
      <c r="Z325" s="52"/>
      <c r="AA325" s="52"/>
      <c r="AB325" s="53"/>
    </row>
    <row r="326">
      <c r="A326" s="52"/>
      <c r="B326" s="52"/>
      <c r="C326" s="52"/>
      <c r="D326" s="52"/>
      <c r="E326" s="52"/>
      <c r="F326" s="52"/>
      <c r="G326" s="52"/>
      <c r="H326" s="52"/>
      <c r="I326" s="52"/>
      <c r="J326" s="52"/>
      <c r="K326" s="52"/>
      <c r="L326" s="52"/>
      <c r="M326" s="52"/>
      <c r="N326" s="52"/>
      <c r="O326" s="52"/>
      <c r="P326" s="61"/>
      <c r="Q326" s="61"/>
      <c r="R326" s="51">
        <v>0.0</v>
      </c>
      <c r="S326" s="52"/>
      <c r="T326" s="52"/>
      <c r="U326" s="52"/>
      <c r="V326" s="52"/>
      <c r="W326" s="52"/>
      <c r="X326" s="52"/>
      <c r="Y326" s="52"/>
      <c r="Z326" s="52"/>
      <c r="AA326" s="52"/>
      <c r="AB326" s="53"/>
    </row>
    <row r="327">
      <c r="A327" s="52"/>
      <c r="B327" s="52"/>
      <c r="C327" s="52"/>
      <c r="D327" s="52"/>
      <c r="E327" s="52"/>
      <c r="F327" s="52"/>
      <c r="G327" s="52"/>
      <c r="H327" s="52"/>
      <c r="I327" s="52"/>
      <c r="J327" s="52"/>
      <c r="K327" s="52"/>
      <c r="L327" s="52"/>
      <c r="M327" s="52"/>
      <c r="N327" s="52"/>
      <c r="O327" s="52"/>
      <c r="P327" s="61"/>
      <c r="Q327" s="61"/>
      <c r="R327" s="51">
        <v>0.0</v>
      </c>
      <c r="S327" s="52"/>
      <c r="T327" s="52"/>
      <c r="U327" s="52"/>
      <c r="V327" s="52"/>
      <c r="W327" s="52"/>
      <c r="X327" s="52"/>
      <c r="Y327" s="52"/>
      <c r="Z327" s="52"/>
      <c r="AA327" s="52"/>
      <c r="AB327" s="53"/>
    </row>
    <row r="328">
      <c r="A328" s="52"/>
      <c r="B328" s="52"/>
      <c r="C328" s="52"/>
      <c r="D328" s="52"/>
      <c r="E328" s="52"/>
      <c r="F328" s="52"/>
      <c r="G328" s="52"/>
      <c r="H328" s="52"/>
      <c r="I328" s="52"/>
      <c r="J328" s="52"/>
      <c r="K328" s="52"/>
      <c r="L328" s="52"/>
      <c r="M328" s="52"/>
      <c r="N328" s="52"/>
      <c r="O328" s="52"/>
      <c r="P328" s="61"/>
      <c r="Q328" s="61"/>
      <c r="R328" s="51">
        <v>0.0</v>
      </c>
      <c r="S328" s="52"/>
      <c r="T328" s="52"/>
      <c r="U328" s="52"/>
      <c r="V328" s="52"/>
      <c r="W328" s="52"/>
      <c r="X328" s="52"/>
      <c r="Y328" s="52"/>
      <c r="Z328" s="52"/>
      <c r="AA328" s="52"/>
      <c r="AB328" s="53"/>
    </row>
    <row r="329">
      <c r="A329" s="52"/>
      <c r="B329" s="52"/>
      <c r="C329" s="52"/>
      <c r="D329" s="52"/>
      <c r="E329" s="52"/>
      <c r="F329" s="52"/>
      <c r="G329" s="52"/>
      <c r="H329" s="52"/>
      <c r="I329" s="52"/>
      <c r="J329" s="52"/>
      <c r="K329" s="52"/>
      <c r="L329" s="52"/>
      <c r="M329" s="52"/>
      <c r="N329" s="52"/>
      <c r="O329" s="52"/>
      <c r="P329" s="61"/>
      <c r="Q329" s="61"/>
      <c r="R329" s="51">
        <v>0.0</v>
      </c>
      <c r="S329" s="52"/>
      <c r="T329" s="52"/>
      <c r="U329" s="52"/>
      <c r="V329" s="52"/>
      <c r="W329" s="52"/>
      <c r="X329" s="52"/>
      <c r="Y329" s="52"/>
      <c r="Z329" s="52"/>
      <c r="AA329" s="52"/>
      <c r="AB329" s="53"/>
    </row>
    <row r="330">
      <c r="A330" s="52"/>
      <c r="B330" s="52"/>
      <c r="C330" s="52"/>
      <c r="D330" s="52"/>
      <c r="E330" s="52"/>
      <c r="F330" s="52"/>
      <c r="G330" s="52"/>
      <c r="H330" s="52"/>
      <c r="I330" s="52"/>
      <c r="J330" s="52"/>
      <c r="K330" s="52"/>
      <c r="L330" s="52"/>
      <c r="M330" s="52"/>
      <c r="N330" s="52"/>
      <c r="O330" s="52"/>
      <c r="P330" s="61"/>
      <c r="Q330" s="61"/>
      <c r="R330" s="51">
        <v>0.0</v>
      </c>
      <c r="S330" s="52"/>
      <c r="T330" s="52"/>
      <c r="U330" s="52"/>
      <c r="V330" s="52"/>
      <c r="W330" s="52"/>
      <c r="X330" s="52"/>
      <c r="Y330" s="52"/>
      <c r="Z330" s="52"/>
      <c r="AA330" s="52"/>
      <c r="AB330" s="53"/>
    </row>
    <row r="331">
      <c r="A331" s="52"/>
      <c r="B331" s="52"/>
      <c r="C331" s="52"/>
      <c r="D331" s="52"/>
      <c r="E331" s="52"/>
      <c r="F331" s="52"/>
      <c r="G331" s="52"/>
      <c r="H331" s="52"/>
      <c r="I331" s="52"/>
      <c r="J331" s="52"/>
      <c r="K331" s="52"/>
      <c r="L331" s="52"/>
      <c r="M331" s="52"/>
      <c r="N331" s="52"/>
      <c r="O331" s="52"/>
      <c r="P331" s="61"/>
      <c r="Q331" s="61"/>
      <c r="R331" s="51">
        <v>0.0</v>
      </c>
      <c r="S331" s="52"/>
      <c r="T331" s="52"/>
      <c r="U331" s="52"/>
      <c r="V331" s="52"/>
      <c r="W331" s="52"/>
      <c r="X331" s="52"/>
      <c r="Y331" s="52"/>
      <c r="Z331" s="52"/>
      <c r="AA331" s="52"/>
      <c r="AB331" s="53"/>
    </row>
    <row r="332">
      <c r="A332" s="52"/>
      <c r="B332" s="52"/>
      <c r="C332" s="52"/>
      <c r="D332" s="52"/>
      <c r="E332" s="52"/>
      <c r="F332" s="52"/>
      <c r="G332" s="52"/>
      <c r="H332" s="52"/>
      <c r="I332" s="52"/>
      <c r="J332" s="52"/>
      <c r="K332" s="52"/>
      <c r="L332" s="52"/>
      <c r="M332" s="52"/>
      <c r="N332" s="52"/>
      <c r="O332" s="52"/>
      <c r="P332" s="61"/>
      <c r="Q332" s="61"/>
      <c r="R332" s="51">
        <v>0.0</v>
      </c>
      <c r="S332" s="52"/>
      <c r="T332" s="52"/>
      <c r="U332" s="52"/>
      <c r="V332" s="52"/>
      <c r="W332" s="52"/>
      <c r="X332" s="52"/>
      <c r="Y332" s="52"/>
      <c r="Z332" s="52"/>
      <c r="AA332" s="52"/>
      <c r="AB332" s="53"/>
    </row>
    <row r="333">
      <c r="A333" s="52"/>
      <c r="B333" s="52"/>
      <c r="C333" s="52"/>
      <c r="D333" s="52"/>
      <c r="E333" s="52"/>
      <c r="F333" s="52"/>
      <c r="G333" s="52"/>
      <c r="H333" s="52"/>
      <c r="I333" s="52"/>
      <c r="J333" s="52"/>
      <c r="K333" s="52"/>
      <c r="L333" s="52"/>
      <c r="M333" s="52"/>
      <c r="N333" s="52"/>
      <c r="O333" s="52"/>
      <c r="P333" s="61"/>
      <c r="Q333" s="61"/>
      <c r="R333" s="51">
        <v>0.0</v>
      </c>
      <c r="S333" s="52"/>
      <c r="T333" s="52"/>
      <c r="U333" s="52"/>
      <c r="V333" s="52"/>
      <c r="W333" s="52"/>
      <c r="X333" s="52"/>
      <c r="Y333" s="52"/>
      <c r="Z333" s="52"/>
      <c r="AA333" s="52"/>
      <c r="AB333" s="53"/>
    </row>
    <row r="334">
      <c r="A334" s="52"/>
      <c r="B334" s="52"/>
      <c r="C334" s="52"/>
      <c r="D334" s="52"/>
      <c r="E334" s="52"/>
      <c r="F334" s="52"/>
      <c r="G334" s="52"/>
      <c r="H334" s="52"/>
      <c r="I334" s="52"/>
      <c r="J334" s="52"/>
      <c r="K334" s="52"/>
      <c r="L334" s="52"/>
      <c r="M334" s="52"/>
      <c r="N334" s="52"/>
      <c r="O334" s="52"/>
      <c r="P334" s="61"/>
      <c r="Q334" s="61"/>
      <c r="R334" s="51">
        <v>0.0</v>
      </c>
      <c r="S334" s="52"/>
      <c r="T334" s="52"/>
      <c r="U334" s="52"/>
      <c r="V334" s="52"/>
      <c r="W334" s="52"/>
      <c r="X334" s="52"/>
      <c r="Y334" s="52"/>
      <c r="Z334" s="52"/>
      <c r="AA334" s="52"/>
      <c r="AB334" s="53"/>
    </row>
    <row r="335">
      <c r="A335" s="52"/>
      <c r="B335" s="52"/>
      <c r="C335" s="52"/>
      <c r="D335" s="52"/>
      <c r="E335" s="52"/>
      <c r="F335" s="52"/>
      <c r="G335" s="52"/>
      <c r="H335" s="52"/>
      <c r="I335" s="52"/>
      <c r="J335" s="52"/>
      <c r="K335" s="52"/>
      <c r="L335" s="52"/>
      <c r="M335" s="52"/>
      <c r="N335" s="52"/>
      <c r="O335" s="52"/>
      <c r="P335" s="61"/>
      <c r="Q335" s="61"/>
      <c r="R335" s="51">
        <v>0.0</v>
      </c>
      <c r="S335" s="52"/>
      <c r="T335" s="52"/>
      <c r="U335" s="52"/>
      <c r="V335" s="52"/>
      <c r="W335" s="52"/>
      <c r="X335" s="52"/>
      <c r="Y335" s="52"/>
      <c r="Z335" s="52"/>
      <c r="AA335" s="52"/>
      <c r="AB335" s="53"/>
    </row>
    <row r="336">
      <c r="A336" s="52"/>
      <c r="B336" s="52"/>
      <c r="C336" s="52"/>
      <c r="D336" s="52"/>
      <c r="E336" s="52"/>
      <c r="F336" s="52"/>
      <c r="G336" s="52"/>
      <c r="H336" s="52"/>
      <c r="I336" s="52"/>
      <c r="J336" s="52"/>
      <c r="K336" s="52"/>
      <c r="L336" s="52"/>
      <c r="M336" s="52"/>
      <c r="N336" s="52"/>
      <c r="O336" s="52"/>
      <c r="P336" s="61"/>
      <c r="Q336" s="61"/>
      <c r="R336" s="51">
        <v>0.0</v>
      </c>
      <c r="S336" s="52"/>
      <c r="T336" s="52"/>
      <c r="U336" s="52"/>
      <c r="V336" s="52"/>
      <c r="W336" s="52"/>
      <c r="X336" s="52"/>
      <c r="Y336" s="52"/>
      <c r="Z336" s="52"/>
      <c r="AA336" s="52"/>
      <c r="AB336" s="53"/>
    </row>
    <row r="337">
      <c r="A337" s="52"/>
      <c r="B337" s="52"/>
      <c r="C337" s="52"/>
      <c r="D337" s="52"/>
      <c r="E337" s="52"/>
      <c r="F337" s="52"/>
      <c r="G337" s="52"/>
      <c r="H337" s="52"/>
      <c r="I337" s="52"/>
      <c r="J337" s="52"/>
      <c r="K337" s="52"/>
      <c r="L337" s="52"/>
      <c r="M337" s="52"/>
      <c r="N337" s="52"/>
      <c r="O337" s="52"/>
      <c r="P337" s="61"/>
      <c r="Q337" s="61"/>
      <c r="R337" s="51">
        <v>0.0</v>
      </c>
      <c r="S337" s="52"/>
      <c r="T337" s="52"/>
      <c r="U337" s="52"/>
      <c r="V337" s="52"/>
      <c r="W337" s="52"/>
      <c r="X337" s="52"/>
      <c r="Y337" s="52"/>
      <c r="Z337" s="52"/>
      <c r="AA337" s="52"/>
      <c r="AB337" s="53"/>
    </row>
    <row r="338">
      <c r="A338" s="52"/>
      <c r="B338" s="52"/>
      <c r="C338" s="52"/>
      <c r="D338" s="52"/>
      <c r="E338" s="52"/>
      <c r="F338" s="52"/>
      <c r="G338" s="52"/>
      <c r="H338" s="52"/>
      <c r="I338" s="52"/>
      <c r="J338" s="52"/>
      <c r="K338" s="52"/>
      <c r="L338" s="52"/>
      <c r="M338" s="52"/>
      <c r="N338" s="52"/>
      <c r="O338" s="52"/>
      <c r="P338" s="61"/>
      <c r="Q338" s="61"/>
      <c r="R338" s="51">
        <v>0.0</v>
      </c>
      <c r="S338" s="52"/>
      <c r="T338" s="52"/>
      <c r="U338" s="52"/>
      <c r="V338" s="52"/>
      <c r="W338" s="52"/>
      <c r="X338" s="52"/>
      <c r="Y338" s="52"/>
      <c r="Z338" s="52"/>
      <c r="AA338" s="52"/>
      <c r="AB338" s="53"/>
    </row>
    <row r="339">
      <c r="A339" s="52"/>
      <c r="B339" s="52"/>
      <c r="C339" s="52"/>
      <c r="D339" s="52"/>
      <c r="E339" s="52"/>
      <c r="F339" s="52"/>
      <c r="G339" s="52"/>
      <c r="H339" s="52"/>
      <c r="I339" s="52"/>
      <c r="J339" s="52"/>
      <c r="K339" s="52"/>
      <c r="L339" s="52"/>
      <c r="M339" s="52"/>
      <c r="N339" s="52"/>
      <c r="O339" s="52"/>
      <c r="P339" s="61"/>
      <c r="Q339" s="61"/>
      <c r="R339" s="51">
        <v>0.0</v>
      </c>
      <c r="S339" s="52"/>
      <c r="T339" s="52"/>
      <c r="U339" s="52"/>
      <c r="V339" s="52"/>
      <c r="W339" s="52"/>
      <c r="X339" s="52"/>
      <c r="Y339" s="52"/>
      <c r="Z339" s="52"/>
      <c r="AA339" s="52"/>
      <c r="AB339" s="53"/>
    </row>
    <row r="340">
      <c r="A340" s="52"/>
      <c r="B340" s="52"/>
      <c r="C340" s="52"/>
      <c r="D340" s="52"/>
      <c r="E340" s="52"/>
      <c r="F340" s="52"/>
      <c r="G340" s="52"/>
      <c r="H340" s="52"/>
      <c r="I340" s="52"/>
      <c r="J340" s="52"/>
      <c r="K340" s="52"/>
      <c r="L340" s="52"/>
      <c r="M340" s="52"/>
      <c r="N340" s="52"/>
      <c r="O340" s="52"/>
      <c r="P340" s="61"/>
      <c r="Q340" s="61"/>
      <c r="R340" s="51">
        <v>0.0</v>
      </c>
      <c r="S340" s="52"/>
      <c r="T340" s="52"/>
      <c r="U340" s="52"/>
      <c r="V340" s="52"/>
      <c r="W340" s="52"/>
      <c r="X340" s="52"/>
      <c r="Y340" s="52"/>
      <c r="Z340" s="52"/>
      <c r="AA340" s="52"/>
      <c r="AB340" s="53"/>
    </row>
    <row r="341">
      <c r="A341" s="52"/>
      <c r="B341" s="52"/>
      <c r="C341" s="52"/>
      <c r="D341" s="52"/>
      <c r="E341" s="52"/>
      <c r="F341" s="52"/>
      <c r="G341" s="52"/>
      <c r="H341" s="52"/>
      <c r="I341" s="52"/>
      <c r="J341" s="52"/>
      <c r="K341" s="52"/>
      <c r="L341" s="52"/>
      <c r="M341" s="52"/>
      <c r="N341" s="52"/>
      <c r="O341" s="52"/>
      <c r="P341" s="61"/>
      <c r="Q341" s="61"/>
      <c r="R341" s="51">
        <v>0.0</v>
      </c>
      <c r="S341" s="52"/>
      <c r="T341" s="52"/>
      <c r="U341" s="52"/>
      <c r="V341" s="52"/>
      <c r="W341" s="52"/>
      <c r="X341" s="52"/>
      <c r="Y341" s="52"/>
      <c r="Z341" s="52"/>
      <c r="AA341" s="52"/>
      <c r="AB341" s="53"/>
    </row>
    <row r="342">
      <c r="A342" s="52"/>
      <c r="B342" s="52"/>
      <c r="C342" s="52"/>
      <c r="D342" s="52"/>
      <c r="E342" s="52"/>
      <c r="F342" s="52"/>
      <c r="G342" s="52"/>
      <c r="H342" s="52"/>
      <c r="I342" s="52"/>
      <c r="J342" s="52"/>
      <c r="K342" s="52"/>
      <c r="L342" s="52"/>
      <c r="M342" s="52"/>
      <c r="N342" s="52"/>
      <c r="O342" s="52"/>
      <c r="P342" s="61"/>
      <c r="Q342" s="61"/>
      <c r="R342" s="51">
        <v>0.0</v>
      </c>
      <c r="S342" s="52"/>
      <c r="T342" s="52"/>
      <c r="U342" s="52"/>
      <c r="V342" s="52"/>
      <c r="W342" s="52"/>
      <c r="X342" s="52"/>
      <c r="Y342" s="52"/>
      <c r="Z342" s="52"/>
      <c r="AA342" s="52"/>
      <c r="AB342" s="53"/>
    </row>
    <row r="343">
      <c r="A343" s="52"/>
      <c r="B343" s="52"/>
      <c r="C343" s="52"/>
      <c r="D343" s="52"/>
      <c r="E343" s="52"/>
      <c r="F343" s="52"/>
      <c r="G343" s="52"/>
      <c r="H343" s="52"/>
      <c r="I343" s="52"/>
      <c r="J343" s="52"/>
      <c r="K343" s="52"/>
      <c r="L343" s="52"/>
      <c r="M343" s="52"/>
      <c r="N343" s="52"/>
      <c r="O343" s="52"/>
      <c r="P343" s="61"/>
      <c r="Q343" s="61"/>
      <c r="R343" s="51">
        <v>0.0</v>
      </c>
      <c r="S343" s="52"/>
      <c r="T343" s="52"/>
      <c r="U343" s="52"/>
      <c r="V343" s="52"/>
      <c r="W343" s="52"/>
      <c r="X343" s="52"/>
      <c r="Y343" s="52"/>
      <c r="Z343" s="52"/>
      <c r="AA343" s="52"/>
      <c r="AB343" s="53"/>
    </row>
    <row r="344">
      <c r="A344" s="52"/>
      <c r="B344" s="52"/>
      <c r="C344" s="52"/>
      <c r="D344" s="52"/>
      <c r="E344" s="52"/>
      <c r="F344" s="52"/>
      <c r="G344" s="52"/>
      <c r="H344" s="52"/>
      <c r="I344" s="52"/>
      <c r="J344" s="52"/>
      <c r="K344" s="52"/>
      <c r="L344" s="52"/>
      <c r="M344" s="52"/>
      <c r="N344" s="52"/>
      <c r="O344" s="52"/>
      <c r="P344" s="61"/>
      <c r="Q344" s="61"/>
      <c r="R344" s="51">
        <v>0.0</v>
      </c>
      <c r="S344" s="52"/>
      <c r="T344" s="52"/>
      <c r="U344" s="52"/>
      <c r="V344" s="52"/>
      <c r="W344" s="52"/>
      <c r="X344" s="52"/>
      <c r="Y344" s="52"/>
      <c r="Z344" s="52"/>
      <c r="AA344" s="52"/>
      <c r="AB344" s="53"/>
    </row>
    <row r="345">
      <c r="A345" s="52"/>
      <c r="B345" s="52"/>
      <c r="C345" s="52"/>
      <c r="D345" s="52"/>
      <c r="E345" s="52"/>
      <c r="F345" s="52"/>
      <c r="G345" s="52"/>
      <c r="H345" s="52"/>
      <c r="I345" s="52"/>
      <c r="J345" s="52"/>
      <c r="K345" s="52"/>
      <c r="L345" s="52"/>
      <c r="M345" s="52"/>
      <c r="N345" s="52"/>
      <c r="O345" s="52"/>
      <c r="P345" s="61"/>
      <c r="Q345" s="61"/>
      <c r="R345" s="51">
        <v>0.0</v>
      </c>
      <c r="S345" s="52"/>
      <c r="T345" s="52"/>
      <c r="U345" s="52"/>
      <c r="V345" s="52"/>
      <c r="W345" s="52"/>
      <c r="X345" s="52"/>
      <c r="Y345" s="52"/>
      <c r="Z345" s="52"/>
      <c r="AA345" s="52"/>
      <c r="AB345" s="53"/>
    </row>
    <row r="346">
      <c r="A346" s="52"/>
      <c r="B346" s="52"/>
      <c r="C346" s="52"/>
      <c r="D346" s="52"/>
      <c r="E346" s="52"/>
      <c r="F346" s="52"/>
      <c r="G346" s="52"/>
      <c r="H346" s="52"/>
      <c r="I346" s="52"/>
      <c r="J346" s="52"/>
      <c r="K346" s="52"/>
      <c r="L346" s="52"/>
      <c r="M346" s="52"/>
      <c r="N346" s="52"/>
      <c r="O346" s="52"/>
      <c r="P346" s="61"/>
      <c r="Q346" s="61"/>
      <c r="R346" s="51">
        <v>0.0</v>
      </c>
      <c r="S346" s="52"/>
      <c r="T346" s="52"/>
      <c r="U346" s="52"/>
      <c r="V346" s="52"/>
      <c r="W346" s="52"/>
      <c r="X346" s="52"/>
      <c r="Y346" s="52"/>
      <c r="Z346" s="52"/>
      <c r="AA346" s="52"/>
      <c r="AB346" s="53"/>
    </row>
    <row r="347">
      <c r="A347" s="52"/>
      <c r="B347" s="52"/>
      <c r="C347" s="52"/>
      <c r="D347" s="52"/>
      <c r="E347" s="52"/>
      <c r="F347" s="52"/>
      <c r="G347" s="52"/>
      <c r="H347" s="52"/>
      <c r="I347" s="52"/>
      <c r="J347" s="52"/>
      <c r="K347" s="52"/>
      <c r="L347" s="52"/>
      <c r="M347" s="52"/>
      <c r="N347" s="52"/>
      <c r="O347" s="52"/>
      <c r="P347" s="61"/>
      <c r="Q347" s="61"/>
      <c r="R347" s="51">
        <v>0.0</v>
      </c>
      <c r="S347" s="52"/>
      <c r="T347" s="52"/>
      <c r="U347" s="52"/>
      <c r="V347" s="52"/>
      <c r="W347" s="52"/>
      <c r="X347" s="52"/>
      <c r="Y347" s="52"/>
      <c r="Z347" s="52"/>
      <c r="AA347" s="52"/>
      <c r="AB347" s="53"/>
    </row>
    <row r="348">
      <c r="A348" s="52"/>
      <c r="B348" s="52"/>
      <c r="C348" s="52"/>
      <c r="D348" s="52"/>
      <c r="E348" s="52"/>
      <c r="F348" s="52"/>
      <c r="G348" s="52"/>
      <c r="H348" s="52"/>
      <c r="I348" s="52"/>
      <c r="J348" s="52"/>
      <c r="K348" s="52"/>
      <c r="L348" s="52"/>
      <c r="M348" s="52"/>
      <c r="N348" s="52"/>
      <c r="O348" s="52"/>
      <c r="P348" s="61"/>
      <c r="Q348" s="61"/>
      <c r="R348" s="51">
        <v>0.0</v>
      </c>
      <c r="S348" s="52"/>
      <c r="T348" s="52"/>
      <c r="U348" s="52"/>
      <c r="V348" s="52"/>
      <c r="W348" s="52"/>
      <c r="X348" s="52"/>
      <c r="Y348" s="52"/>
      <c r="Z348" s="52"/>
      <c r="AA348" s="52"/>
      <c r="AB348" s="53"/>
    </row>
    <row r="349">
      <c r="A349" s="52"/>
      <c r="B349" s="52"/>
      <c r="C349" s="52"/>
      <c r="D349" s="52"/>
      <c r="E349" s="52"/>
      <c r="F349" s="52"/>
      <c r="G349" s="52"/>
      <c r="H349" s="52"/>
      <c r="I349" s="52"/>
      <c r="J349" s="52"/>
      <c r="K349" s="52"/>
      <c r="L349" s="52"/>
      <c r="M349" s="52"/>
      <c r="N349" s="52"/>
      <c r="O349" s="52"/>
      <c r="P349" s="61"/>
      <c r="Q349" s="61"/>
      <c r="R349" s="51">
        <v>0.0</v>
      </c>
      <c r="S349" s="52"/>
      <c r="T349" s="52"/>
      <c r="U349" s="52"/>
      <c r="V349" s="52"/>
      <c r="W349" s="52"/>
      <c r="X349" s="52"/>
      <c r="Y349" s="52"/>
      <c r="Z349" s="52"/>
      <c r="AA349" s="52"/>
      <c r="AB349" s="53"/>
    </row>
    <row r="350">
      <c r="A350" s="52"/>
      <c r="B350" s="52"/>
      <c r="C350" s="52"/>
      <c r="D350" s="52"/>
      <c r="E350" s="52"/>
      <c r="F350" s="52"/>
      <c r="G350" s="52"/>
      <c r="H350" s="52"/>
      <c r="I350" s="52"/>
      <c r="J350" s="52"/>
      <c r="K350" s="52"/>
      <c r="L350" s="52"/>
      <c r="M350" s="52"/>
      <c r="N350" s="52"/>
      <c r="O350" s="52"/>
      <c r="P350" s="61"/>
      <c r="Q350" s="61"/>
      <c r="R350" s="205"/>
      <c r="S350" s="52"/>
      <c r="T350" s="52"/>
      <c r="U350" s="52"/>
      <c r="V350" s="52"/>
      <c r="W350" s="52"/>
      <c r="X350" s="52"/>
      <c r="Y350" s="52"/>
      <c r="Z350" s="52"/>
      <c r="AA350" s="52"/>
      <c r="AB350" s="53"/>
    </row>
    <row r="351">
      <c r="A351" s="52"/>
      <c r="B351" s="52"/>
      <c r="C351" s="52"/>
      <c r="D351" s="52"/>
      <c r="E351" s="52"/>
      <c r="F351" s="52"/>
      <c r="G351" s="52"/>
      <c r="H351" s="52"/>
      <c r="I351" s="52"/>
      <c r="J351" s="52"/>
      <c r="K351" s="52"/>
      <c r="L351" s="52"/>
      <c r="M351" s="52"/>
      <c r="N351" s="52"/>
      <c r="O351" s="52"/>
      <c r="P351" s="61"/>
      <c r="Q351" s="61"/>
      <c r="R351" s="205"/>
      <c r="S351" s="52"/>
      <c r="T351" s="52"/>
      <c r="U351" s="52"/>
      <c r="V351" s="52"/>
      <c r="W351" s="52"/>
      <c r="X351" s="52"/>
      <c r="Y351" s="52"/>
      <c r="Z351" s="52"/>
      <c r="AA351" s="52"/>
      <c r="AB351" s="53"/>
    </row>
    <row r="352">
      <c r="A352" s="52"/>
      <c r="B352" s="52"/>
      <c r="C352" s="52"/>
      <c r="D352" s="52"/>
      <c r="E352" s="52"/>
      <c r="F352" s="52"/>
      <c r="G352" s="52"/>
      <c r="H352" s="52"/>
      <c r="I352" s="52"/>
      <c r="J352" s="52"/>
      <c r="K352" s="52"/>
      <c r="L352" s="52"/>
      <c r="M352" s="52"/>
      <c r="N352" s="52"/>
      <c r="O352" s="52"/>
      <c r="P352" s="61"/>
      <c r="Q352" s="61"/>
      <c r="R352" s="205"/>
      <c r="S352" s="52"/>
      <c r="T352" s="52"/>
      <c r="U352" s="52"/>
      <c r="V352" s="52"/>
      <c r="W352" s="52"/>
      <c r="X352" s="52"/>
      <c r="Y352" s="52"/>
      <c r="Z352" s="52"/>
      <c r="AA352" s="52"/>
      <c r="AB352" s="53"/>
    </row>
    <row r="353">
      <c r="A353" s="52"/>
      <c r="B353" s="52"/>
      <c r="C353" s="52"/>
      <c r="D353" s="52"/>
      <c r="E353" s="52"/>
      <c r="F353" s="52"/>
      <c r="G353" s="52"/>
      <c r="H353" s="52"/>
      <c r="I353" s="52"/>
      <c r="J353" s="52"/>
      <c r="K353" s="52"/>
      <c r="L353" s="52"/>
      <c r="M353" s="52"/>
      <c r="N353" s="52"/>
      <c r="O353" s="52"/>
      <c r="P353" s="61"/>
      <c r="Q353" s="61"/>
      <c r="R353" s="205"/>
      <c r="S353" s="52"/>
      <c r="T353" s="52"/>
      <c r="U353" s="52"/>
      <c r="V353" s="52"/>
      <c r="W353" s="52"/>
      <c r="X353" s="52"/>
      <c r="Y353" s="52"/>
      <c r="Z353" s="52"/>
      <c r="AA353" s="52"/>
      <c r="AB353" s="53"/>
    </row>
    <row r="354">
      <c r="A354" s="52"/>
      <c r="B354" s="52"/>
      <c r="C354" s="52"/>
      <c r="D354" s="52"/>
      <c r="E354" s="52"/>
      <c r="F354" s="52"/>
      <c r="G354" s="52"/>
      <c r="H354" s="52"/>
      <c r="I354" s="52"/>
      <c r="J354" s="52"/>
      <c r="K354" s="52"/>
      <c r="L354" s="52"/>
      <c r="M354" s="52"/>
      <c r="N354" s="52"/>
      <c r="O354" s="52"/>
      <c r="P354" s="61"/>
      <c r="Q354" s="61"/>
      <c r="R354" s="205"/>
      <c r="S354" s="52"/>
      <c r="T354" s="52"/>
      <c r="U354" s="52"/>
      <c r="V354" s="52"/>
      <c r="W354" s="52"/>
      <c r="X354" s="52"/>
      <c r="Y354" s="52"/>
      <c r="Z354" s="52"/>
      <c r="AA354" s="52"/>
      <c r="AB354" s="53"/>
    </row>
    <row r="355">
      <c r="A355" s="52"/>
      <c r="B355" s="52"/>
      <c r="C355" s="52"/>
      <c r="D355" s="52"/>
      <c r="E355" s="52"/>
      <c r="F355" s="52"/>
      <c r="G355" s="52"/>
      <c r="H355" s="52"/>
      <c r="I355" s="52"/>
      <c r="J355" s="52"/>
      <c r="K355" s="52"/>
      <c r="L355" s="52"/>
      <c r="M355" s="52"/>
      <c r="N355" s="52"/>
      <c r="O355" s="52"/>
      <c r="P355" s="61"/>
      <c r="Q355" s="61"/>
      <c r="R355" s="205"/>
      <c r="S355" s="52"/>
      <c r="T355" s="52"/>
      <c r="U355" s="52"/>
      <c r="V355" s="52"/>
      <c r="W355" s="52"/>
      <c r="X355" s="52"/>
      <c r="Y355" s="52"/>
      <c r="Z355" s="52"/>
      <c r="AA355" s="52"/>
      <c r="AB355" s="53"/>
    </row>
    <row r="356">
      <c r="A356" s="52"/>
      <c r="B356" s="52"/>
      <c r="C356" s="52"/>
      <c r="D356" s="52"/>
      <c r="E356" s="52"/>
      <c r="F356" s="52"/>
      <c r="G356" s="52"/>
      <c r="H356" s="52"/>
      <c r="I356" s="52"/>
      <c r="J356" s="52"/>
      <c r="K356" s="52"/>
      <c r="L356" s="52"/>
      <c r="M356" s="52"/>
      <c r="N356" s="52"/>
      <c r="O356" s="52"/>
      <c r="P356" s="61"/>
      <c r="Q356" s="61"/>
      <c r="R356" s="205"/>
      <c r="S356" s="52"/>
      <c r="T356" s="52"/>
      <c r="U356" s="52"/>
      <c r="V356" s="52"/>
      <c r="W356" s="52"/>
      <c r="X356" s="52"/>
      <c r="Y356" s="52"/>
      <c r="Z356" s="52"/>
      <c r="AA356" s="52"/>
      <c r="AB356" s="53"/>
    </row>
    <row r="357">
      <c r="A357" s="52"/>
      <c r="B357" s="52"/>
      <c r="C357" s="52"/>
      <c r="D357" s="52"/>
      <c r="E357" s="52"/>
      <c r="F357" s="52"/>
      <c r="G357" s="52"/>
      <c r="H357" s="52"/>
      <c r="I357" s="52"/>
      <c r="J357" s="52"/>
      <c r="K357" s="52"/>
      <c r="L357" s="52"/>
      <c r="M357" s="52"/>
      <c r="N357" s="52"/>
      <c r="O357" s="52"/>
      <c r="P357" s="61"/>
      <c r="Q357" s="61"/>
      <c r="R357" s="205"/>
      <c r="S357" s="52"/>
      <c r="T357" s="52"/>
      <c r="U357" s="52"/>
      <c r="V357" s="52"/>
      <c r="W357" s="52"/>
      <c r="X357" s="52"/>
      <c r="Y357" s="52"/>
      <c r="Z357" s="52"/>
      <c r="AA357" s="52"/>
      <c r="AB357" s="53"/>
    </row>
    <row r="358">
      <c r="A358" s="52"/>
      <c r="B358" s="52"/>
      <c r="C358" s="52"/>
      <c r="D358" s="52"/>
      <c r="E358" s="52"/>
      <c r="F358" s="52"/>
      <c r="G358" s="52"/>
      <c r="H358" s="52"/>
      <c r="I358" s="52"/>
      <c r="J358" s="52"/>
      <c r="K358" s="52"/>
      <c r="L358" s="52"/>
      <c r="M358" s="52"/>
      <c r="N358" s="52"/>
      <c r="O358" s="52"/>
      <c r="P358" s="61"/>
      <c r="Q358" s="61"/>
      <c r="R358" s="205"/>
      <c r="S358" s="52"/>
      <c r="T358" s="52"/>
      <c r="U358" s="52"/>
      <c r="V358" s="52"/>
      <c r="W358" s="52"/>
      <c r="X358" s="52"/>
      <c r="Y358" s="52"/>
      <c r="Z358" s="52"/>
      <c r="AA358" s="52"/>
      <c r="AB358" s="53"/>
    </row>
    <row r="359">
      <c r="A359" s="52"/>
      <c r="B359" s="52"/>
      <c r="C359" s="52"/>
      <c r="D359" s="52"/>
      <c r="E359" s="52"/>
      <c r="F359" s="52"/>
      <c r="G359" s="52"/>
      <c r="H359" s="52"/>
      <c r="I359" s="52"/>
      <c r="J359" s="52"/>
      <c r="K359" s="52"/>
      <c r="L359" s="52"/>
      <c r="M359" s="52"/>
      <c r="N359" s="52"/>
      <c r="O359" s="52"/>
      <c r="P359" s="61"/>
      <c r="Q359" s="61"/>
      <c r="R359" s="205"/>
      <c r="S359" s="52"/>
      <c r="T359" s="52"/>
      <c r="U359" s="52"/>
      <c r="V359" s="52"/>
      <c r="W359" s="52"/>
      <c r="X359" s="52"/>
      <c r="Y359" s="52"/>
      <c r="Z359" s="52"/>
      <c r="AA359" s="52"/>
      <c r="AB359" s="53"/>
    </row>
    <row r="360">
      <c r="A360" s="52"/>
      <c r="B360" s="52"/>
      <c r="C360" s="52"/>
      <c r="D360" s="52"/>
      <c r="E360" s="52"/>
      <c r="F360" s="52"/>
      <c r="G360" s="52"/>
      <c r="H360" s="52"/>
      <c r="I360" s="52"/>
      <c r="J360" s="52"/>
      <c r="K360" s="52"/>
      <c r="L360" s="52"/>
      <c r="M360" s="52"/>
      <c r="N360" s="52"/>
      <c r="O360" s="52"/>
      <c r="P360" s="61"/>
      <c r="Q360" s="61"/>
      <c r="R360" s="205"/>
      <c r="S360" s="52"/>
      <c r="T360" s="52"/>
      <c r="U360" s="52"/>
      <c r="V360" s="52"/>
      <c r="W360" s="52"/>
      <c r="X360" s="52"/>
      <c r="Y360" s="52"/>
      <c r="Z360" s="52"/>
      <c r="AA360" s="52"/>
      <c r="AB360" s="53"/>
    </row>
    <row r="361">
      <c r="A361" s="52"/>
      <c r="B361" s="52"/>
      <c r="C361" s="52"/>
      <c r="D361" s="52"/>
      <c r="E361" s="52"/>
      <c r="F361" s="52"/>
      <c r="G361" s="52"/>
      <c r="H361" s="52"/>
      <c r="I361" s="52"/>
      <c r="J361" s="52"/>
      <c r="K361" s="52"/>
      <c r="L361" s="52"/>
      <c r="M361" s="52"/>
      <c r="N361" s="52"/>
      <c r="O361" s="52"/>
      <c r="P361" s="61"/>
      <c r="Q361" s="61"/>
      <c r="R361" s="205"/>
      <c r="S361" s="52"/>
      <c r="T361" s="52"/>
      <c r="U361" s="52"/>
      <c r="V361" s="52"/>
      <c r="W361" s="52"/>
      <c r="X361" s="52"/>
      <c r="Y361" s="52"/>
      <c r="Z361" s="52"/>
      <c r="AA361" s="52"/>
      <c r="AB361" s="53"/>
    </row>
    <row r="362">
      <c r="A362" s="52"/>
      <c r="B362" s="52"/>
      <c r="C362" s="52"/>
      <c r="D362" s="52"/>
      <c r="E362" s="52"/>
      <c r="F362" s="52"/>
      <c r="G362" s="52"/>
      <c r="H362" s="52"/>
      <c r="I362" s="52"/>
      <c r="J362" s="52"/>
      <c r="K362" s="52"/>
      <c r="L362" s="52"/>
      <c r="M362" s="52"/>
      <c r="N362" s="52"/>
      <c r="O362" s="52"/>
      <c r="P362" s="61"/>
      <c r="Q362" s="61"/>
      <c r="R362" s="205"/>
      <c r="S362" s="52"/>
      <c r="T362" s="52"/>
      <c r="U362" s="52"/>
      <c r="V362" s="52"/>
      <c r="W362" s="52"/>
      <c r="X362" s="52"/>
      <c r="Y362" s="52"/>
      <c r="Z362" s="52"/>
      <c r="AA362" s="52"/>
      <c r="AB362" s="53"/>
    </row>
    <row r="363">
      <c r="A363" s="52"/>
      <c r="B363" s="52"/>
      <c r="C363" s="52"/>
      <c r="D363" s="52"/>
      <c r="E363" s="52"/>
      <c r="F363" s="52"/>
      <c r="G363" s="52"/>
      <c r="H363" s="52"/>
      <c r="I363" s="52"/>
      <c r="J363" s="52"/>
      <c r="K363" s="52"/>
      <c r="L363" s="52"/>
      <c r="M363" s="52"/>
      <c r="N363" s="52"/>
      <c r="O363" s="52"/>
      <c r="P363" s="61"/>
      <c r="Q363" s="61"/>
      <c r="R363" s="205"/>
      <c r="S363" s="52"/>
      <c r="T363" s="52"/>
      <c r="U363" s="52"/>
      <c r="V363" s="52"/>
      <c r="W363" s="52"/>
      <c r="X363" s="52"/>
      <c r="Y363" s="52"/>
      <c r="Z363" s="52"/>
      <c r="AA363" s="52"/>
      <c r="AB363" s="53"/>
    </row>
    <row r="364">
      <c r="A364" s="52"/>
      <c r="B364" s="52"/>
      <c r="C364" s="52"/>
      <c r="D364" s="52"/>
      <c r="E364" s="52"/>
      <c r="F364" s="52"/>
      <c r="G364" s="52"/>
      <c r="H364" s="52"/>
      <c r="I364" s="52"/>
      <c r="J364" s="52"/>
      <c r="K364" s="52"/>
      <c r="L364" s="52"/>
      <c r="M364" s="52"/>
      <c r="N364" s="52"/>
      <c r="O364" s="52"/>
      <c r="P364" s="61"/>
      <c r="Q364" s="61"/>
      <c r="R364" s="205"/>
      <c r="S364" s="52"/>
      <c r="T364" s="52"/>
      <c r="U364" s="52"/>
      <c r="V364" s="52"/>
      <c r="W364" s="52"/>
      <c r="X364" s="52"/>
      <c r="Y364" s="52"/>
      <c r="Z364" s="52"/>
      <c r="AA364" s="52"/>
      <c r="AB364" s="53"/>
    </row>
    <row r="365">
      <c r="A365" s="52"/>
      <c r="B365" s="52"/>
      <c r="C365" s="52"/>
      <c r="D365" s="52"/>
      <c r="E365" s="52"/>
      <c r="F365" s="52"/>
      <c r="G365" s="52"/>
      <c r="H365" s="52"/>
      <c r="I365" s="52"/>
      <c r="J365" s="52"/>
      <c r="K365" s="52"/>
      <c r="L365" s="52"/>
      <c r="M365" s="52"/>
      <c r="N365" s="52"/>
      <c r="O365" s="52"/>
      <c r="P365" s="61"/>
      <c r="Q365" s="61"/>
      <c r="R365" s="205"/>
      <c r="S365" s="52"/>
      <c r="T365" s="52"/>
      <c r="U365" s="52"/>
      <c r="V365" s="52"/>
      <c r="W365" s="52"/>
      <c r="X365" s="52"/>
      <c r="Y365" s="52"/>
      <c r="Z365" s="52"/>
      <c r="AA365" s="52"/>
      <c r="AB365" s="53"/>
    </row>
    <row r="366">
      <c r="A366" s="52"/>
      <c r="B366" s="52"/>
      <c r="C366" s="52"/>
      <c r="D366" s="52"/>
      <c r="E366" s="52"/>
      <c r="F366" s="52"/>
      <c r="G366" s="52"/>
      <c r="H366" s="52"/>
      <c r="I366" s="52"/>
      <c r="J366" s="52"/>
      <c r="K366" s="52"/>
      <c r="L366" s="52"/>
      <c r="M366" s="52"/>
      <c r="N366" s="52"/>
      <c r="O366" s="52"/>
      <c r="P366" s="61"/>
      <c r="Q366" s="61"/>
      <c r="R366" s="205"/>
      <c r="S366" s="52"/>
      <c r="T366" s="52"/>
      <c r="U366" s="52"/>
      <c r="V366" s="52"/>
      <c r="W366" s="52"/>
      <c r="X366" s="52"/>
      <c r="Y366" s="52"/>
      <c r="Z366" s="52"/>
      <c r="AA366" s="52"/>
      <c r="AB366" s="53"/>
    </row>
    <row r="367">
      <c r="A367" s="52"/>
      <c r="B367" s="52"/>
      <c r="C367" s="52"/>
      <c r="D367" s="52"/>
      <c r="E367" s="52"/>
      <c r="F367" s="52"/>
      <c r="G367" s="52"/>
      <c r="H367" s="52"/>
      <c r="I367" s="52"/>
      <c r="J367" s="52"/>
      <c r="K367" s="52"/>
      <c r="L367" s="52"/>
      <c r="M367" s="52"/>
      <c r="N367" s="52"/>
      <c r="O367" s="52"/>
      <c r="P367" s="61"/>
      <c r="Q367" s="61"/>
      <c r="R367" s="205"/>
      <c r="S367" s="52"/>
      <c r="T367" s="52"/>
      <c r="U367" s="52"/>
      <c r="V367" s="52"/>
      <c r="W367" s="52"/>
      <c r="X367" s="52"/>
      <c r="Y367" s="52"/>
      <c r="Z367" s="52"/>
      <c r="AA367" s="52"/>
      <c r="AB367" s="53"/>
    </row>
    <row r="368">
      <c r="A368" s="52"/>
      <c r="B368" s="52"/>
      <c r="C368" s="52"/>
      <c r="D368" s="52"/>
      <c r="E368" s="52"/>
      <c r="F368" s="52"/>
      <c r="G368" s="52"/>
      <c r="H368" s="52"/>
      <c r="I368" s="52"/>
      <c r="J368" s="52"/>
      <c r="K368" s="52"/>
      <c r="L368" s="52"/>
      <c r="M368" s="52"/>
      <c r="N368" s="52"/>
      <c r="O368" s="52"/>
      <c r="P368" s="61"/>
      <c r="Q368" s="61"/>
      <c r="R368" s="205"/>
      <c r="S368" s="52"/>
      <c r="T368" s="52"/>
      <c r="U368" s="52"/>
      <c r="V368" s="52"/>
      <c r="W368" s="52"/>
      <c r="X368" s="52"/>
      <c r="Y368" s="52"/>
      <c r="Z368" s="52"/>
      <c r="AA368" s="52"/>
      <c r="AB368" s="53"/>
    </row>
    <row r="369">
      <c r="A369" s="52"/>
      <c r="B369" s="52"/>
      <c r="C369" s="52"/>
      <c r="D369" s="52"/>
      <c r="E369" s="52"/>
      <c r="F369" s="52"/>
      <c r="G369" s="52"/>
      <c r="H369" s="52"/>
      <c r="I369" s="52"/>
      <c r="J369" s="52"/>
      <c r="K369" s="52"/>
      <c r="L369" s="52"/>
      <c r="M369" s="52"/>
      <c r="N369" s="52"/>
      <c r="O369" s="52"/>
      <c r="P369" s="61"/>
      <c r="Q369" s="61"/>
      <c r="R369" s="205"/>
      <c r="S369" s="52"/>
      <c r="T369" s="52"/>
      <c r="U369" s="52"/>
      <c r="V369" s="52"/>
      <c r="W369" s="52"/>
      <c r="X369" s="52"/>
      <c r="Y369" s="52"/>
      <c r="Z369" s="52"/>
      <c r="AA369" s="52"/>
      <c r="AB369" s="53"/>
    </row>
    <row r="370">
      <c r="A370" s="52"/>
      <c r="B370" s="52"/>
      <c r="C370" s="52"/>
      <c r="D370" s="52"/>
      <c r="E370" s="52"/>
      <c r="F370" s="52"/>
      <c r="G370" s="52"/>
      <c r="H370" s="52"/>
      <c r="I370" s="52"/>
      <c r="J370" s="52"/>
      <c r="K370" s="52"/>
      <c r="L370" s="52"/>
      <c r="M370" s="52"/>
      <c r="N370" s="52"/>
      <c r="O370" s="52"/>
      <c r="P370" s="61"/>
      <c r="Q370" s="61"/>
      <c r="R370" s="205"/>
      <c r="S370" s="52"/>
      <c r="T370" s="52"/>
      <c r="U370" s="52"/>
      <c r="V370" s="52"/>
      <c r="W370" s="52"/>
      <c r="X370" s="52"/>
      <c r="Y370" s="52"/>
      <c r="Z370" s="52"/>
      <c r="AA370" s="52"/>
      <c r="AB370" s="53"/>
    </row>
    <row r="371">
      <c r="A371" s="52"/>
      <c r="B371" s="52"/>
      <c r="C371" s="52"/>
      <c r="D371" s="52"/>
      <c r="E371" s="52"/>
      <c r="F371" s="52"/>
      <c r="G371" s="52"/>
      <c r="H371" s="52"/>
      <c r="I371" s="52"/>
      <c r="J371" s="52"/>
      <c r="K371" s="52"/>
      <c r="L371" s="52"/>
      <c r="M371" s="52"/>
      <c r="N371" s="52"/>
      <c r="O371" s="52"/>
      <c r="P371" s="61"/>
      <c r="Q371" s="61"/>
      <c r="R371" s="205"/>
      <c r="S371" s="52"/>
      <c r="T371" s="52"/>
      <c r="U371" s="52"/>
      <c r="V371" s="52"/>
      <c r="W371" s="52"/>
      <c r="X371" s="52"/>
      <c r="Y371" s="52"/>
      <c r="Z371" s="52"/>
      <c r="AA371" s="52"/>
      <c r="AB371" s="53"/>
    </row>
    <row r="372">
      <c r="A372" s="52"/>
      <c r="B372" s="52"/>
      <c r="C372" s="52"/>
      <c r="D372" s="52"/>
      <c r="E372" s="52"/>
      <c r="F372" s="52"/>
      <c r="G372" s="52"/>
      <c r="H372" s="52"/>
      <c r="I372" s="52"/>
      <c r="J372" s="52"/>
      <c r="K372" s="52"/>
      <c r="L372" s="52"/>
      <c r="M372" s="52"/>
      <c r="N372" s="52"/>
      <c r="O372" s="52"/>
      <c r="P372" s="61"/>
      <c r="Q372" s="61"/>
      <c r="R372" s="205"/>
      <c r="S372" s="52"/>
      <c r="T372" s="52"/>
      <c r="U372" s="52"/>
      <c r="V372" s="52"/>
      <c r="W372" s="52"/>
      <c r="X372" s="52"/>
      <c r="Y372" s="52"/>
      <c r="Z372" s="52"/>
      <c r="AA372" s="52"/>
      <c r="AB372" s="53"/>
    </row>
    <row r="373">
      <c r="A373" s="52"/>
      <c r="B373" s="52"/>
      <c r="C373" s="52"/>
      <c r="D373" s="52"/>
      <c r="E373" s="52"/>
      <c r="F373" s="52"/>
      <c r="G373" s="52"/>
      <c r="H373" s="52"/>
      <c r="I373" s="52"/>
      <c r="J373" s="52"/>
      <c r="K373" s="52"/>
      <c r="L373" s="52"/>
      <c r="M373" s="52"/>
      <c r="N373" s="52"/>
      <c r="O373" s="52"/>
      <c r="P373" s="61"/>
      <c r="Q373" s="61"/>
      <c r="R373" s="205"/>
      <c r="S373" s="52"/>
      <c r="T373" s="52"/>
      <c r="U373" s="52"/>
      <c r="V373" s="52"/>
      <c r="W373" s="52"/>
      <c r="X373" s="52"/>
      <c r="Y373" s="52"/>
      <c r="Z373" s="52"/>
      <c r="AA373" s="52"/>
      <c r="AB373" s="53"/>
    </row>
    <row r="374">
      <c r="A374" s="52"/>
      <c r="B374" s="52"/>
      <c r="C374" s="52"/>
      <c r="D374" s="52"/>
      <c r="E374" s="52"/>
      <c r="F374" s="52"/>
      <c r="G374" s="52"/>
      <c r="H374" s="52"/>
      <c r="I374" s="52"/>
      <c r="J374" s="52"/>
      <c r="K374" s="52"/>
      <c r="L374" s="52"/>
      <c r="M374" s="52"/>
      <c r="N374" s="52"/>
      <c r="O374" s="52"/>
      <c r="P374" s="61"/>
      <c r="Q374" s="61"/>
      <c r="R374" s="205"/>
      <c r="S374" s="52"/>
      <c r="T374" s="52"/>
      <c r="U374" s="52"/>
      <c r="V374" s="52"/>
      <c r="W374" s="52"/>
      <c r="X374" s="52"/>
      <c r="Y374" s="52"/>
      <c r="Z374" s="52"/>
      <c r="AA374" s="52"/>
      <c r="AB374" s="53"/>
    </row>
    <row r="375">
      <c r="A375" s="52"/>
      <c r="B375" s="52"/>
      <c r="C375" s="52"/>
      <c r="D375" s="52"/>
      <c r="E375" s="52"/>
      <c r="F375" s="52"/>
      <c r="G375" s="52"/>
      <c r="H375" s="52"/>
      <c r="I375" s="52"/>
      <c r="J375" s="52"/>
      <c r="K375" s="52"/>
      <c r="L375" s="52"/>
      <c r="M375" s="52"/>
      <c r="N375" s="52"/>
      <c r="O375" s="52"/>
      <c r="P375" s="61"/>
      <c r="Q375" s="61"/>
      <c r="R375" s="205"/>
      <c r="S375" s="52"/>
      <c r="T375" s="52"/>
      <c r="U375" s="52"/>
      <c r="V375" s="52"/>
      <c r="W375" s="52"/>
      <c r="X375" s="52"/>
      <c r="Y375" s="52"/>
      <c r="Z375" s="52"/>
      <c r="AA375" s="52"/>
      <c r="AB375" s="53"/>
    </row>
    <row r="376">
      <c r="A376" s="52"/>
      <c r="B376" s="52"/>
      <c r="C376" s="52"/>
      <c r="D376" s="52"/>
      <c r="E376" s="52"/>
      <c r="F376" s="52"/>
      <c r="G376" s="52"/>
      <c r="H376" s="52"/>
      <c r="I376" s="52"/>
      <c r="J376" s="52"/>
      <c r="K376" s="52"/>
      <c r="L376" s="52"/>
      <c r="M376" s="52"/>
      <c r="N376" s="52"/>
      <c r="O376" s="52"/>
      <c r="P376" s="61"/>
      <c r="Q376" s="61"/>
      <c r="R376" s="205"/>
      <c r="S376" s="52"/>
      <c r="T376" s="52"/>
      <c r="U376" s="52"/>
      <c r="V376" s="52"/>
      <c r="W376" s="52"/>
      <c r="X376" s="52"/>
      <c r="Y376" s="52"/>
      <c r="Z376" s="52"/>
      <c r="AA376" s="52"/>
      <c r="AB376" s="53"/>
    </row>
    <row r="377">
      <c r="A377" s="52"/>
      <c r="B377" s="52"/>
      <c r="C377" s="52"/>
      <c r="D377" s="52"/>
      <c r="E377" s="52"/>
      <c r="F377" s="52"/>
      <c r="G377" s="52"/>
      <c r="H377" s="52"/>
      <c r="I377" s="52"/>
      <c r="J377" s="52"/>
      <c r="K377" s="52"/>
      <c r="L377" s="52"/>
      <c r="M377" s="52"/>
      <c r="N377" s="52"/>
      <c r="O377" s="52"/>
      <c r="P377" s="61"/>
      <c r="Q377" s="61"/>
      <c r="R377" s="205"/>
      <c r="S377" s="52"/>
      <c r="T377" s="52"/>
      <c r="U377" s="52"/>
      <c r="V377" s="52"/>
      <c r="W377" s="52"/>
      <c r="X377" s="52"/>
      <c r="Y377" s="52"/>
      <c r="Z377" s="52"/>
      <c r="AA377" s="52"/>
      <c r="AB377" s="53"/>
    </row>
    <row r="378">
      <c r="A378" s="52"/>
      <c r="B378" s="52"/>
      <c r="C378" s="52"/>
      <c r="D378" s="52"/>
      <c r="E378" s="52"/>
      <c r="F378" s="52"/>
      <c r="G378" s="52"/>
      <c r="H378" s="52"/>
      <c r="I378" s="52"/>
      <c r="J378" s="52"/>
      <c r="K378" s="52"/>
      <c r="L378" s="52"/>
      <c r="M378" s="52"/>
      <c r="N378" s="52"/>
      <c r="O378" s="52"/>
      <c r="P378" s="61"/>
      <c r="Q378" s="61"/>
      <c r="R378" s="205"/>
      <c r="S378" s="52"/>
      <c r="T378" s="52"/>
      <c r="U378" s="52"/>
      <c r="V378" s="52"/>
      <c r="W378" s="52"/>
      <c r="X378" s="52"/>
      <c r="Y378" s="52"/>
      <c r="Z378" s="52"/>
      <c r="AA378" s="52"/>
      <c r="AB378" s="53"/>
    </row>
    <row r="379">
      <c r="A379" s="52"/>
      <c r="B379" s="52"/>
      <c r="C379" s="52"/>
      <c r="D379" s="52"/>
      <c r="E379" s="52"/>
      <c r="F379" s="52"/>
      <c r="G379" s="52"/>
      <c r="H379" s="52"/>
      <c r="I379" s="52"/>
      <c r="J379" s="52"/>
      <c r="K379" s="52"/>
      <c r="L379" s="52"/>
      <c r="M379" s="52"/>
      <c r="N379" s="52"/>
      <c r="O379" s="52"/>
      <c r="P379" s="61"/>
      <c r="Q379" s="61"/>
      <c r="R379" s="205"/>
      <c r="S379" s="52"/>
      <c r="T379" s="52"/>
      <c r="U379" s="52"/>
      <c r="V379" s="52"/>
      <c r="W379" s="52"/>
      <c r="X379" s="52"/>
      <c r="Y379" s="52"/>
      <c r="Z379" s="52"/>
      <c r="AA379" s="52"/>
      <c r="AB379" s="53"/>
    </row>
    <row r="380">
      <c r="A380" s="52"/>
      <c r="B380" s="52"/>
      <c r="C380" s="52"/>
      <c r="D380" s="52"/>
      <c r="E380" s="52"/>
      <c r="F380" s="52"/>
      <c r="G380" s="52"/>
      <c r="H380" s="52"/>
      <c r="I380" s="52"/>
      <c r="J380" s="52"/>
      <c r="K380" s="52"/>
      <c r="L380" s="52"/>
      <c r="M380" s="52"/>
      <c r="N380" s="52"/>
      <c r="O380" s="52"/>
      <c r="P380" s="61"/>
      <c r="Q380" s="61"/>
      <c r="R380" s="205"/>
      <c r="S380" s="52"/>
      <c r="T380" s="52"/>
      <c r="U380" s="52"/>
      <c r="V380" s="52"/>
      <c r="W380" s="52"/>
      <c r="X380" s="52"/>
      <c r="Y380" s="52"/>
      <c r="Z380" s="52"/>
      <c r="AA380" s="52"/>
      <c r="AB380" s="53"/>
    </row>
    <row r="381">
      <c r="A381" s="52"/>
      <c r="B381" s="52"/>
      <c r="C381" s="52"/>
      <c r="D381" s="52"/>
      <c r="E381" s="52"/>
      <c r="F381" s="52"/>
      <c r="G381" s="52"/>
      <c r="H381" s="52"/>
      <c r="I381" s="52"/>
      <c r="J381" s="52"/>
      <c r="K381" s="52"/>
      <c r="L381" s="52"/>
      <c r="M381" s="52"/>
      <c r="N381" s="52"/>
      <c r="O381" s="52"/>
      <c r="P381" s="61"/>
      <c r="Q381" s="61"/>
      <c r="R381" s="205"/>
      <c r="S381" s="52"/>
      <c r="T381" s="52"/>
      <c r="U381" s="52"/>
      <c r="V381" s="52"/>
      <c r="W381" s="52"/>
      <c r="X381" s="52"/>
      <c r="Y381" s="52"/>
      <c r="Z381" s="52"/>
      <c r="AA381" s="52"/>
      <c r="AB381" s="53"/>
    </row>
    <row r="382">
      <c r="A382" s="52"/>
      <c r="B382" s="52"/>
      <c r="C382" s="52"/>
      <c r="D382" s="52"/>
      <c r="E382" s="52"/>
      <c r="F382" s="52"/>
      <c r="G382" s="52"/>
      <c r="H382" s="52"/>
      <c r="I382" s="52"/>
      <c r="J382" s="52"/>
      <c r="K382" s="52"/>
      <c r="L382" s="52"/>
      <c r="M382" s="52"/>
      <c r="N382" s="52"/>
      <c r="O382" s="52"/>
      <c r="P382" s="61"/>
      <c r="Q382" s="61"/>
      <c r="R382" s="205"/>
      <c r="S382" s="52"/>
      <c r="T382" s="52"/>
      <c r="U382" s="52"/>
      <c r="V382" s="52"/>
      <c r="W382" s="52"/>
      <c r="X382" s="52"/>
      <c r="Y382" s="52"/>
      <c r="Z382" s="52"/>
      <c r="AA382" s="52"/>
      <c r="AB382" s="53"/>
    </row>
    <row r="383">
      <c r="A383" s="52"/>
      <c r="B383" s="52"/>
      <c r="C383" s="52"/>
      <c r="D383" s="52"/>
      <c r="E383" s="52"/>
      <c r="F383" s="52"/>
      <c r="G383" s="52"/>
      <c r="H383" s="52"/>
      <c r="I383" s="52"/>
      <c r="J383" s="52"/>
      <c r="K383" s="52"/>
      <c r="L383" s="52"/>
      <c r="M383" s="52"/>
      <c r="N383" s="52"/>
      <c r="O383" s="52"/>
      <c r="P383" s="61"/>
      <c r="Q383" s="61"/>
      <c r="R383" s="205"/>
      <c r="S383" s="52"/>
      <c r="T383" s="52"/>
      <c r="U383" s="52"/>
      <c r="V383" s="52"/>
      <c r="W383" s="52"/>
      <c r="X383" s="52"/>
      <c r="Y383" s="52"/>
      <c r="Z383" s="52"/>
      <c r="AA383" s="52"/>
      <c r="AB383" s="53"/>
    </row>
    <row r="384">
      <c r="A384" s="52"/>
      <c r="B384" s="52"/>
      <c r="C384" s="52"/>
      <c r="D384" s="52"/>
      <c r="E384" s="52"/>
      <c r="F384" s="52"/>
      <c r="G384" s="52"/>
      <c r="H384" s="52"/>
      <c r="I384" s="52"/>
      <c r="J384" s="52"/>
      <c r="K384" s="52"/>
      <c r="L384" s="52"/>
      <c r="M384" s="52"/>
      <c r="N384" s="52"/>
      <c r="O384" s="52"/>
      <c r="P384" s="61"/>
      <c r="Q384" s="61"/>
      <c r="R384" s="205"/>
      <c r="S384" s="52"/>
      <c r="T384" s="52"/>
      <c r="U384" s="52"/>
      <c r="V384" s="52"/>
      <c r="W384" s="52"/>
      <c r="X384" s="52"/>
      <c r="Y384" s="52"/>
      <c r="Z384" s="52"/>
      <c r="AA384" s="52"/>
      <c r="AB384" s="53"/>
    </row>
    <row r="385">
      <c r="A385" s="52"/>
      <c r="B385" s="52"/>
      <c r="C385" s="52"/>
      <c r="D385" s="52"/>
      <c r="E385" s="52"/>
      <c r="F385" s="52"/>
      <c r="G385" s="52"/>
      <c r="H385" s="52"/>
      <c r="I385" s="52"/>
      <c r="J385" s="52"/>
      <c r="K385" s="52"/>
      <c r="L385" s="52"/>
      <c r="M385" s="52"/>
      <c r="N385" s="52"/>
      <c r="O385" s="52"/>
      <c r="P385" s="61"/>
      <c r="Q385" s="61"/>
      <c r="R385" s="205"/>
      <c r="S385" s="52"/>
      <c r="T385" s="52"/>
      <c r="U385" s="52"/>
      <c r="V385" s="52"/>
      <c r="W385" s="52"/>
      <c r="X385" s="52"/>
      <c r="Y385" s="52"/>
      <c r="Z385" s="52"/>
      <c r="AA385" s="52"/>
      <c r="AB385" s="53"/>
    </row>
    <row r="386">
      <c r="A386" s="52"/>
      <c r="B386" s="52"/>
      <c r="C386" s="52"/>
      <c r="D386" s="52"/>
      <c r="E386" s="52"/>
      <c r="F386" s="52"/>
      <c r="G386" s="52"/>
      <c r="H386" s="52"/>
      <c r="I386" s="52"/>
      <c r="J386" s="52"/>
      <c r="K386" s="52"/>
      <c r="L386" s="52"/>
      <c r="M386" s="52"/>
      <c r="N386" s="52"/>
      <c r="O386" s="52"/>
      <c r="P386" s="61"/>
      <c r="Q386" s="61"/>
      <c r="R386" s="205"/>
      <c r="S386" s="52"/>
      <c r="T386" s="52"/>
      <c r="U386" s="52"/>
      <c r="V386" s="52"/>
      <c r="W386" s="52"/>
      <c r="X386" s="52"/>
      <c r="Y386" s="52"/>
      <c r="Z386" s="52"/>
      <c r="AA386" s="52"/>
      <c r="AB386" s="53"/>
    </row>
    <row r="387">
      <c r="A387" s="52"/>
      <c r="B387" s="52"/>
      <c r="C387" s="52"/>
      <c r="D387" s="52"/>
      <c r="E387" s="52"/>
      <c r="F387" s="52"/>
      <c r="G387" s="52"/>
      <c r="H387" s="52"/>
      <c r="I387" s="52"/>
      <c r="J387" s="52"/>
      <c r="K387" s="52"/>
      <c r="L387" s="52"/>
      <c r="M387" s="52"/>
      <c r="N387" s="52"/>
      <c r="O387" s="52"/>
      <c r="P387" s="61"/>
      <c r="Q387" s="61"/>
      <c r="R387" s="205"/>
      <c r="S387" s="52"/>
      <c r="T387" s="52"/>
      <c r="U387" s="52"/>
      <c r="V387" s="52"/>
      <c r="W387" s="52"/>
      <c r="X387" s="52"/>
      <c r="Y387" s="52"/>
      <c r="Z387" s="52"/>
      <c r="AA387" s="52"/>
      <c r="AB387" s="53"/>
    </row>
    <row r="388">
      <c r="A388" s="52"/>
      <c r="B388" s="52"/>
      <c r="C388" s="52"/>
      <c r="D388" s="52"/>
      <c r="E388" s="52"/>
      <c r="F388" s="52"/>
      <c r="G388" s="52"/>
      <c r="H388" s="52"/>
      <c r="I388" s="52"/>
      <c r="J388" s="52"/>
      <c r="K388" s="52"/>
      <c r="L388" s="52"/>
      <c r="M388" s="52"/>
      <c r="N388" s="52"/>
      <c r="O388" s="52"/>
      <c r="P388" s="61"/>
      <c r="Q388" s="61"/>
      <c r="R388" s="205"/>
      <c r="S388" s="52"/>
      <c r="T388" s="52"/>
      <c r="U388" s="52"/>
      <c r="V388" s="52"/>
      <c r="W388" s="52"/>
      <c r="X388" s="52"/>
      <c r="Y388" s="52"/>
      <c r="Z388" s="52"/>
      <c r="AA388" s="52"/>
      <c r="AB388" s="53"/>
    </row>
    <row r="389">
      <c r="A389" s="52"/>
      <c r="B389" s="52"/>
      <c r="C389" s="52"/>
      <c r="D389" s="52"/>
      <c r="E389" s="52"/>
      <c r="F389" s="52"/>
      <c r="G389" s="52"/>
      <c r="H389" s="52"/>
      <c r="I389" s="52"/>
      <c r="J389" s="52"/>
      <c r="K389" s="52"/>
      <c r="L389" s="52"/>
      <c r="M389" s="52"/>
      <c r="N389" s="52"/>
      <c r="O389" s="52"/>
      <c r="P389" s="61"/>
      <c r="Q389" s="61"/>
      <c r="R389" s="205"/>
      <c r="S389" s="52"/>
      <c r="T389" s="52"/>
      <c r="U389" s="52"/>
      <c r="V389" s="52"/>
      <c r="W389" s="52"/>
      <c r="X389" s="52"/>
      <c r="Y389" s="52"/>
      <c r="Z389" s="52"/>
      <c r="AA389" s="52"/>
      <c r="AB389" s="53"/>
    </row>
    <row r="390">
      <c r="A390" s="52"/>
      <c r="B390" s="52"/>
      <c r="C390" s="52"/>
      <c r="D390" s="52"/>
      <c r="E390" s="52"/>
      <c r="F390" s="52"/>
      <c r="G390" s="52"/>
      <c r="H390" s="52"/>
      <c r="I390" s="52"/>
      <c r="J390" s="52"/>
      <c r="K390" s="52"/>
      <c r="L390" s="52"/>
      <c r="M390" s="52"/>
      <c r="N390" s="52"/>
      <c r="O390" s="52"/>
      <c r="P390" s="61"/>
      <c r="Q390" s="61"/>
      <c r="R390" s="205"/>
      <c r="S390" s="52"/>
      <c r="T390" s="52"/>
      <c r="U390" s="52"/>
      <c r="V390" s="52"/>
      <c r="W390" s="52"/>
      <c r="X390" s="52"/>
      <c r="Y390" s="52"/>
      <c r="Z390" s="52"/>
      <c r="AA390" s="52"/>
      <c r="AB390" s="53"/>
    </row>
    <row r="391">
      <c r="A391" s="52"/>
      <c r="B391" s="52"/>
      <c r="C391" s="52"/>
      <c r="D391" s="52"/>
      <c r="E391" s="52"/>
      <c r="F391" s="52"/>
      <c r="G391" s="52"/>
      <c r="H391" s="52"/>
      <c r="I391" s="52"/>
      <c r="J391" s="52"/>
      <c r="K391" s="52"/>
      <c r="L391" s="52"/>
      <c r="M391" s="52"/>
      <c r="N391" s="52"/>
      <c r="O391" s="52"/>
      <c r="P391" s="61"/>
      <c r="Q391" s="61"/>
      <c r="R391" s="205"/>
      <c r="S391" s="52"/>
      <c r="T391" s="52"/>
      <c r="U391" s="52"/>
      <c r="V391" s="52"/>
      <c r="W391" s="52"/>
      <c r="X391" s="52"/>
      <c r="Y391" s="52"/>
      <c r="Z391" s="52"/>
      <c r="AA391" s="52"/>
      <c r="AB391" s="53"/>
    </row>
    <row r="392">
      <c r="A392" s="52"/>
      <c r="B392" s="52"/>
      <c r="C392" s="52"/>
      <c r="D392" s="52"/>
      <c r="E392" s="52"/>
      <c r="F392" s="52"/>
      <c r="G392" s="52"/>
      <c r="H392" s="52"/>
      <c r="I392" s="52"/>
      <c r="J392" s="52"/>
      <c r="K392" s="52"/>
      <c r="L392" s="52"/>
      <c r="M392" s="52"/>
      <c r="N392" s="52"/>
      <c r="O392" s="52"/>
      <c r="P392" s="61"/>
      <c r="Q392" s="61"/>
      <c r="R392" s="205"/>
      <c r="S392" s="52"/>
      <c r="T392" s="52"/>
      <c r="U392" s="52"/>
      <c r="V392" s="52"/>
      <c r="W392" s="52"/>
      <c r="X392" s="52"/>
      <c r="Y392" s="52"/>
      <c r="Z392" s="52"/>
      <c r="AA392" s="52"/>
      <c r="AB392" s="53"/>
    </row>
    <row r="393">
      <c r="A393" s="52"/>
      <c r="B393" s="52"/>
      <c r="C393" s="52"/>
      <c r="D393" s="52"/>
      <c r="E393" s="52"/>
      <c r="F393" s="52"/>
      <c r="G393" s="52"/>
      <c r="H393" s="52"/>
      <c r="I393" s="52"/>
      <c r="J393" s="52"/>
      <c r="K393" s="52"/>
      <c r="L393" s="52"/>
      <c r="M393" s="52"/>
      <c r="N393" s="52"/>
      <c r="O393" s="52"/>
      <c r="P393" s="61"/>
      <c r="Q393" s="61"/>
      <c r="R393" s="205"/>
      <c r="S393" s="52"/>
      <c r="T393" s="52"/>
      <c r="U393" s="52"/>
      <c r="V393" s="52"/>
      <c r="W393" s="52"/>
      <c r="X393" s="52"/>
      <c r="Y393" s="52"/>
      <c r="Z393" s="52"/>
      <c r="AA393" s="52"/>
      <c r="AB393" s="53"/>
    </row>
    <row r="394">
      <c r="A394" s="52"/>
      <c r="B394" s="52"/>
      <c r="C394" s="52"/>
      <c r="D394" s="52"/>
      <c r="E394" s="52"/>
      <c r="F394" s="52"/>
      <c r="G394" s="52"/>
      <c r="H394" s="52"/>
      <c r="I394" s="52"/>
      <c r="J394" s="52"/>
      <c r="K394" s="52"/>
      <c r="L394" s="52"/>
      <c r="M394" s="52"/>
      <c r="N394" s="52"/>
      <c r="O394" s="52"/>
      <c r="P394" s="61"/>
      <c r="Q394" s="61"/>
      <c r="R394" s="205"/>
      <c r="S394" s="52"/>
      <c r="T394" s="52"/>
      <c r="U394" s="52"/>
      <c r="V394" s="52"/>
      <c r="W394" s="52"/>
      <c r="X394" s="52"/>
      <c r="Y394" s="52"/>
      <c r="Z394" s="52"/>
      <c r="AA394" s="52"/>
      <c r="AB394" s="53"/>
    </row>
    <row r="395">
      <c r="A395" s="52"/>
      <c r="B395" s="52"/>
      <c r="C395" s="52"/>
      <c r="D395" s="52"/>
      <c r="E395" s="52"/>
      <c r="F395" s="52"/>
      <c r="G395" s="52"/>
      <c r="H395" s="52"/>
      <c r="I395" s="52"/>
      <c r="J395" s="52"/>
      <c r="K395" s="52"/>
      <c r="L395" s="52"/>
      <c r="M395" s="52"/>
      <c r="N395" s="52"/>
      <c r="O395" s="52"/>
      <c r="P395" s="61"/>
      <c r="Q395" s="61"/>
      <c r="R395" s="205"/>
      <c r="S395" s="52"/>
      <c r="T395" s="52"/>
      <c r="U395" s="52"/>
      <c r="V395" s="52"/>
      <c r="W395" s="52"/>
      <c r="X395" s="52"/>
      <c r="Y395" s="52"/>
      <c r="Z395" s="52"/>
      <c r="AA395" s="52"/>
      <c r="AB395" s="53"/>
    </row>
    <row r="396">
      <c r="A396" s="52"/>
      <c r="B396" s="52"/>
      <c r="C396" s="52"/>
      <c r="D396" s="52"/>
      <c r="E396" s="52"/>
      <c r="F396" s="52"/>
      <c r="G396" s="52"/>
      <c r="H396" s="52"/>
      <c r="I396" s="52"/>
      <c r="J396" s="52"/>
      <c r="K396" s="52"/>
      <c r="L396" s="52"/>
      <c r="M396" s="52"/>
      <c r="N396" s="52"/>
      <c r="O396" s="52"/>
      <c r="P396" s="61"/>
      <c r="Q396" s="61"/>
      <c r="R396" s="205"/>
      <c r="S396" s="52"/>
      <c r="T396" s="52"/>
      <c r="U396" s="52"/>
      <c r="V396" s="52"/>
      <c r="W396" s="52"/>
      <c r="X396" s="52"/>
      <c r="Y396" s="52"/>
      <c r="Z396" s="52"/>
      <c r="AA396" s="52"/>
      <c r="AB396" s="53"/>
    </row>
    <row r="397">
      <c r="A397" s="52"/>
      <c r="B397" s="52"/>
      <c r="C397" s="52"/>
      <c r="D397" s="52"/>
      <c r="E397" s="52"/>
      <c r="F397" s="52"/>
      <c r="G397" s="52"/>
      <c r="H397" s="52"/>
      <c r="I397" s="52"/>
      <c r="J397" s="52"/>
      <c r="K397" s="52"/>
      <c r="L397" s="52"/>
      <c r="M397" s="52"/>
      <c r="N397" s="52"/>
      <c r="O397" s="52"/>
      <c r="P397" s="61"/>
      <c r="Q397" s="61"/>
      <c r="R397" s="205"/>
      <c r="S397" s="52"/>
      <c r="T397" s="52"/>
      <c r="U397" s="52"/>
      <c r="V397" s="52"/>
      <c r="W397" s="52"/>
      <c r="X397" s="52"/>
      <c r="Y397" s="52"/>
      <c r="Z397" s="52"/>
      <c r="AA397" s="52"/>
      <c r="AB397" s="53"/>
    </row>
    <row r="398">
      <c r="A398" s="52"/>
      <c r="B398" s="52"/>
      <c r="C398" s="52"/>
      <c r="D398" s="52"/>
      <c r="E398" s="52"/>
      <c r="F398" s="52"/>
      <c r="G398" s="52"/>
      <c r="H398" s="52"/>
      <c r="I398" s="52"/>
      <c r="J398" s="52"/>
      <c r="K398" s="52"/>
      <c r="L398" s="52"/>
      <c r="M398" s="52"/>
      <c r="N398" s="52"/>
      <c r="O398" s="52"/>
      <c r="P398" s="61"/>
      <c r="Q398" s="61"/>
      <c r="R398" s="205"/>
      <c r="S398" s="52"/>
      <c r="T398" s="52"/>
      <c r="U398" s="52"/>
      <c r="V398" s="52"/>
      <c r="W398" s="52"/>
      <c r="X398" s="52"/>
      <c r="Y398" s="52"/>
      <c r="Z398" s="52"/>
      <c r="AA398" s="52"/>
      <c r="AB398" s="53"/>
    </row>
    <row r="399">
      <c r="A399" s="52"/>
      <c r="B399" s="52"/>
      <c r="C399" s="52"/>
      <c r="D399" s="52"/>
      <c r="E399" s="52"/>
      <c r="F399" s="52"/>
      <c r="G399" s="52"/>
      <c r="H399" s="52"/>
      <c r="I399" s="52"/>
      <c r="J399" s="52"/>
      <c r="K399" s="52"/>
      <c r="L399" s="52"/>
      <c r="M399" s="52"/>
      <c r="N399" s="52"/>
      <c r="O399" s="52"/>
      <c r="P399" s="61"/>
      <c r="Q399" s="61"/>
      <c r="R399" s="205"/>
      <c r="S399" s="52"/>
      <c r="T399" s="52"/>
      <c r="U399" s="52"/>
      <c r="V399" s="52"/>
      <c r="W399" s="52"/>
      <c r="X399" s="52"/>
      <c r="Y399" s="52"/>
      <c r="Z399" s="52"/>
      <c r="AA399" s="52"/>
      <c r="AB399" s="53"/>
    </row>
    <row r="400">
      <c r="A400" s="52"/>
      <c r="B400" s="52"/>
      <c r="C400" s="52"/>
      <c r="D400" s="52"/>
      <c r="E400" s="52"/>
      <c r="F400" s="52"/>
      <c r="G400" s="52"/>
      <c r="H400" s="52"/>
      <c r="I400" s="52"/>
      <c r="J400" s="52"/>
      <c r="K400" s="52"/>
      <c r="L400" s="52"/>
      <c r="M400" s="52"/>
      <c r="N400" s="52"/>
      <c r="O400" s="52"/>
      <c r="P400" s="61"/>
      <c r="Q400" s="61"/>
      <c r="R400" s="205"/>
      <c r="S400" s="52"/>
      <c r="T400" s="52"/>
      <c r="U400" s="52"/>
      <c r="V400" s="52"/>
      <c r="W400" s="52"/>
      <c r="X400" s="52"/>
      <c r="Y400" s="52"/>
      <c r="Z400" s="52"/>
      <c r="AA400" s="52"/>
      <c r="AB400" s="53"/>
    </row>
    <row r="401">
      <c r="A401" s="52"/>
      <c r="B401" s="52"/>
      <c r="C401" s="52"/>
      <c r="D401" s="52"/>
      <c r="E401" s="52"/>
      <c r="F401" s="52"/>
      <c r="G401" s="52"/>
      <c r="H401" s="52"/>
      <c r="I401" s="52"/>
      <c r="J401" s="52"/>
      <c r="K401" s="52"/>
      <c r="L401" s="52"/>
      <c r="M401" s="52"/>
      <c r="N401" s="52"/>
      <c r="O401" s="52"/>
      <c r="P401" s="61"/>
      <c r="Q401" s="61"/>
      <c r="R401" s="205"/>
      <c r="S401" s="52"/>
      <c r="T401" s="52"/>
      <c r="U401" s="52"/>
      <c r="V401" s="52"/>
      <c r="W401" s="52"/>
      <c r="X401" s="52"/>
      <c r="Y401" s="52"/>
      <c r="Z401" s="52"/>
      <c r="AA401" s="52"/>
      <c r="AB401" s="53"/>
    </row>
    <row r="402">
      <c r="A402" s="52"/>
      <c r="B402" s="52"/>
      <c r="C402" s="52"/>
      <c r="D402" s="52"/>
      <c r="E402" s="52"/>
      <c r="F402" s="52"/>
      <c r="G402" s="52"/>
      <c r="H402" s="52"/>
      <c r="I402" s="52"/>
      <c r="J402" s="52"/>
      <c r="K402" s="52"/>
      <c r="L402" s="52"/>
      <c r="M402" s="52"/>
      <c r="N402" s="52"/>
      <c r="O402" s="52"/>
      <c r="P402" s="61"/>
      <c r="Q402" s="61"/>
      <c r="R402" s="205"/>
      <c r="S402" s="52"/>
      <c r="T402" s="52"/>
      <c r="U402" s="52"/>
      <c r="V402" s="52"/>
      <c r="W402" s="52"/>
      <c r="X402" s="52"/>
      <c r="Y402" s="52"/>
      <c r="Z402" s="52"/>
      <c r="AA402" s="52"/>
      <c r="AB402" s="53"/>
    </row>
    <row r="403">
      <c r="A403" s="52"/>
      <c r="B403" s="52"/>
      <c r="C403" s="52"/>
      <c r="D403" s="52"/>
      <c r="E403" s="52"/>
      <c r="F403" s="52"/>
      <c r="G403" s="52"/>
      <c r="H403" s="52"/>
      <c r="I403" s="52"/>
      <c r="J403" s="52"/>
      <c r="K403" s="52"/>
      <c r="L403" s="52"/>
      <c r="M403" s="52"/>
      <c r="N403" s="52"/>
      <c r="O403" s="52"/>
      <c r="P403" s="61"/>
      <c r="Q403" s="61"/>
      <c r="R403" s="205"/>
      <c r="S403" s="52"/>
      <c r="T403" s="52"/>
      <c r="U403" s="52"/>
      <c r="V403" s="52"/>
      <c r="W403" s="52"/>
      <c r="X403" s="52"/>
      <c r="Y403" s="52"/>
      <c r="Z403" s="52"/>
      <c r="AA403" s="52"/>
      <c r="AB403" s="53"/>
    </row>
    <row r="404">
      <c r="A404" s="52"/>
      <c r="B404" s="52"/>
      <c r="C404" s="52"/>
      <c r="D404" s="52"/>
      <c r="E404" s="52"/>
      <c r="F404" s="52"/>
      <c r="G404" s="52"/>
      <c r="H404" s="52"/>
      <c r="I404" s="52"/>
      <c r="J404" s="52"/>
      <c r="K404" s="52"/>
      <c r="L404" s="52"/>
      <c r="M404" s="52"/>
      <c r="N404" s="52"/>
      <c r="O404" s="52"/>
      <c r="P404" s="61"/>
      <c r="Q404" s="61"/>
      <c r="R404" s="205"/>
      <c r="S404" s="52"/>
      <c r="T404" s="52"/>
      <c r="U404" s="52"/>
      <c r="V404" s="52"/>
      <c r="W404" s="52"/>
      <c r="X404" s="52"/>
      <c r="Y404" s="52"/>
      <c r="Z404" s="52"/>
      <c r="AA404" s="52"/>
      <c r="AB404" s="53"/>
    </row>
    <row r="405">
      <c r="A405" s="52"/>
      <c r="B405" s="52"/>
      <c r="C405" s="52"/>
      <c r="D405" s="52"/>
      <c r="E405" s="52"/>
      <c r="F405" s="52"/>
      <c r="G405" s="52"/>
      <c r="H405" s="52"/>
      <c r="I405" s="52"/>
      <c r="J405" s="52"/>
      <c r="K405" s="52"/>
      <c r="L405" s="52"/>
      <c r="M405" s="52"/>
      <c r="N405" s="52"/>
      <c r="O405" s="52"/>
      <c r="P405" s="61"/>
      <c r="Q405" s="61"/>
      <c r="R405" s="205"/>
      <c r="S405" s="52"/>
      <c r="T405" s="52"/>
      <c r="U405" s="52"/>
      <c r="V405" s="52"/>
      <c r="W405" s="52"/>
      <c r="X405" s="52"/>
      <c r="Y405" s="52"/>
      <c r="Z405" s="52"/>
      <c r="AA405" s="52"/>
      <c r="AB405" s="53"/>
    </row>
    <row r="406">
      <c r="A406" s="52"/>
      <c r="B406" s="52"/>
      <c r="C406" s="52"/>
      <c r="D406" s="52"/>
      <c r="E406" s="52"/>
      <c r="F406" s="52"/>
      <c r="G406" s="52"/>
      <c r="H406" s="52"/>
      <c r="I406" s="52"/>
      <c r="J406" s="52"/>
      <c r="K406" s="52"/>
      <c r="L406" s="52"/>
      <c r="M406" s="52"/>
      <c r="N406" s="52"/>
      <c r="O406" s="52"/>
      <c r="P406" s="61"/>
      <c r="Q406" s="61"/>
      <c r="R406" s="205"/>
      <c r="S406" s="52"/>
      <c r="T406" s="52"/>
      <c r="U406" s="52"/>
      <c r="V406" s="52"/>
      <c r="W406" s="52"/>
      <c r="X406" s="52"/>
      <c r="Y406" s="52"/>
      <c r="Z406" s="52"/>
      <c r="AA406" s="52"/>
      <c r="AB406" s="53"/>
    </row>
    <row r="407">
      <c r="A407" s="52"/>
      <c r="B407" s="52"/>
      <c r="C407" s="52"/>
      <c r="D407" s="52"/>
      <c r="E407" s="52"/>
      <c r="F407" s="52"/>
      <c r="G407" s="52"/>
      <c r="H407" s="52"/>
      <c r="I407" s="52"/>
      <c r="J407" s="52"/>
      <c r="K407" s="52"/>
      <c r="L407" s="52"/>
      <c r="M407" s="52"/>
      <c r="N407" s="52"/>
      <c r="O407" s="52"/>
      <c r="P407" s="61"/>
      <c r="Q407" s="61"/>
      <c r="R407" s="205"/>
      <c r="S407" s="52"/>
      <c r="T407" s="52"/>
      <c r="U407" s="52"/>
      <c r="V407" s="52"/>
      <c r="W407" s="52"/>
      <c r="X407" s="52"/>
      <c r="Y407" s="52"/>
      <c r="Z407" s="52"/>
      <c r="AA407" s="52"/>
      <c r="AB407" s="53"/>
    </row>
    <row r="408">
      <c r="A408" s="52"/>
      <c r="B408" s="52"/>
      <c r="C408" s="52"/>
      <c r="D408" s="52"/>
      <c r="E408" s="52"/>
      <c r="F408" s="52"/>
      <c r="G408" s="52"/>
      <c r="H408" s="52"/>
      <c r="I408" s="52"/>
      <c r="J408" s="52"/>
      <c r="K408" s="52"/>
      <c r="L408" s="52"/>
      <c r="M408" s="52"/>
      <c r="N408" s="52"/>
      <c r="O408" s="52"/>
      <c r="P408" s="61"/>
      <c r="Q408" s="61"/>
      <c r="R408" s="205"/>
      <c r="S408" s="52"/>
      <c r="T408" s="52"/>
      <c r="U408" s="52"/>
      <c r="V408" s="52"/>
      <c r="W408" s="52"/>
      <c r="X408" s="52"/>
      <c r="Y408" s="52"/>
      <c r="Z408" s="52"/>
      <c r="AA408" s="52"/>
      <c r="AB408" s="53"/>
    </row>
    <row r="409">
      <c r="A409" s="52"/>
      <c r="B409" s="52"/>
      <c r="C409" s="52"/>
      <c r="D409" s="52"/>
      <c r="E409" s="52"/>
      <c r="F409" s="52"/>
      <c r="G409" s="52"/>
      <c r="H409" s="52"/>
      <c r="I409" s="52"/>
      <c r="J409" s="52"/>
      <c r="K409" s="52"/>
      <c r="L409" s="52"/>
      <c r="M409" s="52"/>
      <c r="N409" s="52"/>
      <c r="O409" s="52"/>
      <c r="P409" s="61"/>
      <c r="Q409" s="61"/>
      <c r="R409" s="205"/>
      <c r="S409" s="52"/>
      <c r="T409" s="52"/>
      <c r="U409" s="52"/>
      <c r="V409" s="52"/>
      <c r="W409" s="52"/>
      <c r="X409" s="52"/>
      <c r="Y409" s="52"/>
      <c r="Z409" s="52"/>
      <c r="AA409" s="52"/>
      <c r="AB409" s="53"/>
    </row>
    <row r="410">
      <c r="A410" s="52"/>
      <c r="B410" s="52"/>
      <c r="C410" s="52"/>
      <c r="D410" s="52"/>
      <c r="E410" s="52"/>
      <c r="F410" s="52"/>
      <c r="G410" s="52"/>
      <c r="H410" s="52"/>
      <c r="I410" s="52"/>
      <c r="J410" s="52"/>
      <c r="K410" s="52"/>
      <c r="L410" s="52"/>
      <c r="M410" s="52"/>
      <c r="N410" s="52"/>
      <c r="O410" s="52"/>
      <c r="P410" s="61"/>
      <c r="Q410" s="61"/>
      <c r="R410" s="205"/>
      <c r="S410" s="52"/>
      <c r="T410" s="52"/>
      <c r="U410" s="52"/>
      <c r="V410" s="52"/>
      <c r="W410" s="52"/>
      <c r="X410" s="52"/>
      <c r="Y410" s="52"/>
      <c r="Z410" s="52"/>
      <c r="AA410" s="52"/>
      <c r="AB410" s="53"/>
    </row>
    <row r="411">
      <c r="A411" s="52"/>
      <c r="B411" s="52"/>
      <c r="C411" s="52"/>
      <c r="D411" s="52"/>
      <c r="E411" s="52"/>
      <c r="F411" s="52"/>
      <c r="G411" s="52"/>
      <c r="H411" s="52"/>
      <c r="I411" s="52"/>
      <c r="J411" s="52"/>
      <c r="K411" s="52"/>
      <c r="L411" s="52"/>
      <c r="M411" s="52"/>
      <c r="N411" s="52"/>
      <c r="O411" s="52"/>
      <c r="P411" s="61"/>
      <c r="Q411" s="61"/>
      <c r="R411" s="205"/>
      <c r="S411" s="52"/>
      <c r="T411" s="52"/>
      <c r="U411" s="52"/>
      <c r="V411" s="52"/>
      <c r="W411" s="52"/>
      <c r="X411" s="52"/>
      <c r="Y411" s="52"/>
      <c r="Z411" s="52"/>
      <c r="AA411" s="52"/>
      <c r="AB411" s="53"/>
    </row>
    <row r="412">
      <c r="A412" s="52"/>
      <c r="B412" s="52"/>
      <c r="C412" s="52"/>
      <c r="D412" s="52"/>
      <c r="E412" s="52"/>
      <c r="F412" s="52"/>
      <c r="G412" s="52"/>
      <c r="H412" s="52"/>
      <c r="I412" s="52"/>
      <c r="J412" s="52"/>
      <c r="K412" s="52"/>
      <c r="L412" s="52"/>
      <c r="M412" s="52"/>
      <c r="N412" s="52"/>
      <c r="O412" s="52"/>
      <c r="P412" s="61"/>
      <c r="Q412" s="61"/>
      <c r="R412" s="205"/>
      <c r="S412" s="52"/>
      <c r="T412" s="52"/>
      <c r="U412" s="52"/>
      <c r="V412" s="52"/>
      <c r="W412" s="52"/>
      <c r="X412" s="52"/>
      <c r="Y412" s="52"/>
      <c r="Z412" s="52"/>
      <c r="AA412" s="52"/>
      <c r="AB412" s="53"/>
    </row>
    <row r="413">
      <c r="A413" s="52"/>
      <c r="B413" s="52"/>
      <c r="C413" s="52"/>
      <c r="D413" s="52"/>
      <c r="E413" s="52"/>
      <c r="F413" s="52"/>
      <c r="G413" s="52"/>
      <c r="H413" s="52"/>
      <c r="I413" s="52"/>
      <c r="J413" s="52"/>
      <c r="K413" s="52"/>
      <c r="L413" s="52"/>
      <c r="M413" s="52"/>
      <c r="N413" s="52"/>
      <c r="O413" s="52"/>
      <c r="P413" s="61"/>
      <c r="Q413" s="61"/>
      <c r="R413" s="205"/>
      <c r="S413" s="52"/>
      <c r="T413" s="52"/>
      <c r="U413" s="52"/>
      <c r="V413" s="52"/>
      <c r="W413" s="52"/>
      <c r="X413" s="52"/>
      <c r="Y413" s="52"/>
      <c r="Z413" s="52"/>
      <c r="AA413" s="52"/>
      <c r="AB413" s="53"/>
    </row>
    <row r="414">
      <c r="A414" s="52"/>
      <c r="B414" s="52"/>
      <c r="C414" s="52"/>
      <c r="D414" s="52"/>
      <c r="E414" s="52"/>
      <c r="F414" s="52"/>
      <c r="G414" s="52"/>
      <c r="H414" s="52"/>
      <c r="I414" s="52"/>
      <c r="J414" s="52"/>
      <c r="K414" s="52"/>
      <c r="L414" s="52"/>
      <c r="M414" s="52"/>
      <c r="N414" s="52"/>
      <c r="O414" s="52"/>
      <c r="P414" s="61"/>
      <c r="Q414" s="61"/>
      <c r="R414" s="205"/>
      <c r="S414" s="52"/>
      <c r="T414" s="52"/>
      <c r="U414" s="52"/>
      <c r="V414" s="52"/>
      <c r="W414" s="52"/>
      <c r="X414" s="52"/>
      <c r="Y414" s="52"/>
      <c r="Z414" s="52"/>
      <c r="AA414" s="52"/>
      <c r="AB414" s="53"/>
    </row>
    <row r="415">
      <c r="A415" s="52"/>
      <c r="B415" s="52"/>
      <c r="C415" s="52"/>
      <c r="D415" s="52"/>
      <c r="E415" s="52"/>
      <c r="F415" s="52"/>
      <c r="G415" s="52"/>
      <c r="H415" s="52"/>
      <c r="I415" s="52"/>
      <c r="J415" s="52"/>
      <c r="K415" s="52"/>
      <c r="L415" s="52"/>
      <c r="M415" s="52"/>
      <c r="N415" s="52"/>
      <c r="O415" s="52"/>
      <c r="P415" s="61"/>
      <c r="Q415" s="61"/>
      <c r="R415" s="205"/>
      <c r="S415" s="52"/>
      <c r="T415" s="52"/>
      <c r="U415" s="52"/>
      <c r="V415" s="52"/>
      <c r="W415" s="52"/>
      <c r="X415" s="52"/>
      <c r="Y415" s="52"/>
      <c r="Z415" s="52"/>
      <c r="AA415" s="52"/>
      <c r="AB415" s="53"/>
    </row>
    <row r="416">
      <c r="A416" s="52"/>
      <c r="B416" s="52"/>
      <c r="C416" s="52"/>
      <c r="D416" s="52"/>
      <c r="E416" s="52"/>
      <c r="F416" s="52"/>
      <c r="G416" s="52"/>
      <c r="H416" s="52"/>
      <c r="I416" s="52"/>
      <c r="J416" s="52"/>
      <c r="K416" s="52"/>
      <c r="L416" s="52"/>
      <c r="M416" s="52"/>
      <c r="N416" s="52"/>
      <c r="O416" s="52"/>
      <c r="P416" s="61"/>
      <c r="Q416" s="61"/>
      <c r="R416" s="205"/>
      <c r="S416" s="52"/>
      <c r="T416" s="52"/>
      <c r="U416" s="52"/>
      <c r="V416" s="52"/>
      <c r="W416" s="52"/>
      <c r="X416" s="52"/>
      <c r="Y416" s="52"/>
      <c r="Z416" s="52"/>
      <c r="AA416" s="52"/>
      <c r="AB416" s="53"/>
    </row>
    <row r="417">
      <c r="A417" s="52"/>
      <c r="B417" s="52"/>
      <c r="C417" s="52"/>
      <c r="D417" s="52"/>
      <c r="E417" s="52"/>
      <c r="F417" s="52"/>
      <c r="G417" s="52"/>
      <c r="H417" s="52"/>
      <c r="I417" s="52"/>
      <c r="J417" s="52"/>
      <c r="K417" s="52"/>
      <c r="L417" s="52"/>
      <c r="M417" s="52"/>
      <c r="N417" s="52"/>
      <c r="O417" s="52"/>
      <c r="P417" s="61"/>
      <c r="Q417" s="61"/>
      <c r="R417" s="205"/>
      <c r="S417" s="52"/>
      <c r="T417" s="52"/>
      <c r="U417" s="52"/>
      <c r="V417" s="52"/>
      <c r="W417" s="52"/>
      <c r="X417" s="52"/>
      <c r="Y417" s="52"/>
      <c r="Z417" s="52"/>
      <c r="AA417" s="52"/>
      <c r="AB417" s="53"/>
    </row>
    <row r="418">
      <c r="A418" s="52"/>
      <c r="B418" s="52"/>
      <c r="C418" s="52"/>
      <c r="D418" s="52"/>
      <c r="E418" s="52"/>
      <c r="F418" s="52"/>
      <c r="G418" s="52"/>
      <c r="H418" s="52"/>
      <c r="I418" s="52"/>
      <c r="J418" s="52"/>
      <c r="K418" s="52"/>
      <c r="L418" s="52"/>
      <c r="M418" s="52"/>
      <c r="N418" s="52"/>
      <c r="O418" s="52"/>
      <c r="P418" s="61"/>
      <c r="Q418" s="61"/>
      <c r="R418" s="205"/>
      <c r="S418" s="52"/>
      <c r="T418" s="52"/>
      <c r="U418" s="52"/>
      <c r="V418" s="52"/>
      <c r="W418" s="52"/>
      <c r="X418" s="52"/>
      <c r="Y418" s="52"/>
      <c r="Z418" s="52"/>
      <c r="AA418" s="52"/>
      <c r="AB418" s="53"/>
    </row>
    <row r="419">
      <c r="A419" s="52"/>
      <c r="B419" s="52"/>
      <c r="C419" s="52"/>
      <c r="D419" s="52"/>
      <c r="E419" s="52"/>
      <c r="F419" s="52"/>
      <c r="G419" s="52"/>
      <c r="H419" s="52"/>
      <c r="I419" s="52"/>
      <c r="J419" s="52"/>
      <c r="K419" s="52"/>
      <c r="L419" s="52"/>
      <c r="M419" s="52"/>
      <c r="N419" s="52"/>
      <c r="O419" s="52"/>
      <c r="P419" s="61"/>
      <c r="Q419" s="61"/>
      <c r="R419" s="205"/>
      <c r="S419" s="52"/>
      <c r="T419" s="52"/>
      <c r="U419" s="52"/>
      <c r="V419" s="52"/>
      <c r="W419" s="52"/>
      <c r="X419" s="52"/>
      <c r="Y419" s="52"/>
      <c r="Z419" s="52"/>
      <c r="AA419" s="52"/>
      <c r="AB419" s="53"/>
    </row>
    <row r="420">
      <c r="A420" s="52"/>
      <c r="B420" s="52"/>
      <c r="C420" s="52"/>
      <c r="D420" s="52"/>
      <c r="E420" s="52"/>
      <c r="F420" s="52"/>
      <c r="G420" s="52"/>
      <c r="H420" s="52"/>
      <c r="I420" s="52"/>
      <c r="J420" s="52"/>
      <c r="K420" s="52"/>
      <c r="L420" s="52"/>
      <c r="M420" s="52"/>
      <c r="N420" s="52"/>
      <c r="O420" s="52"/>
      <c r="P420" s="61"/>
      <c r="Q420" s="61"/>
      <c r="R420" s="205"/>
      <c r="S420" s="52"/>
      <c r="T420" s="52"/>
      <c r="U420" s="52"/>
      <c r="V420" s="52"/>
      <c r="W420" s="52"/>
      <c r="X420" s="52"/>
      <c r="Y420" s="52"/>
      <c r="Z420" s="52"/>
      <c r="AA420" s="52"/>
      <c r="AB420" s="53"/>
    </row>
    <row r="421">
      <c r="A421" s="52"/>
      <c r="B421" s="52"/>
      <c r="C421" s="52"/>
      <c r="D421" s="52"/>
      <c r="E421" s="52"/>
      <c r="F421" s="52"/>
      <c r="G421" s="52"/>
      <c r="H421" s="52"/>
      <c r="I421" s="52"/>
      <c r="J421" s="52"/>
      <c r="K421" s="52"/>
      <c r="L421" s="52"/>
      <c r="M421" s="52"/>
      <c r="N421" s="52"/>
      <c r="O421" s="52"/>
      <c r="P421" s="61"/>
      <c r="Q421" s="61"/>
      <c r="R421" s="205"/>
      <c r="S421" s="52"/>
      <c r="T421" s="52"/>
      <c r="U421" s="52"/>
      <c r="V421" s="52"/>
      <c r="W421" s="52"/>
      <c r="X421" s="52"/>
      <c r="Y421" s="52"/>
      <c r="Z421" s="52"/>
      <c r="AA421" s="52"/>
      <c r="AB421" s="53"/>
    </row>
    <row r="422">
      <c r="A422" s="52"/>
      <c r="B422" s="52"/>
      <c r="C422" s="52"/>
      <c r="D422" s="52"/>
      <c r="E422" s="52"/>
      <c r="F422" s="52"/>
      <c r="G422" s="52"/>
      <c r="H422" s="52"/>
      <c r="I422" s="52"/>
      <c r="J422" s="52"/>
      <c r="K422" s="52"/>
      <c r="L422" s="52"/>
      <c r="M422" s="52"/>
      <c r="N422" s="52"/>
      <c r="O422" s="52"/>
      <c r="P422" s="61"/>
      <c r="Q422" s="61"/>
      <c r="R422" s="205"/>
      <c r="S422" s="52"/>
      <c r="T422" s="52"/>
      <c r="U422" s="52"/>
      <c r="V422" s="52"/>
      <c r="W422" s="52"/>
      <c r="X422" s="52"/>
      <c r="Y422" s="52"/>
      <c r="Z422" s="52"/>
      <c r="AA422" s="52"/>
      <c r="AB422" s="53"/>
    </row>
    <row r="423">
      <c r="A423" s="52"/>
      <c r="B423" s="52"/>
      <c r="C423" s="52"/>
      <c r="D423" s="52"/>
      <c r="E423" s="52"/>
      <c r="F423" s="52"/>
      <c r="G423" s="52"/>
      <c r="H423" s="52"/>
      <c r="I423" s="52"/>
      <c r="J423" s="52"/>
      <c r="K423" s="52"/>
      <c r="L423" s="52"/>
      <c r="M423" s="52"/>
      <c r="N423" s="52"/>
      <c r="O423" s="52"/>
      <c r="P423" s="61"/>
      <c r="Q423" s="61"/>
      <c r="R423" s="205"/>
      <c r="S423" s="52"/>
      <c r="T423" s="52"/>
      <c r="U423" s="52"/>
      <c r="V423" s="52"/>
      <c r="W423" s="52"/>
      <c r="X423" s="52"/>
      <c r="Y423" s="52"/>
      <c r="Z423" s="52"/>
      <c r="AA423" s="52"/>
      <c r="AB423" s="53"/>
    </row>
    <row r="424">
      <c r="A424" s="52"/>
      <c r="B424" s="52"/>
      <c r="C424" s="52"/>
      <c r="D424" s="52"/>
      <c r="E424" s="52"/>
      <c r="F424" s="52"/>
      <c r="G424" s="52"/>
      <c r="H424" s="52"/>
      <c r="I424" s="52"/>
      <c r="J424" s="52"/>
      <c r="K424" s="52"/>
      <c r="L424" s="52"/>
      <c r="M424" s="52"/>
      <c r="N424" s="52"/>
      <c r="O424" s="52"/>
      <c r="P424" s="61"/>
      <c r="Q424" s="61"/>
      <c r="R424" s="205"/>
      <c r="S424" s="52"/>
      <c r="T424" s="52"/>
      <c r="U424" s="52"/>
      <c r="V424" s="52"/>
      <c r="W424" s="52"/>
      <c r="X424" s="52"/>
      <c r="Y424" s="52"/>
      <c r="Z424" s="52"/>
      <c r="AA424" s="52"/>
      <c r="AB424" s="53"/>
    </row>
    <row r="425">
      <c r="A425" s="52"/>
      <c r="B425" s="52"/>
      <c r="C425" s="52"/>
      <c r="D425" s="52"/>
      <c r="E425" s="52"/>
      <c r="F425" s="52"/>
      <c r="G425" s="52"/>
      <c r="H425" s="52"/>
      <c r="I425" s="52"/>
      <c r="J425" s="52"/>
      <c r="K425" s="52"/>
      <c r="L425" s="52"/>
      <c r="M425" s="52"/>
      <c r="N425" s="52"/>
      <c r="O425" s="52"/>
      <c r="P425" s="61"/>
      <c r="Q425" s="61"/>
      <c r="R425" s="205"/>
      <c r="S425" s="52"/>
      <c r="T425" s="52"/>
      <c r="U425" s="52"/>
      <c r="V425" s="52"/>
      <c r="W425" s="52"/>
      <c r="X425" s="52"/>
      <c r="Y425" s="52"/>
      <c r="Z425" s="52"/>
      <c r="AA425" s="52"/>
      <c r="AB425" s="53"/>
    </row>
    <row r="426">
      <c r="A426" s="52"/>
      <c r="B426" s="52"/>
      <c r="C426" s="52"/>
      <c r="D426" s="52"/>
      <c r="E426" s="52"/>
      <c r="F426" s="52"/>
      <c r="G426" s="52"/>
      <c r="H426" s="52"/>
      <c r="I426" s="52"/>
      <c r="J426" s="52"/>
      <c r="K426" s="52"/>
      <c r="L426" s="52"/>
      <c r="M426" s="52"/>
      <c r="N426" s="52"/>
      <c r="O426" s="52"/>
      <c r="P426" s="61"/>
      <c r="Q426" s="61"/>
      <c r="R426" s="205"/>
      <c r="S426" s="52"/>
      <c r="T426" s="52"/>
      <c r="U426" s="52"/>
      <c r="V426" s="52"/>
      <c r="W426" s="52"/>
      <c r="X426" s="52"/>
      <c r="Y426" s="52"/>
      <c r="Z426" s="52"/>
      <c r="AA426" s="52"/>
      <c r="AB426" s="53"/>
    </row>
    <row r="427">
      <c r="A427" s="52"/>
      <c r="B427" s="52"/>
      <c r="C427" s="52"/>
      <c r="D427" s="52"/>
      <c r="E427" s="52"/>
      <c r="F427" s="52"/>
      <c r="G427" s="52"/>
      <c r="H427" s="52"/>
      <c r="I427" s="52"/>
      <c r="J427" s="52"/>
      <c r="K427" s="52"/>
      <c r="L427" s="52"/>
      <c r="M427" s="52"/>
      <c r="N427" s="52"/>
      <c r="O427" s="52"/>
      <c r="P427" s="61"/>
      <c r="Q427" s="61"/>
      <c r="R427" s="205"/>
      <c r="S427" s="52"/>
      <c r="T427" s="52"/>
      <c r="U427" s="52"/>
      <c r="V427" s="52"/>
      <c r="W427" s="52"/>
      <c r="X427" s="52"/>
      <c r="Y427" s="52"/>
      <c r="Z427" s="52"/>
      <c r="AA427" s="52"/>
      <c r="AB427" s="53"/>
    </row>
    <row r="428">
      <c r="A428" s="52"/>
      <c r="B428" s="52"/>
      <c r="C428" s="52"/>
      <c r="D428" s="52"/>
      <c r="E428" s="52"/>
      <c r="F428" s="52"/>
      <c r="G428" s="52"/>
      <c r="H428" s="52"/>
      <c r="I428" s="52"/>
      <c r="J428" s="52"/>
      <c r="K428" s="52"/>
      <c r="L428" s="52"/>
      <c r="M428" s="52"/>
      <c r="N428" s="52"/>
      <c r="O428" s="52"/>
      <c r="P428" s="61"/>
      <c r="Q428" s="61"/>
      <c r="R428" s="205"/>
      <c r="S428" s="52"/>
      <c r="T428" s="52"/>
      <c r="U428" s="52"/>
      <c r="V428" s="52"/>
      <c r="W428" s="52"/>
      <c r="X428" s="52"/>
      <c r="Y428" s="52"/>
      <c r="Z428" s="52"/>
      <c r="AA428" s="52"/>
      <c r="AB428" s="53"/>
    </row>
    <row r="429">
      <c r="A429" s="52"/>
      <c r="B429" s="52"/>
      <c r="C429" s="52"/>
      <c r="D429" s="52"/>
      <c r="E429" s="52"/>
      <c r="F429" s="52"/>
      <c r="G429" s="52"/>
      <c r="H429" s="52"/>
      <c r="I429" s="52"/>
      <c r="J429" s="52"/>
      <c r="K429" s="52"/>
      <c r="L429" s="52"/>
      <c r="M429" s="52"/>
      <c r="N429" s="52"/>
      <c r="O429" s="52"/>
      <c r="P429" s="61"/>
      <c r="Q429" s="61"/>
      <c r="R429" s="205"/>
      <c r="S429" s="52"/>
      <c r="T429" s="52"/>
      <c r="U429" s="52"/>
      <c r="V429" s="52"/>
      <c r="W429" s="52"/>
      <c r="X429" s="52"/>
      <c r="Y429" s="52"/>
      <c r="Z429" s="52"/>
      <c r="AA429" s="52"/>
      <c r="AB429" s="53"/>
    </row>
    <row r="430">
      <c r="A430" s="52"/>
      <c r="B430" s="52"/>
      <c r="C430" s="52"/>
      <c r="D430" s="52"/>
      <c r="E430" s="52"/>
      <c r="F430" s="52"/>
      <c r="G430" s="52"/>
      <c r="H430" s="52"/>
      <c r="I430" s="52"/>
      <c r="J430" s="52"/>
      <c r="K430" s="52"/>
      <c r="L430" s="52"/>
      <c r="M430" s="52"/>
      <c r="N430" s="52"/>
      <c r="O430" s="52"/>
      <c r="P430" s="61"/>
      <c r="Q430" s="61"/>
      <c r="R430" s="205"/>
      <c r="S430" s="52"/>
      <c r="T430" s="52"/>
      <c r="U430" s="52"/>
      <c r="V430" s="52"/>
      <c r="W430" s="52"/>
      <c r="X430" s="52"/>
      <c r="Y430" s="52"/>
      <c r="Z430" s="52"/>
      <c r="AA430" s="52"/>
      <c r="AB430" s="53"/>
    </row>
    <row r="431">
      <c r="A431" s="52"/>
      <c r="B431" s="52"/>
      <c r="C431" s="52"/>
      <c r="D431" s="52"/>
      <c r="E431" s="52"/>
      <c r="F431" s="52"/>
      <c r="G431" s="52"/>
      <c r="H431" s="52"/>
      <c r="I431" s="52"/>
      <c r="J431" s="52"/>
      <c r="K431" s="52"/>
      <c r="L431" s="52"/>
      <c r="M431" s="52"/>
      <c r="N431" s="52"/>
      <c r="O431" s="52"/>
      <c r="P431" s="61"/>
      <c r="Q431" s="61"/>
      <c r="R431" s="205"/>
      <c r="S431" s="52"/>
      <c r="T431" s="52"/>
      <c r="U431" s="52"/>
      <c r="V431" s="52"/>
      <c r="W431" s="52"/>
      <c r="X431" s="52"/>
      <c r="Y431" s="52"/>
      <c r="Z431" s="52"/>
      <c r="AA431" s="52"/>
      <c r="AB431" s="53"/>
    </row>
    <row r="432">
      <c r="A432" s="52"/>
      <c r="B432" s="52"/>
      <c r="C432" s="52"/>
      <c r="D432" s="52"/>
      <c r="E432" s="52"/>
      <c r="F432" s="52"/>
      <c r="G432" s="52"/>
      <c r="H432" s="52"/>
      <c r="I432" s="52"/>
      <c r="J432" s="52"/>
      <c r="K432" s="52"/>
      <c r="L432" s="52"/>
      <c r="M432" s="52"/>
      <c r="N432" s="52"/>
      <c r="O432" s="52"/>
      <c r="P432" s="61"/>
      <c r="Q432" s="61"/>
      <c r="R432" s="205"/>
      <c r="S432" s="52"/>
      <c r="T432" s="52"/>
      <c r="U432" s="52"/>
      <c r="V432" s="52"/>
      <c r="W432" s="52"/>
      <c r="X432" s="52"/>
      <c r="Y432" s="52"/>
      <c r="Z432" s="52"/>
      <c r="AA432" s="52"/>
      <c r="AB432" s="53"/>
    </row>
    <row r="433">
      <c r="A433" s="52"/>
      <c r="B433" s="52"/>
      <c r="C433" s="52"/>
      <c r="D433" s="52"/>
      <c r="E433" s="52"/>
      <c r="F433" s="52"/>
      <c r="G433" s="52"/>
      <c r="H433" s="52"/>
      <c r="I433" s="52"/>
      <c r="J433" s="52"/>
      <c r="K433" s="52"/>
      <c r="L433" s="52"/>
      <c r="M433" s="52"/>
      <c r="N433" s="52"/>
      <c r="O433" s="52"/>
      <c r="P433" s="61"/>
      <c r="Q433" s="61"/>
      <c r="R433" s="205"/>
      <c r="S433" s="52"/>
      <c r="T433" s="52"/>
      <c r="U433" s="52"/>
      <c r="V433" s="52"/>
      <c r="W433" s="52"/>
      <c r="X433" s="52"/>
      <c r="Y433" s="52"/>
      <c r="Z433" s="52"/>
      <c r="AA433" s="52"/>
      <c r="AB433" s="53"/>
    </row>
    <row r="434">
      <c r="A434" s="52"/>
      <c r="B434" s="52"/>
      <c r="C434" s="52"/>
      <c r="D434" s="52"/>
      <c r="E434" s="52"/>
      <c r="F434" s="52"/>
      <c r="G434" s="52"/>
      <c r="H434" s="52"/>
      <c r="I434" s="52"/>
      <c r="J434" s="52"/>
      <c r="K434" s="52"/>
      <c r="L434" s="52"/>
      <c r="M434" s="52"/>
      <c r="N434" s="52"/>
      <c r="O434" s="52"/>
      <c r="P434" s="61"/>
      <c r="Q434" s="61"/>
      <c r="R434" s="205"/>
      <c r="S434" s="52"/>
      <c r="T434" s="52"/>
      <c r="U434" s="52"/>
      <c r="V434" s="52"/>
      <c r="W434" s="52"/>
      <c r="X434" s="52"/>
      <c r="Y434" s="52"/>
      <c r="Z434" s="52"/>
      <c r="AA434" s="52"/>
      <c r="AB434" s="53"/>
    </row>
    <row r="435">
      <c r="A435" s="52"/>
      <c r="B435" s="52"/>
      <c r="C435" s="52"/>
      <c r="D435" s="52"/>
      <c r="E435" s="52"/>
      <c r="F435" s="52"/>
      <c r="G435" s="52"/>
      <c r="H435" s="52"/>
      <c r="I435" s="52"/>
      <c r="J435" s="52"/>
      <c r="K435" s="52"/>
      <c r="L435" s="52"/>
      <c r="M435" s="52"/>
      <c r="N435" s="52"/>
      <c r="O435" s="52"/>
      <c r="P435" s="61"/>
      <c r="Q435" s="61"/>
      <c r="R435" s="205"/>
      <c r="S435" s="52"/>
      <c r="T435" s="52"/>
      <c r="U435" s="52"/>
      <c r="V435" s="52"/>
      <c r="W435" s="52"/>
      <c r="X435" s="52"/>
      <c r="Y435" s="52"/>
      <c r="Z435" s="52"/>
      <c r="AA435" s="52"/>
      <c r="AB435" s="53"/>
    </row>
    <row r="436">
      <c r="A436" s="52"/>
      <c r="B436" s="52"/>
      <c r="C436" s="52"/>
      <c r="D436" s="52"/>
      <c r="E436" s="52"/>
      <c r="F436" s="52"/>
      <c r="G436" s="52"/>
      <c r="H436" s="52"/>
      <c r="I436" s="52"/>
      <c r="J436" s="52"/>
      <c r="K436" s="52"/>
      <c r="L436" s="52"/>
      <c r="M436" s="52"/>
      <c r="N436" s="52"/>
      <c r="O436" s="52"/>
      <c r="P436" s="61"/>
      <c r="Q436" s="61"/>
      <c r="R436" s="205"/>
      <c r="S436" s="52"/>
      <c r="T436" s="52"/>
      <c r="U436" s="52"/>
      <c r="V436" s="52"/>
      <c r="W436" s="52"/>
      <c r="X436" s="52"/>
      <c r="Y436" s="52"/>
      <c r="Z436" s="52"/>
      <c r="AA436" s="52"/>
      <c r="AB436" s="53"/>
    </row>
    <row r="437">
      <c r="A437" s="52"/>
      <c r="B437" s="52"/>
      <c r="C437" s="52"/>
      <c r="D437" s="52"/>
      <c r="E437" s="52"/>
      <c r="F437" s="52"/>
      <c r="G437" s="52"/>
      <c r="H437" s="52"/>
      <c r="I437" s="52"/>
      <c r="J437" s="52"/>
      <c r="K437" s="52"/>
      <c r="L437" s="52"/>
      <c r="M437" s="52"/>
      <c r="N437" s="52"/>
      <c r="O437" s="52"/>
      <c r="P437" s="61"/>
      <c r="Q437" s="61"/>
      <c r="R437" s="205"/>
      <c r="S437" s="52"/>
      <c r="T437" s="52"/>
      <c r="U437" s="52"/>
      <c r="V437" s="52"/>
      <c r="W437" s="52"/>
      <c r="X437" s="52"/>
      <c r="Y437" s="52"/>
      <c r="Z437" s="52"/>
      <c r="AA437" s="52"/>
      <c r="AB437" s="53"/>
    </row>
    <row r="438">
      <c r="A438" s="52"/>
      <c r="B438" s="52"/>
      <c r="C438" s="52"/>
      <c r="D438" s="52"/>
      <c r="E438" s="52"/>
      <c r="F438" s="52"/>
      <c r="G438" s="52"/>
      <c r="H438" s="52"/>
      <c r="I438" s="52"/>
      <c r="J438" s="52"/>
      <c r="K438" s="52"/>
      <c r="L438" s="52"/>
      <c r="M438" s="52"/>
      <c r="N438" s="52"/>
      <c r="O438" s="52"/>
      <c r="P438" s="61"/>
      <c r="Q438" s="61"/>
      <c r="R438" s="205"/>
      <c r="S438" s="52"/>
      <c r="T438" s="52"/>
      <c r="U438" s="52"/>
      <c r="V438" s="52"/>
      <c r="W438" s="52"/>
      <c r="X438" s="52"/>
      <c r="Y438" s="52"/>
      <c r="Z438" s="52"/>
      <c r="AA438" s="52"/>
      <c r="AB438" s="53"/>
    </row>
    <row r="439">
      <c r="A439" s="52"/>
      <c r="B439" s="52"/>
      <c r="C439" s="52"/>
      <c r="D439" s="52"/>
      <c r="E439" s="52"/>
      <c r="F439" s="52"/>
      <c r="G439" s="52"/>
      <c r="H439" s="52"/>
      <c r="I439" s="52"/>
      <c r="J439" s="52"/>
      <c r="K439" s="52"/>
      <c r="L439" s="52"/>
      <c r="M439" s="52"/>
      <c r="N439" s="52"/>
      <c r="O439" s="52"/>
      <c r="P439" s="61"/>
      <c r="Q439" s="61"/>
      <c r="R439" s="205"/>
      <c r="S439" s="52"/>
      <c r="T439" s="52"/>
      <c r="U439" s="52"/>
      <c r="V439" s="52"/>
      <c r="W439" s="52"/>
      <c r="X439" s="52"/>
      <c r="Y439" s="52"/>
      <c r="Z439" s="52"/>
      <c r="AA439" s="52"/>
      <c r="AB439" s="53"/>
    </row>
    <row r="440">
      <c r="A440" s="52"/>
      <c r="B440" s="52"/>
      <c r="C440" s="52"/>
      <c r="D440" s="52"/>
      <c r="E440" s="52"/>
      <c r="F440" s="52"/>
      <c r="G440" s="52"/>
      <c r="H440" s="52"/>
      <c r="I440" s="52"/>
      <c r="J440" s="52"/>
      <c r="K440" s="52"/>
      <c r="L440" s="52"/>
      <c r="M440" s="52"/>
      <c r="N440" s="52"/>
      <c r="O440" s="52"/>
      <c r="P440" s="61"/>
      <c r="Q440" s="61"/>
      <c r="R440" s="205"/>
      <c r="S440" s="52"/>
      <c r="T440" s="52"/>
      <c r="U440" s="52"/>
      <c r="V440" s="52"/>
      <c r="W440" s="52"/>
      <c r="X440" s="52"/>
      <c r="Y440" s="52"/>
      <c r="Z440" s="52"/>
      <c r="AA440" s="52"/>
      <c r="AB440" s="53"/>
    </row>
    <row r="441">
      <c r="A441" s="52"/>
      <c r="B441" s="52"/>
      <c r="C441" s="52"/>
      <c r="D441" s="52"/>
      <c r="E441" s="52"/>
      <c r="F441" s="52"/>
      <c r="G441" s="52"/>
      <c r="H441" s="52"/>
      <c r="I441" s="52"/>
      <c r="J441" s="52"/>
      <c r="K441" s="52"/>
      <c r="L441" s="52"/>
      <c r="M441" s="52"/>
      <c r="N441" s="52"/>
      <c r="O441" s="52"/>
      <c r="P441" s="61"/>
      <c r="Q441" s="61"/>
      <c r="R441" s="205"/>
      <c r="S441" s="52"/>
      <c r="T441" s="52"/>
      <c r="U441" s="52"/>
      <c r="V441" s="52"/>
      <c r="W441" s="52"/>
      <c r="X441" s="52"/>
      <c r="Y441" s="52"/>
      <c r="Z441" s="52"/>
      <c r="AA441" s="52"/>
      <c r="AB441" s="53"/>
    </row>
    <row r="442">
      <c r="A442" s="52"/>
      <c r="B442" s="52"/>
      <c r="C442" s="52"/>
      <c r="D442" s="52"/>
      <c r="E442" s="52"/>
      <c r="F442" s="52"/>
      <c r="G442" s="52"/>
      <c r="H442" s="52"/>
      <c r="I442" s="52"/>
      <c r="J442" s="52"/>
      <c r="K442" s="52"/>
      <c r="L442" s="52"/>
      <c r="M442" s="52"/>
      <c r="N442" s="52"/>
      <c r="O442" s="52"/>
      <c r="P442" s="61"/>
      <c r="Q442" s="61"/>
      <c r="R442" s="205"/>
      <c r="S442" s="52"/>
      <c r="T442" s="52"/>
      <c r="U442" s="52"/>
      <c r="V442" s="52"/>
      <c r="W442" s="52"/>
      <c r="X442" s="52"/>
      <c r="Y442" s="52"/>
      <c r="Z442" s="52"/>
      <c r="AA442" s="52"/>
      <c r="AB442" s="53"/>
    </row>
    <row r="443">
      <c r="A443" s="52"/>
      <c r="B443" s="52"/>
      <c r="C443" s="52"/>
      <c r="D443" s="52"/>
      <c r="E443" s="52"/>
      <c r="F443" s="52"/>
      <c r="G443" s="52"/>
      <c r="H443" s="52"/>
      <c r="I443" s="52"/>
      <c r="J443" s="52"/>
      <c r="K443" s="52"/>
      <c r="L443" s="52"/>
      <c r="M443" s="52"/>
      <c r="N443" s="52"/>
      <c r="O443" s="52"/>
      <c r="P443" s="61"/>
      <c r="Q443" s="61"/>
      <c r="R443" s="205"/>
      <c r="S443" s="52"/>
      <c r="T443" s="52"/>
      <c r="U443" s="52"/>
      <c r="V443" s="52"/>
      <c r="W443" s="52"/>
      <c r="X443" s="52"/>
      <c r="Y443" s="52"/>
      <c r="Z443" s="52"/>
      <c r="AA443" s="52"/>
      <c r="AB443" s="53"/>
    </row>
    <row r="444">
      <c r="A444" s="52"/>
      <c r="B444" s="52"/>
      <c r="C444" s="52"/>
      <c r="D444" s="52"/>
      <c r="E444" s="52"/>
      <c r="F444" s="52"/>
      <c r="G444" s="52"/>
      <c r="H444" s="52"/>
      <c r="I444" s="52"/>
      <c r="J444" s="52"/>
      <c r="K444" s="52"/>
      <c r="L444" s="52"/>
      <c r="M444" s="52"/>
      <c r="N444" s="52"/>
      <c r="O444" s="52"/>
      <c r="P444" s="61"/>
      <c r="Q444" s="61"/>
      <c r="R444" s="205"/>
      <c r="S444" s="52"/>
      <c r="T444" s="52"/>
      <c r="U444" s="52"/>
      <c r="V444" s="52"/>
      <c r="W444" s="52"/>
      <c r="X444" s="52"/>
      <c r="Y444" s="52"/>
      <c r="Z444" s="52"/>
      <c r="AA444" s="52"/>
      <c r="AB444" s="53"/>
    </row>
    <row r="445">
      <c r="A445" s="52"/>
      <c r="B445" s="52"/>
      <c r="C445" s="52"/>
      <c r="D445" s="52"/>
      <c r="E445" s="52"/>
      <c r="F445" s="52"/>
      <c r="G445" s="52"/>
      <c r="H445" s="52"/>
      <c r="I445" s="52"/>
      <c r="J445" s="52"/>
      <c r="K445" s="52"/>
      <c r="L445" s="52"/>
      <c r="M445" s="52"/>
      <c r="N445" s="52"/>
      <c r="O445" s="52"/>
      <c r="P445" s="61"/>
      <c r="Q445" s="61"/>
      <c r="R445" s="205"/>
      <c r="S445" s="52"/>
      <c r="T445" s="52"/>
      <c r="U445" s="52"/>
      <c r="V445" s="52"/>
      <c r="W445" s="52"/>
      <c r="X445" s="52"/>
      <c r="Y445" s="52"/>
      <c r="Z445" s="52"/>
      <c r="AA445" s="52"/>
      <c r="AB445" s="53"/>
    </row>
    <row r="446">
      <c r="A446" s="52"/>
      <c r="B446" s="52"/>
      <c r="C446" s="52"/>
      <c r="D446" s="52"/>
      <c r="E446" s="52"/>
      <c r="F446" s="52"/>
      <c r="G446" s="52"/>
      <c r="H446" s="52"/>
      <c r="I446" s="52"/>
      <c r="J446" s="52"/>
      <c r="K446" s="52"/>
      <c r="L446" s="52"/>
      <c r="M446" s="52"/>
      <c r="N446" s="52"/>
      <c r="O446" s="52"/>
      <c r="P446" s="61"/>
      <c r="Q446" s="61"/>
      <c r="R446" s="205"/>
      <c r="S446" s="52"/>
      <c r="T446" s="52"/>
      <c r="U446" s="52"/>
      <c r="V446" s="52"/>
      <c r="W446" s="52"/>
      <c r="X446" s="52"/>
      <c r="Y446" s="52"/>
      <c r="Z446" s="52"/>
      <c r="AA446" s="52"/>
      <c r="AB446" s="53"/>
    </row>
    <row r="447">
      <c r="A447" s="52"/>
      <c r="B447" s="52"/>
      <c r="C447" s="52"/>
      <c r="D447" s="52"/>
      <c r="E447" s="52"/>
      <c r="F447" s="52"/>
      <c r="G447" s="52"/>
      <c r="H447" s="52"/>
      <c r="I447" s="52"/>
      <c r="J447" s="52"/>
      <c r="K447" s="52"/>
      <c r="L447" s="52"/>
      <c r="M447" s="52"/>
      <c r="N447" s="52"/>
      <c r="O447" s="52"/>
      <c r="P447" s="61"/>
      <c r="Q447" s="61"/>
      <c r="R447" s="205"/>
      <c r="S447" s="52"/>
      <c r="T447" s="52"/>
      <c r="U447" s="52"/>
      <c r="V447" s="52"/>
      <c r="W447" s="52"/>
      <c r="X447" s="52"/>
      <c r="Y447" s="52"/>
      <c r="Z447" s="52"/>
      <c r="AA447" s="52"/>
      <c r="AB447" s="53"/>
    </row>
    <row r="448">
      <c r="A448" s="52"/>
      <c r="B448" s="52"/>
      <c r="C448" s="52"/>
      <c r="D448" s="52"/>
      <c r="E448" s="52"/>
      <c r="F448" s="52"/>
      <c r="G448" s="52"/>
      <c r="H448" s="52"/>
      <c r="I448" s="52"/>
      <c r="J448" s="52"/>
      <c r="K448" s="52"/>
      <c r="L448" s="52"/>
      <c r="M448" s="52"/>
      <c r="N448" s="52"/>
      <c r="O448" s="52"/>
      <c r="P448" s="61"/>
      <c r="Q448" s="61"/>
      <c r="R448" s="205"/>
      <c r="S448" s="52"/>
      <c r="T448" s="52"/>
      <c r="U448" s="52"/>
      <c r="V448" s="52"/>
      <c r="W448" s="52"/>
      <c r="X448" s="52"/>
      <c r="Y448" s="52"/>
      <c r="Z448" s="52"/>
      <c r="AA448" s="52"/>
      <c r="AB448" s="53"/>
    </row>
    <row r="449">
      <c r="A449" s="52"/>
      <c r="B449" s="52"/>
      <c r="C449" s="52"/>
      <c r="D449" s="52"/>
      <c r="E449" s="52"/>
      <c r="F449" s="52"/>
      <c r="G449" s="52"/>
      <c r="H449" s="52"/>
      <c r="I449" s="52"/>
      <c r="J449" s="52"/>
      <c r="K449" s="52"/>
      <c r="L449" s="52"/>
      <c r="M449" s="52"/>
      <c r="N449" s="52"/>
      <c r="O449" s="52"/>
      <c r="P449" s="61"/>
      <c r="Q449" s="61"/>
      <c r="R449" s="205"/>
      <c r="S449" s="52"/>
      <c r="T449" s="52"/>
      <c r="U449" s="52"/>
      <c r="V449" s="52"/>
      <c r="W449" s="52"/>
      <c r="X449" s="52"/>
      <c r="Y449" s="52"/>
      <c r="Z449" s="52"/>
      <c r="AA449" s="52"/>
      <c r="AB449" s="53"/>
    </row>
    <row r="450">
      <c r="A450" s="52"/>
      <c r="B450" s="52"/>
      <c r="C450" s="52"/>
      <c r="D450" s="52"/>
      <c r="E450" s="52"/>
      <c r="F450" s="52"/>
      <c r="G450" s="52"/>
      <c r="H450" s="52"/>
      <c r="I450" s="52"/>
      <c r="J450" s="52"/>
      <c r="K450" s="52"/>
      <c r="L450" s="52"/>
      <c r="M450" s="52"/>
      <c r="N450" s="52"/>
      <c r="O450" s="52"/>
      <c r="P450" s="61"/>
      <c r="Q450" s="61"/>
      <c r="R450" s="205"/>
      <c r="S450" s="52"/>
      <c r="T450" s="52"/>
      <c r="U450" s="52"/>
      <c r="V450" s="52"/>
      <c r="W450" s="52"/>
      <c r="X450" s="52"/>
      <c r="Y450" s="52"/>
      <c r="Z450" s="52"/>
      <c r="AA450" s="52"/>
      <c r="AB450" s="53"/>
    </row>
    <row r="451">
      <c r="A451" s="52"/>
      <c r="B451" s="52"/>
      <c r="C451" s="52"/>
      <c r="D451" s="52"/>
      <c r="E451" s="52"/>
      <c r="F451" s="52"/>
      <c r="G451" s="52"/>
      <c r="H451" s="52"/>
      <c r="I451" s="52"/>
      <c r="J451" s="52"/>
      <c r="K451" s="52"/>
      <c r="L451" s="52"/>
      <c r="M451" s="52"/>
      <c r="N451" s="52"/>
      <c r="O451" s="52"/>
      <c r="P451" s="61"/>
      <c r="Q451" s="61"/>
      <c r="R451" s="205"/>
      <c r="S451" s="52"/>
      <c r="T451" s="52"/>
      <c r="U451" s="52"/>
      <c r="V451" s="52"/>
      <c r="W451" s="52"/>
      <c r="X451" s="52"/>
      <c r="Y451" s="52"/>
      <c r="Z451" s="52"/>
      <c r="AA451" s="52"/>
      <c r="AB451" s="53"/>
    </row>
    <row r="452">
      <c r="A452" s="52"/>
      <c r="B452" s="52"/>
      <c r="C452" s="52"/>
      <c r="D452" s="52"/>
      <c r="E452" s="52"/>
      <c r="F452" s="52"/>
      <c r="G452" s="52"/>
      <c r="H452" s="52"/>
      <c r="I452" s="52"/>
      <c r="J452" s="52"/>
      <c r="K452" s="52"/>
      <c r="L452" s="52"/>
      <c r="M452" s="52"/>
      <c r="N452" s="52"/>
      <c r="O452" s="52"/>
      <c r="P452" s="61"/>
      <c r="Q452" s="61"/>
      <c r="R452" s="205"/>
      <c r="S452" s="52"/>
      <c r="T452" s="52"/>
      <c r="U452" s="52"/>
      <c r="V452" s="52"/>
      <c r="W452" s="52"/>
      <c r="X452" s="52"/>
      <c r="Y452" s="52"/>
      <c r="Z452" s="52"/>
      <c r="AA452" s="52"/>
      <c r="AB452" s="53"/>
    </row>
    <row r="453">
      <c r="A453" s="52"/>
      <c r="B453" s="52"/>
      <c r="C453" s="52"/>
      <c r="D453" s="52"/>
      <c r="E453" s="52"/>
      <c r="F453" s="52"/>
      <c r="G453" s="52"/>
      <c r="H453" s="52"/>
      <c r="I453" s="52"/>
      <c r="J453" s="52"/>
      <c r="K453" s="52"/>
      <c r="L453" s="52"/>
      <c r="M453" s="52"/>
      <c r="N453" s="52"/>
      <c r="O453" s="52"/>
      <c r="P453" s="61"/>
      <c r="Q453" s="61"/>
      <c r="R453" s="205"/>
      <c r="S453" s="52"/>
      <c r="T453" s="52"/>
      <c r="U453" s="52"/>
      <c r="V453" s="52"/>
      <c r="W453" s="52"/>
      <c r="X453" s="52"/>
      <c r="Y453" s="52"/>
      <c r="Z453" s="52"/>
      <c r="AA453" s="52"/>
      <c r="AB453" s="53"/>
    </row>
    <row r="454">
      <c r="A454" s="52"/>
      <c r="B454" s="52"/>
      <c r="C454" s="52"/>
      <c r="D454" s="52"/>
      <c r="E454" s="52"/>
      <c r="F454" s="52"/>
      <c r="G454" s="52"/>
      <c r="H454" s="52"/>
      <c r="I454" s="52"/>
      <c r="J454" s="52"/>
      <c r="K454" s="52"/>
      <c r="L454" s="52"/>
      <c r="M454" s="52"/>
      <c r="N454" s="52"/>
      <c r="O454" s="52"/>
      <c r="P454" s="61"/>
      <c r="Q454" s="61"/>
      <c r="R454" s="205"/>
      <c r="S454" s="52"/>
      <c r="T454" s="52"/>
      <c r="U454" s="52"/>
      <c r="V454" s="52"/>
      <c r="W454" s="52"/>
      <c r="X454" s="52"/>
      <c r="Y454" s="52"/>
      <c r="Z454" s="52"/>
      <c r="AA454" s="52"/>
      <c r="AB454" s="53"/>
    </row>
    <row r="455">
      <c r="A455" s="52"/>
      <c r="B455" s="52"/>
      <c r="C455" s="52"/>
      <c r="D455" s="52"/>
      <c r="E455" s="52"/>
      <c r="F455" s="52"/>
      <c r="G455" s="52"/>
      <c r="H455" s="52"/>
      <c r="I455" s="52"/>
      <c r="J455" s="52"/>
      <c r="K455" s="52"/>
      <c r="L455" s="52"/>
      <c r="M455" s="52"/>
      <c r="N455" s="52"/>
      <c r="O455" s="52"/>
      <c r="P455" s="61"/>
      <c r="Q455" s="61"/>
      <c r="R455" s="205"/>
      <c r="S455" s="52"/>
      <c r="T455" s="52"/>
      <c r="U455" s="52"/>
      <c r="V455" s="52"/>
      <c r="W455" s="52"/>
      <c r="X455" s="52"/>
      <c r="Y455" s="52"/>
      <c r="Z455" s="52"/>
      <c r="AA455" s="52"/>
      <c r="AB455" s="53"/>
    </row>
    <row r="456">
      <c r="A456" s="52"/>
      <c r="B456" s="52"/>
      <c r="C456" s="52"/>
      <c r="D456" s="52"/>
      <c r="E456" s="52"/>
      <c r="F456" s="52"/>
      <c r="G456" s="52"/>
      <c r="H456" s="52"/>
      <c r="I456" s="52"/>
      <c r="J456" s="52"/>
      <c r="K456" s="52"/>
      <c r="L456" s="52"/>
      <c r="M456" s="52"/>
      <c r="N456" s="52"/>
      <c r="O456" s="52"/>
      <c r="P456" s="61"/>
      <c r="Q456" s="61"/>
      <c r="R456" s="205"/>
      <c r="S456" s="52"/>
      <c r="T456" s="52"/>
      <c r="U456" s="52"/>
      <c r="V456" s="52"/>
      <c r="W456" s="52"/>
      <c r="X456" s="52"/>
      <c r="Y456" s="52"/>
      <c r="Z456" s="52"/>
      <c r="AA456" s="52"/>
      <c r="AB456" s="53"/>
    </row>
    <row r="457">
      <c r="A457" s="52"/>
      <c r="B457" s="52"/>
      <c r="C457" s="52"/>
      <c r="D457" s="52"/>
      <c r="E457" s="52"/>
      <c r="F457" s="52"/>
      <c r="G457" s="52"/>
      <c r="H457" s="52"/>
      <c r="I457" s="52"/>
      <c r="J457" s="52"/>
      <c r="K457" s="52"/>
      <c r="L457" s="52"/>
      <c r="M457" s="52"/>
      <c r="N457" s="52"/>
      <c r="O457" s="52"/>
      <c r="P457" s="61"/>
      <c r="Q457" s="61"/>
      <c r="R457" s="205"/>
      <c r="S457" s="52"/>
      <c r="T457" s="52"/>
      <c r="U457" s="52"/>
      <c r="V457" s="52"/>
      <c r="W457" s="52"/>
      <c r="X457" s="52"/>
      <c r="Y457" s="52"/>
      <c r="Z457" s="52"/>
      <c r="AA457" s="52"/>
      <c r="AB457" s="53"/>
    </row>
    <row r="458">
      <c r="A458" s="52"/>
      <c r="B458" s="52"/>
      <c r="C458" s="52"/>
      <c r="D458" s="52"/>
      <c r="E458" s="52"/>
      <c r="F458" s="52"/>
      <c r="G458" s="52"/>
      <c r="H458" s="52"/>
      <c r="I458" s="52"/>
      <c r="J458" s="52"/>
      <c r="K458" s="52"/>
      <c r="L458" s="52"/>
      <c r="M458" s="52"/>
      <c r="N458" s="52"/>
      <c r="O458" s="52"/>
      <c r="P458" s="61"/>
      <c r="Q458" s="61"/>
      <c r="R458" s="205"/>
      <c r="S458" s="52"/>
      <c r="T458" s="52"/>
      <c r="U458" s="52"/>
      <c r="V458" s="52"/>
      <c r="W458" s="52"/>
      <c r="X458" s="52"/>
      <c r="Y458" s="52"/>
      <c r="Z458" s="52"/>
      <c r="AA458" s="52"/>
      <c r="AB458" s="53"/>
    </row>
    <row r="459">
      <c r="A459" s="52"/>
      <c r="B459" s="52"/>
      <c r="C459" s="52"/>
      <c r="D459" s="52"/>
      <c r="E459" s="52"/>
      <c r="F459" s="52"/>
      <c r="G459" s="52"/>
      <c r="H459" s="52"/>
      <c r="I459" s="52"/>
      <c r="J459" s="52"/>
      <c r="K459" s="52"/>
      <c r="L459" s="52"/>
      <c r="M459" s="52"/>
      <c r="N459" s="52"/>
      <c r="O459" s="52"/>
      <c r="P459" s="61"/>
      <c r="Q459" s="61"/>
      <c r="R459" s="205"/>
      <c r="S459" s="52"/>
      <c r="T459" s="52"/>
      <c r="U459" s="52"/>
      <c r="V459" s="52"/>
      <c r="W459" s="52"/>
      <c r="X459" s="52"/>
      <c r="Y459" s="52"/>
      <c r="Z459" s="52"/>
      <c r="AA459" s="52"/>
      <c r="AB459" s="53"/>
    </row>
    <row r="460">
      <c r="A460" s="52"/>
      <c r="B460" s="52"/>
      <c r="C460" s="52"/>
      <c r="D460" s="52"/>
      <c r="E460" s="52"/>
      <c r="F460" s="52"/>
      <c r="G460" s="52"/>
      <c r="H460" s="52"/>
      <c r="I460" s="52"/>
      <c r="J460" s="52"/>
      <c r="K460" s="52"/>
      <c r="L460" s="52"/>
      <c r="M460" s="52"/>
      <c r="N460" s="52"/>
      <c r="O460" s="52"/>
      <c r="P460" s="61"/>
      <c r="Q460" s="61"/>
      <c r="R460" s="205"/>
      <c r="S460" s="52"/>
      <c r="T460" s="52"/>
      <c r="U460" s="52"/>
      <c r="V460" s="52"/>
      <c r="W460" s="52"/>
      <c r="X460" s="52"/>
      <c r="Y460" s="52"/>
      <c r="Z460" s="52"/>
      <c r="AA460" s="52"/>
      <c r="AB460" s="53"/>
    </row>
    <row r="461">
      <c r="A461" s="52"/>
      <c r="B461" s="52"/>
      <c r="C461" s="52"/>
      <c r="D461" s="52"/>
      <c r="E461" s="52"/>
      <c r="F461" s="52"/>
      <c r="G461" s="52"/>
      <c r="H461" s="52"/>
      <c r="I461" s="52"/>
      <c r="J461" s="52"/>
      <c r="K461" s="52"/>
      <c r="L461" s="52"/>
      <c r="M461" s="52"/>
      <c r="N461" s="52"/>
      <c r="O461" s="52"/>
      <c r="P461" s="61"/>
      <c r="Q461" s="61"/>
      <c r="R461" s="205"/>
      <c r="S461" s="52"/>
      <c r="T461" s="52"/>
      <c r="U461" s="52"/>
      <c r="V461" s="52"/>
      <c r="W461" s="52"/>
      <c r="X461" s="52"/>
      <c r="Y461" s="52"/>
      <c r="Z461" s="52"/>
      <c r="AA461" s="52"/>
      <c r="AB461" s="53"/>
    </row>
    <row r="462">
      <c r="A462" s="52"/>
      <c r="B462" s="52"/>
      <c r="C462" s="52"/>
      <c r="D462" s="52"/>
      <c r="E462" s="52"/>
      <c r="F462" s="52"/>
      <c r="G462" s="52"/>
      <c r="H462" s="52"/>
      <c r="I462" s="52"/>
      <c r="J462" s="52"/>
      <c r="K462" s="52"/>
      <c r="L462" s="52"/>
      <c r="M462" s="52"/>
      <c r="N462" s="52"/>
      <c r="O462" s="52"/>
      <c r="P462" s="61"/>
      <c r="Q462" s="61"/>
      <c r="R462" s="205"/>
      <c r="S462" s="52"/>
      <c r="T462" s="52"/>
      <c r="U462" s="52"/>
      <c r="V462" s="52"/>
      <c r="W462" s="52"/>
      <c r="X462" s="52"/>
      <c r="Y462" s="52"/>
      <c r="Z462" s="52"/>
      <c r="AA462" s="52"/>
      <c r="AB462" s="53"/>
    </row>
    <row r="463">
      <c r="A463" s="52"/>
      <c r="B463" s="52"/>
      <c r="C463" s="52"/>
      <c r="D463" s="52"/>
      <c r="E463" s="52"/>
      <c r="F463" s="52"/>
      <c r="G463" s="52"/>
      <c r="H463" s="52"/>
      <c r="I463" s="52"/>
      <c r="J463" s="52"/>
      <c r="K463" s="52"/>
      <c r="L463" s="52"/>
      <c r="M463" s="52"/>
      <c r="N463" s="52"/>
      <c r="O463" s="52"/>
      <c r="P463" s="61"/>
      <c r="Q463" s="61"/>
      <c r="R463" s="205"/>
      <c r="S463" s="52"/>
      <c r="T463" s="52"/>
      <c r="U463" s="52"/>
      <c r="V463" s="52"/>
      <c r="W463" s="52"/>
      <c r="X463" s="52"/>
      <c r="Y463" s="52"/>
      <c r="Z463" s="52"/>
      <c r="AA463" s="52"/>
      <c r="AB463" s="53"/>
    </row>
    <row r="464">
      <c r="A464" s="52"/>
      <c r="B464" s="52"/>
      <c r="C464" s="52"/>
      <c r="D464" s="52"/>
      <c r="E464" s="52"/>
      <c r="F464" s="52"/>
      <c r="G464" s="52"/>
      <c r="H464" s="52"/>
      <c r="I464" s="52"/>
      <c r="J464" s="52"/>
      <c r="K464" s="52"/>
      <c r="L464" s="52"/>
      <c r="M464" s="52"/>
      <c r="N464" s="52"/>
      <c r="O464" s="52"/>
      <c r="P464" s="61"/>
      <c r="Q464" s="61"/>
      <c r="R464" s="205"/>
      <c r="S464" s="52"/>
      <c r="T464" s="52"/>
      <c r="U464" s="52"/>
      <c r="V464" s="52"/>
      <c r="W464" s="52"/>
      <c r="X464" s="52"/>
      <c r="Y464" s="52"/>
      <c r="Z464" s="52"/>
      <c r="AA464" s="52"/>
      <c r="AB464" s="53"/>
    </row>
    <row r="465">
      <c r="A465" s="52"/>
      <c r="B465" s="52"/>
      <c r="C465" s="52"/>
      <c r="D465" s="52"/>
      <c r="E465" s="52"/>
      <c r="F465" s="52"/>
      <c r="G465" s="52"/>
      <c r="H465" s="52"/>
      <c r="I465" s="52"/>
      <c r="J465" s="52"/>
      <c r="K465" s="52"/>
      <c r="L465" s="52"/>
      <c r="M465" s="52"/>
      <c r="N465" s="52"/>
      <c r="O465" s="52"/>
      <c r="P465" s="61"/>
      <c r="Q465" s="61"/>
      <c r="R465" s="205"/>
      <c r="S465" s="52"/>
      <c r="T465" s="52"/>
      <c r="U465" s="52"/>
      <c r="V465" s="52"/>
      <c r="W465" s="52"/>
      <c r="X465" s="52"/>
      <c r="Y465" s="52"/>
      <c r="Z465" s="52"/>
      <c r="AA465" s="52"/>
      <c r="AB465" s="53"/>
    </row>
    <row r="466">
      <c r="A466" s="52"/>
      <c r="B466" s="52"/>
      <c r="C466" s="52"/>
      <c r="D466" s="52"/>
      <c r="E466" s="52"/>
      <c r="F466" s="52"/>
      <c r="G466" s="52"/>
      <c r="H466" s="52"/>
      <c r="I466" s="52"/>
      <c r="J466" s="52"/>
      <c r="K466" s="52"/>
      <c r="L466" s="52"/>
      <c r="M466" s="52"/>
      <c r="N466" s="52"/>
      <c r="O466" s="52"/>
      <c r="P466" s="61"/>
      <c r="Q466" s="61"/>
      <c r="R466" s="205"/>
      <c r="S466" s="52"/>
      <c r="T466" s="52"/>
      <c r="U466" s="52"/>
      <c r="V466" s="52"/>
      <c r="W466" s="52"/>
      <c r="X466" s="52"/>
      <c r="Y466" s="52"/>
      <c r="Z466" s="52"/>
      <c r="AA466" s="52"/>
      <c r="AB466" s="53"/>
    </row>
    <row r="467">
      <c r="A467" s="52"/>
      <c r="B467" s="52"/>
      <c r="C467" s="52"/>
      <c r="D467" s="52"/>
      <c r="E467" s="52"/>
      <c r="F467" s="52"/>
      <c r="G467" s="52"/>
      <c r="H467" s="52"/>
      <c r="I467" s="52"/>
      <c r="J467" s="52"/>
      <c r="K467" s="52"/>
      <c r="L467" s="52"/>
      <c r="M467" s="52"/>
      <c r="N467" s="52"/>
      <c r="O467" s="52"/>
      <c r="P467" s="61"/>
      <c r="Q467" s="61"/>
      <c r="R467" s="205"/>
      <c r="S467" s="52"/>
      <c r="T467" s="52"/>
      <c r="U467" s="52"/>
      <c r="V467" s="52"/>
      <c r="W467" s="52"/>
      <c r="X467" s="52"/>
      <c r="Y467" s="52"/>
      <c r="Z467" s="52"/>
      <c r="AA467" s="52"/>
      <c r="AB467" s="53"/>
    </row>
    <row r="468">
      <c r="A468" s="52"/>
      <c r="B468" s="52"/>
      <c r="C468" s="52"/>
      <c r="D468" s="52"/>
      <c r="E468" s="52"/>
      <c r="F468" s="52"/>
      <c r="G468" s="52"/>
      <c r="H468" s="52"/>
      <c r="I468" s="52"/>
      <c r="J468" s="52"/>
      <c r="K468" s="52"/>
      <c r="L468" s="52"/>
      <c r="M468" s="52"/>
      <c r="N468" s="52"/>
      <c r="O468" s="52"/>
      <c r="P468" s="61"/>
      <c r="Q468" s="61"/>
      <c r="R468" s="205"/>
      <c r="S468" s="52"/>
      <c r="T468" s="52"/>
      <c r="U468" s="52"/>
      <c r="V468" s="52"/>
      <c r="W468" s="52"/>
      <c r="X468" s="52"/>
      <c r="Y468" s="52"/>
      <c r="Z468" s="52"/>
      <c r="AA468" s="52"/>
      <c r="AB468" s="53"/>
    </row>
    <row r="469">
      <c r="A469" s="52"/>
      <c r="B469" s="52"/>
      <c r="C469" s="52"/>
      <c r="D469" s="52"/>
      <c r="E469" s="52"/>
      <c r="F469" s="52"/>
      <c r="G469" s="52"/>
      <c r="H469" s="52"/>
      <c r="I469" s="52"/>
      <c r="J469" s="52"/>
      <c r="K469" s="52"/>
      <c r="L469" s="52"/>
      <c r="M469" s="52"/>
      <c r="N469" s="52"/>
      <c r="O469" s="52"/>
      <c r="P469" s="61"/>
      <c r="Q469" s="61"/>
      <c r="R469" s="205"/>
      <c r="S469" s="52"/>
      <c r="T469" s="52"/>
      <c r="U469" s="52"/>
      <c r="V469" s="52"/>
      <c r="W469" s="52"/>
      <c r="X469" s="52"/>
      <c r="Y469" s="52"/>
      <c r="Z469" s="52"/>
      <c r="AA469" s="52"/>
      <c r="AB469" s="53"/>
    </row>
    <row r="470">
      <c r="A470" s="52"/>
      <c r="B470" s="52"/>
      <c r="C470" s="52"/>
      <c r="D470" s="52"/>
      <c r="E470" s="52"/>
      <c r="F470" s="52"/>
      <c r="G470" s="52"/>
      <c r="H470" s="52"/>
      <c r="I470" s="52"/>
      <c r="J470" s="52"/>
      <c r="K470" s="52"/>
      <c r="L470" s="52"/>
      <c r="M470" s="52"/>
      <c r="N470" s="52"/>
      <c r="O470" s="52"/>
      <c r="P470" s="61"/>
      <c r="Q470" s="61"/>
      <c r="R470" s="205"/>
      <c r="S470" s="52"/>
      <c r="T470" s="52"/>
      <c r="U470" s="52"/>
      <c r="V470" s="52"/>
      <c r="W470" s="52"/>
      <c r="X470" s="52"/>
      <c r="Y470" s="52"/>
      <c r="Z470" s="52"/>
      <c r="AA470" s="52"/>
      <c r="AB470" s="53"/>
    </row>
    <row r="471">
      <c r="A471" s="52"/>
      <c r="B471" s="52"/>
      <c r="C471" s="52"/>
      <c r="D471" s="52"/>
      <c r="E471" s="52"/>
      <c r="F471" s="52"/>
      <c r="G471" s="52"/>
      <c r="H471" s="52"/>
      <c r="I471" s="52"/>
      <c r="J471" s="52"/>
      <c r="K471" s="52"/>
      <c r="L471" s="52"/>
      <c r="M471" s="52"/>
      <c r="N471" s="52"/>
      <c r="O471" s="52"/>
      <c r="P471" s="61"/>
      <c r="Q471" s="61"/>
      <c r="R471" s="205"/>
      <c r="S471" s="52"/>
      <c r="T471" s="52"/>
      <c r="U471" s="52"/>
      <c r="V471" s="52"/>
      <c r="W471" s="52"/>
      <c r="X471" s="52"/>
      <c r="Y471" s="52"/>
      <c r="Z471" s="52"/>
      <c r="AA471" s="52"/>
      <c r="AB471" s="53"/>
    </row>
    <row r="472">
      <c r="A472" s="52"/>
      <c r="B472" s="52"/>
      <c r="C472" s="52"/>
      <c r="D472" s="52"/>
      <c r="E472" s="52"/>
      <c r="F472" s="52"/>
      <c r="G472" s="52"/>
      <c r="H472" s="52"/>
      <c r="I472" s="52"/>
      <c r="J472" s="52"/>
      <c r="K472" s="52"/>
      <c r="L472" s="52"/>
      <c r="M472" s="52"/>
      <c r="N472" s="52"/>
      <c r="O472" s="52"/>
      <c r="P472" s="61"/>
      <c r="Q472" s="61"/>
      <c r="R472" s="205"/>
      <c r="S472" s="52"/>
      <c r="T472" s="52"/>
      <c r="U472" s="52"/>
      <c r="V472" s="52"/>
      <c r="W472" s="52"/>
      <c r="X472" s="52"/>
      <c r="Y472" s="52"/>
      <c r="Z472" s="52"/>
      <c r="AA472" s="52"/>
      <c r="AB472" s="53"/>
    </row>
    <row r="473">
      <c r="A473" s="52"/>
      <c r="B473" s="52"/>
      <c r="C473" s="52"/>
      <c r="D473" s="52"/>
      <c r="E473" s="52"/>
      <c r="F473" s="52"/>
      <c r="G473" s="52"/>
      <c r="H473" s="52"/>
      <c r="I473" s="52"/>
      <c r="J473" s="52"/>
      <c r="K473" s="52"/>
      <c r="L473" s="52"/>
      <c r="M473" s="52"/>
      <c r="N473" s="52"/>
      <c r="O473" s="52"/>
      <c r="P473" s="61"/>
      <c r="Q473" s="61"/>
      <c r="R473" s="205"/>
      <c r="S473" s="52"/>
      <c r="T473" s="52"/>
      <c r="U473" s="52"/>
      <c r="V473" s="52"/>
      <c r="W473" s="52"/>
      <c r="X473" s="52"/>
      <c r="Y473" s="52"/>
      <c r="Z473" s="52"/>
      <c r="AA473" s="52"/>
      <c r="AB473" s="53"/>
    </row>
    <row r="474">
      <c r="A474" s="52"/>
      <c r="B474" s="52"/>
      <c r="C474" s="52"/>
      <c r="D474" s="52"/>
      <c r="E474" s="52"/>
      <c r="F474" s="52"/>
      <c r="G474" s="52"/>
      <c r="H474" s="52"/>
      <c r="I474" s="52"/>
      <c r="J474" s="52"/>
      <c r="K474" s="52"/>
      <c r="L474" s="52"/>
      <c r="M474" s="52"/>
      <c r="N474" s="52"/>
      <c r="O474" s="52"/>
      <c r="P474" s="61"/>
      <c r="Q474" s="61"/>
      <c r="R474" s="205"/>
      <c r="S474" s="52"/>
      <c r="T474" s="52"/>
      <c r="U474" s="52"/>
      <c r="V474" s="52"/>
      <c r="W474" s="52"/>
      <c r="X474" s="52"/>
      <c r="Y474" s="52"/>
      <c r="Z474" s="52"/>
      <c r="AA474" s="52"/>
      <c r="AB474" s="53"/>
    </row>
    <row r="475">
      <c r="A475" s="52"/>
      <c r="B475" s="52"/>
      <c r="C475" s="52"/>
      <c r="D475" s="52"/>
      <c r="E475" s="52"/>
      <c r="F475" s="52"/>
      <c r="G475" s="52"/>
      <c r="H475" s="52"/>
      <c r="I475" s="52"/>
      <c r="J475" s="52"/>
      <c r="K475" s="52"/>
      <c r="L475" s="52"/>
      <c r="M475" s="52"/>
      <c r="N475" s="52"/>
      <c r="O475" s="52"/>
      <c r="P475" s="61"/>
      <c r="Q475" s="61"/>
      <c r="R475" s="205"/>
      <c r="S475" s="52"/>
      <c r="T475" s="52"/>
      <c r="U475" s="52"/>
      <c r="V475" s="52"/>
      <c r="W475" s="52"/>
      <c r="X475" s="52"/>
      <c r="Y475" s="52"/>
      <c r="Z475" s="52"/>
      <c r="AA475" s="52"/>
      <c r="AB475" s="53"/>
    </row>
    <row r="476">
      <c r="A476" s="52"/>
      <c r="B476" s="52"/>
      <c r="C476" s="52"/>
      <c r="D476" s="52"/>
      <c r="E476" s="52"/>
      <c r="F476" s="52"/>
      <c r="G476" s="52"/>
      <c r="H476" s="52"/>
      <c r="I476" s="52"/>
      <c r="J476" s="52"/>
      <c r="K476" s="52"/>
      <c r="L476" s="52"/>
      <c r="M476" s="52"/>
      <c r="N476" s="52"/>
      <c r="O476" s="52"/>
      <c r="P476" s="61"/>
      <c r="Q476" s="61"/>
      <c r="R476" s="205"/>
      <c r="S476" s="52"/>
      <c r="T476" s="52"/>
      <c r="U476" s="52"/>
      <c r="V476" s="52"/>
      <c r="W476" s="52"/>
      <c r="X476" s="52"/>
      <c r="Y476" s="52"/>
      <c r="Z476" s="52"/>
      <c r="AA476" s="52"/>
      <c r="AB476" s="53"/>
    </row>
    <row r="477">
      <c r="A477" s="52"/>
      <c r="B477" s="52"/>
      <c r="C477" s="52"/>
      <c r="D477" s="52"/>
      <c r="E477" s="52"/>
      <c r="F477" s="52"/>
      <c r="G477" s="52"/>
      <c r="H477" s="52"/>
      <c r="I477" s="52"/>
      <c r="J477" s="52"/>
      <c r="K477" s="52"/>
      <c r="L477" s="52"/>
      <c r="M477" s="52"/>
      <c r="N477" s="52"/>
      <c r="O477" s="52"/>
      <c r="P477" s="61"/>
      <c r="Q477" s="61"/>
      <c r="R477" s="205"/>
      <c r="S477" s="52"/>
      <c r="T477" s="52"/>
      <c r="U477" s="52"/>
      <c r="V477" s="52"/>
      <c r="W477" s="52"/>
      <c r="X477" s="52"/>
      <c r="Y477" s="52"/>
      <c r="Z477" s="52"/>
      <c r="AA477" s="52"/>
      <c r="AB477" s="53"/>
    </row>
    <row r="478">
      <c r="A478" s="52"/>
      <c r="B478" s="52"/>
      <c r="C478" s="52"/>
      <c r="D478" s="52"/>
      <c r="E478" s="52"/>
      <c r="F478" s="52"/>
      <c r="G478" s="52"/>
      <c r="H478" s="52"/>
      <c r="I478" s="52"/>
      <c r="J478" s="52"/>
      <c r="K478" s="52"/>
      <c r="L478" s="52"/>
      <c r="M478" s="52"/>
      <c r="N478" s="52"/>
      <c r="O478" s="52"/>
      <c r="P478" s="61"/>
      <c r="Q478" s="61"/>
      <c r="R478" s="205"/>
      <c r="S478" s="52"/>
      <c r="T478" s="52"/>
      <c r="U478" s="52"/>
      <c r="V478" s="52"/>
      <c r="W478" s="52"/>
      <c r="X478" s="52"/>
      <c r="Y478" s="52"/>
      <c r="Z478" s="52"/>
      <c r="AA478" s="52"/>
      <c r="AB478" s="53"/>
    </row>
    <row r="479">
      <c r="A479" s="52"/>
      <c r="B479" s="52"/>
      <c r="C479" s="52"/>
      <c r="D479" s="52"/>
      <c r="E479" s="52"/>
      <c r="F479" s="52"/>
      <c r="G479" s="52"/>
      <c r="H479" s="52"/>
      <c r="I479" s="52"/>
      <c r="J479" s="52"/>
      <c r="K479" s="52"/>
      <c r="L479" s="52"/>
      <c r="M479" s="52"/>
      <c r="N479" s="52"/>
      <c r="O479" s="52"/>
      <c r="P479" s="61"/>
      <c r="Q479" s="61"/>
      <c r="R479" s="205"/>
      <c r="S479" s="52"/>
      <c r="T479" s="52"/>
      <c r="U479" s="52"/>
      <c r="V479" s="52"/>
      <c r="W479" s="52"/>
      <c r="X479" s="52"/>
      <c r="Y479" s="52"/>
      <c r="Z479" s="52"/>
      <c r="AA479" s="52"/>
      <c r="AB479" s="53"/>
    </row>
    <row r="480">
      <c r="A480" s="52"/>
      <c r="B480" s="52"/>
      <c r="C480" s="52"/>
      <c r="D480" s="52"/>
      <c r="E480" s="52"/>
      <c r="F480" s="52"/>
      <c r="G480" s="52"/>
      <c r="H480" s="52"/>
      <c r="I480" s="52"/>
      <c r="J480" s="52"/>
      <c r="K480" s="52"/>
      <c r="L480" s="52"/>
      <c r="M480" s="52"/>
      <c r="N480" s="52"/>
      <c r="O480" s="52"/>
      <c r="P480" s="61"/>
      <c r="Q480" s="61"/>
      <c r="R480" s="205"/>
      <c r="S480" s="52"/>
      <c r="T480" s="52"/>
      <c r="U480" s="52"/>
      <c r="V480" s="52"/>
      <c r="W480" s="52"/>
      <c r="X480" s="52"/>
      <c r="Y480" s="52"/>
      <c r="Z480" s="52"/>
      <c r="AA480" s="52"/>
      <c r="AB480" s="53"/>
    </row>
    <row r="481">
      <c r="A481" s="52"/>
      <c r="B481" s="52"/>
      <c r="C481" s="52"/>
      <c r="D481" s="52"/>
      <c r="E481" s="52"/>
      <c r="F481" s="52"/>
      <c r="G481" s="52"/>
      <c r="H481" s="52"/>
      <c r="I481" s="52"/>
      <c r="J481" s="52"/>
      <c r="K481" s="52"/>
      <c r="L481" s="52"/>
      <c r="M481" s="52"/>
      <c r="N481" s="52"/>
      <c r="O481" s="52"/>
      <c r="P481" s="61"/>
      <c r="Q481" s="61"/>
      <c r="R481" s="205"/>
      <c r="S481" s="52"/>
      <c r="T481" s="52"/>
      <c r="U481" s="52"/>
      <c r="V481" s="52"/>
      <c r="W481" s="52"/>
      <c r="X481" s="52"/>
      <c r="Y481" s="52"/>
      <c r="Z481" s="52"/>
      <c r="AA481" s="52"/>
      <c r="AB481" s="53"/>
    </row>
    <row r="482">
      <c r="A482" s="52"/>
      <c r="B482" s="52"/>
      <c r="C482" s="52"/>
      <c r="D482" s="52"/>
      <c r="E482" s="52"/>
      <c r="F482" s="52"/>
      <c r="G482" s="52"/>
      <c r="H482" s="52"/>
      <c r="I482" s="52"/>
      <c r="J482" s="52"/>
      <c r="K482" s="52"/>
      <c r="L482" s="52"/>
      <c r="M482" s="52"/>
      <c r="N482" s="52"/>
      <c r="O482" s="52"/>
      <c r="P482" s="61"/>
      <c r="Q482" s="61"/>
      <c r="R482" s="205"/>
      <c r="S482" s="52"/>
      <c r="T482" s="52"/>
      <c r="U482" s="52"/>
      <c r="V482" s="52"/>
      <c r="W482" s="52"/>
      <c r="X482" s="52"/>
      <c r="Y482" s="52"/>
      <c r="Z482" s="52"/>
      <c r="AA482" s="52"/>
      <c r="AB482" s="53"/>
    </row>
    <row r="483">
      <c r="A483" s="52"/>
      <c r="B483" s="52"/>
      <c r="C483" s="52"/>
      <c r="D483" s="52"/>
      <c r="E483" s="52"/>
      <c r="F483" s="52"/>
      <c r="G483" s="52"/>
      <c r="H483" s="52"/>
      <c r="I483" s="52"/>
      <c r="J483" s="52"/>
      <c r="K483" s="52"/>
      <c r="L483" s="52"/>
      <c r="M483" s="52"/>
      <c r="N483" s="52"/>
      <c r="O483" s="52"/>
      <c r="P483" s="61"/>
      <c r="Q483" s="61"/>
      <c r="R483" s="205"/>
      <c r="S483" s="52"/>
      <c r="T483" s="52"/>
      <c r="U483" s="52"/>
      <c r="V483" s="52"/>
      <c r="W483" s="52"/>
      <c r="X483" s="52"/>
      <c r="Y483" s="52"/>
      <c r="Z483" s="52"/>
      <c r="AA483" s="52"/>
      <c r="AB483" s="53"/>
    </row>
    <row r="484">
      <c r="A484" s="52"/>
      <c r="B484" s="52"/>
      <c r="C484" s="52"/>
      <c r="D484" s="52"/>
      <c r="E484" s="52"/>
      <c r="F484" s="52"/>
      <c r="G484" s="52"/>
      <c r="H484" s="52"/>
      <c r="I484" s="52"/>
      <c r="J484" s="52"/>
      <c r="K484" s="52"/>
      <c r="L484" s="52"/>
      <c r="M484" s="52"/>
      <c r="N484" s="52"/>
      <c r="O484" s="52"/>
      <c r="P484" s="61"/>
      <c r="Q484" s="61"/>
      <c r="R484" s="205"/>
      <c r="S484" s="52"/>
      <c r="T484" s="52"/>
      <c r="U484" s="52"/>
      <c r="V484" s="52"/>
      <c r="W484" s="52"/>
      <c r="X484" s="52"/>
      <c r="Y484" s="52"/>
      <c r="Z484" s="52"/>
      <c r="AA484" s="52"/>
      <c r="AB484" s="53"/>
    </row>
    <row r="485">
      <c r="A485" s="52"/>
      <c r="B485" s="52"/>
      <c r="C485" s="52"/>
      <c r="D485" s="52"/>
      <c r="E485" s="52"/>
      <c r="F485" s="52"/>
      <c r="G485" s="52"/>
      <c r="H485" s="52"/>
      <c r="I485" s="52"/>
      <c r="J485" s="52"/>
      <c r="K485" s="52"/>
      <c r="L485" s="52"/>
      <c r="M485" s="52"/>
      <c r="N485" s="52"/>
      <c r="O485" s="52"/>
      <c r="P485" s="61"/>
      <c r="Q485" s="61"/>
      <c r="R485" s="205"/>
      <c r="S485" s="52"/>
      <c r="T485" s="52"/>
      <c r="U485" s="52"/>
      <c r="V485" s="52"/>
      <c r="W485" s="52"/>
      <c r="X485" s="52"/>
      <c r="Y485" s="52"/>
      <c r="Z485" s="52"/>
      <c r="AA485" s="52"/>
      <c r="AB485" s="53"/>
    </row>
    <row r="486">
      <c r="A486" s="52"/>
      <c r="B486" s="52"/>
      <c r="C486" s="52"/>
      <c r="D486" s="52"/>
      <c r="E486" s="52"/>
      <c r="F486" s="52"/>
      <c r="G486" s="52"/>
      <c r="H486" s="52"/>
      <c r="I486" s="52"/>
      <c r="J486" s="52"/>
      <c r="K486" s="52"/>
      <c r="L486" s="52"/>
      <c r="M486" s="52"/>
      <c r="N486" s="52"/>
      <c r="O486" s="52"/>
      <c r="P486" s="61"/>
      <c r="Q486" s="61"/>
      <c r="R486" s="205"/>
      <c r="S486" s="52"/>
      <c r="T486" s="52"/>
      <c r="U486" s="52"/>
      <c r="V486" s="52"/>
      <c r="W486" s="52"/>
      <c r="X486" s="52"/>
      <c r="Y486" s="52"/>
      <c r="Z486" s="52"/>
      <c r="AA486" s="52"/>
      <c r="AB486" s="53"/>
    </row>
    <row r="487">
      <c r="A487" s="52"/>
      <c r="B487" s="52"/>
      <c r="C487" s="52"/>
      <c r="D487" s="52"/>
      <c r="E487" s="52"/>
      <c r="F487" s="52"/>
      <c r="G487" s="52"/>
      <c r="H487" s="52"/>
      <c r="I487" s="52"/>
      <c r="J487" s="52"/>
      <c r="K487" s="52"/>
      <c r="L487" s="52"/>
      <c r="M487" s="52"/>
      <c r="N487" s="52"/>
      <c r="O487" s="52"/>
      <c r="P487" s="61"/>
      <c r="Q487" s="61"/>
      <c r="R487" s="205"/>
      <c r="S487" s="52"/>
      <c r="T487" s="52"/>
      <c r="U487" s="52"/>
      <c r="V487" s="52"/>
      <c r="W487" s="52"/>
      <c r="X487" s="52"/>
      <c r="Y487" s="52"/>
      <c r="Z487" s="52"/>
      <c r="AA487" s="52"/>
      <c r="AB487" s="53"/>
    </row>
    <row r="488">
      <c r="A488" s="52"/>
      <c r="B488" s="52"/>
      <c r="C488" s="52"/>
      <c r="D488" s="52"/>
      <c r="E488" s="52"/>
      <c r="F488" s="52"/>
      <c r="G488" s="52"/>
      <c r="H488" s="52"/>
      <c r="I488" s="52"/>
      <c r="J488" s="52"/>
      <c r="K488" s="52"/>
      <c r="L488" s="52"/>
      <c r="M488" s="52"/>
      <c r="N488" s="52"/>
      <c r="O488" s="52"/>
      <c r="P488" s="61"/>
      <c r="Q488" s="61"/>
      <c r="R488" s="205"/>
      <c r="S488" s="52"/>
      <c r="T488" s="52"/>
      <c r="U488" s="52"/>
      <c r="V488" s="52"/>
      <c r="W488" s="52"/>
      <c r="X488" s="52"/>
      <c r="Y488" s="52"/>
      <c r="Z488" s="52"/>
      <c r="AA488" s="52"/>
      <c r="AB488" s="53"/>
    </row>
    <row r="489">
      <c r="A489" s="52"/>
      <c r="B489" s="52"/>
      <c r="C489" s="52"/>
      <c r="D489" s="52"/>
      <c r="E489" s="52"/>
      <c r="F489" s="52"/>
      <c r="G489" s="52"/>
      <c r="H489" s="52"/>
      <c r="I489" s="52"/>
      <c r="J489" s="52"/>
      <c r="K489" s="52"/>
      <c r="L489" s="52"/>
      <c r="M489" s="52"/>
      <c r="N489" s="52"/>
      <c r="O489" s="52"/>
      <c r="P489" s="61"/>
      <c r="Q489" s="61"/>
      <c r="R489" s="205"/>
      <c r="S489" s="52"/>
      <c r="T489" s="52"/>
      <c r="U489" s="52"/>
      <c r="V489" s="52"/>
      <c r="W489" s="52"/>
      <c r="X489" s="52"/>
      <c r="Y489" s="52"/>
      <c r="Z489" s="52"/>
      <c r="AA489" s="52"/>
      <c r="AB489" s="53"/>
    </row>
    <row r="490">
      <c r="A490" s="52"/>
      <c r="B490" s="52"/>
      <c r="C490" s="52"/>
      <c r="D490" s="52"/>
      <c r="E490" s="52"/>
      <c r="F490" s="52"/>
      <c r="G490" s="52"/>
      <c r="H490" s="52"/>
      <c r="I490" s="52"/>
      <c r="J490" s="52"/>
      <c r="K490" s="52"/>
      <c r="L490" s="52"/>
      <c r="M490" s="52"/>
      <c r="N490" s="52"/>
      <c r="O490" s="52"/>
      <c r="P490" s="61"/>
      <c r="Q490" s="61"/>
      <c r="R490" s="205"/>
      <c r="S490" s="52"/>
      <c r="T490" s="52"/>
      <c r="U490" s="52"/>
      <c r="V490" s="52"/>
      <c r="W490" s="52"/>
      <c r="X490" s="52"/>
      <c r="Y490" s="52"/>
      <c r="Z490" s="52"/>
      <c r="AA490" s="52"/>
      <c r="AB490" s="53"/>
    </row>
    <row r="491">
      <c r="A491" s="52"/>
      <c r="B491" s="52"/>
      <c r="C491" s="52"/>
      <c r="D491" s="52"/>
      <c r="E491" s="52"/>
      <c r="F491" s="52"/>
      <c r="G491" s="52"/>
      <c r="H491" s="52"/>
      <c r="I491" s="52"/>
      <c r="J491" s="52"/>
      <c r="K491" s="52"/>
      <c r="L491" s="52"/>
      <c r="M491" s="52"/>
      <c r="N491" s="52"/>
      <c r="O491" s="52"/>
      <c r="P491" s="61"/>
      <c r="Q491" s="61"/>
      <c r="R491" s="205"/>
      <c r="S491" s="52"/>
      <c r="T491" s="52"/>
      <c r="U491" s="52"/>
      <c r="V491" s="52"/>
      <c r="W491" s="52"/>
      <c r="X491" s="52"/>
      <c r="Y491" s="52"/>
      <c r="Z491" s="52"/>
      <c r="AA491" s="52"/>
      <c r="AB491" s="53"/>
    </row>
    <row r="492">
      <c r="A492" s="52"/>
      <c r="B492" s="52"/>
      <c r="C492" s="52"/>
      <c r="D492" s="52"/>
      <c r="E492" s="52"/>
      <c r="F492" s="52"/>
      <c r="G492" s="52"/>
      <c r="H492" s="52"/>
      <c r="I492" s="52"/>
      <c r="J492" s="52"/>
      <c r="K492" s="52"/>
      <c r="L492" s="52"/>
      <c r="M492" s="52"/>
      <c r="N492" s="52"/>
      <c r="O492" s="52"/>
      <c r="P492" s="61"/>
      <c r="Q492" s="61"/>
      <c r="R492" s="205"/>
      <c r="S492" s="52"/>
      <c r="T492" s="52"/>
      <c r="U492" s="52"/>
      <c r="V492" s="52"/>
      <c r="W492" s="52"/>
      <c r="X492" s="52"/>
      <c r="Y492" s="52"/>
      <c r="Z492" s="52"/>
      <c r="AA492" s="52"/>
      <c r="AB492" s="53"/>
    </row>
    <row r="493">
      <c r="A493" s="52"/>
      <c r="B493" s="52"/>
      <c r="C493" s="52"/>
      <c r="D493" s="52"/>
      <c r="E493" s="52"/>
      <c r="F493" s="52"/>
      <c r="G493" s="52"/>
      <c r="H493" s="52"/>
      <c r="I493" s="52"/>
      <c r="J493" s="52"/>
      <c r="K493" s="52"/>
      <c r="L493" s="52"/>
      <c r="M493" s="52"/>
      <c r="N493" s="52"/>
      <c r="O493" s="52"/>
      <c r="P493" s="61"/>
      <c r="Q493" s="61"/>
      <c r="R493" s="205"/>
      <c r="S493" s="52"/>
      <c r="T493" s="52"/>
      <c r="U493" s="52"/>
      <c r="V493" s="52"/>
      <c r="W493" s="52"/>
      <c r="X493" s="52"/>
      <c r="Y493" s="52"/>
      <c r="Z493" s="52"/>
      <c r="AA493" s="52"/>
      <c r="AB493" s="53"/>
    </row>
    <row r="494">
      <c r="A494" s="52"/>
      <c r="B494" s="52"/>
      <c r="C494" s="52"/>
      <c r="D494" s="52"/>
      <c r="E494" s="52"/>
      <c r="F494" s="52"/>
      <c r="G494" s="52"/>
      <c r="H494" s="52"/>
      <c r="I494" s="52"/>
      <c r="J494" s="52"/>
      <c r="K494" s="52"/>
      <c r="L494" s="52"/>
      <c r="M494" s="52"/>
      <c r="N494" s="52"/>
      <c r="O494" s="52"/>
      <c r="P494" s="61"/>
      <c r="Q494" s="61"/>
      <c r="R494" s="205"/>
      <c r="S494" s="52"/>
      <c r="T494" s="52"/>
      <c r="U494" s="52"/>
      <c r="V494" s="52"/>
      <c r="W494" s="52"/>
      <c r="X494" s="52"/>
      <c r="Y494" s="52"/>
      <c r="Z494" s="52"/>
      <c r="AA494" s="52"/>
      <c r="AB494" s="53"/>
    </row>
    <row r="495">
      <c r="A495" s="52"/>
      <c r="B495" s="52"/>
      <c r="C495" s="52"/>
      <c r="D495" s="52"/>
      <c r="E495" s="52"/>
      <c r="F495" s="52"/>
      <c r="G495" s="52"/>
      <c r="H495" s="52"/>
      <c r="I495" s="52"/>
      <c r="J495" s="52"/>
      <c r="K495" s="52"/>
      <c r="L495" s="52"/>
      <c r="M495" s="52"/>
      <c r="N495" s="52"/>
      <c r="O495" s="52"/>
      <c r="P495" s="61"/>
      <c r="Q495" s="61"/>
      <c r="R495" s="205"/>
      <c r="S495" s="52"/>
      <c r="T495" s="52"/>
      <c r="U495" s="52"/>
      <c r="V495" s="52"/>
      <c r="W495" s="52"/>
      <c r="X495" s="52"/>
      <c r="Y495" s="52"/>
      <c r="Z495" s="52"/>
      <c r="AA495" s="52"/>
      <c r="AB495" s="53"/>
    </row>
    <row r="496">
      <c r="A496" s="52"/>
      <c r="B496" s="52"/>
      <c r="C496" s="52"/>
      <c r="D496" s="52"/>
      <c r="E496" s="52"/>
      <c r="F496" s="52"/>
      <c r="G496" s="52"/>
      <c r="H496" s="52"/>
      <c r="I496" s="52"/>
      <c r="J496" s="52"/>
      <c r="K496" s="52"/>
      <c r="L496" s="52"/>
      <c r="M496" s="52"/>
      <c r="N496" s="52"/>
      <c r="O496" s="52"/>
      <c r="P496" s="61"/>
      <c r="Q496" s="61"/>
      <c r="R496" s="205"/>
      <c r="S496" s="52"/>
      <c r="T496" s="52"/>
      <c r="U496" s="52"/>
      <c r="V496" s="52"/>
      <c r="W496" s="52"/>
      <c r="X496" s="52"/>
      <c r="Y496" s="52"/>
      <c r="Z496" s="52"/>
      <c r="AA496" s="52"/>
      <c r="AB496" s="53"/>
    </row>
    <row r="497">
      <c r="A497" s="52"/>
      <c r="B497" s="52"/>
      <c r="C497" s="52"/>
      <c r="D497" s="52"/>
      <c r="E497" s="52"/>
      <c r="F497" s="52"/>
      <c r="G497" s="52"/>
      <c r="H497" s="52"/>
      <c r="I497" s="52"/>
      <c r="J497" s="52"/>
      <c r="K497" s="52"/>
      <c r="L497" s="52"/>
      <c r="M497" s="52"/>
      <c r="N497" s="52"/>
      <c r="O497" s="52"/>
      <c r="P497" s="61"/>
      <c r="Q497" s="61"/>
      <c r="R497" s="205"/>
      <c r="S497" s="52"/>
      <c r="T497" s="52"/>
      <c r="U497" s="52"/>
      <c r="V497" s="52"/>
      <c r="W497" s="52"/>
      <c r="X497" s="52"/>
      <c r="Y497" s="52"/>
      <c r="Z497" s="52"/>
      <c r="AA497" s="52"/>
      <c r="AB497" s="53"/>
    </row>
    <row r="498">
      <c r="A498" s="52"/>
      <c r="B498" s="52"/>
      <c r="C498" s="52"/>
      <c r="D498" s="52"/>
      <c r="E498" s="52"/>
      <c r="F498" s="52"/>
      <c r="G498" s="52"/>
      <c r="H498" s="52"/>
      <c r="I498" s="52"/>
      <c r="J498" s="52"/>
      <c r="K498" s="52"/>
      <c r="L498" s="52"/>
      <c r="M498" s="52"/>
      <c r="N498" s="52"/>
      <c r="O498" s="52"/>
      <c r="P498" s="61"/>
      <c r="Q498" s="61"/>
      <c r="R498" s="205"/>
      <c r="S498" s="52"/>
      <c r="T498" s="52"/>
      <c r="U498" s="52"/>
      <c r="V498" s="52"/>
      <c r="W498" s="52"/>
      <c r="X498" s="52"/>
      <c r="Y498" s="52"/>
      <c r="Z498" s="52"/>
      <c r="AA498" s="52"/>
      <c r="AB498" s="53"/>
    </row>
    <row r="499">
      <c r="A499" s="52"/>
      <c r="B499" s="52"/>
      <c r="C499" s="52"/>
      <c r="D499" s="52"/>
      <c r="E499" s="52"/>
      <c r="F499" s="52"/>
      <c r="G499" s="52"/>
      <c r="H499" s="52"/>
      <c r="I499" s="52"/>
      <c r="J499" s="52"/>
      <c r="K499" s="52"/>
      <c r="L499" s="52"/>
      <c r="M499" s="52"/>
      <c r="N499" s="52"/>
      <c r="O499" s="52"/>
      <c r="P499" s="61"/>
      <c r="Q499" s="61"/>
      <c r="R499" s="205"/>
      <c r="S499" s="52"/>
      <c r="T499" s="52"/>
      <c r="U499" s="52"/>
      <c r="V499" s="52"/>
      <c r="W499" s="52"/>
      <c r="X499" s="52"/>
      <c r="Y499" s="52"/>
      <c r="Z499" s="52"/>
      <c r="AA499" s="52"/>
      <c r="AB499" s="53"/>
    </row>
    <row r="500">
      <c r="A500" s="52"/>
      <c r="B500" s="52"/>
      <c r="C500" s="52"/>
      <c r="D500" s="52"/>
      <c r="E500" s="52"/>
      <c r="F500" s="52"/>
      <c r="G500" s="52"/>
      <c r="H500" s="52"/>
      <c r="I500" s="52"/>
      <c r="J500" s="52"/>
      <c r="K500" s="52"/>
      <c r="L500" s="52"/>
      <c r="M500" s="52"/>
      <c r="N500" s="52"/>
      <c r="O500" s="52"/>
      <c r="P500" s="61"/>
      <c r="Q500" s="61"/>
      <c r="R500" s="205"/>
      <c r="S500" s="52"/>
      <c r="T500" s="52"/>
      <c r="U500" s="52"/>
      <c r="V500" s="52"/>
      <c r="W500" s="52"/>
      <c r="X500" s="52"/>
      <c r="Y500" s="52"/>
      <c r="Z500" s="52"/>
      <c r="AA500" s="52"/>
      <c r="AB500" s="53"/>
    </row>
    <row r="501">
      <c r="A501" s="52"/>
      <c r="B501" s="52"/>
      <c r="C501" s="52"/>
      <c r="D501" s="52"/>
      <c r="E501" s="52"/>
      <c r="F501" s="52"/>
      <c r="G501" s="52"/>
      <c r="H501" s="52"/>
      <c r="I501" s="52"/>
      <c r="J501" s="52"/>
      <c r="K501" s="52"/>
      <c r="L501" s="52"/>
      <c r="M501" s="52"/>
      <c r="N501" s="52"/>
      <c r="O501" s="52"/>
      <c r="P501" s="61"/>
      <c r="Q501" s="61"/>
      <c r="R501" s="205"/>
      <c r="S501" s="52"/>
      <c r="T501" s="52"/>
      <c r="U501" s="52"/>
      <c r="V501" s="52"/>
      <c r="W501" s="52"/>
      <c r="X501" s="52"/>
      <c r="Y501" s="52"/>
      <c r="Z501" s="52"/>
      <c r="AA501" s="52"/>
      <c r="AB501" s="53"/>
    </row>
    <row r="502">
      <c r="A502" s="52"/>
      <c r="B502" s="52"/>
      <c r="C502" s="52"/>
      <c r="D502" s="52"/>
      <c r="E502" s="52"/>
      <c r="F502" s="52"/>
      <c r="G502" s="52"/>
      <c r="H502" s="52"/>
      <c r="I502" s="52"/>
      <c r="J502" s="52"/>
      <c r="K502" s="52"/>
      <c r="L502" s="52"/>
      <c r="M502" s="52"/>
      <c r="N502" s="52"/>
      <c r="O502" s="52"/>
      <c r="P502" s="61"/>
      <c r="Q502" s="61"/>
      <c r="R502" s="205"/>
      <c r="S502" s="52"/>
      <c r="T502" s="52"/>
      <c r="U502" s="52"/>
      <c r="V502" s="52"/>
      <c r="W502" s="52"/>
      <c r="X502" s="52"/>
      <c r="Y502" s="52"/>
      <c r="Z502" s="52"/>
      <c r="AA502" s="52"/>
      <c r="AB502" s="53"/>
    </row>
    <row r="503">
      <c r="A503" s="52"/>
      <c r="B503" s="52"/>
      <c r="C503" s="52"/>
      <c r="D503" s="52"/>
      <c r="E503" s="52"/>
      <c r="F503" s="52"/>
      <c r="G503" s="52"/>
      <c r="H503" s="52"/>
      <c r="I503" s="52"/>
      <c r="J503" s="52"/>
      <c r="K503" s="52"/>
      <c r="L503" s="52"/>
      <c r="M503" s="52"/>
      <c r="N503" s="52"/>
      <c r="O503" s="52"/>
      <c r="P503" s="61"/>
      <c r="Q503" s="61"/>
      <c r="R503" s="205"/>
      <c r="S503" s="52"/>
      <c r="T503" s="52"/>
      <c r="U503" s="52"/>
      <c r="V503" s="52"/>
      <c r="W503" s="52"/>
      <c r="X503" s="52"/>
      <c r="Y503" s="52"/>
      <c r="Z503" s="52"/>
      <c r="AA503" s="52"/>
      <c r="AB503" s="53"/>
    </row>
    <row r="504">
      <c r="A504" s="52"/>
      <c r="B504" s="52"/>
      <c r="C504" s="52"/>
      <c r="D504" s="52"/>
      <c r="E504" s="52"/>
      <c r="F504" s="52"/>
      <c r="G504" s="52"/>
      <c r="H504" s="52"/>
      <c r="I504" s="52"/>
      <c r="J504" s="52"/>
      <c r="K504" s="52"/>
      <c r="L504" s="52"/>
      <c r="M504" s="52"/>
      <c r="N504" s="52"/>
      <c r="O504" s="52"/>
      <c r="P504" s="61"/>
      <c r="Q504" s="61"/>
      <c r="R504" s="205"/>
      <c r="S504" s="52"/>
      <c r="T504" s="52"/>
      <c r="U504" s="52"/>
      <c r="V504" s="52"/>
      <c r="W504" s="52"/>
      <c r="X504" s="52"/>
      <c r="Y504" s="52"/>
      <c r="Z504" s="52"/>
      <c r="AA504" s="52"/>
      <c r="AB504" s="53"/>
    </row>
    <row r="505">
      <c r="A505" s="52"/>
      <c r="B505" s="52"/>
      <c r="C505" s="52"/>
      <c r="D505" s="52"/>
      <c r="E505" s="52"/>
      <c r="F505" s="52"/>
      <c r="G505" s="52"/>
      <c r="H505" s="52"/>
      <c r="I505" s="52"/>
      <c r="J505" s="52"/>
      <c r="K505" s="52"/>
      <c r="L505" s="52"/>
      <c r="M505" s="52"/>
      <c r="N505" s="52"/>
      <c r="O505" s="52"/>
      <c r="P505" s="61"/>
      <c r="Q505" s="61"/>
      <c r="R505" s="205"/>
      <c r="S505" s="52"/>
      <c r="T505" s="52"/>
      <c r="U505" s="52"/>
      <c r="V505" s="52"/>
      <c r="W505" s="52"/>
      <c r="X505" s="52"/>
      <c r="Y505" s="52"/>
      <c r="Z505" s="52"/>
      <c r="AA505" s="52"/>
      <c r="AB505" s="53"/>
    </row>
    <row r="506">
      <c r="A506" s="52"/>
      <c r="B506" s="52"/>
      <c r="C506" s="52"/>
      <c r="D506" s="52"/>
      <c r="E506" s="52"/>
      <c r="F506" s="52"/>
      <c r="G506" s="52"/>
      <c r="H506" s="52"/>
      <c r="I506" s="52"/>
      <c r="J506" s="52"/>
      <c r="K506" s="52"/>
      <c r="L506" s="52"/>
      <c r="M506" s="52"/>
      <c r="N506" s="52"/>
      <c r="O506" s="52"/>
      <c r="P506" s="61"/>
      <c r="Q506" s="61"/>
      <c r="R506" s="205"/>
      <c r="S506" s="52"/>
      <c r="T506" s="52"/>
      <c r="U506" s="52"/>
      <c r="V506" s="52"/>
      <c r="W506" s="52"/>
      <c r="X506" s="52"/>
      <c r="Y506" s="52"/>
      <c r="Z506" s="52"/>
      <c r="AA506" s="52"/>
      <c r="AB506" s="53"/>
    </row>
    <row r="507">
      <c r="A507" s="52"/>
      <c r="B507" s="52"/>
      <c r="C507" s="52"/>
      <c r="D507" s="52"/>
      <c r="E507" s="52"/>
      <c r="F507" s="52"/>
      <c r="G507" s="52"/>
      <c r="H507" s="52"/>
      <c r="I507" s="52"/>
      <c r="J507" s="52"/>
      <c r="K507" s="52"/>
      <c r="L507" s="52"/>
      <c r="M507" s="52"/>
      <c r="N507" s="52"/>
      <c r="O507" s="52"/>
      <c r="P507" s="61"/>
      <c r="Q507" s="61"/>
      <c r="R507" s="205"/>
      <c r="S507" s="52"/>
      <c r="T507" s="52"/>
      <c r="U507" s="52"/>
      <c r="V507" s="52"/>
      <c r="W507" s="52"/>
      <c r="X507" s="52"/>
      <c r="Y507" s="52"/>
      <c r="Z507" s="52"/>
      <c r="AA507" s="52"/>
      <c r="AB507" s="53"/>
    </row>
    <row r="508">
      <c r="A508" s="52"/>
      <c r="B508" s="52"/>
      <c r="C508" s="52"/>
      <c r="D508" s="52"/>
      <c r="E508" s="52"/>
      <c r="F508" s="52"/>
      <c r="G508" s="52"/>
      <c r="H508" s="52"/>
      <c r="I508" s="52"/>
      <c r="J508" s="52"/>
      <c r="K508" s="52"/>
      <c r="L508" s="52"/>
      <c r="M508" s="52"/>
      <c r="N508" s="52"/>
      <c r="O508" s="52"/>
      <c r="P508" s="61"/>
      <c r="Q508" s="61"/>
      <c r="R508" s="205"/>
      <c r="S508" s="52"/>
      <c r="T508" s="52"/>
      <c r="U508" s="52"/>
      <c r="V508" s="52"/>
      <c r="W508" s="52"/>
      <c r="X508" s="52"/>
      <c r="Y508" s="52"/>
      <c r="Z508" s="52"/>
      <c r="AA508" s="52"/>
      <c r="AB508" s="53"/>
    </row>
    <row r="509">
      <c r="A509" s="52"/>
      <c r="B509" s="52"/>
      <c r="C509" s="52"/>
      <c r="D509" s="52"/>
      <c r="E509" s="52"/>
      <c r="F509" s="52"/>
      <c r="G509" s="52"/>
      <c r="H509" s="52"/>
      <c r="I509" s="52"/>
      <c r="J509" s="52"/>
      <c r="K509" s="52"/>
      <c r="L509" s="52"/>
      <c r="M509" s="52"/>
      <c r="N509" s="52"/>
      <c r="O509" s="52"/>
      <c r="P509" s="61"/>
      <c r="Q509" s="61"/>
      <c r="R509" s="205"/>
      <c r="S509" s="52"/>
      <c r="T509" s="52"/>
      <c r="U509" s="52"/>
      <c r="V509" s="52"/>
      <c r="W509" s="52"/>
      <c r="X509" s="52"/>
      <c r="Y509" s="52"/>
      <c r="Z509" s="52"/>
      <c r="AA509" s="52"/>
      <c r="AB509" s="53"/>
    </row>
    <row r="510">
      <c r="A510" s="52"/>
      <c r="B510" s="52"/>
      <c r="C510" s="52"/>
      <c r="D510" s="52"/>
      <c r="E510" s="52"/>
      <c r="F510" s="52"/>
      <c r="G510" s="52"/>
      <c r="H510" s="52"/>
      <c r="I510" s="52"/>
      <c r="J510" s="52"/>
      <c r="K510" s="52"/>
      <c r="L510" s="52"/>
      <c r="M510" s="52"/>
      <c r="N510" s="52"/>
      <c r="O510" s="52"/>
      <c r="P510" s="61"/>
      <c r="Q510" s="61"/>
      <c r="R510" s="205"/>
      <c r="S510" s="52"/>
      <c r="T510" s="52"/>
      <c r="U510" s="52"/>
      <c r="V510" s="52"/>
      <c r="W510" s="52"/>
      <c r="X510" s="52"/>
      <c r="Y510" s="52"/>
      <c r="Z510" s="52"/>
      <c r="AA510" s="52"/>
      <c r="AB510" s="53"/>
    </row>
    <row r="511">
      <c r="A511" s="52"/>
      <c r="B511" s="52"/>
      <c r="C511" s="52"/>
      <c r="D511" s="52"/>
      <c r="E511" s="52"/>
      <c r="F511" s="52"/>
      <c r="G511" s="52"/>
      <c r="H511" s="52"/>
      <c r="I511" s="52"/>
      <c r="J511" s="52"/>
      <c r="K511" s="52"/>
      <c r="L511" s="52"/>
      <c r="M511" s="52"/>
      <c r="N511" s="52"/>
      <c r="O511" s="52"/>
      <c r="P511" s="61"/>
      <c r="Q511" s="61"/>
      <c r="R511" s="205"/>
      <c r="S511" s="52"/>
      <c r="T511" s="52"/>
      <c r="U511" s="52"/>
      <c r="V511" s="52"/>
      <c r="W511" s="52"/>
      <c r="X511" s="52"/>
      <c r="Y511" s="52"/>
      <c r="Z511" s="52"/>
      <c r="AA511" s="52"/>
      <c r="AB511" s="53"/>
    </row>
    <row r="512">
      <c r="A512" s="52"/>
      <c r="B512" s="52"/>
      <c r="C512" s="52"/>
      <c r="D512" s="52"/>
      <c r="E512" s="52"/>
      <c r="F512" s="52"/>
      <c r="G512" s="52"/>
      <c r="H512" s="52"/>
      <c r="I512" s="52"/>
      <c r="J512" s="52"/>
      <c r="K512" s="52"/>
      <c r="L512" s="52"/>
      <c r="M512" s="52"/>
      <c r="N512" s="52"/>
      <c r="O512" s="52"/>
      <c r="P512" s="61"/>
      <c r="Q512" s="61"/>
      <c r="R512" s="205"/>
      <c r="S512" s="52"/>
      <c r="T512" s="52"/>
      <c r="U512" s="52"/>
      <c r="V512" s="52"/>
      <c r="W512" s="52"/>
      <c r="X512" s="52"/>
      <c r="Y512" s="52"/>
      <c r="Z512" s="52"/>
      <c r="AA512" s="52"/>
      <c r="AB512" s="53"/>
    </row>
    <row r="513">
      <c r="A513" s="52"/>
      <c r="B513" s="52"/>
      <c r="C513" s="52"/>
      <c r="D513" s="52"/>
      <c r="E513" s="52"/>
      <c r="F513" s="52"/>
      <c r="G513" s="52"/>
      <c r="H513" s="52"/>
      <c r="I513" s="52"/>
      <c r="J513" s="52"/>
      <c r="K513" s="52"/>
      <c r="L513" s="52"/>
      <c r="M513" s="52"/>
      <c r="N513" s="52"/>
      <c r="O513" s="52"/>
      <c r="P513" s="61"/>
      <c r="Q513" s="61"/>
      <c r="R513" s="205"/>
      <c r="S513" s="52"/>
      <c r="T513" s="52"/>
      <c r="U513" s="52"/>
      <c r="V513" s="52"/>
      <c r="W513" s="52"/>
      <c r="X513" s="52"/>
      <c r="Y513" s="52"/>
      <c r="Z513" s="52"/>
      <c r="AA513" s="52"/>
      <c r="AB513" s="53"/>
    </row>
    <row r="514">
      <c r="A514" s="52"/>
      <c r="B514" s="52"/>
      <c r="C514" s="52"/>
      <c r="D514" s="52"/>
      <c r="E514" s="52"/>
      <c r="F514" s="52"/>
      <c r="G514" s="52"/>
      <c r="H514" s="52"/>
      <c r="I514" s="52"/>
      <c r="J514" s="52"/>
      <c r="K514" s="52"/>
      <c r="L514" s="52"/>
      <c r="M514" s="52"/>
      <c r="N514" s="52"/>
      <c r="O514" s="52"/>
      <c r="P514" s="61"/>
      <c r="Q514" s="61"/>
      <c r="R514" s="205"/>
      <c r="S514" s="52"/>
      <c r="T514" s="52"/>
      <c r="U514" s="52"/>
      <c r="V514" s="52"/>
      <c r="W514" s="52"/>
      <c r="X514" s="52"/>
      <c r="Y514" s="52"/>
      <c r="Z514" s="52"/>
      <c r="AA514" s="52"/>
      <c r="AB514" s="53"/>
    </row>
    <row r="515">
      <c r="A515" s="52"/>
      <c r="B515" s="52"/>
      <c r="C515" s="52"/>
      <c r="D515" s="52"/>
      <c r="E515" s="52"/>
      <c r="F515" s="52"/>
      <c r="G515" s="52"/>
      <c r="H515" s="52"/>
      <c r="I515" s="52"/>
      <c r="J515" s="52"/>
      <c r="K515" s="52"/>
      <c r="L515" s="52"/>
      <c r="M515" s="52"/>
      <c r="N515" s="52"/>
      <c r="O515" s="52"/>
      <c r="P515" s="61"/>
      <c r="Q515" s="61"/>
      <c r="R515" s="205"/>
      <c r="S515" s="52"/>
      <c r="T515" s="52"/>
      <c r="U515" s="52"/>
      <c r="V515" s="52"/>
      <c r="W515" s="52"/>
      <c r="X515" s="52"/>
      <c r="Y515" s="52"/>
      <c r="Z515" s="52"/>
      <c r="AA515" s="52"/>
      <c r="AB515" s="53"/>
    </row>
    <row r="516">
      <c r="A516" s="52"/>
      <c r="B516" s="52"/>
      <c r="C516" s="52"/>
      <c r="D516" s="52"/>
      <c r="E516" s="52"/>
      <c r="F516" s="52"/>
      <c r="G516" s="52"/>
      <c r="H516" s="52"/>
      <c r="I516" s="52"/>
      <c r="J516" s="52"/>
      <c r="K516" s="52"/>
      <c r="L516" s="52"/>
      <c r="M516" s="52"/>
      <c r="N516" s="52"/>
      <c r="O516" s="52"/>
      <c r="P516" s="61"/>
      <c r="Q516" s="61"/>
      <c r="R516" s="205"/>
      <c r="S516" s="52"/>
      <c r="T516" s="52"/>
      <c r="U516" s="52"/>
      <c r="V516" s="52"/>
      <c r="W516" s="52"/>
      <c r="X516" s="52"/>
      <c r="Y516" s="52"/>
      <c r="Z516" s="52"/>
      <c r="AA516" s="52"/>
      <c r="AB516" s="53"/>
    </row>
    <row r="517">
      <c r="A517" s="52"/>
      <c r="B517" s="52"/>
      <c r="C517" s="52"/>
      <c r="D517" s="52"/>
      <c r="E517" s="52"/>
      <c r="F517" s="52"/>
      <c r="G517" s="52"/>
      <c r="H517" s="52"/>
      <c r="I517" s="52"/>
      <c r="J517" s="52"/>
      <c r="K517" s="52"/>
      <c r="L517" s="52"/>
      <c r="M517" s="52"/>
      <c r="N517" s="52"/>
      <c r="O517" s="52"/>
      <c r="P517" s="61"/>
      <c r="Q517" s="61"/>
      <c r="R517" s="205"/>
      <c r="S517" s="52"/>
      <c r="T517" s="52"/>
      <c r="U517" s="52"/>
      <c r="V517" s="52"/>
      <c r="W517" s="52"/>
      <c r="X517" s="52"/>
      <c r="Y517" s="52"/>
      <c r="Z517" s="52"/>
      <c r="AA517" s="52"/>
      <c r="AB517" s="53"/>
    </row>
    <row r="518">
      <c r="A518" s="52"/>
      <c r="B518" s="52"/>
      <c r="C518" s="52"/>
      <c r="D518" s="52"/>
      <c r="E518" s="52"/>
      <c r="F518" s="52"/>
      <c r="G518" s="52"/>
      <c r="H518" s="52"/>
      <c r="I518" s="52"/>
      <c r="J518" s="52"/>
      <c r="K518" s="52"/>
      <c r="L518" s="52"/>
      <c r="M518" s="52"/>
      <c r="N518" s="52"/>
      <c r="O518" s="52"/>
      <c r="P518" s="61"/>
      <c r="Q518" s="61"/>
      <c r="R518" s="205"/>
      <c r="S518" s="52"/>
      <c r="T518" s="52"/>
      <c r="U518" s="52"/>
      <c r="V518" s="52"/>
      <c r="W518" s="52"/>
      <c r="X518" s="52"/>
      <c r="Y518" s="52"/>
      <c r="Z518" s="52"/>
      <c r="AA518" s="52"/>
      <c r="AB518" s="53"/>
    </row>
    <row r="519">
      <c r="A519" s="52"/>
      <c r="B519" s="52"/>
      <c r="C519" s="52"/>
      <c r="D519" s="52"/>
      <c r="E519" s="52"/>
      <c r="F519" s="52"/>
      <c r="G519" s="52"/>
      <c r="H519" s="52"/>
      <c r="I519" s="52"/>
      <c r="J519" s="52"/>
      <c r="K519" s="52"/>
      <c r="L519" s="52"/>
      <c r="M519" s="52"/>
      <c r="N519" s="52"/>
      <c r="O519" s="52"/>
      <c r="P519" s="61"/>
      <c r="Q519" s="61"/>
      <c r="R519" s="205"/>
      <c r="S519" s="52"/>
      <c r="T519" s="52"/>
      <c r="U519" s="52"/>
      <c r="V519" s="52"/>
      <c r="W519" s="52"/>
      <c r="X519" s="52"/>
      <c r="Y519" s="52"/>
      <c r="Z519" s="52"/>
      <c r="AA519" s="52"/>
      <c r="AB519" s="53"/>
    </row>
    <row r="520">
      <c r="A520" s="52"/>
      <c r="B520" s="52"/>
      <c r="C520" s="52"/>
      <c r="D520" s="52"/>
      <c r="E520" s="52"/>
      <c r="F520" s="52"/>
      <c r="G520" s="52"/>
      <c r="H520" s="52"/>
      <c r="I520" s="52"/>
      <c r="J520" s="52"/>
      <c r="K520" s="52"/>
      <c r="L520" s="52"/>
      <c r="M520" s="52"/>
      <c r="N520" s="52"/>
      <c r="O520" s="52"/>
      <c r="P520" s="61"/>
      <c r="Q520" s="61"/>
      <c r="R520" s="205"/>
      <c r="S520" s="52"/>
      <c r="T520" s="52"/>
      <c r="U520" s="52"/>
      <c r="V520" s="52"/>
      <c r="W520" s="52"/>
      <c r="X520" s="52"/>
      <c r="Y520" s="52"/>
      <c r="Z520" s="52"/>
      <c r="AA520" s="52"/>
      <c r="AB520" s="53"/>
    </row>
    <row r="521">
      <c r="A521" s="52"/>
      <c r="B521" s="52"/>
      <c r="C521" s="52"/>
      <c r="D521" s="52"/>
      <c r="E521" s="52"/>
      <c r="F521" s="52"/>
      <c r="G521" s="52"/>
      <c r="H521" s="52"/>
      <c r="I521" s="52"/>
      <c r="J521" s="52"/>
      <c r="K521" s="52"/>
      <c r="L521" s="52"/>
      <c r="M521" s="52"/>
      <c r="N521" s="52"/>
      <c r="O521" s="52"/>
      <c r="P521" s="61"/>
      <c r="Q521" s="61"/>
      <c r="R521" s="205"/>
      <c r="S521" s="52"/>
      <c r="T521" s="52"/>
      <c r="U521" s="52"/>
      <c r="V521" s="52"/>
      <c r="W521" s="52"/>
      <c r="X521" s="52"/>
      <c r="Y521" s="52"/>
      <c r="Z521" s="52"/>
      <c r="AA521" s="52"/>
      <c r="AB521" s="53"/>
    </row>
    <row r="522">
      <c r="A522" s="52"/>
      <c r="B522" s="52"/>
      <c r="C522" s="52"/>
      <c r="D522" s="52"/>
      <c r="E522" s="52"/>
      <c r="F522" s="52"/>
      <c r="G522" s="52"/>
      <c r="H522" s="52"/>
      <c r="I522" s="52"/>
      <c r="J522" s="52"/>
      <c r="K522" s="52"/>
      <c r="L522" s="52"/>
      <c r="M522" s="52"/>
      <c r="N522" s="52"/>
      <c r="O522" s="52"/>
      <c r="P522" s="61"/>
      <c r="Q522" s="61"/>
      <c r="R522" s="205"/>
      <c r="S522" s="52"/>
      <c r="T522" s="52"/>
      <c r="U522" s="52"/>
      <c r="V522" s="52"/>
      <c r="W522" s="52"/>
      <c r="X522" s="52"/>
      <c r="Y522" s="52"/>
      <c r="Z522" s="52"/>
      <c r="AA522" s="52"/>
      <c r="AB522" s="53"/>
    </row>
    <row r="523">
      <c r="A523" s="52"/>
      <c r="B523" s="52"/>
      <c r="C523" s="52"/>
      <c r="D523" s="52"/>
      <c r="E523" s="52"/>
      <c r="F523" s="52"/>
      <c r="G523" s="52"/>
      <c r="H523" s="52"/>
      <c r="I523" s="52"/>
      <c r="J523" s="52"/>
      <c r="K523" s="52"/>
      <c r="L523" s="52"/>
      <c r="M523" s="52"/>
      <c r="N523" s="52"/>
      <c r="O523" s="52"/>
      <c r="P523" s="61"/>
      <c r="Q523" s="61"/>
      <c r="R523" s="205"/>
      <c r="S523" s="52"/>
      <c r="T523" s="52"/>
      <c r="U523" s="52"/>
      <c r="V523" s="52"/>
      <c r="W523" s="52"/>
      <c r="X523" s="52"/>
      <c r="Y523" s="52"/>
      <c r="Z523" s="52"/>
      <c r="AA523" s="52"/>
      <c r="AB523" s="53"/>
    </row>
    <row r="524">
      <c r="A524" s="52"/>
      <c r="B524" s="52"/>
      <c r="C524" s="52"/>
      <c r="D524" s="52"/>
      <c r="E524" s="52"/>
      <c r="F524" s="52"/>
      <c r="G524" s="52"/>
      <c r="H524" s="52"/>
      <c r="I524" s="52"/>
      <c r="J524" s="52"/>
      <c r="K524" s="52"/>
      <c r="L524" s="52"/>
      <c r="M524" s="52"/>
      <c r="N524" s="52"/>
      <c r="O524" s="52"/>
      <c r="P524" s="61"/>
      <c r="Q524" s="61"/>
      <c r="R524" s="205"/>
      <c r="S524" s="52"/>
      <c r="T524" s="52"/>
      <c r="U524" s="52"/>
      <c r="V524" s="52"/>
      <c r="W524" s="52"/>
      <c r="X524" s="52"/>
      <c r="Y524" s="52"/>
      <c r="Z524" s="52"/>
      <c r="AA524" s="52"/>
      <c r="AB524" s="53"/>
    </row>
    <row r="525">
      <c r="A525" s="52"/>
      <c r="B525" s="52"/>
      <c r="C525" s="52"/>
      <c r="D525" s="52"/>
      <c r="E525" s="52"/>
      <c r="F525" s="52"/>
      <c r="G525" s="52"/>
      <c r="H525" s="52"/>
      <c r="I525" s="52"/>
      <c r="J525" s="52"/>
      <c r="K525" s="52"/>
      <c r="L525" s="52"/>
      <c r="M525" s="52"/>
      <c r="N525" s="52"/>
      <c r="O525" s="52"/>
      <c r="P525" s="61"/>
      <c r="Q525" s="61"/>
      <c r="R525" s="205"/>
      <c r="S525" s="52"/>
      <c r="T525" s="52"/>
      <c r="U525" s="52"/>
      <c r="V525" s="52"/>
      <c r="W525" s="52"/>
      <c r="X525" s="52"/>
      <c r="Y525" s="52"/>
      <c r="Z525" s="52"/>
      <c r="AA525" s="52"/>
      <c r="AB525" s="53"/>
    </row>
    <row r="526">
      <c r="A526" s="52"/>
      <c r="B526" s="52"/>
      <c r="C526" s="52"/>
      <c r="D526" s="52"/>
      <c r="E526" s="52"/>
      <c r="F526" s="52"/>
      <c r="G526" s="52"/>
      <c r="H526" s="52"/>
      <c r="I526" s="52"/>
      <c r="J526" s="52"/>
      <c r="K526" s="52"/>
      <c r="L526" s="52"/>
      <c r="M526" s="52"/>
      <c r="N526" s="52"/>
      <c r="O526" s="52"/>
      <c r="P526" s="61"/>
      <c r="Q526" s="61"/>
      <c r="R526" s="205"/>
      <c r="S526" s="52"/>
      <c r="T526" s="52"/>
      <c r="U526" s="52"/>
      <c r="V526" s="52"/>
      <c r="W526" s="52"/>
      <c r="X526" s="52"/>
      <c r="Y526" s="52"/>
      <c r="Z526" s="52"/>
      <c r="AA526" s="52"/>
      <c r="AB526" s="53"/>
    </row>
    <row r="527">
      <c r="A527" s="52"/>
      <c r="B527" s="52"/>
      <c r="C527" s="52"/>
      <c r="D527" s="52"/>
      <c r="E527" s="52"/>
      <c r="F527" s="52"/>
      <c r="G527" s="52"/>
      <c r="H527" s="52"/>
      <c r="I527" s="52"/>
      <c r="J527" s="52"/>
      <c r="K527" s="52"/>
      <c r="L527" s="52"/>
      <c r="M527" s="52"/>
      <c r="N527" s="52"/>
      <c r="O527" s="52"/>
      <c r="P527" s="61"/>
      <c r="Q527" s="61"/>
      <c r="R527" s="205"/>
      <c r="S527" s="52"/>
      <c r="T527" s="52"/>
      <c r="U527" s="52"/>
      <c r="V527" s="52"/>
      <c r="W527" s="52"/>
      <c r="X527" s="52"/>
      <c r="Y527" s="52"/>
      <c r="Z527" s="52"/>
      <c r="AA527" s="52"/>
      <c r="AB527" s="53"/>
    </row>
    <row r="528">
      <c r="A528" s="52"/>
      <c r="B528" s="52"/>
      <c r="C528" s="52"/>
      <c r="D528" s="52"/>
      <c r="E528" s="52"/>
      <c r="F528" s="52"/>
      <c r="G528" s="52"/>
      <c r="H528" s="52"/>
      <c r="I528" s="52"/>
      <c r="J528" s="52"/>
      <c r="K528" s="52"/>
      <c r="L528" s="52"/>
      <c r="M528" s="52"/>
      <c r="N528" s="52"/>
      <c r="O528" s="52"/>
      <c r="P528" s="61"/>
      <c r="Q528" s="61"/>
      <c r="R528" s="205"/>
      <c r="S528" s="52"/>
      <c r="T528" s="52"/>
      <c r="U528" s="52"/>
      <c r="V528" s="52"/>
      <c r="W528" s="52"/>
      <c r="X528" s="52"/>
      <c r="Y528" s="52"/>
      <c r="Z528" s="52"/>
      <c r="AA528" s="52"/>
      <c r="AB528" s="53"/>
    </row>
    <row r="529">
      <c r="A529" s="52"/>
      <c r="B529" s="52"/>
      <c r="C529" s="52"/>
      <c r="D529" s="52"/>
      <c r="E529" s="52"/>
      <c r="F529" s="52"/>
      <c r="G529" s="52"/>
      <c r="H529" s="52"/>
      <c r="I529" s="52"/>
      <c r="J529" s="52"/>
      <c r="K529" s="52"/>
      <c r="L529" s="52"/>
      <c r="M529" s="52"/>
      <c r="N529" s="52"/>
      <c r="O529" s="52"/>
      <c r="P529" s="61"/>
      <c r="Q529" s="61"/>
      <c r="R529" s="205"/>
      <c r="S529" s="52"/>
      <c r="T529" s="52"/>
      <c r="U529" s="52"/>
      <c r="V529" s="52"/>
      <c r="W529" s="52"/>
      <c r="X529" s="52"/>
      <c r="Y529" s="52"/>
      <c r="Z529" s="52"/>
      <c r="AA529" s="52"/>
      <c r="AB529" s="53"/>
    </row>
    <row r="530">
      <c r="A530" s="52"/>
      <c r="B530" s="52"/>
      <c r="C530" s="52"/>
      <c r="D530" s="52"/>
      <c r="E530" s="52"/>
      <c r="F530" s="52"/>
      <c r="G530" s="52"/>
      <c r="H530" s="52"/>
      <c r="I530" s="52"/>
      <c r="J530" s="52"/>
      <c r="K530" s="52"/>
      <c r="L530" s="52"/>
      <c r="M530" s="52"/>
      <c r="N530" s="52"/>
      <c r="O530" s="52"/>
      <c r="P530" s="61"/>
      <c r="Q530" s="61"/>
      <c r="R530" s="205"/>
      <c r="S530" s="52"/>
      <c r="T530" s="52"/>
      <c r="U530" s="52"/>
      <c r="V530" s="52"/>
      <c r="W530" s="52"/>
      <c r="X530" s="52"/>
      <c r="Y530" s="52"/>
      <c r="Z530" s="52"/>
      <c r="AA530" s="52"/>
      <c r="AB530" s="53"/>
    </row>
    <row r="531">
      <c r="A531" s="52"/>
      <c r="B531" s="52"/>
      <c r="C531" s="52"/>
      <c r="D531" s="52"/>
      <c r="E531" s="52"/>
      <c r="F531" s="52"/>
      <c r="G531" s="52"/>
      <c r="H531" s="52"/>
      <c r="I531" s="52"/>
      <c r="J531" s="52"/>
      <c r="K531" s="52"/>
      <c r="L531" s="52"/>
      <c r="M531" s="52"/>
      <c r="N531" s="52"/>
      <c r="O531" s="52"/>
      <c r="P531" s="61"/>
      <c r="Q531" s="61"/>
      <c r="R531" s="205"/>
      <c r="S531" s="52"/>
      <c r="T531" s="52"/>
      <c r="U531" s="52"/>
      <c r="V531" s="52"/>
      <c r="W531" s="52"/>
      <c r="X531" s="52"/>
      <c r="Y531" s="52"/>
      <c r="Z531" s="52"/>
      <c r="AA531" s="52"/>
      <c r="AB531" s="53"/>
    </row>
    <row r="532">
      <c r="A532" s="52"/>
      <c r="B532" s="52"/>
      <c r="C532" s="52"/>
      <c r="D532" s="52"/>
      <c r="E532" s="52"/>
      <c r="F532" s="52"/>
      <c r="G532" s="52"/>
      <c r="H532" s="52"/>
      <c r="I532" s="52"/>
      <c r="J532" s="52"/>
      <c r="K532" s="52"/>
      <c r="L532" s="52"/>
      <c r="M532" s="52"/>
      <c r="N532" s="52"/>
      <c r="O532" s="52"/>
      <c r="P532" s="61"/>
      <c r="Q532" s="61"/>
      <c r="R532" s="205"/>
      <c r="S532" s="52"/>
      <c r="T532" s="52"/>
      <c r="U532" s="52"/>
      <c r="V532" s="52"/>
      <c r="W532" s="52"/>
      <c r="X532" s="52"/>
      <c r="Y532" s="52"/>
      <c r="Z532" s="52"/>
      <c r="AA532" s="52"/>
      <c r="AB532" s="53"/>
    </row>
    <row r="533">
      <c r="A533" s="52"/>
      <c r="B533" s="52"/>
      <c r="C533" s="52"/>
      <c r="D533" s="52"/>
      <c r="E533" s="52"/>
      <c r="F533" s="52"/>
      <c r="G533" s="52"/>
      <c r="H533" s="52"/>
      <c r="I533" s="52"/>
      <c r="J533" s="52"/>
      <c r="K533" s="52"/>
      <c r="L533" s="52"/>
      <c r="M533" s="52"/>
      <c r="N533" s="52"/>
      <c r="O533" s="52"/>
      <c r="P533" s="61"/>
      <c r="Q533" s="61"/>
      <c r="R533" s="205"/>
      <c r="S533" s="52"/>
      <c r="T533" s="52"/>
      <c r="U533" s="52"/>
      <c r="V533" s="52"/>
      <c r="W533" s="52"/>
      <c r="X533" s="52"/>
      <c r="Y533" s="52"/>
      <c r="Z533" s="52"/>
      <c r="AA533" s="52"/>
      <c r="AB533" s="53"/>
    </row>
    <row r="534">
      <c r="A534" s="52"/>
      <c r="B534" s="52"/>
      <c r="C534" s="52"/>
      <c r="D534" s="52"/>
      <c r="E534" s="52"/>
      <c r="F534" s="52"/>
      <c r="G534" s="52"/>
      <c r="H534" s="52"/>
      <c r="I534" s="52"/>
      <c r="J534" s="52"/>
      <c r="K534" s="52"/>
      <c r="L534" s="52"/>
      <c r="M534" s="52"/>
      <c r="N534" s="52"/>
      <c r="O534" s="52"/>
      <c r="P534" s="61"/>
      <c r="Q534" s="61"/>
      <c r="R534" s="205"/>
      <c r="S534" s="52"/>
      <c r="T534" s="52"/>
      <c r="U534" s="52"/>
      <c r="V534" s="52"/>
      <c r="W534" s="52"/>
      <c r="X534" s="52"/>
      <c r="Y534" s="52"/>
      <c r="Z534" s="52"/>
      <c r="AA534" s="52"/>
      <c r="AB534" s="53"/>
    </row>
    <row r="535">
      <c r="A535" s="52"/>
      <c r="B535" s="52"/>
      <c r="C535" s="52"/>
      <c r="D535" s="52"/>
      <c r="E535" s="52"/>
      <c r="F535" s="52"/>
      <c r="G535" s="52"/>
      <c r="H535" s="52"/>
      <c r="I535" s="52"/>
      <c r="J535" s="52"/>
      <c r="K535" s="52"/>
      <c r="L535" s="52"/>
      <c r="M535" s="52"/>
      <c r="N535" s="52"/>
      <c r="O535" s="52"/>
      <c r="P535" s="61"/>
      <c r="Q535" s="61"/>
      <c r="R535" s="205"/>
      <c r="S535" s="52"/>
      <c r="T535" s="52"/>
      <c r="U535" s="52"/>
      <c r="V535" s="52"/>
      <c r="W535" s="52"/>
      <c r="X535" s="52"/>
      <c r="Y535" s="52"/>
      <c r="Z535" s="52"/>
      <c r="AA535" s="52"/>
      <c r="AB535" s="53"/>
    </row>
    <row r="536">
      <c r="A536" s="52"/>
      <c r="B536" s="52"/>
      <c r="C536" s="52"/>
      <c r="D536" s="52"/>
      <c r="E536" s="52"/>
      <c r="F536" s="52"/>
      <c r="G536" s="52"/>
      <c r="H536" s="52"/>
      <c r="I536" s="52"/>
      <c r="J536" s="52"/>
      <c r="K536" s="52"/>
      <c r="L536" s="52"/>
      <c r="M536" s="52"/>
      <c r="N536" s="52"/>
      <c r="O536" s="52"/>
      <c r="P536" s="61"/>
      <c r="Q536" s="61"/>
      <c r="R536" s="205"/>
      <c r="S536" s="52"/>
      <c r="T536" s="52"/>
      <c r="U536" s="52"/>
      <c r="V536" s="52"/>
      <c r="W536" s="52"/>
      <c r="X536" s="52"/>
      <c r="Y536" s="52"/>
      <c r="Z536" s="52"/>
      <c r="AA536" s="52"/>
      <c r="AB536" s="53"/>
    </row>
    <row r="537">
      <c r="A537" s="52"/>
      <c r="B537" s="52"/>
      <c r="C537" s="52"/>
      <c r="D537" s="52"/>
      <c r="E537" s="52"/>
      <c r="F537" s="52"/>
      <c r="G537" s="52"/>
      <c r="H537" s="52"/>
      <c r="I537" s="52"/>
      <c r="J537" s="52"/>
      <c r="K537" s="52"/>
      <c r="L537" s="52"/>
      <c r="M537" s="52"/>
      <c r="N537" s="52"/>
      <c r="O537" s="52"/>
      <c r="P537" s="61"/>
      <c r="Q537" s="61"/>
      <c r="R537" s="205"/>
      <c r="S537" s="52"/>
      <c r="T537" s="52"/>
      <c r="U537" s="52"/>
      <c r="V537" s="52"/>
      <c r="W537" s="52"/>
      <c r="X537" s="52"/>
      <c r="Y537" s="52"/>
      <c r="Z537" s="52"/>
      <c r="AA537" s="52"/>
      <c r="AB537" s="53"/>
    </row>
    <row r="538">
      <c r="A538" s="52"/>
      <c r="B538" s="52"/>
      <c r="C538" s="52"/>
      <c r="D538" s="52"/>
      <c r="E538" s="52"/>
      <c r="F538" s="52"/>
      <c r="G538" s="52"/>
      <c r="H538" s="52"/>
      <c r="I538" s="52"/>
      <c r="J538" s="52"/>
      <c r="K538" s="52"/>
      <c r="L538" s="52"/>
      <c r="M538" s="52"/>
      <c r="N538" s="52"/>
      <c r="O538" s="52"/>
      <c r="P538" s="61"/>
      <c r="Q538" s="61"/>
      <c r="R538" s="205"/>
      <c r="S538" s="52"/>
      <c r="T538" s="52"/>
      <c r="U538" s="52"/>
      <c r="V538" s="52"/>
      <c r="W538" s="52"/>
      <c r="X538" s="52"/>
      <c r="Y538" s="52"/>
      <c r="Z538" s="52"/>
      <c r="AA538" s="52"/>
      <c r="AB538" s="53"/>
    </row>
    <row r="539">
      <c r="A539" s="52"/>
      <c r="B539" s="52"/>
      <c r="C539" s="52"/>
      <c r="D539" s="52"/>
      <c r="E539" s="52"/>
      <c r="F539" s="52"/>
      <c r="G539" s="52"/>
      <c r="H539" s="52"/>
      <c r="I539" s="52"/>
      <c r="J539" s="52"/>
      <c r="K539" s="52"/>
      <c r="L539" s="52"/>
      <c r="M539" s="52"/>
      <c r="N539" s="52"/>
      <c r="O539" s="52"/>
      <c r="P539" s="61"/>
      <c r="Q539" s="61"/>
      <c r="R539" s="205"/>
      <c r="S539" s="52"/>
      <c r="T539" s="52"/>
      <c r="U539" s="52"/>
      <c r="V539" s="52"/>
      <c r="W539" s="52"/>
      <c r="X539" s="52"/>
      <c r="Y539" s="52"/>
      <c r="Z539" s="52"/>
      <c r="AA539" s="52"/>
      <c r="AB539" s="53"/>
    </row>
    <row r="540">
      <c r="A540" s="52"/>
      <c r="B540" s="52"/>
      <c r="C540" s="52"/>
      <c r="D540" s="52"/>
      <c r="E540" s="52"/>
      <c r="F540" s="52"/>
      <c r="G540" s="52"/>
      <c r="H540" s="52"/>
      <c r="I540" s="52"/>
      <c r="J540" s="52"/>
      <c r="K540" s="52"/>
      <c r="L540" s="52"/>
      <c r="M540" s="52"/>
      <c r="N540" s="52"/>
      <c r="O540" s="52"/>
      <c r="P540" s="61"/>
      <c r="Q540" s="61"/>
      <c r="R540" s="205"/>
      <c r="S540" s="52"/>
      <c r="T540" s="52"/>
      <c r="U540" s="52"/>
      <c r="V540" s="52"/>
      <c r="W540" s="52"/>
      <c r="X540" s="52"/>
      <c r="Y540" s="52"/>
      <c r="Z540" s="52"/>
      <c r="AA540" s="52"/>
      <c r="AB540" s="53"/>
    </row>
    <row r="541">
      <c r="A541" s="52"/>
      <c r="B541" s="52"/>
      <c r="C541" s="52"/>
      <c r="D541" s="52"/>
      <c r="E541" s="52"/>
      <c r="F541" s="52"/>
      <c r="G541" s="52"/>
      <c r="H541" s="52"/>
      <c r="I541" s="52"/>
      <c r="J541" s="52"/>
      <c r="K541" s="52"/>
      <c r="L541" s="52"/>
      <c r="M541" s="52"/>
      <c r="N541" s="52"/>
      <c r="O541" s="52"/>
      <c r="P541" s="61"/>
      <c r="Q541" s="61"/>
      <c r="R541" s="205"/>
      <c r="S541" s="52"/>
      <c r="T541" s="52"/>
      <c r="U541" s="52"/>
      <c r="V541" s="52"/>
      <c r="W541" s="52"/>
      <c r="X541" s="52"/>
      <c r="Y541" s="52"/>
      <c r="Z541" s="52"/>
      <c r="AA541" s="52"/>
      <c r="AB541" s="53"/>
    </row>
    <row r="542">
      <c r="A542" s="52"/>
      <c r="B542" s="52"/>
      <c r="C542" s="52"/>
      <c r="D542" s="52"/>
      <c r="E542" s="52"/>
      <c r="F542" s="52"/>
      <c r="G542" s="52"/>
      <c r="H542" s="52"/>
      <c r="I542" s="52"/>
      <c r="J542" s="52"/>
      <c r="K542" s="52"/>
      <c r="L542" s="52"/>
      <c r="M542" s="52"/>
      <c r="N542" s="52"/>
      <c r="O542" s="52"/>
      <c r="P542" s="61"/>
      <c r="Q542" s="61"/>
      <c r="R542" s="205"/>
      <c r="S542" s="52"/>
      <c r="T542" s="52"/>
      <c r="U542" s="52"/>
      <c r="V542" s="52"/>
      <c r="W542" s="52"/>
      <c r="X542" s="52"/>
      <c r="Y542" s="52"/>
      <c r="Z542" s="52"/>
      <c r="AA542" s="52"/>
      <c r="AB542" s="53"/>
    </row>
    <row r="543">
      <c r="A543" s="52"/>
      <c r="B543" s="52"/>
      <c r="C543" s="52"/>
      <c r="D543" s="52"/>
      <c r="E543" s="52"/>
      <c r="F543" s="52"/>
      <c r="G543" s="52"/>
      <c r="H543" s="52"/>
      <c r="I543" s="52"/>
      <c r="J543" s="52"/>
      <c r="K543" s="52"/>
      <c r="L543" s="52"/>
      <c r="M543" s="52"/>
      <c r="N543" s="52"/>
      <c r="O543" s="52"/>
      <c r="P543" s="61"/>
      <c r="Q543" s="61"/>
      <c r="R543" s="205"/>
      <c r="S543" s="52"/>
      <c r="T543" s="52"/>
      <c r="U543" s="52"/>
      <c r="V543" s="52"/>
      <c r="W543" s="52"/>
      <c r="X543" s="52"/>
      <c r="Y543" s="52"/>
      <c r="Z543" s="52"/>
      <c r="AA543" s="52"/>
      <c r="AB543" s="53"/>
    </row>
    <row r="544">
      <c r="A544" s="52"/>
      <c r="B544" s="52"/>
      <c r="C544" s="52"/>
      <c r="D544" s="52"/>
      <c r="E544" s="52"/>
      <c r="F544" s="52"/>
      <c r="G544" s="52"/>
      <c r="H544" s="52"/>
      <c r="I544" s="52"/>
      <c r="J544" s="52"/>
      <c r="K544" s="52"/>
      <c r="L544" s="52"/>
      <c r="M544" s="52"/>
      <c r="N544" s="52"/>
      <c r="O544" s="52"/>
      <c r="P544" s="61"/>
      <c r="Q544" s="61"/>
      <c r="R544" s="205"/>
      <c r="S544" s="52"/>
      <c r="T544" s="52"/>
      <c r="U544" s="52"/>
      <c r="V544" s="52"/>
      <c r="W544" s="52"/>
      <c r="X544" s="52"/>
      <c r="Y544" s="52"/>
      <c r="Z544" s="52"/>
      <c r="AA544" s="52"/>
      <c r="AB544" s="53"/>
    </row>
    <row r="545">
      <c r="A545" s="52"/>
      <c r="B545" s="52"/>
      <c r="C545" s="52"/>
      <c r="D545" s="52"/>
      <c r="E545" s="52"/>
      <c r="F545" s="52"/>
      <c r="G545" s="52"/>
      <c r="H545" s="52"/>
      <c r="I545" s="52"/>
      <c r="J545" s="52"/>
      <c r="K545" s="52"/>
      <c r="L545" s="52"/>
      <c r="M545" s="52"/>
      <c r="N545" s="52"/>
      <c r="O545" s="52"/>
      <c r="P545" s="61"/>
      <c r="Q545" s="61"/>
      <c r="R545" s="205"/>
      <c r="S545" s="52"/>
      <c r="T545" s="52"/>
      <c r="U545" s="52"/>
      <c r="V545" s="52"/>
      <c r="W545" s="52"/>
      <c r="X545" s="52"/>
      <c r="Y545" s="52"/>
      <c r="Z545" s="52"/>
      <c r="AA545" s="52"/>
      <c r="AB545" s="53"/>
    </row>
    <row r="546">
      <c r="A546" s="52"/>
      <c r="B546" s="52"/>
      <c r="C546" s="52"/>
      <c r="D546" s="52"/>
      <c r="E546" s="52"/>
      <c r="F546" s="52"/>
      <c r="G546" s="52"/>
      <c r="H546" s="52"/>
      <c r="I546" s="52"/>
      <c r="J546" s="52"/>
      <c r="K546" s="52"/>
      <c r="L546" s="52"/>
      <c r="M546" s="52"/>
      <c r="N546" s="52"/>
      <c r="O546" s="52"/>
      <c r="P546" s="61"/>
      <c r="Q546" s="61"/>
      <c r="R546" s="205"/>
      <c r="S546" s="52"/>
      <c r="T546" s="52"/>
      <c r="U546" s="52"/>
      <c r="V546" s="52"/>
      <c r="W546" s="52"/>
      <c r="X546" s="52"/>
      <c r="Y546" s="52"/>
      <c r="Z546" s="52"/>
      <c r="AA546" s="52"/>
      <c r="AB546" s="53"/>
    </row>
    <row r="547">
      <c r="A547" s="52"/>
      <c r="B547" s="52"/>
      <c r="C547" s="52"/>
      <c r="D547" s="52"/>
      <c r="E547" s="52"/>
      <c r="F547" s="52"/>
      <c r="G547" s="52"/>
      <c r="H547" s="52"/>
      <c r="I547" s="52"/>
      <c r="J547" s="52"/>
      <c r="K547" s="52"/>
      <c r="L547" s="52"/>
      <c r="M547" s="52"/>
      <c r="N547" s="52"/>
      <c r="O547" s="52"/>
      <c r="P547" s="61"/>
      <c r="Q547" s="61"/>
      <c r="R547" s="205"/>
      <c r="S547" s="52"/>
      <c r="T547" s="52"/>
      <c r="U547" s="52"/>
      <c r="V547" s="52"/>
      <c r="W547" s="52"/>
      <c r="X547" s="52"/>
      <c r="Y547" s="52"/>
      <c r="Z547" s="52"/>
      <c r="AA547" s="52"/>
      <c r="AB547" s="53"/>
    </row>
    <row r="548">
      <c r="A548" s="52"/>
      <c r="B548" s="52"/>
      <c r="C548" s="52"/>
      <c r="D548" s="52"/>
      <c r="E548" s="52"/>
      <c r="F548" s="52"/>
      <c r="G548" s="52"/>
      <c r="H548" s="52"/>
      <c r="I548" s="52"/>
      <c r="J548" s="52"/>
      <c r="K548" s="52"/>
      <c r="L548" s="52"/>
      <c r="M548" s="52"/>
      <c r="N548" s="52"/>
      <c r="O548" s="52"/>
      <c r="P548" s="61"/>
      <c r="Q548" s="61"/>
      <c r="R548" s="205"/>
      <c r="S548" s="52"/>
      <c r="T548" s="52"/>
      <c r="U548" s="52"/>
      <c r="V548" s="52"/>
      <c r="W548" s="52"/>
      <c r="X548" s="52"/>
      <c r="Y548" s="52"/>
      <c r="Z548" s="52"/>
      <c r="AA548" s="52"/>
      <c r="AB548" s="53"/>
    </row>
    <row r="549">
      <c r="A549" s="52"/>
      <c r="B549" s="52"/>
      <c r="C549" s="52"/>
      <c r="D549" s="52"/>
      <c r="E549" s="52"/>
      <c r="F549" s="52"/>
      <c r="G549" s="52"/>
      <c r="H549" s="52"/>
      <c r="I549" s="52"/>
      <c r="J549" s="52"/>
      <c r="K549" s="52"/>
      <c r="L549" s="52"/>
      <c r="M549" s="52"/>
      <c r="N549" s="52"/>
      <c r="O549" s="52"/>
      <c r="P549" s="61"/>
      <c r="Q549" s="61"/>
      <c r="R549" s="205"/>
      <c r="S549" s="52"/>
      <c r="T549" s="52"/>
      <c r="U549" s="52"/>
      <c r="V549" s="52"/>
      <c r="W549" s="52"/>
      <c r="X549" s="52"/>
      <c r="Y549" s="52"/>
      <c r="Z549" s="52"/>
      <c r="AA549" s="52"/>
      <c r="AB549" s="53"/>
    </row>
    <row r="550">
      <c r="A550" s="52"/>
      <c r="B550" s="52"/>
      <c r="C550" s="52"/>
      <c r="D550" s="52"/>
      <c r="E550" s="52"/>
      <c r="F550" s="52"/>
      <c r="G550" s="52"/>
      <c r="H550" s="52"/>
      <c r="I550" s="52"/>
      <c r="J550" s="52"/>
      <c r="K550" s="52"/>
      <c r="L550" s="52"/>
      <c r="M550" s="52"/>
      <c r="N550" s="52"/>
      <c r="O550" s="52"/>
      <c r="P550" s="61"/>
      <c r="Q550" s="61"/>
      <c r="R550" s="205"/>
      <c r="S550" s="52"/>
      <c r="T550" s="52"/>
      <c r="U550" s="52"/>
      <c r="V550" s="52"/>
      <c r="W550" s="52"/>
      <c r="X550" s="52"/>
      <c r="Y550" s="52"/>
      <c r="Z550" s="52"/>
      <c r="AA550" s="52"/>
      <c r="AB550" s="53"/>
    </row>
    <row r="551">
      <c r="A551" s="52"/>
      <c r="B551" s="52"/>
      <c r="C551" s="52"/>
      <c r="D551" s="52"/>
      <c r="E551" s="52"/>
      <c r="F551" s="52"/>
      <c r="G551" s="52"/>
      <c r="H551" s="52"/>
      <c r="I551" s="52"/>
      <c r="J551" s="52"/>
      <c r="K551" s="52"/>
      <c r="L551" s="52"/>
      <c r="M551" s="52"/>
      <c r="N551" s="52"/>
      <c r="O551" s="52"/>
      <c r="P551" s="61"/>
      <c r="Q551" s="61"/>
      <c r="R551" s="205"/>
      <c r="S551" s="52"/>
      <c r="T551" s="52"/>
      <c r="U551" s="52"/>
      <c r="V551" s="52"/>
      <c r="W551" s="52"/>
      <c r="X551" s="52"/>
      <c r="Y551" s="52"/>
      <c r="Z551" s="52"/>
      <c r="AA551" s="52"/>
      <c r="AB551" s="53"/>
    </row>
    <row r="552">
      <c r="A552" s="52"/>
      <c r="B552" s="52"/>
      <c r="C552" s="52"/>
      <c r="D552" s="52"/>
      <c r="E552" s="52"/>
      <c r="F552" s="52"/>
      <c r="G552" s="52"/>
      <c r="H552" s="52"/>
      <c r="I552" s="52"/>
      <c r="J552" s="52"/>
      <c r="K552" s="52"/>
      <c r="L552" s="52"/>
      <c r="M552" s="52"/>
      <c r="N552" s="52"/>
      <c r="O552" s="52"/>
      <c r="P552" s="61"/>
      <c r="Q552" s="61"/>
      <c r="R552" s="205"/>
      <c r="S552" s="52"/>
      <c r="T552" s="52"/>
      <c r="U552" s="52"/>
      <c r="V552" s="52"/>
      <c r="W552" s="52"/>
      <c r="X552" s="52"/>
      <c r="Y552" s="52"/>
      <c r="Z552" s="52"/>
      <c r="AA552" s="52"/>
      <c r="AB552" s="53"/>
    </row>
    <row r="553">
      <c r="A553" s="52"/>
      <c r="B553" s="52"/>
      <c r="C553" s="52"/>
      <c r="D553" s="52"/>
      <c r="E553" s="52"/>
      <c r="F553" s="52"/>
      <c r="G553" s="52"/>
      <c r="H553" s="52"/>
      <c r="I553" s="52"/>
      <c r="J553" s="52"/>
      <c r="K553" s="52"/>
      <c r="L553" s="52"/>
      <c r="M553" s="52"/>
      <c r="N553" s="52"/>
      <c r="O553" s="52"/>
      <c r="P553" s="61"/>
      <c r="Q553" s="61"/>
      <c r="R553" s="205"/>
      <c r="S553" s="52"/>
      <c r="T553" s="52"/>
      <c r="U553" s="52"/>
      <c r="V553" s="52"/>
      <c r="W553" s="52"/>
      <c r="X553" s="52"/>
      <c r="Y553" s="52"/>
      <c r="Z553" s="52"/>
      <c r="AA553" s="52"/>
      <c r="AB553" s="53"/>
    </row>
    <row r="554">
      <c r="A554" s="52"/>
      <c r="B554" s="52"/>
      <c r="C554" s="52"/>
      <c r="D554" s="52"/>
      <c r="E554" s="52"/>
      <c r="F554" s="52"/>
      <c r="G554" s="52"/>
      <c r="H554" s="52"/>
      <c r="I554" s="52"/>
      <c r="J554" s="52"/>
      <c r="K554" s="52"/>
      <c r="L554" s="52"/>
      <c r="M554" s="52"/>
      <c r="N554" s="52"/>
      <c r="O554" s="52"/>
      <c r="P554" s="61"/>
      <c r="Q554" s="61"/>
      <c r="R554" s="205"/>
      <c r="S554" s="52"/>
      <c r="T554" s="52"/>
      <c r="U554" s="52"/>
      <c r="V554" s="52"/>
      <c r="W554" s="52"/>
      <c r="X554" s="52"/>
      <c r="Y554" s="52"/>
      <c r="Z554" s="52"/>
      <c r="AA554" s="52"/>
      <c r="AB554" s="53"/>
    </row>
    <row r="555">
      <c r="A555" s="52"/>
      <c r="B555" s="52"/>
      <c r="C555" s="52"/>
      <c r="D555" s="52"/>
      <c r="E555" s="52"/>
      <c r="F555" s="52"/>
      <c r="G555" s="52"/>
      <c r="H555" s="52"/>
      <c r="I555" s="52"/>
      <c r="J555" s="52"/>
      <c r="K555" s="52"/>
      <c r="L555" s="52"/>
      <c r="M555" s="52"/>
      <c r="N555" s="52"/>
      <c r="O555" s="52"/>
      <c r="P555" s="61"/>
      <c r="Q555" s="61"/>
      <c r="R555" s="205"/>
      <c r="S555" s="52"/>
      <c r="T555" s="52"/>
      <c r="U555" s="52"/>
      <c r="V555" s="52"/>
      <c r="W555" s="52"/>
      <c r="X555" s="52"/>
      <c r="Y555" s="52"/>
      <c r="Z555" s="52"/>
      <c r="AA555" s="52"/>
      <c r="AB555" s="53"/>
    </row>
    <row r="556">
      <c r="A556" s="52"/>
      <c r="B556" s="52"/>
      <c r="C556" s="52"/>
      <c r="D556" s="52"/>
      <c r="E556" s="52"/>
      <c r="F556" s="52"/>
      <c r="G556" s="52"/>
      <c r="H556" s="52"/>
      <c r="I556" s="52"/>
      <c r="J556" s="52"/>
      <c r="K556" s="52"/>
      <c r="L556" s="52"/>
      <c r="M556" s="52"/>
      <c r="N556" s="52"/>
      <c r="O556" s="52"/>
      <c r="P556" s="61"/>
      <c r="Q556" s="61"/>
      <c r="R556" s="205"/>
      <c r="S556" s="52"/>
      <c r="T556" s="52"/>
      <c r="U556" s="52"/>
      <c r="V556" s="52"/>
      <c r="W556" s="52"/>
      <c r="X556" s="52"/>
      <c r="Y556" s="52"/>
      <c r="Z556" s="52"/>
      <c r="AA556" s="52"/>
      <c r="AB556" s="53"/>
    </row>
    <row r="557">
      <c r="A557" s="52"/>
      <c r="B557" s="52"/>
      <c r="C557" s="52"/>
      <c r="D557" s="52"/>
      <c r="E557" s="52"/>
      <c r="F557" s="52"/>
      <c r="G557" s="52"/>
      <c r="H557" s="52"/>
      <c r="I557" s="52"/>
      <c r="J557" s="52"/>
      <c r="K557" s="52"/>
      <c r="L557" s="52"/>
      <c r="M557" s="52"/>
      <c r="N557" s="52"/>
      <c r="O557" s="52"/>
      <c r="P557" s="61"/>
      <c r="Q557" s="61"/>
      <c r="R557" s="205"/>
      <c r="S557" s="52"/>
      <c r="T557" s="52"/>
      <c r="U557" s="52"/>
      <c r="V557" s="52"/>
      <c r="W557" s="52"/>
      <c r="X557" s="52"/>
      <c r="Y557" s="52"/>
      <c r="Z557" s="52"/>
      <c r="AA557" s="52"/>
      <c r="AB557" s="53"/>
    </row>
    <row r="558">
      <c r="A558" s="52"/>
      <c r="B558" s="52"/>
      <c r="C558" s="52"/>
      <c r="D558" s="52"/>
      <c r="E558" s="52"/>
      <c r="F558" s="52"/>
      <c r="G558" s="52"/>
      <c r="H558" s="52"/>
      <c r="I558" s="52"/>
      <c r="J558" s="52"/>
      <c r="K558" s="52"/>
      <c r="L558" s="52"/>
      <c r="M558" s="52"/>
      <c r="N558" s="52"/>
      <c r="O558" s="52"/>
      <c r="P558" s="61"/>
      <c r="Q558" s="61"/>
      <c r="R558" s="205"/>
      <c r="S558" s="52"/>
      <c r="T558" s="52"/>
      <c r="U558" s="52"/>
      <c r="V558" s="52"/>
      <c r="W558" s="52"/>
      <c r="X558" s="52"/>
      <c r="Y558" s="52"/>
      <c r="Z558" s="52"/>
      <c r="AA558" s="52"/>
      <c r="AB558" s="53"/>
    </row>
    <row r="559">
      <c r="A559" s="52"/>
      <c r="B559" s="52"/>
      <c r="C559" s="52"/>
      <c r="D559" s="52"/>
      <c r="E559" s="52"/>
      <c r="F559" s="52"/>
      <c r="G559" s="52"/>
      <c r="H559" s="52"/>
      <c r="I559" s="52"/>
      <c r="J559" s="52"/>
      <c r="K559" s="52"/>
      <c r="L559" s="52"/>
      <c r="M559" s="52"/>
      <c r="N559" s="52"/>
      <c r="O559" s="52"/>
      <c r="P559" s="61"/>
      <c r="Q559" s="61"/>
      <c r="R559" s="205"/>
      <c r="S559" s="52"/>
      <c r="T559" s="52"/>
      <c r="U559" s="52"/>
      <c r="V559" s="52"/>
      <c r="W559" s="52"/>
      <c r="X559" s="52"/>
      <c r="Y559" s="52"/>
      <c r="Z559" s="52"/>
      <c r="AA559" s="52"/>
      <c r="AB559" s="53"/>
    </row>
    <row r="560">
      <c r="A560" s="52"/>
      <c r="B560" s="52"/>
      <c r="C560" s="52"/>
      <c r="D560" s="52"/>
      <c r="E560" s="52"/>
      <c r="F560" s="52"/>
      <c r="G560" s="52"/>
      <c r="H560" s="52"/>
      <c r="I560" s="52"/>
      <c r="J560" s="52"/>
      <c r="K560" s="52"/>
      <c r="L560" s="52"/>
      <c r="M560" s="52"/>
      <c r="N560" s="52"/>
      <c r="O560" s="52"/>
      <c r="P560" s="61"/>
      <c r="Q560" s="61"/>
      <c r="R560" s="205"/>
      <c r="S560" s="52"/>
      <c r="T560" s="52"/>
      <c r="U560" s="52"/>
      <c r="V560" s="52"/>
      <c r="W560" s="52"/>
      <c r="X560" s="52"/>
      <c r="Y560" s="52"/>
      <c r="Z560" s="52"/>
      <c r="AA560" s="52"/>
      <c r="AB560" s="53"/>
    </row>
    <row r="561">
      <c r="A561" s="52"/>
      <c r="B561" s="52"/>
      <c r="C561" s="52"/>
      <c r="D561" s="52"/>
      <c r="E561" s="52"/>
      <c r="F561" s="52"/>
      <c r="G561" s="52"/>
      <c r="H561" s="52"/>
      <c r="I561" s="52"/>
      <c r="J561" s="52"/>
      <c r="K561" s="52"/>
      <c r="L561" s="52"/>
      <c r="M561" s="52"/>
      <c r="N561" s="52"/>
      <c r="O561" s="52"/>
      <c r="P561" s="61"/>
      <c r="Q561" s="61"/>
      <c r="R561" s="205"/>
      <c r="S561" s="52"/>
      <c r="T561" s="52"/>
      <c r="U561" s="52"/>
      <c r="V561" s="52"/>
      <c r="W561" s="52"/>
      <c r="X561" s="52"/>
      <c r="Y561" s="52"/>
      <c r="Z561" s="52"/>
      <c r="AA561" s="52"/>
      <c r="AB561" s="53"/>
    </row>
    <row r="562">
      <c r="A562" s="52"/>
      <c r="B562" s="52"/>
      <c r="C562" s="52"/>
      <c r="D562" s="52"/>
      <c r="E562" s="52"/>
      <c r="F562" s="52"/>
      <c r="G562" s="52"/>
      <c r="H562" s="52"/>
      <c r="I562" s="52"/>
      <c r="J562" s="52"/>
      <c r="K562" s="52"/>
      <c r="L562" s="52"/>
      <c r="M562" s="52"/>
      <c r="N562" s="52"/>
      <c r="O562" s="52"/>
      <c r="P562" s="61"/>
      <c r="Q562" s="61"/>
      <c r="R562" s="205"/>
      <c r="S562" s="52"/>
      <c r="T562" s="52"/>
      <c r="U562" s="52"/>
      <c r="V562" s="52"/>
      <c r="W562" s="52"/>
      <c r="X562" s="52"/>
      <c r="Y562" s="52"/>
      <c r="Z562" s="52"/>
      <c r="AA562" s="52"/>
      <c r="AB562" s="53"/>
    </row>
    <row r="563">
      <c r="A563" s="52"/>
      <c r="B563" s="52"/>
      <c r="C563" s="52"/>
      <c r="D563" s="52"/>
      <c r="E563" s="52"/>
      <c r="F563" s="52"/>
      <c r="G563" s="52"/>
      <c r="H563" s="52"/>
      <c r="I563" s="52"/>
      <c r="J563" s="52"/>
      <c r="K563" s="52"/>
      <c r="L563" s="52"/>
      <c r="M563" s="52"/>
      <c r="N563" s="52"/>
      <c r="O563" s="52"/>
      <c r="P563" s="61"/>
      <c r="Q563" s="61"/>
      <c r="R563" s="205"/>
      <c r="S563" s="52"/>
      <c r="T563" s="52"/>
      <c r="U563" s="52"/>
      <c r="V563" s="52"/>
      <c r="W563" s="52"/>
      <c r="X563" s="52"/>
      <c r="Y563" s="52"/>
      <c r="Z563" s="52"/>
      <c r="AA563" s="52"/>
      <c r="AB563" s="53"/>
    </row>
    <row r="564">
      <c r="A564" s="52"/>
      <c r="B564" s="52"/>
      <c r="C564" s="52"/>
      <c r="D564" s="52"/>
      <c r="E564" s="52"/>
      <c r="F564" s="52"/>
      <c r="G564" s="52"/>
      <c r="H564" s="52"/>
      <c r="I564" s="52"/>
      <c r="J564" s="52"/>
      <c r="K564" s="52"/>
      <c r="L564" s="52"/>
      <c r="M564" s="52"/>
      <c r="N564" s="52"/>
      <c r="O564" s="52"/>
      <c r="P564" s="61"/>
      <c r="Q564" s="61"/>
      <c r="R564" s="205"/>
      <c r="S564" s="52"/>
      <c r="T564" s="52"/>
      <c r="U564" s="52"/>
      <c r="V564" s="52"/>
      <c r="W564" s="52"/>
      <c r="X564" s="52"/>
      <c r="Y564" s="52"/>
      <c r="Z564" s="52"/>
      <c r="AA564" s="52"/>
      <c r="AB564" s="53"/>
    </row>
    <row r="565">
      <c r="A565" s="52"/>
      <c r="B565" s="52"/>
      <c r="C565" s="52"/>
      <c r="D565" s="52"/>
      <c r="E565" s="52"/>
      <c r="F565" s="52"/>
      <c r="G565" s="52"/>
      <c r="H565" s="52"/>
      <c r="I565" s="52"/>
      <c r="J565" s="52"/>
      <c r="K565" s="52"/>
      <c r="L565" s="52"/>
      <c r="M565" s="52"/>
      <c r="N565" s="52"/>
      <c r="O565" s="52"/>
      <c r="P565" s="61"/>
      <c r="Q565" s="61"/>
      <c r="R565" s="205"/>
      <c r="S565" s="52"/>
      <c r="T565" s="52"/>
      <c r="U565" s="52"/>
      <c r="V565" s="52"/>
      <c r="W565" s="52"/>
      <c r="X565" s="52"/>
      <c r="Y565" s="52"/>
      <c r="Z565" s="52"/>
      <c r="AA565" s="52"/>
      <c r="AB565" s="53"/>
    </row>
    <row r="566">
      <c r="A566" s="52"/>
      <c r="B566" s="52"/>
      <c r="C566" s="52"/>
      <c r="D566" s="52"/>
      <c r="E566" s="52"/>
      <c r="F566" s="52"/>
      <c r="G566" s="52"/>
      <c r="H566" s="52"/>
      <c r="I566" s="52"/>
      <c r="J566" s="52"/>
      <c r="K566" s="52"/>
      <c r="L566" s="52"/>
      <c r="M566" s="52"/>
      <c r="N566" s="52"/>
      <c r="O566" s="52"/>
      <c r="P566" s="61"/>
      <c r="Q566" s="61"/>
      <c r="R566" s="205"/>
      <c r="S566" s="52"/>
      <c r="T566" s="52"/>
      <c r="U566" s="52"/>
      <c r="V566" s="52"/>
      <c r="W566" s="52"/>
      <c r="X566" s="52"/>
      <c r="Y566" s="52"/>
      <c r="Z566" s="52"/>
      <c r="AA566" s="52"/>
      <c r="AB566" s="53"/>
    </row>
    <row r="567">
      <c r="A567" s="52"/>
      <c r="B567" s="52"/>
      <c r="C567" s="52"/>
      <c r="D567" s="52"/>
      <c r="E567" s="52"/>
      <c r="F567" s="52"/>
      <c r="G567" s="52"/>
      <c r="H567" s="52"/>
      <c r="I567" s="52"/>
      <c r="J567" s="52"/>
      <c r="K567" s="52"/>
      <c r="L567" s="52"/>
      <c r="M567" s="52"/>
      <c r="N567" s="52"/>
      <c r="O567" s="52"/>
      <c r="P567" s="61"/>
      <c r="Q567" s="61"/>
      <c r="R567" s="205"/>
      <c r="S567" s="52"/>
      <c r="T567" s="52"/>
      <c r="U567" s="52"/>
      <c r="V567" s="52"/>
      <c r="W567" s="52"/>
      <c r="X567" s="52"/>
      <c r="Y567" s="52"/>
      <c r="Z567" s="52"/>
      <c r="AA567" s="52"/>
      <c r="AB567" s="53"/>
    </row>
    <row r="568">
      <c r="A568" s="52"/>
      <c r="B568" s="52"/>
      <c r="C568" s="52"/>
      <c r="D568" s="52"/>
      <c r="E568" s="52"/>
      <c r="F568" s="52"/>
      <c r="G568" s="52"/>
      <c r="H568" s="52"/>
      <c r="I568" s="52"/>
      <c r="J568" s="52"/>
      <c r="K568" s="52"/>
      <c r="L568" s="52"/>
      <c r="M568" s="52"/>
      <c r="N568" s="52"/>
      <c r="O568" s="52"/>
      <c r="P568" s="61"/>
      <c r="Q568" s="61"/>
      <c r="R568" s="205"/>
      <c r="S568" s="52"/>
      <c r="T568" s="52"/>
      <c r="U568" s="52"/>
      <c r="V568" s="52"/>
      <c r="W568" s="52"/>
      <c r="X568" s="52"/>
      <c r="Y568" s="52"/>
      <c r="Z568" s="52"/>
      <c r="AA568" s="52"/>
      <c r="AB568" s="53"/>
    </row>
    <row r="569">
      <c r="A569" s="52"/>
      <c r="B569" s="52"/>
      <c r="C569" s="52"/>
      <c r="D569" s="52"/>
      <c r="E569" s="52"/>
      <c r="F569" s="52"/>
      <c r="G569" s="52"/>
      <c r="H569" s="52"/>
      <c r="I569" s="52"/>
      <c r="J569" s="52"/>
      <c r="K569" s="52"/>
      <c r="L569" s="52"/>
      <c r="M569" s="52"/>
      <c r="N569" s="52"/>
      <c r="O569" s="52"/>
      <c r="P569" s="61"/>
      <c r="Q569" s="61"/>
      <c r="R569" s="205"/>
      <c r="S569" s="52"/>
      <c r="T569" s="52"/>
      <c r="U569" s="52"/>
      <c r="V569" s="52"/>
      <c r="W569" s="52"/>
      <c r="X569" s="52"/>
      <c r="Y569" s="52"/>
      <c r="Z569" s="52"/>
      <c r="AA569" s="52"/>
      <c r="AB569" s="53"/>
    </row>
    <row r="570">
      <c r="A570" s="52"/>
      <c r="B570" s="52"/>
      <c r="C570" s="52"/>
      <c r="D570" s="52"/>
      <c r="E570" s="52"/>
      <c r="F570" s="52"/>
      <c r="G570" s="52"/>
      <c r="H570" s="52"/>
      <c r="I570" s="52"/>
      <c r="J570" s="52"/>
      <c r="K570" s="52"/>
      <c r="L570" s="52"/>
      <c r="M570" s="52"/>
      <c r="N570" s="52"/>
      <c r="O570" s="52"/>
      <c r="P570" s="61"/>
      <c r="Q570" s="61"/>
      <c r="R570" s="205"/>
      <c r="S570" s="52"/>
      <c r="T570" s="52"/>
      <c r="U570" s="52"/>
      <c r="V570" s="52"/>
      <c r="W570" s="52"/>
      <c r="X570" s="52"/>
      <c r="Y570" s="52"/>
      <c r="Z570" s="52"/>
      <c r="AA570" s="52"/>
      <c r="AB570" s="53"/>
    </row>
    <row r="571">
      <c r="A571" s="52"/>
      <c r="B571" s="52"/>
      <c r="C571" s="52"/>
      <c r="D571" s="52"/>
      <c r="E571" s="52"/>
      <c r="F571" s="52"/>
      <c r="G571" s="52"/>
      <c r="H571" s="52"/>
      <c r="I571" s="52"/>
      <c r="J571" s="52"/>
      <c r="K571" s="52"/>
      <c r="L571" s="52"/>
      <c r="M571" s="52"/>
      <c r="N571" s="52"/>
      <c r="O571" s="52"/>
      <c r="P571" s="61"/>
      <c r="Q571" s="61"/>
      <c r="R571" s="205"/>
      <c r="S571" s="52"/>
      <c r="T571" s="52"/>
      <c r="U571" s="52"/>
      <c r="V571" s="52"/>
      <c r="W571" s="52"/>
      <c r="X571" s="52"/>
      <c r="Y571" s="52"/>
      <c r="Z571" s="52"/>
      <c r="AA571" s="52"/>
      <c r="AB571" s="53"/>
    </row>
    <row r="572">
      <c r="A572" s="52"/>
      <c r="B572" s="52"/>
      <c r="C572" s="52"/>
      <c r="D572" s="52"/>
      <c r="E572" s="52"/>
      <c r="F572" s="52"/>
      <c r="G572" s="52"/>
      <c r="H572" s="52"/>
      <c r="I572" s="52"/>
      <c r="J572" s="52"/>
      <c r="K572" s="52"/>
      <c r="L572" s="52"/>
      <c r="M572" s="52"/>
      <c r="N572" s="52"/>
      <c r="O572" s="52"/>
      <c r="P572" s="61"/>
      <c r="Q572" s="61"/>
      <c r="R572" s="205"/>
      <c r="S572" s="52"/>
      <c r="T572" s="52"/>
      <c r="U572" s="52"/>
      <c r="V572" s="52"/>
      <c r="W572" s="52"/>
      <c r="X572" s="52"/>
      <c r="Y572" s="52"/>
      <c r="Z572" s="52"/>
      <c r="AA572" s="52"/>
      <c r="AB572" s="53"/>
    </row>
    <row r="573">
      <c r="A573" s="52"/>
      <c r="B573" s="52"/>
      <c r="C573" s="52"/>
      <c r="D573" s="52"/>
      <c r="E573" s="52"/>
      <c r="F573" s="52"/>
      <c r="G573" s="52"/>
      <c r="H573" s="52"/>
      <c r="I573" s="52"/>
      <c r="J573" s="52"/>
      <c r="K573" s="52"/>
      <c r="L573" s="52"/>
      <c r="M573" s="52"/>
      <c r="N573" s="52"/>
      <c r="O573" s="52"/>
      <c r="P573" s="61"/>
      <c r="Q573" s="61"/>
      <c r="R573" s="205"/>
      <c r="S573" s="52"/>
      <c r="T573" s="52"/>
      <c r="U573" s="52"/>
      <c r="V573" s="52"/>
      <c r="W573" s="52"/>
      <c r="X573" s="52"/>
      <c r="Y573" s="52"/>
      <c r="Z573" s="52"/>
      <c r="AA573" s="52"/>
      <c r="AB573" s="53"/>
    </row>
    <row r="574">
      <c r="A574" s="52"/>
      <c r="B574" s="52"/>
      <c r="C574" s="52"/>
      <c r="D574" s="52"/>
      <c r="E574" s="52"/>
      <c r="F574" s="52"/>
      <c r="G574" s="52"/>
      <c r="H574" s="52"/>
      <c r="I574" s="52"/>
      <c r="J574" s="52"/>
      <c r="K574" s="52"/>
      <c r="L574" s="52"/>
      <c r="M574" s="52"/>
      <c r="N574" s="52"/>
      <c r="O574" s="52"/>
      <c r="P574" s="61"/>
      <c r="Q574" s="61"/>
      <c r="R574" s="205"/>
      <c r="S574" s="52"/>
      <c r="T574" s="52"/>
      <c r="U574" s="52"/>
      <c r="V574" s="52"/>
      <c r="W574" s="52"/>
      <c r="X574" s="52"/>
      <c r="Y574" s="52"/>
      <c r="Z574" s="52"/>
      <c r="AA574" s="52"/>
      <c r="AB574" s="53"/>
    </row>
    <row r="575">
      <c r="A575" s="52"/>
      <c r="B575" s="52"/>
      <c r="C575" s="52"/>
      <c r="D575" s="52"/>
      <c r="E575" s="52"/>
      <c r="F575" s="52"/>
      <c r="G575" s="52"/>
      <c r="H575" s="52"/>
      <c r="I575" s="52"/>
      <c r="J575" s="52"/>
      <c r="K575" s="52"/>
      <c r="L575" s="52"/>
      <c r="M575" s="52"/>
      <c r="N575" s="52"/>
      <c r="O575" s="52"/>
      <c r="P575" s="61"/>
      <c r="Q575" s="61"/>
      <c r="R575" s="205"/>
      <c r="S575" s="52"/>
      <c r="T575" s="52"/>
      <c r="U575" s="52"/>
      <c r="V575" s="52"/>
      <c r="W575" s="52"/>
      <c r="X575" s="52"/>
      <c r="Y575" s="52"/>
      <c r="Z575" s="52"/>
      <c r="AA575" s="52"/>
      <c r="AB575" s="53"/>
    </row>
    <row r="576">
      <c r="A576" s="52"/>
      <c r="B576" s="52"/>
      <c r="C576" s="52"/>
      <c r="D576" s="52"/>
      <c r="E576" s="52"/>
      <c r="F576" s="52"/>
      <c r="G576" s="52"/>
      <c r="H576" s="52"/>
      <c r="I576" s="52"/>
      <c r="J576" s="52"/>
      <c r="K576" s="52"/>
      <c r="L576" s="52"/>
      <c r="M576" s="52"/>
      <c r="N576" s="52"/>
      <c r="O576" s="52"/>
      <c r="P576" s="61"/>
      <c r="Q576" s="61"/>
      <c r="R576" s="205"/>
      <c r="S576" s="52"/>
      <c r="T576" s="52"/>
      <c r="U576" s="52"/>
      <c r="V576" s="52"/>
      <c r="W576" s="52"/>
      <c r="X576" s="52"/>
      <c r="Y576" s="52"/>
      <c r="Z576" s="52"/>
      <c r="AA576" s="52"/>
      <c r="AB576" s="53"/>
    </row>
    <row r="577">
      <c r="A577" s="52"/>
      <c r="B577" s="52"/>
      <c r="C577" s="52"/>
      <c r="D577" s="52"/>
      <c r="E577" s="52"/>
      <c r="F577" s="52"/>
      <c r="G577" s="52"/>
      <c r="H577" s="52"/>
      <c r="I577" s="52"/>
      <c r="J577" s="52"/>
      <c r="K577" s="52"/>
      <c r="L577" s="52"/>
      <c r="M577" s="52"/>
      <c r="N577" s="52"/>
      <c r="O577" s="52"/>
      <c r="P577" s="61"/>
      <c r="Q577" s="61"/>
      <c r="R577" s="205"/>
      <c r="S577" s="52"/>
      <c r="T577" s="52"/>
      <c r="U577" s="52"/>
      <c r="V577" s="52"/>
      <c r="W577" s="52"/>
      <c r="X577" s="52"/>
      <c r="Y577" s="52"/>
      <c r="Z577" s="52"/>
      <c r="AA577" s="52"/>
      <c r="AB577" s="53"/>
    </row>
    <row r="578">
      <c r="A578" s="52"/>
      <c r="B578" s="52"/>
      <c r="C578" s="52"/>
      <c r="D578" s="52"/>
      <c r="E578" s="52"/>
      <c r="F578" s="52"/>
      <c r="G578" s="52"/>
      <c r="H578" s="52"/>
      <c r="I578" s="52"/>
      <c r="J578" s="52"/>
      <c r="K578" s="52"/>
      <c r="L578" s="52"/>
      <c r="M578" s="52"/>
      <c r="N578" s="52"/>
      <c r="O578" s="52"/>
      <c r="P578" s="61"/>
      <c r="Q578" s="61"/>
      <c r="R578" s="205"/>
      <c r="S578" s="52"/>
      <c r="T578" s="52"/>
      <c r="U578" s="52"/>
      <c r="V578" s="52"/>
      <c r="W578" s="52"/>
      <c r="X578" s="52"/>
      <c r="Y578" s="52"/>
      <c r="Z578" s="52"/>
      <c r="AA578" s="52"/>
      <c r="AB578" s="53"/>
    </row>
    <row r="579">
      <c r="A579" s="52"/>
      <c r="B579" s="52"/>
      <c r="C579" s="52"/>
      <c r="D579" s="52"/>
      <c r="E579" s="52"/>
      <c r="F579" s="52"/>
      <c r="G579" s="52"/>
      <c r="H579" s="52"/>
      <c r="I579" s="52"/>
      <c r="J579" s="52"/>
      <c r="K579" s="52"/>
      <c r="L579" s="52"/>
      <c r="M579" s="52"/>
      <c r="N579" s="52"/>
      <c r="O579" s="52"/>
      <c r="P579" s="61"/>
      <c r="Q579" s="61"/>
      <c r="R579" s="205"/>
      <c r="S579" s="52"/>
      <c r="T579" s="52"/>
      <c r="U579" s="52"/>
      <c r="V579" s="52"/>
      <c r="W579" s="52"/>
      <c r="X579" s="52"/>
      <c r="Y579" s="52"/>
      <c r="Z579" s="52"/>
      <c r="AA579" s="52"/>
      <c r="AB579" s="53"/>
    </row>
    <row r="580">
      <c r="A580" s="52"/>
      <c r="B580" s="52"/>
      <c r="C580" s="52"/>
      <c r="D580" s="52"/>
      <c r="E580" s="52"/>
      <c r="F580" s="52"/>
      <c r="G580" s="52"/>
      <c r="H580" s="52"/>
      <c r="I580" s="52"/>
      <c r="J580" s="52"/>
      <c r="K580" s="52"/>
      <c r="L580" s="52"/>
      <c r="M580" s="52"/>
      <c r="N580" s="52"/>
      <c r="O580" s="52"/>
      <c r="P580" s="61"/>
      <c r="Q580" s="61"/>
      <c r="R580" s="205"/>
      <c r="S580" s="52"/>
      <c r="T580" s="52"/>
      <c r="U580" s="52"/>
      <c r="V580" s="52"/>
      <c r="W580" s="52"/>
      <c r="X580" s="52"/>
      <c r="Y580" s="52"/>
      <c r="Z580" s="52"/>
      <c r="AA580" s="52"/>
      <c r="AB580" s="53"/>
    </row>
    <row r="581">
      <c r="A581" s="52"/>
      <c r="B581" s="52"/>
      <c r="C581" s="52"/>
      <c r="D581" s="52"/>
      <c r="E581" s="52"/>
      <c r="F581" s="52"/>
      <c r="G581" s="52"/>
      <c r="H581" s="52"/>
      <c r="I581" s="52"/>
      <c r="J581" s="52"/>
      <c r="K581" s="52"/>
      <c r="L581" s="52"/>
      <c r="M581" s="52"/>
      <c r="N581" s="52"/>
      <c r="O581" s="52"/>
      <c r="P581" s="61"/>
      <c r="Q581" s="61"/>
      <c r="R581" s="205"/>
      <c r="S581" s="52"/>
      <c r="T581" s="52"/>
      <c r="U581" s="52"/>
      <c r="V581" s="52"/>
      <c r="W581" s="52"/>
      <c r="X581" s="52"/>
      <c r="Y581" s="52"/>
      <c r="Z581" s="52"/>
      <c r="AA581" s="52"/>
      <c r="AB581" s="53"/>
    </row>
    <row r="582">
      <c r="A582" s="52"/>
      <c r="B582" s="52"/>
      <c r="C582" s="52"/>
      <c r="D582" s="52"/>
      <c r="E582" s="52"/>
      <c r="F582" s="52"/>
      <c r="G582" s="52"/>
      <c r="H582" s="52"/>
      <c r="I582" s="52"/>
      <c r="J582" s="52"/>
      <c r="K582" s="52"/>
      <c r="L582" s="52"/>
      <c r="M582" s="52"/>
      <c r="N582" s="52"/>
      <c r="O582" s="52"/>
      <c r="P582" s="61"/>
      <c r="Q582" s="61"/>
      <c r="R582" s="205"/>
      <c r="S582" s="52"/>
      <c r="T582" s="52"/>
      <c r="U582" s="52"/>
      <c r="V582" s="52"/>
      <c r="W582" s="52"/>
      <c r="X582" s="52"/>
      <c r="Y582" s="52"/>
      <c r="Z582" s="52"/>
      <c r="AA582" s="52"/>
      <c r="AB582" s="53"/>
    </row>
    <row r="583">
      <c r="A583" s="52"/>
      <c r="B583" s="52"/>
      <c r="C583" s="52"/>
      <c r="D583" s="52"/>
      <c r="E583" s="52"/>
      <c r="F583" s="52"/>
      <c r="G583" s="52"/>
      <c r="H583" s="52"/>
      <c r="I583" s="52"/>
      <c r="J583" s="52"/>
      <c r="K583" s="52"/>
      <c r="L583" s="52"/>
      <c r="M583" s="52"/>
      <c r="N583" s="52"/>
      <c r="O583" s="52"/>
      <c r="P583" s="61"/>
      <c r="Q583" s="61"/>
      <c r="R583" s="205"/>
      <c r="S583" s="52"/>
      <c r="T583" s="52"/>
      <c r="U583" s="52"/>
      <c r="V583" s="52"/>
      <c r="W583" s="52"/>
      <c r="X583" s="52"/>
      <c r="Y583" s="52"/>
      <c r="Z583" s="52"/>
      <c r="AA583" s="52"/>
      <c r="AB583" s="53"/>
    </row>
    <row r="584">
      <c r="A584" s="52"/>
      <c r="B584" s="52"/>
      <c r="C584" s="52"/>
      <c r="D584" s="52"/>
      <c r="E584" s="52"/>
      <c r="F584" s="52"/>
      <c r="G584" s="52"/>
      <c r="H584" s="52"/>
      <c r="I584" s="52"/>
      <c r="J584" s="52"/>
      <c r="K584" s="52"/>
      <c r="L584" s="52"/>
      <c r="M584" s="52"/>
      <c r="N584" s="52"/>
      <c r="O584" s="52"/>
      <c r="P584" s="61"/>
      <c r="Q584" s="61"/>
      <c r="R584" s="205"/>
      <c r="S584" s="52"/>
      <c r="T584" s="52"/>
      <c r="U584" s="52"/>
      <c r="V584" s="52"/>
      <c r="W584" s="52"/>
      <c r="X584" s="52"/>
      <c r="Y584" s="52"/>
      <c r="Z584" s="52"/>
      <c r="AA584" s="52"/>
      <c r="AB584" s="53"/>
    </row>
    <row r="585">
      <c r="A585" s="52"/>
      <c r="B585" s="52"/>
      <c r="C585" s="52"/>
      <c r="D585" s="52"/>
      <c r="E585" s="52"/>
      <c r="F585" s="52"/>
      <c r="G585" s="52"/>
      <c r="H585" s="52"/>
      <c r="I585" s="52"/>
      <c r="J585" s="52"/>
      <c r="K585" s="52"/>
      <c r="L585" s="52"/>
      <c r="M585" s="52"/>
      <c r="N585" s="52"/>
      <c r="O585" s="52"/>
      <c r="P585" s="61"/>
      <c r="Q585" s="61"/>
      <c r="R585" s="205"/>
      <c r="S585" s="52"/>
      <c r="T585" s="52"/>
      <c r="U585" s="52"/>
      <c r="V585" s="52"/>
      <c r="W585" s="52"/>
      <c r="X585" s="52"/>
      <c r="Y585" s="52"/>
      <c r="Z585" s="52"/>
      <c r="AA585" s="52"/>
      <c r="AB585" s="53"/>
    </row>
    <row r="586">
      <c r="A586" s="52"/>
      <c r="B586" s="52"/>
      <c r="C586" s="52"/>
      <c r="D586" s="52"/>
      <c r="E586" s="52"/>
      <c r="F586" s="52"/>
      <c r="G586" s="52"/>
      <c r="H586" s="52"/>
      <c r="I586" s="52"/>
      <c r="J586" s="52"/>
      <c r="K586" s="52"/>
      <c r="L586" s="52"/>
      <c r="M586" s="52"/>
      <c r="N586" s="52"/>
      <c r="O586" s="52"/>
      <c r="P586" s="61"/>
      <c r="Q586" s="61"/>
      <c r="R586" s="205"/>
      <c r="S586" s="52"/>
      <c r="T586" s="52"/>
      <c r="U586" s="52"/>
      <c r="V586" s="52"/>
      <c r="W586" s="52"/>
      <c r="X586" s="52"/>
      <c r="Y586" s="52"/>
      <c r="Z586" s="52"/>
      <c r="AA586" s="52"/>
      <c r="AB586" s="53"/>
    </row>
    <row r="587">
      <c r="A587" s="52"/>
      <c r="B587" s="52"/>
      <c r="C587" s="52"/>
      <c r="D587" s="52"/>
      <c r="E587" s="52"/>
      <c r="F587" s="52"/>
      <c r="G587" s="52"/>
      <c r="H587" s="52"/>
      <c r="I587" s="52"/>
      <c r="J587" s="52"/>
      <c r="K587" s="52"/>
      <c r="L587" s="52"/>
      <c r="M587" s="52"/>
      <c r="N587" s="52"/>
      <c r="O587" s="52"/>
      <c r="P587" s="61"/>
      <c r="Q587" s="61"/>
      <c r="R587" s="205"/>
      <c r="S587" s="52"/>
      <c r="T587" s="52"/>
      <c r="U587" s="52"/>
      <c r="V587" s="52"/>
      <c r="W587" s="52"/>
      <c r="X587" s="52"/>
      <c r="Y587" s="52"/>
      <c r="Z587" s="52"/>
      <c r="AA587" s="52"/>
      <c r="AB587" s="53"/>
    </row>
    <row r="588">
      <c r="A588" s="52"/>
      <c r="B588" s="52"/>
      <c r="C588" s="52"/>
      <c r="D588" s="52"/>
      <c r="E588" s="52"/>
      <c r="F588" s="52"/>
      <c r="G588" s="52"/>
      <c r="H588" s="52"/>
      <c r="I588" s="52"/>
      <c r="J588" s="52"/>
      <c r="K588" s="52"/>
      <c r="L588" s="52"/>
      <c r="M588" s="52"/>
      <c r="N588" s="52"/>
      <c r="O588" s="52"/>
      <c r="P588" s="61"/>
      <c r="Q588" s="61"/>
      <c r="R588" s="205"/>
      <c r="S588" s="52"/>
      <c r="T588" s="52"/>
      <c r="U588" s="52"/>
      <c r="V588" s="52"/>
      <c r="W588" s="52"/>
      <c r="X588" s="52"/>
      <c r="Y588" s="52"/>
      <c r="Z588" s="52"/>
      <c r="AA588" s="52"/>
      <c r="AB588" s="53"/>
    </row>
    <row r="589">
      <c r="A589" s="52"/>
      <c r="B589" s="52"/>
      <c r="C589" s="52"/>
      <c r="D589" s="52"/>
      <c r="E589" s="52"/>
      <c r="F589" s="52"/>
      <c r="G589" s="52"/>
      <c r="H589" s="52"/>
      <c r="I589" s="52"/>
      <c r="J589" s="52"/>
      <c r="K589" s="52"/>
      <c r="L589" s="52"/>
      <c r="M589" s="52"/>
      <c r="N589" s="52"/>
      <c r="O589" s="52"/>
      <c r="P589" s="61"/>
      <c r="Q589" s="61"/>
      <c r="R589" s="205"/>
      <c r="S589" s="52"/>
      <c r="T589" s="52"/>
      <c r="U589" s="52"/>
      <c r="V589" s="52"/>
      <c r="W589" s="52"/>
      <c r="X589" s="52"/>
      <c r="Y589" s="52"/>
      <c r="Z589" s="52"/>
      <c r="AA589" s="52"/>
      <c r="AB589" s="53"/>
    </row>
    <row r="590">
      <c r="A590" s="52"/>
      <c r="B590" s="52"/>
      <c r="C590" s="52"/>
      <c r="D590" s="52"/>
      <c r="E590" s="52"/>
      <c r="F590" s="52"/>
      <c r="G590" s="52"/>
      <c r="H590" s="52"/>
      <c r="I590" s="52"/>
      <c r="J590" s="52"/>
      <c r="K590" s="52"/>
      <c r="L590" s="52"/>
      <c r="M590" s="52"/>
      <c r="N590" s="52"/>
      <c r="O590" s="52"/>
      <c r="P590" s="61"/>
      <c r="Q590" s="61"/>
      <c r="R590" s="205"/>
      <c r="S590" s="52"/>
      <c r="T590" s="52"/>
      <c r="U590" s="52"/>
      <c r="V590" s="52"/>
      <c r="W590" s="52"/>
      <c r="X590" s="52"/>
      <c r="Y590" s="52"/>
      <c r="Z590" s="52"/>
      <c r="AA590" s="52"/>
      <c r="AB590" s="53"/>
    </row>
    <row r="591">
      <c r="A591" s="52"/>
      <c r="B591" s="52"/>
      <c r="C591" s="52"/>
      <c r="D591" s="52"/>
      <c r="E591" s="52"/>
      <c r="F591" s="52"/>
      <c r="G591" s="52"/>
      <c r="H591" s="52"/>
      <c r="I591" s="52"/>
      <c r="J591" s="52"/>
      <c r="K591" s="52"/>
      <c r="L591" s="52"/>
      <c r="M591" s="52"/>
      <c r="N591" s="52"/>
      <c r="O591" s="52"/>
      <c r="P591" s="61"/>
      <c r="Q591" s="61"/>
      <c r="R591" s="205"/>
      <c r="S591" s="52"/>
      <c r="T591" s="52"/>
      <c r="U591" s="52"/>
      <c r="V591" s="52"/>
      <c r="W591" s="52"/>
      <c r="X591" s="52"/>
      <c r="Y591" s="52"/>
      <c r="Z591" s="52"/>
      <c r="AA591" s="52"/>
      <c r="AB591" s="53"/>
    </row>
    <row r="592">
      <c r="A592" s="52"/>
      <c r="B592" s="52"/>
      <c r="C592" s="52"/>
      <c r="D592" s="52"/>
      <c r="E592" s="52"/>
      <c r="F592" s="52"/>
      <c r="G592" s="52"/>
      <c r="H592" s="52"/>
      <c r="I592" s="52"/>
      <c r="J592" s="52"/>
      <c r="K592" s="52"/>
      <c r="L592" s="52"/>
      <c r="M592" s="52"/>
      <c r="N592" s="52"/>
      <c r="O592" s="52"/>
      <c r="P592" s="61"/>
      <c r="Q592" s="61"/>
      <c r="R592" s="205"/>
      <c r="S592" s="52"/>
      <c r="T592" s="52"/>
      <c r="U592" s="52"/>
      <c r="V592" s="52"/>
      <c r="W592" s="52"/>
      <c r="X592" s="52"/>
      <c r="Y592" s="52"/>
      <c r="Z592" s="52"/>
      <c r="AA592" s="52"/>
      <c r="AB592" s="53"/>
    </row>
    <row r="593">
      <c r="A593" s="52"/>
      <c r="B593" s="52"/>
      <c r="C593" s="52"/>
      <c r="D593" s="52"/>
      <c r="E593" s="52"/>
      <c r="F593" s="52"/>
      <c r="G593" s="52"/>
      <c r="H593" s="52"/>
      <c r="I593" s="52"/>
      <c r="J593" s="52"/>
      <c r="K593" s="52"/>
      <c r="L593" s="52"/>
      <c r="M593" s="52"/>
      <c r="N593" s="52"/>
      <c r="O593" s="52"/>
      <c r="P593" s="61"/>
      <c r="Q593" s="61"/>
      <c r="R593" s="205"/>
      <c r="S593" s="52"/>
      <c r="T593" s="52"/>
      <c r="U593" s="52"/>
      <c r="V593" s="52"/>
      <c r="W593" s="52"/>
      <c r="X593" s="52"/>
      <c r="Y593" s="52"/>
      <c r="Z593" s="52"/>
      <c r="AA593" s="52"/>
      <c r="AB593" s="53"/>
    </row>
    <row r="594">
      <c r="A594" s="52"/>
      <c r="B594" s="52"/>
      <c r="C594" s="52"/>
      <c r="D594" s="52"/>
      <c r="E594" s="52"/>
      <c r="F594" s="52"/>
      <c r="G594" s="52"/>
      <c r="H594" s="52"/>
      <c r="I594" s="52"/>
      <c r="J594" s="52"/>
      <c r="K594" s="52"/>
      <c r="L594" s="52"/>
      <c r="M594" s="52"/>
      <c r="N594" s="52"/>
      <c r="O594" s="52"/>
      <c r="P594" s="61"/>
      <c r="Q594" s="61"/>
      <c r="R594" s="205"/>
      <c r="S594" s="52"/>
      <c r="T594" s="52"/>
      <c r="U594" s="52"/>
      <c r="V594" s="52"/>
      <c r="W594" s="52"/>
      <c r="X594" s="52"/>
      <c r="Y594" s="52"/>
      <c r="Z594" s="52"/>
      <c r="AA594" s="52"/>
      <c r="AB594" s="53"/>
    </row>
    <row r="595">
      <c r="A595" s="52"/>
      <c r="B595" s="52"/>
      <c r="C595" s="52"/>
      <c r="D595" s="52"/>
      <c r="E595" s="52"/>
      <c r="F595" s="52"/>
      <c r="G595" s="52"/>
      <c r="H595" s="52"/>
      <c r="I595" s="52"/>
      <c r="J595" s="52"/>
      <c r="K595" s="52"/>
      <c r="L595" s="52"/>
      <c r="M595" s="52"/>
      <c r="N595" s="52"/>
      <c r="O595" s="52"/>
      <c r="P595" s="61"/>
      <c r="Q595" s="61"/>
      <c r="R595" s="205"/>
      <c r="S595" s="52"/>
      <c r="T595" s="52"/>
      <c r="U595" s="52"/>
      <c r="V595" s="52"/>
      <c r="W595" s="52"/>
      <c r="X595" s="52"/>
      <c r="Y595" s="52"/>
      <c r="Z595" s="52"/>
      <c r="AA595" s="52"/>
      <c r="AB595" s="53"/>
    </row>
    <row r="596">
      <c r="A596" s="52"/>
      <c r="B596" s="52"/>
      <c r="C596" s="52"/>
      <c r="D596" s="52"/>
      <c r="E596" s="52"/>
      <c r="F596" s="52"/>
      <c r="G596" s="52"/>
      <c r="H596" s="52"/>
      <c r="I596" s="52"/>
      <c r="J596" s="52"/>
      <c r="K596" s="52"/>
      <c r="L596" s="52"/>
      <c r="M596" s="52"/>
      <c r="N596" s="52"/>
      <c r="O596" s="52"/>
      <c r="P596" s="61"/>
      <c r="Q596" s="61"/>
      <c r="R596" s="205"/>
      <c r="S596" s="52"/>
      <c r="T596" s="52"/>
      <c r="U596" s="52"/>
      <c r="V596" s="52"/>
      <c r="W596" s="52"/>
      <c r="X596" s="52"/>
      <c r="Y596" s="52"/>
      <c r="Z596" s="52"/>
      <c r="AA596" s="52"/>
      <c r="AB596" s="53"/>
    </row>
    <row r="597">
      <c r="A597" s="52"/>
      <c r="B597" s="52"/>
      <c r="C597" s="52"/>
      <c r="D597" s="52"/>
      <c r="E597" s="52"/>
      <c r="F597" s="52"/>
      <c r="G597" s="52"/>
      <c r="H597" s="52"/>
      <c r="I597" s="52"/>
      <c r="J597" s="52"/>
      <c r="K597" s="52"/>
      <c r="L597" s="52"/>
      <c r="M597" s="52"/>
      <c r="N597" s="52"/>
      <c r="O597" s="52"/>
      <c r="P597" s="61"/>
      <c r="Q597" s="61"/>
      <c r="R597" s="205"/>
      <c r="S597" s="52"/>
      <c r="T597" s="52"/>
      <c r="U597" s="52"/>
      <c r="V597" s="52"/>
      <c r="W597" s="52"/>
      <c r="X597" s="52"/>
      <c r="Y597" s="52"/>
      <c r="Z597" s="52"/>
      <c r="AA597" s="52"/>
      <c r="AB597" s="53"/>
    </row>
    <row r="598">
      <c r="A598" s="52"/>
      <c r="B598" s="52"/>
      <c r="C598" s="52"/>
      <c r="D598" s="52"/>
      <c r="E598" s="52"/>
      <c r="F598" s="52"/>
      <c r="G598" s="52"/>
      <c r="H598" s="52"/>
      <c r="I598" s="52"/>
      <c r="J598" s="52"/>
      <c r="K598" s="52"/>
      <c r="L598" s="52"/>
      <c r="M598" s="52"/>
      <c r="N598" s="52"/>
      <c r="O598" s="52"/>
      <c r="P598" s="61"/>
      <c r="Q598" s="61"/>
      <c r="R598" s="205"/>
      <c r="S598" s="52"/>
      <c r="T598" s="52"/>
      <c r="U598" s="52"/>
      <c r="V598" s="52"/>
      <c r="W598" s="52"/>
      <c r="X598" s="52"/>
      <c r="Y598" s="52"/>
      <c r="Z598" s="52"/>
      <c r="AA598" s="52"/>
      <c r="AB598" s="53"/>
    </row>
    <row r="599">
      <c r="A599" s="52"/>
      <c r="B599" s="52"/>
      <c r="C599" s="52"/>
      <c r="D599" s="52"/>
      <c r="E599" s="52"/>
      <c r="F599" s="52"/>
      <c r="G599" s="52"/>
      <c r="H599" s="52"/>
      <c r="I599" s="52"/>
      <c r="J599" s="52"/>
      <c r="K599" s="52"/>
      <c r="L599" s="52"/>
      <c r="M599" s="52"/>
      <c r="N599" s="52"/>
      <c r="O599" s="52"/>
      <c r="P599" s="61"/>
      <c r="Q599" s="61"/>
      <c r="R599" s="205"/>
      <c r="S599" s="52"/>
      <c r="T599" s="52"/>
      <c r="U599" s="52"/>
      <c r="V599" s="52"/>
      <c r="W599" s="52"/>
      <c r="X599" s="52"/>
      <c r="Y599" s="52"/>
      <c r="Z599" s="52"/>
      <c r="AA599" s="52"/>
      <c r="AB599" s="53"/>
    </row>
    <row r="600">
      <c r="A600" s="52"/>
      <c r="B600" s="52"/>
      <c r="C600" s="52"/>
      <c r="D600" s="52"/>
      <c r="E600" s="52"/>
      <c r="F600" s="52"/>
      <c r="G600" s="52"/>
      <c r="H600" s="52"/>
      <c r="I600" s="52"/>
      <c r="J600" s="52"/>
      <c r="K600" s="52"/>
      <c r="L600" s="52"/>
      <c r="M600" s="52"/>
      <c r="N600" s="52"/>
      <c r="O600" s="52"/>
      <c r="P600" s="61"/>
      <c r="Q600" s="61"/>
      <c r="R600" s="205"/>
      <c r="S600" s="52"/>
      <c r="T600" s="52"/>
      <c r="U600" s="52"/>
      <c r="V600" s="52"/>
      <c r="W600" s="52"/>
      <c r="X600" s="52"/>
      <c r="Y600" s="52"/>
      <c r="Z600" s="52"/>
      <c r="AA600" s="52"/>
      <c r="AB600" s="53"/>
    </row>
    <row r="601">
      <c r="A601" s="52"/>
      <c r="B601" s="52"/>
      <c r="C601" s="52"/>
      <c r="D601" s="52"/>
      <c r="E601" s="52"/>
      <c r="F601" s="52"/>
      <c r="G601" s="52"/>
      <c r="H601" s="52"/>
      <c r="I601" s="52"/>
      <c r="J601" s="52"/>
      <c r="K601" s="52"/>
      <c r="L601" s="52"/>
      <c r="M601" s="52"/>
      <c r="N601" s="52"/>
      <c r="O601" s="52"/>
      <c r="P601" s="61"/>
      <c r="Q601" s="61"/>
      <c r="R601" s="205"/>
      <c r="S601" s="52"/>
      <c r="T601" s="52"/>
      <c r="U601" s="52"/>
      <c r="V601" s="52"/>
      <c r="W601" s="52"/>
      <c r="X601" s="52"/>
      <c r="Y601" s="52"/>
      <c r="Z601" s="52"/>
      <c r="AA601" s="52"/>
      <c r="AB601" s="53"/>
    </row>
    <row r="602">
      <c r="A602" s="52"/>
      <c r="B602" s="52"/>
      <c r="C602" s="52"/>
      <c r="D602" s="52"/>
      <c r="E602" s="52"/>
      <c r="F602" s="52"/>
      <c r="G602" s="52"/>
      <c r="H602" s="52"/>
      <c r="I602" s="52"/>
      <c r="J602" s="52"/>
      <c r="K602" s="52"/>
      <c r="L602" s="52"/>
      <c r="M602" s="52"/>
      <c r="N602" s="52"/>
      <c r="O602" s="52"/>
      <c r="P602" s="61"/>
      <c r="Q602" s="61"/>
      <c r="R602" s="205"/>
      <c r="S602" s="52"/>
      <c r="T602" s="52"/>
      <c r="U602" s="52"/>
      <c r="V602" s="52"/>
      <c r="W602" s="52"/>
      <c r="X602" s="52"/>
      <c r="Y602" s="52"/>
      <c r="Z602" s="52"/>
      <c r="AA602" s="52"/>
      <c r="AB602" s="53"/>
    </row>
    <row r="603">
      <c r="A603" s="52"/>
      <c r="B603" s="52"/>
      <c r="C603" s="52"/>
      <c r="D603" s="52"/>
      <c r="E603" s="52"/>
      <c r="F603" s="52"/>
      <c r="G603" s="52"/>
      <c r="H603" s="52"/>
      <c r="I603" s="52"/>
      <c r="J603" s="52"/>
      <c r="K603" s="52"/>
      <c r="L603" s="52"/>
      <c r="M603" s="52"/>
      <c r="N603" s="52"/>
      <c r="O603" s="52"/>
      <c r="P603" s="61"/>
      <c r="Q603" s="61"/>
      <c r="R603" s="205"/>
      <c r="S603" s="52"/>
      <c r="T603" s="52"/>
      <c r="U603" s="52"/>
      <c r="V603" s="52"/>
      <c r="W603" s="52"/>
      <c r="X603" s="52"/>
      <c r="Y603" s="52"/>
      <c r="Z603" s="52"/>
      <c r="AA603" s="52"/>
      <c r="AB603" s="53"/>
    </row>
    <row r="604">
      <c r="A604" s="52"/>
      <c r="B604" s="52"/>
      <c r="C604" s="52"/>
      <c r="D604" s="52"/>
      <c r="E604" s="52"/>
      <c r="F604" s="52"/>
      <c r="G604" s="52"/>
      <c r="H604" s="52"/>
      <c r="I604" s="52"/>
      <c r="J604" s="52"/>
      <c r="K604" s="52"/>
      <c r="L604" s="52"/>
      <c r="M604" s="52"/>
      <c r="N604" s="52"/>
      <c r="O604" s="52"/>
      <c r="P604" s="61"/>
      <c r="Q604" s="61"/>
      <c r="R604" s="205"/>
      <c r="S604" s="52"/>
      <c r="T604" s="52"/>
      <c r="U604" s="52"/>
      <c r="V604" s="52"/>
      <c r="W604" s="52"/>
      <c r="X604" s="52"/>
      <c r="Y604" s="52"/>
      <c r="Z604" s="52"/>
      <c r="AA604" s="52"/>
      <c r="AB604" s="53"/>
    </row>
    <row r="605">
      <c r="A605" s="52"/>
      <c r="B605" s="52"/>
      <c r="C605" s="52"/>
      <c r="D605" s="52"/>
      <c r="E605" s="52"/>
      <c r="F605" s="52"/>
      <c r="G605" s="52"/>
      <c r="H605" s="52"/>
      <c r="I605" s="52"/>
      <c r="J605" s="52"/>
      <c r="K605" s="52"/>
      <c r="L605" s="52"/>
      <c r="M605" s="52"/>
      <c r="N605" s="52"/>
      <c r="O605" s="52"/>
      <c r="P605" s="61"/>
      <c r="Q605" s="61"/>
      <c r="R605" s="205"/>
      <c r="S605" s="52"/>
      <c r="T605" s="52"/>
      <c r="U605" s="52"/>
      <c r="V605" s="52"/>
      <c r="W605" s="52"/>
      <c r="X605" s="52"/>
      <c r="Y605" s="52"/>
      <c r="Z605" s="52"/>
      <c r="AA605" s="52"/>
      <c r="AB605" s="53"/>
    </row>
    <row r="606">
      <c r="A606" s="52"/>
      <c r="B606" s="52"/>
      <c r="C606" s="52"/>
      <c r="D606" s="52"/>
      <c r="E606" s="52"/>
      <c r="F606" s="52"/>
      <c r="G606" s="52"/>
      <c r="H606" s="52"/>
      <c r="I606" s="52"/>
      <c r="J606" s="52"/>
      <c r="K606" s="52"/>
      <c r="L606" s="52"/>
      <c r="M606" s="52"/>
      <c r="N606" s="52"/>
      <c r="O606" s="52"/>
      <c r="P606" s="61"/>
      <c r="Q606" s="61"/>
      <c r="R606" s="205"/>
      <c r="S606" s="52"/>
      <c r="T606" s="52"/>
      <c r="U606" s="52"/>
      <c r="V606" s="52"/>
      <c r="W606" s="52"/>
      <c r="X606" s="52"/>
      <c r="Y606" s="52"/>
      <c r="Z606" s="52"/>
      <c r="AA606" s="52"/>
      <c r="AB606" s="53"/>
    </row>
    <row r="607">
      <c r="A607" s="52"/>
      <c r="B607" s="52"/>
      <c r="C607" s="52"/>
      <c r="D607" s="52"/>
      <c r="E607" s="52"/>
      <c r="F607" s="52"/>
      <c r="G607" s="52"/>
      <c r="H607" s="52"/>
      <c r="I607" s="52"/>
      <c r="J607" s="52"/>
      <c r="K607" s="52"/>
      <c r="L607" s="52"/>
      <c r="M607" s="52"/>
      <c r="N607" s="52"/>
      <c r="O607" s="52"/>
      <c r="P607" s="61"/>
      <c r="Q607" s="61"/>
      <c r="R607" s="205"/>
      <c r="S607" s="52"/>
      <c r="T607" s="52"/>
      <c r="U607" s="52"/>
      <c r="V607" s="52"/>
      <c r="W607" s="52"/>
      <c r="X607" s="52"/>
      <c r="Y607" s="52"/>
      <c r="Z607" s="52"/>
      <c r="AA607" s="52"/>
      <c r="AB607" s="53"/>
    </row>
    <row r="608">
      <c r="A608" s="52"/>
      <c r="B608" s="52"/>
      <c r="C608" s="52"/>
      <c r="D608" s="52"/>
      <c r="E608" s="52"/>
      <c r="F608" s="52"/>
      <c r="G608" s="52"/>
      <c r="H608" s="52"/>
      <c r="I608" s="52"/>
      <c r="J608" s="52"/>
      <c r="K608" s="52"/>
      <c r="L608" s="52"/>
      <c r="M608" s="52"/>
      <c r="N608" s="52"/>
      <c r="O608" s="52"/>
      <c r="P608" s="61"/>
      <c r="Q608" s="61"/>
      <c r="R608" s="205"/>
      <c r="S608" s="52"/>
      <c r="T608" s="52"/>
      <c r="U608" s="52"/>
      <c r="V608" s="52"/>
      <c r="W608" s="52"/>
      <c r="X608" s="52"/>
      <c r="Y608" s="52"/>
      <c r="Z608" s="52"/>
      <c r="AA608" s="52"/>
      <c r="AB608" s="53"/>
    </row>
    <row r="609">
      <c r="A609" s="52"/>
      <c r="B609" s="52"/>
      <c r="C609" s="52"/>
      <c r="D609" s="52"/>
      <c r="E609" s="52"/>
      <c r="F609" s="52"/>
      <c r="G609" s="52"/>
      <c r="H609" s="52"/>
      <c r="I609" s="52"/>
      <c r="J609" s="52"/>
      <c r="K609" s="52"/>
      <c r="L609" s="52"/>
      <c r="M609" s="52"/>
      <c r="N609" s="52"/>
      <c r="O609" s="52"/>
      <c r="P609" s="61"/>
      <c r="Q609" s="61"/>
      <c r="R609" s="205"/>
      <c r="S609" s="52"/>
      <c r="T609" s="52"/>
      <c r="U609" s="52"/>
      <c r="V609" s="52"/>
      <c r="W609" s="52"/>
      <c r="X609" s="52"/>
      <c r="Y609" s="52"/>
      <c r="Z609" s="52"/>
      <c r="AA609" s="52"/>
      <c r="AB609" s="53"/>
    </row>
    <row r="610">
      <c r="A610" s="52"/>
      <c r="B610" s="52"/>
      <c r="C610" s="52"/>
      <c r="D610" s="52"/>
      <c r="E610" s="52"/>
      <c r="F610" s="52"/>
      <c r="G610" s="52"/>
      <c r="H610" s="52"/>
      <c r="I610" s="52"/>
      <c r="J610" s="52"/>
      <c r="K610" s="52"/>
      <c r="L610" s="52"/>
      <c r="M610" s="52"/>
      <c r="N610" s="52"/>
      <c r="O610" s="52"/>
      <c r="P610" s="61"/>
      <c r="Q610" s="61"/>
      <c r="R610" s="205"/>
      <c r="S610" s="52"/>
      <c r="T610" s="52"/>
      <c r="U610" s="52"/>
      <c r="V610" s="52"/>
      <c r="W610" s="52"/>
      <c r="X610" s="52"/>
      <c r="Y610" s="52"/>
      <c r="Z610" s="52"/>
      <c r="AA610" s="52"/>
      <c r="AB610" s="53"/>
    </row>
    <row r="611">
      <c r="A611" s="52"/>
      <c r="B611" s="52"/>
      <c r="C611" s="52"/>
      <c r="D611" s="52"/>
      <c r="E611" s="52"/>
      <c r="F611" s="52"/>
      <c r="G611" s="52"/>
      <c r="H611" s="52"/>
      <c r="I611" s="52"/>
      <c r="J611" s="52"/>
      <c r="K611" s="52"/>
      <c r="L611" s="52"/>
      <c r="M611" s="52"/>
      <c r="N611" s="52"/>
      <c r="O611" s="52"/>
      <c r="P611" s="61"/>
      <c r="Q611" s="61"/>
      <c r="R611" s="205"/>
      <c r="S611" s="52"/>
      <c r="T611" s="52"/>
      <c r="U611" s="52"/>
      <c r="V611" s="52"/>
      <c r="W611" s="52"/>
      <c r="X611" s="52"/>
      <c r="Y611" s="52"/>
      <c r="Z611" s="52"/>
      <c r="AA611" s="52"/>
      <c r="AB611" s="53"/>
    </row>
    <row r="612">
      <c r="A612" s="52"/>
      <c r="B612" s="52"/>
      <c r="C612" s="52"/>
      <c r="D612" s="52"/>
      <c r="E612" s="52"/>
      <c r="F612" s="52"/>
      <c r="G612" s="52"/>
      <c r="H612" s="52"/>
      <c r="I612" s="52"/>
      <c r="J612" s="52"/>
      <c r="K612" s="52"/>
      <c r="L612" s="52"/>
      <c r="M612" s="52"/>
      <c r="N612" s="52"/>
      <c r="O612" s="52"/>
      <c r="P612" s="61"/>
      <c r="Q612" s="61"/>
      <c r="R612" s="205"/>
      <c r="S612" s="52"/>
      <c r="T612" s="52"/>
      <c r="U612" s="52"/>
      <c r="V612" s="52"/>
      <c r="W612" s="52"/>
      <c r="X612" s="52"/>
      <c r="Y612" s="52"/>
      <c r="Z612" s="52"/>
      <c r="AA612" s="52"/>
      <c r="AB612" s="53"/>
    </row>
    <row r="613">
      <c r="A613" s="52"/>
      <c r="B613" s="52"/>
      <c r="C613" s="52"/>
      <c r="D613" s="52"/>
      <c r="E613" s="52"/>
      <c r="F613" s="52"/>
      <c r="G613" s="52"/>
      <c r="H613" s="52"/>
      <c r="I613" s="52"/>
      <c r="J613" s="52"/>
      <c r="K613" s="52"/>
      <c r="L613" s="52"/>
      <c r="M613" s="52"/>
      <c r="N613" s="52"/>
      <c r="O613" s="52"/>
      <c r="P613" s="61"/>
      <c r="Q613" s="61"/>
      <c r="R613" s="205"/>
      <c r="S613" s="52"/>
      <c r="T613" s="52"/>
      <c r="U613" s="52"/>
      <c r="V613" s="52"/>
      <c r="W613" s="52"/>
      <c r="X613" s="52"/>
      <c r="Y613" s="52"/>
      <c r="Z613" s="52"/>
      <c r="AA613" s="52"/>
      <c r="AB613" s="53"/>
    </row>
    <row r="614">
      <c r="A614" s="52"/>
      <c r="B614" s="52"/>
      <c r="C614" s="52"/>
      <c r="D614" s="52"/>
      <c r="E614" s="52"/>
      <c r="F614" s="52"/>
      <c r="G614" s="52"/>
      <c r="H614" s="52"/>
      <c r="I614" s="52"/>
      <c r="J614" s="52"/>
      <c r="K614" s="52"/>
      <c r="L614" s="52"/>
      <c r="M614" s="52"/>
      <c r="N614" s="52"/>
      <c r="O614" s="52"/>
      <c r="P614" s="61"/>
      <c r="Q614" s="61"/>
      <c r="R614" s="205"/>
      <c r="S614" s="52"/>
      <c r="T614" s="52"/>
      <c r="U614" s="52"/>
      <c r="V614" s="52"/>
      <c r="W614" s="52"/>
      <c r="X614" s="52"/>
      <c r="Y614" s="52"/>
      <c r="Z614" s="52"/>
      <c r="AA614" s="52"/>
      <c r="AB614" s="53"/>
    </row>
    <row r="615">
      <c r="A615" s="52"/>
      <c r="B615" s="52"/>
      <c r="C615" s="52"/>
      <c r="D615" s="52"/>
      <c r="E615" s="52"/>
      <c r="F615" s="52"/>
      <c r="G615" s="52"/>
      <c r="H615" s="52"/>
      <c r="I615" s="52"/>
      <c r="J615" s="52"/>
      <c r="K615" s="52"/>
      <c r="L615" s="52"/>
      <c r="M615" s="52"/>
      <c r="N615" s="52"/>
      <c r="O615" s="52"/>
      <c r="P615" s="61"/>
      <c r="Q615" s="61"/>
      <c r="R615" s="205"/>
      <c r="S615" s="52"/>
      <c r="T615" s="52"/>
      <c r="U615" s="52"/>
      <c r="V615" s="52"/>
      <c r="W615" s="52"/>
      <c r="X615" s="52"/>
      <c r="Y615" s="52"/>
      <c r="Z615" s="52"/>
      <c r="AA615" s="52"/>
      <c r="AB615" s="53"/>
    </row>
    <row r="616">
      <c r="A616" s="52"/>
      <c r="B616" s="52"/>
      <c r="C616" s="52"/>
      <c r="D616" s="52"/>
      <c r="E616" s="52"/>
      <c r="F616" s="52"/>
      <c r="G616" s="52"/>
      <c r="H616" s="52"/>
      <c r="I616" s="52"/>
      <c r="J616" s="52"/>
      <c r="K616" s="52"/>
      <c r="L616" s="52"/>
      <c r="M616" s="52"/>
      <c r="N616" s="52"/>
      <c r="O616" s="52"/>
      <c r="P616" s="61"/>
      <c r="Q616" s="61"/>
      <c r="R616" s="205"/>
      <c r="S616" s="52"/>
      <c r="T616" s="52"/>
      <c r="U616" s="52"/>
      <c r="V616" s="52"/>
      <c r="W616" s="52"/>
      <c r="X616" s="52"/>
      <c r="Y616" s="52"/>
      <c r="Z616" s="52"/>
      <c r="AA616" s="52"/>
      <c r="AB616" s="53"/>
    </row>
    <row r="617">
      <c r="A617" s="52"/>
      <c r="B617" s="52"/>
      <c r="C617" s="52"/>
      <c r="D617" s="52"/>
      <c r="E617" s="52"/>
      <c r="F617" s="52"/>
      <c r="G617" s="52"/>
      <c r="H617" s="52"/>
      <c r="I617" s="52"/>
      <c r="J617" s="52"/>
      <c r="K617" s="52"/>
      <c r="L617" s="52"/>
      <c r="M617" s="52"/>
      <c r="N617" s="52"/>
      <c r="O617" s="52"/>
      <c r="P617" s="61"/>
      <c r="Q617" s="61"/>
      <c r="R617" s="205"/>
      <c r="S617" s="52"/>
      <c r="T617" s="52"/>
      <c r="U617" s="52"/>
      <c r="V617" s="52"/>
      <c r="W617" s="52"/>
      <c r="X617" s="52"/>
      <c r="Y617" s="52"/>
      <c r="Z617" s="52"/>
      <c r="AA617" s="52"/>
      <c r="AB617" s="53"/>
    </row>
    <row r="618">
      <c r="A618" s="52"/>
      <c r="B618" s="52"/>
      <c r="C618" s="52"/>
      <c r="D618" s="52"/>
      <c r="E618" s="52"/>
      <c r="F618" s="52"/>
      <c r="G618" s="52"/>
      <c r="H618" s="52"/>
      <c r="I618" s="52"/>
      <c r="J618" s="52"/>
      <c r="K618" s="52"/>
      <c r="L618" s="52"/>
      <c r="M618" s="52"/>
      <c r="N618" s="52"/>
      <c r="O618" s="52"/>
      <c r="P618" s="61"/>
      <c r="Q618" s="61"/>
      <c r="R618" s="205"/>
      <c r="S618" s="52"/>
      <c r="T618" s="52"/>
      <c r="U618" s="52"/>
      <c r="V618" s="52"/>
      <c r="W618" s="52"/>
      <c r="X618" s="52"/>
      <c r="Y618" s="52"/>
      <c r="Z618" s="52"/>
      <c r="AA618" s="52"/>
      <c r="AB618" s="53"/>
    </row>
    <row r="619">
      <c r="A619" s="52"/>
      <c r="B619" s="52"/>
      <c r="C619" s="52"/>
      <c r="D619" s="52"/>
      <c r="E619" s="52"/>
      <c r="F619" s="52"/>
      <c r="G619" s="52"/>
      <c r="H619" s="52"/>
      <c r="I619" s="52"/>
      <c r="J619" s="52"/>
      <c r="K619" s="52"/>
      <c r="L619" s="52"/>
      <c r="M619" s="52"/>
      <c r="N619" s="52"/>
      <c r="O619" s="52"/>
      <c r="P619" s="61"/>
      <c r="Q619" s="61"/>
      <c r="R619" s="205"/>
      <c r="S619" s="52"/>
      <c r="T619" s="52"/>
      <c r="U619" s="52"/>
      <c r="V619" s="52"/>
      <c r="W619" s="52"/>
      <c r="X619" s="52"/>
      <c r="Y619" s="52"/>
      <c r="Z619" s="52"/>
      <c r="AA619" s="52"/>
      <c r="AB619" s="53"/>
    </row>
    <row r="620">
      <c r="A620" s="52"/>
      <c r="B620" s="52"/>
      <c r="C620" s="52"/>
      <c r="D620" s="52"/>
      <c r="E620" s="52"/>
      <c r="F620" s="52"/>
      <c r="G620" s="52"/>
      <c r="H620" s="52"/>
      <c r="I620" s="52"/>
      <c r="J620" s="52"/>
      <c r="K620" s="52"/>
      <c r="L620" s="52"/>
      <c r="M620" s="52"/>
      <c r="N620" s="52"/>
      <c r="O620" s="52"/>
      <c r="P620" s="61"/>
      <c r="Q620" s="61"/>
      <c r="R620" s="205"/>
      <c r="S620" s="52"/>
      <c r="T620" s="52"/>
      <c r="U620" s="52"/>
      <c r="V620" s="52"/>
      <c r="W620" s="52"/>
      <c r="X620" s="52"/>
      <c r="Y620" s="52"/>
      <c r="Z620" s="52"/>
      <c r="AA620" s="52"/>
      <c r="AB620" s="53"/>
    </row>
    <row r="621">
      <c r="A621" s="52"/>
      <c r="B621" s="52"/>
      <c r="C621" s="52"/>
      <c r="D621" s="52"/>
      <c r="E621" s="52"/>
      <c r="F621" s="52"/>
      <c r="G621" s="52"/>
      <c r="H621" s="52"/>
      <c r="I621" s="52"/>
      <c r="J621" s="52"/>
      <c r="K621" s="52"/>
      <c r="L621" s="52"/>
      <c r="M621" s="52"/>
      <c r="N621" s="52"/>
      <c r="O621" s="52"/>
      <c r="P621" s="61"/>
      <c r="Q621" s="61"/>
      <c r="R621" s="205"/>
      <c r="S621" s="52"/>
      <c r="T621" s="52"/>
      <c r="U621" s="52"/>
      <c r="V621" s="52"/>
      <c r="W621" s="52"/>
      <c r="X621" s="52"/>
      <c r="Y621" s="52"/>
      <c r="Z621" s="52"/>
      <c r="AA621" s="52"/>
      <c r="AB621" s="53"/>
    </row>
    <row r="622">
      <c r="A622" s="52"/>
      <c r="B622" s="52"/>
      <c r="C622" s="52"/>
      <c r="D622" s="52"/>
      <c r="E622" s="52"/>
      <c r="F622" s="52"/>
      <c r="G622" s="52"/>
      <c r="H622" s="52"/>
      <c r="I622" s="52"/>
      <c r="J622" s="52"/>
      <c r="K622" s="52"/>
      <c r="L622" s="52"/>
      <c r="M622" s="52"/>
      <c r="N622" s="52"/>
      <c r="O622" s="52"/>
      <c r="P622" s="61"/>
      <c r="Q622" s="61"/>
      <c r="R622" s="205"/>
      <c r="S622" s="52"/>
      <c r="T622" s="52"/>
      <c r="U622" s="52"/>
      <c r="V622" s="52"/>
      <c r="W622" s="52"/>
      <c r="X622" s="52"/>
      <c r="Y622" s="52"/>
      <c r="Z622" s="52"/>
      <c r="AA622" s="52"/>
      <c r="AB622" s="53"/>
    </row>
    <row r="623">
      <c r="A623" s="52"/>
      <c r="B623" s="52"/>
      <c r="C623" s="52"/>
      <c r="D623" s="52"/>
      <c r="E623" s="52"/>
      <c r="F623" s="52"/>
      <c r="G623" s="52"/>
      <c r="H623" s="52"/>
      <c r="I623" s="52"/>
      <c r="J623" s="52"/>
      <c r="K623" s="52"/>
      <c r="L623" s="52"/>
      <c r="M623" s="52"/>
      <c r="N623" s="52"/>
      <c r="O623" s="52"/>
      <c r="P623" s="61"/>
      <c r="Q623" s="61"/>
      <c r="R623" s="205"/>
      <c r="S623" s="52"/>
      <c r="T623" s="52"/>
      <c r="U623" s="52"/>
      <c r="V623" s="52"/>
      <c r="W623" s="52"/>
      <c r="X623" s="52"/>
      <c r="Y623" s="52"/>
      <c r="Z623" s="52"/>
      <c r="AA623" s="52"/>
      <c r="AB623" s="53"/>
    </row>
    <row r="624">
      <c r="A624" s="52"/>
      <c r="B624" s="52"/>
      <c r="C624" s="52"/>
      <c r="D624" s="52"/>
      <c r="E624" s="52"/>
      <c r="F624" s="52"/>
      <c r="G624" s="52"/>
      <c r="H624" s="52"/>
      <c r="I624" s="52"/>
      <c r="J624" s="52"/>
      <c r="K624" s="52"/>
      <c r="L624" s="52"/>
      <c r="M624" s="52"/>
      <c r="N624" s="52"/>
      <c r="O624" s="52"/>
      <c r="P624" s="61"/>
      <c r="Q624" s="61"/>
      <c r="R624" s="205"/>
      <c r="S624" s="52"/>
      <c r="T624" s="52"/>
      <c r="U624" s="52"/>
      <c r="V624" s="52"/>
      <c r="W624" s="52"/>
      <c r="X624" s="52"/>
      <c r="Y624" s="52"/>
      <c r="Z624" s="52"/>
      <c r="AA624" s="52"/>
      <c r="AB624" s="53"/>
    </row>
    <row r="625">
      <c r="A625" s="52"/>
      <c r="B625" s="52"/>
      <c r="C625" s="52"/>
      <c r="D625" s="52"/>
      <c r="E625" s="52"/>
      <c r="F625" s="52"/>
      <c r="G625" s="52"/>
      <c r="H625" s="52"/>
      <c r="I625" s="52"/>
      <c r="J625" s="52"/>
      <c r="K625" s="52"/>
      <c r="L625" s="52"/>
      <c r="M625" s="52"/>
      <c r="N625" s="52"/>
      <c r="O625" s="52"/>
      <c r="P625" s="61"/>
      <c r="Q625" s="61"/>
      <c r="R625" s="205"/>
      <c r="S625" s="52"/>
      <c r="T625" s="52"/>
      <c r="U625" s="52"/>
      <c r="V625" s="52"/>
      <c r="W625" s="52"/>
      <c r="X625" s="52"/>
      <c r="Y625" s="52"/>
      <c r="Z625" s="52"/>
      <c r="AA625" s="52"/>
      <c r="AB625" s="53"/>
    </row>
    <row r="626">
      <c r="A626" s="52"/>
      <c r="B626" s="52"/>
      <c r="C626" s="52"/>
      <c r="D626" s="52"/>
      <c r="E626" s="52"/>
      <c r="F626" s="52"/>
      <c r="G626" s="52"/>
      <c r="H626" s="52"/>
      <c r="I626" s="52"/>
      <c r="J626" s="52"/>
      <c r="K626" s="52"/>
      <c r="L626" s="52"/>
      <c r="M626" s="52"/>
      <c r="N626" s="52"/>
      <c r="O626" s="52"/>
      <c r="P626" s="61"/>
      <c r="Q626" s="61"/>
      <c r="R626" s="205"/>
      <c r="S626" s="52"/>
      <c r="T626" s="52"/>
      <c r="U626" s="52"/>
      <c r="V626" s="52"/>
      <c r="W626" s="52"/>
      <c r="X626" s="52"/>
      <c r="Y626" s="52"/>
      <c r="Z626" s="52"/>
      <c r="AA626" s="52"/>
      <c r="AB626" s="53"/>
    </row>
    <row r="627">
      <c r="A627" s="52"/>
      <c r="B627" s="52"/>
      <c r="C627" s="52"/>
      <c r="D627" s="52"/>
      <c r="E627" s="52"/>
      <c r="F627" s="52"/>
      <c r="G627" s="52"/>
      <c r="H627" s="52"/>
      <c r="I627" s="52"/>
      <c r="J627" s="52"/>
      <c r="K627" s="52"/>
      <c r="L627" s="52"/>
      <c r="M627" s="52"/>
      <c r="N627" s="52"/>
      <c r="O627" s="52"/>
      <c r="P627" s="61"/>
      <c r="Q627" s="61"/>
      <c r="R627" s="205"/>
      <c r="S627" s="52"/>
      <c r="T627" s="52"/>
      <c r="U627" s="52"/>
      <c r="V627" s="52"/>
      <c r="W627" s="52"/>
      <c r="X627" s="52"/>
      <c r="Y627" s="52"/>
      <c r="Z627" s="52"/>
      <c r="AA627" s="52"/>
      <c r="AB627" s="53"/>
    </row>
    <row r="628">
      <c r="A628" s="52"/>
      <c r="B628" s="52"/>
      <c r="C628" s="52"/>
      <c r="D628" s="52"/>
      <c r="E628" s="52"/>
      <c r="F628" s="52"/>
      <c r="G628" s="52"/>
      <c r="H628" s="52"/>
      <c r="I628" s="52"/>
      <c r="J628" s="52"/>
      <c r="K628" s="52"/>
      <c r="L628" s="52"/>
      <c r="M628" s="52"/>
      <c r="N628" s="52"/>
      <c r="O628" s="52"/>
      <c r="P628" s="61"/>
      <c r="Q628" s="61"/>
      <c r="R628" s="205"/>
      <c r="S628" s="52"/>
      <c r="T628" s="52"/>
      <c r="U628" s="52"/>
      <c r="V628" s="52"/>
      <c r="W628" s="52"/>
      <c r="X628" s="52"/>
      <c r="Y628" s="52"/>
      <c r="Z628" s="52"/>
      <c r="AA628" s="52"/>
      <c r="AB628" s="53"/>
    </row>
    <row r="629">
      <c r="A629" s="52"/>
      <c r="B629" s="52"/>
      <c r="C629" s="52"/>
      <c r="D629" s="52"/>
      <c r="E629" s="52"/>
      <c r="F629" s="52"/>
      <c r="G629" s="52"/>
      <c r="H629" s="52"/>
      <c r="I629" s="52"/>
      <c r="J629" s="52"/>
      <c r="K629" s="52"/>
      <c r="L629" s="52"/>
      <c r="M629" s="52"/>
      <c r="N629" s="52"/>
      <c r="O629" s="52"/>
      <c r="P629" s="61"/>
      <c r="Q629" s="61"/>
      <c r="R629" s="205"/>
      <c r="S629" s="52"/>
      <c r="T629" s="52"/>
      <c r="U629" s="52"/>
      <c r="V629" s="52"/>
      <c r="W629" s="52"/>
      <c r="X629" s="52"/>
      <c r="Y629" s="52"/>
      <c r="Z629" s="52"/>
      <c r="AA629" s="52"/>
      <c r="AB629" s="53"/>
    </row>
    <row r="630">
      <c r="A630" s="52"/>
      <c r="B630" s="52"/>
      <c r="C630" s="52"/>
      <c r="D630" s="52"/>
      <c r="E630" s="52"/>
      <c r="F630" s="52"/>
      <c r="G630" s="52"/>
      <c r="H630" s="52"/>
      <c r="I630" s="52"/>
      <c r="J630" s="52"/>
      <c r="K630" s="52"/>
      <c r="L630" s="52"/>
      <c r="M630" s="52"/>
      <c r="N630" s="52"/>
      <c r="O630" s="52"/>
      <c r="P630" s="61"/>
      <c r="Q630" s="61"/>
      <c r="R630" s="205"/>
      <c r="S630" s="52"/>
      <c r="T630" s="52"/>
      <c r="U630" s="52"/>
      <c r="V630" s="52"/>
      <c r="W630" s="52"/>
      <c r="X630" s="52"/>
      <c r="Y630" s="52"/>
      <c r="Z630" s="52"/>
      <c r="AA630" s="52"/>
      <c r="AB630" s="53"/>
    </row>
    <row r="631">
      <c r="A631" s="52"/>
      <c r="B631" s="52"/>
      <c r="C631" s="52"/>
      <c r="D631" s="52"/>
      <c r="E631" s="52"/>
      <c r="F631" s="52"/>
      <c r="G631" s="52"/>
      <c r="H631" s="52"/>
      <c r="I631" s="52"/>
      <c r="J631" s="52"/>
      <c r="K631" s="52"/>
      <c r="L631" s="52"/>
      <c r="M631" s="52"/>
      <c r="N631" s="52"/>
      <c r="O631" s="52"/>
      <c r="P631" s="61"/>
      <c r="Q631" s="61"/>
      <c r="R631" s="205"/>
      <c r="S631" s="52"/>
      <c r="T631" s="52"/>
      <c r="U631" s="52"/>
      <c r="V631" s="52"/>
      <c r="W631" s="52"/>
      <c r="X631" s="52"/>
      <c r="Y631" s="52"/>
      <c r="Z631" s="52"/>
      <c r="AA631" s="52"/>
      <c r="AB631" s="53"/>
    </row>
    <row r="632">
      <c r="A632" s="52"/>
      <c r="B632" s="52"/>
      <c r="C632" s="52"/>
      <c r="D632" s="52"/>
      <c r="E632" s="52"/>
      <c r="F632" s="52"/>
      <c r="G632" s="52"/>
      <c r="H632" s="52"/>
      <c r="I632" s="52"/>
      <c r="J632" s="52"/>
      <c r="K632" s="52"/>
      <c r="L632" s="52"/>
      <c r="M632" s="52"/>
      <c r="N632" s="52"/>
      <c r="O632" s="52"/>
      <c r="P632" s="61"/>
      <c r="Q632" s="61"/>
      <c r="R632" s="205"/>
      <c r="S632" s="52"/>
      <c r="T632" s="52"/>
      <c r="U632" s="52"/>
      <c r="V632" s="52"/>
      <c r="W632" s="52"/>
      <c r="X632" s="52"/>
      <c r="Y632" s="52"/>
      <c r="Z632" s="52"/>
      <c r="AA632" s="52"/>
      <c r="AB632" s="53"/>
    </row>
    <row r="633">
      <c r="A633" s="52"/>
      <c r="B633" s="52"/>
      <c r="C633" s="52"/>
      <c r="D633" s="52"/>
      <c r="E633" s="52"/>
      <c r="F633" s="52"/>
      <c r="G633" s="52"/>
      <c r="H633" s="52"/>
      <c r="I633" s="52"/>
      <c r="J633" s="52"/>
      <c r="K633" s="52"/>
      <c r="L633" s="52"/>
      <c r="M633" s="52"/>
      <c r="N633" s="52"/>
      <c r="O633" s="52"/>
      <c r="P633" s="61"/>
      <c r="Q633" s="61"/>
      <c r="R633" s="205"/>
      <c r="S633" s="52"/>
      <c r="T633" s="52"/>
      <c r="U633" s="52"/>
      <c r="V633" s="52"/>
      <c r="W633" s="52"/>
      <c r="X633" s="52"/>
      <c r="Y633" s="52"/>
      <c r="Z633" s="52"/>
      <c r="AA633" s="52"/>
      <c r="AB633" s="53"/>
    </row>
    <row r="634">
      <c r="A634" s="52"/>
      <c r="B634" s="52"/>
      <c r="C634" s="52"/>
      <c r="D634" s="52"/>
      <c r="E634" s="52"/>
      <c r="F634" s="52"/>
      <c r="G634" s="52"/>
      <c r="H634" s="52"/>
      <c r="I634" s="52"/>
      <c r="J634" s="52"/>
      <c r="K634" s="52"/>
      <c r="L634" s="52"/>
      <c r="M634" s="52"/>
      <c r="N634" s="52"/>
      <c r="O634" s="52"/>
      <c r="P634" s="61"/>
      <c r="Q634" s="61"/>
      <c r="R634" s="205"/>
      <c r="S634" s="52"/>
      <c r="T634" s="52"/>
      <c r="U634" s="52"/>
      <c r="V634" s="52"/>
      <c r="W634" s="52"/>
      <c r="X634" s="52"/>
      <c r="Y634" s="52"/>
      <c r="Z634" s="52"/>
      <c r="AA634" s="52"/>
      <c r="AB634" s="53"/>
    </row>
    <row r="635">
      <c r="A635" s="52"/>
      <c r="B635" s="52"/>
      <c r="C635" s="52"/>
      <c r="D635" s="52"/>
      <c r="E635" s="52"/>
      <c r="F635" s="52"/>
      <c r="G635" s="52"/>
      <c r="H635" s="52"/>
      <c r="I635" s="52"/>
      <c r="J635" s="52"/>
      <c r="K635" s="52"/>
      <c r="L635" s="52"/>
      <c r="M635" s="52"/>
      <c r="N635" s="52"/>
      <c r="O635" s="52"/>
      <c r="P635" s="61"/>
      <c r="Q635" s="61"/>
      <c r="R635" s="205"/>
      <c r="S635" s="52"/>
      <c r="T635" s="52"/>
      <c r="U635" s="52"/>
      <c r="V635" s="52"/>
      <c r="W635" s="52"/>
      <c r="X635" s="52"/>
      <c r="Y635" s="52"/>
      <c r="Z635" s="52"/>
      <c r="AA635" s="52"/>
      <c r="AB635" s="53"/>
    </row>
    <row r="636">
      <c r="A636" s="52"/>
      <c r="B636" s="52"/>
      <c r="C636" s="52"/>
      <c r="D636" s="52"/>
      <c r="E636" s="52"/>
      <c r="F636" s="52"/>
      <c r="G636" s="52"/>
      <c r="H636" s="52"/>
      <c r="I636" s="52"/>
      <c r="J636" s="52"/>
      <c r="K636" s="52"/>
      <c r="L636" s="52"/>
      <c r="M636" s="52"/>
      <c r="N636" s="52"/>
      <c r="O636" s="52"/>
      <c r="P636" s="61"/>
      <c r="Q636" s="61"/>
      <c r="R636" s="205"/>
      <c r="S636" s="52"/>
      <c r="T636" s="52"/>
      <c r="U636" s="52"/>
      <c r="V636" s="52"/>
      <c r="W636" s="52"/>
      <c r="X636" s="52"/>
      <c r="Y636" s="52"/>
      <c r="Z636" s="52"/>
      <c r="AA636" s="52"/>
      <c r="AB636" s="53"/>
    </row>
    <row r="637">
      <c r="A637" s="52"/>
      <c r="B637" s="52"/>
      <c r="C637" s="52"/>
      <c r="D637" s="52"/>
      <c r="E637" s="52"/>
      <c r="F637" s="52"/>
      <c r="G637" s="52"/>
      <c r="H637" s="52"/>
      <c r="I637" s="52"/>
      <c r="J637" s="52"/>
      <c r="K637" s="52"/>
      <c r="L637" s="52"/>
      <c r="M637" s="52"/>
      <c r="N637" s="52"/>
      <c r="O637" s="52"/>
      <c r="P637" s="61"/>
      <c r="Q637" s="61"/>
      <c r="R637" s="205"/>
      <c r="S637" s="52"/>
      <c r="T637" s="52"/>
      <c r="U637" s="52"/>
      <c r="V637" s="52"/>
      <c r="W637" s="52"/>
      <c r="X637" s="52"/>
      <c r="Y637" s="52"/>
      <c r="Z637" s="52"/>
      <c r="AA637" s="52"/>
      <c r="AB637" s="53"/>
    </row>
    <row r="638">
      <c r="A638" s="52"/>
      <c r="B638" s="52"/>
      <c r="C638" s="52"/>
      <c r="D638" s="52"/>
      <c r="E638" s="52"/>
      <c r="F638" s="52"/>
      <c r="G638" s="52"/>
      <c r="H638" s="52"/>
      <c r="I638" s="52"/>
      <c r="J638" s="52"/>
      <c r="K638" s="52"/>
      <c r="L638" s="52"/>
      <c r="M638" s="52"/>
      <c r="N638" s="52"/>
      <c r="O638" s="52"/>
      <c r="P638" s="61"/>
      <c r="Q638" s="61"/>
      <c r="R638" s="205"/>
      <c r="S638" s="52"/>
      <c r="T638" s="52"/>
      <c r="U638" s="52"/>
      <c r="V638" s="52"/>
      <c r="W638" s="52"/>
      <c r="X638" s="52"/>
      <c r="Y638" s="52"/>
      <c r="Z638" s="52"/>
      <c r="AA638" s="52"/>
      <c r="AB638" s="53"/>
    </row>
    <row r="639">
      <c r="A639" s="52"/>
      <c r="B639" s="52"/>
      <c r="C639" s="52"/>
      <c r="D639" s="52"/>
      <c r="E639" s="52"/>
      <c r="F639" s="52"/>
      <c r="G639" s="52"/>
      <c r="H639" s="52"/>
      <c r="I639" s="52"/>
      <c r="J639" s="52"/>
      <c r="K639" s="52"/>
      <c r="L639" s="52"/>
      <c r="M639" s="52"/>
      <c r="N639" s="52"/>
      <c r="O639" s="52"/>
      <c r="P639" s="61"/>
      <c r="Q639" s="61"/>
      <c r="R639" s="205"/>
      <c r="S639" s="52"/>
      <c r="T639" s="52"/>
      <c r="U639" s="52"/>
      <c r="V639" s="52"/>
      <c r="W639" s="52"/>
      <c r="X639" s="52"/>
      <c r="Y639" s="52"/>
      <c r="Z639" s="52"/>
      <c r="AA639" s="52"/>
      <c r="AB639" s="53"/>
    </row>
    <row r="640">
      <c r="A640" s="52"/>
      <c r="B640" s="52"/>
      <c r="C640" s="52"/>
      <c r="D640" s="52"/>
      <c r="E640" s="52"/>
      <c r="F640" s="52"/>
      <c r="G640" s="52"/>
      <c r="H640" s="52"/>
      <c r="I640" s="52"/>
      <c r="J640" s="52"/>
      <c r="K640" s="52"/>
      <c r="L640" s="52"/>
      <c r="M640" s="52"/>
      <c r="N640" s="52"/>
      <c r="O640" s="52"/>
      <c r="P640" s="61"/>
      <c r="Q640" s="61"/>
      <c r="R640" s="205"/>
      <c r="S640" s="52"/>
      <c r="T640" s="52"/>
      <c r="U640" s="52"/>
      <c r="V640" s="52"/>
      <c r="W640" s="52"/>
      <c r="X640" s="52"/>
      <c r="Y640" s="52"/>
      <c r="Z640" s="52"/>
      <c r="AA640" s="52"/>
      <c r="AB640" s="53"/>
    </row>
    <row r="641">
      <c r="A641" s="52"/>
      <c r="B641" s="52"/>
      <c r="C641" s="52"/>
      <c r="D641" s="52"/>
      <c r="E641" s="52"/>
      <c r="F641" s="52"/>
      <c r="G641" s="52"/>
      <c r="H641" s="52"/>
      <c r="I641" s="52"/>
      <c r="J641" s="52"/>
      <c r="K641" s="52"/>
      <c r="L641" s="52"/>
      <c r="M641" s="52"/>
      <c r="N641" s="52"/>
      <c r="O641" s="52"/>
      <c r="P641" s="61"/>
      <c r="Q641" s="61"/>
      <c r="R641" s="205"/>
      <c r="S641" s="52"/>
      <c r="T641" s="52"/>
      <c r="U641" s="52"/>
      <c r="V641" s="52"/>
      <c r="W641" s="52"/>
      <c r="X641" s="52"/>
      <c r="Y641" s="52"/>
      <c r="Z641" s="52"/>
      <c r="AA641" s="52"/>
      <c r="AB641" s="53"/>
    </row>
    <row r="642">
      <c r="A642" s="52"/>
      <c r="B642" s="52"/>
      <c r="C642" s="52"/>
      <c r="D642" s="52"/>
      <c r="E642" s="52"/>
      <c r="F642" s="52"/>
      <c r="G642" s="52"/>
      <c r="H642" s="52"/>
      <c r="I642" s="52"/>
      <c r="J642" s="52"/>
      <c r="K642" s="52"/>
      <c r="L642" s="52"/>
      <c r="M642" s="52"/>
      <c r="N642" s="52"/>
      <c r="O642" s="52"/>
      <c r="P642" s="61"/>
      <c r="Q642" s="61"/>
      <c r="R642" s="205"/>
      <c r="S642" s="52"/>
      <c r="T642" s="52"/>
      <c r="U642" s="52"/>
      <c r="V642" s="52"/>
      <c r="W642" s="52"/>
      <c r="X642" s="52"/>
      <c r="Y642" s="52"/>
      <c r="Z642" s="52"/>
      <c r="AA642" s="52"/>
      <c r="AB642" s="53"/>
    </row>
    <row r="643">
      <c r="A643" s="52"/>
      <c r="B643" s="52"/>
      <c r="C643" s="52"/>
      <c r="D643" s="52"/>
      <c r="E643" s="52"/>
      <c r="F643" s="52"/>
      <c r="G643" s="52"/>
      <c r="H643" s="52"/>
      <c r="I643" s="52"/>
      <c r="J643" s="52"/>
      <c r="K643" s="52"/>
      <c r="L643" s="52"/>
      <c r="M643" s="52"/>
      <c r="N643" s="52"/>
      <c r="O643" s="52"/>
      <c r="P643" s="61"/>
      <c r="Q643" s="61"/>
      <c r="R643" s="205"/>
      <c r="S643" s="52"/>
      <c r="T643" s="52"/>
      <c r="U643" s="52"/>
      <c r="V643" s="52"/>
      <c r="W643" s="52"/>
      <c r="X643" s="52"/>
      <c r="Y643" s="52"/>
      <c r="Z643" s="52"/>
      <c r="AA643" s="52"/>
      <c r="AB643" s="53"/>
    </row>
    <row r="644">
      <c r="A644" s="52"/>
      <c r="B644" s="52"/>
      <c r="C644" s="52"/>
      <c r="D644" s="52"/>
      <c r="E644" s="52"/>
      <c r="F644" s="52"/>
      <c r="G644" s="52"/>
      <c r="H644" s="52"/>
      <c r="I644" s="52"/>
      <c r="J644" s="52"/>
      <c r="K644" s="52"/>
      <c r="L644" s="52"/>
      <c r="M644" s="52"/>
      <c r="N644" s="52"/>
      <c r="O644" s="52"/>
      <c r="P644" s="61"/>
      <c r="Q644" s="61"/>
      <c r="R644" s="205"/>
      <c r="S644" s="52"/>
      <c r="T644" s="52"/>
      <c r="U644" s="52"/>
      <c r="V644" s="52"/>
      <c r="W644" s="52"/>
      <c r="X644" s="52"/>
      <c r="Y644" s="52"/>
      <c r="Z644" s="52"/>
      <c r="AA644" s="52"/>
      <c r="AB644" s="53"/>
    </row>
    <row r="645">
      <c r="A645" s="52"/>
      <c r="B645" s="52"/>
      <c r="C645" s="52"/>
      <c r="D645" s="52"/>
      <c r="E645" s="52"/>
      <c r="F645" s="52"/>
      <c r="G645" s="52"/>
      <c r="H645" s="52"/>
      <c r="I645" s="52"/>
      <c r="J645" s="52"/>
      <c r="K645" s="52"/>
      <c r="L645" s="52"/>
      <c r="M645" s="52"/>
      <c r="N645" s="52"/>
      <c r="O645" s="52"/>
      <c r="P645" s="61"/>
      <c r="Q645" s="61"/>
      <c r="R645" s="205"/>
      <c r="S645" s="52"/>
      <c r="T645" s="52"/>
      <c r="U645" s="52"/>
      <c r="V645" s="52"/>
      <c r="W645" s="52"/>
      <c r="X645" s="52"/>
      <c r="Y645" s="52"/>
      <c r="Z645" s="52"/>
      <c r="AA645" s="52"/>
      <c r="AB645" s="53"/>
    </row>
    <row r="646">
      <c r="A646" s="52"/>
      <c r="B646" s="52"/>
      <c r="C646" s="52"/>
      <c r="D646" s="52"/>
      <c r="E646" s="52"/>
      <c r="F646" s="52"/>
      <c r="G646" s="52"/>
      <c r="H646" s="52"/>
      <c r="I646" s="52"/>
      <c r="J646" s="52"/>
      <c r="K646" s="52"/>
      <c r="L646" s="52"/>
      <c r="M646" s="52"/>
      <c r="N646" s="52"/>
      <c r="O646" s="52"/>
      <c r="P646" s="61"/>
      <c r="Q646" s="61"/>
      <c r="R646" s="205"/>
      <c r="S646" s="52"/>
      <c r="T646" s="52"/>
      <c r="U646" s="52"/>
      <c r="V646" s="52"/>
      <c r="W646" s="52"/>
      <c r="X646" s="52"/>
      <c r="Y646" s="52"/>
      <c r="Z646" s="52"/>
      <c r="AA646" s="52"/>
      <c r="AB646" s="53"/>
    </row>
    <row r="647">
      <c r="A647" s="52"/>
      <c r="B647" s="52"/>
      <c r="C647" s="52"/>
      <c r="D647" s="52"/>
      <c r="E647" s="52"/>
      <c r="F647" s="52"/>
      <c r="G647" s="52"/>
      <c r="H647" s="52"/>
      <c r="I647" s="52"/>
      <c r="J647" s="52"/>
      <c r="K647" s="52"/>
      <c r="L647" s="52"/>
      <c r="M647" s="52"/>
      <c r="N647" s="52"/>
      <c r="O647" s="52"/>
      <c r="P647" s="61"/>
      <c r="Q647" s="61"/>
      <c r="R647" s="205"/>
      <c r="S647" s="52"/>
      <c r="T647" s="52"/>
      <c r="U647" s="52"/>
      <c r="V647" s="52"/>
      <c r="W647" s="52"/>
      <c r="X647" s="52"/>
      <c r="Y647" s="52"/>
      <c r="Z647" s="52"/>
      <c r="AA647" s="52"/>
      <c r="AB647" s="53"/>
    </row>
    <row r="648">
      <c r="A648" s="52"/>
      <c r="B648" s="52"/>
      <c r="C648" s="52"/>
      <c r="D648" s="52"/>
      <c r="E648" s="52"/>
      <c r="F648" s="52"/>
      <c r="G648" s="52"/>
      <c r="H648" s="52"/>
      <c r="I648" s="52"/>
      <c r="J648" s="52"/>
      <c r="K648" s="52"/>
      <c r="L648" s="52"/>
      <c r="M648" s="52"/>
      <c r="N648" s="52"/>
      <c r="O648" s="52"/>
      <c r="P648" s="61"/>
      <c r="Q648" s="61"/>
      <c r="R648" s="205"/>
      <c r="S648" s="52"/>
      <c r="T648" s="52"/>
      <c r="U648" s="52"/>
      <c r="V648" s="52"/>
      <c r="W648" s="52"/>
      <c r="X648" s="52"/>
      <c r="Y648" s="52"/>
      <c r="Z648" s="52"/>
      <c r="AA648" s="52"/>
      <c r="AB648" s="53"/>
    </row>
    <row r="649">
      <c r="A649" s="52"/>
      <c r="B649" s="52"/>
      <c r="C649" s="52"/>
      <c r="D649" s="52"/>
      <c r="E649" s="52"/>
      <c r="F649" s="52"/>
      <c r="G649" s="52"/>
      <c r="H649" s="52"/>
      <c r="I649" s="52"/>
      <c r="J649" s="52"/>
      <c r="K649" s="52"/>
      <c r="L649" s="52"/>
      <c r="M649" s="52"/>
      <c r="N649" s="52"/>
      <c r="O649" s="52"/>
      <c r="P649" s="61"/>
      <c r="Q649" s="61"/>
      <c r="R649" s="205"/>
      <c r="S649" s="52"/>
      <c r="T649" s="52"/>
      <c r="U649" s="52"/>
      <c r="V649" s="52"/>
      <c r="W649" s="52"/>
      <c r="X649" s="52"/>
      <c r="Y649" s="52"/>
      <c r="Z649" s="52"/>
      <c r="AA649" s="52"/>
      <c r="AB649" s="53"/>
    </row>
    <row r="650">
      <c r="A650" s="52"/>
      <c r="B650" s="52"/>
      <c r="C650" s="52"/>
      <c r="D650" s="52"/>
      <c r="E650" s="52"/>
      <c r="F650" s="52"/>
      <c r="G650" s="52"/>
      <c r="H650" s="52"/>
      <c r="I650" s="52"/>
      <c r="J650" s="52"/>
      <c r="K650" s="52"/>
      <c r="L650" s="52"/>
      <c r="M650" s="52"/>
      <c r="N650" s="52"/>
      <c r="O650" s="52"/>
      <c r="P650" s="61"/>
      <c r="Q650" s="61"/>
      <c r="R650" s="205"/>
      <c r="S650" s="52"/>
      <c r="T650" s="52"/>
      <c r="U650" s="52"/>
      <c r="V650" s="52"/>
      <c r="W650" s="52"/>
      <c r="X650" s="52"/>
      <c r="Y650" s="52"/>
      <c r="Z650" s="52"/>
      <c r="AA650" s="52"/>
      <c r="AB650" s="53"/>
    </row>
    <row r="651">
      <c r="A651" s="52"/>
      <c r="B651" s="52"/>
      <c r="C651" s="52"/>
      <c r="D651" s="52"/>
      <c r="E651" s="52"/>
      <c r="F651" s="52"/>
      <c r="G651" s="52"/>
      <c r="H651" s="52"/>
      <c r="I651" s="52"/>
      <c r="J651" s="52"/>
      <c r="K651" s="52"/>
      <c r="L651" s="52"/>
      <c r="M651" s="52"/>
      <c r="N651" s="52"/>
      <c r="O651" s="52"/>
      <c r="P651" s="61"/>
      <c r="Q651" s="61"/>
      <c r="R651" s="205"/>
      <c r="S651" s="52"/>
      <c r="T651" s="52"/>
      <c r="U651" s="52"/>
      <c r="V651" s="52"/>
      <c r="W651" s="52"/>
      <c r="X651" s="52"/>
      <c r="Y651" s="52"/>
      <c r="Z651" s="52"/>
      <c r="AA651" s="52"/>
      <c r="AB651" s="53"/>
    </row>
    <row r="652">
      <c r="A652" s="52"/>
      <c r="B652" s="52"/>
      <c r="C652" s="52"/>
      <c r="D652" s="52"/>
      <c r="E652" s="52"/>
      <c r="F652" s="52"/>
      <c r="G652" s="52"/>
      <c r="H652" s="52"/>
      <c r="I652" s="52"/>
      <c r="J652" s="52"/>
      <c r="K652" s="52"/>
      <c r="L652" s="52"/>
      <c r="M652" s="52"/>
      <c r="N652" s="52"/>
      <c r="O652" s="52"/>
      <c r="P652" s="61"/>
      <c r="Q652" s="61"/>
      <c r="R652" s="205"/>
      <c r="S652" s="52"/>
      <c r="T652" s="52"/>
      <c r="U652" s="52"/>
      <c r="V652" s="52"/>
      <c r="W652" s="52"/>
      <c r="X652" s="52"/>
      <c r="Y652" s="52"/>
      <c r="Z652" s="52"/>
      <c r="AA652" s="52"/>
      <c r="AB652" s="53"/>
    </row>
    <row r="653">
      <c r="A653" s="52"/>
      <c r="B653" s="52"/>
      <c r="C653" s="52"/>
      <c r="D653" s="52"/>
      <c r="E653" s="52"/>
      <c r="F653" s="52"/>
      <c r="G653" s="52"/>
      <c r="H653" s="52"/>
      <c r="I653" s="52"/>
      <c r="J653" s="52"/>
      <c r="K653" s="52"/>
      <c r="L653" s="52"/>
      <c r="M653" s="52"/>
      <c r="N653" s="52"/>
      <c r="O653" s="52"/>
      <c r="P653" s="61"/>
      <c r="Q653" s="61"/>
      <c r="R653" s="205"/>
      <c r="S653" s="52"/>
      <c r="T653" s="52"/>
      <c r="U653" s="52"/>
      <c r="V653" s="52"/>
      <c r="W653" s="52"/>
      <c r="X653" s="52"/>
      <c r="Y653" s="52"/>
      <c r="Z653" s="52"/>
      <c r="AA653" s="52"/>
      <c r="AB653" s="53"/>
    </row>
    <row r="654">
      <c r="A654" s="52"/>
      <c r="B654" s="52"/>
      <c r="C654" s="52"/>
      <c r="D654" s="52"/>
      <c r="E654" s="52"/>
      <c r="F654" s="52"/>
      <c r="G654" s="52"/>
      <c r="H654" s="52"/>
      <c r="I654" s="52"/>
      <c r="J654" s="52"/>
      <c r="K654" s="52"/>
      <c r="L654" s="52"/>
      <c r="M654" s="52"/>
      <c r="N654" s="52"/>
      <c r="O654" s="52"/>
      <c r="P654" s="61"/>
      <c r="Q654" s="61"/>
      <c r="R654" s="205"/>
      <c r="S654" s="52"/>
      <c r="T654" s="52"/>
      <c r="U654" s="52"/>
      <c r="V654" s="52"/>
      <c r="W654" s="52"/>
      <c r="X654" s="52"/>
      <c r="Y654" s="52"/>
      <c r="Z654" s="52"/>
      <c r="AA654" s="52"/>
      <c r="AB654" s="53"/>
    </row>
    <row r="655">
      <c r="A655" s="52"/>
      <c r="B655" s="52"/>
      <c r="C655" s="52"/>
      <c r="D655" s="52"/>
      <c r="E655" s="52"/>
      <c r="F655" s="52"/>
      <c r="G655" s="52"/>
      <c r="H655" s="52"/>
      <c r="I655" s="52"/>
      <c r="J655" s="52"/>
      <c r="K655" s="52"/>
      <c r="L655" s="52"/>
      <c r="M655" s="52"/>
      <c r="N655" s="52"/>
      <c r="O655" s="52"/>
      <c r="P655" s="61"/>
      <c r="Q655" s="61"/>
      <c r="R655" s="205"/>
      <c r="S655" s="52"/>
      <c r="T655" s="52"/>
      <c r="U655" s="52"/>
      <c r="V655" s="52"/>
      <c r="W655" s="52"/>
      <c r="X655" s="52"/>
      <c r="Y655" s="52"/>
      <c r="Z655" s="52"/>
      <c r="AA655" s="52"/>
      <c r="AB655" s="53"/>
    </row>
    <row r="656">
      <c r="A656" s="52"/>
      <c r="B656" s="52"/>
      <c r="C656" s="52"/>
      <c r="D656" s="52"/>
      <c r="E656" s="52"/>
      <c r="F656" s="52"/>
      <c r="G656" s="52"/>
      <c r="H656" s="52"/>
      <c r="I656" s="52"/>
      <c r="J656" s="52"/>
      <c r="K656" s="52"/>
      <c r="L656" s="52"/>
      <c r="M656" s="52"/>
      <c r="N656" s="52"/>
      <c r="O656" s="52"/>
      <c r="P656" s="61"/>
      <c r="Q656" s="61"/>
      <c r="R656" s="205"/>
      <c r="S656" s="52"/>
      <c r="T656" s="52"/>
      <c r="U656" s="52"/>
      <c r="V656" s="52"/>
      <c r="W656" s="52"/>
      <c r="X656" s="52"/>
      <c r="Y656" s="52"/>
      <c r="Z656" s="52"/>
      <c r="AA656" s="52"/>
      <c r="AB656" s="53"/>
    </row>
    <row r="657">
      <c r="A657" s="52"/>
      <c r="B657" s="52"/>
      <c r="C657" s="52"/>
      <c r="D657" s="52"/>
      <c r="E657" s="52"/>
      <c r="F657" s="52"/>
      <c r="G657" s="52"/>
      <c r="H657" s="52"/>
      <c r="I657" s="52"/>
      <c r="J657" s="52"/>
      <c r="K657" s="52"/>
      <c r="L657" s="52"/>
      <c r="M657" s="52"/>
      <c r="N657" s="52"/>
      <c r="O657" s="52"/>
      <c r="P657" s="61"/>
      <c r="Q657" s="61"/>
      <c r="R657" s="205"/>
      <c r="S657" s="52"/>
      <c r="T657" s="52"/>
      <c r="U657" s="52"/>
      <c r="V657" s="52"/>
      <c r="W657" s="52"/>
      <c r="X657" s="52"/>
      <c r="Y657" s="52"/>
      <c r="Z657" s="52"/>
      <c r="AA657" s="52"/>
      <c r="AB657" s="53"/>
    </row>
    <row r="658">
      <c r="A658" s="52"/>
      <c r="B658" s="52"/>
      <c r="C658" s="52"/>
      <c r="D658" s="52"/>
      <c r="E658" s="52"/>
      <c r="F658" s="52"/>
      <c r="G658" s="52"/>
      <c r="H658" s="52"/>
      <c r="I658" s="52"/>
      <c r="J658" s="52"/>
      <c r="K658" s="52"/>
      <c r="L658" s="52"/>
      <c r="M658" s="52"/>
      <c r="N658" s="52"/>
      <c r="O658" s="52"/>
      <c r="P658" s="61"/>
      <c r="Q658" s="61"/>
      <c r="R658" s="205"/>
      <c r="S658" s="52"/>
      <c r="T658" s="52"/>
      <c r="U658" s="52"/>
      <c r="V658" s="52"/>
      <c r="W658" s="52"/>
      <c r="X658" s="52"/>
      <c r="Y658" s="52"/>
      <c r="Z658" s="52"/>
      <c r="AA658" s="52"/>
      <c r="AB658" s="53"/>
    </row>
    <row r="659">
      <c r="A659" s="52"/>
      <c r="B659" s="52"/>
      <c r="C659" s="52"/>
      <c r="D659" s="52"/>
      <c r="E659" s="52"/>
      <c r="F659" s="52"/>
      <c r="G659" s="52"/>
      <c r="H659" s="52"/>
      <c r="I659" s="52"/>
      <c r="J659" s="52"/>
      <c r="K659" s="52"/>
      <c r="L659" s="52"/>
      <c r="M659" s="52"/>
      <c r="N659" s="52"/>
      <c r="O659" s="52"/>
      <c r="P659" s="61"/>
      <c r="Q659" s="61"/>
      <c r="R659" s="205"/>
      <c r="S659" s="52"/>
      <c r="T659" s="52"/>
      <c r="U659" s="52"/>
      <c r="V659" s="52"/>
      <c r="W659" s="52"/>
      <c r="X659" s="52"/>
      <c r="Y659" s="52"/>
      <c r="Z659" s="52"/>
      <c r="AA659" s="52"/>
      <c r="AB659" s="53"/>
    </row>
    <row r="660">
      <c r="A660" s="52"/>
      <c r="B660" s="52"/>
      <c r="C660" s="52"/>
      <c r="D660" s="52"/>
      <c r="E660" s="52"/>
      <c r="F660" s="52"/>
      <c r="G660" s="52"/>
      <c r="H660" s="52"/>
      <c r="I660" s="52"/>
      <c r="J660" s="52"/>
      <c r="K660" s="52"/>
      <c r="L660" s="52"/>
      <c r="M660" s="52"/>
      <c r="N660" s="52"/>
      <c r="O660" s="52"/>
      <c r="P660" s="61"/>
      <c r="Q660" s="61"/>
      <c r="R660" s="205"/>
      <c r="S660" s="52"/>
      <c r="T660" s="52"/>
      <c r="U660" s="52"/>
      <c r="V660" s="52"/>
      <c r="W660" s="52"/>
      <c r="X660" s="52"/>
      <c r="Y660" s="52"/>
      <c r="Z660" s="52"/>
      <c r="AA660" s="52"/>
      <c r="AB660" s="53"/>
    </row>
    <row r="661">
      <c r="A661" s="52"/>
      <c r="B661" s="52"/>
      <c r="C661" s="52"/>
      <c r="D661" s="52"/>
      <c r="E661" s="52"/>
      <c r="F661" s="52"/>
      <c r="G661" s="52"/>
      <c r="H661" s="52"/>
      <c r="I661" s="52"/>
      <c r="J661" s="52"/>
      <c r="K661" s="52"/>
      <c r="L661" s="52"/>
      <c r="M661" s="52"/>
      <c r="N661" s="52"/>
      <c r="O661" s="52"/>
      <c r="P661" s="61"/>
      <c r="Q661" s="61"/>
      <c r="R661" s="205"/>
      <c r="S661" s="52"/>
      <c r="T661" s="52"/>
      <c r="U661" s="52"/>
      <c r="V661" s="52"/>
      <c r="W661" s="52"/>
      <c r="X661" s="52"/>
      <c r="Y661" s="52"/>
      <c r="Z661" s="52"/>
      <c r="AA661" s="52"/>
      <c r="AB661" s="53"/>
    </row>
    <row r="662">
      <c r="A662" s="52"/>
      <c r="B662" s="52"/>
      <c r="C662" s="52"/>
      <c r="D662" s="52"/>
      <c r="E662" s="52"/>
      <c r="F662" s="52"/>
      <c r="G662" s="52"/>
      <c r="H662" s="52"/>
      <c r="I662" s="52"/>
      <c r="J662" s="52"/>
      <c r="K662" s="52"/>
      <c r="L662" s="52"/>
      <c r="M662" s="52"/>
      <c r="N662" s="52"/>
      <c r="O662" s="52"/>
      <c r="P662" s="61"/>
      <c r="Q662" s="61"/>
      <c r="R662" s="205"/>
      <c r="S662" s="52"/>
      <c r="T662" s="52"/>
      <c r="U662" s="52"/>
      <c r="V662" s="52"/>
      <c r="W662" s="52"/>
      <c r="X662" s="52"/>
      <c r="Y662" s="52"/>
      <c r="Z662" s="52"/>
      <c r="AA662" s="52"/>
      <c r="AB662" s="53"/>
    </row>
    <row r="663">
      <c r="A663" s="52"/>
      <c r="B663" s="52"/>
      <c r="C663" s="52"/>
      <c r="D663" s="52"/>
      <c r="E663" s="52"/>
      <c r="F663" s="52"/>
      <c r="G663" s="52"/>
      <c r="H663" s="52"/>
      <c r="I663" s="52"/>
      <c r="J663" s="52"/>
      <c r="K663" s="52"/>
      <c r="L663" s="52"/>
      <c r="M663" s="52"/>
      <c r="N663" s="52"/>
      <c r="O663" s="52"/>
      <c r="P663" s="61"/>
      <c r="Q663" s="61"/>
      <c r="R663" s="205"/>
      <c r="S663" s="52"/>
      <c r="T663" s="52"/>
      <c r="U663" s="52"/>
      <c r="V663" s="52"/>
      <c r="W663" s="52"/>
      <c r="X663" s="52"/>
      <c r="Y663" s="52"/>
      <c r="Z663" s="52"/>
      <c r="AA663" s="52"/>
      <c r="AB663" s="53"/>
    </row>
    <row r="664">
      <c r="A664" s="52"/>
      <c r="B664" s="52"/>
      <c r="C664" s="52"/>
      <c r="D664" s="52"/>
      <c r="E664" s="52"/>
      <c r="F664" s="52"/>
      <c r="G664" s="52"/>
      <c r="H664" s="52"/>
      <c r="I664" s="52"/>
      <c r="J664" s="52"/>
      <c r="K664" s="52"/>
      <c r="L664" s="52"/>
      <c r="M664" s="52"/>
      <c r="N664" s="52"/>
      <c r="O664" s="52"/>
      <c r="P664" s="61"/>
      <c r="Q664" s="61"/>
      <c r="R664" s="205"/>
      <c r="S664" s="52"/>
      <c r="T664" s="52"/>
      <c r="U664" s="52"/>
      <c r="V664" s="52"/>
      <c r="W664" s="52"/>
      <c r="X664" s="52"/>
      <c r="Y664" s="52"/>
      <c r="Z664" s="52"/>
      <c r="AA664" s="52"/>
      <c r="AB664" s="53"/>
    </row>
    <row r="665">
      <c r="A665" s="52"/>
      <c r="B665" s="52"/>
      <c r="C665" s="52"/>
      <c r="D665" s="52"/>
      <c r="E665" s="52"/>
      <c r="F665" s="52"/>
      <c r="G665" s="52"/>
      <c r="H665" s="52"/>
      <c r="I665" s="52"/>
      <c r="J665" s="52"/>
      <c r="K665" s="52"/>
      <c r="L665" s="52"/>
      <c r="M665" s="52"/>
      <c r="N665" s="52"/>
      <c r="O665" s="52"/>
      <c r="P665" s="61"/>
      <c r="Q665" s="61"/>
      <c r="R665" s="205"/>
      <c r="S665" s="52"/>
      <c r="T665" s="52"/>
      <c r="U665" s="52"/>
      <c r="V665" s="52"/>
      <c r="W665" s="52"/>
      <c r="X665" s="52"/>
      <c r="Y665" s="52"/>
      <c r="Z665" s="52"/>
      <c r="AA665" s="52"/>
      <c r="AB665" s="53"/>
    </row>
    <row r="666">
      <c r="A666" s="52"/>
      <c r="B666" s="52"/>
      <c r="C666" s="52"/>
      <c r="D666" s="52"/>
      <c r="E666" s="52"/>
      <c r="F666" s="52"/>
      <c r="G666" s="52"/>
      <c r="H666" s="52"/>
      <c r="I666" s="52"/>
      <c r="J666" s="52"/>
      <c r="K666" s="52"/>
      <c r="L666" s="52"/>
      <c r="M666" s="52"/>
      <c r="N666" s="52"/>
      <c r="O666" s="52"/>
      <c r="P666" s="61"/>
      <c r="Q666" s="61"/>
      <c r="R666" s="205"/>
      <c r="S666" s="52"/>
      <c r="T666" s="52"/>
      <c r="U666" s="52"/>
      <c r="V666" s="52"/>
      <c r="W666" s="52"/>
      <c r="X666" s="52"/>
      <c r="Y666" s="52"/>
      <c r="Z666" s="52"/>
      <c r="AA666" s="52"/>
      <c r="AB666" s="53"/>
    </row>
    <row r="667">
      <c r="A667" s="52"/>
      <c r="B667" s="52"/>
      <c r="C667" s="52"/>
      <c r="D667" s="52"/>
      <c r="E667" s="52"/>
      <c r="F667" s="52"/>
      <c r="G667" s="52"/>
      <c r="H667" s="52"/>
      <c r="I667" s="52"/>
      <c r="J667" s="52"/>
      <c r="K667" s="52"/>
      <c r="L667" s="52"/>
      <c r="M667" s="52"/>
      <c r="N667" s="52"/>
      <c r="O667" s="52"/>
      <c r="P667" s="61"/>
      <c r="Q667" s="61"/>
      <c r="R667" s="205"/>
      <c r="S667" s="52"/>
      <c r="T667" s="52"/>
      <c r="U667" s="52"/>
      <c r="V667" s="52"/>
      <c r="W667" s="52"/>
      <c r="X667" s="52"/>
      <c r="Y667" s="52"/>
      <c r="Z667" s="52"/>
      <c r="AA667" s="52"/>
      <c r="AB667" s="53"/>
    </row>
    <row r="668">
      <c r="A668" s="52"/>
      <c r="B668" s="52"/>
      <c r="C668" s="52"/>
      <c r="D668" s="52"/>
      <c r="E668" s="52"/>
      <c r="F668" s="52"/>
      <c r="G668" s="52"/>
      <c r="H668" s="52"/>
      <c r="I668" s="52"/>
      <c r="J668" s="52"/>
      <c r="K668" s="52"/>
      <c r="L668" s="52"/>
      <c r="M668" s="52"/>
      <c r="N668" s="52"/>
      <c r="O668" s="52"/>
      <c r="P668" s="61"/>
      <c r="Q668" s="61"/>
      <c r="R668" s="205"/>
      <c r="S668" s="52"/>
      <c r="T668" s="52"/>
      <c r="U668" s="52"/>
      <c r="V668" s="52"/>
      <c r="W668" s="52"/>
      <c r="X668" s="52"/>
      <c r="Y668" s="52"/>
      <c r="Z668" s="52"/>
      <c r="AA668" s="52"/>
      <c r="AB668" s="53"/>
    </row>
    <row r="669">
      <c r="A669" s="52"/>
      <c r="B669" s="52"/>
      <c r="C669" s="52"/>
      <c r="D669" s="52"/>
      <c r="E669" s="52"/>
      <c r="F669" s="52"/>
      <c r="G669" s="52"/>
      <c r="H669" s="52"/>
      <c r="I669" s="52"/>
      <c r="J669" s="52"/>
      <c r="K669" s="52"/>
      <c r="L669" s="52"/>
      <c r="M669" s="52"/>
      <c r="N669" s="52"/>
      <c r="O669" s="52"/>
      <c r="P669" s="61"/>
      <c r="Q669" s="61"/>
      <c r="R669" s="205"/>
      <c r="S669" s="52"/>
      <c r="T669" s="52"/>
      <c r="U669" s="52"/>
      <c r="V669" s="52"/>
      <c r="W669" s="52"/>
      <c r="X669" s="52"/>
      <c r="Y669" s="52"/>
      <c r="Z669" s="52"/>
      <c r="AA669" s="52"/>
      <c r="AB669" s="53"/>
    </row>
    <row r="670">
      <c r="A670" s="52"/>
      <c r="B670" s="52"/>
      <c r="C670" s="52"/>
      <c r="D670" s="52"/>
      <c r="E670" s="52"/>
      <c r="F670" s="52"/>
      <c r="G670" s="52"/>
      <c r="H670" s="52"/>
      <c r="I670" s="52"/>
      <c r="J670" s="52"/>
      <c r="K670" s="52"/>
      <c r="L670" s="52"/>
      <c r="M670" s="52"/>
      <c r="N670" s="52"/>
      <c r="O670" s="52"/>
      <c r="P670" s="61"/>
      <c r="Q670" s="61"/>
      <c r="R670" s="205"/>
      <c r="S670" s="52"/>
      <c r="T670" s="52"/>
      <c r="U670" s="52"/>
      <c r="V670" s="52"/>
      <c r="W670" s="52"/>
      <c r="X670" s="52"/>
      <c r="Y670" s="52"/>
      <c r="Z670" s="52"/>
      <c r="AA670" s="52"/>
      <c r="AB670" s="53"/>
    </row>
    <row r="671">
      <c r="A671" s="52"/>
      <c r="B671" s="52"/>
      <c r="C671" s="52"/>
      <c r="D671" s="52"/>
      <c r="E671" s="52"/>
      <c r="F671" s="52"/>
      <c r="G671" s="52"/>
      <c r="H671" s="52"/>
      <c r="I671" s="52"/>
      <c r="J671" s="52"/>
      <c r="K671" s="52"/>
      <c r="L671" s="52"/>
      <c r="M671" s="52"/>
      <c r="N671" s="52"/>
      <c r="O671" s="52"/>
      <c r="P671" s="61"/>
      <c r="Q671" s="61"/>
      <c r="R671" s="205"/>
      <c r="S671" s="52"/>
      <c r="T671" s="52"/>
      <c r="U671" s="52"/>
      <c r="V671" s="52"/>
      <c r="W671" s="52"/>
      <c r="X671" s="52"/>
      <c r="Y671" s="52"/>
      <c r="Z671" s="52"/>
      <c r="AA671" s="52"/>
      <c r="AB671" s="53"/>
    </row>
    <row r="672">
      <c r="A672" s="52"/>
      <c r="B672" s="52"/>
      <c r="C672" s="52"/>
      <c r="D672" s="52"/>
      <c r="E672" s="52"/>
      <c r="F672" s="52"/>
      <c r="G672" s="52"/>
      <c r="H672" s="52"/>
      <c r="I672" s="52"/>
      <c r="J672" s="52"/>
      <c r="K672" s="52"/>
      <c r="L672" s="52"/>
      <c r="M672" s="52"/>
      <c r="N672" s="52"/>
      <c r="O672" s="52"/>
      <c r="P672" s="61"/>
      <c r="Q672" s="61"/>
      <c r="R672" s="205"/>
      <c r="S672" s="52"/>
      <c r="T672" s="52"/>
      <c r="U672" s="52"/>
      <c r="V672" s="52"/>
      <c r="W672" s="52"/>
      <c r="X672" s="52"/>
      <c r="Y672" s="52"/>
      <c r="Z672" s="52"/>
      <c r="AA672" s="52"/>
      <c r="AB672" s="53"/>
    </row>
    <row r="673">
      <c r="A673" s="52"/>
      <c r="B673" s="52"/>
      <c r="C673" s="52"/>
      <c r="D673" s="52"/>
      <c r="E673" s="52"/>
      <c r="F673" s="52"/>
      <c r="G673" s="52"/>
      <c r="H673" s="52"/>
      <c r="I673" s="52"/>
      <c r="J673" s="52"/>
      <c r="K673" s="52"/>
      <c r="L673" s="52"/>
      <c r="M673" s="52"/>
      <c r="N673" s="52"/>
      <c r="O673" s="52"/>
      <c r="P673" s="61"/>
      <c r="Q673" s="61"/>
      <c r="R673" s="205"/>
      <c r="S673" s="52"/>
      <c r="T673" s="52"/>
      <c r="U673" s="52"/>
      <c r="V673" s="52"/>
      <c r="W673" s="52"/>
      <c r="X673" s="52"/>
      <c r="Y673" s="52"/>
      <c r="Z673" s="52"/>
      <c r="AA673" s="52"/>
      <c r="AB673" s="53"/>
    </row>
    <row r="674">
      <c r="A674" s="52"/>
      <c r="B674" s="52"/>
      <c r="C674" s="52"/>
      <c r="D674" s="52"/>
      <c r="E674" s="52"/>
      <c r="F674" s="52"/>
      <c r="G674" s="52"/>
      <c r="H674" s="52"/>
      <c r="I674" s="52"/>
      <c r="J674" s="52"/>
      <c r="K674" s="52"/>
      <c r="L674" s="52"/>
      <c r="M674" s="52"/>
      <c r="N674" s="52"/>
      <c r="O674" s="52"/>
      <c r="P674" s="61"/>
      <c r="Q674" s="61"/>
      <c r="R674" s="205"/>
      <c r="S674" s="52"/>
      <c r="T674" s="52"/>
      <c r="U674" s="52"/>
      <c r="V674" s="52"/>
      <c r="W674" s="52"/>
      <c r="X674" s="52"/>
      <c r="Y674" s="52"/>
      <c r="Z674" s="52"/>
      <c r="AA674" s="52"/>
      <c r="AB674" s="53"/>
    </row>
    <row r="675">
      <c r="A675" s="52"/>
      <c r="B675" s="52"/>
      <c r="C675" s="52"/>
      <c r="D675" s="52"/>
      <c r="E675" s="52"/>
      <c r="F675" s="52"/>
      <c r="G675" s="52"/>
      <c r="H675" s="52"/>
      <c r="I675" s="52"/>
      <c r="J675" s="52"/>
      <c r="K675" s="52"/>
      <c r="L675" s="52"/>
      <c r="M675" s="52"/>
      <c r="N675" s="52"/>
      <c r="O675" s="52"/>
      <c r="P675" s="61"/>
      <c r="Q675" s="61"/>
      <c r="R675" s="205"/>
      <c r="S675" s="52"/>
      <c r="T675" s="52"/>
      <c r="U675" s="52"/>
      <c r="V675" s="52"/>
      <c r="W675" s="52"/>
      <c r="X675" s="52"/>
      <c r="Y675" s="52"/>
      <c r="Z675" s="52"/>
      <c r="AA675" s="52"/>
      <c r="AB675" s="53"/>
    </row>
    <row r="676">
      <c r="A676" s="52"/>
      <c r="B676" s="52"/>
      <c r="C676" s="52"/>
      <c r="D676" s="52"/>
      <c r="E676" s="52"/>
      <c r="F676" s="52"/>
      <c r="G676" s="52"/>
      <c r="H676" s="52"/>
      <c r="I676" s="52"/>
      <c r="J676" s="52"/>
      <c r="K676" s="52"/>
      <c r="L676" s="52"/>
      <c r="M676" s="52"/>
      <c r="N676" s="52"/>
      <c r="O676" s="52"/>
      <c r="P676" s="61"/>
      <c r="Q676" s="61"/>
      <c r="R676" s="205"/>
      <c r="S676" s="52"/>
      <c r="T676" s="52"/>
      <c r="U676" s="52"/>
      <c r="V676" s="52"/>
      <c r="W676" s="52"/>
      <c r="X676" s="52"/>
      <c r="Y676" s="52"/>
      <c r="Z676" s="52"/>
      <c r="AA676" s="52"/>
      <c r="AB676" s="53"/>
    </row>
    <row r="677">
      <c r="A677" s="52"/>
      <c r="B677" s="52"/>
      <c r="C677" s="52"/>
      <c r="D677" s="52"/>
      <c r="E677" s="52"/>
      <c r="F677" s="52"/>
      <c r="G677" s="52"/>
      <c r="H677" s="52"/>
      <c r="I677" s="52"/>
      <c r="J677" s="52"/>
      <c r="K677" s="52"/>
      <c r="L677" s="52"/>
      <c r="M677" s="52"/>
      <c r="N677" s="52"/>
      <c r="O677" s="52"/>
      <c r="P677" s="61"/>
      <c r="Q677" s="61"/>
      <c r="R677" s="205"/>
      <c r="S677" s="52"/>
      <c r="T677" s="52"/>
      <c r="U677" s="52"/>
      <c r="V677" s="52"/>
      <c r="W677" s="52"/>
      <c r="X677" s="52"/>
      <c r="Y677" s="52"/>
      <c r="Z677" s="52"/>
      <c r="AA677" s="52"/>
      <c r="AB677" s="53"/>
    </row>
    <row r="678">
      <c r="A678" s="52"/>
      <c r="B678" s="52"/>
      <c r="C678" s="52"/>
      <c r="D678" s="52"/>
      <c r="E678" s="52"/>
      <c r="F678" s="52"/>
      <c r="G678" s="52"/>
      <c r="H678" s="52"/>
      <c r="I678" s="52"/>
      <c r="J678" s="52"/>
      <c r="K678" s="52"/>
      <c r="L678" s="52"/>
      <c r="M678" s="52"/>
      <c r="N678" s="52"/>
      <c r="O678" s="52"/>
      <c r="P678" s="61"/>
      <c r="Q678" s="61"/>
      <c r="R678" s="205"/>
      <c r="S678" s="52"/>
      <c r="T678" s="52"/>
      <c r="U678" s="52"/>
      <c r="V678" s="52"/>
      <c r="W678" s="52"/>
      <c r="X678" s="52"/>
      <c r="Y678" s="52"/>
      <c r="Z678" s="52"/>
      <c r="AA678" s="52"/>
      <c r="AB678" s="53"/>
    </row>
    <row r="679">
      <c r="A679" s="52"/>
      <c r="B679" s="52"/>
      <c r="C679" s="52"/>
      <c r="D679" s="52"/>
      <c r="E679" s="52"/>
      <c r="F679" s="52"/>
      <c r="G679" s="52"/>
      <c r="H679" s="52"/>
      <c r="I679" s="52"/>
      <c r="J679" s="52"/>
      <c r="K679" s="52"/>
      <c r="L679" s="52"/>
      <c r="M679" s="52"/>
      <c r="N679" s="52"/>
      <c r="O679" s="52"/>
      <c r="P679" s="61"/>
      <c r="Q679" s="61"/>
      <c r="R679" s="205"/>
      <c r="S679" s="52"/>
      <c r="T679" s="52"/>
      <c r="U679" s="52"/>
      <c r="V679" s="52"/>
      <c r="W679" s="52"/>
      <c r="X679" s="52"/>
      <c r="Y679" s="52"/>
      <c r="Z679" s="52"/>
      <c r="AA679" s="52"/>
      <c r="AB679" s="53"/>
    </row>
    <row r="680">
      <c r="A680" s="52"/>
      <c r="B680" s="52"/>
      <c r="C680" s="52"/>
      <c r="D680" s="52"/>
      <c r="E680" s="52"/>
      <c r="F680" s="52"/>
      <c r="G680" s="52"/>
      <c r="H680" s="52"/>
      <c r="I680" s="52"/>
      <c r="J680" s="52"/>
      <c r="K680" s="52"/>
      <c r="L680" s="52"/>
      <c r="M680" s="52"/>
      <c r="N680" s="52"/>
      <c r="O680" s="52"/>
      <c r="P680" s="61"/>
      <c r="Q680" s="61"/>
      <c r="R680" s="205"/>
      <c r="S680" s="52"/>
      <c r="T680" s="52"/>
      <c r="U680" s="52"/>
      <c r="V680" s="52"/>
      <c r="W680" s="52"/>
      <c r="X680" s="52"/>
      <c r="Y680" s="52"/>
      <c r="Z680" s="52"/>
      <c r="AA680" s="52"/>
      <c r="AB680" s="53"/>
    </row>
    <row r="681">
      <c r="A681" s="52"/>
      <c r="B681" s="52"/>
      <c r="C681" s="52"/>
      <c r="D681" s="52"/>
      <c r="E681" s="52"/>
      <c r="F681" s="52"/>
      <c r="G681" s="52"/>
      <c r="H681" s="52"/>
      <c r="I681" s="52"/>
      <c r="J681" s="52"/>
      <c r="K681" s="52"/>
      <c r="L681" s="52"/>
      <c r="M681" s="52"/>
      <c r="N681" s="52"/>
      <c r="O681" s="52"/>
      <c r="P681" s="61"/>
      <c r="Q681" s="61"/>
      <c r="R681" s="205"/>
      <c r="S681" s="52"/>
      <c r="T681" s="52"/>
      <c r="U681" s="52"/>
      <c r="V681" s="52"/>
      <c r="W681" s="52"/>
      <c r="X681" s="52"/>
      <c r="Y681" s="52"/>
      <c r="Z681" s="52"/>
      <c r="AA681" s="52"/>
      <c r="AB681" s="53"/>
    </row>
    <row r="682">
      <c r="A682" s="52"/>
      <c r="B682" s="52"/>
      <c r="C682" s="52"/>
      <c r="D682" s="52"/>
      <c r="E682" s="52"/>
      <c r="F682" s="52"/>
      <c r="G682" s="52"/>
      <c r="H682" s="52"/>
      <c r="I682" s="52"/>
      <c r="J682" s="52"/>
      <c r="K682" s="52"/>
      <c r="L682" s="52"/>
      <c r="M682" s="52"/>
      <c r="N682" s="52"/>
      <c r="O682" s="52"/>
      <c r="P682" s="61"/>
      <c r="Q682" s="61"/>
      <c r="R682" s="205"/>
      <c r="S682" s="52"/>
      <c r="T682" s="52"/>
      <c r="U682" s="52"/>
      <c r="V682" s="52"/>
      <c r="W682" s="52"/>
      <c r="X682" s="52"/>
      <c r="Y682" s="52"/>
      <c r="Z682" s="52"/>
      <c r="AA682" s="52"/>
      <c r="AB682" s="53"/>
    </row>
    <row r="683">
      <c r="A683" s="52"/>
      <c r="B683" s="52"/>
      <c r="C683" s="52"/>
      <c r="D683" s="52"/>
      <c r="E683" s="52"/>
      <c r="F683" s="52"/>
      <c r="G683" s="52"/>
      <c r="H683" s="52"/>
      <c r="I683" s="52"/>
      <c r="J683" s="52"/>
      <c r="K683" s="52"/>
      <c r="L683" s="52"/>
      <c r="M683" s="52"/>
      <c r="N683" s="52"/>
      <c r="O683" s="52"/>
      <c r="P683" s="61"/>
      <c r="Q683" s="61"/>
      <c r="R683" s="205"/>
      <c r="S683" s="52"/>
      <c r="T683" s="52"/>
      <c r="U683" s="52"/>
      <c r="V683" s="52"/>
      <c r="W683" s="52"/>
      <c r="X683" s="52"/>
      <c r="Y683" s="52"/>
      <c r="Z683" s="52"/>
      <c r="AA683" s="52"/>
      <c r="AB683" s="53"/>
    </row>
    <row r="684">
      <c r="A684" s="52"/>
      <c r="B684" s="52"/>
      <c r="C684" s="52"/>
      <c r="D684" s="52"/>
      <c r="E684" s="52"/>
      <c r="F684" s="52"/>
      <c r="G684" s="52"/>
      <c r="H684" s="52"/>
      <c r="I684" s="52"/>
      <c r="J684" s="52"/>
      <c r="K684" s="52"/>
      <c r="L684" s="52"/>
      <c r="M684" s="52"/>
      <c r="N684" s="52"/>
      <c r="O684" s="52"/>
      <c r="P684" s="61"/>
      <c r="Q684" s="61"/>
      <c r="R684" s="205"/>
      <c r="S684" s="52"/>
      <c r="T684" s="52"/>
      <c r="U684" s="52"/>
      <c r="V684" s="52"/>
      <c r="W684" s="52"/>
      <c r="X684" s="52"/>
      <c r="Y684" s="52"/>
      <c r="Z684" s="52"/>
      <c r="AA684" s="52"/>
      <c r="AB684" s="53"/>
    </row>
    <row r="685">
      <c r="A685" s="52"/>
      <c r="B685" s="52"/>
      <c r="C685" s="52"/>
      <c r="D685" s="52"/>
      <c r="E685" s="52"/>
      <c r="F685" s="52"/>
      <c r="G685" s="52"/>
      <c r="H685" s="52"/>
      <c r="I685" s="52"/>
      <c r="J685" s="52"/>
      <c r="K685" s="52"/>
      <c r="L685" s="52"/>
      <c r="M685" s="52"/>
      <c r="N685" s="52"/>
      <c r="O685" s="52"/>
      <c r="P685" s="61"/>
      <c r="Q685" s="61"/>
      <c r="R685" s="205"/>
      <c r="S685" s="52"/>
      <c r="T685" s="52"/>
      <c r="U685" s="52"/>
      <c r="V685" s="52"/>
      <c r="W685" s="52"/>
      <c r="X685" s="52"/>
      <c r="Y685" s="52"/>
      <c r="Z685" s="52"/>
      <c r="AA685" s="52"/>
      <c r="AB685" s="53"/>
    </row>
    <row r="686">
      <c r="A686" s="52"/>
      <c r="B686" s="52"/>
      <c r="C686" s="52"/>
      <c r="D686" s="52"/>
      <c r="E686" s="52"/>
      <c r="F686" s="52"/>
      <c r="G686" s="52"/>
      <c r="H686" s="52"/>
      <c r="I686" s="52"/>
      <c r="J686" s="52"/>
      <c r="K686" s="52"/>
      <c r="L686" s="52"/>
      <c r="M686" s="52"/>
      <c r="N686" s="52"/>
      <c r="O686" s="52"/>
      <c r="P686" s="61"/>
      <c r="Q686" s="61"/>
      <c r="R686" s="205"/>
      <c r="S686" s="52"/>
      <c r="T686" s="52"/>
      <c r="U686" s="52"/>
      <c r="V686" s="52"/>
      <c r="W686" s="52"/>
      <c r="X686" s="52"/>
      <c r="Y686" s="52"/>
      <c r="Z686" s="52"/>
      <c r="AA686" s="52"/>
      <c r="AB686" s="53"/>
    </row>
    <row r="687">
      <c r="A687" s="52"/>
      <c r="B687" s="52"/>
      <c r="C687" s="52"/>
      <c r="D687" s="52"/>
      <c r="E687" s="52"/>
      <c r="F687" s="52"/>
      <c r="G687" s="52"/>
      <c r="H687" s="52"/>
      <c r="I687" s="52"/>
      <c r="J687" s="52"/>
      <c r="K687" s="52"/>
      <c r="L687" s="52"/>
      <c r="M687" s="52"/>
      <c r="N687" s="52"/>
      <c r="O687" s="52"/>
      <c r="P687" s="61"/>
      <c r="Q687" s="61"/>
      <c r="R687" s="205"/>
      <c r="S687" s="52"/>
      <c r="T687" s="52"/>
      <c r="U687" s="52"/>
      <c r="V687" s="52"/>
      <c r="W687" s="52"/>
      <c r="X687" s="52"/>
      <c r="Y687" s="52"/>
      <c r="Z687" s="52"/>
      <c r="AA687" s="52"/>
      <c r="AB687" s="53"/>
    </row>
    <row r="688">
      <c r="A688" s="52"/>
      <c r="B688" s="52"/>
      <c r="C688" s="52"/>
      <c r="D688" s="52"/>
      <c r="E688" s="52"/>
      <c r="F688" s="52"/>
      <c r="G688" s="52"/>
      <c r="H688" s="52"/>
      <c r="I688" s="52"/>
      <c r="J688" s="52"/>
      <c r="K688" s="52"/>
      <c r="L688" s="52"/>
      <c r="M688" s="52"/>
      <c r="N688" s="52"/>
      <c r="O688" s="52"/>
      <c r="P688" s="61"/>
      <c r="Q688" s="61"/>
      <c r="R688" s="205"/>
      <c r="S688" s="52"/>
      <c r="T688" s="52"/>
      <c r="U688" s="52"/>
      <c r="V688" s="52"/>
      <c r="W688" s="52"/>
      <c r="X688" s="52"/>
      <c r="Y688" s="52"/>
      <c r="Z688" s="52"/>
      <c r="AA688" s="52"/>
      <c r="AB688" s="53"/>
    </row>
    <row r="689">
      <c r="A689" s="52"/>
      <c r="B689" s="52"/>
      <c r="C689" s="52"/>
      <c r="D689" s="52"/>
      <c r="E689" s="52"/>
      <c r="F689" s="52"/>
      <c r="G689" s="52"/>
      <c r="H689" s="52"/>
      <c r="I689" s="52"/>
      <c r="J689" s="52"/>
      <c r="K689" s="52"/>
      <c r="L689" s="52"/>
      <c r="M689" s="52"/>
      <c r="N689" s="52"/>
      <c r="O689" s="52"/>
      <c r="P689" s="61"/>
      <c r="Q689" s="61"/>
      <c r="R689" s="205"/>
      <c r="S689" s="52"/>
      <c r="T689" s="52"/>
      <c r="U689" s="52"/>
      <c r="V689" s="52"/>
      <c r="W689" s="52"/>
      <c r="X689" s="52"/>
      <c r="Y689" s="52"/>
      <c r="Z689" s="52"/>
      <c r="AA689" s="52"/>
      <c r="AB689" s="53"/>
    </row>
    <row r="690">
      <c r="A690" s="52"/>
      <c r="B690" s="52"/>
      <c r="C690" s="52"/>
      <c r="D690" s="52"/>
      <c r="E690" s="52"/>
      <c r="F690" s="52"/>
      <c r="G690" s="52"/>
      <c r="H690" s="52"/>
      <c r="I690" s="52"/>
      <c r="J690" s="52"/>
      <c r="K690" s="52"/>
      <c r="L690" s="52"/>
      <c r="M690" s="52"/>
      <c r="N690" s="52"/>
      <c r="O690" s="52"/>
      <c r="P690" s="61"/>
      <c r="Q690" s="61"/>
      <c r="R690" s="205"/>
      <c r="S690" s="52"/>
      <c r="T690" s="52"/>
      <c r="U690" s="52"/>
      <c r="V690" s="52"/>
      <c r="W690" s="52"/>
      <c r="X690" s="52"/>
      <c r="Y690" s="52"/>
      <c r="Z690" s="52"/>
      <c r="AA690" s="52"/>
      <c r="AB690" s="53"/>
    </row>
    <row r="691">
      <c r="A691" s="52"/>
      <c r="B691" s="52"/>
      <c r="C691" s="52"/>
      <c r="D691" s="52"/>
      <c r="E691" s="52"/>
      <c r="F691" s="52"/>
      <c r="G691" s="52"/>
      <c r="H691" s="52"/>
      <c r="I691" s="52"/>
      <c r="J691" s="52"/>
      <c r="K691" s="52"/>
      <c r="L691" s="52"/>
      <c r="M691" s="52"/>
      <c r="N691" s="52"/>
      <c r="O691" s="52"/>
      <c r="P691" s="61"/>
      <c r="Q691" s="61"/>
      <c r="R691" s="205"/>
      <c r="S691" s="52"/>
      <c r="T691" s="52"/>
      <c r="U691" s="52"/>
      <c r="V691" s="52"/>
      <c r="W691" s="52"/>
      <c r="X691" s="52"/>
      <c r="Y691" s="52"/>
      <c r="Z691" s="52"/>
      <c r="AA691" s="52"/>
      <c r="AB691" s="53"/>
    </row>
    <row r="692">
      <c r="A692" s="52"/>
      <c r="B692" s="52"/>
      <c r="C692" s="52"/>
      <c r="D692" s="52"/>
      <c r="E692" s="52"/>
      <c r="F692" s="52"/>
      <c r="G692" s="52"/>
      <c r="H692" s="52"/>
      <c r="I692" s="52"/>
      <c r="J692" s="52"/>
      <c r="K692" s="52"/>
      <c r="L692" s="52"/>
      <c r="M692" s="52"/>
      <c r="N692" s="52"/>
      <c r="O692" s="52"/>
      <c r="P692" s="61"/>
      <c r="Q692" s="61"/>
      <c r="R692" s="205"/>
      <c r="S692" s="52"/>
      <c r="T692" s="52"/>
      <c r="U692" s="52"/>
      <c r="V692" s="52"/>
      <c r="W692" s="52"/>
      <c r="X692" s="52"/>
      <c r="Y692" s="52"/>
      <c r="Z692" s="52"/>
      <c r="AA692" s="52"/>
      <c r="AB692" s="53"/>
    </row>
    <row r="693">
      <c r="A693" s="52"/>
      <c r="B693" s="52"/>
      <c r="C693" s="52"/>
      <c r="D693" s="52"/>
      <c r="E693" s="52"/>
      <c r="F693" s="52"/>
      <c r="G693" s="52"/>
      <c r="H693" s="52"/>
      <c r="I693" s="52"/>
      <c r="J693" s="52"/>
      <c r="K693" s="52"/>
      <c r="L693" s="52"/>
      <c r="M693" s="52"/>
      <c r="N693" s="52"/>
      <c r="O693" s="52"/>
      <c r="P693" s="61"/>
      <c r="Q693" s="61"/>
      <c r="R693" s="205"/>
      <c r="S693" s="52"/>
      <c r="T693" s="52"/>
      <c r="U693" s="52"/>
      <c r="V693" s="52"/>
      <c r="W693" s="52"/>
      <c r="X693" s="52"/>
      <c r="Y693" s="52"/>
      <c r="Z693" s="52"/>
      <c r="AA693" s="52"/>
      <c r="AB693" s="53"/>
    </row>
    <row r="694">
      <c r="A694" s="52"/>
      <c r="B694" s="52"/>
      <c r="C694" s="52"/>
      <c r="D694" s="52"/>
      <c r="E694" s="52"/>
      <c r="F694" s="52"/>
      <c r="G694" s="52"/>
      <c r="H694" s="52"/>
      <c r="I694" s="52"/>
      <c r="J694" s="52"/>
      <c r="K694" s="52"/>
      <c r="L694" s="52"/>
      <c r="M694" s="52"/>
      <c r="N694" s="52"/>
      <c r="O694" s="52"/>
      <c r="P694" s="61"/>
      <c r="Q694" s="61"/>
      <c r="R694" s="205"/>
      <c r="S694" s="52"/>
      <c r="T694" s="52"/>
      <c r="U694" s="52"/>
      <c r="V694" s="52"/>
      <c r="W694" s="52"/>
      <c r="X694" s="52"/>
      <c r="Y694" s="52"/>
      <c r="Z694" s="52"/>
      <c r="AA694" s="52"/>
      <c r="AB694" s="53"/>
    </row>
    <row r="695">
      <c r="A695" s="52"/>
      <c r="B695" s="52"/>
      <c r="C695" s="52"/>
      <c r="D695" s="52"/>
      <c r="E695" s="52"/>
      <c r="F695" s="52"/>
      <c r="G695" s="52"/>
      <c r="H695" s="52"/>
      <c r="I695" s="52"/>
      <c r="J695" s="52"/>
      <c r="K695" s="52"/>
      <c r="L695" s="52"/>
      <c r="M695" s="52"/>
      <c r="N695" s="52"/>
      <c r="O695" s="52"/>
      <c r="P695" s="61"/>
      <c r="Q695" s="61"/>
      <c r="R695" s="205"/>
      <c r="S695" s="52"/>
      <c r="T695" s="52"/>
      <c r="U695" s="52"/>
      <c r="V695" s="52"/>
      <c r="W695" s="52"/>
      <c r="X695" s="52"/>
      <c r="Y695" s="52"/>
      <c r="Z695" s="52"/>
      <c r="AA695" s="52"/>
      <c r="AB695" s="53"/>
    </row>
    <row r="696">
      <c r="A696" s="52"/>
      <c r="B696" s="52"/>
      <c r="C696" s="52"/>
      <c r="D696" s="52"/>
      <c r="E696" s="52"/>
      <c r="F696" s="52"/>
      <c r="G696" s="52"/>
      <c r="H696" s="52"/>
      <c r="I696" s="52"/>
      <c r="J696" s="52"/>
      <c r="K696" s="52"/>
      <c r="L696" s="52"/>
      <c r="M696" s="52"/>
      <c r="N696" s="52"/>
      <c r="O696" s="52"/>
      <c r="P696" s="61"/>
      <c r="Q696" s="61"/>
      <c r="R696" s="205"/>
      <c r="S696" s="52"/>
      <c r="T696" s="52"/>
      <c r="U696" s="52"/>
      <c r="V696" s="52"/>
      <c r="W696" s="52"/>
      <c r="X696" s="52"/>
      <c r="Y696" s="52"/>
      <c r="Z696" s="52"/>
      <c r="AA696" s="52"/>
      <c r="AB696" s="53"/>
    </row>
    <row r="697">
      <c r="A697" s="52"/>
      <c r="B697" s="52"/>
      <c r="C697" s="52"/>
      <c r="D697" s="52"/>
      <c r="E697" s="52"/>
      <c r="F697" s="52"/>
      <c r="G697" s="52"/>
      <c r="H697" s="52"/>
      <c r="I697" s="52"/>
      <c r="J697" s="52"/>
      <c r="K697" s="52"/>
      <c r="L697" s="52"/>
      <c r="M697" s="52"/>
      <c r="N697" s="52"/>
      <c r="O697" s="52"/>
      <c r="P697" s="61"/>
      <c r="Q697" s="61"/>
      <c r="R697" s="205"/>
      <c r="S697" s="52"/>
      <c r="T697" s="52"/>
      <c r="U697" s="52"/>
      <c r="V697" s="52"/>
      <c r="W697" s="52"/>
      <c r="X697" s="52"/>
      <c r="Y697" s="52"/>
      <c r="Z697" s="52"/>
      <c r="AA697" s="52"/>
      <c r="AB697" s="53"/>
    </row>
    <row r="698">
      <c r="A698" s="52"/>
      <c r="B698" s="52"/>
      <c r="C698" s="52"/>
      <c r="D698" s="52"/>
      <c r="E698" s="52"/>
      <c r="F698" s="52"/>
      <c r="G698" s="52"/>
      <c r="H698" s="52"/>
      <c r="I698" s="52"/>
      <c r="J698" s="52"/>
      <c r="K698" s="52"/>
      <c r="L698" s="52"/>
      <c r="M698" s="52"/>
      <c r="N698" s="52"/>
      <c r="O698" s="52"/>
      <c r="P698" s="61"/>
      <c r="Q698" s="61"/>
      <c r="R698" s="205"/>
      <c r="S698" s="52"/>
      <c r="T698" s="52"/>
      <c r="U698" s="52"/>
      <c r="V698" s="52"/>
      <c r="W698" s="52"/>
      <c r="X698" s="52"/>
      <c r="Y698" s="52"/>
      <c r="Z698" s="52"/>
      <c r="AA698" s="52"/>
      <c r="AB698" s="53"/>
    </row>
    <row r="699">
      <c r="A699" s="52"/>
      <c r="B699" s="52"/>
      <c r="C699" s="52"/>
      <c r="D699" s="52"/>
      <c r="E699" s="52"/>
      <c r="F699" s="52"/>
      <c r="G699" s="52"/>
      <c r="H699" s="52"/>
      <c r="I699" s="52"/>
      <c r="J699" s="52"/>
      <c r="K699" s="52"/>
      <c r="L699" s="52"/>
      <c r="M699" s="52"/>
      <c r="N699" s="52"/>
      <c r="O699" s="52"/>
      <c r="P699" s="61"/>
      <c r="Q699" s="61"/>
      <c r="R699" s="205"/>
      <c r="S699" s="52"/>
      <c r="T699" s="52"/>
      <c r="U699" s="52"/>
      <c r="V699" s="52"/>
      <c r="W699" s="52"/>
      <c r="X699" s="52"/>
      <c r="Y699" s="52"/>
      <c r="Z699" s="52"/>
      <c r="AA699" s="52"/>
      <c r="AB699" s="53"/>
    </row>
    <row r="700">
      <c r="A700" s="52"/>
      <c r="B700" s="52"/>
      <c r="C700" s="52"/>
      <c r="D700" s="52"/>
      <c r="E700" s="52"/>
      <c r="F700" s="52"/>
      <c r="G700" s="52"/>
      <c r="H700" s="52"/>
      <c r="I700" s="52"/>
      <c r="J700" s="52"/>
      <c r="K700" s="52"/>
      <c r="L700" s="52"/>
      <c r="M700" s="52"/>
      <c r="N700" s="52"/>
      <c r="O700" s="52"/>
      <c r="P700" s="61"/>
      <c r="Q700" s="61"/>
      <c r="R700" s="205"/>
      <c r="S700" s="52"/>
      <c r="T700" s="52"/>
      <c r="U700" s="52"/>
      <c r="V700" s="52"/>
      <c r="W700" s="52"/>
      <c r="X700" s="52"/>
      <c r="Y700" s="52"/>
      <c r="Z700" s="52"/>
      <c r="AA700" s="52"/>
      <c r="AB700" s="53"/>
    </row>
    <row r="701">
      <c r="A701" s="52"/>
      <c r="B701" s="52"/>
      <c r="C701" s="52"/>
      <c r="D701" s="52"/>
      <c r="E701" s="52"/>
      <c r="F701" s="52"/>
      <c r="G701" s="52"/>
      <c r="H701" s="52"/>
      <c r="I701" s="52"/>
      <c r="J701" s="52"/>
      <c r="K701" s="52"/>
      <c r="L701" s="52"/>
      <c r="M701" s="52"/>
      <c r="N701" s="52"/>
      <c r="O701" s="52"/>
      <c r="P701" s="61"/>
      <c r="Q701" s="61"/>
      <c r="R701" s="205"/>
      <c r="S701" s="52"/>
      <c r="T701" s="52"/>
      <c r="U701" s="52"/>
      <c r="V701" s="52"/>
      <c r="W701" s="52"/>
      <c r="X701" s="52"/>
      <c r="Y701" s="52"/>
      <c r="Z701" s="52"/>
      <c r="AA701" s="52"/>
      <c r="AB701" s="53"/>
    </row>
    <row r="702">
      <c r="A702" s="52"/>
      <c r="B702" s="52"/>
      <c r="C702" s="52"/>
      <c r="D702" s="52"/>
      <c r="E702" s="52"/>
      <c r="F702" s="52"/>
      <c r="G702" s="52"/>
      <c r="H702" s="52"/>
      <c r="I702" s="52"/>
      <c r="J702" s="52"/>
      <c r="K702" s="52"/>
      <c r="L702" s="52"/>
      <c r="M702" s="52"/>
      <c r="N702" s="52"/>
      <c r="O702" s="52"/>
      <c r="P702" s="61"/>
      <c r="Q702" s="61"/>
      <c r="R702" s="205"/>
      <c r="S702" s="52"/>
      <c r="T702" s="52"/>
      <c r="U702" s="52"/>
      <c r="V702" s="52"/>
      <c r="W702" s="52"/>
      <c r="X702" s="52"/>
      <c r="Y702" s="52"/>
      <c r="Z702" s="52"/>
      <c r="AA702" s="52"/>
      <c r="AB702" s="53"/>
    </row>
    <row r="703">
      <c r="A703" s="52"/>
      <c r="B703" s="52"/>
      <c r="C703" s="52"/>
      <c r="D703" s="52"/>
      <c r="E703" s="52"/>
      <c r="F703" s="52"/>
      <c r="G703" s="52"/>
      <c r="H703" s="52"/>
      <c r="I703" s="52"/>
      <c r="J703" s="52"/>
      <c r="K703" s="52"/>
      <c r="L703" s="52"/>
      <c r="M703" s="52"/>
      <c r="N703" s="52"/>
      <c r="O703" s="52"/>
      <c r="P703" s="61"/>
      <c r="Q703" s="61"/>
      <c r="R703" s="205"/>
      <c r="S703" s="52"/>
      <c r="T703" s="52"/>
      <c r="U703" s="52"/>
      <c r="V703" s="52"/>
      <c r="W703" s="52"/>
      <c r="X703" s="52"/>
      <c r="Y703" s="52"/>
      <c r="Z703" s="52"/>
      <c r="AA703" s="52"/>
      <c r="AB703" s="53"/>
    </row>
    <row r="704">
      <c r="A704" s="52"/>
      <c r="B704" s="52"/>
      <c r="C704" s="52"/>
      <c r="D704" s="52"/>
      <c r="E704" s="52"/>
      <c r="F704" s="52"/>
      <c r="G704" s="52"/>
      <c r="H704" s="52"/>
      <c r="I704" s="52"/>
      <c r="J704" s="52"/>
      <c r="K704" s="52"/>
      <c r="L704" s="52"/>
      <c r="M704" s="52"/>
      <c r="N704" s="52"/>
      <c r="O704" s="52"/>
      <c r="P704" s="61"/>
      <c r="Q704" s="61"/>
      <c r="R704" s="205"/>
      <c r="S704" s="52"/>
      <c r="T704" s="52"/>
      <c r="U704" s="52"/>
      <c r="V704" s="52"/>
      <c r="W704" s="52"/>
      <c r="X704" s="52"/>
      <c r="Y704" s="52"/>
      <c r="Z704" s="52"/>
      <c r="AA704" s="52"/>
      <c r="AB704" s="53"/>
    </row>
    <row r="705">
      <c r="A705" s="52"/>
      <c r="B705" s="52"/>
      <c r="C705" s="52"/>
      <c r="D705" s="52"/>
      <c r="E705" s="52"/>
      <c r="F705" s="52"/>
      <c r="G705" s="52"/>
      <c r="H705" s="52"/>
      <c r="I705" s="52"/>
      <c r="J705" s="52"/>
      <c r="K705" s="52"/>
      <c r="L705" s="52"/>
      <c r="M705" s="52"/>
      <c r="N705" s="52"/>
      <c r="O705" s="52"/>
      <c r="P705" s="61"/>
      <c r="Q705" s="61"/>
      <c r="R705" s="205"/>
      <c r="S705" s="52"/>
      <c r="T705" s="52"/>
      <c r="U705" s="52"/>
      <c r="V705" s="52"/>
      <c r="W705" s="52"/>
      <c r="X705" s="52"/>
      <c r="Y705" s="52"/>
      <c r="Z705" s="52"/>
      <c r="AA705" s="52"/>
      <c r="AB705" s="53"/>
    </row>
    <row r="706">
      <c r="A706" s="52"/>
      <c r="B706" s="52"/>
      <c r="C706" s="52"/>
      <c r="D706" s="52"/>
      <c r="E706" s="52"/>
      <c r="F706" s="52"/>
      <c r="G706" s="52"/>
      <c r="H706" s="52"/>
      <c r="I706" s="52"/>
      <c r="J706" s="52"/>
      <c r="K706" s="52"/>
      <c r="L706" s="52"/>
      <c r="M706" s="52"/>
      <c r="N706" s="52"/>
      <c r="O706" s="52"/>
      <c r="P706" s="61"/>
      <c r="Q706" s="61"/>
      <c r="R706" s="205"/>
      <c r="S706" s="52"/>
      <c r="T706" s="52"/>
      <c r="U706" s="52"/>
      <c r="V706" s="52"/>
      <c r="W706" s="52"/>
      <c r="X706" s="52"/>
      <c r="Y706" s="52"/>
      <c r="Z706" s="52"/>
      <c r="AA706" s="52"/>
      <c r="AB706" s="53"/>
    </row>
    <row r="707">
      <c r="A707" s="52"/>
      <c r="B707" s="52"/>
      <c r="C707" s="52"/>
      <c r="D707" s="52"/>
      <c r="E707" s="52"/>
      <c r="F707" s="52"/>
      <c r="G707" s="52"/>
      <c r="H707" s="52"/>
      <c r="I707" s="52"/>
      <c r="J707" s="52"/>
      <c r="K707" s="52"/>
      <c r="L707" s="52"/>
      <c r="M707" s="52"/>
      <c r="N707" s="52"/>
      <c r="O707" s="52"/>
      <c r="P707" s="61"/>
      <c r="Q707" s="61"/>
      <c r="R707" s="205"/>
      <c r="S707" s="52"/>
      <c r="T707" s="52"/>
      <c r="U707" s="52"/>
      <c r="V707" s="52"/>
      <c r="W707" s="52"/>
      <c r="X707" s="52"/>
      <c r="Y707" s="52"/>
      <c r="Z707" s="52"/>
      <c r="AA707" s="52"/>
      <c r="AB707" s="53"/>
    </row>
    <row r="708">
      <c r="A708" s="52"/>
      <c r="B708" s="52"/>
      <c r="C708" s="52"/>
      <c r="D708" s="52"/>
      <c r="E708" s="52"/>
      <c r="F708" s="52"/>
      <c r="G708" s="52"/>
      <c r="H708" s="52"/>
      <c r="I708" s="52"/>
      <c r="J708" s="52"/>
      <c r="K708" s="52"/>
      <c r="L708" s="52"/>
      <c r="M708" s="52"/>
      <c r="N708" s="52"/>
      <c r="O708" s="52"/>
      <c r="P708" s="61"/>
      <c r="Q708" s="61"/>
      <c r="R708" s="205"/>
      <c r="S708" s="52"/>
      <c r="T708" s="52"/>
      <c r="U708" s="52"/>
      <c r="V708" s="52"/>
      <c r="W708" s="52"/>
      <c r="X708" s="52"/>
      <c r="Y708" s="52"/>
      <c r="Z708" s="52"/>
      <c r="AA708" s="52"/>
      <c r="AB708" s="53"/>
    </row>
    <row r="709">
      <c r="A709" s="52"/>
      <c r="B709" s="52"/>
      <c r="C709" s="52"/>
      <c r="D709" s="52"/>
      <c r="E709" s="52"/>
      <c r="F709" s="52"/>
      <c r="G709" s="52"/>
      <c r="H709" s="52"/>
      <c r="I709" s="52"/>
      <c r="J709" s="52"/>
      <c r="K709" s="52"/>
      <c r="L709" s="52"/>
      <c r="M709" s="52"/>
      <c r="N709" s="52"/>
      <c r="O709" s="52"/>
      <c r="P709" s="61"/>
      <c r="Q709" s="61"/>
      <c r="R709" s="205"/>
      <c r="S709" s="52"/>
      <c r="T709" s="52"/>
      <c r="U709" s="52"/>
      <c r="V709" s="52"/>
      <c r="W709" s="52"/>
      <c r="X709" s="52"/>
      <c r="Y709" s="52"/>
      <c r="Z709" s="52"/>
      <c r="AA709" s="52"/>
      <c r="AB709" s="53"/>
    </row>
    <row r="710">
      <c r="A710" s="52"/>
      <c r="B710" s="52"/>
      <c r="C710" s="52"/>
      <c r="D710" s="52"/>
      <c r="E710" s="52"/>
      <c r="F710" s="52"/>
      <c r="G710" s="52"/>
      <c r="H710" s="52"/>
      <c r="I710" s="52"/>
      <c r="J710" s="52"/>
      <c r="K710" s="52"/>
      <c r="L710" s="52"/>
      <c r="M710" s="52"/>
      <c r="N710" s="52"/>
      <c r="O710" s="52"/>
      <c r="P710" s="61"/>
      <c r="Q710" s="61"/>
      <c r="R710" s="205"/>
      <c r="S710" s="52"/>
      <c r="T710" s="52"/>
      <c r="U710" s="52"/>
      <c r="V710" s="52"/>
      <c r="W710" s="52"/>
      <c r="X710" s="52"/>
      <c r="Y710" s="52"/>
      <c r="Z710" s="52"/>
      <c r="AA710" s="52"/>
      <c r="AB710" s="53"/>
    </row>
    <row r="711">
      <c r="A711" s="52"/>
      <c r="B711" s="52"/>
      <c r="C711" s="52"/>
      <c r="D711" s="52"/>
      <c r="E711" s="52"/>
      <c r="F711" s="52"/>
      <c r="G711" s="52"/>
      <c r="H711" s="52"/>
      <c r="I711" s="52"/>
      <c r="J711" s="52"/>
      <c r="K711" s="52"/>
      <c r="L711" s="52"/>
      <c r="M711" s="52"/>
      <c r="N711" s="52"/>
      <c r="O711" s="52"/>
      <c r="P711" s="61"/>
      <c r="Q711" s="61"/>
      <c r="R711" s="205"/>
      <c r="S711" s="52"/>
      <c r="T711" s="52"/>
      <c r="U711" s="52"/>
      <c r="V711" s="52"/>
      <c r="W711" s="52"/>
      <c r="X711" s="52"/>
      <c r="Y711" s="52"/>
      <c r="Z711" s="52"/>
      <c r="AA711" s="52"/>
      <c r="AB711" s="53"/>
    </row>
    <row r="712">
      <c r="A712" s="52"/>
      <c r="B712" s="52"/>
      <c r="C712" s="52"/>
      <c r="D712" s="52"/>
      <c r="E712" s="52"/>
      <c r="F712" s="52"/>
      <c r="G712" s="52"/>
      <c r="H712" s="52"/>
      <c r="I712" s="52"/>
      <c r="J712" s="52"/>
      <c r="K712" s="52"/>
      <c r="L712" s="52"/>
      <c r="M712" s="52"/>
      <c r="N712" s="52"/>
      <c r="O712" s="52"/>
      <c r="P712" s="61"/>
      <c r="Q712" s="61"/>
      <c r="R712" s="205"/>
      <c r="S712" s="52"/>
      <c r="T712" s="52"/>
      <c r="U712" s="52"/>
      <c r="V712" s="52"/>
      <c r="W712" s="52"/>
      <c r="X712" s="52"/>
      <c r="Y712" s="52"/>
      <c r="Z712" s="52"/>
      <c r="AA712" s="52"/>
      <c r="AB712" s="53"/>
    </row>
    <row r="713">
      <c r="A713" s="52"/>
      <c r="B713" s="52"/>
      <c r="C713" s="52"/>
      <c r="D713" s="52"/>
      <c r="E713" s="52"/>
      <c r="F713" s="52"/>
      <c r="G713" s="52"/>
      <c r="H713" s="52"/>
      <c r="I713" s="52"/>
      <c r="J713" s="52"/>
      <c r="K713" s="52"/>
      <c r="L713" s="52"/>
      <c r="M713" s="52"/>
      <c r="N713" s="52"/>
      <c r="O713" s="52"/>
      <c r="P713" s="61"/>
      <c r="Q713" s="61"/>
      <c r="R713" s="205"/>
      <c r="S713" s="52"/>
      <c r="T713" s="52"/>
      <c r="U713" s="52"/>
      <c r="V713" s="52"/>
      <c r="W713" s="52"/>
      <c r="X713" s="52"/>
      <c r="Y713" s="52"/>
      <c r="Z713" s="52"/>
      <c r="AA713" s="52"/>
      <c r="AB713" s="53"/>
    </row>
    <row r="714">
      <c r="A714" s="52"/>
      <c r="B714" s="52"/>
      <c r="C714" s="52"/>
      <c r="D714" s="52"/>
      <c r="E714" s="52"/>
      <c r="F714" s="52"/>
      <c r="G714" s="52"/>
      <c r="H714" s="52"/>
      <c r="I714" s="52"/>
      <c r="J714" s="52"/>
      <c r="K714" s="52"/>
      <c r="L714" s="52"/>
      <c r="M714" s="52"/>
      <c r="N714" s="52"/>
      <c r="O714" s="52"/>
      <c r="P714" s="61"/>
      <c r="Q714" s="61"/>
      <c r="R714" s="205"/>
      <c r="S714" s="52"/>
      <c r="T714" s="52"/>
      <c r="U714" s="52"/>
      <c r="V714" s="52"/>
      <c r="W714" s="52"/>
      <c r="X714" s="52"/>
      <c r="Y714" s="52"/>
      <c r="Z714" s="52"/>
      <c r="AA714" s="52"/>
      <c r="AB714" s="53"/>
    </row>
    <row r="715">
      <c r="A715" s="52"/>
      <c r="B715" s="52"/>
      <c r="C715" s="52"/>
      <c r="D715" s="52"/>
      <c r="E715" s="52"/>
      <c r="F715" s="52"/>
      <c r="G715" s="52"/>
      <c r="H715" s="52"/>
      <c r="I715" s="52"/>
      <c r="J715" s="52"/>
      <c r="K715" s="52"/>
      <c r="L715" s="52"/>
      <c r="M715" s="52"/>
      <c r="N715" s="52"/>
      <c r="O715" s="52"/>
      <c r="P715" s="61"/>
      <c r="Q715" s="61"/>
      <c r="R715" s="205"/>
      <c r="S715" s="52"/>
      <c r="T715" s="52"/>
      <c r="U715" s="52"/>
      <c r="V715" s="52"/>
      <c r="W715" s="52"/>
      <c r="X715" s="52"/>
      <c r="Y715" s="52"/>
      <c r="Z715" s="52"/>
      <c r="AA715" s="52"/>
      <c r="AB715" s="53"/>
    </row>
    <row r="716">
      <c r="A716" s="52"/>
      <c r="B716" s="52"/>
      <c r="C716" s="52"/>
      <c r="D716" s="52"/>
      <c r="E716" s="52"/>
      <c r="F716" s="52"/>
      <c r="G716" s="52"/>
      <c r="H716" s="52"/>
      <c r="I716" s="52"/>
      <c r="J716" s="52"/>
      <c r="K716" s="52"/>
      <c r="L716" s="52"/>
      <c r="M716" s="52"/>
      <c r="N716" s="52"/>
      <c r="O716" s="52"/>
      <c r="P716" s="61"/>
      <c r="Q716" s="61"/>
      <c r="R716" s="205"/>
      <c r="S716" s="52"/>
      <c r="T716" s="52"/>
      <c r="U716" s="52"/>
      <c r="V716" s="52"/>
      <c r="W716" s="52"/>
      <c r="X716" s="52"/>
      <c r="Y716" s="52"/>
      <c r="Z716" s="52"/>
      <c r="AA716" s="52"/>
      <c r="AB716" s="53"/>
    </row>
    <row r="717">
      <c r="A717" s="52"/>
      <c r="B717" s="52"/>
      <c r="C717" s="52"/>
      <c r="D717" s="52"/>
      <c r="E717" s="52"/>
      <c r="F717" s="52"/>
      <c r="G717" s="52"/>
      <c r="H717" s="52"/>
      <c r="I717" s="52"/>
      <c r="J717" s="52"/>
      <c r="K717" s="52"/>
      <c r="L717" s="52"/>
      <c r="M717" s="52"/>
      <c r="N717" s="52"/>
      <c r="O717" s="52"/>
      <c r="P717" s="61"/>
      <c r="Q717" s="61"/>
      <c r="R717" s="205"/>
      <c r="S717" s="52"/>
      <c r="T717" s="52"/>
      <c r="U717" s="52"/>
      <c r="V717" s="52"/>
      <c r="W717" s="52"/>
      <c r="X717" s="52"/>
      <c r="Y717" s="52"/>
      <c r="Z717" s="52"/>
      <c r="AA717" s="52"/>
      <c r="AB717" s="53"/>
    </row>
    <row r="718">
      <c r="A718" s="52"/>
      <c r="B718" s="52"/>
      <c r="C718" s="52"/>
      <c r="D718" s="52"/>
      <c r="E718" s="52"/>
      <c r="F718" s="52"/>
      <c r="G718" s="52"/>
      <c r="H718" s="52"/>
      <c r="I718" s="52"/>
      <c r="J718" s="52"/>
      <c r="K718" s="52"/>
      <c r="L718" s="52"/>
      <c r="M718" s="52"/>
      <c r="N718" s="52"/>
      <c r="O718" s="52"/>
      <c r="P718" s="61"/>
      <c r="Q718" s="61"/>
      <c r="R718" s="205"/>
      <c r="S718" s="52"/>
      <c r="T718" s="52"/>
      <c r="U718" s="52"/>
      <c r="V718" s="52"/>
      <c r="W718" s="52"/>
      <c r="X718" s="52"/>
      <c r="Y718" s="52"/>
      <c r="Z718" s="52"/>
      <c r="AA718" s="52"/>
      <c r="AB718" s="53"/>
    </row>
    <row r="719">
      <c r="A719" s="52"/>
      <c r="B719" s="52"/>
      <c r="C719" s="52"/>
      <c r="D719" s="52"/>
      <c r="E719" s="52"/>
      <c r="F719" s="52"/>
      <c r="G719" s="52"/>
      <c r="H719" s="52"/>
      <c r="I719" s="52"/>
      <c r="J719" s="52"/>
      <c r="K719" s="52"/>
      <c r="L719" s="52"/>
      <c r="M719" s="52"/>
      <c r="N719" s="52"/>
      <c r="O719" s="52"/>
      <c r="P719" s="61"/>
      <c r="Q719" s="61"/>
      <c r="R719" s="205"/>
      <c r="S719" s="52"/>
      <c r="T719" s="52"/>
      <c r="U719" s="52"/>
      <c r="V719" s="52"/>
      <c r="W719" s="52"/>
      <c r="X719" s="52"/>
      <c r="Y719" s="52"/>
      <c r="Z719" s="52"/>
      <c r="AA719" s="52"/>
      <c r="AB719" s="53"/>
    </row>
    <row r="720">
      <c r="A720" s="52"/>
      <c r="B720" s="52"/>
      <c r="C720" s="52"/>
      <c r="D720" s="52"/>
      <c r="E720" s="52"/>
      <c r="F720" s="52"/>
      <c r="G720" s="52"/>
      <c r="H720" s="52"/>
      <c r="I720" s="52"/>
      <c r="J720" s="52"/>
      <c r="K720" s="52"/>
      <c r="L720" s="52"/>
      <c r="M720" s="52"/>
      <c r="N720" s="52"/>
      <c r="O720" s="52"/>
      <c r="P720" s="61"/>
      <c r="Q720" s="61"/>
      <c r="R720" s="205"/>
      <c r="S720" s="52"/>
      <c r="T720" s="52"/>
      <c r="U720" s="52"/>
      <c r="V720" s="52"/>
      <c r="W720" s="52"/>
      <c r="X720" s="52"/>
      <c r="Y720" s="52"/>
      <c r="Z720" s="52"/>
      <c r="AA720" s="52"/>
      <c r="AB720" s="53"/>
    </row>
    <row r="721">
      <c r="A721" s="52"/>
      <c r="B721" s="52"/>
      <c r="C721" s="52"/>
      <c r="D721" s="52"/>
      <c r="E721" s="52"/>
      <c r="F721" s="52"/>
      <c r="G721" s="52"/>
      <c r="H721" s="52"/>
      <c r="I721" s="52"/>
      <c r="J721" s="52"/>
      <c r="K721" s="52"/>
      <c r="L721" s="52"/>
      <c r="M721" s="52"/>
      <c r="N721" s="52"/>
      <c r="O721" s="52"/>
      <c r="P721" s="61"/>
      <c r="Q721" s="61"/>
      <c r="R721" s="205"/>
      <c r="S721" s="52"/>
      <c r="T721" s="52"/>
      <c r="U721" s="52"/>
      <c r="V721" s="52"/>
      <c r="W721" s="52"/>
      <c r="X721" s="52"/>
      <c r="Y721" s="52"/>
      <c r="Z721" s="52"/>
      <c r="AA721" s="52"/>
      <c r="AB721" s="53"/>
    </row>
    <row r="722">
      <c r="A722" s="52"/>
      <c r="B722" s="52"/>
      <c r="C722" s="52"/>
      <c r="D722" s="52"/>
      <c r="E722" s="52"/>
      <c r="F722" s="52"/>
      <c r="G722" s="52"/>
      <c r="H722" s="52"/>
      <c r="I722" s="52"/>
      <c r="J722" s="52"/>
      <c r="K722" s="52"/>
      <c r="L722" s="52"/>
      <c r="M722" s="52"/>
      <c r="N722" s="52"/>
      <c r="O722" s="52"/>
      <c r="P722" s="61"/>
      <c r="Q722" s="61"/>
      <c r="R722" s="205"/>
      <c r="S722" s="52"/>
      <c r="T722" s="52"/>
      <c r="U722" s="52"/>
      <c r="V722" s="52"/>
      <c r="W722" s="52"/>
      <c r="X722" s="52"/>
      <c r="Y722" s="52"/>
      <c r="Z722" s="52"/>
      <c r="AA722" s="52"/>
      <c r="AB722" s="53"/>
    </row>
    <row r="723">
      <c r="A723" s="52"/>
      <c r="B723" s="52"/>
      <c r="C723" s="52"/>
      <c r="D723" s="52"/>
      <c r="E723" s="52"/>
      <c r="F723" s="52"/>
      <c r="G723" s="52"/>
      <c r="H723" s="52"/>
      <c r="I723" s="52"/>
      <c r="J723" s="52"/>
      <c r="K723" s="52"/>
      <c r="L723" s="52"/>
      <c r="M723" s="52"/>
      <c r="N723" s="52"/>
      <c r="O723" s="52"/>
      <c r="P723" s="61"/>
      <c r="Q723" s="61"/>
      <c r="R723" s="205"/>
      <c r="S723" s="52"/>
      <c r="T723" s="52"/>
      <c r="U723" s="52"/>
      <c r="V723" s="52"/>
      <c r="W723" s="52"/>
      <c r="X723" s="52"/>
      <c r="Y723" s="52"/>
      <c r="Z723" s="52"/>
      <c r="AA723" s="52"/>
      <c r="AB723" s="53"/>
    </row>
    <row r="724">
      <c r="A724" s="52"/>
      <c r="B724" s="52"/>
      <c r="C724" s="52"/>
      <c r="D724" s="52"/>
      <c r="E724" s="52"/>
      <c r="F724" s="52"/>
      <c r="G724" s="52"/>
      <c r="H724" s="52"/>
      <c r="I724" s="52"/>
      <c r="J724" s="52"/>
      <c r="K724" s="52"/>
      <c r="L724" s="52"/>
      <c r="M724" s="52"/>
      <c r="N724" s="52"/>
      <c r="O724" s="52"/>
      <c r="P724" s="61"/>
      <c r="Q724" s="61"/>
      <c r="R724" s="205"/>
      <c r="S724" s="52"/>
      <c r="T724" s="52"/>
      <c r="U724" s="52"/>
      <c r="V724" s="52"/>
      <c r="W724" s="52"/>
      <c r="X724" s="52"/>
      <c r="Y724" s="52"/>
      <c r="Z724" s="52"/>
      <c r="AA724" s="52"/>
      <c r="AB724" s="53"/>
    </row>
    <row r="725">
      <c r="A725" s="52"/>
      <c r="B725" s="52"/>
      <c r="C725" s="52"/>
      <c r="D725" s="52"/>
      <c r="E725" s="52"/>
      <c r="F725" s="52"/>
      <c r="G725" s="52"/>
      <c r="H725" s="52"/>
      <c r="I725" s="52"/>
      <c r="J725" s="52"/>
      <c r="K725" s="52"/>
      <c r="L725" s="52"/>
      <c r="M725" s="52"/>
      <c r="N725" s="52"/>
      <c r="O725" s="52"/>
      <c r="P725" s="61"/>
      <c r="Q725" s="61"/>
      <c r="R725" s="205"/>
      <c r="S725" s="52"/>
      <c r="T725" s="52"/>
      <c r="U725" s="52"/>
      <c r="V725" s="52"/>
      <c r="W725" s="52"/>
      <c r="X725" s="52"/>
      <c r="Y725" s="52"/>
      <c r="Z725" s="52"/>
      <c r="AA725" s="52"/>
      <c r="AB725" s="53"/>
    </row>
    <row r="726">
      <c r="A726" s="52"/>
      <c r="B726" s="52"/>
      <c r="C726" s="52"/>
      <c r="D726" s="52"/>
      <c r="E726" s="52"/>
      <c r="F726" s="52"/>
      <c r="G726" s="52"/>
      <c r="H726" s="52"/>
      <c r="I726" s="52"/>
      <c r="J726" s="52"/>
      <c r="K726" s="52"/>
      <c r="L726" s="52"/>
      <c r="M726" s="52"/>
      <c r="N726" s="52"/>
      <c r="O726" s="52"/>
      <c r="P726" s="61"/>
      <c r="Q726" s="61"/>
      <c r="R726" s="205"/>
      <c r="S726" s="52"/>
      <c r="T726" s="52"/>
      <c r="U726" s="52"/>
      <c r="V726" s="52"/>
      <c r="W726" s="52"/>
      <c r="X726" s="52"/>
      <c r="Y726" s="52"/>
      <c r="Z726" s="52"/>
      <c r="AA726" s="52"/>
      <c r="AB726" s="53"/>
    </row>
    <row r="727">
      <c r="A727" s="52"/>
      <c r="B727" s="52"/>
      <c r="C727" s="52"/>
      <c r="D727" s="52"/>
      <c r="E727" s="52"/>
      <c r="F727" s="52"/>
      <c r="G727" s="52"/>
      <c r="H727" s="52"/>
      <c r="I727" s="52"/>
      <c r="J727" s="52"/>
      <c r="K727" s="52"/>
      <c r="L727" s="52"/>
      <c r="M727" s="52"/>
      <c r="N727" s="52"/>
      <c r="O727" s="52"/>
      <c r="P727" s="61"/>
      <c r="Q727" s="61"/>
      <c r="R727" s="205"/>
      <c r="S727" s="52"/>
      <c r="T727" s="52"/>
      <c r="U727" s="52"/>
      <c r="V727" s="52"/>
      <c r="W727" s="52"/>
      <c r="X727" s="52"/>
      <c r="Y727" s="52"/>
      <c r="Z727" s="52"/>
      <c r="AA727" s="52"/>
      <c r="AB727" s="53"/>
    </row>
    <row r="728">
      <c r="A728" s="52"/>
      <c r="B728" s="52"/>
      <c r="C728" s="52"/>
      <c r="D728" s="52"/>
      <c r="E728" s="52"/>
      <c r="F728" s="52"/>
      <c r="G728" s="52"/>
      <c r="H728" s="52"/>
      <c r="I728" s="52"/>
      <c r="J728" s="52"/>
      <c r="K728" s="52"/>
      <c r="L728" s="52"/>
      <c r="M728" s="52"/>
      <c r="N728" s="52"/>
      <c r="O728" s="52"/>
      <c r="P728" s="61"/>
      <c r="Q728" s="61"/>
      <c r="R728" s="205"/>
      <c r="S728" s="52"/>
      <c r="T728" s="52"/>
      <c r="U728" s="52"/>
      <c r="V728" s="52"/>
      <c r="W728" s="52"/>
      <c r="X728" s="52"/>
      <c r="Y728" s="52"/>
      <c r="Z728" s="52"/>
      <c r="AA728" s="52"/>
      <c r="AB728" s="53"/>
    </row>
    <row r="729">
      <c r="A729" s="52"/>
      <c r="B729" s="52"/>
      <c r="C729" s="52"/>
      <c r="D729" s="52"/>
      <c r="E729" s="52"/>
      <c r="F729" s="52"/>
      <c r="G729" s="52"/>
      <c r="H729" s="52"/>
      <c r="I729" s="52"/>
      <c r="J729" s="52"/>
      <c r="K729" s="52"/>
      <c r="L729" s="52"/>
      <c r="M729" s="52"/>
      <c r="N729" s="52"/>
      <c r="O729" s="52"/>
      <c r="P729" s="61"/>
      <c r="Q729" s="61"/>
      <c r="R729" s="205"/>
      <c r="S729" s="52"/>
      <c r="T729" s="52"/>
      <c r="U729" s="52"/>
      <c r="V729" s="52"/>
      <c r="W729" s="52"/>
      <c r="X729" s="52"/>
      <c r="Y729" s="52"/>
      <c r="Z729" s="52"/>
      <c r="AA729" s="52"/>
      <c r="AB729" s="53"/>
    </row>
    <row r="730">
      <c r="A730" s="52"/>
      <c r="B730" s="52"/>
      <c r="C730" s="52"/>
      <c r="D730" s="52"/>
      <c r="E730" s="52"/>
      <c r="F730" s="52"/>
      <c r="G730" s="52"/>
      <c r="H730" s="52"/>
      <c r="I730" s="52"/>
      <c r="J730" s="52"/>
      <c r="K730" s="52"/>
      <c r="L730" s="52"/>
      <c r="M730" s="52"/>
      <c r="N730" s="52"/>
      <c r="O730" s="52"/>
      <c r="P730" s="61"/>
      <c r="Q730" s="61"/>
      <c r="R730" s="205"/>
      <c r="S730" s="52"/>
      <c r="T730" s="52"/>
      <c r="U730" s="52"/>
      <c r="V730" s="52"/>
      <c r="W730" s="52"/>
      <c r="X730" s="52"/>
      <c r="Y730" s="52"/>
      <c r="Z730" s="52"/>
      <c r="AA730" s="52"/>
      <c r="AB730" s="53"/>
    </row>
    <row r="731">
      <c r="A731" s="52"/>
      <c r="B731" s="52"/>
      <c r="C731" s="52"/>
      <c r="D731" s="52"/>
      <c r="E731" s="52"/>
      <c r="F731" s="52"/>
      <c r="G731" s="52"/>
      <c r="H731" s="52"/>
      <c r="I731" s="52"/>
      <c r="J731" s="52"/>
      <c r="K731" s="52"/>
      <c r="L731" s="52"/>
      <c r="M731" s="52"/>
      <c r="N731" s="52"/>
      <c r="O731" s="52"/>
      <c r="P731" s="61"/>
      <c r="Q731" s="61"/>
      <c r="R731" s="205"/>
      <c r="S731" s="52"/>
      <c r="T731" s="52"/>
      <c r="U731" s="52"/>
      <c r="V731" s="52"/>
      <c r="W731" s="52"/>
      <c r="X731" s="52"/>
      <c r="Y731" s="52"/>
      <c r="Z731" s="52"/>
      <c r="AA731" s="52"/>
      <c r="AB731" s="53"/>
    </row>
    <row r="732">
      <c r="A732" s="52"/>
      <c r="B732" s="52"/>
      <c r="C732" s="52"/>
      <c r="D732" s="52"/>
      <c r="E732" s="52"/>
      <c r="F732" s="52"/>
      <c r="G732" s="52"/>
      <c r="H732" s="52"/>
      <c r="I732" s="52"/>
      <c r="J732" s="52"/>
      <c r="K732" s="52"/>
      <c r="L732" s="52"/>
      <c r="M732" s="52"/>
      <c r="N732" s="52"/>
      <c r="O732" s="52"/>
      <c r="P732" s="61"/>
      <c r="Q732" s="61"/>
      <c r="R732" s="205"/>
      <c r="S732" s="52"/>
      <c r="T732" s="52"/>
      <c r="U732" s="52"/>
      <c r="V732" s="52"/>
      <c r="W732" s="52"/>
      <c r="X732" s="52"/>
      <c r="Y732" s="52"/>
      <c r="Z732" s="52"/>
      <c r="AA732" s="52"/>
      <c r="AB732" s="53"/>
    </row>
    <row r="733">
      <c r="A733" s="52"/>
      <c r="B733" s="52"/>
      <c r="C733" s="52"/>
      <c r="D733" s="52"/>
      <c r="E733" s="52"/>
      <c r="F733" s="52"/>
      <c r="G733" s="52"/>
      <c r="H733" s="52"/>
      <c r="I733" s="52"/>
      <c r="J733" s="52"/>
      <c r="K733" s="52"/>
      <c r="L733" s="52"/>
      <c r="M733" s="52"/>
      <c r="N733" s="52"/>
      <c r="O733" s="52"/>
      <c r="P733" s="61"/>
      <c r="Q733" s="61"/>
      <c r="R733" s="205"/>
      <c r="S733" s="52"/>
      <c r="T733" s="52"/>
      <c r="U733" s="52"/>
      <c r="V733" s="52"/>
      <c r="W733" s="52"/>
      <c r="X733" s="52"/>
      <c r="Y733" s="52"/>
      <c r="Z733" s="52"/>
      <c r="AA733" s="52"/>
      <c r="AB733" s="53"/>
    </row>
    <row r="734">
      <c r="A734" s="52"/>
      <c r="B734" s="52"/>
      <c r="C734" s="52"/>
      <c r="D734" s="52"/>
      <c r="E734" s="52"/>
      <c r="F734" s="52"/>
      <c r="G734" s="52"/>
      <c r="H734" s="52"/>
      <c r="I734" s="52"/>
      <c r="J734" s="52"/>
      <c r="K734" s="52"/>
      <c r="L734" s="52"/>
      <c r="M734" s="52"/>
      <c r="N734" s="52"/>
      <c r="O734" s="52"/>
      <c r="P734" s="61"/>
      <c r="Q734" s="61"/>
      <c r="R734" s="205"/>
      <c r="S734" s="52"/>
      <c r="T734" s="52"/>
      <c r="U734" s="52"/>
      <c r="V734" s="52"/>
      <c r="W734" s="52"/>
      <c r="X734" s="52"/>
      <c r="Y734" s="52"/>
      <c r="Z734" s="52"/>
      <c r="AA734" s="52"/>
      <c r="AB734" s="53"/>
    </row>
    <row r="735">
      <c r="A735" s="52"/>
      <c r="B735" s="52"/>
      <c r="C735" s="52"/>
      <c r="D735" s="52"/>
      <c r="E735" s="52"/>
      <c r="F735" s="52"/>
      <c r="G735" s="52"/>
      <c r="H735" s="52"/>
      <c r="I735" s="52"/>
      <c r="J735" s="52"/>
      <c r="K735" s="52"/>
      <c r="L735" s="52"/>
      <c r="M735" s="52"/>
      <c r="N735" s="52"/>
      <c r="O735" s="52"/>
      <c r="P735" s="61"/>
      <c r="Q735" s="61"/>
      <c r="R735" s="205"/>
      <c r="S735" s="52"/>
      <c r="T735" s="52"/>
      <c r="U735" s="52"/>
      <c r="V735" s="52"/>
      <c r="W735" s="52"/>
      <c r="X735" s="52"/>
      <c r="Y735" s="52"/>
      <c r="Z735" s="52"/>
      <c r="AA735" s="52"/>
      <c r="AB735" s="53"/>
    </row>
    <row r="736">
      <c r="A736" s="52"/>
      <c r="B736" s="52"/>
      <c r="C736" s="52"/>
      <c r="D736" s="52"/>
      <c r="E736" s="52"/>
      <c r="F736" s="52"/>
      <c r="G736" s="52"/>
      <c r="H736" s="52"/>
      <c r="I736" s="52"/>
      <c r="J736" s="52"/>
      <c r="K736" s="52"/>
      <c r="L736" s="52"/>
      <c r="M736" s="52"/>
      <c r="N736" s="52"/>
      <c r="O736" s="52"/>
      <c r="P736" s="61"/>
      <c r="Q736" s="61"/>
      <c r="R736" s="205"/>
      <c r="S736" s="52"/>
      <c r="T736" s="52"/>
      <c r="U736" s="52"/>
      <c r="V736" s="52"/>
      <c r="W736" s="52"/>
      <c r="X736" s="52"/>
      <c r="Y736" s="52"/>
      <c r="Z736" s="52"/>
      <c r="AA736" s="52"/>
      <c r="AB736" s="53"/>
    </row>
    <row r="737">
      <c r="A737" s="52"/>
      <c r="B737" s="52"/>
      <c r="C737" s="52"/>
      <c r="D737" s="52"/>
      <c r="E737" s="52"/>
      <c r="F737" s="52"/>
      <c r="G737" s="52"/>
      <c r="H737" s="52"/>
      <c r="I737" s="52"/>
      <c r="J737" s="52"/>
      <c r="K737" s="52"/>
      <c r="L737" s="52"/>
      <c r="M737" s="52"/>
      <c r="N737" s="52"/>
      <c r="O737" s="52"/>
      <c r="P737" s="61"/>
      <c r="Q737" s="61"/>
      <c r="R737" s="205"/>
      <c r="S737" s="52"/>
      <c r="T737" s="52"/>
      <c r="U737" s="52"/>
      <c r="V737" s="52"/>
      <c r="W737" s="52"/>
      <c r="X737" s="52"/>
      <c r="Y737" s="52"/>
      <c r="Z737" s="52"/>
      <c r="AA737" s="52"/>
      <c r="AB737" s="53"/>
    </row>
    <row r="738">
      <c r="A738" s="52"/>
      <c r="B738" s="52"/>
      <c r="C738" s="52"/>
      <c r="D738" s="52"/>
      <c r="E738" s="52"/>
      <c r="F738" s="52"/>
      <c r="G738" s="52"/>
      <c r="H738" s="52"/>
      <c r="I738" s="52"/>
      <c r="J738" s="52"/>
      <c r="K738" s="52"/>
      <c r="L738" s="52"/>
      <c r="M738" s="52"/>
      <c r="N738" s="52"/>
      <c r="O738" s="52"/>
      <c r="P738" s="61"/>
      <c r="Q738" s="61"/>
      <c r="R738" s="205"/>
      <c r="S738" s="52"/>
      <c r="T738" s="52"/>
      <c r="U738" s="52"/>
      <c r="V738" s="52"/>
      <c r="W738" s="52"/>
      <c r="X738" s="52"/>
      <c r="Y738" s="52"/>
      <c r="Z738" s="52"/>
      <c r="AA738" s="52"/>
      <c r="AB738" s="53"/>
    </row>
    <row r="739">
      <c r="A739" s="52"/>
      <c r="B739" s="52"/>
      <c r="C739" s="52"/>
      <c r="D739" s="52"/>
      <c r="E739" s="52"/>
      <c r="F739" s="52"/>
      <c r="G739" s="52"/>
      <c r="H739" s="52"/>
      <c r="I739" s="52"/>
      <c r="J739" s="52"/>
      <c r="K739" s="52"/>
      <c r="L739" s="52"/>
      <c r="M739" s="52"/>
      <c r="N739" s="52"/>
      <c r="O739" s="52"/>
      <c r="P739" s="61"/>
      <c r="Q739" s="61"/>
      <c r="R739" s="205"/>
      <c r="S739" s="52"/>
      <c r="T739" s="52"/>
      <c r="U739" s="52"/>
      <c r="V739" s="52"/>
      <c r="W739" s="52"/>
      <c r="X739" s="52"/>
      <c r="Y739" s="52"/>
      <c r="Z739" s="52"/>
      <c r="AA739" s="52"/>
      <c r="AB739" s="53"/>
    </row>
    <row r="740">
      <c r="A740" s="52"/>
      <c r="B740" s="52"/>
      <c r="C740" s="52"/>
      <c r="D740" s="52"/>
      <c r="E740" s="52"/>
      <c r="F740" s="52"/>
      <c r="G740" s="52"/>
      <c r="H740" s="52"/>
      <c r="I740" s="52"/>
      <c r="J740" s="52"/>
      <c r="K740" s="52"/>
      <c r="L740" s="52"/>
      <c r="M740" s="52"/>
      <c r="N740" s="52"/>
      <c r="O740" s="52"/>
      <c r="P740" s="61"/>
      <c r="Q740" s="61"/>
      <c r="R740" s="205"/>
      <c r="S740" s="52"/>
      <c r="T740" s="52"/>
      <c r="U740" s="52"/>
      <c r="V740" s="52"/>
      <c r="W740" s="52"/>
      <c r="X740" s="52"/>
      <c r="Y740" s="52"/>
      <c r="Z740" s="52"/>
      <c r="AA740" s="52"/>
      <c r="AB740" s="53"/>
    </row>
    <row r="741">
      <c r="A741" s="52"/>
      <c r="B741" s="52"/>
      <c r="C741" s="52"/>
      <c r="D741" s="52"/>
      <c r="E741" s="52"/>
      <c r="F741" s="52"/>
      <c r="G741" s="52"/>
      <c r="H741" s="52"/>
      <c r="I741" s="52"/>
      <c r="J741" s="52"/>
      <c r="K741" s="52"/>
      <c r="L741" s="52"/>
      <c r="M741" s="52"/>
      <c r="N741" s="52"/>
      <c r="O741" s="52"/>
      <c r="P741" s="61"/>
      <c r="Q741" s="61"/>
      <c r="R741" s="205"/>
      <c r="S741" s="52"/>
      <c r="T741" s="52"/>
      <c r="U741" s="52"/>
      <c r="V741" s="52"/>
      <c r="W741" s="52"/>
      <c r="X741" s="52"/>
      <c r="Y741" s="52"/>
      <c r="Z741" s="52"/>
      <c r="AA741" s="52"/>
      <c r="AB741" s="53"/>
    </row>
    <row r="742">
      <c r="A742" s="52"/>
      <c r="B742" s="52"/>
      <c r="C742" s="52"/>
      <c r="D742" s="52"/>
      <c r="E742" s="52"/>
      <c r="F742" s="52"/>
      <c r="G742" s="52"/>
      <c r="H742" s="52"/>
      <c r="I742" s="52"/>
      <c r="J742" s="52"/>
      <c r="K742" s="52"/>
      <c r="L742" s="52"/>
      <c r="M742" s="52"/>
      <c r="N742" s="52"/>
      <c r="O742" s="52"/>
      <c r="P742" s="61"/>
      <c r="Q742" s="61"/>
      <c r="R742" s="205"/>
      <c r="S742" s="52"/>
      <c r="T742" s="52"/>
      <c r="U742" s="52"/>
      <c r="V742" s="52"/>
      <c r="W742" s="52"/>
      <c r="X742" s="52"/>
      <c r="Y742" s="52"/>
      <c r="Z742" s="52"/>
      <c r="AA742" s="52"/>
      <c r="AB742" s="53"/>
    </row>
    <row r="743">
      <c r="A743" s="52"/>
      <c r="B743" s="52"/>
      <c r="C743" s="52"/>
      <c r="D743" s="52"/>
      <c r="E743" s="52"/>
      <c r="F743" s="52"/>
      <c r="G743" s="52"/>
      <c r="H743" s="52"/>
      <c r="I743" s="52"/>
      <c r="J743" s="52"/>
      <c r="K743" s="52"/>
      <c r="L743" s="52"/>
      <c r="M743" s="52"/>
      <c r="N743" s="52"/>
      <c r="O743" s="52"/>
      <c r="P743" s="61"/>
      <c r="Q743" s="61"/>
      <c r="R743" s="205"/>
      <c r="S743" s="52"/>
      <c r="T743" s="52"/>
      <c r="U743" s="52"/>
      <c r="V743" s="52"/>
      <c r="W743" s="52"/>
      <c r="X743" s="52"/>
      <c r="Y743" s="52"/>
      <c r="Z743" s="52"/>
      <c r="AA743" s="52"/>
      <c r="AB743" s="53"/>
    </row>
    <row r="744">
      <c r="A744" s="52"/>
      <c r="B744" s="52"/>
      <c r="C744" s="52"/>
      <c r="D744" s="52"/>
      <c r="E744" s="52"/>
      <c r="F744" s="52"/>
      <c r="G744" s="52"/>
      <c r="H744" s="52"/>
      <c r="I744" s="52"/>
      <c r="J744" s="52"/>
      <c r="K744" s="52"/>
      <c r="L744" s="52"/>
      <c r="M744" s="52"/>
      <c r="N744" s="52"/>
      <c r="O744" s="52"/>
      <c r="P744" s="61"/>
      <c r="Q744" s="61"/>
      <c r="R744" s="205"/>
      <c r="S744" s="52"/>
      <c r="T744" s="52"/>
      <c r="U744" s="52"/>
      <c r="V744" s="52"/>
      <c r="W744" s="52"/>
      <c r="X744" s="52"/>
      <c r="Y744" s="52"/>
      <c r="Z744" s="52"/>
      <c r="AA744" s="52"/>
      <c r="AB744" s="53"/>
    </row>
    <row r="745">
      <c r="A745" s="52"/>
      <c r="B745" s="52"/>
      <c r="C745" s="52"/>
      <c r="D745" s="52"/>
      <c r="E745" s="52"/>
      <c r="F745" s="52"/>
      <c r="G745" s="52"/>
      <c r="H745" s="52"/>
      <c r="I745" s="52"/>
      <c r="J745" s="52"/>
      <c r="K745" s="52"/>
      <c r="L745" s="52"/>
      <c r="M745" s="52"/>
      <c r="N745" s="52"/>
      <c r="O745" s="52"/>
      <c r="P745" s="61"/>
      <c r="Q745" s="61"/>
      <c r="R745" s="205"/>
      <c r="S745" s="52"/>
      <c r="T745" s="52"/>
      <c r="U745" s="52"/>
      <c r="V745" s="52"/>
      <c r="W745" s="52"/>
      <c r="X745" s="52"/>
      <c r="Y745" s="52"/>
      <c r="Z745" s="52"/>
      <c r="AA745" s="52"/>
      <c r="AB745" s="53"/>
    </row>
    <row r="746">
      <c r="A746" s="52"/>
      <c r="B746" s="52"/>
      <c r="C746" s="52"/>
      <c r="D746" s="52"/>
      <c r="E746" s="52"/>
      <c r="F746" s="52"/>
      <c r="G746" s="52"/>
      <c r="H746" s="52"/>
      <c r="I746" s="52"/>
      <c r="J746" s="52"/>
      <c r="K746" s="52"/>
      <c r="L746" s="52"/>
      <c r="M746" s="52"/>
      <c r="N746" s="52"/>
      <c r="O746" s="52"/>
      <c r="P746" s="61"/>
      <c r="Q746" s="61"/>
      <c r="R746" s="205"/>
      <c r="S746" s="52"/>
      <c r="T746" s="52"/>
      <c r="U746" s="52"/>
      <c r="V746" s="52"/>
      <c r="W746" s="52"/>
      <c r="X746" s="52"/>
      <c r="Y746" s="52"/>
      <c r="Z746" s="52"/>
      <c r="AA746" s="52"/>
      <c r="AB746" s="53"/>
    </row>
    <row r="747">
      <c r="A747" s="52"/>
      <c r="B747" s="52"/>
      <c r="C747" s="52"/>
      <c r="D747" s="52"/>
      <c r="E747" s="52"/>
      <c r="F747" s="52"/>
      <c r="G747" s="52"/>
      <c r="H747" s="52"/>
      <c r="I747" s="52"/>
      <c r="J747" s="52"/>
      <c r="K747" s="52"/>
      <c r="L747" s="52"/>
      <c r="M747" s="52"/>
      <c r="N747" s="52"/>
      <c r="O747" s="52"/>
      <c r="P747" s="61"/>
      <c r="Q747" s="61"/>
      <c r="R747" s="205"/>
      <c r="S747" s="52"/>
      <c r="T747" s="52"/>
      <c r="U747" s="52"/>
      <c r="V747" s="52"/>
      <c r="W747" s="52"/>
      <c r="X747" s="52"/>
      <c r="Y747" s="52"/>
      <c r="Z747" s="52"/>
      <c r="AA747" s="52"/>
      <c r="AB747" s="53"/>
    </row>
    <row r="748">
      <c r="A748" s="52"/>
      <c r="B748" s="52"/>
      <c r="C748" s="52"/>
      <c r="D748" s="52"/>
      <c r="E748" s="52"/>
      <c r="F748" s="52"/>
      <c r="G748" s="52"/>
      <c r="H748" s="52"/>
      <c r="I748" s="52"/>
      <c r="J748" s="52"/>
      <c r="K748" s="52"/>
      <c r="L748" s="52"/>
      <c r="M748" s="52"/>
      <c r="N748" s="52"/>
      <c r="O748" s="52"/>
      <c r="P748" s="61"/>
      <c r="Q748" s="61"/>
      <c r="R748" s="205"/>
      <c r="S748" s="52"/>
      <c r="T748" s="52"/>
      <c r="U748" s="52"/>
      <c r="V748" s="52"/>
      <c r="W748" s="52"/>
      <c r="X748" s="52"/>
      <c r="Y748" s="52"/>
      <c r="Z748" s="52"/>
      <c r="AA748" s="52"/>
      <c r="AB748" s="53"/>
    </row>
    <row r="749">
      <c r="A749" s="52"/>
      <c r="B749" s="52"/>
      <c r="C749" s="52"/>
      <c r="D749" s="52"/>
      <c r="E749" s="52"/>
      <c r="F749" s="52"/>
      <c r="G749" s="52"/>
      <c r="H749" s="52"/>
      <c r="I749" s="52"/>
      <c r="J749" s="52"/>
      <c r="K749" s="52"/>
      <c r="L749" s="52"/>
      <c r="M749" s="52"/>
      <c r="N749" s="52"/>
      <c r="O749" s="52"/>
      <c r="P749" s="61"/>
      <c r="Q749" s="61"/>
      <c r="R749" s="205"/>
      <c r="S749" s="52"/>
      <c r="T749" s="52"/>
      <c r="U749" s="52"/>
      <c r="V749" s="52"/>
      <c r="W749" s="52"/>
      <c r="X749" s="52"/>
      <c r="Y749" s="52"/>
      <c r="Z749" s="52"/>
      <c r="AA749" s="52"/>
      <c r="AB749" s="53"/>
    </row>
    <row r="750">
      <c r="A750" s="52"/>
      <c r="B750" s="52"/>
      <c r="C750" s="52"/>
      <c r="D750" s="52"/>
      <c r="E750" s="52"/>
      <c r="F750" s="52"/>
      <c r="G750" s="52"/>
      <c r="H750" s="52"/>
      <c r="I750" s="52"/>
      <c r="J750" s="52"/>
      <c r="K750" s="52"/>
      <c r="L750" s="52"/>
      <c r="M750" s="52"/>
      <c r="N750" s="52"/>
      <c r="O750" s="52"/>
      <c r="P750" s="61"/>
      <c r="Q750" s="61"/>
      <c r="R750" s="205"/>
      <c r="S750" s="52"/>
      <c r="T750" s="52"/>
      <c r="U750" s="52"/>
      <c r="V750" s="52"/>
      <c r="W750" s="52"/>
      <c r="X750" s="52"/>
      <c r="Y750" s="52"/>
      <c r="Z750" s="52"/>
      <c r="AA750" s="52"/>
      <c r="AB750" s="53"/>
    </row>
    <row r="751">
      <c r="A751" s="52"/>
      <c r="B751" s="52"/>
      <c r="C751" s="52"/>
      <c r="D751" s="52"/>
      <c r="E751" s="52"/>
      <c r="F751" s="52"/>
      <c r="G751" s="52"/>
      <c r="H751" s="52"/>
      <c r="I751" s="52"/>
      <c r="J751" s="52"/>
      <c r="K751" s="52"/>
      <c r="L751" s="52"/>
      <c r="M751" s="52"/>
      <c r="N751" s="52"/>
      <c r="O751" s="52"/>
      <c r="P751" s="61"/>
      <c r="Q751" s="61"/>
      <c r="R751" s="205"/>
      <c r="S751" s="52"/>
      <c r="T751" s="52"/>
      <c r="U751" s="52"/>
      <c r="V751" s="52"/>
      <c r="W751" s="52"/>
      <c r="X751" s="52"/>
      <c r="Y751" s="52"/>
      <c r="Z751" s="52"/>
      <c r="AA751" s="52"/>
      <c r="AB751" s="53"/>
    </row>
    <row r="752">
      <c r="A752" s="52"/>
      <c r="B752" s="52"/>
      <c r="C752" s="52"/>
      <c r="D752" s="52"/>
      <c r="E752" s="52"/>
      <c r="F752" s="52"/>
      <c r="G752" s="52"/>
      <c r="H752" s="52"/>
      <c r="I752" s="52"/>
      <c r="J752" s="52"/>
      <c r="K752" s="52"/>
      <c r="L752" s="52"/>
      <c r="M752" s="52"/>
      <c r="N752" s="52"/>
      <c r="O752" s="52"/>
      <c r="P752" s="61"/>
      <c r="Q752" s="61"/>
      <c r="R752" s="205"/>
      <c r="S752" s="52"/>
      <c r="T752" s="52"/>
      <c r="U752" s="52"/>
      <c r="V752" s="52"/>
      <c r="W752" s="52"/>
      <c r="X752" s="52"/>
      <c r="Y752" s="52"/>
      <c r="Z752" s="52"/>
      <c r="AA752" s="52"/>
      <c r="AB752" s="53"/>
    </row>
    <row r="753">
      <c r="A753" s="52"/>
      <c r="B753" s="52"/>
      <c r="C753" s="52"/>
      <c r="D753" s="52"/>
      <c r="E753" s="52"/>
      <c r="F753" s="52"/>
      <c r="G753" s="52"/>
      <c r="H753" s="52"/>
      <c r="I753" s="52"/>
      <c r="J753" s="52"/>
      <c r="K753" s="52"/>
      <c r="L753" s="52"/>
      <c r="M753" s="52"/>
      <c r="N753" s="52"/>
      <c r="O753" s="52"/>
      <c r="P753" s="61"/>
      <c r="Q753" s="61"/>
      <c r="R753" s="205"/>
      <c r="S753" s="52"/>
      <c r="T753" s="52"/>
      <c r="U753" s="52"/>
      <c r="V753" s="52"/>
      <c r="W753" s="52"/>
      <c r="X753" s="52"/>
      <c r="Y753" s="52"/>
      <c r="Z753" s="52"/>
      <c r="AA753" s="52"/>
      <c r="AB753" s="53"/>
    </row>
    <row r="754">
      <c r="A754" s="52"/>
      <c r="B754" s="52"/>
      <c r="C754" s="52"/>
      <c r="D754" s="52"/>
      <c r="E754" s="52"/>
      <c r="F754" s="52"/>
      <c r="G754" s="52"/>
      <c r="H754" s="52"/>
      <c r="I754" s="52"/>
      <c r="J754" s="52"/>
      <c r="K754" s="52"/>
      <c r="L754" s="52"/>
      <c r="M754" s="52"/>
      <c r="N754" s="52"/>
      <c r="O754" s="52"/>
      <c r="P754" s="61"/>
      <c r="Q754" s="61"/>
      <c r="R754" s="205"/>
      <c r="S754" s="52"/>
      <c r="T754" s="52"/>
      <c r="U754" s="52"/>
      <c r="V754" s="52"/>
      <c r="W754" s="52"/>
      <c r="X754" s="52"/>
      <c r="Y754" s="52"/>
      <c r="Z754" s="52"/>
      <c r="AA754" s="52"/>
      <c r="AB754" s="53"/>
    </row>
    <row r="755">
      <c r="A755" s="52"/>
      <c r="B755" s="52"/>
      <c r="C755" s="52"/>
      <c r="D755" s="52"/>
      <c r="E755" s="52"/>
      <c r="F755" s="52"/>
      <c r="G755" s="52"/>
      <c r="H755" s="52"/>
      <c r="I755" s="52"/>
      <c r="J755" s="52"/>
      <c r="K755" s="52"/>
      <c r="L755" s="52"/>
      <c r="M755" s="52"/>
      <c r="N755" s="52"/>
      <c r="O755" s="52"/>
      <c r="P755" s="61"/>
      <c r="Q755" s="61"/>
      <c r="R755" s="205"/>
      <c r="S755" s="52"/>
      <c r="T755" s="52"/>
      <c r="U755" s="52"/>
      <c r="V755" s="52"/>
      <c r="W755" s="52"/>
      <c r="X755" s="52"/>
      <c r="Y755" s="52"/>
      <c r="Z755" s="52"/>
      <c r="AA755" s="52"/>
      <c r="AB755" s="53"/>
    </row>
    <row r="756">
      <c r="A756" s="52"/>
      <c r="B756" s="52"/>
      <c r="C756" s="52"/>
      <c r="D756" s="52"/>
      <c r="E756" s="52"/>
      <c r="F756" s="52"/>
      <c r="G756" s="52"/>
      <c r="H756" s="52"/>
      <c r="I756" s="52"/>
      <c r="J756" s="52"/>
      <c r="K756" s="52"/>
      <c r="L756" s="52"/>
      <c r="M756" s="52"/>
      <c r="N756" s="52"/>
      <c r="O756" s="52"/>
      <c r="P756" s="61"/>
      <c r="Q756" s="61"/>
      <c r="R756" s="205"/>
      <c r="S756" s="52"/>
      <c r="T756" s="52"/>
      <c r="U756" s="52"/>
      <c r="V756" s="52"/>
      <c r="W756" s="52"/>
      <c r="X756" s="52"/>
      <c r="Y756" s="52"/>
      <c r="Z756" s="52"/>
      <c r="AA756" s="52"/>
      <c r="AB756" s="53"/>
    </row>
    <row r="757">
      <c r="A757" s="52"/>
      <c r="B757" s="52"/>
      <c r="C757" s="52"/>
      <c r="D757" s="52"/>
      <c r="E757" s="52"/>
      <c r="F757" s="52"/>
      <c r="G757" s="52"/>
      <c r="H757" s="52"/>
      <c r="I757" s="52"/>
      <c r="J757" s="52"/>
      <c r="K757" s="52"/>
      <c r="L757" s="52"/>
      <c r="M757" s="52"/>
      <c r="N757" s="52"/>
      <c r="O757" s="52"/>
      <c r="P757" s="61"/>
      <c r="Q757" s="61"/>
      <c r="R757" s="205"/>
      <c r="S757" s="52"/>
      <c r="T757" s="52"/>
      <c r="U757" s="52"/>
      <c r="V757" s="52"/>
      <c r="W757" s="52"/>
      <c r="X757" s="52"/>
      <c r="Y757" s="52"/>
      <c r="Z757" s="52"/>
      <c r="AA757" s="52"/>
      <c r="AB757" s="53"/>
    </row>
    <row r="758">
      <c r="A758" s="52"/>
      <c r="B758" s="52"/>
      <c r="C758" s="52"/>
      <c r="D758" s="52"/>
      <c r="E758" s="52"/>
      <c r="F758" s="52"/>
      <c r="G758" s="52"/>
      <c r="H758" s="52"/>
      <c r="I758" s="52"/>
      <c r="J758" s="52"/>
      <c r="K758" s="52"/>
      <c r="L758" s="52"/>
      <c r="M758" s="52"/>
      <c r="N758" s="52"/>
      <c r="O758" s="52"/>
      <c r="P758" s="61"/>
      <c r="Q758" s="61"/>
      <c r="R758" s="205"/>
      <c r="S758" s="52"/>
      <c r="T758" s="52"/>
      <c r="U758" s="52"/>
      <c r="V758" s="52"/>
      <c r="W758" s="52"/>
      <c r="X758" s="52"/>
      <c r="Y758" s="52"/>
      <c r="Z758" s="52"/>
      <c r="AA758" s="52"/>
      <c r="AB758" s="53"/>
    </row>
    <row r="759">
      <c r="A759" s="52"/>
      <c r="B759" s="52"/>
      <c r="C759" s="52"/>
      <c r="D759" s="52"/>
      <c r="E759" s="52"/>
      <c r="F759" s="52"/>
      <c r="G759" s="52"/>
      <c r="H759" s="52"/>
      <c r="I759" s="52"/>
      <c r="J759" s="52"/>
      <c r="K759" s="52"/>
      <c r="L759" s="52"/>
      <c r="M759" s="52"/>
      <c r="N759" s="52"/>
      <c r="O759" s="52"/>
      <c r="P759" s="61"/>
      <c r="Q759" s="61"/>
      <c r="R759" s="205"/>
      <c r="S759" s="52"/>
      <c r="T759" s="52"/>
      <c r="U759" s="52"/>
      <c r="V759" s="52"/>
      <c r="W759" s="52"/>
      <c r="X759" s="52"/>
      <c r="Y759" s="52"/>
      <c r="Z759" s="52"/>
      <c r="AA759" s="52"/>
      <c r="AB759" s="53"/>
    </row>
    <row r="760">
      <c r="A760" s="52"/>
      <c r="B760" s="52"/>
      <c r="C760" s="52"/>
      <c r="D760" s="52"/>
      <c r="E760" s="52"/>
      <c r="F760" s="52"/>
      <c r="G760" s="52"/>
      <c r="H760" s="52"/>
      <c r="I760" s="52"/>
      <c r="J760" s="52"/>
      <c r="K760" s="52"/>
      <c r="L760" s="52"/>
      <c r="M760" s="52"/>
      <c r="N760" s="52"/>
      <c r="O760" s="52"/>
      <c r="P760" s="61"/>
      <c r="Q760" s="61"/>
      <c r="R760" s="205"/>
      <c r="S760" s="52"/>
      <c r="T760" s="52"/>
      <c r="U760" s="52"/>
      <c r="V760" s="52"/>
      <c r="W760" s="52"/>
      <c r="X760" s="52"/>
      <c r="Y760" s="52"/>
      <c r="Z760" s="52"/>
      <c r="AA760" s="52"/>
      <c r="AB760" s="53"/>
    </row>
    <row r="761">
      <c r="A761" s="52"/>
      <c r="B761" s="52"/>
      <c r="C761" s="52"/>
      <c r="D761" s="52"/>
      <c r="E761" s="52"/>
      <c r="F761" s="52"/>
      <c r="G761" s="52"/>
      <c r="H761" s="52"/>
      <c r="I761" s="52"/>
      <c r="J761" s="52"/>
      <c r="K761" s="52"/>
      <c r="L761" s="52"/>
      <c r="M761" s="52"/>
      <c r="N761" s="52"/>
      <c r="O761" s="52"/>
      <c r="P761" s="61"/>
      <c r="Q761" s="61"/>
      <c r="R761" s="205"/>
      <c r="S761" s="52"/>
      <c r="T761" s="52"/>
      <c r="U761" s="52"/>
      <c r="V761" s="52"/>
      <c r="W761" s="52"/>
      <c r="X761" s="52"/>
      <c r="Y761" s="52"/>
      <c r="Z761" s="52"/>
      <c r="AA761" s="52"/>
      <c r="AB761" s="53"/>
    </row>
    <row r="762">
      <c r="A762" s="52"/>
      <c r="B762" s="52"/>
      <c r="C762" s="52"/>
      <c r="D762" s="52"/>
      <c r="E762" s="52"/>
      <c r="F762" s="52"/>
      <c r="G762" s="52"/>
      <c r="H762" s="52"/>
      <c r="I762" s="52"/>
      <c r="J762" s="52"/>
      <c r="K762" s="52"/>
      <c r="L762" s="52"/>
      <c r="M762" s="52"/>
      <c r="N762" s="52"/>
      <c r="O762" s="52"/>
      <c r="P762" s="61"/>
      <c r="Q762" s="61"/>
      <c r="R762" s="205"/>
      <c r="S762" s="52"/>
      <c r="T762" s="52"/>
      <c r="U762" s="52"/>
      <c r="V762" s="52"/>
      <c r="W762" s="52"/>
      <c r="X762" s="52"/>
      <c r="Y762" s="52"/>
      <c r="Z762" s="52"/>
      <c r="AA762" s="52"/>
      <c r="AB762" s="53"/>
    </row>
    <row r="763">
      <c r="A763" s="52"/>
      <c r="B763" s="52"/>
      <c r="C763" s="52"/>
      <c r="D763" s="52"/>
      <c r="E763" s="52"/>
      <c r="F763" s="52"/>
      <c r="G763" s="52"/>
      <c r="H763" s="52"/>
      <c r="I763" s="52"/>
      <c r="J763" s="52"/>
      <c r="K763" s="52"/>
      <c r="L763" s="52"/>
      <c r="M763" s="52"/>
      <c r="N763" s="52"/>
      <c r="O763" s="52"/>
      <c r="P763" s="61"/>
      <c r="Q763" s="61"/>
      <c r="R763" s="205"/>
      <c r="S763" s="52"/>
      <c r="T763" s="52"/>
      <c r="U763" s="52"/>
      <c r="V763" s="52"/>
      <c r="W763" s="52"/>
      <c r="X763" s="52"/>
      <c r="Y763" s="52"/>
      <c r="Z763" s="52"/>
      <c r="AA763" s="52"/>
      <c r="AB763" s="53"/>
    </row>
    <row r="764">
      <c r="A764" s="52"/>
      <c r="B764" s="52"/>
      <c r="C764" s="52"/>
      <c r="D764" s="52"/>
      <c r="E764" s="52"/>
      <c r="F764" s="52"/>
      <c r="G764" s="52"/>
      <c r="H764" s="52"/>
      <c r="I764" s="52"/>
      <c r="J764" s="52"/>
      <c r="K764" s="52"/>
      <c r="L764" s="52"/>
      <c r="M764" s="52"/>
      <c r="N764" s="52"/>
      <c r="O764" s="52"/>
      <c r="P764" s="61"/>
      <c r="Q764" s="61"/>
      <c r="R764" s="205"/>
      <c r="S764" s="52"/>
      <c r="T764" s="52"/>
      <c r="U764" s="52"/>
      <c r="V764" s="52"/>
      <c r="W764" s="52"/>
      <c r="X764" s="52"/>
      <c r="Y764" s="52"/>
      <c r="Z764" s="52"/>
      <c r="AA764" s="52"/>
      <c r="AB764" s="53"/>
    </row>
    <row r="765">
      <c r="A765" s="52"/>
      <c r="B765" s="52"/>
      <c r="C765" s="52"/>
      <c r="D765" s="52"/>
      <c r="E765" s="52"/>
      <c r="F765" s="52"/>
      <c r="G765" s="52"/>
      <c r="H765" s="52"/>
      <c r="I765" s="52"/>
      <c r="J765" s="52"/>
      <c r="K765" s="52"/>
      <c r="L765" s="52"/>
      <c r="M765" s="52"/>
      <c r="N765" s="52"/>
      <c r="O765" s="52"/>
      <c r="P765" s="61"/>
      <c r="Q765" s="61"/>
      <c r="R765" s="205"/>
      <c r="S765" s="52"/>
      <c r="T765" s="52"/>
      <c r="U765" s="52"/>
      <c r="V765" s="52"/>
      <c r="W765" s="52"/>
      <c r="X765" s="52"/>
      <c r="Y765" s="52"/>
      <c r="Z765" s="52"/>
      <c r="AA765" s="52"/>
      <c r="AB765" s="53"/>
    </row>
    <row r="766">
      <c r="A766" s="52"/>
      <c r="B766" s="52"/>
      <c r="C766" s="52"/>
      <c r="D766" s="52"/>
      <c r="E766" s="52"/>
      <c r="F766" s="52"/>
      <c r="G766" s="52"/>
      <c r="H766" s="52"/>
      <c r="I766" s="52"/>
      <c r="J766" s="52"/>
      <c r="K766" s="52"/>
      <c r="L766" s="52"/>
      <c r="M766" s="52"/>
      <c r="N766" s="52"/>
      <c r="O766" s="52"/>
      <c r="P766" s="61"/>
      <c r="Q766" s="61"/>
      <c r="R766" s="205"/>
      <c r="S766" s="52"/>
      <c r="T766" s="52"/>
      <c r="U766" s="52"/>
      <c r="V766" s="52"/>
      <c r="W766" s="52"/>
      <c r="X766" s="52"/>
      <c r="Y766" s="52"/>
      <c r="Z766" s="52"/>
      <c r="AA766" s="52"/>
      <c r="AB766" s="53"/>
    </row>
    <row r="767">
      <c r="A767" s="52"/>
      <c r="B767" s="52"/>
      <c r="C767" s="52"/>
      <c r="D767" s="52"/>
      <c r="E767" s="52"/>
      <c r="F767" s="52"/>
      <c r="G767" s="52"/>
      <c r="H767" s="52"/>
      <c r="I767" s="52"/>
      <c r="J767" s="52"/>
      <c r="K767" s="52"/>
      <c r="L767" s="52"/>
      <c r="M767" s="52"/>
      <c r="N767" s="52"/>
      <c r="O767" s="52"/>
      <c r="P767" s="61"/>
      <c r="Q767" s="61"/>
      <c r="R767" s="205"/>
      <c r="S767" s="52"/>
      <c r="T767" s="52"/>
      <c r="U767" s="52"/>
      <c r="V767" s="52"/>
      <c r="W767" s="52"/>
      <c r="X767" s="52"/>
      <c r="Y767" s="52"/>
      <c r="Z767" s="52"/>
      <c r="AA767" s="52"/>
      <c r="AB767" s="53"/>
    </row>
    <row r="768">
      <c r="A768" s="52"/>
      <c r="B768" s="52"/>
      <c r="C768" s="52"/>
      <c r="D768" s="52"/>
      <c r="E768" s="52"/>
      <c r="F768" s="52"/>
      <c r="G768" s="52"/>
      <c r="H768" s="52"/>
      <c r="I768" s="52"/>
      <c r="J768" s="52"/>
      <c r="K768" s="52"/>
      <c r="L768" s="52"/>
      <c r="M768" s="52"/>
      <c r="N768" s="52"/>
      <c r="O768" s="52"/>
      <c r="P768" s="61"/>
      <c r="Q768" s="61"/>
      <c r="R768" s="205"/>
      <c r="S768" s="52"/>
      <c r="T768" s="52"/>
      <c r="U768" s="52"/>
      <c r="V768" s="52"/>
      <c r="W768" s="52"/>
      <c r="X768" s="52"/>
      <c r="Y768" s="52"/>
      <c r="Z768" s="52"/>
      <c r="AA768" s="52"/>
      <c r="AB768" s="53"/>
    </row>
    <row r="769">
      <c r="A769" s="52"/>
      <c r="B769" s="52"/>
      <c r="C769" s="52"/>
      <c r="D769" s="52"/>
      <c r="E769" s="52"/>
      <c r="F769" s="52"/>
      <c r="G769" s="52"/>
      <c r="H769" s="52"/>
      <c r="I769" s="52"/>
      <c r="J769" s="52"/>
      <c r="K769" s="52"/>
      <c r="L769" s="52"/>
      <c r="M769" s="52"/>
      <c r="N769" s="52"/>
      <c r="O769" s="52"/>
      <c r="P769" s="61"/>
      <c r="Q769" s="61"/>
      <c r="R769" s="205"/>
      <c r="S769" s="52"/>
      <c r="T769" s="52"/>
      <c r="U769" s="52"/>
      <c r="V769" s="52"/>
      <c r="W769" s="52"/>
      <c r="X769" s="52"/>
      <c r="Y769" s="52"/>
      <c r="Z769" s="52"/>
      <c r="AA769" s="52"/>
      <c r="AB769" s="53"/>
    </row>
    <row r="770">
      <c r="A770" s="52"/>
      <c r="B770" s="52"/>
      <c r="C770" s="52"/>
      <c r="D770" s="52"/>
      <c r="E770" s="52"/>
      <c r="F770" s="52"/>
      <c r="G770" s="52"/>
      <c r="H770" s="52"/>
      <c r="I770" s="52"/>
      <c r="J770" s="52"/>
      <c r="K770" s="52"/>
      <c r="L770" s="52"/>
      <c r="M770" s="52"/>
      <c r="N770" s="52"/>
      <c r="O770" s="52"/>
      <c r="P770" s="61"/>
      <c r="Q770" s="61"/>
      <c r="R770" s="205"/>
      <c r="S770" s="52"/>
      <c r="T770" s="52"/>
      <c r="U770" s="52"/>
      <c r="V770" s="52"/>
      <c r="W770" s="52"/>
      <c r="X770" s="52"/>
      <c r="Y770" s="52"/>
      <c r="Z770" s="52"/>
      <c r="AA770" s="52"/>
      <c r="AB770" s="53"/>
    </row>
    <row r="771">
      <c r="A771" s="52"/>
      <c r="B771" s="52"/>
      <c r="C771" s="52"/>
      <c r="D771" s="52"/>
      <c r="E771" s="52"/>
      <c r="F771" s="52"/>
      <c r="G771" s="52"/>
      <c r="H771" s="52"/>
      <c r="I771" s="52"/>
      <c r="J771" s="52"/>
      <c r="K771" s="52"/>
      <c r="L771" s="52"/>
      <c r="M771" s="52"/>
      <c r="N771" s="52"/>
      <c r="O771" s="52"/>
      <c r="P771" s="61"/>
      <c r="Q771" s="61"/>
      <c r="R771" s="205"/>
      <c r="S771" s="52"/>
      <c r="T771" s="52"/>
      <c r="U771" s="52"/>
      <c r="V771" s="52"/>
      <c r="W771" s="52"/>
      <c r="X771" s="52"/>
      <c r="Y771" s="52"/>
      <c r="Z771" s="52"/>
      <c r="AA771" s="52"/>
      <c r="AB771" s="53"/>
    </row>
    <row r="772">
      <c r="A772" s="52"/>
      <c r="B772" s="52"/>
      <c r="C772" s="52"/>
      <c r="D772" s="52"/>
      <c r="E772" s="52"/>
      <c r="F772" s="52"/>
      <c r="G772" s="52"/>
      <c r="H772" s="52"/>
      <c r="I772" s="52"/>
      <c r="J772" s="52"/>
      <c r="K772" s="52"/>
      <c r="L772" s="52"/>
      <c r="M772" s="52"/>
      <c r="N772" s="52"/>
      <c r="O772" s="52"/>
      <c r="P772" s="61"/>
      <c r="Q772" s="61"/>
      <c r="R772" s="205"/>
      <c r="S772" s="52"/>
      <c r="T772" s="52"/>
      <c r="U772" s="52"/>
      <c r="V772" s="52"/>
      <c r="W772" s="52"/>
      <c r="X772" s="52"/>
      <c r="Y772" s="52"/>
      <c r="Z772" s="52"/>
      <c r="AA772" s="52"/>
      <c r="AB772" s="53"/>
    </row>
    <row r="773">
      <c r="A773" s="52"/>
      <c r="B773" s="52"/>
      <c r="C773" s="52"/>
      <c r="D773" s="52"/>
      <c r="E773" s="52"/>
      <c r="F773" s="52"/>
      <c r="G773" s="52"/>
      <c r="H773" s="52"/>
      <c r="I773" s="52"/>
      <c r="J773" s="52"/>
      <c r="K773" s="52"/>
      <c r="L773" s="52"/>
      <c r="M773" s="52"/>
      <c r="N773" s="52"/>
      <c r="O773" s="52"/>
      <c r="P773" s="61"/>
      <c r="Q773" s="61"/>
      <c r="R773" s="205"/>
      <c r="S773" s="52"/>
      <c r="T773" s="52"/>
      <c r="U773" s="52"/>
      <c r="V773" s="52"/>
      <c r="W773" s="52"/>
      <c r="X773" s="52"/>
      <c r="Y773" s="52"/>
      <c r="Z773" s="52"/>
      <c r="AA773" s="52"/>
      <c r="AB773" s="53"/>
    </row>
    <row r="774">
      <c r="A774" s="52"/>
      <c r="B774" s="52"/>
      <c r="C774" s="52"/>
      <c r="D774" s="52"/>
      <c r="E774" s="52"/>
      <c r="F774" s="52"/>
      <c r="G774" s="52"/>
      <c r="H774" s="52"/>
      <c r="I774" s="52"/>
      <c r="J774" s="52"/>
      <c r="K774" s="52"/>
      <c r="L774" s="52"/>
      <c r="M774" s="52"/>
      <c r="N774" s="52"/>
      <c r="O774" s="52"/>
      <c r="P774" s="61"/>
      <c r="Q774" s="61"/>
      <c r="R774" s="205"/>
      <c r="S774" s="52"/>
      <c r="T774" s="52"/>
      <c r="U774" s="52"/>
      <c r="V774" s="52"/>
      <c r="W774" s="52"/>
      <c r="X774" s="52"/>
      <c r="Y774" s="52"/>
      <c r="Z774" s="52"/>
      <c r="AA774" s="52"/>
      <c r="AB774" s="53"/>
    </row>
    <row r="775">
      <c r="A775" s="52"/>
      <c r="B775" s="52"/>
      <c r="C775" s="52"/>
      <c r="D775" s="52"/>
      <c r="E775" s="52"/>
      <c r="F775" s="52"/>
      <c r="G775" s="52"/>
      <c r="H775" s="52"/>
      <c r="I775" s="52"/>
      <c r="J775" s="52"/>
      <c r="K775" s="52"/>
      <c r="L775" s="52"/>
      <c r="M775" s="52"/>
      <c r="N775" s="52"/>
      <c r="O775" s="52"/>
      <c r="P775" s="61"/>
      <c r="Q775" s="61"/>
      <c r="R775" s="205"/>
      <c r="S775" s="52"/>
      <c r="T775" s="52"/>
      <c r="U775" s="52"/>
      <c r="V775" s="52"/>
      <c r="W775" s="52"/>
      <c r="X775" s="52"/>
      <c r="Y775" s="52"/>
      <c r="Z775" s="52"/>
      <c r="AA775" s="52"/>
      <c r="AB775" s="53"/>
    </row>
    <row r="776">
      <c r="A776" s="52"/>
      <c r="B776" s="52"/>
      <c r="C776" s="52"/>
      <c r="D776" s="52"/>
      <c r="E776" s="52"/>
      <c r="F776" s="52"/>
      <c r="G776" s="52"/>
      <c r="H776" s="52"/>
      <c r="I776" s="52"/>
      <c r="J776" s="52"/>
      <c r="K776" s="52"/>
      <c r="L776" s="52"/>
      <c r="M776" s="52"/>
      <c r="N776" s="52"/>
      <c r="O776" s="52"/>
      <c r="P776" s="61"/>
      <c r="Q776" s="61"/>
      <c r="R776" s="205"/>
      <c r="S776" s="52"/>
      <c r="T776" s="52"/>
      <c r="U776" s="52"/>
      <c r="V776" s="52"/>
      <c r="W776" s="52"/>
      <c r="X776" s="52"/>
      <c r="Y776" s="52"/>
      <c r="Z776" s="52"/>
      <c r="AA776" s="52"/>
      <c r="AB776" s="53"/>
    </row>
    <row r="777">
      <c r="A777" s="52"/>
      <c r="B777" s="52"/>
      <c r="C777" s="52"/>
      <c r="D777" s="52"/>
      <c r="E777" s="52"/>
      <c r="F777" s="52"/>
      <c r="G777" s="52"/>
      <c r="H777" s="52"/>
      <c r="I777" s="52"/>
      <c r="J777" s="52"/>
      <c r="K777" s="52"/>
      <c r="L777" s="52"/>
      <c r="M777" s="52"/>
      <c r="N777" s="52"/>
      <c r="O777" s="52"/>
      <c r="P777" s="61"/>
      <c r="Q777" s="61"/>
      <c r="R777" s="205"/>
      <c r="S777" s="52"/>
      <c r="T777" s="52"/>
      <c r="U777" s="52"/>
      <c r="V777" s="52"/>
      <c r="W777" s="52"/>
      <c r="X777" s="52"/>
      <c r="Y777" s="52"/>
      <c r="Z777" s="52"/>
      <c r="AA777" s="52"/>
      <c r="AB777" s="53"/>
    </row>
    <row r="778">
      <c r="A778" s="52"/>
      <c r="B778" s="52"/>
      <c r="C778" s="52"/>
      <c r="D778" s="52"/>
      <c r="E778" s="52"/>
      <c r="F778" s="52"/>
      <c r="G778" s="52"/>
      <c r="H778" s="52"/>
      <c r="I778" s="52"/>
      <c r="J778" s="52"/>
      <c r="K778" s="52"/>
      <c r="L778" s="52"/>
      <c r="M778" s="52"/>
      <c r="N778" s="52"/>
      <c r="O778" s="52"/>
      <c r="P778" s="61"/>
      <c r="Q778" s="61"/>
      <c r="R778" s="205"/>
      <c r="S778" s="52"/>
      <c r="T778" s="52"/>
      <c r="U778" s="52"/>
      <c r="V778" s="52"/>
      <c r="W778" s="52"/>
      <c r="X778" s="52"/>
      <c r="Y778" s="52"/>
      <c r="Z778" s="52"/>
      <c r="AA778" s="52"/>
      <c r="AB778" s="53"/>
    </row>
    <row r="779">
      <c r="A779" s="52"/>
      <c r="B779" s="52"/>
      <c r="C779" s="52"/>
      <c r="D779" s="52"/>
      <c r="E779" s="52"/>
      <c r="F779" s="52"/>
      <c r="G779" s="52"/>
      <c r="H779" s="52"/>
      <c r="I779" s="52"/>
      <c r="J779" s="52"/>
      <c r="K779" s="52"/>
      <c r="L779" s="52"/>
      <c r="M779" s="52"/>
      <c r="N779" s="52"/>
      <c r="O779" s="52"/>
      <c r="P779" s="61"/>
      <c r="Q779" s="61"/>
      <c r="R779" s="205"/>
      <c r="S779" s="52"/>
      <c r="T779" s="52"/>
      <c r="U779" s="52"/>
      <c r="V779" s="52"/>
      <c r="W779" s="52"/>
      <c r="X779" s="52"/>
      <c r="Y779" s="52"/>
      <c r="Z779" s="52"/>
      <c r="AA779" s="52"/>
      <c r="AB779" s="53"/>
    </row>
    <row r="780">
      <c r="A780" s="52"/>
      <c r="B780" s="52"/>
      <c r="C780" s="52"/>
      <c r="D780" s="52"/>
      <c r="E780" s="52"/>
      <c r="F780" s="52"/>
      <c r="G780" s="52"/>
      <c r="H780" s="52"/>
      <c r="I780" s="52"/>
      <c r="J780" s="52"/>
      <c r="K780" s="52"/>
      <c r="L780" s="52"/>
      <c r="M780" s="52"/>
      <c r="N780" s="52"/>
      <c r="O780" s="52"/>
      <c r="P780" s="61"/>
      <c r="Q780" s="61"/>
      <c r="R780" s="205"/>
      <c r="S780" s="52"/>
      <c r="T780" s="52"/>
      <c r="U780" s="52"/>
      <c r="V780" s="52"/>
      <c r="W780" s="52"/>
      <c r="X780" s="52"/>
      <c r="Y780" s="52"/>
      <c r="Z780" s="52"/>
      <c r="AA780" s="52"/>
      <c r="AB780" s="53"/>
    </row>
    <row r="781">
      <c r="A781" s="52"/>
      <c r="B781" s="52"/>
      <c r="C781" s="52"/>
      <c r="D781" s="52"/>
      <c r="E781" s="52"/>
      <c r="F781" s="52"/>
      <c r="G781" s="52"/>
      <c r="H781" s="52"/>
      <c r="I781" s="52"/>
      <c r="J781" s="52"/>
      <c r="K781" s="52"/>
      <c r="L781" s="52"/>
      <c r="M781" s="52"/>
      <c r="N781" s="52"/>
      <c r="O781" s="52"/>
      <c r="P781" s="61"/>
      <c r="Q781" s="61"/>
      <c r="R781" s="205"/>
      <c r="S781" s="52"/>
      <c r="T781" s="52"/>
      <c r="U781" s="52"/>
      <c r="V781" s="52"/>
      <c r="W781" s="52"/>
      <c r="X781" s="52"/>
      <c r="Y781" s="52"/>
      <c r="Z781" s="52"/>
      <c r="AA781" s="52"/>
      <c r="AB781" s="53"/>
    </row>
    <row r="782">
      <c r="A782" s="52"/>
      <c r="B782" s="52"/>
      <c r="C782" s="52"/>
      <c r="D782" s="52"/>
      <c r="E782" s="52"/>
      <c r="F782" s="52"/>
      <c r="G782" s="52"/>
      <c r="H782" s="52"/>
      <c r="I782" s="52"/>
      <c r="J782" s="52"/>
      <c r="K782" s="52"/>
      <c r="L782" s="52"/>
      <c r="M782" s="52"/>
      <c r="N782" s="52"/>
      <c r="O782" s="52"/>
      <c r="P782" s="61"/>
      <c r="Q782" s="61"/>
      <c r="R782" s="205"/>
      <c r="S782" s="52"/>
      <c r="T782" s="52"/>
      <c r="U782" s="52"/>
      <c r="V782" s="52"/>
      <c r="W782" s="52"/>
      <c r="X782" s="52"/>
      <c r="Y782" s="52"/>
      <c r="Z782" s="52"/>
      <c r="AA782" s="52"/>
      <c r="AB782" s="53"/>
    </row>
    <row r="783">
      <c r="A783" s="52"/>
      <c r="B783" s="52"/>
      <c r="C783" s="52"/>
      <c r="D783" s="52"/>
      <c r="E783" s="52"/>
      <c r="F783" s="52"/>
      <c r="G783" s="52"/>
      <c r="H783" s="52"/>
      <c r="I783" s="52"/>
      <c r="J783" s="52"/>
      <c r="K783" s="52"/>
      <c r="L783" s="52"/>
      <c r="M783" s="52"/>
      <c r="N783" s="52"/>
      <c r="O783" s="52"/>
      <c r="P783" s="61"/>
      <c r="Q783" s="61"/>
      <c r="R783" s="205"/>
      <c r="S783" s="52"/>
      <c r="T783" s="52"/>
      <c r="U783" s="52"/>
      <c r="V783" s="52"/>
      <c r="W783" s="52"/>
      <c r="X783" s="52"/>
      <c r="Y783" s="52"/>
      <c r="Z783" s="52"/>
      <c r="AA783" s="52"/>
      <c r="AB783" s="53"/>
    </row>
    <row r="784">
      <c r="A784" s="52"/>
      <c r="B784" s="52"/>
      <c r="C784" s="52"/>
      <c r="D784" s="52"/>
      <c r="E784" s="52"/>
      <c r="F784" s="52"/>
      <c r="G784" s="52"/>
      <c r="H784" s="52"/>
      <c r="I784" s="52"/>
      <c r="J784" s="52"/>
      <c r="K784" s="52"/>
      <c r="L784" s="52"/>
      <c r="M784" s="52"/>
      <c r="N784" s="52"/>
      <c r="O784" s="52"/>
      <c r="P784" s="61"/>
      <c r="Q784" s="61"/>
      <c r="R784" s="205"/>
      <c r="S784" s="52"/>
      <c r="T784" s="52"/>
      <c r="U784" s="52"/>
      <c r="V784" s="52"/>
      <c r="W784" s="52"/>
      <c r="X784" s="52"/>
      <c r="Y784" s="52"/>
      <c r="Z784" s="52"/>
      <c r="AA784" s="52"/>
      <c r="AB784" s="53"/>
    </row>
    <row r="785">
      <c r="A785" s="52"/>
      <c r="B785" s="52"/>
      <c r="C785" s="52"/>
      <c r="D785" s="52"/>
      <c r="E785" s="52"/>
      <c r="F785" s="52"/>
      <c r="G785" s="52"/>
      <c r="H785" s="52"/>
      <c r="I785" s="52"/>
      <c r="J785" s="52"/>
      <c r="K785" s="52"/>
      <c r="L785" s="52"/>
      <c r="M785" s="52"/>
      <c r="N785" s="52"/>
      <c r="O785" s="52"/>
      <c r="P785" s="61"/>
      <c r="Q785" s="61"/>
      <c r="R785" s="205"/>
      <c r="S785" s="52"/>
      <c r="T785" s="52"/>
      <c r="U785" s="52"/>
      <c r="V785" s="52"/>
      <c r="W785" s="52"/>
      <c r="X785" s="52"/>
      <c r="Y785" s="52"/>
      <c r="Z785" s="52"/>
      <c r="AA785" s="52"/>
      <c r="AB785" s="53"/>
    </row>
    <row r="786">
      <c r="A786" s="52"/>
      <c r="B786" s="52"/>
      <c r="C786" s="52"/>
      <c r="D786" s="52"/>
      <c r="E786" s="52"/>
      <c r="F786" s="52"/>
      <c r="G786" s="52"/>
      <c r="H786" s="52"/>
      <c r="I786" s="52"/>
      <c r="J786" s="52"/>
      <c r="K786" s="52"/>
      <c r="L786" s="52"/>
      <c r="M786" s="52"/>
      <c r="N786" s="52"/>
      <c r="O786" s="52"/>
      <c r="P786" s="61"/>
      <c r="Q786" s="61"/>
      <c r="R786" s="205"/>
      <c r="S786" s="52"/>
      <c r="T786" s="52"/>
      <c r="U786" s="52"/>
      <c r="V786" s="52"/>
      <c r="W786" s="52"/>
      <c r="X786" s="52"/>
      <c r="Y786" s="52"/>
      <c r="Z786" s="52"/>
      <c r="AA786" s="52"/>
      <c r="AB786" s="53"/>
    </row>
    <row r="787">
      <c r="A787" s="52"/>
      <c r="B787" s="52"/>
      <c r="C787" s="52"/>
      <c r="D787" s="52"/>
      <c r="E787" s="52"/>
      <c r="F787" s="52"/>
      <c r="G787" s="52"/>
      <c r="H787" s="52"/>
      <c r="I787" s="52"/>
      <c r="J787" s="52"/>
      <c r="K787" s="52"/>
      <c r="L787" s="52"/>
      <c r="M787" s="52"/>
      <c r="N787" s="52"/>
      <c r="O787" s="52"/>
      <c r="P787" s="61"/>
      <c r="Q787" s="61"/>
      <c r="R787" s="205"/>
      <c r="S787" s="52"/>
      <c r="T787" s="52"/>
      <c r="U787" s="52"/>
      <c r="V787" s="52"/>
      <c r="W787" s="52"/>
      <c r="X787" s="52"/>
      <c r="Y787" s="52"/>
      <c r="Z787" s="52"/>
      <c r="AA787" s="52"/>
      <c r="AB787" s="53"/>
    </row>
    <row r="788">
      <c r="A788" s="52"/>
      <c r="B788" s="52"/>
      <c r="C788" s="52"/>
      <c r="D788" s="52"/>
      <c r="E788" s="52"/>
      <c r="F788" s="52"/>
      <c r="G788" s="52"/>
      <c r="H788" s="52"/>
      <c r="I788" s="52"/>
      <c r="J788" s="52"/>
      <c r="K788" s="52"/>
      <c r="L788" s="52"/>
      <c r="M788" s="52"/>
      <c r="N788" s="52"/>
      <c r="O788" s="52"/>
      <c r="P788" s="61"/>
      <c r="Q788" s="61"/>
      <c r="R788" s="205"/>
      <c r="S788" s="52"/>
      <c r="T788" s="52"/>
      <c r="U788" s="52"/>
      <c r="V788" s="52"/>
      <c r="W788" s="52"/>
      <c r="X788" s="52"/>
      <c r="Y788" s="52"/>
      <c r="Z788" s="52"/>
      <c r="AA788" s="52"/>
      <c r="AB788" s="53"/>
    </row>
    <row r="789">
      <c r="A789" s="52"/>
      <c r="B789" s="52"/>
      <c r="C789" s="52"/>
      <c r="D789" s="52"/>
      <c r="E789" s="52"/>
      <c r="F789" s="52"/>
      <c r="G789" s="52"/>
      <c r="H789" s="52"/>
      <c r="I789" s="52"/>
      <c r="J789" s="52"/>
      <c r="K789" s="52"/>
      <c r="L789" s="52"/>
      <c r="M789" s="52"/>
      <c r="N789" s="52"/>
      <c r="O789" s="52"/>
      <c r="P789" s="61"/>
      <c r="Q789" s="61"/>
      <c r="R789" s="205"/>
      <c r="S789" s="52"/>
      <c r="T789" s="52"/>
      <c r="U789" s="52"/>
      <c r="V789" s="52"/>
      <c r="W789" s="52"/>
      <c r="X789" s="52"/>
      <c r="Y789" s="52"/>
      <c r="Z789" s="52"/>
      <c r="AA789" s="52"/>
      <c r="AB789" s="53"/>
    </row>
    <row r="790">
      <c r="A790" s="52"/>
      <c r="B790" s="52"/>
      <c r="C790" s="52"/>
      <c r="D790" s="52"/>
      <c r="E790" s="52"/>
      <c r="F790" s="52"/>
      <c r="G790" s="52"/>
      <c r="H790" s="52"/>
      <c r="I790" s="52"/>
      <c r="J790" s="52"/>
      <c r="K790" s="52"/>
      <c r="L790" s="52"/>
      <c r="M790" s="52"/>
      <c r="N790" s="52"/>
      <c r="O790" s="52"/>
      <c r="P790" s="61"/>
      <c r="Q790" s="61"/>
      <c r="R790" s="205"/>
      <c r="S790" s="52"/>
      <c r="T790" s="52"/>
      <c r="U790" s="52"/>
      <c r="V790" s="52"/>
      <c r="W790" s="52"/>
      <c r="X790" s="52"/>
      <c r="Y790" s="52"/>
      <c r="Z790" s="52"/>
      <c r="AA790" s="52"/>
      <c r="AB790" s="53"/>
    </row>
    <row r="791">
      <c r="A791" s="52"/>
      <c r="B791" s="52"/>
      <c r="C791" s="52"/>
      <c r="D791" s="52"/>
      <c r="E791" s="52"/>
      <c r="F791" s="52"/>
      <c r="G791" s="52"/>
      <c r="H791" s="52"/>
      <c r="I791" s="52"/>
      <c r="J791" s="52"/>
      <c r="K791" s="52"/>
      <c r="L791" s="52"/>
      <c r="M791" s="52"/>
      <c r="N791" s="52"/>
      <c r="O791" s="52"/>
      <c r="P791" s="61"/>
      <c r="Q791" s="61"/>
      <c r="R791" s="205"/>
      <c r="S791" s="52"/>
      <c r="T791" s="52"/>
      <c r="U791" s="52"/>
      <c r="V791" s="52"/>
      <c r="W791" s="52"/>
      <c r="X791" s="52"/>
      <c r="Y791" s="52"/>
      <c r="Z791" s="52"/>
      <c r="AA791" s="52"/>
      <c r="AB791" s="53"/>
    </row>
    <row r="792">
      <c r="A792" s="52"/>
      <c r="B792" s="52"/>
      <c r="C792" s="52"/>
      <c r="D792" s="52"/>
      <c r="E792" s="52"/>
      <c r="F792" s="52"/>
      <c r="G792" s="52"/>
      <c r="H792" s="52"/>
      <c r="I792" s="52"/>
      <c r="J792" s="52"/>
      <c r="K792" s="52"/>
      <c r="L792" s="52"/>
      <c r="M792" s="52"/>
      <c r="N792" s="52"/>
      <c r="O792" s="52"/>
      <c r="P792" s="61"/>
      <c r="Q792" s="61"/>
      <c r="R792" s="205"/>
      <c r="S792" s="52"/>
      <c r="T792" s="52"/>
      <c r="U792" s="52"/>
      <c r="V792" s="52"/>
      <c r="W792" s="52"/>
      <c r="X792" s="52"/>
      <c r="Y792" s="52"/>
      <c r="Z792" s="52"/>
      <c r="AA792" s="52"/>
      <c r="AB792" s="53"/>
    </row>
    <row r="793">
      <c r="A793" s="52"/>
      <c r="B793" s="52"/>
      <c r="C793" s="52"/>
      <c r="D793" s="52"/>
      <c r="E793" s="52"/>
      <c r="F793" s="52"/>
      <c r="G793" s="52"/>
      <c r="H793" s="52"/>
      <c r="I793" s="52"/>
      <c r="J793" s="52"/>
      <c r="K793" s="52"/>
      <c r="L793" s="52"/>
      <c r="M793" s="52"/>
      <c r="N793" s="52"/>
      <c r="O793" s="52"/>
      <c r="P793" s="61"/>
      <c r="Q793" s="61"/>
      <c r="R793" s="205"/>
      <c r="S793" s="52"/>
      <c r="T793" s="52"/>
      <c r="U793" s="52"/>
      <c r="V793" s="52"/>
      <c r="W793" s="52"/>
      <c r="X793" s="52"/>
      <c r="Y793" s="52"/>
      <c r="Z793" s="52"/>
      <c r="AA793" s="52"/>
      <c r="AB793" s="53"/>
    </row>
    <row r="794">
      <c r="A794" s="52"/>
      <c r="B794" s="52"/>
      <c r="C794" s="52"/>
      <c r="D794" s="52"/>
      <c r="E794" s="52"/>
      <c r="F794" s="52"/>
      <c r="G794" s="52"/>
      <c r="H794" s="52"/>
      <c r="I794" s="52"/>
      <c r="J794" s="52"/>
      <c r="K794" s="52"/>
      <c r="L794" s="52"/>
      <c r="M794" s="52"/>
      <c r="N794" s="52"/>
      <c r="O794" s="52"/>
      <c r="P794" s="61"/>
      <c r="Q794" s="61"/>
      <c r="R794" s="205"/>
      <c r="S794" s="52"/>
      <c r="T794" s="52"/>
      <c r="U794" s="52"/>
      <c r="V794" s="52"/>
      <c r="W794" s="52"/>
      <c r="X794" s="52"/>
      <c r="Y794" s="52"/>
      <c r="Z794" s="52"/>
      <c r="AA794" s="52"/>
      <c r="AB794" s="53"/>
    </row>
    <row r="795">
      <c r="A795" s="52"/>
      <c r="B795" s="52"/>
      <c r="C795" s="52"/>
      <c r="D795" s="52"/>
      <c r="E795" s="52"/>
      <c r="F795" s="52"/>
      <c r="G795" s="52"/>
      <c r="H795" s="52"/>
      <c r="I795" s="52"/>
      <c r="J795" s="52"/>
      <c r="K795" s="52"/>
      <c r="L795" s="52"/>
      <c r="M795" s="52"/>
      <c r="N795" s="52"/>
      <c r="O795" s="52"/>
      <c r="P795" s="61"/>
      <c r="Q795" s="61"/>
      <c r="R795" s="205"/>
      <c r="S795" s="52"/>
      <c r="T795" s="52"/>
      <c r="U795" s="52"/>
      <c r="V795" s="52"/>
      <c r="W795" s="52"/>
      <c r="X795" s="52"/>
      <c r="Y795" s="52"/>
      <c r="Z795" s="52"/>
      <c r="AA795" s="52"/>
      <c r="AB795" s="53"/>
    </row>
    <row r="796">
      <c r="A796" s="52"/>
      <c r="B796" s="52"/>
      <c r="C796" s="52"/>
      <c r="D796" s="52"/>
      <c r="E796" s="52"/>
      <c r="F796" s="52"/>
      <c r="G796" s="52"/>
      <c r="H796" s="52"/>
      <c r="I796" s="52"/>
      <c r="J796" s="52"/>
      <c r="K796" s="52"/>
      <c r="L796" s="52"/>
      <c r="M796" s="52"/>
      <c r="N796" s="52"/>
      <c r="O796" s="52"/>
      <c r="P796" s="61"/>
      <c r="Q796" s="61"/>
      <c r="R796" s="205"/>
      <c r="S796" s="52"/>
      <c r="T796" s="52"/>
      <c r="U796" s="52"/>
      <c r="V796" s="52"/>
      <c r="W796" s="52"/>
      <c r="X796" s="52"/>
      <c r="Y796" s="52"/>
      <c r="Z796" s="52"/>
      <c r="AA796" s="52"/>
      <c r="AB796" s="53"/>
    </row>
    <row r="797">
      <c r="A797" s="52"/>
      <c r="B797" s="52"/>
      <c r="C797" s="52"/>
      <c r="D797" s="52"/>
      <c r="E797" s="52"/>
      <c r="F797" s="52"/>
      <c r="G797" s="52"/>
      <c r="H797" s="52"/>
      <c r="I797" s="52"/>
      <c r="J797" s="52"/>
      <c r="K797" s="52"/>
      <c r="L797" s="52"/>
      <c r="M797" s="52"/>
      <c r="N797" s="52"/>
      <c r="O797" s="52"/>
      <c r="P797" s="61"/>
      <c r="Q797" s="61"/>
      <c r="R797" s="205"/>
      <c r="S797" s="52"/>
      <c r="T797" s="52"/>
      <c r="U797" s="52"/>
      <c r="V797" s="52"/>
      <c r="W797" s="52"/>
      <c r="X797" s="52"/>
      <c r="Y797" s="52"/>
      <c r="Z797" s="52"/>
      <c r="AA797" s="52"/>
      <c r="AB797" s="53"/>
    </row>
    <row r="798">
      <c r="A798" s="52"/>
      <c r="B798" s="52"/>
      <c r="C798" s="52"/>
      <c r="D798" s="52"/>
      <c r="E798" s="52"/>
      <c r="F798" s="52"/>
      <c r="G798" s="52"/>
      <c r="H798" s="52"/>
      <c r="I798" s="52"/>
      <c r="J798" s="52"/>
      <c r="K798" s="52"/>
      <c r="L798" s="52"/>
      <c r="M798" s="52"/>
      <c r="N798" s="52"/>
      <c r="O798" s="52"/>
      <c r="P798" s="61"/>
      <c r="Q798" s="61"/>
      <c r="R798" s="205"/>
      <c r="S798" s="52"/>
      <c r="T798" s="52"/>
      <c r="U798" s="52"/>
      <c r="V798" s="52"/>
      <c r="W798" s="52"/>
      <c r="X798" s="52"/>
      <c r="Y798" s="52"/>
      <c r="Z798" s="52"/>
      <c r="AA798" s="52"/>
      <c r="AB798" s="53"/>
    </row>
    <row r="799">
      <c r="A799" s="52"/>
      <c r="B799" s="52"/>
      <c r="C799" s="52"/>
      <c r="D799" s="52"/>
      <c r="E799" s="52"/>
      <c r="F799" s="52"/>
      <c r="G799" s="52"/>
      <c r="H799" s="52"/>
      <c r="I799" s="52"/>
      <c r="J799" s="52"/>
      <c r="K799" s="52"/>
      <c r="L799" s="52"/>
      <c r="M799" s="52"/>
      <c r="N799" s="52"/>
      <c r="O799" s="52"/>
      <c r="P799" s="61"/>
      <c r="Q799" s="61"/>
      <c r="R799" s="205"/>
      <c r="S799" s="52"/>
      <c r="T799" s="52"/>
      <c r="U799" s="52"/>
      <c r="V799" s="52"/>
      <c r="W799" s="52"/>
      <c r="X799" s="52"/>
      <c r="Y799" s="52"/>
      <c r="Z799" s="52"/>
      <c r="AA799" s="52"/>
      <c r="AB799" s="53"/>
    </row>
    <row r="800">
      <c r="A800" s="52"/>
      <c r="B800" s="52"/>
      <c r="C800" s="52"/>
      <c r="D800" s="52"/>
      <c r="E800" s="52"/>
      <c r="F800" s="52"/>
      <c r="G800" s="52"/>
      <c r="H800" s="52"/>
      <c r="I800" s="52"/>
      <c r="J800" s="52"/>
      <c r="K800" s="52"/>
      <c r="L800" s="52"/>
      <c r="M800" s="52"/>
      <c r="N800" s="52"/>
      <c r="O800" s="52"/>
      <c r="P800" s="61"/>
      <c r="Q800" s="61"/>
      <c r="R800" s="205"/>
      <c r="S800" s="52"/>
      <c r="T800" s="52"/>
      <c r="U800" s="52"/>
      <c r="V800" s="52"/>
      <c r="W800" s="52"/>
      <c r="X800" s="52"/>
      <c r="Y800" s="52"/>
      <c r="Z800" s="52"/>
      <c r="AA800" s="52"/>
      <c r="AB800" s="53"/>
    </row>
    <row r="801">
      <c r="A801" s="52"/>
      <c r="B801" s="52"/>
      <c r="C801" s="52"/>
      <c r="D801" s="52"/>
      <c r="E801" s="52"/>
      <c r="F801" s="52"/>
      <c r="G801" s="52"/>
      <c r="H801" s="52"/>
      <c r="I801" s="52"/>
      <c r="J801" s="52"/>
      <c r="K801" s="52"/>
      <c r="L801" s="52"/>
      <c r="M801" s="52"/>
      <c r="N801" s="52"/>
      <c r="O801" s="52"/>
      <c r="P801" s="61"/>
      <c r="Q801" s="61"/>
      <c r="R801" s="205"/>
      <c r="S801" s="52"/>
      <c r="T801" s="52"/>
      <c r="U801" s="52"/>
      <c r="V801" s="52"/>
      <c r="W801" s="52"/>
      <c r="X801" s="52"/>
      <c r="Y801" s="52"/>
      <c r="Z801" s="52"/>
      <c r="AA801" s="52"/>
      <c r="AB801" s="53"/>
    </row>
    <row r="802">
      <c r="A802" s="52"/>
      <c r="B802" s="52"/>
      <c r="C802" s="52"/>
      <c r="D802" s="52"/>
      <c r="E802" s="52"/>
      <c r="F802" s="52"/>
      <c r="G802" s="52"/>
      <c r="H802" s="52"/>
      <c r="I802" s="52"/>
      <c r="J802" s="52"/>
      <c r="K802" s="52"/>
      <c r="L802" s="52"/>
      <c r="M802" s="52"/>
      <c r="N802" s="52"/>
      <c r="O802" s="52"/>
      <c r="P802" s="61"/>
      <c r="Q802" s="61"/>
      <c r="R802" s="205"/>
      <c r="S802" s="52"/>
      <c r="T802" s="52"/>
      <c r="U802" s="52"/>
      <c r="V802" s="52"/>
      <c r="W802" s="52"/>
      <c r="X802" s="52"/>
      <c r="Y802" s="52"/>
      <c r="Z802" s="52"/>
      <c r="AA802" s="52"/>
      <c r="AB802" s="53"/>
    </row>
    <row r="803">
      <c r="A803" s="52"/>
      <c r="B803" s="52"/>
      <c r="C803" s="52"/>
      <c r="D803" s="52"/>
      <c r="E803" s="52"/>
      <c r="F803" s="52"/>
      <c r="G803" s="52"/>
      <c r="H803" s="52"/>
      <c r="I803" s="52"/>
      <c r="J803" s="52"/>
      <c r="K803" s="52"/>
      <c r="L803" s="52"/>
      <c r="M803" s="52"/>
      <c r="N803" s="52"/>
      <c r="O803" s="52"/>
      <c r="P803" s="61"/>
      <c r="Q803" s="61"/>
      <c r="R803" s="205"/>
      <c r="S803" s="52"/>
      <c r="T803" s="52"/>
      <c r="U803" s="52"/>
      <c r="V803" s="52"/>
      <c r="W803" s="52"/>
      <c r="X803" s="52"/>
      <c r="Y803" s="52"/>
      <c r="Z803" s="52"/>
      <c r="AA803" s="52"/>
      <c r="AB803" s="53"/>
    </row>
    <row r="804">
      <c r="A804" s="52"/>
      <c r="B804" s="52"/>
      <c r="C804" s="52"/>
      <c r="D804" s="52"/>
      <c r="E804" s="52"/>
      <c r="F804" s="52"/>
      <c r="G804" s="52"/>
      <c r="H804" s="52"/>
      <c r="I804" s="52"/>
      <c r="J804" s="52"/>
      <c r="K804" s="52"/>
      <c r="L804" s="52"/>
      <c r="M804" s="52"/>
      <c r="N804" s="52"/>
      <c r="O804" s="52"/>
      <c r="P804" s="61"/>
      <c r="Q804" s="61"/>
      <c r="R804" s="205"/>
      <c r="S804" s="52"/>
      <c r="T804" s="52"/>
      <c r="U804" s="52"/>
      <c r="V804" s="52"/>
      <c r="W804" s="52"/>
      <c r="X804" s="52"/>
      <c r="Y804" s="52"/>
      <c r="Z804" s="52"/>
      <c r="AA804" s="52"/>
      <c r="AB804" s="53"/>
    </row>
    <row r="805">
      <c r="A805" s="52"/>
      <c r="B805" s="52"/>
      <c r="C805" s="52"/>
      <c r="D805" s="52"/>
      <c r="E805" s="52"/>
      <c r="F805" s="52"/>
      <c r="G805" s="52"/>
      <c r="H805" s="52"/>
      <c r="I805" s="52"/>
      <c r="J805" s="52"/>
      <c r="K805" s="52"/>
      <c r="L805" s="52"/>
      <c r="M805" s="52"/>
      <c r="N805" s="52"/>
      <c r="O805" s="52"/>
      <c r="P805" s="61"/>
      <c r="Q805" s="61"/>
      <c r="R805" s="205"/>
      <c r="S805" s="52"/>
      <c r="T805" s="52"/>
      <c r="U805" s="52"/>
      <c r="V805" s="52"/>
      <c r="W805" s="52"/>
      <c r="X805" s="52"/>
      <c r="Y805" s="52"/>
      <c r="Z805" s="52"/>
      <c r="AA805" s="52"/>
      <c r="AB805" s="53"/>
    </row>
    <row r="806">
      <c r="A806" s="52"/>
      <c r="B806" s="52"/>
      <c r="C806" s="52"/>
      <c r="D806" s="52"/>
      <c r="E806" s="52"/>
      <c r="F806" s="52"/>
      <c r="G806" s="52"/>
      <c r="H806" s="52"/>
      <c r="I806" s="52"/>
      <c r="J806" s="52"/>
      <c r="K806" s="52"/>
      <c r="L806" s="52"/>
      <c r="M806" s="52"/>
      <c r="N806" s="52"/>
      <c r="O806" s="52"/>
      <c r="P806" s="61"/>
      <c r="Q806" s="61"/>
      <c r="R806" s="205"/>
      <c r="S806" s="52"/>
      <c r="T806" s="52"/>
      <c r="U806" s="52"/>
      <c r="V806" s="52"/>
      <c r="W806" s="52"/>
      <c r="X806" s="52"/>
      <c r="Y806" s="52"/>
      <c r="Z806" s="52"/>
      <c r="AA806" s="52"/>
      <c r="AB806" s="53"/>
    </row>
    <row r="807">
      <c r="A807" s="52"/>
      <c r="B807" s="52"/>
      <c r="C807" s="52"/>
      <c r="D807" s="52"/>
      <c r="E807" s="52"/>
      <c r="F807" s="52"/>
      <c r="G807" s="52"/>
      <c r="H807" s="52"/>
      <c r="I807" s="52"/>
      <c r="J807" s="52"/>
      <c r="K807" s="52"/>
      <c r="L807" s="52"/>
      <c r="M807" s="52"/>
      <c r="N807" s="52"/>
      <c r="O807" s="52"/>
      <c r="P807" s="61"/>
      <c r="Q807" s="61"/>
      <c r="R807" s="205"/>
      <c r="S807" s="52"/>
      <c r="T807" s="52"/>
      <c r="U807" s="52"/>
      <c r="V807" s="52"/>
      <c r="W807" s="52"/>
      <c r="X807" s="52"/>
      <c r="Y807" s="52"/>
      <c r="Z807" s="52"/>
      <c r="AA807" s="52"/>
      <c r="AB807" s="53"/>
    </row>
    <row r="808">
      <c r="A808" s="52"/>
      <c r="B808" s="52"/>
      <c r="C808" s="52"/>
      <c r="D808" s="52"/>
      <c r="E808" s="52"/>
      <c r="F808" s="52"/>
      <c r="G808" s="52"/>
      <c r="H808" s="52"/>
      <c r="I808" s="52"/>
      <c r="J808" s="52"/>
      <c r="K808" s="52"/>
      <c r="L808" s="52"/>
      <c r="M808" s="52"/>
      <c r="N808" s="52"/>
      <c r="O808" s="52"/>
      <c r="P808" s="61"/>
      <c r="Q808" s="61"/>
      <c r="R808" s="205"/>
      <c r="S808" s="52"/>
      <c r="T808" s="52"/>
      <c r="U808" s="52"/>
      <c r="V808" s="52"/>
      <c r="W808" s="52"/>
      <c r="X808" s="52"/>
      <c r="Y808" s="52"/>
      <c r="Z808" s="52"/>
      <c r="AA808" s="52"/>
      <c r="AB808" s="53"/>
    </row>
    <row r="809">
      <c r="A809" s="52"/>
      <c r="B809" s="52"/>
      <c r="C809" s="52"/>
      <c r="D809" s="52"/>
      <c r="E809" s="52"/>
      <c r="F809" s="52"/>
      <c r="G809" s="52"/>
      <c r="H809" s="52"/>
      <c r="I809" s="52"/>
      <c r="J809" s="52"/>
      <c r="K809" s="52"/>
      <c r="L809" s="52"/>
      <c r="M809" s="52"/>
      <c r="N809" s="52"/>
      <c r="O809" s="52"/>
      <c r="P809" s="61"/>
      <c r="Q809" s="61"/>
      <c r="R809" s="205"/>
      <c r="S809" s="52"/>
      <c r="T809" s="52"/>
      <c r="U809" s="52"/>
      <c r="V809" s="52"/>
      <c r="W809" s="52"/>
      <c r="X809" s="52"/>
      <c r="Y809" s="52"/>
      <c r="Z809" s="52"/>
      <c r="AA809" s="52"/>
      <c r="AB809" s="53"/>
    </row>
    <row r="810">
      <c r="A810" s="52"/>
      <c r="B810" s="52"/>
      <c r="C810" s="52"/>
      <c r="D810" s="52"/>
      <c r="E810" s="52"/>
      <c r="F810" s="52"/>
      <c r="G810" s="52"/>
      <c r="H810" s="52"/>
      <c r="I810" s="52"/>
      <c r="J810" s="52"/>
      <c r="K810" s="52"/>
      <c r="L810" s="52"/>
      <c r="M810" s="52"/>
      <c r="N810" s="52"/>
      <c r="O810" s="52"/>
      <c r="P810" s="61"/>
      <c r="Q810" s="61"/>
      <c r="R810" s="205"/>
      <c r="S810" s="52"/>
      <c r="T810" s="52"/>
      <c r="U810" s="52"/>
      <c r="V810" s="52"/>
      <c r="W810" s="52"/>
      <c r="X810" s="52"/>
      <c r="Y810" s="52"/>
      <c r="Z810" s="52"/>
      <c r="AA810" s="52"/>
      <c r="AB810" s="53"/>
    </row>
    <row r="811">
      <c r="A811" s="52"/>
      <c r="B811" s="52"/>
      <c r="C811" s="52"/>
      <c r="D811" s="52"/>
      <c r="E811" s="52"/>
      <c r="F811" s="52"/>
      <c r="G811" s="52"/>
      <c r="H811" s="52"/>
      <c r="I811" s="52"/>
      <c r="J811" s="52"/>
      <c r="K811" s="52"/>
      <c r="L811" s="52"/>
      <c r="M811" s="52"/>
      <c r="N811" s="52"/>
      <c r="O811" s="52"/>
      <c r="P811" s="61"/>
      <c r="Q811" s="61"/>
      <c r="R811" s="205"/>
      <c r="S811" s="52"/>
      <c r="T811" s="52"/>
      <c r="U811" s="52"/>
      <c r="V811" s="52"/>
      <c r="W811" s="52"/>
      <c r="X811" s="52"/>
      <c r="Y811" s="52"/>
      <c r="Z811" s="52"/>
      <c r="AA811" s="52"/>
      <c r="AB811" s="53"/>
    </row>
    <row r="812">
      <c r="A812" s="52"/>
      <c r="B812" s="52"/>
      <c r="C812" s="52"/>
      <c r="D812" s="52"/>
      <c r="E812" s="52"/>
      <c r="F812" s="52"/>
      <c r="G812" s="52"/>
      <c r="H812" s="52"/>
      <c r="I812" s="52"/>
      <c r="J812" s="52"/>
      <c r="K812" s="52"/>
      <c r="L812" s="52"/>
      <c r="M812" s="52"/>
      <c r="N812" s="52"/>
      <c r="O812" s="52"/>
      <c r="P812" s="61"/>
      <c r="Q812" s="61"/>
      <c r="R812" s="205"/>
      <c r="S812" s="52"/>
      <c r="T812" s="52"/>
      <c r="U812" s="52"/>
      <c r="V812" s="52"/>
      <c r="W812" s="52"/>
      <c r="X812" s="52"/>
      <c r="Y812" s="52"/>
      <c r="Z812" s="52"/>
      <c r="AA812" s="52"/>
      <c r="AB812" s="53"/>
    </row>
    <row r="813">
      <c r="A813" s="52"/>
      <c r="B813" s="52"/>
      <c r="C813" s="52"/>
      <c r="D813" s="52"/>
      <c r="E813" s="52"/>
      <c r="F813" s="52"/>
      <c r="G813" s="52"/>
      <c r="H813" s="52"/>
      <c r="I813" s="52"/>
      <c r="J813" s="52"/>
      <c r="K813" s="52"/>
      <c r="L813" s="52"/>
      <c r="M813" s="52"/>
      <c r="N813" s="52"/>
      <c r="O813" s="52"/>
      <c r="P813" s="61"/>
      <c r="Q813" s="61"/>
      <c r="R813" s="205"/>
      <c r="S813" s="52"/>
      <c r="T813" s="52"/>
      <c r="U813" s="52"/>
      <c r="V813" s="52"/>
      <c r="W813" s="52"/>
      <c r="X813" s="52"/>
      <c r="Y813" s="52"/>
      <c r="Z813" s="52"/>
      <c r="AA813" s="52"/>
      <c r="AB813" s="53"/>
    </row>
    <row r="814">
      <c r="A814" s="52"/>
      <c r="B814" s="52"/>
      <c r="C814" s="52"/>
      <c r="D814" s="52"/>
      <c r="E814" s="52"/>
      <c r="F814" s="52"/>
      <c r="G814" s="52"/>
      <c r="H814" s="52"/>
      <c r="I814" s="52"/>
      <c r="J814" s="52"/>
      <c r="K814" s="52"/>
      <c r="L814" s="52"/>
      <c r="M814" s="52"/>
      <c r="N814" s="52"/>
      <c r="O814" s="52"/>
      <c r="P814" s="61"/>
      <c r="Q814" s="61"/>
      <c r="R814" s="205"/>
      <c r="S814" s="52"/>
      <c r="T814" s="52"/>
      <c r="U814" s="52"/>
      <c r="V814" s="52"/>
      <c r="W814" s="52"/>
      <c r="X814" s="52"/>
      <c r="Y814" s="52"/>
      <c r="Z814" s="52"/>
      <c r="AA814" s="52"/>
      <c r="AB814" s="53"/>
    </row>
    <row r="815">
      <c r="A815" s="52"/>
      <c r="B815" s="52"/>
      <c r="C815" s="52"/>
      <c r="D815" s="52"/>
      <c r="E815" s="52"/>
      <c r="F815" s="52"/>
      <c r="G815" s="52"/>
      <c r="H815" s="52"/>
      <c r="I815" s="52"/>
      <c r="J815" s="52"/>
      <c r="K815" s="52"/>
      <c r="L815" s="52"/>
      <c r="M815" s="52"/>
      <c r="N815" s="52"/>
      <c r="O815" s="52"/>
      <c r="P815" s="61"/>
      <c r="Q815" s="61"/>
      <c r="R815" s="205"/>
      <c r="S815" s="52"/>
      <c r="T815" s="52"/>
      <c r="U815" s="52"/>
      <c r="V815" s="52"/>
      <c r="W815" s="52"/>
      <c r="X815" s="52"/>
      <c r="Y815" s="52"/>
      <c r="Z815" s="52"/>
      <c r="AA815" s="52"/>
      <c r="AB815" s="53"/>
    </row>
    <row r="816">
      <c r="A816" s="52"/>
      <c r="B816" s="52"/>
      <c r="C816" s="52"/>
      <c r="D816" s="52"/>
      <c r="E816" s="52"/>
      <c r="F816" s="52"/>
      <c r="G816" s="52"/>
      <c r="H816" s="52"/>
      <c r="I816" s="52"/>
      <c r="J816" s="52"/>
      <c r="K816" s="52"/>
      <c r="L816" s="52"/>
      <c r="M816" s="52"/>
      <c r="N816" s="52"/>
      <c r="O816" s="52"/>
      <c r="P816" s="61"/>
      <c r="Q816" s="61"/>
      <c r="R816" s="205"/>
      <c r="S816" s="52"/>
      <c r="T816" s="52"/>
      <c r="U816" s="52"/>
      <c r="V816" s="52"/>
      <c r="W816" s="52"/>
      <c r="X816" s="52"/>
      <c r="Y816" s="52"/>
      <c r="Z816" s="52"/>
      <c r="AA816" s="52"/>
      <c r="AB816" s="53"/>
    </row>
    <row r="817">
      <c r="A817" s="52"/>
      <c r="B817" s="52"/>
      <c r="C817" s="52"/>
      <c r="D817" s="52"/>
      <c r="E817" s="52"/>
      <c r="F817" s="52"/>
      <c r="G817" s="52"/>
      <c r="H817" s="52"/>
      <c r="I817" s="52"/>
      <c r="J817" s="52"/>
      <c r="K817" s="52"/>
      <c r="L817" s="52"/>
      <c r="M817" s="52"/>
      <c r="N817" s="52"/>
      <c r="O817" s="52"/>
      <c r="P817" s="61"/>
      <c r="Q817" s="61"/>
      <c r="R817" s="205"/>
      <c r="S817" s="52"/>
      <c r="T817" s="52"/>
      <c r="U817" s="52"/>
      <c r="V817" s="52"/>
      <c r="W817" s="52"/>
      <c r="X817" s="52"/>
      <c r="Y817" s="52"/>
      <c r="Z817" s="52"/>
      <c r="AA817" s="52"/>
      <c r="AB817" s="53"/>
    </row>
    <row r="818">
      <c r="A818" s="52"/>
      <c r="B818" s="52"/>
      <c r="C818" s="52"/>
      <c r="D818" s="52"/>
      <c r="E818" s="52"/>
      <c r="F818" s="52"/>
      <c r="G818" s="52"/>
      <c r="H818" s="52"/>
      <c r="I818" s="52"/>
      <c r="J818" s="52"/>
      <c r="K818" s="52"/>
      <c r="L818" s="52"/>
      <c r="M818" s="52"/>
      <c r="N818" s="52"/>
      <c r="O818" s="52"/>
      <c r="P818" s="61"/>
      <c r="Q818" s="61"/>
      <c r="R818" s="205"/>
      <c r="S818" s="52"/>
      <c r="T818" s="52"/>
      <c r="U818" s="52"/>
      <c r="V818" s="52"/>
      <c r="W818" s="52"/>
      <c r="X818" s="52"/>
      <c r="Y818" s="52"/>
      <c r="Z818" s="52"/>
      <c r="AA818" s="52"/>
      <c r="AB818" s="53"/>
    </row>
    <row r="819">
      <c r="A819" s="52"/>
      <c r="B819" s="52"/>
      <c r="C819" s="52"/>
      <c r="D819" s="52"/>
      <c r="E819" s="52"/>
      <c r="F819" s="52"/>
      <c r="G819" s="52"/>
      <c r="H819" s="52"/>
      <c r="I819" s="52"/>
      <c r="J819" s="52"/>
      <c r="K819" s="52"/>
      <c r="L819" s="52"/>
      <c r="M819" s="52"/>
      <c r="N819" s="52"/>
      <c r="O819" s="52"/>
      <c r="P819" s="61"/>
      <c r="Q819" s="61"/>
      <c r="R819" s="205"/>
      <c r="S819" s="52"/>
      <c r="T819" s="52"/>
      <c r="U819" s="52"/>
      <c r="V819" s="52"/>
      <c r="W819" s="52"/>
      <c r="X819" s="52"/>
      <c r="Y819" s="52"/>
      <c r="Z819" s="52"/>
      <c r="AA819" s="52"/>
      <c r="AB819" s="53"/>
    </row>
    <row r="820">
      <c r="A820" s="52"/>
      <c r="B820" s="52"/>
      <c r="C820" s="52"/>
      <c r="D820" s="52"/>
      <c r="E820" s="52"/>
      <c r="F820" s="52"/>
      <c r="G820" s="52"/>
      <c r="H820" s="52"/>
      <c r="I820" s="52"/>
      <c r="J820" s="52"/>
      <c r="K820" s="52"/>
      <c r="L820" s="52"/>
      <c r="M820" s="52"/>
      <c r="N820" s="52"/>
      <c r="O820" s="52"/>
      <c r="P820" s="61"/>
      <c r="Q820" s="61"/>
      <c r="R820" s="205"/>
      <c r="S820" s="52"/>
      <c r="T820" s="52"/>
      <c r="U820" s="52"/>
      <c r="V820" s="52"/>
      <c r="W820" s="52"/>
      <c r="X820" s="52"/>
      <c r="Y820" s="52"/>
      <c r="Z820" s="52"/>
      <c r="AA820" s="52"/>
      <c r="AB820" s="53"/>
    </row>
    <row r="821">
      <c r="A821" s="52"/>
      <c r="B821" s="52"/>
      <c r="C821" s="52"/>
      <c r="D821" s="52"/>
      <c r="E821" s="52"/>
      <c r="F821" s="52"/>
      <c r="G821" s="52"/>
      <c r="H821" s="52"/>
      <c r="I821" s="52"/>
      <c r="J821" s="52"/>
      <c r="K821" s="52"/>
      <c r="L821" s="52"/>
      <c r="M821" s="52"/>
      <c r="N821" s="52"/>
      <c r="O821" s="52"/>
      <c r="P821" s="61"/>
      <c r="Q821" s="61"/>
      <c r="R821" s="205"/>
      <c r="S821" s="52"/>
      <c r="T821" s="52"/>
      <c r="U821" s="52"/>
      <c r="V821" s="52"/>
      <c r="W821" s="52"/>
      <c r="X821" s="52"/>
      <c r="Y821" s="52"/>
      <c r="Z821" s="52"/>
      <c r="AA821" s="52"/>
      <c r="AB821" s="53"/>
    </row>
    <row r="822">
      <c r="A822" s="52"/>
      <c r="B822" s="52"/>
      <c r="C822" s="52"/>
      <c r="D822" s="52"/>
      <c r="E822" s="52"/>
      <c r="F822" s="52"/>
      <c r="G822" s="52"/>
      <c r="H822" s="52"/>
      <c r="I822" s="52"/>
      <c r="J822" s="52"/>
      <c r="K822" s="52"/>
      <c r="L822" s="52"/>
      <c r="M822" s="52"/>
      <c r="N822" s="52"/>
      <c r="O822" s="52"/>
      <c r="P822" s="61"/>
      <c r="Q822" s="61"/>
      <c r="R822" s="205"/>
      <c r="S822" s="52"/>
      <c r="T822" s="52"/>
      <c r="U822" s="52"/>
      <c r="V822" s="52"/>
      <c r="W822" s="52"/>
      <c r="X822" s="52"/>
      <c r="Y822" s="52"/>
      <c r="Z822" s="52"/>
      <c r="AA822" s="52"/>
      <c r="AB822" s="53"/>
    </row>
    <row r="823">
      <c r="A823" s="52"/>
      <c r="B823" s="52"/>
      <c r="C823" s="52"/>
      <c r="D823" s="52"/>
      <c r="E823" s="52"/>
      <c r="F823" s="52"/>
      <c r="G823" s="52"/>
      <c r="H823" s="52"/>
      <c r="I823" s="52"/>
      <c r="J823" s="52"/>
      <c r="K823" s="52"/>
      <c r="L823" s="52"/>
      <c r="M823" s="52"/>
      <c r="N823" s="52"/>
      <c r="O823" s="52"/>
      <c r="P823" s="61"/>
      <c r="Q823" s="61"/>
      <c r="R823" s="205"/>
      <c r="S823" s="52"/>
      <c r="T823" s="52"/>
      <c r="U823" s="52"/>
      <c r="V823" s="52"/>
      <c r="W823" s="52"/>
      <c r="X823" s="52"/>
      <c r="Y823" s="52"/>
      <c r="Z823" s="52"/>
      <c r="AA823" s="52"/>
      <c r="AB823" s="53"/>
    </row>
    <row r="824">
      <c r="A824" s="52"/>
      <c r="B824" s="52"/>
      <c r="C824" s="52"/>
      <c r="D824" s="52"/>
      <c r="E824" s="52"/>
      <c r="F824" s="52"/>
      <c r="G824" s="52"/>
      <c r="H824" s="52"/>
      <c r="I824" s="52"/>
      <c r="J824" s="52"/>
      <c r="K824" s="52"/>
      <c r="L824" s="52"/>
      <c r="M824" s="52"/>
      <c r="N824" s="52"/>
      <c r="O824" s="52"/>
      <c r="P824" s="61"/>
      <c r="Q824" s="61"/>
      <c r="R824" s="205"/>
      <c r="S824" s="52"/>
      <c r="T824" s="52"/>
      <c r="U824" s="52"/>
      <c r="V824" s="52"/>
      <c r="W824" s="52"/>
      <c r="X824" s="52"/>
      <c r="Y824" s="52"/>
      <c r="Z824" s="52"/>
      <c r="AA824" s="52"/>
      <c r="AB824" s="53"/>
    </row>
    <row r="825">
      <c r="A825" s="52"/>
      <c r="B825" s="52"/>
      <c r="C825" s="52"/>
      <c r="D825" s="52"/>
      <c r="E825" s="52"/>
      <c r="F825" s="52"/>
      <c r="G825" s="52"/>
      <c r="H825" s="52"/>
      <c r="I825" s="52"/>
      <c r="J825" s="52"/>
      <c r="K825" s="52"/>
      <c r="L825" s="52"/>
      <c r="M825" s="52"/>
      <c r="N825" s="52"/>
      <c r="O825" s="52"/>
      <c r="P825" s="61"/>
      <c r="Q825" s="61"/>
      <c r="R825" s="205"/>
      <c r="S825" s="52"/>
      <c r="T825" s="52"/>
      <c r="U825" s="52"/>
      <c r="V825" s="52"/>
      <c r="W825" s="52"/>
      <c r="X825" s="52"/>
      <c r="Y825" s="52"/>
      <c r="Z825" s="52"/>
      <c r="AA825" s="52"/>
      <c r="AB825" s="53"/>
    </row>
    <row r="826">
      <c r="A826" s="52"/>
      <c r="B826" s="52"/>
      <c r="C826" s="52"/>
      <c r="D826" s="52"/>
      <c r="E826" s="52"/>
      <c r="F826" s="52"/>
      <c r="G826" s="52"/>
      <c r="H826" s="52"/>
      <c r="I826" s="52"/>
      <c r="J826" s="52"/>
      <c r="K826" s="52"/>
      <c r="L826" s="52"/>
      <c r="M826" s="52"/>
      <c r="N826" s="52"/>
      <c r="O826" s="52"/>
      <c r="P826" s="61"/>
      <c r="Q826" s="61"/>
      <c r="R826" s="205"/>
      <c r="S826" s="52"/>
      <c r="T826" s="52"/>
      <c r="U826" s="52"/>
      <c r="V826" s="52"/>
      <c r="W826" s="52"/>
      <c r="X826" s="52"/>
      <c r="Y826" s="52"/>
      <c r="Z826" s="52"/>
      <c r="AA826" s="52"/>
      <c r="AB826" s="53"/>
    </row>
    <row r="827">
      <c r="A827" s="52"/>
      <c r="B827" s="52"/>
      <c r="C827" s="52"/>
      <c r="D827" s="52"/>
      <c r="E827" s="52"/>
      <c r="F827" s="52"/>
      <c r="G827" s="52"/>
      <c r="H827" s="52"/>
      <c r="I827" s="52"/>
      <c r="J827" s="52"/>
      <c r="K827" s="52"/>
      <c r="L827" s="52"/>
      <c r="M827" s="52"/>
      <c r="N827" s="52"/>
      <c r="O827" s="52"/>
      <c r="P827" s="61"/>
      <c r="Q827" s="61"/>
      <c r="R827" s="205"/>
      <c r="S827" s="52"/>
      <c r="T827" s="52"/>
      <c r="U827" s="52"/>
      <c r="V827" s="52"/>
      <c r="W827" s="52"/>
      <c r="X827" s="52"/>
      <c r="Y827" s="52"/>
      <c r="Z827" s="52"/>
      <c r="AA827" s="52"/>
      <c r="AB827" s="53"/>
    </row>
    <row r="828">
      <c r="A828" s="52"/>
      <c r="B828" s="52"/>
      <c r="C828" s="52"/>
      <c r="D828" s="52"/>
      <c r="E828" s="52"/>
      <c r="F828" s="52"/>
      <c r="G828" s="52"/>
      <c r="H828" s="52"/>
      <c r="I828" s="52"/>
      <c r="J828" s="52"/>
      <c r="K828" s="52"/>
      <c r="L828" s="52"/>
      <c r="M828" s="52"/>
      <c r="N828" s="52"/>
      <c r="O828" s="52"/>
      <c r="P828" s="61"/>
      <c r="Q828" s="61"/>
      <c r="R828" s="205"/>
      <c r="S828" s="52"/>
      <c r="T828" s="52"/>
      <c r="U828" s="52"/>
      <c r="V828" s="52"/>
      <c r="W828" s="52"/>
      <c r="X828" s="52"/>
      <c r="Y828" s="52"/>
      <c r="Z828" s="52"/>
      <c r="AA828" s="52"/>
      <c r="AB828" s="53"/>
    </row>
    <row r="829">
      <c r="A829" s="52"/>
      <c r="B829" s="52"/>
      <c r="C829" s="52"/>
      <c r="D829" s="52"/>
      <c r="E829" s="52"/>
      <c r="F829" s="52"/>
      <c r="G829" s="52"/>
      <c r="H829" s="52"/>
      <c r="I829" s="52"/>
      <c r="J829" s="52"/>
      <c r="K829" s="52"/>
      <c r="L829" s="52"/>
      <c r="M829" s="52"/>
      <c r="N829" s="52"/>
      <c r="O829" s="52"/>
      <c r="P829" s="61"/>
      <c r="Q829" s="61"/>
      <c r="R829" s="205"/>
      <c r="S829" s="52"/>
      <c r="T829" s="52"/>
      <c r="U829" s="52"/>
      <c r="V829" s="52"/>
      <c r="W829" s="52"/>
      <c r="X829" s="52"/>
      <c r="Y829" s="52"/>
      <c r="Z829" s="52"/>
      <c r="AA829" s="52"/>
      <c r="AB829" s="53"/>
    </row>
    <row r="830">
      <c r="A830" s="52"/>
      <c r="B830" s="52"/>
      <c r="C830" s="52"/>
      <c r="D830" s="52"/>
      <c r="E830" s="52"/>
      <c r="F830" s="52"/>
      <c r="G830" s="52"/>
      <c r="H830" s="52"/>
      <c r="I830" s="52"/>
      <c r="J830" s="52"/>
      <c r="K830" s="52"/>
      <c r="L830" s="52"/>
      <c r="M830" s="52"/>
      <c r="N830" s="52"/>
      <c r="O830" s="52"/>
      <c r="P830" s="61"/>
      <c r="Q830" s="61"/>
      <c r="R830" s="205"/>
      <c r="S830" s="52"/>
      <c r="T830" s="52"/>
      <c r="U830" s="52"/>
      <c r="V830" s="52"/>
      <c r="W830" s="52"/>
      <c r="X830" s="52"/>
      <c r="Y830" s="52"/>
      <c r="Z830" s="52"/>
      <c r="AA830" s="52"/>
      <c r="AB830" s="53"/>
    </row>
    <row r="831">
      <c r="A831" s="52"/>
      <c r="B831" s="52"/>
      <c r="C831" s="52"/>
      <c r="D831" s="52"/>
      <c r="E831" s="52"/>
      <c r="F831" s="52"/>
      <c r="G831" s="52"/>
      <c r="H831" s="52"/>
      <c r="I831" s="52"/>
      <c r="J831" s="52"/>
      <c r="K831" s="52"/>
      <c r="L831" s="52"/>
      <c r="M831" s="52"/>
      <c r="N831" s="52"/>
      <c r="O831" s="52"/>
      <c r="P831" s="61"/>
      <c r="Q831" s="61"/>
      <c r="R831" s="205"/>
      <c r="S831" s="52"/>
      <c r="T831" s="52"/>
      <c r="U831" s="52"/>
      <c r="V831" s="52"/>
      <c r="W831" s="52"/>
      <c r="X831" s="52"/>
      <c r="Y831" s="52"/>
      <c r="Z831" s="52"/>
      <c r="AA831" s="52"/>
      <c r="AB831" s="53"/>
    </row>
    <row r="832">
      <c r="A832" s="52"/>
      <c r="B832" s="52"/>
      <c r="C832" s="52"/>
      <c r="D832" s="52"/>
      <c r="E832" s="52"/>
      <c r="F832" s="52"/>
      <c r="G832" s="52"/>
      <c r="H832" s="52"/>
      <c r="I832" s="52"/>
      <c r="J832" s="52"/>
      <c r="K832" s="52"/>
      <c r="L832" s="52"/>
      <c r="M832" s="52"/>
      <c r="N832" s="52"/>
      <c r="O832" s="52"/>
      <c r="P832" s="61"/>
      <c r="Q832" s="61"/>
      <c r="R832" s="205"/>
      <c r="S832" s="52"/>
      <c r="T832" s="52"/>
      <c r="U832" s="52"/>
      <c r="V832" s="52"/>
      <c r="W832" s="52"/>
      <c r="X832" s="52"/>
      <c r="Y832" s="52"/>
      <c r="Z832" s="52"/>
      <c r="AA832" s="52"/>
      <c r="AB832" s="53"/>
    </row>
    <row r="833">
      <c r="A833" s="52"/>
      <c r="B833" s="52"/>
      <c r="C833" s="52"/>
      <c r="D833" s="52"/>
      <c r="E833" s="52"/>
      <c r="F833" s="52"/>
      <c r="G833" s="52"/>
      <c r="H833" s="52"/>
      <c r="I833" s="52"/>
      <c r="J833" s="52"/>
      <c r="K833" s="52"/>
      <c r="L833" s="52"/>
      <c r="M833" s="52"/>
      <c r="N833" s="52"/>
      <c r="O833" s="52"/>
      <c r="P833" s="61"/>
      <c r="Q833" s="61"/>
      <c r="R833" s="205"/>
      <c r="S833" s="52"/>
      <c r="T833" s="52"/>
      <c r="U833" s="52"/>
      <c r="V833" s="52"/>
      <c r="W833" s="52"/>
      <c r="X833" s="52"/>
      <c r="Y833" s="52"/>
      <c r="Z833" s="52"/>
      <c r="AA833" s="52"/>
      <c r="AB833" s="53"/>
    </row>
    <row r="834">
      <c r="A834" s="52"/>
      <c r="B834" s="52"/>
      <c r="C834" s="52"/>
      <c r="D834" s="52"/>
      <c r="E834" s="52"/>
      <c r="F834" s="52"/>
      <c r="G834" s="52"/>
      <c r="H834" s="52"/>
      <c r="I834" s="52"/>
      <c r="J834" s="52"/>
      <c r="K834" s="52"/>
      <c r="L834" s="52"/>
      <c r="M834" s="52"/>
      <c r="N834" s="52"/>
      <c r="O834" s="52"/>
      <c r="P834" s="61"/>
      <c r="Q834" s="61"/>
      <c r="R834" s="205"/>
      <c r="S834" s="52"/>
      <c r="T834" s="52"/>
      <c r="U834" s="52"/>
      <c r="V834" s="52"/>
      <c r="W834" s="52"/>
      <c r="X834" s="52"/>
      <c r="Y834" s="52"/>
      <c r="Z834" s="52"/>
      <c r="AA834" s="52"/>
      <c r="AB834" s="53"/>
    </row>
    <row r="835">
      <c r="A835" s="52"/>
      <c r="B835" s="52"/>
      <c r="C835" s="52"/>
      <c r="D835" s="52"/>
      <c r="E835" s="52"/>
      <c r="F835" s="52"/>
      <c r="G835" s="52"/>
      <c r="H835" s="52"/>
      <c r="I835" s="52"/>
      <c r="J835" s="52"/>
      <c r="K835" s="52"/>
      <c r="L835" s="52"/>
      <c r="M835" s="52"/>
      <c r="N835" s="52"/>
      <c r="O835" s="52"/>
      <c r="P835" s="61"/>
      <c r="Q835" s="61"/>
      <c r="R835" s="205"/>
      <c r="S835" s="52"/>
      <c r="T835" s="52"/>
      <c r="U835" s="52"/>
      <c r="V835" s="52"/>
      <c r="W835" s="52"/>
      <c r="X835" s="52"/>
      <c r="Y835" s="52"/>
      <c r="Z835" s="52"/>
      <c r="AA835" s="52"/>
      <c r="AB835" s="53"/>
    </row>
    <row r="836">
      <c r="A836" s="52"/>
      <c r="B836" s="52"/>
      <c r="C836" s="52"/>
      <c r="D836" s="52"/>
      <c r="E836" s="52"/>
      <c r="F836" s="52"/>
      <c r="G836" s="52"/>
      <c r="H836" s="52"/>
      <c r="I836" s="52"/>
      <c r="J836" s="52"/>
      <c r="K836" s="52"/>
      <c r="L836" s="52"/>
      <c r="M836" s="52"/>
      <c r="N836" s="52"/>
      <c r="O836" s="52"/>
      <c r="P836" s="61"/>
      <c r="Q836" s="61"/>
      <c r="R836" s="205"/>
      <c r="S836" s="52"/>
      <c r="T836" s="52"/>
      <c r="U836" s="52"/>
      <c r="V836" s="52"/>
      <c r="W836" s="52"/>
      <c r="X836" s="52"/>
      <c r="Y836" s="52"/>
      <c r="Z836" s="52"/>
      <c r="AA836" s="52"/>
      <c r="AB836" s="53"/>
    </row>
    <row r="837">
      <c r="A837" s="52"/>
      <c r="B837" s="52"/>
      <c r="C837" s="52"/>
      <c r="D837" s="52"/>
      <c r="E837" s="52"/>
      <c r="F837" s="52"/>
      <c r="G837" s="52"/>
      <c r="H837" s="52"/>
      <c r="I837" s="52"/>
      <c r="J837" s="52"/>
      <c r="K837" s="52"/>
      <c r="L837" s="52"/>
      <c r="M837" s="52"/>
      <c r="N837" s="52"/>
      <c r="O837" s="52"/>
      <c r="P837" s="61"/>
      <c r="Q837" s="61"/>
      <c r="R837" s="205"/>
      <c r="S837" s="52"/>
      <c r="T837" s="52"/>
      <c r="U837" s="52"/>
      <c r="V837" s="52"/>
      <c r="W837" s="52"/>
      <c r="X837" s="52"/>
      <c r="Y837" s="52"/>
      <c r="Z837" s="52"/>
      <c r="AA837" s="52"/>
      <c r="AB837" s="53"/>
    </row>
    <row r="838">
      <c r="A838" s="52"/>
      <c r="B838" s="52"/>
      <c r="C838" s="52"/>
      <c r="D838" s="52"/>
      <c r="E838" s="52"/>
      <c r="F838" s="52"/>
      <c r="G838" s="52"/>
      <c r="H838" s="52"/>
      <c r="I838" s="52"/>
      <c r="J838" s="52"/>
      <c r="K838" s="52"/>
      <c r="L838" s="52"/>
      <c r="M838" s="52"/>
      <c r="N838" s="52"/>
      <c r="O838" s="52"/>
      <c r="P838" s="61"/>
      <c r="Q838" s="61"/>
      <c r="R838" s="205"/>
      <c r="S838" s="52"/>
      <c r="T838" s="52"/>
      <c r="U838" s="52"/>
      <c r="V838" s="52"/>
      <c r="W838" s="52"/>
      <c r="X838" s="52"/>
      <c r="Y838" s="52"/>
      <c r="Z838" s="52"/>
      <c r="AA838" s="52"/>
      <c r="AB838" s="53"/>
    </row>
    <row r="839">
      <c r="A839" s="52"/>
      <c r="B839" s="52"/>
      <c r="C839" s="52"/>
      <c r="D839" s="52"/>
      <c r="E839" s="52"/>
      <c r="F839" s="52"/>
      <c r="G839" s="52"/>
      <c r="H839" s="52"/>
      <c r="I839" s="52"/>
      <c r="J839" s="52"/>
      <c r="K839" s="52"/>
      <c r="L839" s="52"/>
      <c r="M839" s="52"/>
      <c r="N839" s="52"/>
      <c r="O839" s="52"/>
      <c r="P839" s="61"/>
      <c r="Q839" s="61"/>
      <c r="R839" s="205"/>
      <c r="S839" s="52"/>
      <c r="T839" s="52"/>
      <c r="U839" s="52"/>
      <c r="V839" s="52"/>
      <c r="W839" s="52"/>
      <c r="X839" s="52"/>
      <c r="Y839" s="52"/>
      <c r="Z839" s="52"/>
      <c r="AA839" s="52"/>
      <c r="AB839" s="53"/>
    </row>
    <row r="840">
      <c r="A840" s="52"/>
      <c r="B840" s="52"/>
      <c r="C840" s="52"/>
      <c r="D840" s="52"/>
      <c r="E840" s="52"/>
      <c r="F840" s="52"/>
      <c r="G840" s="52"/>
      <c r="H840" s="52"/>
      <c r="I840" s="52"/>
      <c r="J840" s="52"/>
      <c r="K840" s="52"/>
      <c r="L840" s="52"/>
      <c r="M840" s="52"/>
      <c r="N840" s="52"/>
      <c r="O840" s="52"/>
      <c r="P840" s="61"/>
      <c r="Q840" s="61"/>
      <c r="R840" s="205"/>
      <c r="S840" s="52"/>
      <c r="T840" s="52"/>
      <c r="U840" s="52"/>
      <c r="V840" s="52"/>
      <c r="W840" s="52"/>
      <c r="X840" s="52"/>
      <c r="Y840" s="52"/>
      <c r="Z840" s="52"/>
      <c r="AA840" s="52"/>
      <c r="AB840" s="53"/>
    </row>
    <row r="841">
      <c r="A841" s="52"/>
      <c r="B841" s="52"/>
      <c r="C841" s="52"/>
      <c r="D841" s="52"/>
      <c r="E841" s="52"/>
      <c r="F841" s="52"/>
      <c r="G841" s="52"/>
      <c r="H841" s="52"/>
      <c r="I841" s="52"/>
      <c r="J841" s="52"/>
      <c r="K841" s="52"/>
      <c r="L841" s="52"/>
      <c r="M841" s="52"/>
      <c r="N841" s="52"/>
      <c r="O841" s="52"/>
      <c r="P841" s="61"/>
      <c r="Q841" s="61"/>
      <c r="R841" s="205"/>
      <c r="S841" s="52"/>
      <c r="T841" s="52"/>
      <c r="U841" s="52"/>
      <c r="V841" s="52"/>
      <c r="W841" s="52"/>
      <c r="X841" s="52"/>
      <c r="Y841" s="52"/>
      <c r="Z841" s="52"/>
      <c r="AA841" s="52"/>
      <c r="AB841" s="53"/>
    </row>
    <row r="842">
      <c r="A842" s="52"/>
      <c r="B842" s="52"/>
      <c r="C842" s="52"/>
      <c r="D842" s="52"/>
      <c r="E842" s="52"/>
      <c r="F842" s="52"/>
      <c r="G842" s="52"/>
      <c r="H842" s="52"/>
      <c r="I842" s="52"/>
      <c r="J842" s="52"/>
      <c r="K842" s="52"/>
      <c r="L842" s="52"/>
      <c r="M842" s="52"/>
      <c r="N842" s="52"/>
      <c r="O842" s="52"/>
      <c r="P842" s="61"/>
      <c r="Q842" s="61"/>
      <c r="R842" s="205"/>
      <c r="S842" s="52"/>
      <c r="T842" s="52"/>
      <c r="U842" s="52"/>
      <c r="V842" s="52"/>
      <c r="W842" s="52"/>
      <c r="X842" s="52"/>
      <c r="Y842" s="52"/>
      <c r="Z842" s="52"/>
      <c r="AA842" s="52"/>
      <c r="AB842" s="53"/>
    </row>
    <row r="843">
      <c r="A843" s="52"/>
      <c r="B843" s="52"/>
      <c r="C843" s="52"/>
      <c r="D843" s="52"/>
      <c r="E843" s="52"/>
      <c r="F843" s="52"/>
      <c r="G843" s="52"/>
      <c r="H843" s="52"/>
      <c r="I843" s="52"/>
      <c r="J843" s="52"/>
      <c r="K843" s="52"/>
      <c r="L843" s="52"/>
      <c r="M843" s="52"/>
      <c r="N843" s="52"/>
      <c r="O843" s="52"/>
      <c r="P843" s="61"/>
      <c r="Q843" s="61"/>
      <c r="R843" s="205"/>
      <c r="S843" s="52"/>
      <c r="T843" s="52"/>
      <c r="U843" s="52"/>
      <c r="V843" s="52"/>
      <c r="W843" s="52"/>
      <c r="X843" s="52"/>
      <c r="Y843" s="52"/>
      <c r="Z843" s="52"/>
      <c r="AA843" s="52"/>
      <c r="AB843" s="53"/>
    </row>
    <row r="844">
      <c r="A844" s="52"/>
      <c r="B844" s="52"/>
      <c r="C844" s="52"/>
      <c r="D844" s="52"/>
      <c r="E844" s="52"/>
      <c r="F844" s="52"/>
      <c r="G844" s="52"/>
      <c r="H844" s="52"/>
      <c r="I844" s="52"/>
      <c r="J844" s="52"/>
      <c r="K844" s="52"/>
      <c r="L844" s="52"/>
      <c r="M844" s="52"/>
      <c r="N844" s="52"/>
      <c r="O844" s="52"/>
      <c r="P844" s="61"/>
      <c r="Q844" s="61"/>
      <c r="R844" s="205"/>
      <c r="S844" s="52"/>
      <c r="T844" s="52"/>
      <c r="U844" s="52"/>
      <c r="V844" s="52"/>
      <c r="W844" s="52"/>
      <c r="X844" s="52"/>
      <c r="Y844" s="52"/>
      <c r="Z844" s="52"/>
      <c r="AA844" s="52"/>
      <c r="AB844" s="53"/>
    </row>
    <row r="845">
      <c r="A845" s="52"/>
      <c r="B845" s="52"/>
      <c r="C845" s="52"/>
      <c r="D845" s="52"/>
      <c r="E845" s="52"/>
      <c r="F845" s="52"/>
      <c r="G845" s="52"/>
      <c r="H845" s="52"/>
      <c r="I845" s="52"/>
      <c r="J845" s="52"/>
      <c r="K845" s="52"/>
      <c r="L845" s="52"/>
      <c r="M845" s="52"/>
      <c r="N845" s="52"/>
      <c r="O845" s="52"/>
      <c r="P845" s="61"/>
      <c r="Q845" s="61"/>
      <c r="R845" s="205"/>
      <c r="S845" s="52"/>
      <c r="T845" s="52"/>
      <c r="U845" s="52"/>
      <c r="V845" s="52"/>
      <c r="W845" s="52"/>
      <c r="X845" s="52"/>
      <c r="Y845" s="52"/>
      <c r="Z845" s="52"/>
      <c r="AA845" s="52"/>
      <c r="AB845" s="53"/>
    </row>
    <row r="846">
      <c r="A846" s="52"/>
      <c r="B846" s="52"/>
      <c r="C846" s="52"/>
      <c r="D846" s="52"/>
      <c r="E846" s="52"/>
      <c r="F846" s="52"/>
      <c r="G846" s="52"/>
      <c r="H846" s="52"/>
      <c r="I846" s="52"/>
      <c r="J846" s="52"/>
      <c r="K846" s="52"/>
      <c r="L846" s="52"/>
      <c r="M846" s="52"/>
      <c r="N846" s="52"/>
      <c r="O846" s="52"/>
      <c r="P846" s="61"/>
      <c r="Q846" s="61"/>
      <c r="R846" s="205"/>
      <c r="S846" s="52"/>
      <c r="T846" s="52"/>
      <c r="U846" s="52"/>
      <c r="V846" s="52"/>
      <c r="W846" s="52"/>
      <c r="X846" s="52"/>
      <c r="Y846" s="52"/>
      <c r="Z846" s="52"/>
      <c r="AA846" s="52"/>
      <c r="AB846" s="53"/>
    </row>
    <row r="847">
      <c r="A847" s="52"/>
      <c r="B847" s="52"/>
      <c r="C847" s="52"/>
      <c r="D847" s="52"/>
      <c r="E847" s="52"/>
      <c r="F847" s="52"/>
      <c r="G847" s="52"/>
      <c r="H847" s="52"/>
      <c r="I847" s="52"/>
      <c r="J847" s="52"/>
      <c r="K847" s="52"/>
      <c r="L847" s="52"/>
      <c r="M847" s="52"/>
      <c r="N847" s="52"/>
      <c r="O847" s="52"/>
      <c r="P847" s="61"/>
      <c r="Q847" s="61"/>
      <c r="R847" s="205"/>
      <c r="S847" s="52"/>
      <c r="T847" s="52"/>
      <c r="U847" s="52"/>
      <c r="V847" s="52"/>
      <c r="W847" s="52"/>
      <c r="X847" s="52"/>
      <c r="Y847" s="52"/>
      <c r="Z847" s="52"/>
      <c r="AA847" s="52"/>
      <c r="AB847" s="53"/>
    </row>
    <row r="848">
      <c r="A848" s="52"/>
      <c r="B848" s="52"/>
      <c r="C848" s="52"/>
      <c r="D848" s="52"/>
      <c r="E848" s="52"/>
      <c r="F848" s="52"/>
      <c r="G848" s="52"/>
      <c r="H848" s="52"/>
      <c r="I848" s="52"/>
      <c r="J848" s="52"/>
      <c r="K848" s="52"/>
      <c r="L848" s="52"/>
      <c r="M848" s="52"/>
      <c r="N848" s="52"/>
      <c r="O848" s="52"/>
      <c r="P848" s="61"/>
      <c r="Q848" s="61"/>
      <c r="R848" s="205"/>
      <c r="S848" s="52"/>
      <c r="T848" s="52"/>
      <c r="U848" s="52"/>
      <c r="V848" s="52"/>
      <c r="W848" s="52"/>
      <c r="X848" s="52"/>
      <c r="Y848" s="52"/>
      <c r="Z848" s="52"/>
      <c r="AA848" s="52"/>
      <c r="AB848" s="53"/>
    </row>
    <row r="849">
      <c r="A849" s="52"/>
      <c r="B849" s="52"/>
      <c r="C849" s="52"/>
      <c r="D849" s="52"/>
      <c r="E849" s="52"/>
      <c r="F849" s="52"/>
      <c r="G849" s="52"/>
      <c r="H849" s="52"/>
      <c r="I849" s="52"/>
      <c r="J849" s="52"/>
      <c r="K849" s="52"/>
      <c r="L849" s="52"/>
      <c r="M849" s="52"/>
      <c r="N849" s="52"/>
      <c r="O849" s="52"/>
      <c r="P849" s="61"/>
      <c r="Q849" s="61"/>
      <c r="R849" s="205"/>
      <c r="S849" s="52"/>
      <c r="T849" s="52"/>
      <c r="U849" s="52"/>
      <c r="V849" s="52"/>
      <c r="W849" s="52"/>
      <c r="X849" s="52"/>
      <c r="Y849" s="52"/>
      <c r="Z849" s="52"/>
      <c r="AA849" s="52"/>
      <c r="AB849" s="53"/>
    </row>
    <row r="850">
      <c r="A850" s="52"/>
      <c r="B850" s="52"/>
      <c r="C850" s="52"/>
      <c r="D850" s="52"/>
      <c r="E850" s="52"/>
      <c r="F850" s="52"/>
      <c r="G850" s="52"/>
      <c r="H850" s="52"/>
      <c r="I850" s="52"/>
      <c r="J850" s="52"/>
      <c r="K850" s="52"/>
      <c r="L850" s="52"/>
      <c r="M850" s="52"/>
      <c r="N850" s="52"/>
      <c r="O850" s="52"/>
      <c r="P850" s="61"/>
      <c r="Q850" s="61"/>
      <c r="R850" s="205"/>
      <c r="S850" s="52"/>
      <c r="T850" s="52"/>
      <c r="U850" s="52"/>
      <c r="V850" s="52"/>
      <c r="W850" s="52"/>
      <c r="X850" s="52"/>
      <c r="Y850" s="52"/>
      <c r="Z850" s="52"/>
      <c r="AA850" s="52"/>
      <c r="AB850" s="53"/>
    </row>
    <row r="851">
      <c r="A851" s="52"/>
      <c r="B851" s="52"/>
      <c r="C851" s="52"/>
      <c r="D851" s="52"/>
      <c r="E851" s="52"/>
      <c r="F851" s="52"/>
      <c r="G851" s="52"/>
      <c r="H851" s="52"/>
      <c r="I851" s="52"/>
      <c r="J851" s="52"/>
      <c r="K851" s="52"/>
      <c r="L851" s="52"/>
      <c r="M851" s="52"/>
      <c r="N851" s="52"/>
      <c r="O851" s="52"/>
      <c r="P851" s="61"/>
      <c r="Q851" s="61"/>
      <c r="R851" s="205"/>
      <c r="S851" s="52"/>
      <c r="T851" s="52"/>
      <c r="U851" s="52"/>
      <c r="V851" s="52"/>
      <c r="W851" s="52"/>
      <c r="X851" s="52"/>
      <c r="Y851" s="52"/>
      <c r="Z851" s="52"/>
      <c r="AA851" s="52"/>
      <c r="AB851" s="53"/>
    </row>
    <row r="852">
      <c r="A852" s="52"/>
      <c r="B852" s="52"/>
      <c r="C852" s="52"/>
      <c r="D852" s="52"/>
      <c r="E852" s="52"/>
      <c r="F852" s="52"/>
      <c r="G852" s="52"/>
      <c r="H852" s="52"/>
      <c r="I852" s="52"/>
      <c r="J852" s="52"/>
      <c r="K852" s="52"/>
      <c r="L852" s="52"/>
      <c r="M852" s="52"/>
      <c r="N852" s="52"/>
      <c r="O852" s="52"/>
      <c r="P852" s="61"/>
      <c r="Q852" s="61"/>
      <c r="R852" s="205"/>
      <c r="S852" s="52"/>
      <c r="T852" s="52"/>
      <c r="U852" s="52"/>
      <c r="V852" s="52"/>
      <c r="W852" s="52"/>
      <c r="X852" s="52"/>
      <c r="Y852" s="52"/>
      <c r="Z852" s="52"/>
      <c r="AA852" s="52"/>
      <c r="AB852" s="53"/>
    </row>
    <row r="853">
      <c r="A853" s="52"/>
      <c r="B853" s="52"/>
      <c r="C853" s="52"/>
      <c r="D853" s="52"/>
      <c r="E853" s="52"/>
      <c r="F853" s="52"/>
      <c r="G853" s="52"/>
      <c r="H853" s="52"/>
      <c r="I853" s="52"/>
      <c r="J853" s="52"/>
      <c r="K853" s="52"/>
      <c r="L853" s="52"/>
      <c r="M853" s="52"/>
      <c r="N853" s="52"/>
      <c r="O853" s="52"/>
      <c r="P853" s="61"/>
      <c r="Q853" s="61"/>
      <c r="R853" s="205"/>
      <c r="S853" s="52"/>
      <c r="T853" s="52"/>
      <c r="U853" s="52"/>
      <c r="V853" s="52"/>
      <c r="W853" s="52"/>
      <c r="X853" s="52"/>
      <c r="Y853" s="52"/>
      <c r="Z853" s="52"/>
      <c r="AA853" s="52"/>
      <c r="AB853" s="53"/>
    </row>
    <row r="854">
      <c r="A854" s="52"/>
      <c r="B854" s="52"/>
      <c r="C854" s="52"/>
      <c r="D854" s="52"/>
      <c r="E854" s="52"/>
      <c r="F854" s="52"/>
      <c r="G854" s="52"/>
      <c r="H854" s="52"/>
      <c r="I854" s="52"/>
      <c r="J854" s="52"/>
      <c r="K854" s="52"/>
      <c r="L854" s="52"/>
      <c r="M854" s="52"/>
      <c r="N854" s="52"/>
      <c r="O854" s="52"/>
      <c r="P854" s="61"/>
      <c r="Q854" s="61"/>
      <c r="R854" s="205"/>
      <c r="S854" s="52"/>
      <c r="T854" s="52"/>
      <c r="U854" s="52"/>
      <c r="V854" s="52"/>
      <c r="W854" s="52"/>
      <c r="X854" s="52"/>
      <c r="Y854" s="52"/>
      <c r="Z854" s="52"/>
      <c r="AA854" s="52"/>
      <c r="AB854" s="53"/>
    </row>
    <row r="855">
      <c r="A855" s="52"/>
      <c r="B855" s="52"/>
      <c r="C855" s="52"/>
      <c r="D855" s="52"/>
      <c r="E855" s="52"/>
      <c r="F855" s="52"/>
      <c r="G855" s="52"/>
      <c r="H855" s="52"/>
      <c r="I855" s="52"/>
      <c r="J855" s="52"/>
      <c r="K855" s="52"/>
      <c r="L855" s="52"/>
      <c r="M855" s="52"/>
      <c r="N855" s="52"/>
      <c r="O855" s="52"/>
      <c r="P855" s="61"/>
      <c r="Q855" s="61"/>
      <c r="R855" s="205"/>
      <c r="S855" s="52"/>
      <c r="T855" s="52"/>
      <c r="U855" s="52"/>
      <c r="V855" s="52"/>
      <c r="W855" s="52"/>
      <c r="X855" s="52"/>
      <c r="Y855" s="52"/>
      <c r="Z855" s="52"/>
      <c r="AA855" s="52"/>
      <c r="AB855" s="53"/>
    </row>
    <row r="856">
      <c r="A856" s="52"/>
      <c r="B856" s="52"/>
      <c r="C856" s="52"/>
      <c r="D856" s="52"/>
      <c r="E856" s="52"/>
      <c r="F856" s="52"/>
      <c r="G856" s="52"/>
      <c r="H856" s="52"/>
      <c r="I856" s="52"/>
      <c r="J856" s="52"/>
      <c r="K856" s="52"/>
      <c r="L856" s="52"/>
      <c r="M856" s="52"/>
      <c r="N856" s="52"/>
      <c r="O856" s="52"/>
      <c r="P856" s="61"/>
      <c r="Q856" s="61"/>
      <c r="R856" s="205"/>
      <c r="S856" s="52"/>
      <c r="T856" s="52"/>
      <c r="U856" s="52"/>
      <c r="V856" s="52"/>
      <c r="W856" s="52"/>
      <c r="X856" s="52"/>
      <c r="Y856" s="52"/>
      <c r="Z856" s="52"/>
      <c r="AA856" s="52"/>
      <c r="AB856" s="53"/>
    </row>
    <row r="857">
      <c r="A857" s="52"/>
      <c r="B857" s="52"/>
      <c r="C857" s="52"/>
      <c r="D857" s="52"/>
      <c r="E857" s="52"/>
      <c r="F857" s="52"/>
      <c r="G857" s="52"/>
      <c r="H857" s="52"/>
      <c r="I857" s="52"/>
      <c r="J857" s="52"/>
      <c r="K857" s="52"/>
      <c r="L857" s="52"/>
      <c r="M857" s="52"/>
      <c r="N857" s="52"/>
      <c r="O857" s="52"/>
      <c r="P857" s="61"/>
      <c r="Q857" s="61"/>
      <c r="R857" s="205"/>
      <c r="S857" s="52"/>
      <c r="T857" s="52"/>
      <c r="U857" s="52"/>
      <c r="V857" s="52"/>
      <c r="W857" s="52"/>
      <c r="X857" s="52"/>
      <c r="Y857" s="52"/>
      <c r="Z857" s="52"/>
      <c r="AA857" s="52"/>
      <c r="AB857" s="53"/>
    </row>
    <row r="858">
      <c r="A858" s="52"/>
      <c r="B858" s="52"/>
      <c r="C858" s="52"/>
      <c r="D858" s="52"/>
      <c r="E858" s="52"/>
      <c r="F858" s="52"/>
      <c r="G858" s="52"/>
      <c r="H858" s="52"/>
      <c r="I858" s="52"/>
      <c r="J858" s="52"/>
      <c r="K858" s="52"/>
      <c r="L858" s="52"/>
      <c r="M858" s="52"/>
      <c r="N858" s="52"/>
      <c r="O858" s="52"/>
      <c r="P858" s="61"/>
      <c r="Q858" s="61"/>
      <c r="R858" s="205"/>
      <c r="S858" s="52"/>
      <c r="T858" s="52"/>
      <c r="U858" s="52"/>
      <c r="V858" s="52"/>
      <c r="W858" s="52"/>
      <c r="X858" s="52"/>
      <c r="Y858" s="52"/>
      <c r="Z858" s="52"/>
      <c r="AA858" s="52"/>
      <c r="AB858" s="53"/>
    </row>
    <row r="859">
      <c r="A859" s="52"/>
      <c r="B859" s="52"/>
      <c r="C859" s="52"/>
      <c r="D859" s="52"/>
      <c r="E859" s="52"/>
      <c r="F859" s="52"/>
      <c r="G859" s="52"/>
      <c r="H859" s="52"/>
      <c r="I859" s="52"/>
      <c r="J859" s="52"/>
      <c r="K859" s="52"/>
      <c r="L859" s="52"/>
      <c r="M859" s="52"/>
      <c r="N859" s="52"/>
      <c r="O859" s="52"/>
      <c r="P859" s="61"/>
      <c r="Q859" s="61"/>
      <c r="R859" s="205"/>
      <c r="S859" s="52"/>
      <c r="T859" s="52"/>
      <c r="U859" s="52"/>
      <c r="V859" s="52"/>
      <c r="W859" s="52"/>
      <c r="X859" s="52"/>
      <c r="Y859" s="52"/>
      <c r="Z859" s="52"/>
      <c r="AA859" s="52"/>
      <c r="AB859" s="53"/>
    </row>
    <row r="860">
      <c r="A860" s="52"/>
      <c r="B860" s="52"/>
      <c r="C860" s="52"/>
      <c r="D860" s="52"/>
      <c r="E860" s="52"/>
      <c r="F860" s="52"/>
      <c r="G860" s="52"/>
      <c r="H860" s="52"/>
      <c r="I860" s="52"/>
      <c r="J860" s="52"/>
      <c r="K860" s="52"/>
      <c r="L860" s="52"/>
      <c r="M860" s="52"/>
      <c r="N860" s="52"/>
      <c r="O860" s="52"/>
      <c r="P860" s="61"/>
      <c r="Q860" s="61"/>
      <c r="R860" s="205"/>
      <c r="S860" s="52"/>
      <c r="T860" s="52"/>
      <c r="U860" s="52"/>
      <c r="V860" s="52"/>
      <c r="W860" s="52"/>
      <c r="X860" s="52"/>
      <c r="Y860" s="52"/>
      <c r="Z860" s="52"/>
      <c r="AA860" s="52"/>
      <c r="AB860" s="53"/>
    </row>
    <row r="861">
      <c r="A861" s="52"/>
      <c r="B861" s="52"/>
      <c r="C861" s="52"/>
      <c r="D861" s="52"/>
      <c r="E861" s="52"/>
      <c r="F861" s="52"/>
      <c r="G861" s="52"/>
      <c r="H861" s="52"/>
      <c r="I861" s="52"/>
      <c r="J861" s="52"/>
      <c r="K861" s="52"/>
      <c r="L861" s="52"/>
      <c r="M861" s="52"/>
      <c r="N861" s="52"/>
      <c r="O861" s="52"/>
      <c r="P861" s="61"/>
      <c r="Q861" s="61"/>
      <c r="R861" s="205"/>
      <c r="S861" s="52"/>
      <c r="T861" s="52"/>
      <c r="U861" s="52"/>
      <c r="V861" s="52"/>
      <c r="W861" s="52"/>
      <c r="X861" s="52"/>
      <c r="Y861" s="52"/>
      <c r="Z861" s="52"/>
      <c r="AA861" s="52"/>
      <c r="AB861" s="53"/>
    </row>
    <row r="862">
      <c r="A862" s="52"/>
      <c r="B862" s="52"/>
      <c r="C862" s="52"/>
      <c r="D862" s="52"/>
      <c r="E862" s="52"/>
      <c r="F862" s="52"/>
      <c r="G862" s="52"/>
      <c r="H862" s="52"/>
      <c r="I862" s="52"/>
      <c r="J862" s="52"/>
      <c r="K862" s="52"/>
      <c r="L862" s="52"/>
      <c r="M862" s="52"/>
      <c r="N862" s="52"/>
      <c r="O862" s="52"/>
      <c r="P862" s="61"/>
      <c r="Q862" s="61"/>
      <c r="R862" s="205"/>
      <c r="S862" s="52"/>
      <c r="T862" s="52"/>
      <c r="U862" s="52"/>
      <c r="V862" s="52"/>
      <c r="W862" s="52"/>
      <c r="X862" s="52"/>
      <c r="Y862" s="52"/>
      <c r="Z862" s="52"/>
      <c r="AA862" s="52"/>
      <c r="AB862" s="53"/>
    </row>
    <row r="863">
      <c r="A863" s="52"/>
      <c r="B863" s="52"/>
      <c r="C863" s="52"/>
      <c r="D863" s="52"/>
      <c r="E863" s="52"/>
      <c r="F863" s="52"/>
      <c r="G863" s="52"/>
      <c r="H863" s="52"/>
      <c r="I863" s="52"/>
      <c r="J863" s="52"/>
      <c r="K863" s="52"/>
      <c r="L863" s="52"/>
      <c r="M863" s="52"/>
      <c r="N863" s="52"/>
      <c r="O863" s="52"/>
      <c r="P863" s="61"/>
      <c r="Q863" s="61"/>
      <c r="R863" s="205"/>
      <c r="S863" s="52"/>
      <c r="T863" s="52"/>
      <c r="U863" s="52"/>
      <c r="V863" s="52"/>
      <c r="W863" s="52"/>
      <c r="X863" s="52"/>
      <c r="Y863" s="52"/>
      <c r="Z863" s="52"/>
      <c r="AA863" s="52"/>
      <c r="AB863" s="53"/>
    </row>
    <row r="864">
      <c r="A864" s="52"/>
      <c r="B864" s="52"/>
      <c r="C864" s="52"/>
      <c r="D864" s="52"/>
      <c r="E864" s="52"/>
      <c r="F864" s="52"/>
      <c r="G864" s="52"/>
      <c r="H864" s="52"/>
      <c r="I864" s="52"/>
      <c r="J864" s="52"/>
      <c r="K864" s="52"/>
      <c r="L864" s="52"/>
      <c r="M864" s="52"/>
      <c r="N864" s="52"/>
      <c r="O864" s="52"/>
      <c r="P864" s="61"/>
      <c r="Q864" s="61"/>
      <c r="R864" s="205"/>
      <c r="S864" s="52"/>
      <c r="T864" s="52"/>
      <c r="U864" s="52"/>
      <c r="V864" s="52"/>
      <c r="W864" s="52"/>
      <c r="X864" s="52"/>
      <c r="Y864" s="52"/>
      <c r="Z864" s="52"/>
      <c r="AA864" s="52"/>
      <c r="AB864" s="53"/>
    </row>
    <row r="865">
      <c r="A865" s="52"/>
      <c r="B865" s="52"/>
      <c r="C865" s="52"/>
      <c r="D865" s="52"/>
      <c r="E865" s="52"/>
      <c r="F865" s="52"/>
      <c r="G865" s="52"/>
      <c r="H865" s="52"/>
      <c r="I865" s="52"/>
      <c r="J865" s="52"/>
      <c r="K865" s="52"/>
      <c r="L865" s="52"/>
      <c r="M865" s="52"/>
      <c r="N865" s="52"/>
      <c r="O865" s="52"/>
      <c r="P865" s="61"/>
      <c r="Q865" s="61"/>
      <c r="R865" s="205"/>
      <c r="S865" s="52"/>
      <c r="T865" s="52"/>
      <c r="U865" s="52"/>
      <c r="V865" s="52"/>
      <c r="W865" s="52"/>
      <c r="X865" s="52"/>
      <c r="Y865" s="52"/>
      <c r="Z865" s="52"/>
      <c r="AA865" s="52"/>
      <c r="AB865" s="53"/>
    </row>
    <row r="866">
      <c r="A866" s="52"/>
      <c r="B866" s="52"/>
      <c r="C866" s="52"/>
      <c r="D866" s="52"/>
      <c r="E866" s="52"/>
      <c r="F866" s="52"/>
      <c r="G866" s="52"/>
      <c r="H866" s="52"/>
      <c r="I866" s="52"/>
      <c r="J866" s="52"/>
      <c r="K866" s="52"/>
      <c r="L866" s="52"/>
      <c r="M866" s="52"/>
      <c r="N866" s="52"/>
      <c r="O866" s="52"/>
      <c r="P866" s="61"/>
      <c r="Q866" s="61"/>
      <c r="R866" s="205"/>
      <c r="S866" s="52"/>
      <c r="T866" s="52"/>
      <c r="U866" s="52"/>
      <c r="V866" s="52"/>
      <c r="W866" s="52"/>
      <c r="X866" s="52"/>
      <c r="Y866" s="52"/>
      <c r="Z866" s="52"/>
      <c r="AA866" s="52"/>
      <c r="AB866" s="53"/>
    </row>
    <row r="867">
      <c r="A867" s="52"/>
      <c r="B867" s="52"/>
      <c r="C867" s="52"/>
      <c r="D867" s="52"/>
      <c r="E867" s="52"/>
      <c r="F867" s="52"/>
      <c r="G867" s="52"/>
      <c r="H867" s="52"/>
      <c r="I867" s="52"/>
      <c r="J867" s="52"/>
      <c r="K867" s="52"/>
      <c r="L867" s="52"/>
      <c r="M867" s="52"/>
      <c r="N867" s="52"/>
      <c r="O867" s="52"/>
      <c r="P867" s="61"/>
      <c r="Q867" s="61"/>
      <c r="R867" s="205"/>
      <c r="S867" s="52"/>
      <c r="T867" s="52"/>
      <c r="U867" s="52"/>
      <c r="V867" s="52"/>
      <c r="W867" s="52"/>
      <c r="X867" s="52"/>
      <c r="Y867" s="52"/>
      <c r="Z867" s="52"/>
      <c r="AA867" s="52"/>
      <c r="AB867" s="53"/>
    </row>
    <row r="868">
      <c r="A868" s="52"/>
      <c r="B868" s="52"/>
      <c r="C868" s="52"/>
      <c r="D868" s="52"/>
      <c r="E868" s="52"/>
      <c r="F868" s="52"/>
      <c r="G868" s="52"/>
      <c r="H868" s="52"/>
      <c r="I868" s="52"/>
      <c r="J868" s="52"/>
      <c r="K868" s="52"/>
      <c r="L868" s="52"/>
      <c r="M868" s="52"/>
      <c r="N868" s="52"/>
      <c r="O868" s="52"/>
      <c r="P868" s="61"/>
      <c r="Q868" s="61"/>
      <c r="R868" s="205"/>
      <c r="S868" s="52"/>
      <c r="T868" s="52"/>
      <c r="U868" s="52"/>
      <c r="V868" s="52"/>
      <c r="W868" s="52"/>
      <c r="X868" s="52"/>
      <c r="Y868" s="52"/>
      <c r="Z868" s="52"/>
      <c r="AA868" s="52"/>
      <c r="AB868" s="53"/>
    </row>
    <row r="869">
      <c r="A869" s="52"/>
      <c r="B869" s="52"/>
      <c r="C869" s="52"/>
      <c r="D869" s="52"/>
      <c r="E869" s="52"/>
      <c r="F869" s="52"/>
      <c r="G869" s="52"/>
      <c r="H869" s="52"/>
      <c r="I869" s="52"/>
      <c r="J869" s="52"/>
      <c r="K869" s="52"/>
      <c r="L869" s="52"/>
      <c r="M869" s="52"/>
      <c r="N869" s="52"/>
      <c r="O869" s="52"/>
      <c r="P869" s="61"/>
      <c r="Q869" s="61"/>
      <c r="R869" s="205"/>
      <c r="S869" s="52"/>
      <c r="T869" s="52"/>
      <c r="U869" s="52"/>
      <c r="V869" s="52"/>
      <c r="W869" s="52"/>
      <c r="X869" s="52"/>
      <c r="Y869" s="52"/>
      <c r="Z869" s="52"/>
      <c r="AA869" s="52"/>
      <c r="AB869" s="53"/>
    </row>
    <row r="870">
      <c r="A870" s="52"/>
      <c r="B870" s="52"/>
      <c r="C870" s="52"/>
      <c r="D870" s="52"/>
      <c r="E870" s="52"/>
      <c r="F870" s="52"/>
      <c r="G870" s="52"/>
      <c r="H870" s="52"/>
      <c r="I870" s="52"/>
      <c r="J870" s="52"/>
      <c r="K870" s="52"/>
      <c r="L870" s="52"/>
      <c r="M870" s="52"/>
      <c r="N870" s="52"/>
      <c r="O870" s="52"/>
      <c r="P870" s="61"/>
      <c r="Q870" s="61"/>
      <c r="R870" s="205"/>
      <c r="S870" s="52"/>
      <c r="T870" s="52"/>
      <c r="U870" s="52"/>
      <c r="V870" s="52"/>
      <c r="W870" s="52"/>
      <c r="X870" s="52"/>
      <c r="Y870" s="52"/>
      <c r="Z870" s="52"/>
      <c r="AA870" s="52"/>
      <c r="AB870" s="53"/>
    </row>
    <row r="871">
      <c r="A871" s="52"/>
      <c r="B871" s="52"/>
      <c r="C871" s="52"/>
      <c r="D871" s="52"/>
      <c r="E871" s="52"/>
      <c r="F871" s="52"/>
      <c r="G871" s="52"/>
      <c r="H871" s="52"/>
      <c r="I871" s="52"/>
      <c r="J871" s="52"/>
      <c r="K871" s="52"/>
      <c r="L871" s="52"/>
      <c r="M871" s="52"/>
      <c r="N871" s="52"/>
      <c r="O871" s="52"/>
      <c r="P871" s="61"/>
      <c r="Q871" s="61"/>
      <c r="R871" s="205"/>
      <c r="S871" s="52"/>
      <c r="T871" s="52"/>
      <c r="U871" s="52"/>
      <c r="V871" s="52"/>
      <c r="W871" s="52"/>
      <c r="X871" s="52"/>
      <c r="Y871" s="52"/>
      <c r="Z871" s="52"/>
      <c r="AA871" s="52"/>
      <c r="AB871" s="53"/>
    </row>
    <row r="872">
      <c r="A872" s="52"/>
      <c r="B872" s="52"/>
      <c r="C872" s="52"/>
      <c r="D872" s="52"/>
      <c r="E872" s="52"/>
      <c r="F872" s="52"/>
      <c r="G872" s="52"/>
      <c r="H872" s="52"/>
      <c r="I872" s="52"/>
      <c r="J872" s="52"/>
      <c r="K872" s="52"/>
      <c r="L872" s="52"/>
      <c r="M872" s="52"/>
      <c r="N872" s="52"/>
      <c r="O872" s="52"/>
      <c r="P872" s="61"/>
      <c r="Q872" s="61"/>
      <c r="R872" s="205"/>
      <c r="S872" s="52"/>
      <c r="T872" s="52"/>
      <c r="U872" s="52"/>
      <c r="V872" s="52"/>
      <c r="W872" s="52"/>
      <c r="X872" s="52"/>
      <c r="Y872" s="52"/>
      <c r="Z872" s="52"/>
      <c r="AA872" s="52"/>
      <c r="AB872" s="53"/>
    </row>
    <row r="873">
      <c r="A873" s="52"/>
      <c r="B873" s="52"/>
      <c r="C873" s="52"/>
      <c r="D873" s="52"/>
      <c r="E873" s="52"/>
      <c r="F873" s="52"/>
      <c r="G873" s="52"/>
      <c r="H873" s="52"/>
      <c r="I873" s="52"/>
      <c r="J873" s="52"/>
      <c r="K873" s="52"/>
      <c r="L873" s="52"/>
      <c r="M873" s="52"/>
      <c r="N873" s="52"/>
      <c r="O873" s="52"/>
      <c r="P873" s="61"/>
      <c r="Q873" s="61"/>
      <c r="R873" s="205"/>
      <c r="S873" s="52"/>
      <c r="T873" s="52"/>
      <c r="U873" s="52"/>
      <c r="V873" s="52"/>
      <c r="W873" s="52"/>
      <c r="X873" s="52"/>
      <c r="Y873" s="52"/>
      <c r="Z873" s="52"/>
      <c r="AA873" s="52"/>
      <c r="AB873" s="53"/>
    </row>
    <row r="874">
      <c r="A874" s="52"/>
      <c r="B874" s="52"/>
      <c r="C874" s="52"/>
      <c r="D874" s="52"/>
      <c r="E874" s="52"/>
      <c r="F874" s="52"/>
      <c r="G874" s="52"/>
      <c r="H874" s="52"/>
      <c r="I874" s="52"/>
      <c r="J874" s="52"/>
      <c r="K874" s="52"/>
      <c r="L874" s="52"/>
      <c r="M874" s="52"/>
      <c r="N874" s="52"/>
      <c r="O874" s="52"/>
      <c r="P874" s="61"/>
      <c r="Q874" s="61"/>
      <c r="R874" s="205"/>
      <c r="S874" s="52"/>
      <c r="T874" s="52"/>
      <c r="U874" s="52"/>
      <c r="V874" s="52"/>
      <c r="W874" s="52"/>
      <c r="X874" s="52"/>
      <c r="Y874" s="52"/>
      <c r="Z874" s="52"/>
      <c r="AA874" s="52"/>
      <c r="AB874" s="53"/>
    </row>
    <row r="875">
      <c r="A875" s="52"/>
      <c r="B875" s="52"/>
      <c r="C875" s="52"/>
      <c r="D875" s="52"/>
      <c r="E875" s="52"/>
      <c r="F875" s="52"/>
      <c r="G875" s="52"/>
      <c r="H875" s="52"/>
      <c r="I875" s="52"/>
      <c r="J875" s="52"/>
      <c r="K875" s="52"/>
      <c r="L875" s="52"/>
      <c r="M875" s="52"/>
      <c r="N875" s="52"/>
      <c r="O875" s="52"/>
      <c r="P875" s="61"/>
      <c r="Q875" s="61"/>
      <c r="R875" s="205"/>
      <c r="S875" s="52"/>
      <c r="T875" s="52"/>
      <c r="U875" s="52"/>
      <c r="V875" s="52"/>
      <c r="W875" s="52"/>
      <c r="X875" s="52"/>
      <c r="Y875" s="52"/>
      <c r="Z875" s="52"/>
      <c r="AA875" s="52"/>
      <c r="AB875" s="53"/>
    </row>
    <row r="876">
      <c r="A876" s="52"/>
      <c r="B876" s="52"/>
      <c r="C876" s="52"/>
      <c r="D876" s="52"/>
      <c r="E876" s="52"/>
      <c r="F876" s="52"/>
      <c r="G876" s="52"/>
      <c r="H876" s="52"/>
      <c r="I876" s="52"/>
      <c r="J876" s="52"/>
      <c r="K876" s="52"/>
      <c r="L876" s="52"/>
      <c r="M876" s="52"/>
      <c r="N876" s="52"/>
      <c r="O876" s="52"/>
      <c r="P876" s="61"/>
      <c r="Q876" s="61"/>
      <c r="R876" s="205"/>
      <c r="S876" s="52"/>
      <c r="T876" s="52"/>
      <c r="U876" s="52"/>
      <c r="V876" s="52"/>
      <c r="W876" s="52"/>
      <c r="X876" s="52"/>
      <c r="Y876" s="52"/>
      <c r="Z876" s="52"/>
      <c r="AA876" s="52"/>
      <c r="AB876" s="53"/>
    </row>
    <row r="877">
      <c r="A877" s="52"/>
      <c r="B877" s="52"/>
      <c r="C877" s="52"/>
      <c r="D877" s="52"/>
      <c r="E877" s="52"/>
      <c r="F877" s="52"/>
      <c r="G877" s="52"/>
      <c r="H877" s="52"/>
      <c r="I877" s="52"/>
      <c r="J877" s="52"/>
      <c r="K877" s="52"/>
      <c r="L877" s="52"/>
      <c r="M877" s="52"/>
      <c r="N877" s="52"/>
      <c r="O877" s="52"/>
      <c r="P877" s="61"/>
      <c r="Q877" s="61"/>
      <c r="R877" s="205"/>
      <c r="S877" s="52"/>
      <c r="T877" s="52"/>
      <c r="U877" s="52"/>
      <c r="V877" s="52"/>
      <c r="W877" s="52"/>
      <c r="X877" s="52"/>
      <c r="Y877" s="52"/>
      <c r="Z877" s="52"/>
      <c r="AA877" s="52"/>
      <c r="AB877" s="53"/>
    </row>
    <row r="878">
      <c r="A878" s="52"/>
      <c r="B878" s="52"/>
      <c r="C878" s="52"/>
      <c r="D878" s="52"/>
      <c r="E878" s="52"/>
      <c r="F878" s="52"/>
      <c r="G878" s="52"/>
      <c r="H878" s="52"/>
      <c r="I878" s="52"/>
      <c r="J878" s="52"/>
      <c r="K878" s="52"/>
      <c r="L878" s="52"/>
      <c r="M878" s="52"/>
      <c r="N878" s="52"/>
      <c r="O878" s="52"/>
      <c r="P878" s="61"/>
      <c r="Q878" s="61"/>
      <c r="R878" s="205"/>
      <c r="S878" s="52"/>
      <c r="T878" s="52"/>
      <c r="U878" s="52"/>
      <c r="V878" s="52"/>
      <c r="W878" s="52"/>
      <c r="X878" s="52"/>
      <c r="Y878" s="52"/>
      <c r="Z878" s="52"/>
      <c r="AA878" s="52"/>
      <c r="AB878" s="53"/>
    </row>
    <row r="879">
      <c r="A879" s="52"/>
      <c r="B879" s="52"/>
      <c r="C879" s="52"/>
      <c r="D879" s="52"/>
      <c r="E879" s="52"/>
      <c r="F879" s="52"/>
      <c r="G879" s="52"/>
      <c r="H879" s="52"/>
      <c r="I879" s="52"/>
      <c r="J879" s="52"/>
      <c r="K879" s="52"/>
      <c r="L879" s="52"/>
      <c r="M879" s="52"/>
      <c r="N879" s="52"/>
      <c r="O879" s="52"/>
      <c r="P879" s="61"/>
      <c r="Q879" s="61"/>
      <c r="R879" s="205"/>
      <c r="S879" s="52"/>
      <c r="T879" s="52"/>
      <c r="U879" s="52"/>
      <c r="V879" s="52"/>
      <c r="W879" s="52"/>
      <c r="X879" s="52"/>
      <c r="Y879" s="52"/>
      <c r="Z879" s="52"/>
      <c r="AA879" s="52"/>
      <c r="AB879" s="53"/>
    </row>
    <row r="880">
      <c r="A880" s="52"/>
      <c r="B880" s="52"/>
      <c r="C880" s="52"/>
      <c r="D880" s="52"/>
      <c r="E880" s="52"/>
      <c r="F880" s="52"/>
      <c r="G880" s="52"/>
      <c r="H880" s="52"/>
      <c r="I880" s="52"/>
      <c r="J880" s="52"/>
      <c r="K880" s="52"/>
      <c r="L880" s="52"/>
      <c r="M880" s="52"/>
      <c r="N880" s="52"/>
      <c r="O880" s="52"/>
      <c r="P880" s="61"/>
      <c r="Q880" s="61"/>
      <c r="R880" s="205"/>
      <c r="S880" s="52"/>
      <c r="T880" s="52"/>
      <c r="U880" s="52"/>
      <c r="V880" s="52"/>
      <c r="W880" s="52"/>
      <c r="X880" s="52"/>
      <c r="Y880" s="52"/>
      <c r="Z880" s="52"/>
      <c r="AA880" s="52"/>
      <c r="AB880" s="53"/>
    </row>
    <row r="881">
      <c r="A881" s="52"/>
      <c r="B881" s="52"/>
      <c r="C881" s="52"/>
      <c r="D881" s="52"/>
      <c r="E881" s="52"/>
      <c r="F881" s="52"/>
      <c r="G881" s="52"/>
      <c r="H881" s="52"/>
      <c r="I881" s="52"/>
      <c r="J881" s="52"/>
      <c r="K881" s="52"/>
      <c r="L881" s="52"/>
      <c r="M881" s="52"/>
      <c r="N881" s="52"/>
      <c r="O881" s="52"/>
      <c r="P881" s="61"/>
      <c r="Q881" s="61"/>
      <c r="R881" s="205"/>
      <c r="S881" s="52"/>
      <c r="T881" s="52"/>
      <c r="U881" s="52"/>
      <c r="V881" s="52"/>
      <c r="W881" s="52"/>
      <c r="X881" s="52"/>
      <c r="Y881" s="52"/>
      <c r="Z881" s="52"/>
      <c r="AA881" s="52"/>
      <c r="AB881" s="53"/>
    </row>
    <row r="882">
      <c r="A882" s="52"/>
      <c r="B882" s="52"/>
      <c r="C882" s="52"/>
      <c r="D882" s="52"/>
      <c r="E882" s="52"/>
      <c r="F882" s="52"/>
      <c r="G882" s="52"/>
      <c r="H882" s="52"/>
      <c r="I882" s="52"/>
      <c r="J882" s="52"/>
      <c r="K882" s="52"/>
      <c r="L882" s="52"/>
      <c r="M882" s="52"/>
      <c r="N882" s="52"/>
      <c r="O882" s="52"/>
      <c r="P882" s="61"/>
      <c r="Q882" s="61"/>
      <c r="R882" s="205"/>
      <c r="S882" s="52"/>
      <c r="T882" s="52"/>
      <c r="U882" s="52"/>
      <c r="V882" s="52"/>
      <c r="W882" s="52"/>
      <c r="X882" s="52"/>
      <c r="Y882" s="52"/>
      <c r="Z882" s="52"/>
      <c r="AA882" s="52"/>
      <c r="AB882" s="53"/>
    </row>
    <row r="883">
      <c r="A883" s="52"/>
      <c r="B883" s="52"/>
      <c r="C883" s="52"/>
      <c r="D883" s="52"/>
      <c r="E883" s="52"/>
      <c r="F883" s="52"/>
      <c r="G883" s="52"/>
      <c r="H883" s="52"/>
      <c r="I883" s="52"/>
      <c r="J883" s="52"/>
      <c r="K883" s="52"/>
      <c r="L883" s="52"/>
      <c r="M883" s="52"/>
      <c r="N883" s="52"/>
      <c r="O883" s="52"/>
      <c r="P883" s="61"/>
      <c r="Q883" s="61"/>
      <c r="R883" s="205"/>
      <c r="S883" s="52"/>
      <c r="T883" s="52"/>
      <c r="U883" s="52"/>
      <c r="V883" s="52"/>
      <c r="W883" s="52"/>
      <c r="X883" s="52"/>
      <c r="Y883" s="52"/>
      <c r="Z883" s="52"/>
      <c r="AA883" s="52"/>
      <c r="AB883" s="53"/>
    </row>
    <row r="884">
      <c r="A884" s="52"/>
      <c r="B884" s="52"/>
      <c r="C884" s="52"/>
      <c r="D884" s="52"/>
      <c r="E884" s="52"/>
      <c r="F884" s="52"/>
      <c r="G884" s="52"/>
      <c r="H884" s="52"/>
      <c r="I884" s="52"/>
      <c r="J884" s="52"/>
      <c r="K884" s="52"/>
      <c r="L884" s="52"/>
      <c r="M884" s="52"/>
      <c r="N884" s="52"/>
      <c r="O884" s="52"/>
      <c r="P884" s="61"/>
      <c r="Q884" s="61"/>
      <c r="R884" s="205"/>
      <c r="S884" s="52"/>
      <c r="T884" s="52"/>
      <c r="U884" s="52"/>
      <c r="V884" s="52"/>
      <c r="W884" s="52"/>
      <c r="X884" s="52"/>
      <c r="Y884" s="52"/>
      <c r="Z884" s="52"/>
      <c r="AA884" s="52"/>
      <c r="AB884" s="53"/>
    </row>
    <row r="885">
      <c r="A885" s="52"/>
      <c r="B885" s="52"/>
      <c r="C885" s="52"/>
      <c r="D885" s="52"/>
      <c r="E885" s="52"/>
      <c r="F885" s="52"/>
      <c r="G885" s="52"/>
      <c r="H885" s="52"/>
      <c r="I885" s="52"/>
      <c r="J885" s="52"/>
      <c r="K885" s="52"/>
      <c r="L885" s="52"/>
      <c r="M885" s="52"/>
      <c r="N885" s="52"/>
      <c r="O885" s="52"/>
      <c r="P885" s="61"/>
      <c r="Q885" s="61"/>
      <c r="R885" s="205"/>
      <c r="S885" s="52"/>
      <c r="T885" s="52"/>
      <c r="U885" s="52"/>
      <c r="V885" s="52"/>
      <c r="W885" s="52"/>
      <c r="X885" s="52"/>
      <c r="Y885" s="52"/>
      <c r="Z885" s="52"/>
      <c r="AA885" s="52"/>
      <c r="AB885" s="53"/>
    </row>
    <row r="886">
      <c r="A886" s="52"/>
      <c r="B886" s="52"/>
      <c r="C886" s="52"/>
      <c r="D886" s="52"/>
      <c r="E886" s="52"/>
      <c r="F886" s="52"/>
      <c r="G886" s="52"/>
      <c r="H886" s="52"/>
      <c r="I886" s="52"/>
      <c r="J886" s="52"/>
      <c r="K886" s="52"/>
      <c r="L886" s="52"/>
      <c r="M886" s="52"/>
      <c r="N886" s="52"/>
      <c r="O886" s="52"/>
      <c r="P886" s="61"/>
      <c r="Q886" s="61"/>
      <c r="R886" s="205"/>
      <c r="S886" s="52"/>
      <c r="T886" s="52"/>
      <c r="U886" s="52"/>
      <c r="V886" s="52"/>
      <c r="W886" s="52"/>
      <c r="X886" s="52"/>
      <c r="Y886" s="52"/>
      <c r="Z886" s="52"/>
      <c r="AA886" s="52"/>
      <c r="AB886" s="53"/>
    </row>
    <row r="887">
      <c r="A887" s="52"/>
      <c r="B887" s="52"/>
      <c r="C887" s="52"/>
      <c r="D887" s="52"/>
      <c r="E887" s="52"/>
      <c r="F887" s="52"/>
      <c r="G887" s="52"/>
      <c r="H887" s="52"/>
      <c r="I887" s="52"/>
      <c r="J887" s="52"/>
      <c r="K887" s="52"/>
      <c r="L887" s="52"/>
      <c r="M887" s="52"/>
      <c r="N887" s="52"/>
      <c r="O887" s="52"/>
      <c r="P887" s="61"/>
      <c r="Q887" s="61"/>
      <c r="R887" s="205"/>
      <c r="S887" s="52"/>
      <c r="T887" s="52"/>
      <c r="U887" s="52"/>
      <c r="V887" s="52"/>
      <c r="W887" s="52"/>
      <c r="X887" s="52"/>
      <c r="Y887" s="52"/>
      <c r="Z887" s="52"/>
      <c r="AA887" s="52"/>
      <c r="AB887" s="53"/>
    </row>
    <row r="888">
      <c r="A888" s="52"/>
      <c r="B888" s="52"/>
      <c r="C888" s="52"/>
      <c r="D888" s="52"/>
      <c r="E888" s="52"/>
      <c r="F888" s="52"/>
      <c r="G888" s="52"/>
      <c r="H888" s="52"/>
      <c r="I888" s="52"/>
      <c r="J888" s="52"/>
      <c r="K888" s="52"/>
      <c r="L888" s="52"/>
      <c r="M888" s="52"/>
      <c r="N888" s="52"/>
      <c r="O888" s="52"/>
      <c r="P888" s="61"/>
      <c r="Q888" s="61"/>
      <c r="R888" s="205"/>
      <c r="S888" s="52"/>
      <c r="T888" s="52"/>
      <c r="U888" s="52"/>
      <c r="V888" s="52"/>
      <c r="W888" s="52"/>
      <c r="X888" s="52"/>
      <c r="Y888" s="52"/>
      <c r="Z888" s="52"/>
      <c r="AA888" s="52"/>
      <c r="AB888" s="53"/>
    </row>
    <row r="889">
      <c r="A889" s="52"/>
      <c r="B889" s="52"/>
      <c r="C889" s="52"/>
      <c r="D889" s="52"/>
      <c r="E889" s="52"/>
      <c r="F889" s="52"/>
      <c r="G889" s="52"/>
      <c r="H889" s="52"/>
      <c r="I889" s="52"/>
      <c r="J889" s="52"/>
      <c r="K889" s="52"/>
      <c r="L889" s="52"/>
      <c r="M889" s="52"/>
      <c r="N889" s="52"/>
      <c r="O889" s="52"/>
      <c r="P889" s="61"/>
      <c r="Q889" s="61"/>
      <c r="R889" s="205"/>
      <c r="S889" s="52"/>
      <c r="T889" s="52"/>
      <c r="U889" s="52"/>
      <c r="V889" s="52"/>
      <c r="W889" s="52"/>
      <c r="X889" s="52"/>
      <c r="Y889" s="52"/>
      <c r="Z889" s="52"/>
      <c r="AA889" s="52"/>
      <c r="AB889" s="53"/>
    </row>
    <row r="890">
      <c r="A890" s="52"/>
      <c r="B890" s="52"/>
      <c r="C890" s="52"/>
      <c r="D890" s="52"/>
      <c r="E890" s="52"/>
      <c r="F890" s="52"/>
      <c r="G890" s="52"/>
      <c r="H890" s="52"/>
      <c r="I890" s="52"/>
      <c r="J890" s="52"/>
      <c r="K890" s="52"/>
      <c r="L890" s="52"/>
      <c r="M890" s="52"/>
      <c r="N890" s="52"/>
      <c r="O890" s="52"/>
      <c r="P890" s="61"/>
      <c r="Q890" s="61"/>
      <c r="R890" s="205"/>
      <c r="S890" s="52"/>
      <c r="T890" s="52"/>
      <c r="U890" s="52"/>
      <c r="V890" s="52"/>
      <c r="W890" s="52"/>
      <c r="X890" s="52"/>
      <c r="Y890" s="52"/>
      <c r="Z890" s="52"/>
      <c r="AA890" s="52"/>
      <c r="AB890" s="53"/>
    </row>
    <row r="891">
      <c r="A891" s="52"/>
      <c r="B891" s="52"/>
      <c r="C891" s="52"/>
      <c r="D891" s="52"/>
      <c r="E891" s="52"/>
      <c r="F891" s="52"/>
      <c r="G891" s="52"/>
      <c r="H891" s="52"/>
      <c r="I891" s="52"/>
      <c r="J891" s="52"/>
      <c r="K891" s="52"/>
      <c r="L891" s="52"/>
      <c r="M891" s="52"/>
      <c r="N891" s="52"/>
      <c r="O891" s="52"/>
      <c r="P891" s="61"/>
      <c r="Q891" s="61"/>
      <c r="R891" s="205"/>
      <c r="S891" s="52"/>
      <c r="T891" s="52"/>
      <c r="U891" s="52"/>
      <c r="V891" s="52"/>
      <c r="W891" s="52"/>
      <c r="X891" s="52"/>
      <c r="Y891" s="52"/>
      <c r="Z891" s="52"/>
      <c r="AA891" s="52"/>
      <c r="AB891" s="53"/>
    </row>
    <row r="892">
      <c r="A892" s="52"/>
      <c r="B892" s="52"/>
      <c r="C892" s="52"/>
      <c r="D892" s="52"/>
      <c r="E892" s="52"/>
      <c r="F892" s="52"/>
      <c r="G892" s="52"/>
      <c r="H892" s="52"/>
      <c r="I892" s="52"/>
      <c r="J892" s="52"/>
      <c r="K892" s="52"/>
      <c r="L892" s="52"/>
      <c r="M892" s="52"/>
      <c r="N892" s="52"/>
      <c r="O892" s="52"/>
      <c r="P892" s="61"/>
      <c r="Q892" s="61"/>
      <c r="R892" s="205"/>
      <c r="S892" s="52"/>
      <c r="T892" s="52"/>
      <c r="U892" s="52"/>
      <c r="V892" s="52"/>
      <c r="W892" s="52"/>
      <c r="X892" s="52"/>
      <c r="Y892" s="52"/>
      <c r="Z892" s="52"/>
      <c r="AA892" s="52"/>
      <c r="AB892" s="53"/>
    </row>
    <row r="893">
      <c r="A893" s="52"/>
      <c r="B893" s="52"/>
      <c r="C893" s="52"/>
      <c r="D893" s="52"/>
      <c r="E893" s="52"/>
      <c r="F893" s="52"/>
      <c r="G893" s="52"/>
      <c r="H893" s="52"/>
      <c r="I893" s="52"/>
      <c r="J893" s="52"/>
      <c r="K893" s="52"/>
      <c r="L893" s="52"/>
      <c r="M893" s="52"/>
      <c r="N893" s="52"/>
      <c r="O893" s="52"/>
      <c r="P893" s="61"/>
      <c r="Q893" s="61"/>
      <c r="R893" s="205"/>
      <c r="S893" s="52"/>
      <c r="T893" s="52"/>
      <c r="U893" s="52"/>
      <c r="V893" s="52"/>
      <c r="W893" s="52"/>
      <c r="X893" s="52"/>
      <c r="Y893" s="52"/>
      <c r="Z893" s="52"/>
      <c r="AA893" s="52"/>
      <c r="AB893" s="53"/>
    </row>
    <row r="894">
      <c r="A894" s="52"/>
      <c r="B894" s="52"/>
      <c r="C894" s="52"/>
      <c r="D894" s="52"/>
      <c r="E894" s="52"/>
      <c r="F894" s="52"/>
      <c r="G894" s="52"/>
      <c r="H894" s="52"/>
      <c r="I894" s="52"/>
      <c r="J894" s="52"/>
      <c r="K894" s="52"/>
      <c r="L894" s="52"/>
      <c r="M894" s="52"/>
      <c r="N894" s="52"/>
      <c r="O894" s="52"/>
      <c r="P894" s="61"/>
      <c r="Q894" s="61"/>
      <c r="R894" s="205"/>
      <c r="S894" s="52"/>
      <c r="T894" s="52"/>
      <c r="U894" s="52"/>
      <c r="V894" s="52"/>
      <c r="W894" s="52"/>
      <c r="X894" s="52"/>
      <c r="Y894" s="52"/>
      <c r="Z894" s="52"/>
      <c r="AA894" s="52"/>
      <c r="AB894" s="53"/>
    </row>
    <row r="895">
      <c r="A895" s="52"/>
      <c r="B895" s="52"/>
      <c r="C895" s="52"/>
      <c r="D895" s="52"/>
      <c r="E895" s="52"/>
      <c r="F895" s="52"/>
      <c r="G895" s="52"/>
      <c r="H895" s="52"/>
      <c r="I895" s="52"/>
      <c r="J895" s="52"/>
      <c r="K895" s="52"/>
      <c r="L895" s="52"/>
      <c r="M895" s="52"/>
      <c r="N895" s="52"/>
      <c r="O895" s="52"/>
      <c r="P895" s="61"/>
      <c r="Q895" s="61"/>
      <c r="R895" s="205"/>
      <c r="S895" s="52"/>
      <c r="T895" s="52"/>
      <c r="U895" s="52"/>
      <c r="V895" s="52"/>
      <c r="W895" s="52"/>
      <c r="X895" s="52"/>
      <c r="Y895" s="52"/>
      <c r="Z895" s="52"/>
      <c r="AA895" s="52"/>
      <c r="AB895" s="53"/>
    </row>
    <row r="896">
      <c r="A896" s="52"/>
      <c r="B896" s="52"/>
      <c r="C896" s="52"/>
      <c r="D896" s="52"/>
      <c r="E896" s="52"/>
      <c r="F896" s="52"/>
      <c r="G896" s="52"/>
      <c r="H896" s="52"/>
      <c r="I896" s="52"/>
      <c r="J896" s="52"/>
      <c r="K896" s="52"/>
      <c r="L896" s="52"/>
      <c r="M896" s="52"/>
      <c r="N896" s="52"/>
      <c r="O896" s="52"/>
      <c r="P896" s="61"/>
      <c r="Q896" s="61"/>
      <c r="R896" s="205"/>
      <c r="S896" s="52"/>
      <c r="T896" s="52"/>
      <c r="U896" s="52"/>
      <c r="V896" s="52"/>
      <c r="W896" s="52"/>
      <c r="X896" s="52"/>
      <c r="Y896" s="52"/>
      <c r="Z896" s="52"/>
      <c r="AA896" s="52"/>
      <c r="AB896" s="53"/>
    </row>
    <row r="897">
      <c r="A897" s="52"/>
      <c r="B897" s="52"/>
      <c r="C897" s="52"/>
      <c r="D897" s="52"/>
      <c r="E897" s="52"/>
      <c r="F897" s="52"/>
      <c r="G897" s="52"/>
      <c r="H897" s="52"/>
      <c r="I897" s="52"/>
      <c r="J897" s="52"/>
      <c r="K897" s="52"/>
      <c r="L897" s="52"/>
      <c r="M897" s="52"/>
      <c r="N897" s="52"/>
      <c r="O897" s="52"/>
      <c r="P897" s="61"/>
      <c r="Q897" s="61"/>
      <c r="R897" s="205"/>
      <c r="S897" s="52"/>
      <c r="T897" s="52"/>
      <c r="U897" s="52"/>
      <c r="V897" s="52"/>
      <c r="W897" s="52"/>
      <c r="X897" s="52"/>
      <c r="Y897" s="52"/>
      <c r="Z897" s="52"/>
      <c r="AA897" s="52"/>
      <c r="AB897" s="53"/>
    </row>
    <row r="898">
      <c r="A898" s="52"/>
      <c r="B898" s="52"/>
      <c r="C898" s="52"/>
      <c r="D898" s="52"/>
      <c r="E898" s="52"/>
      <c r="F898" s="52"/>
      <c r="G898" s="52"/>
      <c r="H898" s="52"/>
      <c r="I898" s="52"/>
      <c r="J898" s="52"/>
      <c r="K898" s="52"/>
      <c r="L898" s="52"/>
      <c r="M898" s="52"/>
      <c r="N898" s="52"/>
      <c r="O898" s="52"/>
      <c r="P898" s="61"/>
      <c r="Q898" s="61"/>
      <c r="R898" s="205"/>
      <c r="S898" s="52"/>
      <c r="T898" s="52"/>
      <c r="U898" s="52"/>
      <c r="V898" s="52"/>
      <c r="W898" s="52"/>
      <c r="X898" s="52"/>
      <c r="Y898" s="52"/>
      <c r="Z898" s="52"/>
      <c r="AA898" s="52"/>
      <c r="AB898" s="53"/>
    </row>
    <row r="899">
      <c r="A899" s="52"/>
      <c r="B899" s="52"/>
      <c r="C899" s="52"/>
      <c r="D899" s="52"/>
      <c r="E899" s="52"/>
      <c r="F899" s="52"/>
      <c r="G899" s="52"/>
      <c r="H899" s="52"/>
      <c r="I899" s="52"/>
      <c r="J899" s="52"/>
      <c r="K899" s="52"/>
      <c r="L899" s="52"/>
      <c r="M899" s="52"/>
      <c r="N899" s="52"/>
      <c r="O899" s="52"/>
      <c r="P899" s="61"/>
      <c r="Q899" s="61"/>
      <c r="R899" s="205"/>
      <c r="S899" s="52"/>
      <c r="T899" s="52"/>
      <c r="U899" s="52"/>
      <c r="V899" s="52"/>
      <c r="W899" s="52"/>
      <c r="X899" s="52"/>
      <c r="Y899" s="52"/>
      <c r="Z899" s="52"/>
      <c r="AA899" s="52"/>
      <c r="AB899" s="53"/>
    </row>
    <row r="900">
      <c r="A900" s="52"/>
      <c r="B900" s="52"/>
      <c r="C900" s="52"/>
      <c r="D900" s="52"/>
      <c r="E900" s="52"/>
      <c r="F900" s="52"/>
      <c r="G900" s="52"/>
      <c r="H900" s="52"/>
      <c r="I900" s="52"/>
      <c r="J900" s="52"/>
      <c r="K900" s="52"/>
      <c r="L900" s="52"/>
      <c r="M900" s="52"/>
      <c r="N900" s="52"/>
      <c r="O900" s="52"/>
      <c r="P900" s="61"/>
      <c r="Q900" s="61"/>
      <c r="R900" s="205"/>
      <c r="S900" s="52"/>
      <c r="T900" s="52"/>
      <c r="U900" s="52"/>
      <c r="V900" s="52"/>
      <c r="W900" s="52"/>
      <c r="X900" s="52"/>
      <c r="Y900" s="52"/>
      <c r="Z900" s="52"/>
      <c r="AA900" s="52"/>
      <c r="AB900" s="53"/>
    </row>
    <row r="901">
      <c r="A901" s="52"/>
      <c r="B901" s="52"/>
      <c r="C901" s="52"/>
      <c r="D901" s="52"/>
      <c r="E901" s="52"/>
      <c r="F901" s="52"/>
      <c r="G901" s="52"/>
      <c r="H901" s="52"/>
      <c r="I901" s="52"/>
      <c r="J901" s="52"/>
      <c r="K901" s="52"/>
      <c r="L901" s="52"/>
      <c r="M901" s="52"/>
      <c r="N901" s="52"/>
      <c r="O901" s="52"/>
      <c r="P901" s="61"/>
      <c r="Q901" s="61"/>
      <c r="R901" s="205"/>
      <c r="S901" s="52"/>
      <c r="T901" s="52"/>
      <c r="U901" s="52"/>
      <c r="V901" s="52"/>
      <c r="W901" s="52"/>
      <c r="X901" s="52"/>
      <c r="Y901" s="52"/>
      <c r="Z901" s="52"/>
      <c r="AA901" s="52"/>
      <c r="AB901" s="53"/>
    </row>
    <row r="902">
      <c r="A902" s="52"/>
      <c r="B902" s="52"/>
      <c r="C902" s="52"/>
      <c r="D902" s="52"/>
      <c r="E902" s="52"/>
      <c r="F902" s="52"/>
      <c r="G902" s="52"/>
      <c r="H902" s="52"/>
      <c r="I902" s="52"/>
      <c r="J902" s="52"/>
      <c r="K902" s="52"/>
      <c r="L902" s="52"/>
      <c r="M902" s="52"/>
      <c r="N902" s="52"/>
      <c r="O902" s="52"/>
      <c r="P902" s="61"/>
      <c r="Q902" s="61"/>
      <c r="R902" s="205"/>
      <c r="S902" s="52"/>
      <c r="T902" s="52"/>
      <c r="U902" s="52"/>
      <c r="V902" s="52"/>
      <c r="W902" s="52"/>
      <c r="X902" s="52"/>
      <c r="Y902" s="52"/>
      <c r="Z902" s="52"/>
      <c r="AA902" s="52"/>
      <c r="AB902" s="53"/>
    </row>
    <row r="903">
      <c r="A903" s="52"/>
      <c r="B903" s="52"/>
      <c r="C903" s="52"/>
      <c r="D903" s="52"/>
      <c r="E903" s="52"/>
      <c r="F903" s="52"/>
      <c r="G903" s="52"/>
      <c r="H903" s="52"/>
      <c r="I903" s="52"/>
      <c r="J903" s="52"/>
      <c r="K903" s="52"/>
      <c r="L903" s="52"/>
      <c r="M903" s="52"/>
      <c r="N903" s="52"/>
      <c r="O903" s="52"/>
      <c r="P903" s="61"/>
      <c r="Q903" s="61"/>
      <c r="R903" s="205"/>
      <c r="S903" s="52"/>
      <c r="T903" s="52"/>
      <c r="U903" s="52"/>
      <c r="V903" s="52"/>
      <c r="W903" s="52"/>
      <c r="X903" s="52"/>
      <c r="Y903" s="52"/>
      <c r="Z903" s="52"/>
      <c r="AA903" s="52"/>
      <c r="AB903" s="53"/>
    </row>
    <row r="904">
      <c r="A904" s="52"/>
      <c r="B904" s="52"/>
      <c r="C904" s="52"/>
      <c r="D904" s="52"/>
      <c r="E904" s="52"/>
      <c r="F904" s="52"/>
      <c r="G904" s="52"/>
      <c r="H904" s="52"/>
      <c r="I904" s="52"/>
      <c r="J904" s="52"/>
      <c r="K904" s="52"/>
      <c r="L904" s="52"/>
      <c r="M904" s="52"/>
      <c r="N904" s="52"/>
      <c r="O904" s="52"/>
      <c r="P904" s="61"/>
      <c r="Q904" s="61"/>
      <c r="R904" s="205"/>
      <c r="S904" s="52"/>
      <c r="T904" s="52"/>
      <c r="U904" s="52"/>
      <c r="V904" s="52"/>
      <c r="W904" s="52"/>
      <c r="X904" s="52"/>
      <c r="Y904" s="52"/>
      <c r="Z904" s="52"/>
      <c r="AA904" s="52"/>
      <c r="AB904" s="53"/>
    </row>
    <row r="905">
      <c r="A905" s="52"/>
      <c r="B905" s="52"/>
      <c r="C905" s="52"/>
      <c r="D905" s="52"/>
      <c r="E905" s="52"/>
      <c r="F905" s="52"/>
      <c r="G905" s="52"/>
      <c r="H905" s="52"/>
      <c r="I905" s="52"/>
      <c r="J905" s="52"/>
      <c r="K905" s="52"/>
      <c r="L905" s="52"/>
      <c r="M905" s="52"/>
      <c r="N905" s="52"/>
      <c r="O905" s="52"/>
      <c r="P905" s="61"/>
      <c r="Q905" s="61"/>
      <c r="R905" s="205"/>
      <c r="S905" s="52"/>
      <c r="T905" s="52"/>
      <c r="U905" s="52"/>
      <c r="V905" s="52"/>
      <c r="W905" s="52"/>
      <c r="X905" s="52"/>
      <c r="Y905" s="52"/>
      <c r="Z905" s="52"/>
      <c r="AA905" s="52"/>
      <c r="AB905" s="53"/>
    </row>
    <row r="906">
      <c r="A906" s="52"/>
      <c r="B906" s="52"/>
      <c r="C906" s="52"/>
      <c r="D906" s="52"/>
      <c r="E906" s="52"/>
      <c r="F906" s="52"/>
      <c r="G906" s="52"/>
      <c r="H906" s="52"/>
      <c r="I906" s="52"/>
      <c r="J906" s="52"/>
      <c r="K906" s="52"/>
      <c r="L906" s="52"/>
      <c r="M906" s="52"/>
      <c r="N906" s="52"/>
      <c r="O906" s="52"/>
      <c r="P906" s="61"/>
      <c r="Q906" s="61"/>
      <c r="R906" s="205"/>
      <c r="S906" s="52"/>
      <c r="T906" s="52"/>
      <c r="U906" s="52"/>
      <c r="V906" s="52"/>
      <c r="W906" s="52"/>
      <c r="X906" s="52"/>
      <c r="Y906" s="52"/>
      <c r="Z906" s="52"/>
      <c r="AA906" s="52"/>
      <c r="AB906" s="53"/>
    </row>
    <row r="907">
      <c r="A907" s="52"/>
      <c r="B907" s="52"/>
      <c r="C907" s="52"/>
      <c r="D907" s="52"/>
      <c r="E907" s="52"/>
      <c r="F907" s="52"/>
      <c r="G907" s="52"/>
      <c r="H907" s="52"/>
      <c r="I907" s="52"/>
      <c r="J907" s="52"/>
      <c r="K907" s="52"/>
      <c r="L907" s="52"/>
      <c r="M907" s="52"/>
      <c r="N907" s="52"/>
      <c r="O907" s="52"/>
      <c r="P907" s="61"/>
      <c r="Q907" s="61"/>
      <c r="R907" s="205"/>
      <c r="S907" s="52"/>
      <c r="T907" s="52"/>
      <c r="U907" s="52"/>
      <c r="V907" s="52"/>
      <c r="W907" s="52"/>
      <c r="X907" s="52"/>
      <c r="Y907" s="52"/>
      <c r="Z907" s="52"/>
      <c r="AA907" s="52"/>
      <c r="AB907" s="53"/>
    </row>
    <row r="908">
      <c r="A908" s="52"/>
      <c r="B908" s="52"/>
      <c r="C908" s="52"/>
      <c r="D908" s="52"/>
      <c r="E908" s="52"/>
      <c r="F908" s="52"/>
      <c r="G908" s="52"/>
      <c r="H908" s="52"/>
      <c r="I908" s="52"/>
      <c r="J908" s="52"/>
      <c r="K908" s="52"/>
      <c r="L908" s="52"/>
      <c r="M908" s="52"/>
      <c r="N908" s="52"/>
      <c r="O908" s="52"/>
      <c r="P908" s="61"/>
      <c r="Q908" s="61"/>
      <c r="R908" s="205"/>
      <c r="S908" s="52"/>
      <c r="T908" s="52"/>
      <c r="U908" s="52"/>
      <c r="V908" s="52"/>
      <c r="W908" s="52"/>
      <c r="X908" s="52"/>
      <c r="Y908" s="52"/>
      <c r="Z908" s="52"/>
      <c r="AA908" s="52"/>
      <c r="AB908" s="53"/>
    </row>
    <row r="909">
      <c r="A909" s="52"/>
      <c r="B909" s="52"/>
      <c r="C909" s="52"/>
      <c r="D909" s="52"/>
      <c r="E909" s="52"/>
      <c r="F909" s="52"/>
      <c r="G909" s="52"/>
      <c r="H909" s="52"/>
      <c r="I909" s="52"/>
      <c r="J909" s="52"/>
      <c r="K909" s="52"/>
      <c r="L909" s="52"/>
      <c r="M909" s="52"/>
      <c r="N909" s="52"/>
      <c r="O909" s="52"/>
      <c r="P909" s="61"/>
      <c r="Q909" s="61"/>
      <c r="R909" s="205"/>
      <c r="S909" s="52"/>
      <c r="T909" s="52"/>
      <c r="U909" s="52"/>
      <c r="V909" s="52"/>
      <c r="W909" s="52"/>
      <c r="X909" s="52"/>
      <c r="Y909" s="52"/>
      <c r="Z909" s="52"/>
      <c r="AA909" s="52"/>
      <c r="AB909" s="53"/>
    </row>
    <row r="910">
      <c r="A910" s="52"/>
      <c r="B910" s="52"/>
      <c r="C910" s="52"/>
      <c r="D910" s="52"/>
      <c r="E910" s="52"/>
      <c r="F910" s="52"/>
      <c r="G910" s="52"/>
      <c r="H910" s="52"/>
      <c r="I910" s="52"/>
      <c r="J910" s="52"/>
      <c r="K910" s="52"/>
      <c r="L910" s="52"/>
      <c r="M910" s="52"/>
      <c r="N910" s="52"/>
      <c r="O910" s="52"/>
      <c r="P910" s="61"/>
      <c r="Q910" s="61"/>
      <c r="R910" s="205"/>
      <c r="S910" s="52"/>
      <c r="T910" s="52"/>
      <c r="U910" s="52"/>
      <c r="V910" s="52"/>
      <c r="W910" s="52"/>
      <c r="X910" s="52"/>
      <c r="Y910" s="52"/>
      <c r="Z910" s="52"/>
      <c r="AA910" s="52"/>
      <c r="AB910" s="53"/>
    </row>
    <row r="911">
      <c r="A911" s="52"/>
      <c r="B911" s="52"/>
      <c r="C911" s="52"/>
      <c r="D911" s="52"/>
      <c r="E911" s="52"/>
      <c r="F911" s="52"/>
      <c r="G911" s="52"/>
      <c r="H911" s="52"/>
      <c r="I911" s="52"/>
      <c r="J911" s="52"/>
      <c r="K911" s="52"/>
      <c r="L911" s="52"/>
      <c r="M911" s="52"/>
      <c r="N911" s="52"/>
      <c r="O911" s="52"/>
      <c r="P911" s="61"/>
      <c r="Q911" s="61"/>
      <c r="R911" s="205"/>
      <c r="S911" s="52"/>
      <c r="T911" s="52"/>
      <c r="U911" s="52"/>
      <c r="V911" s="52"/>
      <c r="W911" s="52"/>
      <c r="X911" s="52"/>
      <c r="Y911" s="52"/>
      <c r="Z911" s="52"/>
      <c r="AA911" s="52"/>
      <c r="AB911" s="53"/>
    </row>
    <row r="912">
      <c r="A912" s="52"/>
      <c r="B912" s="52"/>
      <c r="C912" s="52"/>
      <c r="D912" s="52"/>
      <c r="E912" s="52"/>
      <c r="F912" s="52"/>
      <c r="G912" s="52"/>
      <c r="H912" s="52"/>
      <c r="I912" s="52"/>
      <c r="J912" s="52"/>
      <c r="K912" s="52"/>
      <c r="L912" s="52"/>
      <c r="M912" s="52"/>
      <c r="N912" s="52"/>
      <c r="O912" s="52"/>
      <c r="P912" s="61"/>
      <c r="Q912" s="61"/>
      <c r="R912" s="205"/>
      <c r="S912" s="52"/>
      <c r="T912" s="52"/>
      <c r="U912" s="52"/>
      <c r="V912" s="52"/>
      <c r="W912" s="52"/>
      <c r="X912" s="52"/>
      <c r="Y912" s="52"/>
      <c r="Z912" s="52"/>
      <c r="AA912" s="52"/>
      <c r="AB912" s="53"/>
    </row>
    <row r="913">
      <c r="A913" s="52"/>
      <c r="B913" s="52"/>
      <c r="C913" s="52"/>
      <c r="D913" s="52"/>
      <c r="E913" s="52"/>
      <c r="F913" s="52"/>
      <c r="G913" s="52"/>
      <c r="H913" s="52"/>
      <c r="I913" s="52"/>
      <c r="J913" s="52"/>
      <c r="K913" s="52"/>
      <c r="L913" s="52"/>
      <c r="M913" s="52"/>
      <c r="N913" s="52"/>
      <c r="O913" s="52"/>
      <c r="P913" s="61"/>
      <c r="Q913" s="61"/>
      <c r="R913" s="205"/>
      <c r="S913" s="52"/>
      <c r="T913" s="52"/>
      <c r="U913" s="52"/>
      <c r="V913" s="52"/>
      <c r="W913" s="52"/>
      <c r="X913" s="52"/>
      <c r="Y913" s="52"/>
      <c r="Z913" s="52"/>
      <c r="AA913" s="52"/>
      <c r="AB913" s="53"/>
    </row>
    <row r="914">
      <c r="A914" s="52"/>
      <c r="B914" s="52"/>
      <c r="C914" s="52"/>
      <c r="D914" s="52"/>
      <c r="E914" s="52"/>
      <c r="F914" s="52"/>
      <c r="G914" s="52"/>
      <c r="H914" s="52"/>
      <c r="I914" s="52"/>
      <c r="J914" s="52"/>
      <c r="K914" s="52"/>
      <c r="L914" s="52"/>
      <c r="M914" s="52"/>
      <c r="N914" s="52"/>
      <c r="O914" s="52"/>
      <c r="P914" s="61"/>
      <c r="Q914" s="61"/>
      <c r="R914" s="205"/>
      <c r="S914" s="52"/>
      <c r="T914" s="52"/>
      <c r="U914" s="52"/>
      <c r="V914" s="52"/>
      <c r="W914" s="52"/>
      <c r="X914" s="52"/>
      <c r="Y914" s="52"/>
      <c r="Z914" s="52"/>
      <c r="AA914" s="52"/>
      <c r="AB914" s="53"/>
    </row>
    <row r="915">
      <c r="A915" s="52"/>
      <c r="B915" s="52"/>
      <c r="C915" s="52"/>
      <c r="D915" s="52"/>
      <c r="E915" s="52"/>
      <c r="F915" s="52"/>
      <c r="G915" s="52"/>
      <c r="H915" s="52"/>
      <c r="I915" s="52"/>
      <c r="J915" s="52"/>
      <c r="K915" s="52"/>
      <c r="L915" s="52"/>
      <c r="M915" s="52"/>
      <c r="N915" s="52"/>
      <c r="O915" s="52"/>
      <c r="P915" s="61"/>
      <c r="Q915" s="61"/>
      <c r="R915" s="205"/>
      <c r="S915" s="52"/>
      <c r="T915" s="52"/>
      <c r="U915" s="52"/>
      <c r="V915" s="52"/>
      <c r="W915" s="52"/>
      <c r="X915" s="52"/>
      <c r="Y915" s="52"/>
      <c r="Z915" s="52"/>
      <c r="AA915" s="52"/>
      <c r="AB915" s="53"/>
    </row>
    <row r="916">
      <c r="A916" s="52"/>
      <c r="B916" s="52"/>
      <c r="C916" s="52"/>
      <c r="D916" s="52"/>
      <c r="E916" s="52"/>
      <c r="F916" s="52"/>
      <c r="G916" s="52"/>
      <c r="H916" s="52"/>
      <c r="I916" s="52"/>
      <c r="J916" s="52"/>
      <c r="K916" s="52"/>
      <c r="L916" s="52"/>
      <c r="M916" s="52"/>
      <c r="N916" s="52"/>
      <c r="O916" s="52"/>
      <c r="P916" s="61"/>
      <c r="Q916" s="61"/>
      <c r="R916" s="205"/>
      <c r="S916" s="52"/>
      <c r="T916" s="52"/>
      <c r="U916" s="52"/>
      <c r="V916" s="52"/>
      <c r="W916" s="52"/>
      <c r="X916" s="52"/>
      <c r="Y916" s="52"/>
      <c r="Z916" s="52"/>
      <c r="AA916" s="52"/>
      <c r="AB916" s="53"/>
    </row>
    <row r="917">
      <c r="A917" s="52"/>
      <c r="B917" s="52"/>
      <c r="C917" s="52"/>
      <c r="D917" s="52"/>
      <c r="E917" s="52"/>
      <c r="F917" s="52"/>
      <c r="G917" s="52"/>
      <c r="H917" s="52"/>
      <c r="I917" s="52"/>
      <c r="J917" s="52"/>
      <c r="K917" s="52"/>
      <c r="L917" s="52"/>
      <c r="M917" s="52"/>
      <c r="N917" s="52"/>
      <c r="O917" s="52"/>
      <c r="P917" s="61"/>
      <c r="Q917" s="61"/>
      <c r="R917" s="205"/>
      <c r="S917" s="52"/>
      <c r="T917" s="52"/>
      <c r="U917" s="52"/>
      <c r="V917" s="52"/>
      <c r="W917" s="52"/>
      <c r="X917" s="52"/>
      <c r="Y917" s="52"/>
      <c r="Z917" s="52"/>
      <c r="AA917" s="52"/>
      <c r="AB917" s="53"/>
    </row>
    <row r="918">
      <c r="A918" s="52"/>
      <c r="B918" s="52"/>
      <c r="C918" s="52"/>
      <c r="D918" s="52"/>
      <c r="E918" s="52"/>
      <c r="F918" s="52"/>
      <c r="G918" s="52"/>
      <c r="H918" s="52"/>
      <c r="I918" s="52"/>
      <c r="J918" s="52"/>
      <c r="K918" s="52"/>
      <c r="L918" s="52"/>
      <c r="M918" s="52"/>
      <c r="N918" s="52"/>
      <c r="O918" s="52"/>
      <c r="P918" s="61"/>
      <c r="Q918" s="61"/>
      <c r="R918" s="205"/>
      <c r="S918" s="52"/>
      <c r="T918" s="52"/>
      <c r="U918" s="52"/>
      <c r="V918" s="52"/>
      <c r="W918" s="52"/>
      <c r="X918" s="52"/>
      <c r="Y918" s="52"/>
      <c r="Z918" s="52"/>
      <c r="AA918" s="52"/>
      <c r="AB918" s="53"/>
    </row>
    <row r="919">
      <c r="A919" s="52"/>
      <c r="B919" s="52"/>
      <c r="C919" s="52"/>
      <c r="D919" s="52"/>
      <c r="E919" s="52"/>
      <c r="F919" s="52"/>
      <c r="G919" s="52"/>
      <c r="H919" s="52"/>
      <c r="I919" s="52"/>
      <c r="J919" s="52"/>
      <c r="K919" s="52"/>
      <c r="L919" s="52"/>
      <c r="M919" s="52"/>
      <c r="N919" s="52"/>
      <c r="O919" s="52"/>
      <c r="P919" s="61"/>
      <c r="Q919" s="61"/>
      <c r="R919" s="205"/>
      <c r="S919" s="52"/>
      <c r="T919" s="52"/>
      <c r="U919" s="52"/>
      <c r="V919" s="52"/>
      <c r="W919" s="52"/>
      <c r="X919" s="52"/>
      <c r="Y919" s="52"/>
      <c r="Z919" s="52"/>
      <c r="AA919" s="52"/>
      <c r="AB919" s="53"/>
    </row>
    <row r="920">
      <c r="A920" s="52"/>
      <c r="B920" s="52"/>
      <c r="C920" s="52"/>
      <c r="D920" s="52"/>
      <c r="E920" s="52"/>
      <c r="F920" s="52"/>
      <c r="G920" s="52"/>
      <c r="H920" s="52"/>
      <c r="I920" s="52"/>
      <c r="J920" s="52"/>
      <c r="K920" s="52"/>
      <c r="L920" s="52"/>
      <c r="M920" s="52"/>
      <c r="N920" s="52"/>
      <c r="O920" s="52"/>
      <c r="P920" s="61"/>
      <c r="Q920" s="61"/>
      <c r="R920" s="205"/>
      <c r="S920" s="52"/>
      <c r="T920" s="52"/>
      <c r="U920" s="52"/>
      <c r="V920" s="52"/>
      <c r="W920" s="52"/>
      <c r="X920" s="52"/>
      <c r="Y920" s="52"/>
      <c r="Z920" s="52"/>
      <c r="AA920" s="52"/>
      <c r="AB920" s="53"/>
    </row>
    <row r="921">
      <c r="A921" s="52"/>
      <c r="B921" s="52"/>
      <c r="C921" s="52"/>
      <c r="D921" s="52"/>
      <c r="E921" s="52"/>
      <c r="F921" s="52"/>
      <c r="G921" s="52"/>
      <c r="H921" s="52"/>
      <c r="I921" s="52"/>
      <c r="J921" s="52"/>
      <c r="K921" s="52"/>
      <c r="L921" s="52"/>
      <c r="M921" s="52"/>
      <c r="N921" s="52"/>
      <c r="O921" s="52"/>
      <c r="P921" s="61"/>
      <c r="Q921" s="61"/>
      <c r="R921" s="205"/>
      <c r="S921" s="52"/>
      <c r="T921" s="52"/>
      <c r="U921" s="52"/>
      <c r="V921" s="52"/>
      <c r="W921" s="52"/>
      <c r="X921" s="52"/>
      <c r="Y921" s="52"/>
      <c r="Z921" s="52"/>
      <c r="AA921" s="52"/>
      <c r="AB921" s="53"/>
    </row>
    <row r="922">
      <c r="A922" s="52"/>
      <c r="B922" s="52"/>
      <c r="C922" s="52"/>
      <c r="D922" s="52"/>
      <c r="E922" s="52"/>
      <c r="F922" s="52"/>
      <c r="G922" s="52"/>
      <c r="H922" s="52"/>
      <c r="I922" s="52"/>
      <c r="J922" s="52"/>
      <c r="K922" s="52"/>
      <c r="L922" s="52"/>
      <c r="M922" s="52"/>
      <c r="N922" s="52"/>
      <c r="O922" s="52"/>
      <c r="P922" s="61"/>
      <c r="Q922" s="61"/>
      <c r="R922" s="205"/>
      <c r="S922" s="52"/>
      <c r="T922" s="52"/>
      <c r="U922" s="52"/>
      <c r="V922" s="52"/>
      <c r="W922" s="52"/>
      <c r="X922" s="52"/>
      <c r="Y922" s="52"/>
      <c r="Z922" s="52"/>
      <c r="AA922" s="52"/>
      <c r="AB922" s="53"/>
    </row>
    <row r="923">
      <c r="A923" s="52"/>
      <c r="B923" s="52"/>
      <c r="C923" s="52"/>
      <c r="D923" s="52"/>
      <c r="E923" s="52"/>
      <c r="F923" s="52"/>
      <c r="G923" s="52"/>
      <c r="H923" s="52"/>
      <c r="I923" s="52"/>
      <c r="J923" s="52"/>
      <c r="K923" s="52"/>
      <c r="L923" s="52"/>
      <c r="M923" s="52"/>
      <c r="N923" s="52"/>
      <c r="O923" s="52"/>
      <c r="P923" s="61"/>
      <c r="Q923" s="61"/>
      <c r="R923" s="205"/>
      <c r="S923" s="52"/>
      <c r="T923" s="52"/>
      <c r="U923" s="52"/>
      <c r="V923" s="52"/>
      <c r="W923" s="52"/>
      <c r="X923" s="52"/>
      <c r="Y923" s="52"/>
      <c r="Z923" s="52"/>
      <c r="AA923" s="52"/>
      <c r="AB923" s="53"/>
    </row>
    <row r="924">
      <c r="A924" s="52"/>
      <c r="B924" s="52"/>
      <c r="C924" s="52"/>
      <c r="D924" s="52"/>
      <c r="E924" s="52"/>
      <c r="F924" s="52"/>
      <c r="G924" s="52"/>
      <c r="H924" s="52"/>
      <c r="I924" s="52"/>
      <c r="J924" s="52"/>
      <c r="K924" s="52"/>
      <c r="L924" s="52"/>
      <c r="M924" s="52"/>
      <c r="N924" s="52"/>
      <c r="O924" s="52"/>
      <c r="P924" s="61"/>
      <c r="Q924" s="61"/>
      <c r="R924" s="205"/>
      <c r="S924" s="52"/>
      <c r="T924" s="52"/>
      <c r="U924" s="52"/>
      <c r="V924" s="52"/>
      <c r="W924" s="52"/>
      <c r="X924" s="52"/>
      <c r="Y924" s="52"/>
      <c r="Z924" s="52"/>
      <c r="AA924" s="52"/>
      <c r="AB924" s="53"/>
    </row>
    <row r="925">
      <c r="A925" s="52"/>
      <c r="B925" s="52"/>
      <c r="C925" s="52"/>
      <c r="D925" s="52"/>
      <c r="E925" s="52"/>
      <c r="F925" s="52"/>
      <c r="G925" s="52"/>
      <c r="H925" s="52"/>
      <c r="I925" s="52"/>
      <c r="J925" s="52"/>
      <c r="K925" s="52"/>
      <c r="L925" s="52"/>
      <c r="M925" s="52"/>
      <c r="N925" s="52"/>
      <c r="O925" s="52"/>
      <c r="P925" s="61"/>
      <c r="Q925" s="61"/>
      <c r="R925" s="205"/>
      <c r="S925" s="52"/>
      <c r="T925" s="52"/>
      <c r="U925" s="52"/>
      <c r="V925" s="52"/>
      <c r="W925" s="52"/>
      <c r="X925" s="52"/>
      <c r="Y925" s="52"/>
      <c r="Z925" s="52"/>
      <c r="AA925" s="52"/>
      <c r="AB925" s="53"/>
    </row>
    <row r="926">
      <c r="A926" s="52"/>
      <c r="B926" s="52"/>
      <c r="C926" s="52"/>
      <c r="D926" s="52"/>
      <c r="E926" s="52"/>
      <c r="F926" s="52"/>
      <c r="G926" s="52"/>
      <c r="H926" s="52"/>
      <c r="I926" s="52"/>
      <c r="J926" s="52"/>
      <c r="K926" s="52"/>
      <c r="L926" s="52"/>
      <c r="M926" s="52"/>
      <c r="N926" s="52"/>
      <c r="O926" s="52"/>
      <c r="P926" s="61"/>
      <c r="Q926" s="61"/>
      <c r="R926" s="205"/>
      <c r="S926" s="52"/>
      <c r="T926" s="52"/>
      <c r="U926" s="52"/>
      <c r="V926" s="52"/>
      <c r="W926" s="52"/>
      <c r="X926" s="52"/>
      <c r="Y926" s="52"/>
      <c r="Z926" s="52"/>
      <c r="AA926" s="52"/>
      <c r="AB926" s="53"/>
    </row>
    <row r="927">
      <c r="A927" s="52"/>
      <c r="B927" s="52"/>
      <c r="C927" s="52"/>
      <c r="D927" s="52"/>
      <c r="E927" s="52"/>
      <c r="F927" s="52"/>
      <c r="G927" s="52"/>
      <c r="H927" s="52"/>
      <c r="I927" s="52"/>
      <c r="J927" s="52"/>
      <c r="K927" s="52"/>
      <c r="L927" s="52"/>
      <c r="M927" s="52"/>
      <c r="N927" s="52"/>
      <c r="O927" s="52"/>
      <c r="P927" s="61"/>
      <c r="Q927" s="61"/>
      <c r="R927" s="205"/>
      <c r="S927" s="52"/>
      <c r="T927" s="52"/>
      <c r="U927" s="52"/>
      <c r="V927" s="52"/>
      <c r="W927" s="52"/>
      <c r="X927" s="52"/>
      <c r="Y927" s="52"/>
      <c r="Z927" s="52"/>
      <c r="AA927" s="52"/>
      <c r="AB927" s="53"/>
    </row>
    <row r="928">
      <c r="A928" s="52"/>
      <c r="B928" s="52"/>
      <c r="C928" s="52"/>
      <c r="D928" s="52"/>
      <c r="E928" s="52"/>
      <c r="F928" s="52"/>
      <c r="G928" s="52"/>
      <c r="H928" s="52"/>
      <c r="I928" s="52"/>
      <c r="J928" s="52"/>
      <c r="K928" s="52"/>
      <c r="L928" s="52"/>
      <c r="M928" s="52"/>
      <c r="N928" s="52"/>
      <c r="O928" s="52"/>
      <c r="P928" s="61"/>
      <c r="Q928" s="61"/>
      <c r="R928" s="205"/>
      <c r="S928" s="52"/>
      <c r="T928" s="52"/>
      <c r="U928" s="52"/>
      <c r="V928" s="52"/>
      <c r="W928" s="52"/>
      <c r="X928" s="52"/>
      <c r="Y928" s="52"/>
      <c r="Z928" s="52"/>
      <c r="AA928" s="52"/>
      <c r="AB928" s="53"/>
    </row>
    <row r="929">
      <c r="A929" s="52"/>
      <c r="B929" s="52"/>
      <c r="C929" s="52"/>
      <c r="D929" s="52"/>
      <c r="E929" s="52"/>
      <c r="F929" s="52"/>
      <c r="G929" s="52"/>
      <c r="H929" s="52"/>
      <c r="I929" s="52"/>
      <c r="J929" s="52"/>
      <c r="K929" s="52"/>
      <c r="L929" s="52"/>
      <c r="M929" s="52"/>
      <c r="N929" s="52"/>
      <c r="O929" s="52"/>
      <c r="P929" s="61"/>
      <c r="Q929" s="61"/>
      <c r="R929" s="205"/>
      <c r="S929" s="52"/>
      <c r="T929" s="52"/>
      <c r="U929" s="52"/>
      <c r="V929" s="52"/>
      <c r="W929" s="52"/>
      <c r="X929" s="52"/>
      <c r="Y929" s="52"/>
      <c r="Z929" s="52"/>
      <c r="AA929" s="52"/>
      <c r="AB929" s="53"/>
    </row>
    <row r="930">
      <c r="A930" s="52"/>
      <c r="B930" s="52"/>
      <c r="C930" s="52"/>
      <c r="D930" s="52"/>
      <c r="E930" s="52"/>
      <c r="F930" s="52"/>
      <c r="G930" s="52"/>
      <c r="H930" s="52"/>
      <c r="I930" s="52"/>
      <c r="J930" s="52"/>
      <c r="K930" s="52"/>
      <c r="L930" s="52"/>
      <c r="M930" s="52"/>
      <c r="N930" s="52"/>
      <c r="O930" s="52"/>
      <c r="P930" s="61"/>
      <c r="Q930" s="61"/>
      <c r="R930" s="205"/>
      <c r="S930" s="52"/>
      <c r="T930" s="52"/>
      <c r="U930" s="52"/>
      <c r="V930" s="52"/>
      <c r="W930" s="52"/>
      <c r="X930" s="52"/>
      <c r="Y930" s="52"/>
      <c r="Z930" s="52"/>
      <c r="AA930" s="52"/>
      <c r="AB930" s="53"/>
    </row>
    <row r="931">
      <c r="A931" s="52"/>
      <c r="B931" s="52"/>
      <c r="C931" s="52"/>
      <c r="D931" s="52"/>
      <c r="E931" s="52"/>
      <c r="F931" s="52"/>
      <c r="G931" s="52"/>
      <c r="H931" s="52"/>
      <c r="I931" s="52"/>
      <c r="J931" s="52"/>
      <c r="K931" s="52"/>
      <c r="L931" s="52"/>
      <c r="M931" s="52"/>
      <c r="N931" s="52"/>
      <c r="O931" s="52"/>
      <c r="P931" s="61"/>
      <c r="Q931" s="61"/>
      <c r="R931" s="205"/>
      <c r="S931" s="52"/>
      <c r="T931" s="52"/>
      <c r="U931" s="52"/>
      <c r="V931" s="52"/>
      <c r="W931" s="52"/>
      <c r="X931" s="52"/>
      <c r="Y931" s="52"/>
      <c r="Z931" s="52"/>
      <c r="AA931" s="52"/>
      <c r="AB931" s="53"/>
    </row>
    <row r="932">
      <c r="A932" s="52"/>
      <c r="B932" s="52"/>
      <c r="C932" s="52"/>
      <c r="D932" s="52"/>
      <c r="E932" s="52"/>
      <c r="F932" s="52"/>
      <c r="G932" s="52"/>
      <c r="H932" s="52"/>
      <c r="I932" s="52"/>
      <c r="J932" s="52"/>
      <c r="K932" s="52"/>
      <c r="L932" s="52"/>
      <c r="M932" s="52"/>
      <c r="N932" s="52"/>
      <c r="O932" s="52"/>
      <c r="P932" s="61"/>
      <c r="Q932" s="61"/>
      <c r="R932" s="205"/>
      <c r="S932" s="52"/>
      <c r="T932" s="52"/>
      <c r="U932" s="52"/>
      <c r="V932" s="52"/>
      <c r="W932" s="52"/>
      <c r="X932" s="52"/>
      <c r="Y932" s="52"/>
      <c r="Z932" s="52"/>
      <c r="AA932" s="52"/>
      <c r="AB932" s="53"/>
    </row>
    <row r="933">
      <c r="A933" s="52"/>
      <c r="B933" s="52"/>
      <c r="C933" s="52"/>
      <c r="D933" s="52"/>
      <c r="E933" s="52"/>
      <c r="F933" s="52"/>
      <c r="G933" s="52"/>
      <c r="H933" s="52"/>
      <c r="I933" s="52"/>
      <c r="J933" s="52"/>
      <c r="K933" s="52"/>
      <c r="L933" s="52"/>
      <c r="M933" s="52"/>
      <c r="N933" s="52"/>
      <c r="O933" s="52"/>
      <c r="P933" s="61"/>
      <c r="Q933" s="61"/>
      <c r="R933" s="205"/>
      <c r="S933" s="52"/>
      <c r="T933" s="52"/>
      <c r="U933" s="52"/>
      <c r="V933" s="52"/>
      <c r="W933" s="52"/>
      <c r="X933" s="52"/>
      <c r="Y933" s="52"/>
      <c r="Z933" s="52"/>
      <c r="AA933" s="52"/>
      <c r="AB933" s="53"/>
    </row>
    <row r="934">
      <c r="A934" s="52"/>
      <c r="B934" s="52"/>
      <c r="C934" s="52"/>
      <c r="D934" s="52"/>
      <c r="E934" s="52"/>
      <c r="F934" s="52"/>
      <c r="G934" s="52"/>
      <c r="H934" s="52"/>
      <c r="I934" s="52"/>
      <c r="J934" s="52"/>
      <c r="K934" s="52"/>
      <c r="L934" s="52"/>
      <c r="M934" s="52"/>
      <c r="N934" s="52"/>
      <c r="O934" s="52"/>
      <c r="P934" s="61"/>
      <c r="Q934" s="61"/>
      <c r="R934" s="205"/>
      <c r="S934" s="52"/>
      <c r="T934" s="52"/>
      <c r="U934" s="52"/>
      <c r="V934" s="52"/>
      <c r="W934" s="52"/>
      <c r="X934" s="52"/>
      <c r="Y934" s="52"/>
      <c r="Z934" s="52"/>
      <c r="AA934" s="52"/>
      <c r="AB934" s="53"/>
    </row>
    <row r="935">
      <c r="A935" s="52"/>
      <c r="B935" s="52"/>
      <c r="C935" s="52"/>
      <c r="D935" s="52"/>
      <c r="E935" s="52"/>
      <c r="F935" s="52"/>
      <c r="G935" s="52"/>
      <c r="H935" s="52"/>
      <c r="I935" s="52"/>
      <c r="J935" s="52"/>
      <c r="K935" s="52"/>
      <c r="L935" s="52"/>
      <c r="M935" s="52"/>
      <c r="N935" s="52"/>
      <c r="O935" s="52"/>
      <c r="P935" s="61"/>
      <c r="Q935" s="61"/>
      <c r="R935" s="205"/>
      <c r="S935" s="52"/>
      <c r="T935" s="52"/>
      <c r="U935" s="52"/>
      <c r="V935" s="52"/>
      <c r="W935" s="52"/>
      <c r="X935" s="52"/>
      <c r="Y935" s="52"/>
      <c r="Z935" s="52"/>
      <c r="AA935" s="52"/>
      <c r="AB935" s="53"/>
    </row>
    <row r="936">
      <c r="A936" s="52"/>
      <c r="B936" s="52"/>
      <c r="C936" s="52"/>
      <c r="D936" s="52"/>
      <c r="E936" s="52"/>
      <c r="F936" s="52"/>
      <c r="G936" s="52"/>
      <c r="H936" s="52"/>
      <c r="I936" s="52"/>
      <c r="J936" s="52"/>
      <c r="K936" s="52"/>
      <c r="L936" s="52"/>
      <c r="M936" s="52"/>
      <c r="N936" s="52"/>
      <c r="O936" s="52"/>
      <c r="P936" s="61"/>
      <c r="Q936" s="61"/>
      <c r="R936" s="205"/>
      <c r="S936" s="52"/>
      <c r="T936" s="52"/>
      <c r="U936" s="52"/>
      <c r="V936" s="52"/>
      <c r="W936" s="52"/>
      <c r="X936" s="52"/>
      <c r="Y936" s="52"/>
      <c r="Z936" s="52"/>
      <c r="AA936" s="52"/>
      <c r="AB936" s="53"/>
    </row>
    <row r="937">
      <c r="A937" s="52"/>
      <c r="B937" s="52"/>
      <c r="C937" s="52"/>
      <c r="D937" s="52"/>
      <c r="E937" s="52"/>
      <c r="F937" s="52"/>
      <c r="G937" s="52"/>
      <c r="H937" s="52"/>
      <c r="I937" s="52"/>
      <c r="J937" s="52"/>
      <c r="K937" s="52"/>
      <c r="L937" s="52"/>
      <c r="M937" s="52"/>
      <c r="N937" s="52"/>
      <c r="O937" s="52"/>
      <c r="P937" s="61"/>
      <c r="Q937" s="61"/>
      <c r="R937" s="205"/>
      <c r="S937" s="52"/>
      <c r="T937" s="52"/>
      <c r="U937" s="52"/>
      <c r="V937" s="52"/>
      <c r="W937" s="52"/>
      <c r="X937" s="52"/>
      <c r="Y937" s="52"/>
      <c r="Z937" s="52"/>
      <c r="AA937" s="52"/>
      <c r="AB937" s="53"/>
    </row>
    <row r="938">
      <c r="A938" s="52"/>
      <c r="B938" s="52"/>
      <c r="C938" s="52"/>
      <c r="D938" s="52"/>
      <c r="E938" s="52"/>
      <c r="F938" s="52"/>
      <c r="G938" s="52"/>
      <c r="H938" s="52"/>
      <c r="I938" s="52"/>
      <c r="J938" s="52"/>
      <c r="K938" s="52"/>
      <c r="L938" s="52"/>
      <c r="M938" s="52"/>
      <c r="N938" s="52"/>
      <c r="O938" s="52"/>
      <c r="P938" s="61"/>
      <c r="Q938" s="61"/>
      <c r="R938" s="205"/>
      <c r="S938" s="52"/>
      <c r="T938" s="52"/>
      <c r="U938" s="52"/>
      <c r="V938" s="52"/>
      <c r="W938" s="52"/>
      <c r="X938" s="52"/>
      <c r="Y938" s="52"/>
      <c r="Z938" s="52"/>
      <c r="AA938" s="52"/>
      <c r="AB938" s="53"/>
    </row>
    <row r="939">
      <c r="A939" s="52"/>
      <c r="B939" s="52"/>
      <c r="C939" s="52"/>
      <c r="D939" s="52"/>
      <c r="E939" s="52"/>
      <c r="F939" s="52"/>
      <c r="G939" s="52"/>
      <c r="H939" s="52"/>
      <c r="I939" s="52"/>
      <c r="J939" s="52"/>
      <c r="K939" s="52"/>
      <c r="L939" s="52"/>
      <c r="M939" s="52"/>
      <c r="N939" s="52"/>
      <c r="O939" s="52"/>
      <c r="P939" s="61"/>
      <c r="Q939" s="61"/>
      <c r="R939" s="205"/>
      <c r="S939" s="52"/>
      <c r="T939" s="52"/>
      <c r="U939" s="52"/>
      <c r="V939" s="52"/>
      <c r="W939" s="52"/>
      <c r="X939" s="52"/>
      <c r="Y939" s="52"/>
      <c r="Z939" s="52"/>
      <c r="AA939" s="52"/>
      <c r="AB939" s="53"/>
    </row>
    <row r="940">
      <c r="A940" s="52"/>
      <c r="B940" s="52"/>
      <c r="C940" s="52"/>
      <c r="D940" s="52"/>
      <c r="E940" s="52"/>
      <c r="F940" s="52"/>
      <c r="G940" s="52"/>
      <c r="H940" s="52"/>
      <c r="I940" s="52"/>
      <c r="J940" s="52"/>
      <c r="K940" s="52"/>
      <c r="L940" s="52"/>
      <c r="M940" s="52"/>
      <c r="N940" s="52"/>
      <c r="O940" s="52"/>
      <c r="P940" s="61"/>
      <c r="Q940" s="61"/>
      <c r="R940" s="205"/>
      <c r="S940" s="52"/>
      <c r="T940" s="52"/>
      <c r="U940" s="52"/>
      <c r="V940" s="52"/>
      <c r="W940" s="52"/>
      <c r="X940" s="52"/>
      <c r="Y940" s="52"/>
      <c r="Z940" s="52"/>
      <c r="AA940" s="52"/>
      <c r="AB940" s="53"/>
    </row>
    <row r="941">
      <c r="A941" s="52"/>
      <c r="B941" s="52"/>
      <c r="C941" s="52"/>
      <c r="D941" s="52"/>
      <c r="E941" s="52"/>
      <c r="F941" s="52"/>
      <c r="G941" s="52"/>
      <c r="H941" s="52"/>
      <c r="I941" s="52"/>
      <c r="J941" s="52"/>
      <c r="K941" s="52"/>
      <c r="L941" s="52"/>
      <c r="M941" s="52"/>
      <c r="N941" s="52"/>
      <c r="O941" s="52"/>
      <c r="P941" s="61"/>
      <c r="Q941" s="61"/>
      <c r="R941" s="205"/>
      <c r="S941" s="52"/>
      <c r="T941" s="52"/>
      <c r="U941" s="52"/>
      <c r="V941" s="52"/>
      <c r="W941" s="52"/>
      <c r="X941" s="52"/>
      <c r="Y941" s="52"/>
      <c r="Z941" s="52"/>
      <c r="AA941" s="52"/>
      <c r="AB941" s="53"/>
    </row>
    <row r="942">
      <c r="A942" s="52"/>
      <c r="B942" s="52"/>
      <c r="C942" s="52"/>
      <c r="D942" s="52"/>
      <c r="E942" s="52"/>
      <c r="F942" s="52"/>
      <c r="G942" s="52"/>
      <c r="H942" s="52"/>
      <c r="I942" s="52"/>
      <c r="J942" s="52"/>
      <c r="K942" s="52"/>
      <c r="L942" s="52"/>
      <c r="M942" s="52"/>
      <c r="N942" s="52"/>
      <c r="O942" s="52"/>
      <c r="P942" s="61"/>
      <c r="Q942" s="61"/>
      <c r="R942" s="205"/>
      <c r="S942" s="52"/>
      <c r="T942" s="52"/>
      <c r="U942" s="52"/>
      <c r="V942" s="52"/>
      <c r="W942" s="52"/>
      <c r="X942" s="52"/>
      <c r="Y942" s="52"/>
      <c r="Z942" s="52"/>
      <c r="AA942" s="52"/>
      <c r="AB942" s="53"/>
    </row>
    <row r="943">
      <c r="A943" s="52"/>
      <c r="B943" s="52"/>
      <c r="C943" s="52"/>
      <c r="D943" s="52"/>
      <c r="E943" s="52"/>
      <c r="F943" s="52"/>
      <c r="G943" s="52"/>
      <c r="H943" s="52"/>
      <c r="I943" s="52"/>
      <c r="J943" s="52"/>
      <c r="K943" s="52"/>
      <c r="L943" s="52"/>
      <c r="M943" s="52"/>
      <c r="N943" s="52"/>
      <c r="O943" s="52"/>
      <c r="P943" s="61"/>
      <c r="Q943" s="61"/>
      <c r="R943" s="205"/>
      <c r="S943" s="52"/>
      <c r="T943" s="52"/>
      <c r="U943" s="52"/>
      <c r="V943" s="52"/>
      <c r="W943" s="52"/>
      <c r="X943" s="52"/>
      <c r="Y943" s="52"/>
      <c r="Z943" s="52"/>
      <c r="AA943" s="52"/>
      <c r="AB943" s="53"/>
    </row>
    <row r="944">
      <c r="A944" s="52"/>
      <c r="B944" s="52"/>
      <c r="C944" s="52"/>
      <c r="D944" s="52"/>
      <c r="E944" s="52"/>
      <c r="F944" s="52"/>
      <c r="G944" s="52"/>
      <c r="H944" s="52"/>
      <c r="I944" s="52"/>
      <c r="J944" s="52"/>
      <c r="K944" s="52"/>
      <c r="L944" s="52"/>
      <c r="M944" s="52"/>
      <c r="N944" s="52"/>
      <c r="O944" s="52"/>
      <c r="P944" s="61"/>
      <c r="Q944" s="61"/>
      <c r="R944" s="205"/>
      <c r="S944" s="52"/>
      <c r="T944" s="52"/>
      <c r="U944" s="52"/>
      <c r="V944" s="52"/>
      <c r="W944" s="52"/>
      <c r="X944" s="52"/>
      <c r="Y944" s="52"/>
      <c r="Z944" s="52"/>
      <c r="AA944" s="52"/>
      <c r="AB944" s="53"/>
    </row>
    <row r="945">
      <c r="A945" s="52"/>
      <c r="B945" s="52"/>
      <c r="C945" s="52"/>
      <c r="D945" s="52"/>
      <c r="E945" s="52"/>
      <c r="F945" s="52"/>
      <c r="G945" s="52"/>
      <c r="H945" s="52"/>
      <c r="I945" s="52"/>
      <c r="J945" s="52"/>
      <c r="K945" s="52"/>
      <c r="L945" s="52"/>
      <c r="M945" s="52"/>
      <c r="N945" s="52"/>
      <c r="O945" s="52"/>
      <c r="P945" s="61"/>
      <c r="Q945" s="61"/>
      <c r="R945" s="205"/>
      <c r="S945" s="52"/>
      <c r="T945" s="52"/>
      <c r="U945" s="52"/>
      <c r="V945" s="52"/>
      <c r="W945" s="52"/>
      <c r="X945" s="52"/>
      <c r="Y945" s="52"/>
      <c r="Z945" s="52"/>
      <c r="AA945" s="52"/>
      <c r="AB945" s="53"/>
    </row>
    <row r="946">
      <c r="A946" s="52"/>
      <c r="B946" s="52"/>
      <c r="C946" s="52"/>
      <c r="D946" s="52"/>
      <c r="E946" s="52"/>
      <c r="F946" s="52"/>
      <c r="G946" s="52"/>
      <c r="H946" s="52"/>
      <c r="I946" s="52"/>
      <c r="J946" s="52"/>
      <c r="K946" s="52"/>
      <c r="L946" s="52"/>
      <c r="M946" s="52"/>
      <c r="N946" s="52"/>
      <c r="O946" s="52"/>
      <c r="P946" s="61"/>
      <c r="Q946" s="61"/>
      <c r="R946" s="205"/>
      <c r="S946" s="52"/>
      <c r="T946" s="52"/>
      <c r="U946" s="52"/>
      <c r="V946" s="52"/>
      <c r="W946" s="52"/>
      <c r="X946" s="52"/>
      <c r="Y946" s="52"/>
      <c r="Z946" s="52"/>
      <c r="AA946" s="52"/>
      <c r="AB946" s="53"/>
    </row>
    <row r="947">
      <c r="A947" s="52"/>
      <c r="B947" s="52"/>
      <c r="C947" s="52"/>
      <c r="D947" s="52"/>
      <c r="E947" s="52"/>
      <c r="F947" s="52"/>
      <c r="G947" s="52"/>
      <c r="H947" s="52"/>
      <c r="I947" s="52"/>
      <c r="J947" s="52"/>
      <c r="K947" s="52"/>
      <c r="L947" s="52"/>
      <c r="M947" s="52"/>
      <c r="N947" s="52"/>
      <c r="O947" s="52"/>
      <c r="P947" s="61"/>
      <c r="Q947" s="61"/>
      <c r="R947" s="205"/>
      <c r="S947" s="52"/>
      <c r="T947" s="52"/>
      <c r="U947" s="52"/>
      <c r="V947" s="52"/>
      <c r="W947" s="52"/>
      <c r="X947" s="52"/>
      <c r="Y947" s="52"/>
      <c r="Z947" s="52"/>
      <c r="AA947" s="52"/>
      <c r="AB947" s="53"/>
    </row>
    <row r="948">
      <c r="A948" s="52"/>
      <c r="B948" s="52"/>
      <c r="C948" s="52"/>
      <c r="D948" s="52"/>
      <c r="E948" s="52"/>
      <c r="F948" s="52"/>
      <c r="G948" s="52"/>
      <c r="H948" s="52"/>
      <c r="I948" s="52"/>
      <c r="J948" s="52"/>
      <c r="K948" s="52"/>
      <c r="L948" s="52"/>
      <c r="M948" s="52"/>
      <c r="N948" s="52"/>
      <c r="O948" s="52"/>
      <c r="P948" s="61"/>
      <c r="Q948" s="61"/>
      <c r="R948" s="205"/>
      <c r="S948" s="52"/>
      <c r="T948" s="52"/>
      <c r="U948" s="52"/>
      <c r="V948" s="52"/>
      <c r="W948" s="52"/>
      <c r="X948" s="52"/>
      <c r="Y948" s="52"/>
      <c r="Z948" s="52"/>
      <c r="AA948" s="52"/>
      <c r="AB948" s="53"/>
    </row>
    <row r="949">
      <c r="A949" s="52"/>
      <c r="B949" s="52"/>
      <c r="C949" s="52"/>
      <c r="D949" s="52"/>
      <c r="E949" s="52"/>
      <c r="F949" s="52"/>
      <c r="G949" s="52"/>
      <c r="H949" s="52"/>
      <c r="I949" s="52"/>
      <c r="J949" s="52"/>
      <c r="K949" s="52"/>
      <c r="L949" s="52"/>
      <c r="M949" s="52"/>
      <c r="N949" s="52"/>
      <c r="O949" s="52"/>
      <c r="P949" s="61"/>
      <c r="Q949" s="61"/>
      <c r="R949" s="205"/>
      <c r="S949" s="52"/>
      <c r="T949" s="52"/>
      <c r="U949" s="52"/>
      <c r="V949" s="52"/>
      <c r="W949" s="52"/>
      <c r="X949" s="52"/>
      <c r="Y949" s="52"/>
      <c r="Z949" s="52"/>
      <c r="AA949" s="52"/>
      <c r="AB949" s="53"/>
    </row>
    <row r="950">
      <c r="A950" s="52"/>
      <c r="B950" s="52"/>
      <c r="C950" s="52"/>
      <c r="D950" s="52"/>
      <c r="E950" s="52"/>
      <c r="F950" s="52"/>
      <c r="G950" s="52"/>
      <c r="H950" s="52"/>
      <c r="I950" s="52"/>
      <c r="J950" s="52"/>
      <c r="K950" s="52"/>
      <c r="L950" s="52"/>
      <c r="M950" s="52"/>
      <c r="N950" s="52"/>
      <c r="O950" s="52"/>
      <c r="P950" s="61"/>
      <c r="Q950" s="61"/>
      <c r="R950" s="205"/>
      <c r="S950" s="52"/>
      <c r="T950" s="52"/>
      <c r="U950" s="52"/>
      <c r="V950" s="52"/>
      <c r="W950" s="52"/>
      <c r="X950" s="52"/>
      <c r="Y950" s="52"/>
      <c r="Z950" s="52"/>
      <c r="AA950" s="52"/>
      <c r="AB950" s="53"/>
    </row>
    <row r="951">
      <c r="A951" s="52"/>
      <c r="B951" s="52"/>
      <c r="C951" s="52"/>
      <c r="D951" s="52"/>
      <c r="E951" s="52"/>
      <c r="F951" s="52"/>
      <c r="G951" s="52"/>
      <c r="H951" s="52"/>
      <c r="I951" s="52"/>
      <c r="J951" s="52"/>
      <c r="K951" s="52"/>
      <c r="L951" s="52"/>
      <c r="M951" s="52"/>
      <c r="N951" s="52"/>
      <c r="O951" s="52"/>
      <c r="P951" s="61"/>
      <c r="Q951" s="61"/>
      <c r="R951" s="205"/>
      <c r="S951" s="52"/>
      <c r="T951" s="52"/>
      <c r="U951" s="52"/>
      <c r="V951" s="52"/>
      <c r="W951" s="52"/>
      <c r="X951" s="52"/>
      <c r="Y951" s="52"/>
      <c r="Z951" s="52"/>
      <c r="AA951" s="52"/>
      <c r="AB951" s="53"/>
    </row>
    <row r="952">
      <c r="A952" s="52"/>
      <c r="B952" s="52"/>
      <c r="C952" s="52"/>
      <c r="D952" s="52"/>
      <c r="E952" s="52"/>
      <c r="F952" s="52"/>
      <c r="G952" s="52"/>
      <c r="H952" s="52"/>
      <c r="I952" s="52"/>
      <c r="J952" s="52"/>
      <c r="K952" s="52"/>
      <c r="L952" s="52"/>
      <c r="M952" s="52"/>
      <c r="N952" s="52"/>
      <c r="O952" s="52"/>
      <c r="P952" s="61"/>
      <c r="Q952" s="61"/>
      <c r="R952" s="205"/>
      <c r="S952" s="52"/>
      <c r="T952" s="52"/>
      <c r="U952" s="52"/>
      <c r="V952" s="52"/>
      <c r="W952" s="52"/>
      <c r="X952" s="52"/>
      <c r="Y952" s="52"/>
      <c r="Z952" s="52"/>
      <c r="AA952" s="52"/>
      <c r="AB952" s="53"/>
    </row>
    <row r="953">
      <c r="A953" s="52"/>
      <c r="B953" s="52"/>
      <c r="C953" s="52"/>
      <c r="D953" s="52"/>
      <c r="E953" s="52"/>
      <c r="F953" s="52"/>
      <c r="G953" s="52"/>
      <c r="H953" s="52"/>
      <c r="I953" s="52"/>
      <c r="J953" s="52"/>
      <c r="K953" s="52"/>
      <c r="L953" s="52"/>
      <c r="M953" s="52"/>
      <c r="N953" s="52"/>
      <c r="O953" s="52"/>
      <c r="P953" s="61"/>
      <c r="Q953" s="61"/>
      <c r="R953" s="205"/>
      <c r="S953" s="52"/>
      <c r="T953" s="52"/>
      <c r="U953" s="52"/>
      <c r="V953" s="52"/>
      <c r="W953" s="52"/>
      <c r="X953" s="52"/>
      <c r="Y953" s="52"/>
      <c r="Z953" s="52"/>
      <c r="AA953" s="52"/>
      <c r="AB953" s="53"/>
    </row>
    <row r="954">
      <c r="A954" s="52"/>
      <c r="B954" s="52"/>
      <c r="C954" s="52"/>
      <c r="D954" s="52"/>
      <c r="E954" s="52"/>
      <c r="F954" s="52"/>
      <c r="G954" s="52"/>
      <c r="H954" s="52"/>
      <c r="I954" s="52"/>
      <c r="J954" s="52"/>
      <c r="K954" s="52"/>
      <c r="L954" s="52"/>
      <c r="M954" s="52"/>
      <c r="N954" s="52"/>
      <c r="O954" s="52"/>
      <c r="P954" s="61"/>
      <c r="Q954" s="61"/>
      <c r="R954" s="205"/>
      <c r="S954" s="52"/>
      <c r="T954" s="52"/>
      <c r="U954" s="52"/>
      <c r="V954" s="52"/>
      <c r="W954" s="52"/>
      <c r="X954" s="52"/>
      <c r="Y954" s="52"/>
      <c r="Z954" s="52"/>
      <c r="AA954" s="52"/>
      <c r="AB954" s="53"/>
    </row>
    <row r="955">
      <c r="A955" s="52"/>
      <c r="B955" s="52"/>
      <c r="C955" s="52"/>
      <c r="D955" s="52"/>
      <c r="E955" s="52"/>
      <c r="F955" s="52"/>
      <c r="G955" s="52"/>
      <c r="H955" s="52"/>
      <c r="I955" s="52"/>
      <c r="J955" s="52"/>
      <c r="K955" s="52"/>
      <c r="L955" s="52"/>
      <c r="M955" s="52"/>
      <c r="N955" s="52"/>
      <c r="O955" s="52"/>
      <c r="P955" s="61"/>
      <c r="Q955" s="61"/>
      <c r="R955" s="205"/>
      <c r="S955" s="52"/>
      <c r="T955" s="52"/>
      <c r="U955" s="52"/>
      <c r="V955" s="52"/>
      <c r="W955" s="52"/>
      <c r="X955" s="52"/>
      <c r="Y955" s="52"/>
      <c r="Z955" s="52"/>
      <c r="AA955" s="52"/>
      <c r="AB955" s="53"/>
    </row>
    <row r="956">
      <c r="A956" s="52"/>
      <c r="B956" s="52"/>
      <c r="C956" s="52"/>
      <c r="D956" s="52"/>
      <c r="E956" s="52"/>
      <c r="F956" s="52"/>
      <c r="G956" s="52"/>
      <c r="H956" s="52"/>
      <c r="I956" s="52"/>
      <c r="J956" s="52"/>
      <c r="K956" s="52"/>
      <c r="L956" s="52"/>
      <c r="M956" s="52"/>
      <c r="N956" s="52"/>
      <c r="O956" s="52"/>
      <c r="P956" s="61"/>
      <c r="Q956" s="61"/>
      <c r="R956" s="205"/>
      <c r="S956" s="52"/>
      <c r="T956" s="52"/>
      <c r="U956" s="52"/>
      <c r="V956" s="52"/>
      <c r="W956" s="52"/>
      <c r="X956" s="52"/>
      <c r="Y956" s="52"/>
      <c r="Z956" s="52"/>
      <c r="AA956" s="52"/>
      <c r="AB956" s="53"/>
    </row>
    <row r="957">
      <c r="A957" s="52"/>
      <c r="B957" s="52"/>
      <c r="C957" s="52"/>
      <c r="D957" s="52"/>
      <c r="E957" s="52"/>
      <c r="F957" s="52"/>
      <c r="G957" s="52"/>
      <c r="H957" s="52"/>
      <c r="I957" s="52"/>
      <c r="J957" s="52"/>
      <c r="K957" s="52"/>
      <c r="L957" s="52"/>
      <c r="M957" s="52"/>
      <c r="N957" s="52"/>
      <c r="O957" s="52"/>
      <c r="P957" s="61"/>
      <c r="Q957" s="61"/>
      <c r="R957" s="205"/>
      <c r="S957" s="52"/>
      <c r="T957" s="52"/>
      <c r="U957" s="52"/>
      <c r="V957" s="52"/>
      <c r="W957" s="52"/>
      <c r="X957" s="52"/>
      <c r="Y957" s="52"/>
      <c r="Z957" s="52"/>
      <c r="AA957" s="52"/>
      <c r="AB957" s="53"/>
    </row>
    <row r="958">
      <c r="A958" s="52"/>
      <c r="B958" s="52"/>
      <c r="C958" s="52"/>
      <c r="D958" s="52"/>
      <c r="E958" s="52"/>
      <c r="F958" s="52"/>
      <c r="G958" s="52"/>
      <c r="H958" s="52"/>
      <c r="I958" s="52"/>
      <c r="J958" s="52"/>
      <c r="K958" s="52"/>
      <c r="L958" s="52"/>
      <c r="M958" s="52"/>
      <c r="N958" s="52"/>
      <c r="O958" s="52"/>
      <c r="P958" s="61"/>
      <c r="Q958" s="61"/>
      <c r="R958" s="205"/>
      <c r="S958" s="52"/>
      <c r="T958" s="52"/>
      <c r="U958" s="52"/>
      <c r="V958" s="52"/>
      <c r="W958" s="52"/>
      <c r="X958" s="52"/>
      <c r="Y958" s="52"/>
      <c r="Z958" s="52"/>
      <c r="AA958" s="52"/>
      <c r="AB958" s="53"/>
    </row>
    <row r="959">
      <c r="A959" s="52"/>
      <c r="B959" s="52"/>
      <c r="C959" s="52"/>
      <c r="D959" s="52"/>
      <c r="E959" s="52"/>
      <c r="F959" s="52"/>
      <c r="G959" s="52"/>
      <c r="H959" s="52"/>
      <c r="I959" s="52"/>
      <c r="J959" s="52"/>
      <c r="K959" s="52"/>
      <c r="L959" s="52"/>
      <c r="M959" s="52"/>
      <c r="N959" s="52"/>
      <c r="O959" s="52"/>
      <c r="P959" s="61"/>
      <c r="Q959" s="61"/>
      <c r="R959" s="205"/>
      <c r="S959" s="52"/>
      <c r="T959" s="52"/>
      <c r="U959" s="52"/>
      <c r="V959" s="52"/>
      <c r="W959" s="52"/>
      <c r="X959" s="52"/>
      <c r="Y959" s="52"/>
      <c r="Z959" s="52"/>
      <c r="AA959" s="52"/>
      <c r="AB959" s="53"/>
    </row>
    <row r="960">
      <c r="A960" s="52"/>
      <c r="B960" s="52"/>
      <c r="C960" s="52"/>
      <c r="D960" s="52"/>
      <c r="E960" s="52"/>
      <c r="F960" s="52"/>
      <c r="G960" s="52"/>
      <c r="H960" s="52"/>
      <c r="I960" s="52"/>
      <c r="J960" s="52"/>
      <c r="K960" s="52"/>
      <c r="L960" s="52"/>
      <c r="M960" s="52"/>
      <c r="N960" s="52"/>
      <c r="O960" s="52"/>
      <c r="P960" s="61"/>
      <c r="Q960" s="61"/>
      <c r="R960" s="205"/>
      <c r="S960" s="52"/>
      <c r="T960" s="52"/>
      <c r="U960" s="52"/>
      <c r="V960" s="52"/>
      <c r="W960" s="52"/>
      <c r="X960" s="52"/>
      <c r="Y960" s="52"/>
      <c r="Z960" s="52"/>
      <c r="AA960" s="52"/>
      <c r="AB960" s="53"/>
    </row>
    <row r="961">
      <c r="A961" s="52"/>
      <c r="B961" s="52"/>
      <c r="C961" s="52"/>
      <c r="D961" s="52"/>
      <c r="E961" s="52"/>
      <c r="F961" s="52"/>
      <c r="G961" s="52"/>
      <c r="H961" s="52"/>
      <c r="I961" s="52"/>
      <c r="J961" s="52"/>
      <c r="K961" s="52"/>
      <c r="L961" s="52"/>
      <c r="M961" s="52"/>
      <c r="N961" s="52"/>
      <c r="O961" s="52"/>
      <c r="P961" s="61"/>
      <c r="Q961" s="61"/>
      <c r="R961" s="205"/>
      <c r="S961" s="52"/>
      <c r="T961" s="52"/>
      <c r="U961" s="52"/>
      <c r="V961" s="52"/>
      <c r="W961" s="52"/>
      <c r="X961" s="52"/>
      <c r="Y961" s="52"/>
      <c r="Z961" s="52"/>
      <c r="AA961" s="52"/>
      <c r="AB961" s="53"/>
    </row>
    <row r="962">
      <c r="A962" s="52"/>
      <c r="B962" s="52"/>
      <c r="C962" s="52"/>
      <c r="D962" s="52"/>
      <c r="E962" s="52"/>
      <c r="F962" s="52"/>
      <c r="G962" s="52"/>
      <c r="H962" s="52"/>
      <c r="I962" s="52"/>
      <c r="J962" s="52"/>
      <c r="K962" s="52"/>
      <c r="L962" s="52"/>
      <c r="M962" s="52"/>
      <c r="N962" s="52"/>
      <c r="O962" s="52"/>
      <c r="P962" s="61"/>
      <c r="Q962" s="61"/>
      <c r="R962" s="205"/>
      <c r="S962" s="52"/>
      <c r="T962" s="52"/>
      <c r="U962" s="52"/>
      <c r="V962" s="52"/>
      <c r="W962" s="52"/>
      <c r="X962" s="52"/>
      <c r="Y962" s="52"/>
      <c r="Z962" s="52"/>
      <c r="AA962" s="52"/>
      <c r="AB962" s="53"/>
    </row>
    <row r="963">
      <c r="A963" s="52"/>
      <c r="B963" s="52"/>
      <c r="C963" s="52"/>
      <c r="D963" s="52"/>
      <c r="E963" s="52"/>
      <c r="F963" s="52"/>
      <c r="G963" s="52"/>
      <c r="H963" s="52"/>
      <c r="I963" s="52"/>
      <c r="J963" s="52"/>
      <c r="K963" s="52"/>
      <c r="L963" s="52"/>
      <c r="M963" s="52"/>
      <c r="N963" s="52"/>
      <c r="O963" s="52"/>
      <c r="P963" s="61"/>
      <c r="Q963" s="61"/>
      <c r="R963" s="205"/>
      <c r="S963" s="52"/>
      <c r="T963" s="52"/>
      <c r="U963" s="52"/>
      <c r="V963" s="52"/>
      <c r="W963" s="52"/>
      <c r="X963" s="52"/>
      <c r="Y963" s="52"/>
      <c r="Z963" s="52"/>
      <c r="AA963" s="52"/>
      <c r="AB963" s="53"/>
    </row>
    <row r="964">
      <c r="A964" s="52"/>
      <c r="B964" s="52"/>
      <c r="C964" s="52"/>
      <c r="D964" s="52"/>
      <c r="E964" s="52"/>
      <c r="F964" s="52"/>
      <c r="G964" s="52"/>
      <c r="H964" s="52"/>
      <c r="I964" s="52"/>
      <c r="J964" s="52"/>
      <c r="K964" s="52"/>
      <c r="L964" s="52"/>
      <c r="M964" s="52"/>
      <c r="N964" s="52"/>
      <c r="O964" s="52"/>
      <c r="P964" s="61"/>
      <c r="Q964" s="61"/>
      <c r="R964" s="205"/>
      <c r="S964" s="52"/>
      <c r="T964" s="52"/>
      <c r="U964" s="52"/>
      <c r="V964" s="52"/>
      <c r="W964" s="52"/>
      <c r="X964" s="52"/>
      <c r="Y964" s="52"/>
      <c r="Z964" s="52"/>
      <c r="AA964" s="52"/>
      <c r="AB964" s="53"/>
    </row>
    <row r="965">
      <c r="A965" s="52"/>
      <c r="B965" s="52"/>
      <c r="C965" s="52"/>
      <c r="D965" s="52"/>
      <c r="E965" s="52"/>
      <c r="F965" s="52"/>
      <c r="G965" s="52"/>
      <c r="H965" s="52"/>
      <c r="I965" s="52"/>
      <c r="J965" s="52"/>
      <c r="K965" s="52"/>
      <c r="L965" s="52"/>
      <c r="M965" s="52"/>
      <c r="N965" s="52"/>
      <c r="O965" s="52"/>
      <c r="P965" s="61"/>
      <c r="Q965" s="61"/>
      <c r="R965" s="205"/>
      <c r="S965" s="52"/>
      <c r="T965" s="52"/>
      <c r="U965" s="52"/>
      <c r="V965" s="52"/>
      <c r="W965" s="52"/>
      <c r="X965" s="52"/>
      <c r="Y965" s="52"/>
      <c r="Z965" s="52"/>
      <c r="AA965" s="52"/>
      <c r="AB965" s="53"/>
    </row>
    <row r="966">
      <c r="A966" s="52"/>
      <c r="B966" s="52"/>
      <c r="C966" s="52"/>
      <c r="D966" s="52"/>
      <c r="E966" s="52"/>
      <c r="F966" s="52"/>
      <c r="G966" s="52"/>
      <c r="H966" s="52"/>
      <c r="I966" s="52"/>
      <c r="J966" s="52"/>
      <c r="K966" s="52"/>
      <c r="L966" s="52"/>
      <c r="M966" s="52"/>
      <c r="N966" s="52"/>
      <c r="O966" s="52"/>
      <c r="P966" s="61"/>
      <c r="Q966" s="61"/>
      <c r="R966" s="205"/>
      <c r="S966" s="52"/>
      <c r="T966" s="52"/>
      <c r="U966" s="52"/>
      <c r="V966" s="52"/>
      <c r="W966" s="52"/>
      <c r="X966" s="52"/>
      <c r="Y966" s="52"/>
      <c r="Z966" s="52"/>
      <c r="AA966" s="52"/>
      <c r="AB966" s="53"/>
    </row>
    <row r="967">
      <c r="A967" s="52"/>
      <c r="B967" s="52"/>
      <c r="C967" s="52"/>
      <c r="D967" s="52"/>
      <c r="E967" s="52"/>
      <c r="F967" s="52"/>
      <c r="G967" s="52"/>
      <c r="H967" s="52"/>
      <c r="I967" s="52"/>
      <c r="J967" s="52"/>
      <c r="K967" s="52"/>
      <c r="L967" s="52"/>
      <c r="M967" s="52"/>
      <c r="N967" s="52"/>
      <c r="O967" s="52"/>
      <c r="P967" s="61"/>
      <c r="Q967" s="61"/>
      <c r="R967" s="205"/>
      <c r="S967" s="52"/>
      <c r="T967" s="52"/>
      <c r="U967" s="52"/>
      <c r="V967" s="52"/>
      <c r="W967" s="52"/>
      <c r="X967" s="52"/>
      <c r="Y967" s="52"/>
      <c r="Z967" s="52"/>
      <c r="AA967" s="52"/>
      <c r="AB967" s="53"/>
    </row>
    <row r="968">
      <c r="A968" s="52"/>
      <c r="B968" s="52"/>
      <c r="C968" s="52"/>
      <c r="D968" s="52"/>
      <c r="E968" s="52"/>
      <c r="F968" s="52"/>
      <c r="G968" s="52"/>
      <c r="H968" s="52"/>
      <c r="I968" s="52"/>
      <c r="J968" s="52"/>
      <c r="K968" s="52"/>
      <c r="L968" s="52"/>
      <c r="M968" s="52"/>
      <c r="N968" s="52"/>
      <c r="O968" s="52"/>
      <c r="P968" s="61"/>
      <c r="Q968" s="61"/>
      <c r="R968" s="205"/>
      <c r="S968" s="52"/>
      <c r="T968" s="52"/>
      <c r="U968" s="52"/>
      <c r="V968" s="52"/>
      <c r="W968" s="52"/>
      <c r="X968" s="52"/>
      <c r="Y968" s="52"/>
      <c r="Z968" s="52"/>
      <c r="AA968" s="52"/>
      <c r="AB968" s="53"/>
    </row>
    <row r="969">
      <c r="A969" s="52"/>
      <c r="B969" s="52"/>
      <c r="C969" s="52"/>
      <c r="D969" s="52"/>
      <c r="E969" s="52"/>
      <c r="F969" s="52"/>
      <c r="G969" s="52"/>
      <c r="H969" s="52"/>
      <c r="I969" s="52"/>
      <c r="J969" s="52"/>
      <c r="K969" s="52"/>
      <c r="L969" s="52"/>
      <c r="M969" s="52"/>
      <c r="N969" s="52"/>
      <c r="O969" s="52"/>
      <c r="P969" s="61"/>
      <c r="Q969" s="61"/>
      <c r="R969" s="205"/>
      <c r="S969" s="52"/>
      <c r="T969" s="52"/>
      <c r="U969" s="52"/>
      <c r="V969" s="52"/>
      <c r="W969" s="52"/>
      <c r="X969" s="52"/>
      <c r="Y969" s="52"/>
      <c r="Z969" s="52"/>
      <c r="AA969" s="52"/>
      <c r="AB969" s="53"/>
    </row>
    <row r="970">
      <c r="A970" s="52"/>
      <c r="B970" s="52"/>
      <c r="C970" s="52"/>
      <c r="D970" s="52"/>
      <c r="E970" s="52"/>
      <c r="F970" s="52"/>
      <c r="G970" s="52"/>
      <c r="H970" s="52"/>
      <c r="I970" s="52"/>
      <c r="J970" s="52"/>
      <c r="K970" s="52"/>
      <c r="L970" s="52"/>
      <c r="M970" s="52"/>
      <c r="N970" s="52"/>
      <c r="O970" s="52"/>
      <c r="P970" s="61"/>
      <c r="Q970" s="61"/>
      <c r="R970" s="205"/>
      <c r="S970" s="52"/>
      <c r="T970" s="52"/>
      <c r="U970" s="52"/>
      <c r="V970" s="52"/>
      <c r="W970" s="52"/>
      <c r="X970" s="52"/>
      <c r="Y970" s="52"/>
      <c r="Z970" s="52"/>
      <c r="AA970" s="52"/>
      <c r="AB970" s="53"/>
    </row>
    <row r="971">
      <c r="A971" s="52"/>
      <c r="B971" s="52"/>
      <c r="C971" s="52"/>
      <c r="D971" s="52"/>
      <c r="E971" s="52"/>
      <c r="F971" s="52"/>
      <c r="G971" s="52"/>
      <c r="H971" s="52"/>
      <c r="I971" s="52"/>
      <c r="J971" s="52"/>
      <c r="K971" s="52"/>
      <c r="L971" s="52"/>
      <c r="M971" s="52"/>
      <c r="N971" s="52"/>
      <c r="O971" s="52"/>
      <c r="P971" s="61"/>
      <c r="Q971" s="61"/>
      <c r="R971" s="205"/>
      <c r="S971" s="52"/>
      <c r="T971" s="52"/>
      <c r="U971" s="52"/>
      <c r="V971" s="52"/>
      <c r="W971" s="52"/>
      <c r="X971" s="52"/>
      <c r="Y971" s="52"/>
      <c r="Z971" s="52"/>
      <c r="AA971" s="52"/>
      <c r="AB971" s="53"/>
    </row>
    <row r="972">
      <c r="A972" s="52"/>
      <c r="B972" s="52"/>
      <c r="C972" s="52"/>
      <c r="D972" s="52"/>
      <c r="E972" s="52"/>
      <c r="F972" s="52"/>
      <c r="G972" s="52"/>
      <c r="H972" s="52"/>
      <c r="I972" s="52"/>
      <c r="J972" s="52"/>
      <c r="K972" s="52"/>
      <c r="L972" s="52"/>
      <c r="M972" s="52"/>
      <c r="N972" s="52"/>
      <c r="O972" s="52"/>
      <c r="P972" s="61"/>
      <c r="Q972" s="61"/>
      <c r="R972" s="205"/>
      <c r="S972" s="52"/>
      <c r="T972" s="52"/>
      <c r="U972" s="52"/>
      <c r="V972" s="52"/>
      <c r="W972" s="52"/>
      <c r="X972" s="52"/>
      <c r="Y972" s="52"/>
      <c r="Z972" s="52"/>
      <c r="AA972" s="52"/>
      <c r="AB972" s="53"/>
    </row>
    <row r="973">
      <c r="A973" s="52"/>
      <c r="B973" s="52"/>
      <c r="C973" s="52"/>
      <c r="D973" s="52"/>
      <c r="E973" s="52"/>
      <c r="F973" s="52"/>
      <c r="G973" s="52"/>
      <c r="H973" s="52"/>
      <c r="I973" s="52"/>
      <c r="J973" s="52"/>
      <c r="K973" s="52"/>
      <c r="L973" s="52"/>
      <c r="M973" s="52"/>
      <c r="N973" s="52"/>
      <c r="O973" s="52"/>
      <c r="P973" s="61"/>
      <c r="Q973" s="61"/>
      <c r="R973" s="205"/>
      <c r="S973" s="52"/>
      <c r="T973" s="52"/>
      <c r="U973" s="52"/>
      <c r="V973" s="52"/>
      <c r="W973" s="52"/>
      <c r="X973" s="52"/>
      <c r="Y973" s="52"/>
      <c r="Z973" s="52"/>
      <c r="AA973" s="52"/>
      <c r="AB973" s="53"/>
    </row>
    <row r="974">
      <c r="A974" s="52"/>
      <c r="B974" s="52"/>
      <c r="C974" s="52"/>
      <c r="D974" s="52"/>
      <c r="E974" s="52"/>
      <c r="F974" s="52"/>
      <c r="G974" s="52"/>
      <c r="H974" s="52"/>
      <c r="I974" s="52"/>
      <c r="J974" s="52"/>
      <c r="K974" s="52"/>
      <c r="L974" s="52"/>
      <c r="M974" s="52"/>
      <c r="N974" s="52"/>
      <c r="O974" s="52"/>
      <c r="P974" s="61"/>
      <c r="Q974" s="61"/>
      <c r="R974" s="205"/>
      <c r="S974" s="52"/>
      <c r="T974" s="52"/>
      <c r="U974" s="52"/>
      <c r="V974" s="52"/>
      <c r="W974" s="52"/>
      <c r="X974" s="52"/>
      <c r="Y974" s="52"/>
      <c r="Z974" s="52"/>
      <c r="AA974" s="52"/>
      <c r="AB974" s="53"/>
    </row>
    <row r="975">
      <c r="A975" s="52"/>
      <c r="B975" s="52"/>
      <c r="C975" s="52"/>
      <c r="D975" s="52"/>
      <c r="E975" s="52"/>
      <c r="F975" s="52"/>
      <c r="G975" s="52"/>
      <c r="H975" s="52"/>
      <c r="I975" s="52"/>
      <c r="J975" s="52"/>
      <c r="K975" s="52"/>
      <c r="L975" s="52"/>
      <c r="M975" s="52"/>
      <c r="N975" s="52"/>
      <c r="O975" s="52"/>
      <c r="P975" s="61"/>
      <c r="Q975" s="61"/>
      <c r="R975" s="205"/>
      <c r="S975" s="52"/>
      <c r="T975" s="52"/>
      <c r="U975" s="52"/>
      <c r="V975" s="52"/>
      <c r="W975" s="52"/>
      <c r="X975" s="52"/>
      <c r="Y975" s="52"/>
      <c r="Z975" s="52"/>
      <c r="AA975" s="52"/>
      <c r="AB975" s="53"/>
    </row>
    <row r="976">
      <c r="A976" s="52"/>
      <c r="B976" s="52"/>
      <c r="C976" s="52"/>
      <c r="D976" s="52"/>
      <c r="E976" s="52"/>
      <c r="F976" s="52"/>
      <c r="G976" s="52"/>
      <c r="H976" s="52"/>
      <c r="I976" s="52"/>
      <c r="J976" s="52"/>
      <c r="K976" s="52"/>
      <c r="L976" s="52"/>
      <c r="M976" s="52"/>
      <c r="N976" s="52"/>
      <c r="O976" s="52"/>
      <c r="P976" s="61"/>
      <c r="Q976" s="61"/>
      <c r="R976" s="205"/>
      <c r="S976" s="52"/>
      <c r="T976" s="52"/>
      <c r="U976" s="52"/>
      <c r="V976" s="52"/>
      <c r="W976" s="52"/>
      <c r="X976" s="52"/>
      <c r="Y976" s="52"/>
      <c r="Z976" s="52"/>
      <c r="AA976" s="52"/>
      <c r="AB976" s="53"/>
    </row>
    <row r="977">
      <c r="A977" s="52"/>
      <c r="B977" s="52"/>
      <c r="C977" s="52"/>
      <c r="D977" s="52"/>
      <c r="E977" s="52"/>
      <c r="F977" s="52"/>
      <c r="G977" s="52"/>
      <c r="H977" s="52"/>
      <c r="I977" s="52"/>
      <c r="J977" s="52"/>
      <c r="K977" s="52"/>
      <c r="L977" s="52"/>
      <c r="M977" s="52"/>
      <c r="N977" s="52"/>
      <c r="O977" s="52"/>
      <c r="P977" s="61"/>
      <c r="Q977" s="61"/>
      <c r="R977" s="205"/>
      <c r="S977" s="52"/>
      <c r="T977" s="52"/>
      <c r="U977" s="52"/>
      <c r="V977" s="52"/>
      <c r="W977" s="52"/>
      <c r="X977" s="52"/>
      <c r="Y977" s="52"/>
      <c r="Z977" s="52"/>
      <c r="AA977" s="52"/>
      <c r="AB977" s="53"/>
    </row>
    <row r="978">
      <c r="A978" s="52"/>
      <c r="B978" s="52"/>
      <c r="C978" s="52"/>
      <c r="D978" s="52"/>
      <c r="E978" s="52"/>
      <c r="F978" s="52"/>
      <c r="G978" s="52"/>
      <c r="H978" s="52"/>
      <c r="I978" s="52"/>
      <c r="J978" s="52"/>
      <c r="K978" s="52"/>
      <c r="L978" s="52"/>
      <c r="M978" s="52"/>
      <c r="N978" s="52"/>
      <c r="O978" s="52"/>
      <c r="P978" s="61"/>
      <c r="Q978" s="61"/>
      <c r="R978" s="205"/>
      <c r="S978" s="52"/>
      <c r="T978" s="52"/>
      <c r="U978" s="52"/>
      <c r="V978" s="52"/>
      <c r="W978" s="52"/>
      <c r="X978" s="52"/>
      <c r="Y978" s="52"/>
      <c r="Z978" s="52"/>
      <c r="AA978" s="52"/>
      <c r="AB978" s="53"/>
    </row>
    <row r="979">
      <c r="A979" s="52"/>
      <c r="B979" s="52"/>
      <c r="C979" s="52"/>
      <c r="D979" s="52"/>
      <c r="E979" s="52"/>
      <c r="F979" s="52"/>
      <c r="G979" s="52"/>
      <c r="H979" s="52"/>
      <c r="I979" s="52"/>
      <c r="J979" s="52"/>
      <c r="K979" s="52"/>
      <c r="L979" s="52"/>
      <c r="M979" s="52"/>
      <c r="N979" s="52"/>
      <c r="O979" s="52"/>
      <c r="P979" s="61"/>
      <c r="Q979" s="61"/>
      <c r="R979" s="205"/>
      <c r="S979" s="52"/>
      <c r="T979" s="52"/>
      <c r="U979" s="52"/>
      <c r="V979" s="52"/>
      <c r="W979" s="52"/>
      <c r="X979" s="52"/>
      <c r="Y979" s="52"/>
      <c r="Z979" s="52"/>
      <c r="AA979" s="52"/>
      <c r="AB979" s="53"/>
    </row>
    <row r="980">
      <c r="A980" s="52"/>
      <c r="B980" s="52"/>
      <c r="C980" s="52"/>
      <c r="D980" s="52"/>
      <c r="E980" s="52"/>
      <c r="F980" s="52"/>
      <c r="G980" s="52"/>
      <c r="H980" s="52"/>
      <c r="I980" s="52"/>
      <c r="J980" s="52"/>
      <c r="K980" s="52"/>
      <c r="L980" s="52"/>
      <c r="M980" s="52"/>
      <c r="N980" s="52"/>
      <c r="O980" s="52"/>
      <c r="P980" s="61"/>
      <c r="Q980" s="61"/>
      <c r="R980" s="205"/>
      <c r="S980" s="52"/>
      <c r="T980" s="52"/>
      <c r="U980" s="52"/>
      <c r="V980" s="52"/>
      <c r="W980" s="52"/>
      <c r="X980" s="52"/>
      <c r="Y980" s="52"/>
      <c r="Z980" s="52"/>
      <c r="AA980" s="52"/>
      <c r="AB980" s="53"/>
    </row>
    <row r="981">
      <c r="A981" s="52"/>
      <c r="B981" s="52"/>
      <c r="C981" s="52"/>
      <c r="D981" s="52"/>
      <c r="E981" s="52"/>
      <c r="F981" s="52"/>
      <c r="G981" s="52"/>
      <c r="H981" s="52"/>
      <c r="I981" s="52"/>
      <c r="J981" s="52"/>
      <c r="K981" s="52"/>
      <c r="L981" s="52"/>
      <c r="M981" s="52"/>
      <c r="N981" s="52"/>
      <c r="O981" s="52"/>
      <c r="P981" s="61"/>
      <c r="Q981" s="61"/>
      <c r="R981" s="205"/>
      <c r="S981" s="52"/>
      <c r="T981" s="52"/>
      <c r="U981" s="52"/>
      <c r="V981" s="52"/>
      <c r="W981" s="52"/>
      <c r="X981" s="52"/>
      <c r="Y981" s="52"/>
      <c r="Z981" s="52"/>
      <c r="AA981" s="52"/>
      <c r="AB981" s="53"/>
    </row>
    <row r="982">
      <c r="A982" s="52"/>
      <c r="B982" s="52"/>
      <c r="C982" s="52"/>
      <c r="D982" s="52"/>
      <c r="E982" s="52"/>
      <c r="F982" s="52"/>
      <c r="G982" s="52"/>
      <c r="H982" s="52"/>
      <c r="I982" s="52"/>
      <c r="J982" s="52"/>
      <c r="K982" s="52"/>
      <c r="L982" s="52"/>
      <c r="M982" s="52"/>
      <c r="N982" s="52"/>
      <c r="O982" s="52"/>
      <c r="P982" s="61"/>
      <c r="Q982" s="61"/>
      <c r="R982" s="205"/>
      <c r="S982" s="52"/>
      <c r="T982" s="52"/>
      <c r="U982" s="52"/>
      <c r="V982" s="52"/>
      <c r="W982" s="52"/>
      <c r="X982" s="52"/>
      <c r="Y982" s="52"/>
      <c r="Z982" s="52"/>
      <c r="AA982" s="52"/>
      <c r="AB982" s="53"/>
    </row>
    <row r="983">
      <c r="A983" s="52"/>
      <c r="B983" s="52"/>
      <c r="C983" s="52"/>
      <c r="D983" s="52"/>
      <c r="E983" s="52"/>
      <c r="F983" s="52"/>
      <c r="G983" s="52"/>
      <c r="H983" s="52"/>
      <c r="I983" s="52"/>
      <c r="J983" s="52"/>
      <c r="K983" s="52"/>
      <c r="L983" s="52"/>
      <c r="M983" s="52"/>
      <c r="N983" s="52"/>
      <c r="O983" s="52"/>
      <c r="P983" s="61"/>
      <c r="Q983" s="61"/>
      <c r="R983" s="205"/>
      <c r="S983" s="52"/>
      <c r="T983" s="52"/>
      <c r="U983" s="52"/>
      <c r="V983" s="52"/>
      <c r="W983" s="52"/>
      <c r="X983" s="52"/>
      <c r="Y983" s="52"/>
      <c r="Z983" s="52"/>
      <c r="AA983" s="52"/>
      <c r="AB983" s="53"/>
    </row>
    <row r="984">
      <c r="A984" s="52"/>
      <c r="B984" s="52"/>
      <c r="C984" s="52"/>
      <c r="D984" s="52"/>
      <c r="E984" s="52"/>
      <c r="F984" s="52"/>
      <c r="G984" s="52"/>
      <c r="H984" s="52"/>
      <c r="I984" s="52"/>
      <c r="J984" s="52"/>
      <c r="K984" s="52"/>
      <c r="L984" s="52"/>
      <c r="M984" s="52"/>
      <c r="N984" s="52"/>
      <c r="O984" s="52"/>
      <c r="P984" s="61"/>
      <c r="Q984" s="61"/>
      <c r="R984" s="205"/>
      <c r="S984" s="52"/>
      <c r="T984" s="52"/>
      <c r="U984" s="52"/>
      <c r="V984" s="52"/>
      <c r="W984" s="52"/>
      <c r="X984" s="52"/>
      <c r="Y984" s="52"/>
      <c r="Z984" s="52"/>
      <c r="AA984" s="52"/>
      <c r="AB984" s="53"/>
    </row>
    <row r="985">
      <c r="A985" s="52"/>
      <c r="B985" s="52"/>
      <c r="C985" s="52"/>
      <c r="D985" s="52"/>
      <c r="E985" s="52"/>
      <c r="F985" s="52"/>
      <c r="G985" s="52"/>
      <c r="H985" s="52"/>
      <c r="I985" s="52"/>
      <c r="J985" s="52"/>
      <c r="K985" s="52"/>
      <c r="L985" s="52"/>
      <c r="M985" s="52"/>
      <c r="N985" s="52"/>
      <c r="O985" s="52"/>
      <c r="P985" s="61"/>
      <c r="Q985" s="61"/>
      <c r="R985" s="205"/>
      <c r="S985" s="52"/>
      <c r="T985" s="52"/>
      <c r="U985" s="52"/>
      <c r="V985" s="52"/>
      <c r="W985" s="52"/>
      <c r="X985" s="52"/>
      <c r="Y985" s="52"/>
      <c r="Z985" s="52"/>
      <c r="AA985" s="52"/>
      <c r="AB985" s="53"/>
    </row>
    <row r="986">
      <c r="A986" s="52"/>
      <c r="B986" s="52"/>
      <c r="C986" s="52"/>
      <c r="D986" s="52"/>
      <c r="E986" s="52"/>
      <c r="F986" s="52"/>
      <c r="G986" s="52"/>
      <c r="H986" s="52"/>
      <c r="I986" s="52"/>
      <c r="J986" s="52"/>
      <c r="K986" s="52"/>
      <c r="L986" s="52"/>
      <c r="M986" s="52"/>
      <c r="N986" s="52"/>
      <c r="O986" s="52"/>
      <c r="P986" s="61"/>
      <c r="Q986" s="61"/>
      <c r="R986" s="205"/>
      <c r="S986" s="52"/>
      <c r="T986" s="52"/>
      <c r="U986" s="52"/>
      <c r="V986" s="52"/>
      <c r="W986" s="52"/>
      <c r="X986" s="52"/>
      <c r="Y986" s="52"/>
      <c r="Z986" s="52"/>
      <c r="AA986" s="52"/>
      <c r="AB986" s="53"/>
    </row>
    <row r="987">
      <c r="A987" s="52"/>
      <c r="B987" s="52"/>
      <c r="C987" s="52"/>
      <c r="D987" s="52"/>
      <c r="E987" s="52"/>
      <c r="F987" s="52"/>
      <c r="G987" s="52"/>
      <c r="H987" s="52"/>
      <c r="I987" s="52"/>
      <c r="J987" s="52"/>
      <c r="K987" s="52"/>
      <c r="L987" s="52"/>
      <c r="M987" s="52"/>
      <c r="N987" s="52"/>
      <c r="O987" s="52"/>
      <c r="P987" s="61"/>
      <c r="Q987" s="61"/>
      <c r="R987" s="205"/>
      <c r="S987" s="52"/>
      <c r="T987" s="52"/>
      <c r="U987" s="52"/>
      <c r="V987" s="52"/>
      <c r="W987" s="52"/>
      <c r="X987" s="52"/>
      <c r="Y987" s="52"/>
      <c r="Z987" s="52"/>
      <c r="AA987" s="52"/>
      <c r="AB987" s="53"/>
    </row>
    <row r="988">
      <c r="A988" s="52"/>
      <c r="B988" s="52"/>
      <c r="C988" s="52"/>
      <c r="D988" s="52"/>
      <c r="E988" s="52"/>
      <c r="F988" s="52"/>
      <c r="G988" s="52"/>
      <c r="H988" s="52"/>
      <c r="I988" s="52"/>
      <c r="J988" s="52"/>
      <c r="K988" s="52"/>
      <c r="L988" s="52"/>
      <c r="M988" s="52"/>
      <c r="N988" s="52"/>
      <c r="O988" s="52"/>
      <c r="P988" s="61"/>
      <c r="Q988" s="61"/>
      <c r="R988" s="205"/>
      <c r="S988" s="52"/>
      <c r="T988" s="52"/>
      <c r="U988" s="52"/>
      <c r="V988" s="52"/>
      <c r="W988" s="52"/>
      <c r="X988" s="52"/>
      <c r="Y988" s="52"/>
      <c r="Z988" s="52"/>
      <c r="AA988" s="52"/>
      <c r="AB988" s="53"/>
    </row>
    <row r="989">
      <c r="A989" s="52"/>
      <c r="B989" s="52"/>
      <c r="C989" s="52"/>
      <c r="D989" s="52"/>
      <c r="E989" s="52"/>
      <c r="F989" s="52"/>
      <c r="G989" s="52"/>
      <c r="H989" s="52"/>
      <c r="I989" s="52"/>
      <c r="J989" s="52"/>
      <c r="K989" s="52"/>
      <c r="L989" s="52"/>
      <c r="M989" s="52"/>
      <c r="N989" s="52"/>
      <c r="O989" s="52"/>
      <c r="P989" s="61"/>
      <c r="Q989" s="61"/>
      <c r="R989" s="205"/>
      <c r="S989" s="52"/>
      <c r="T989" s="52"/>
      <c r="U989" s="52"/>
      <c r="V989" s="52"/>
      <c r="W989" s="52"/>
      <c r="X989" s="52"/>
      <c r="Y989" s="52"/>
      <c r="Z989" s="52"/>
      <c r="AA989" s="52"/>
      <c r="AB989" s="53"/>
    </row>
    <row r="990">
      <c r="A990" s="52"/>
      <c r="B990" s="52"/>
      <c r="C990" s="52"/>
      <c r="D990" s="52"/>
      <c r="E990" s="52"/>
      <c r="F990" s="52"/>
      <c r="G990" s="52"/>
      <c r="H990" s="52"/>
      <c r="I990" s="52"/>
      <c r="J990" s="52"/>
      <c r="K990" s="52"/>
      <c r="L990" s="52"/>
      <c r="M990" s="52"/>
      <c r="N990" s="52"/>
      <c r="O990" s="52"/>
      <c r="P990" s="61"/>
      <c r="Q990" s="61"/>
      <c r="R990" s="205"/>
      <c r="S990" s="52"/>
      <c r="T990" s="52"/>
      <c r="U990" s="52"/>
      <c r="V990" s="52"/>
      <c r="W990" s="52"/>
      <c r="X990" s="52"/>
      <c r="Y990" s="52"/>
      <c r="Z990" s="52"/>
      <c r="AA990" s="52"/>
      <c r="AB990" s="53"/>
    </row>
    <row r="991">
      <c r="A991" s="52"/>
      <c r="B991" s="52"/>
      <c r="C991" s="52"/>
      <c r="D991" s="52"/>
      <c r="E991" s="52"/>
      <c r="F991" s="52"/>
      <c r="G991" s="52"/>
      <c r="H991" s="52"/>
      <c r="I991" s="52"/>
      <c r="J991" s="52"/>
      <c r="K991" s="52"/>
      <c r="L991" s="52"/>
      <c r="M991" s="52"/>
      <c r="N991" s="52"/>
      <c r="O991" s="52"/>
      <c r="P991" s="61"/>
      <c r="Q991" s="61"/>
      <c r="R991" s="205"/>
      <c r="S991" s="52"/>
      <c r="T991" s="52"/>
      <c r="U991" s="52"/>
      <c r="V991" s="52"/>
      <c r="W991" s="52"/>
      <c r="X991" s="52"/>
      <c r="Y991" s="52"/>
      <c r="Z991" s="52"/>
      <c r="AA991" s="52"/>
      <c r="AB991" s="53"/>
    </row>
    <row r="992">
      <c r="A992" s="52"/>
      <c r="B992" s="52"/>
      <c r="C992" s="52"/>
      <c r="D992" s="52"/>
      <c r="E992" s="52"/>
      <c r="F992" s="52"/>
      <c r="G992" s="52"/>
      <c r="H992" s="52"/>
      <c r="I992" s="52"/>
      <c r="J992" s="52"/>
      <c r="K992" s="52"/>
      <c r="L992" s="52"/>
      <c r="M992" s="52"/>
      <c r="N992" s="52"/>
      <c r="O992" s="52"/>
      <c r="P992" s="61"/>
      <c r="Q992" s="61"/>
      <c r="R992" s="205"/>
      <c r="S992" s="52"/>
      <c r="T992" s="52"/>
      <c r="U992" s="52"/>
      <c r="V992" s="52"/>
      <c r="W992" s="52"/>
      <c r="X992" s="52"/>
      <c r="Y992" s="52"/>
      <c r="Z992" s="52"/>
      <c r="AA992" s="52"/>
      <c r="AB992" s="53"/>
    </row>
    <row r="993">
      <c r="A993" s="52"/>
      <c r="B993" s="52"/>
      <c r="C993" s="52"/>
      <c r="D993" s="52"/>
      <c r="E993" s="52"/>
      <c r="F993" s="52"/>
      <c r="G993" s="52"/>
      <c r="H993" s="52"/>
      <c r="I993" s="52"/>
      <c r="J993" s="52"/>
      <c r="K993" s="52"/>
      <c r="L993" s="52"/>
      <c r="M993" s="52"/>
      <c r="N993" s="52"/>
      <c r="O993" s="52"/>
      <c r="P993" s="61"/>
      <c r="Q993" s="61"/>
      <c r="R993" s="205"/>
      <c r="S993" s="52"/>
      <c r="T993" s="52"/>
      <c r="U993" s="52"/>
      <c r="V993" s="52"/>
      <c r="W993" s="52"/>
      <c r="X993" s="52"/>
      <c r="Y993" s="52"/>
      <c r="Z993" s="52"/>
      <c r="AA993" s="52"/>
      <c r="AB993" s="53"/>
    </row>
    <row r="994">
      <c r="A994" s="52"/>
      <c r="B994" s="52"/>
      <c r="C994" s="52"/>
      <c r="D994" s="52"/>
      <c r="E994" s="52"/>
      <c r="F994" s="52"/>
      <c r="G994" s="52"/>
      <c r="H994" s="52"/>
      <c r="I994" s="52"/>
      <c r="J994" s="52"/>
      <c r="K994" s="52"/>
      <c r="L994" s="52"/>
      <c r="M994" s="52"/>
      <c r="N994" s="52"/>
      <c r="O994" s="52"/>
      <c r="P994" s="61"/>
      <c r="Q994" s="61"/>
      <c r="R994" s="205"/>
      <c r="S994" s="52"/>
      <c r="T994" s="52"/>
      <c r="U994" s="52"/>
      <c r="V994" s="52"/>
      <c r="W994" s="52"/>
      <c r="X994" s="52"/>
      <c r="Y994" s="52"/>
      <c r="Z994" s="52"/>
      <c r="AA994" s="52"/>
      <c r="AB994" s="53"/>
    </row>
    <row r="995">
      <c r="A995" s="52"/>
      <c r="B995" s="52"/>
      <c r="C995" s="52"/>
      <c r="D995" s="52"/>
      <c r="E995" s="52"/>
      <c r="F995" s="52"/>
      <c r="G995" s="52"/>
      <c r="H995" s="52"/>
      <c r="I995" s="52"/>
      <c r="J995" s="52"/>
      <c r="K995" s="52"/>
      <c r="L995" s="52"/>
      <c r="M995" s="52"/>
      <c r="N995" s="52"/>
      <c r="O995" s="52"/>
      <c r="P995" s="61"/>
      <c r="Q995" s="61"/>
      <c r="R995" s="205"/>
      <c r="S995" s="52"/>
      <c r="T995" s="52"/>
      <c r="U995" s="52"/>
      <c r="V995" s="52"/>
      <c r="W995" s="52"/>
      <c r="X995" s="52"/>
      <c r="Y995" s="52"/>
      <c r="Z995" s="52"/>
      <c r="AA995" s="52"/>
      <c r="AB995" s="53"/>
    </row>
    <row r="996">
      <c r="A996" s="52"/>
      <c r="B996" s="52"/>
      <c r="C996" s="52"/>
      <c r="D996" s="52"/>
      <c r="E996" s="52"/>
      <c r="F996" s="52"/>
      <c r="G996" s="52"/>
      <c r="H996" s="52"/>
      <c r="I996" s="52"/>
      <c r="J996" s="52"/>
      <c r="K996" s="52"/>
      <c r="L996" s="52"/>
      <c r="M996" s="52"/>
      <c r="N996" s="52"/>
      <c r="O996" s="52"/>
      <c r="P996" s="61"/>
      <c r="Q996" s="61"/>
      <c r="R996" s="205"/>
      <c r="S996" s="52"/>
      <c r="T996" s="52"/>
      <c r="U996" s="52"/>
      <c r="V996" s="52"/>
      <c r="W996" s="52"/>
      <c r="X996" s="52"/>
      <c r="Y996" s="52"/>
      <c r="Z996" s="52"/>
      <c r="AA996" s="52"/>
      <c r="AB996" s="53"/>
    </row>
    <row r="997">
      <c r="A997" s="52"/>
      <c r="B997" s="52"/>
      <c r="C997" s="52"/>
      <c r="D997" s="52"/>
      <c r="E997" s="52"/>
      <c r="F997" s="52"/>
      <c r="G997" s="52"/>
      <c r="H997" s="52"/>
      <c r="I997" s="52"/>
      <c r="J997" s="52"/>
      <c r="K997" s="52"/>
      <c r="L997" s="52"/>
      <c r="M997" s="52"/>
      <c r="N997" s="52"/>
      <c r="O997" s="52"/>
      <c r="P997" s="61"/>
      <c r="Q997" s="61"/>
      <c r="R997" s="205"/>
      <c r="S997" s="52"/>
      <c r="T997" s="52"/>
      <c r="U997" s="52"/>
      <c r="V997" s="52"/>
      <c r="W997" s="52"/>
      <c r="X997" s="52"/>
      <c r="Y997" s="52"/>
      <c r="Z997" s="52"/>
      <c r="AA997" s="52"/>
      <c r="AB997" s="53"/>
    </row>
    <row r="998">
      <c r="A998" s="52"/>
      <c r="B998" s="52"/>
      <c r="C998" s="52"/>
      <c r="D998" s="52"/>
      <c r="E998" s="52"/>
      <c r="F998" s="52"/>
      <c r="G998" s="52"/>
      <c r="H998" s="52"/>
      <c r="I998" s="52"/>
      <c r="J998" s="52"/>
      <c r="K998" s="52"/>
      <c r="L998" s="52"/>
      <c r="M998" s="52"/>
      <c r="N998" s="52"/>
      <c r="O998" s="52"/>
      <c r="P998" s="61"/>
      <c r="Q998" s="61"/>
      <c r="R998" s="205"/>
      <c r="S998" s="52"/>
      <c r="T998" s="52"/>
      <c r="U998" s="52"/>
      <c r="V998" s="52"/>
      <c r="W998" s="52"/>
      <c r="X998" s="52"/>
      <c r="Y998" s="52"/>
      <c r="Z998" s="52"/>
      <c r="AA998" s="52"/>
      <c r="AB998" s="53"/>
    </row>
    <row r="999">
      <c r="A999" s="52"/>
      <c r="B999" s="52"/>
      <c r="C999" s="52"/>
      <c r="D999" s="52"/>
      <c r="E999" s="52"/>
      <c r="F999" s="52"/>
      <c r="G999" s="52"/>
      <c r="H999" s="52"/>
      <c r="I999" s="52"/>
      <c r="J999" s="52"/>
      <c r="K999" s="52"/>
      <c r="L999" s="52"/>
      <c r="M999" s="52"/>
      <c r="N999" s="52"/>
      <c r="O999" s="52"/>
      <c r="P999" s="61"/>
      <c r="Q999" s="61"/>
      <c r="R999" s="205"/>
      <c r="S999" s="52"/>
      <c r="T999" s="52"/>
      <c r="U999" s="52"/>
      <c r="V999" s="52"/>
      <c r="W999" s="52"/>
      <c r="X999" s="52"/>
      <c r="Y999" s="52"/>
      <c r="Z999" s="52"/>
      <c r="AA999" s="52"/>
      <c r="AB999" s="53"/>
    </row>
    <row r="1000">
      <c r="A1000" s="52"/>
      <c r="B1000" s="52"/>
      <c r="C1000" s="52"/>
      <c r="D1000" s="52"/>
      <c r="E1000" s="52"/>
      <c r="F1000" s="52"/>
      <c r="G1000" s="52"/>
      <c r="H1000" s="52"/>
      <c r="I1000" s="52"/>
      <c r="J1000" s="52"/>
      <c r="K1000" s="52"/>
      <c r="L1000" s="52"/>
      <c r="M1000" s="52"/>
      <c r="N1000" s="52"/>
      <c r="O1000" s="52"/>
      <c r="P1000" s="61"/>
      <c r="Q1000" s="61"/>
      <c r="R1000" s="205"/>
      <c r="S1000" s="52"/>
      <c r="T1000" s="52"/>
      <c r="U1000" s="52"/>
      <c r="V1000" s="52"/>
      <c r="W1000" s="52"/>
      <c r="X1000" s="52"/>
      <c r="Y1000" s="52"/>
      <c r="Z1000" s="52"/>
      <c r="AA1000" s="52"/>
      <c r="AB1000" s="53"/>
    </row>
    <row r="1001">
      <c r="A1001" s="52"/>
      <c r="B1001" s="52"/>
      <c r="C1001" s="52"/>
      <c r="D1001" s="52"/>
      <c r="E1001" s="52"/>
      <c r="F1001" s="52"/>
      <c r="G1001" s="52"/>
      <c r="H1001" s="52"/>
      <c r="I1001" s="52"/>
      <c r="J1001" s="52"/>
      <c r="K1001" s="52"/>
      <c r="L1001" s="52"/>
      <c r="M1001" s="52"/>
      <c r="N1001" s="52"/>
      <c r="O1001" s="52"/>
      <c r="P1001" s="61"/>
      <c r="Q1001" s="61"/>
      <c r="R1001" s="205"/>
      <c r="S1001" s="52"/>
      <c r="T1001" s="52"/>
      <c r="U1001" s="52"/>
      <c r="V1001" s="52"/>
      <c r="W1001" s="52"/>
      <c r="X1001" s="52"/>
      <c r="Y1001" s="52"/>
      <c r="Z1001" s="52"/>
      <c r="AA1001" s="52"/>
      <c r="AB1001" s="53"/>
    </row>
    <row r="1002">
      <c r="A1002" s="52"/>
      <c r="B1002" s="52"/>
      <c r="C1002" s="52"/>
      <c r="D1002" s="52"/>
      <c r="E1002" s="52"/>
      <c r="F1002" s="52"/>
      <c r="G1002" s="52"/>
      <c r="H1002" s="52"/>
      <c r="I1002" s="52"/>
      <c r="J1002" s="52"/>
      <c r="K1002" s="52"/>
      <c r="L1002" s="52"/>
      <c r="M1002" s="52"/>
      <c r="N1002" s="52"/>
      <c r="O1002" s="52"/>
      <c r="P1002" s="61"/>
      <c r="Q1002" s="61"/>
      <c r="R1002" s="205"/>
      <c r="S1002" s="52"/>
      <c r="T1002" s="52"/>
      <c r="U1002" s="52"/>
      <c r="V1002" s="52"/>
      <c r="W1002" s="52"/>
      <c r="X1002" s="52"/>
      <c r="Y1002" s="52"/>
      <c r="Z1002" s="52"/>
      <c r="AA1002" s="52"/>
      <c r="AB1002" s="53"/>
    </row>
    <row r="1003">
      <c r="A1003" s="52"/>
      <c r="B1003" s="52"/>
      <c r="C1003" s="52"/>
      <c r="D1003" s="52"/>
      <c r="E1003" s="52"/>
      <c r="F1003" s="52"/>
      <c r="G1003" s="52"/>
      <c r="H1003" s="52"/>
      <c r="I1003" s="52"/>
      <c r="J1003" s="52"/>
      <c r="K1003" s="52"/>
      <c r="L1003" s="52"/>
      <c r="M1003" s="52"/>
      <c r="N1003" s="52"/>
      <c r="O1003" s="52"/>
      <c r="P1003" s="61"/>
      <c r="Q1003" s="61"/>
      <c r="R1003" s="205"/>
      <c r="S1003" s="52"/>
      <c r="T1003" s="52"/>
      <c r="U1003" s="52"/>
      <c r="V1003" s="52"/>
      <c r="W1003" s="52"/>
      <c r="X1003" s="52"/>
      <c r="Y1003" s="52"/>
      <c r="Z1003" s="52"/>
      <c r="AA1003" s="52"/>
      <c r="AB1003" s="53"/>
    </row>
    <row r="1004">
      <c r="A1004" s="52"/>
      <c r="B1004" s="52"/>
      <c r="C1004" s="52"/>
      <c r="D1004" s="52"/>
      <c r="E1004" s="52"/>
      <c r="F1004" s="52"/>
      <c r="G1004" s="52"/>
      <c r="H1004" s="52"/>
      <c r="I1004" s="52"/>
      <c r="J1004" s="52"/>
      <c r="K1004" s="52"/>
      <c r="L1004" s="52"/>
      <c r="M1004" s="52"/>
      <c r="N1004" s="52"/>
      <c r="O1004" s="52"/>
      <c r="P1004" s="61"/>
      <c r="Q1004" s="61"/>
      <c r="R1004" s="205"/>
      <c r="S1004" s="52"/>
      <c r="T1004" s="52"/>
      <c r="U1004" s="52"/>
      <c r="V1004" s="52"/>
      <c r="W1004" s="52"/>
      <c r="X1004" s="52"/>
      <c r="Y1004" s="52"/>
      <c r="Z1004" s="52"/>
      <c r="AA1004" s="52"/>
      <c r="AB1004" s="53"/>
    </row>
    <row r="1005">
      <c r="A1005" s="52"/>
      <c r="B1005" s="52"/>
      <c r="C1005" s="52"/>
      <c r="D1005" s="52"/>
      <c r="E1005" s="52"/>
      <c r="F1005" s="52"/>
      <c r="G1005" s="52"/>
      <c r="H1005" s="52"/>
      <c r="I1005" s="52"/>
      <c r="J1005" s="52"/>
      <c r="K1005" s="52"/>
      <c r="L1005" s="52"/>
      <c r="M1005" s="52"/>
      <c r="N1005" s="52"/>
      <c r="O1005" s="52"/>
      <c r="P1005" s="61"/>
      <c r="Q1005" s="61"/>
      <c r="R1005" s="205"/>
      <c r="S1005" s="52"/>
      <c r="T1005" s="52"/>
      <c r="U1005" s="52"/>
      <c r="V1005" s="52"/>
      <c r="W1005" s="52"/>
      <c r="X1005" s="52"/>
      <c r="Y1005" s="52"/>
      <c r="Z1005" s="52"/>
      <c r="AA1005" s="52"/>
      <c r="AB1005" s="53"/>
    </row>
    <row r="1006">
      <c r="A1006" s="52"/>
      <c r="B1006" s="52"/>
      <c r="C1006" s="52"/>
      <c r="D1006" s="52"/>
      <c r="E1006" s="52"/>
      <c r="F1006" s="52"/>
      <c r="G1006" s="52"/>
      <c r="H1006" s="52"/>
      <c r="I1006" s="52"/>
      <c r="J1006" s="52"/>
      <c r="K1006" s="52"/>
      <c r="L1006" s="52"/>
      <c r="M1006" s="52"/>
      <c r="N1006" s="52"/>
      <c r="O1006" s="52"/>
      <c r="P1006" s="61"/>
      <c r="Q1006" s="61"/>
      <c r="R1006" s="205"/>
      <c r="S1006" s="52"/>
      <c r="T1006" s="52"/>
      <c r="U1006" s="52"/>
      <c r="V1006" s="52"/>
      <c r="W1006" s="52"/>
      <c r="X1006" s="52"/>
      <c r="Y1006" s="52"/>
      <c r="Z1006" s="52"/>
      <c r="AA1006" s="52"/>
      <c r="AB1006" s="53"/>
    </row>
    <row r="1007">
      <c r="A1007" s="52"/>
      <c r="B1007" s="52"/>
      <c r="C1007" s="52"/>
      <c r="D1007" s="52"/>
      <c r="E1007" s="52"/>
      <c r="F1007" s="52"/>
      <c r="G1007" s="52"/>
      <c r="H1007" s="52"/>
      <c r="I1007" s="52"/>
      <c r="J1007" s="52"/>
      <c r="K1007" s="52"/>
      <c r="L1007" s="52"/>
      <c r="M1007" s="52"/>
      <c r="N1007" s="52"/>
      <c r="O1007" s="52"/>
      <c r="P1007" s="61"/>
      <c r="Q1007" s="61"/>
      <c r="R1007" s="205"/>
      <c r="S1007" s="52"/>
      <c r="T1007" s="52"/>
      <c r="U1007" s="52"/>
      <c r="V1007" s="52"/>
      <c r="W1007" s="52"/>
      <c r="X1007" s="52"/>
      <c r="Y1007" s="52"/>
      <c r="Z1007" s="52"/>
      <c r="AA1007" s="52"/>
      <c r="AB1007" s="53"/>
    </row>
    <row r="1008">
      <c r="A1008" s="52"/>
      <c r="B1008" s="52"/>
      <c r="C1008" s="52"/>
      <c r="D1008" s="52"/>
      <c r="E1008" s="52"/>
      <c r="F1008" s="52"/>
      <c r="G1008" s="52"/>
      <c r="H1008" s="52"/>
      <c r="I1008" s="52"/>
      <c r="J1008" s="52"/>
      <c r="K1008" s="52"/>
      <c r="L1008" s="52"/>
      <c r="M1008" s="52"/>
      <c r="N1008" s="52"/>
      <c r="O1008" s="52"/>
      <c r="P1008" s="61"/>
      <c r="Q1008" s="61"/>
      <c r="R1008" s="205"/>
      <c r="S1008" s="52"/>
      <c r="T1008" s="52"/>
      <c r="U1008" s="52"/>
      <c r="V1008" s="52"/>
      <c r="W1008" s="52"/>
      <c r="X1008" s="52"/>
      <c r="Y1008" s="52"/>
      <c r="Z1008" s="52"/>
      <c r="AA1008" s="52"/>
      <c r="AB1008" s="53"/>
    </row>
    <row r="1009">
      <c r="A1009" s="52"/>
      <c r="B1009" s="52"/>
      <c r="C1009" s="52"/>
      <c r="D1009" s="52"/>
      <c r="E1009" s="52"/>
      <c r="F1009" s="52"/>
      <c r="G1009" s="52"/>
      <c r="H1009" s="52"/>
      <c r="I1009" s="52"/>
      <c r="J1009" s="52"/>
      <c r="K1009" s="52"/>
      <c r="L1009" s="52"/>
      <c r="M1009" s="52"/>
      <c r="N1009" s="52"/>
      <c r="O1009" s="52"/>
      <c r="P1009" s="61"/>
      <c r="Q1009" s="61"/>
      <c r="R1009" s="205"/>
      <c r="S1009" s="52"/>
      <c r="T1009" s="52"/>
      <c r="U1009" s="52"/>
      <c r="V1009" s="52"/>
      <c r="W1009" s="52"/>
      <c r="X1009" s="52"/>
      <c r="Y1009" s="52"/>
      <c r="Z1009" s="52"/>
      <c r="AA1009" s="52"/>
      <c r="AB1009" s="53"/>
    </row>
    <row r="1010">
      <c r="A1010" s="52"/>
      <c r="B1010" s="52"/>
      <c r="C1010" s="52"/>
      <c r="D1010" s="52"/>
      <c r="E1010" s="52"/>
      <c r="F1010" s="52"/>
      <c r="G1010" s="52"/>
      <c r="H1010" s="52"/>
      <c r="I1010" s="52"/>
      <c r="J1010" s="52"/>
      <c r="K1010" s="52"/>
      <c r="L1010" s="52"/>
      <c r="M1010" s="52"/>
      <c r="N1010" s="52"/>
      <c r="O1010" s="52"/>
      <c r="P1010" s="61"/>
      <c r="Q1010" s="61"/>
      <c r="R1010" s="205"/>
      <c r="S1010" s="52"/>
      <c r="T1010" s="52"/>
      <c r="U1010" s="52"/>
      <c r="V1010" s="52"/>
      <c r="W1010" s="52"/>
      <c r="X1010" s="52"/>
      <c r="Y1010" s="52"/>
      <c r="Z1010" s="52"/>
      <c r="AA1010" s="52"/>
      <c r="AB1010" s="53"/>
    </row>
    <row r="1011">
      <c r="A1011" s="52"/>
      <c r="B1011" s="52"/>
      <c r="C1011" s="52"/>
      <c r="D1011" s="52"/>
      <c r="E1011" s="52"/>
      <c r="F1011" s="52"/>
      <c r="G1011" s="52"/>
      <c r="H1011" s="52"/>
      <c r="I1011" s="52"/>
      <c r="J1011" s="52"/>
      <c r="K1011" s="52"/>
      <c r="L1011" s="52"/>
      <c r="M1011" s="52"/>
      <c r="N1011" s="52"/>
      <c r="O1011" s="52"/>
      <c r="P1011" s="61"/>
      <c r="Q1011" s="61"/>
      <c r="R1011" s="205"/>
      <c r="S1011" s="52"/>
      <c r="T1011" s="52"/>
      <c r="U1011" s="52"/>
      <c r="V1011" s="52"/>
      <c r="W1011" s="52"/>
      <c r="X1011" s="52"/>
      <c r="Y1011" s="52"/>
      <c r="Z1011" s="52"/>
      <c r="AA1011" s="52"/>
      <c r="AB1011" s="53"/>
    </row>
  </sheetData>
  <autoFilter ref="$A$1:$AB$197">
    <filterColumn colId="17">
      <filters>
        <filter val="2"/>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42.14"/>
    <col customWidth="1" min="6" max="6" width="14.71"/>
    <col hidden="1" min="7" max="12" width="14.43"/>
    <col customWidth="1" min="13" max="13" width="53.43"/>
    <col customWidth="1" min="14" max="14" width="34.86"/>
  </cols>
  <sheetData>
    <row r="1">
      <c r="A1" s="206" t="s">
        <v>44</v>
      </c>
      <c r="B1" s="206" t="s">
        <v>806</v>
      </c>
      <c r="C1" s="206" t="s">
        <v>45</v>
      </c>
      <c r="D1" s="206" t="s">
        <v>807</v>
      </c>
      <c r="E1" s="206" t="s">
        <v>47</v>
      </c>
      <c r="F1" s="207" t="s">
        <v>808</v>
      </c>
      <c r="G1" s="206"/>
      <c r="H1" s="206"/>
      <c r="I1" s="206" t="s">
        <v>50</v>
      </c>
      <c r="J1" s="206" t="s">
        <v>51</v>
      </c>
      <c r="K1" s="206" t="s">
        <v>52</v>
      </c>
      <c r="L1" s="206" t="s">
        <v>53</v>
      </c>
      <c r="M1" s="208" t="s">
        <v>54</v>
      </c>
      <c r="N1" s="208" t="s">
        <v>55</v>
      </c>
      <c r="O1" s="206" t="s">
        <v>809</v>
      </c>
      <c r="P1" s="209"/>
      <c r="Q1" s="209"/>
      <c r="R1" s="209"/>
      <c r="S1" s="209"/>
      <c r="T1" s="209"/>
      <c r="U1" s="209"/>
      <c r="V1" s="209"/>
      <c r="W1" s="209"/>
      <c r="X1" s="209"/>
      <c r="Y1" s="209"/>
      <c r="Z1" s="209"/>
      <c r="AA1" s="209"/>
      <c r="AB1" s="209"/>
    </row>
    <row r="2">
      <c r="A2" s="25"/>
      <c r="B2" s="25"/>
      <c r="C2" s="25"/>
      <c r="D2" s="21" t="b">
        <v>1</v>
      </c>
      <c r="E2" s="210" t="s">
        <v>810</v>
      </c>
      <c r="F2" s="211" t="s">
        <v>811</v>
      </c>
      <c r="G2" s="210" t="b">
        <f t="shared" ref="G2:H2" si="1">ISBLANK(M2)</f>
        <v>0</v>
      </c>
      <c r="H2" s="210" t="b">
        <f t="shared" si="1"/>
        <v>0</v>
      </c>
      <c r="I2" s="210">
        <v>2.0</v>
      </c>
      <c r="J2" s="210" t="s">
        <v>812</v>
      </c>
      <c r="K2" s="210" t="s">
        <v>813</v>
      </c>
      <c r="L2" s="210" t="s">
        <v>814</v>
      </c>
      <c r="M2" s="166" t="s">
        <v>358</v>
      </c>
      <c r="N2" s="166" t="s">
        <v>686</v>
      </c>
      <c r="O2" s="21" t="s">
        <v>815</v>
      </c>
      <c r="P2" s="25"/>
      <c r="Q2" s="25"/>
      <c r="R2" s="25"/>
      <c r="S2" s="25"/>
      <c r="T2" s="25"/>
      <c r="U2" s="25"/>
      <c r="V2" s="25"/>
      <c r="W2" s="25"/>
      <c r="X2" s="25"/>
      <c r="Y2" s="25"/>
      <c r="Z2" s="25"/>
      <c r="AA2" s="25"/>
      <c r="AB2" s="25"/>
    </row>
    <row r="3">
      <c r="A3" s="25"/>
      <c r="B3" s="25"/>
      <c r="C3" s="25"/>
      <c r="D3" s="21" t="b">
        <v>1</v>
      </c>
      <c r="E3" s="212" t="s">
        <v>300</v>
      </c>
      <c r="F3" s="194" t="s">
        <v>816</v>
      </c>
      <c r="G3" s="212"/>
      <c r="H3" s="212" t="b">
        <f t="shared" ref="H3:H25" si="2">ISBLANK(N3)</f>
        <v>0</v>
      </c>
      <c r="I3" s="212">
        <v>3.0</v>
      </c>
      <c r="J3" s="212" t="s">
        <v>817</v>
      </c>
      <c r="K3" s="212" t="s">
        <v>818</v>
      </c>
      <c r="L3" s="212" t="s">
        <v>819</v>
      </c>
      <c r="M3" s="166" t="s">
        <v>820</v>
      </c>
      <c r="N3" s="166" t="s">
        <v>305</v>
      </c>
      <c r="O3" s="25"/>
      <c r="P3" s="25"/>
      <c r="Q3" s="25"/>
      <c r="R3" s="25"/>
      <c r="S3" s="25"/>
      <c r="T3" s="25"/>
      <c r="U3" s="25"/>
      <c r="V3" s="25"/>
      <c r="W3" s="25"/>
      <c r="X3" s="25"/>
      <c r="Y3" s="25"/>
      <c r="Z3" s="25"/>
      <c r="AA3" s="25"/>
      <c r="AB3" s="25"/>
    </row>
    <row r="4">
      <c r="A4" s="25"/>
      <c r="B4" s="25"/>
      <c r="C4" s="25"/>
      <c r="D4" s="21" t="b">
        <v>1</v>
      </c>
      <c r="E4" s="212" t="s">
        <v>309</v>
      </c>
      <c r="F4" s="194" t="s">
        <v>816</v>
      </c>
      <c r="G4" s="212"/>
      <c r="H4" s="212" t="b">
        <f t="shared" si="2"/>
        <v>0</v>
      </c>
      <c r="I4" s="212" t="s">
        <v>821</v>
      </c>
      <c r="J4" s="212" t="s">
        <v>817</v>
      </c>
      <c r="K4" s="212" t="s">
        <v>818</v>
      </c>
      <c r="L4" s="212" t="s">
        <v>819</v>
      </c>
      <c r="M4" s="166" t="s">
        <v>822</v>
      </c>
      <c r="N4" s="166" t="s">
        <v>316</v>
      </c>
      <c r="O4" s="25"/>
      <c r="P4" s="25"/>
      <c r="Q4" s="25"/>
      <c r="R4" s="25"/>
      <c r="S4" s="25"/>
      <c r="T4" s="25"/>
      <c r="U4" s="25"/>
      <c r="V4" s="25"/>
      <c r="W4" s="25"/>
      <c r="X4" s="25"/>
      <c r="Y4" s="25"/>
      <c r="Z4" s="25"/>
      <c r="AA4" s="25"/>
      <c r="AB4" s="25"/>
    </row>
    <row r="5">
      <c r="A5" s="25"/>
      <c r="B5" s="25"/>
      <c r="C5" s="25"/>
      <c r="D5" s="25"/>
      <c r="E5" s="212" t="s">
        <v>823</v>
      </c>
      <c r="F5" s="194" t="s">
        <v>824</v>
      </c>
      <c r="G5" s="212"/>
      <c r="H5" s="212" t="b">
        <f t="shared" si="2"/>
        <v>0</v>
      </c>
      <c r="I5" s="212" t="s">
        <v>825</v>
      </c>
      <c r="J5" s="212" t="s">
        <v>812</v>
      </c>
      <c r="K5" s="212" t="s">
        <v>813</v>
      </c>
      <c r="L5" s="212" t="s">
        <v>826</v>
      </c>
      <c r="M5" s="166" t="s">
        <v>827</v>
      </c>
      <c r="N5" s="166" t="s">
        <v>635</v>
      </c>
      <c r="O5" s="25"/>
      <c r="P5" s="25"/>
      <c r="Q5" s="25"/>
      <c r="R5" s="25"/>
      <c r="S5" s="25"/>
      <c r="T5" s="25"/>
      <c r="U5" s="25"/>
      <c r="V5" s="25"/>
      <c r="W5" s="25"/>
      <c r="X5" s="25"/>
      <c r="Y5" s="25"/>
      <c r="Z5" s="25"/>
      <c r="AA5" s="25"/>
      <c r="AB5" s="25"/>
    </row>
    <row r="6">
      <c r="A6" s="25"/>
      <c r="B6" s="25"/>
      <c r="C6" s="25"/>
      <c r="D6" s="21" t="b">
        <v>1</v>
      </c>
      <c r="E6" s="212" t="s">
        <v>22</v>
      </c>
      <c r="F6" s="194" t="s">
        <v>824</v>
      </c>
      <c r="G6" s="212"/>
      <c r="H6" s="212" t="b">
        <f t="shared" si="2"/>
        <v>0</v>
      </c>
      <c r="I6" s="212" t="s">
        <v>828</v>
      </c>
      <c r="J6" s="212" t="s">
        <v>812</v>
      </c>
      <c r="K6" s="212" t="s">
        <v>813</v>
      </c>
      <c r="L6" s="212" t="s">
        <v>829</v>
      </c>
      <c r="M6" s="166" t="s">
        <v>289</v>
      </c>
      <c r="N6" s="166" t="s">
        <v>290</v>
      </c>
      <c r="O6" s="25"/>
      <c r="P6" s="25"/>
      <c r="Q6" s="25"/>
      <c r="R6" s="25"/>
      <c r="S6" s="25"/>
      <c r="T6" s="25"/>
      <c r="U6" s="25"/>
      <c r="V6" s="25"/>
      <c r="W6" s="25"/>
      <c r="X6" s="25"/>
      <c r="Y6" s="25"/>
      <c r="Z6" s="25"/>
      <c r="AA6" s="25"/>
      <c r="AB6" s="25"/>
    </row>
    <row r="7">
      <c r="A7" s="25"/>
      <c r="B7" s="25"/>
      <c r="C7" s="25"/>
      <c r="D7" s="21" t="b">
        <v>1</v>
      </c>
      <c r="E7" s="212" t="s">
        <v>467</v>
      </c>
      <c r="F7" s="194" t="s">
        <v>830</v>
      </c>
      <c r="G7" s="212"/>
      <c r="H7" s="212" t="b">
        <f t="shared" si="2"/>
        <v>0</v>
      </c>
      <c r="I7" s="212" t="s">
        <v>831</v>
      </c>
      <c r="J7" s="212" t="s">
        <v>832</v>
      </c>
      <c r="K7" s="212" t="s">
        <v>818</v>
      </c>
      <c r="L7" s="212" t="s">
        <v>819</v>
      </c>
      <c r="M7" s="166" t="s">
        <v>833</v>
      </c>
      <c r="N7" s="166" t="s">
        <v>472</v>
      </c>
      <c r="O7" s="25"/>
      <c r="P7" s="25"/>
      <c r="Q7" s="25"/>
      <c r="R7" s="25"/>
      <c r="S7" s="25"/>
      <c r="T7" s="25"/>
      <c r="U7" s="25"/>
      <c r="V7" s="25"/>
      <c r="W7" s="25"/>
      <c r="X7" s="25"/>
      <c r="Y7" s="25"/>
      <c r="Z7" s="25"/>
      <c r="AA7" s="25"/>
      <c r="AB7" s="25"/>
    </row>
    <row r="8">
      <c r="A8" s="25"/>
      <c r="B8" s="25"/>
      <c r="C8" s="25"/>
      <c r="D8" s="21" t="b">
        <v>1</v>
      </c>
      <c r="E8" s="212" t="s">
        <v>149</v>
      </c>
      <c r="F8" s="194" t="s">
        <v>834</v>
      </c>
      <c r="G8" s="212"/>
      <c r="H8" s="212" t="b">
        <f t="shared" si="2"/>
        <v>0</v>
      </c>
      <c r="I8" s="212" t="s">
        <v>835</v>
      </c>
      <c r="J8" s="212" t="s">
        <v>836</v>
      </c>
      <c r="K8" s="212" t="s">
        <v>837</v>
      </c>
      <c r="L8" s="212" t="s">
        <v>838</v>
      </c>
      <c r="M8" s="166" t="s">
        <v>153</v>
      </c>
      <c r="N8" s="166" t="s">
        <v>154</v>
      </c>
      <c r="O8" s="25"/>
      <c r="P8" s="25"/>
      <c r="Q8" s="25"/>
      <c r="R8" s="25"/>
      <c r="S8" s="25"/>
      <c r="T8" s="25"/>
      <c r="U8" s="25"/>
      <c r="V8" s="25"/>
      <c r="W8" s="25"/>
      <c r="X8" s="25"/>
      <c r="Y8" s="25"/>
      <c r="Z8" s="25"/>
      <c r="AA8" s="25"/>
      <c r="AB8" s="25"/>
    </row>
    <row r="9">
      <c r="A9" s="25"/>
      <c r="B9" s="25"/>
      <c r="C9" s="25"/>
      <c r="D9" s="21" t="b">
        <v>1</v>
      </c>
      <c r="E9" s="212" t="s">
        <v>157</v>
      </c>
      <c r="F9" s="194" t="s">
        <v>834</v>
      </c>
      <c r="G9" s="212"/>
      <c r="H9" s="212" t="b">
        <f t="shared" si="2"/>
        <v>0</v>
      </c>
      <c r="I9" s="212" t="s">
        <v>839</v>
      </c>
      <c r="J9" s="212" t="s">
        <v>836</v>
      </c>
      <c r="K9" s="212" t="s">
        <v>837</v>
      </c>
      <c r="L9" s="212" t="s">
        <v>840</v>
      </c>
      <c r="M9" s="166" t="s">
        <v>161</v>
      </c>
      <c r="N9" s="166" t="s">
        <v>162</v>
      </c>
      <c r="O9" s="25"/>
      <c r="P9" s="25"/>
      <c r="Q9" s="25"/>
      <c r="R9" s="25"/>
      <c r="S9" s="25"/>
      <c r="T9" s="25"/>
      <c r="U9" s="25"/>
      <c r="V9" s="25"/>
      <c r="W9" s="25"/>
      <c r="X9" s="25"/>
      <c r="Y9" s="25"/>
      <c r="Z9" s="25"/>
      <c r="AA9" s="25"/>
      <c r="AB9" s="25"/>
    </row>
    <row r="10">
      <c r="A10" s="25"/>
      <c r="B10" s="21" t="b">
        <v>0</v>
      </c>
      <c r="C10" s="21" t="b">
        <v>0</v>
      </c>
      <c r="D10" s="21" t="b">
        <v>1</v>
      </c>
      <c r="E10" s="212" t="s">
        <v>157</v>
      </c>
      <c r="F10" s="194" t="s">
        <v>834</v>
      </c>
      <c r="G10" s="212"/>
      <c r="H10" s="212" t="b">
        <f t="shared" si="2"/>
        <v>0</v>
      </c>
      <c r="I10" s="212" t="s">
        <v>839</v>
      </c>
      <c r="J10" s="212" t="s">
        <v>836</v>
      </c>
      <c r="K10" s="212" t="s">
        <v>837</v>
      </c>
      <c r="L10" s="212" t="s">
        <v>840</v>
      </c>
      <c r="M10" s="166" t="s">
        <v>841</v>
      </c>
      <c r="N10" s="166" t="s">
        <v>162</v>
      </c>
      <c r="O10" s="25"/>
      <c r="P10" s="25"/>
      <c r="Q10" s="25"/>
      <c r="R10" s="25"/>
      <c r="S10" s="25"/>
      <c r="T10" s="25"/>
      <c r="U10" s="25"/>
      <c r="V10" s="25"/>
      <c r="W10" s="25"/>
      <c r="X10" s="25"/>
      <c r="Y10" s="25"/>
      <c r="Z10" s="25"/>
      <c r="AA10" s="25"/>
      <c r="AB10" s="25"/>
    </row>
    <row r="11">
      <c r="A11" s="25"/>
      <c r="B11" s="25"/>
      <c r="C11" s="25"/>
      <c r="D11" s="21" t="b">
        <v>1</v>
      </c>
      <c r="E11" s="212" t="s">
        <v>842</v>
      </c>
      <c r="F11" s="194" t="s">
        <v>834</v>
      </c>
      <c r="G11" s="212"/>
      <c r="H11" s="212" t="b">
        <f t="shared" si="2"/>
        <v>0</v>
      </c>
      <c r="I11" s="212" t="s">
        <v>839</v>
      </c>
      <c r="J11" s="212" t="s">
        <v>836</v>
      </c>
      <c r="K11" s="212" t="s">
        <v>813</v>
      </c>
      <c r="L11" s="212" t="s">
        <v>840</v>
      </c>
      <c r="M11" s="166" t="s">
        <v>175</v>
      </c>
      <c r="N11" s="166" t="s">
        <v>162</v>
      </c>
      <c r="O11" s="25"/>
      <c r="P11" s="25"/>
      <c r="Q11" s="25"/>
      <c r="R11" s="25"/>
      <c r="S11" s="25"/>
      <c r="T11" s="25"/>
      <c r="U11" s="25"/>
      <c r="V11" s="25"/>
      <c r="W11" s="25"/>
      <c r="X11" s="25"/>
      <c r="Y11" s="25"/>
      <c r="Z11" s="25"/>
      <c r="AA11" s="25"/>
      <c r="AB11" s="25"/>
    </row>
    <row r="12">
      <c r="A12" s="25"/>
      <c r="B12" s="25"/>
      <c r="C12" s="25"/>
      <c r="D12" s="21" t="b">
        <v>1</v>
      </c>
      <c r="E12" s="212" t="s">
        <v>179</v>
      </c>
      <c r="F12" s="194" t="s">
        <v>834</v>
      </c>
      <c r="G12" s="212"/>
      <c r="H12" s="212" t="b">
        <f t="shared" si="2"/>
        <v>0</v>
      </c>
      <c r="I12" s="212" t="s">
        <v>843</v>
      </c>
      <c r="J12" s="212" t="s">
        <v>836</v>
      </c>
      <c r="K12" s="212" t="s">
        <v>837</v>
      </c>
      <c r="L12" s="212" t="s">
        <v>844</v>
      </c>
      <c r="M12" s="166" t="s">
        <v>845</v>
      </c>
      <c r="N12" s="166" t="s">
        <v>846</v>
      </c>
      <c r="O12" s="25"/>
      <c r="P12" s="25"/>
      <c r="Q12" s="25"/>
      <c r="R12" s="25"/>
      <c r="S12" s="25"/>
      <c r="T12" s="25"/>
      <c r="U12" s="25"/>
      <c r="V12" s="25"/>
      <c r="W12" s="25"/>
      <c r="X12" s="25"/>
      <c r="Y12" s="25"/>
      <c r="Z12" s="25"/>
      <c r="AA12" s="25"/>
      <c r="AB12" s="25"/>
    </row>
    <row r="13">
      <c r="A13" s="25"/>
      <c r="B13" s="25"/>
      <c r="C13" s="25"/>
      <c r="D13" s="21" t="b">
        <v>1</v>
      </c>
      <c r="E13" s="212" t="s">
        <v>202</v>
      </c>
      <c r="F13" s="194" t="s">
        <v>834</v>
      </c>
      <c r="G13" s="212"/>
      <c r="H13" s="212" t="b">
        <f t="shared" si="2"/>
        <v>0</v>
      </c>
      <c r="I13" s="212" t="s">
        <v>847</v>
      </c>
      <c r="J13" s="212" t="s">
        <v>848</v>
      </c>
      <c r="K13" s="212" t="s">
        <v>813</v>
      </c>
      <c r="L13" s="212" t="s">
        <v>849</v>
      </c>
      <c r="M13" s="166" t="s">
        <v>850</v>
      </c>
      <c r="N13" s="166" t="s">
        <v>192</v>
      </c>
      <c r="O13" s="25"/>
      <c r="P13" s="25"/>
      <c r="Q13" s="25"/>
      <c r="R13" s="25"/>
      <c r="S13" s="25"/>
      <c r="T13" s="25"/>
      <c r="U13" s="25"/>
      <c r="V13" s="25"/>
      <c r="W13" s="25"/>
      <c r="X13" s="25"/>
      <c r="Y13" s="25"/>
      <c r="Z13" s="25"/>
      <c r="AA13" s="25"/>
      <c r="AB13" s="25"/>
    </row>
    <row r="14">
      <c r="A14" s="25"/>
      <c r="B14" s="25"/>
      <c r="C14" s="25"/>
      <c r="D14" s="213" t="b">
        <v>1</v>
      </c>
      <c r="E14" s="212" t="s">
        <v>198</v>
      </c>
      <c r="F14" s="194" t="s">
        <v>834</v>
      </c>
      <c r="G14" s="212"/>
      <c r="H14" s="212" t="b">
        <f t="shared" si="2"/>
        <v>0</v>
      </c>
      <c r="I14" s="212" t="s">
        <v>851</v>
      </c>
      <c r="J14" s="212" t="s">
        <v>848</v>
      </c>
      <c r="K14" s="212" t="s">
        <v>852</v>
      </c>
      <c r="L14" s="212" t="s">
        <v>840</v>
      </c>
      <c r="M14" s="166" t="s">
        <v>853</v>
      </c>
      <c r="N14" s="166" t="s">
        <v>854</v>
      </c>
      <c r="O14" s="25"/>
      <c r="P14" s="25"/>
      <c r="Q14" s="25"/>
      <c r="R14" s="25"/>
      <c r="S14" s="25"/>
      <c r="T14" s="25"/>
      <c r="U14" s="25"/>
      <c r="V14" s="25"/>
      <c r="W14" s="25"/>
      <c r="X14" s="25"/>
      <c r="Y14" s="25"/>
      <c r="Z14" s="25"/>
      <c r="AA14" s="25"/>
      <c r="AB14" s="25"/>
    </row>
    <row r="15">
      <c r="A15" s="25"/>
      <c r="B15" s="25"/>
      <c r="C15" s="25"/>
      <c r="D15" s="21" t="b">
        <v>1</v>
      </c>
      <c r="E15" s="212" t="s">
        <v>228</v>
      </c>
      <c r="F15" s="194" t="s">
        <v>834</v>
      </c>
      <c r="G15" s="212"/>
      <c r="H15" s="212" t="b">
        <f t="shared" si="2"/>
        <v>0</v>
      </c>
      <c r="I15" s="212" t="s">
        <v>851</v>
      </c>
      <c r="J15" s="212" t="s">
        <v>848</v>
      </c>
      <c r="K15" s="212" t="s">
        <v>813</v>
      </c>
      <c r="L15" s="212" t="s">
        <v>840</v>
      </c>
      <c r="M15" s="166" t="s">
        <v>853</v>
      </c>
      <c r="N15" s="166" t="s">
        <v>854</v>
      </c>
      <c r="O15" s="25"/>
      <c r="P15" s="25"/>
      <c r="Q15" s="25"/>
      <c r="R15" s="25"/>
      <c r="S15" s="25"/>
      <c r="T15" s="25"/>
      <c r="U15" s="25"/>
      <c r="V15" s="25"/>
      <c r="W15" s="25"/>
      <c r="X15" s="25"/>
      <c r="Y15" s="25"/>
      <c r="Z15" s="25"/>
      <c r="AA15" s="25"/>
      <c r="AB15" s="25"/>
    </row>
    <row r="16">
      <c r="A16" s="25"/>
      <c r="B16" s="25"/>
      <c r="C16" s="25"/>
      <c r="D16" s="25"/>
      <c r="E16" s="212" t="s">
        <v>541</v>
      </c>
      <c r="F16" s="194" t="s">
        <v>830</v>
      </c>
      <c r="G16" s="212"/>
      <c r="H16" s="212" t="b">
        <f t="shared" si="2"/>
        <v>0</v>
      </c>
      <c r="I16" s="212" t="s">
        <v>855</v>
      </c>
      <c r="J16" s="212" t="s">
        <v>848</v>
      </c>
      <c r="K16" s="212" t="s">
        <v>813</v>
      </c>
      <c r="L16" s="212" t="s">
        <v>819</v>
      </c>
      <c r="M16" s="166" t="s">
        <v>856</v>
      </c>
      <c r="N16" s="166" t="s">
        <v>547</v>
      </c>
      <c r="O16" s="25"/>
      <c r="P16" s="25"/>
      <c r="Q16" s="25"/>
      <c r="R16" s="25"/>
      <c r="S16" s="25"/>
      <c r="T16" s="25"/>
      <c r="U16" s="25"/>
      <c r="V16" s="25"/>
      <c r="W16" s="25"/>
      <c r="X16" s="25"/>
      <c r="Y16" s="25"/>
      <c r="Z16" s="25"/>
      <c r="AA16" s="25"/>
      <c r="AB16" s="25"/>
    </row>
    <row r="17">
      <c r="A17" s="25"/>
      <c r="B17" s="25"/>
      <c r="C17" s="25"/>
      <c r="D17" s="25"/>
      <c r="E17" s="212" t="s">
        <v>541</v>
      </c>
      <c r="F17" s="194" t="s">
        <v>830</v>
      </c>
      <c r="G17" s="212"/>
      <c r="H17" s="212" t="b">
        <f t="shared" si="2"/>
        <v>0</v>
      </c>
      <c r="I17" s="212" t="s">
        <v>855</v>
      </c>
      <c r="J17" s="212" t="s">
        <v>848</v>
      </c>
      <c r="K17" s="212" t="s">
        <v>813</v>
      </c>
      <c r="L17" s="212" t="s">
        <v>819</v>
      </c>
      <c r="M17" s="166" t="s">
        <v>856</v>
      </c>
      <c r="N17" s="166" t="s">
        <v>547</v>
      </c>
      <c r="O17" s="25"/>
      <c r="P17" s="25"/>
      <c r="Q17" s="25"/>
      <c r="R17" s="25"/>
      <c r="S17" s="25"/>
      <c r="T17" s="25"/>
      <c r="U17" s="25"/>
      <c r="V17" s="25"/>
      <c r="W17" s="25"/>
      <c r="X17" s="25"/>
      <c r="Y17" s="25"/>
      <c r="Z17" s="25"/>
      <c r="AA17" s="25"/>
      <c r="AB17" s="25"/>
    </row>
    <row r="18">
      <c r="A18" s="25"/>
      <c r="B18" s="25"/>
      <c r="C18" s="25"/>
      <c r="D18" s="25"/>
      <c r="E18" s="212" t="s">
        <v>550</v>
      </c>
      <c r="F18" s="194" t="s">
        <v>830</v>
      </c>
      <c r="G18" s="212"/>
      <c r="H18" s="212" t="b">
        <f t="shared" si="2"/>
        <v>0</v>
      </c>
      <c r="I18" s="212" t="s">
        <v>855</v>
      </c>
      <c r="J18" s="212" t="s">
        <v>812</v>
      </c>
      <c r="K18" s="212" t="s">
        <v>813</v>
      </c>
      <c r="L18" s="212" t="s">
        <v>819</v>
      </c>
      <c r="M18" s="166" t="s">
        <v>857</v>
      </c>
      <c r="N18" s="166" t="s">
        <v>547</v>
      </c>
      <c r="O18" s="25"/>
      <c r="P18" s="25"/>
      <c r="Q18" s="25"/>
      <c r="R18" s="25"/>
      <c r="S18" s="25"/>
      <c r="T18" s="25"/>
      <c r="U18" s="25"/>
      <c r="V18" s="25"/>
      <c r="W18" s="25"/>
      <c r="X18" s="25"/>
      <c r="Y18" s="25"/>
      <c r="Z18" s="25"/>
      <c r="AA18" s="25"/>
      <c r="AB18" s="25"/>
    </row>
    <row r="19">
      <c r="A19" s="25"/>
      <c r="B19" s="25"/>
      <c r="C19" s="25"/>
      <c r="D19" s="25"/>
      <c r="E19" s="212" t="s">
        <v>550</v>
      </c>
      <c r="F19" s="194" t="s">
        <v>830</v>
      </c>
      <c r="G19" s="212"/>
      <c r="H19" s="212" t="b">
        <f t="shared" si="2"/>
        <v>0</v>
      </c>
      <c r="I19" s="212" t="s">
        <v>855</v>
      </c>
      <c r="J19" s="212" t="s">
        <v>812</v>
      </c>
      <c r="K19" s="212" t="s">
        <v>813</v>
      </c>
      <c r="L19" s="212" t="s">
        <v>819</v>
      </c>
      <c r="M19" s="166" t="s">
        <v>857</v>
      </c>
      <c r="N19" s="166" t="s">
        <v>547</v>
      </c>
      <c r="O19" s="25"/>
      <c r="P19" s="25"/>
      <c r="Q19" s="25"/>
      <c r="R19" s="25"/>
      <c r="S19" s="25"/>
      <c r="T19" s="25"/>
      <c r="U19" s="25"/>
      <c r="V19" s="25"/>
      <c r="W19" s="25"/>
      <c r="X19" s="25"/>
      <c r="Y19" s="25"/>
      <c r="Z19" s="25"/>
      <c r="AA19" s="25"/>
      <c r="AB19" s="25"/>
    </row>
    <row r="20">
      <c r="A20" s="25"/>
      <c r="B20" s="25"/>
      <c r="C20" s="25"/>
      <c r="D20" s="25"/>
      <c r="E20" s="212" t="s">
        <v>553</v>
      </c>
      <c r="F20" s="194" t="s">
        <v>830</v>
      </c>
      <c r="G20" s="212"/>
      <c r="H20" s="212" t="b">
        <f t="shared" si="2"/>
        <v>0</v>
      </c>
      <c r="I20" s="212" t="s">
        <v>855</v>
      </c>
      <c r="J20" s="212" t="s">
        <v>832</v>
      </c>
      <c r="K20" s="212" t="s">
        <v>818</v>
      </c>
      <c r="L20" s="212" t="s">
        <v>819</v>
      </c>
      <c r="M20" s="166" t="s">
        <v>858</v>
      </c>
      <c r="N20" s="166" t="s">
        <v>547</v>
      </c>
      <c r="O20" s="25"/>
      <c r="P20" s="25"/>
      <c r="Q20" s="25"/>
      <c r="R20" s="25"/>
      <c r="S20" s="25"/>
      <c r="T20" s="25"/>
      <c r="U20" s="25"/>
      <c r="V20" s="25"/>
      <c r="W20" s="25"/>
      <c r="X20" s="25"/>
      <c r="Y20" s="25"/>
      <c r="Z20" s="25"/>
      <c r="AA20" s="25"/>
      <c r="AB20" s="25"/>
    </row>
    <row r="21">
      <c r="A21" s="25"/>
      <c r="B21" s="25"/>
      <c r="C21" s="25"/>
      <c r="D21" s="25"/>
      <c r="E21" s="212" t="s">
        <v>553</v>
      </c>
      <c r="F21" s="194" t="s">
        <v>830</v>
      </c>
      <c r="G21" s="212"/>
      <c r="H21" s="212" t="b">
        <f t="shared" si="2"/>
        <v>0</v>
      </c>
      <c r="I21" s="212" t="s">
        <v>855</v>
      </c>
      <c r="J21" s="212" t="s">
        <v>832</v>
      </c>
      <c r="K21" s="212" t="s">
        <v>818</v>
      </c>
      <c r="L21" s="212" t="s">
        <v>819</v>
      </c>
      <c r="M21" s="166" t="s">
        <v>858</v>
      </c>
      <c r="N21" s="166" t="s">
        <v>547</v>
      </c>
      <c r="O21" s="25"/>
      <c r="P21" s="25"/>
      <c r="Q21" s="25"/>
      <c r="R21" s="25"/>
      <c r="S21" s="25"/>
      <c r="T21" s="25"/>
      <c r="U21" s="25"/>
      <c r="V21" s="25"/>
      <c r="W21" s="25"/>
      <c r="X21" s="25"/>
      <c r="Y21" s="25"/>
      <c r="Z21" s="25"/>
      <c r="AA21" s="25"/>
      <c r="AB21" s="25"/>
    </row>
    <row r="22">
      <c r="A22" s="25"/>
      <c r="B22" s="25"/>
      <c r="C22" s="25"/>
      <c r="D22" s="25"/>
      <c r="E22" s="212" t="s">
        <v>564</v>
      </c>
      <c r="F22" s="194" t="s">
        <v>830</v>
      </c>
      <c r="G22" s="212"/>
      <c r="H22" s="212" t="b">
        <f t="shared" si="2"/>
        <v>0</v>
      </c>
      <c r="I22" s="212" t="s">
        <v>859</v>
      </c>
      <c r="J22" s="212" t="s">
        <v>832</v>
      </c>
      <c r="K22" s="212" t="s">
        <v>818</v>
      </c>
      <c r="L22" s="212" t="s">
        <v>860</v>
      </c>
      <c r="M22" s="166" t="s">
        <v>861</v>
      </c>
      <c r="N22" s="166" t="s">
        <v>569</v>
      </c>
      <c r="O22" s="25"/>
      <c r="P22" s="25"/>
      <c r="Q22" s="25"/>
      <c r="R22" s="25"/>
      <c r="S22" s="25"/>
      <c r="T22" s="25"/>
      <c r="U22" s="25"/>
      <c r="V22" s="25"/>
      <c r="W22" s="25"/>
      <c r="X22" s="25"/>
      <c r="Y22" s="25"/>
      <c r="Z22" s="25"/>
      <c r="AA22" s="25"/>
      <c r="AB22" s="25"/>
    </row>
    <row r="23">
      <c r="A23" s="25"/>
      <c r="B23" s="25"/>
      <c r="C23" s="25"/>
      <c r="D23" s="25"/>
      <c r="E23" s="212" t="s">
        <v>862</v>
      </c>
      <c r="F23" s="194" t="s">
        <v>834</v>
      </c>
      <c r="G23" s="212"/>
      <c r="H23" s="212" t="b">
        <f t="shared" si="2"/>
        <v>0</v>
      </c>
      <c r="I23" s="214"/>
      <c r="J23" s="214"/>
      <c r="K23" s="214"/>
      <c r="L23" s="214"/>
      <c r="M23" s="166" t="s">
        <v>863</v>
      </c>
      <c r="N23" s="166" t="s">
        <v>864</v>
      </c>
      <c r="O23" s="25"/>
      <c r="P23" s="25"/>
      <c r="Q23" s="25"/>
      <c r="R23" s="25"/>
      <c r="S23" s="25"/>
      <c r="T23" s="25"/>
      <c r="U23" s="25"/>
      <c r="V23" s="25"/>
      <c r="W23" s="25"/>
      <c r="X23" s="25"/>
      <c r="Y23" s="25"/>
      <c r="Z23" s="25"/>
      <c r="AA23" s="25"/>
      <c r="AB23" s="25"/>
    </row>
    <row r="24">
      <c r="A24" s="25"/>
      <c r="B24" s="25"/>
      <c r="C24" s="25"/>
      <c r="D24" s="21" t="b">
        <v>1</v>
      </c>
      <c r="E24" s="215" t="s">
        <v>218</v>
      </c>
      <c r="F24" s="194" t="s">
        <v>834</v>
      </c>
      <c r="G24" s="212"/>
      <c r="H24" s="212" t="b">
        <f t="shared" si="2"/>
        <v>0</v>
      </c>
      <c r="I24" s="214"/>
      <c r="J24" s="214"/>
      <c r="K24" s="214"/>
      <c r="L24" s="214"/>
      <c r="M24" s="166" t="s">
        <v>222</v>
      </c>
      <c r="N24" s="166" t="s">
        <v>223</v>
      </c>
      <c r="O24" s="25"/>
      <c r="P24" s="25"/>
      <c r="Q24" s="25"/>
      <c r="R24" s="25"/>
      <c r="S24" s="25"/>
      <c r="T24" s="25"/>
      <c r="U24" s="25"/>
      <c r="V24" s="25"/>
      <c r="W24" s="25"/>
      <c r="X24" s="25"/>
      <c r="Y24" s="25"/>
      <c r="Z24" s="25"/>
      <c r="AA24" s="25"/>
      <c r="AB24" s="25"/>
    </row>
    <row r="25">
      <c r="A25" s="25"/>
      <c r="B25" s="25"/>
      <c r="C25" s="25"/>
      <c r="D25" s="21" t="b">
        <v>1</v>
      </c>
      <c r="E25" s="212" t="s">
        <v>783</v>
      </c>
      <c r="F25" s="194" t="s">
        <v>834</v>
      </c>
      <c r="G25" s="212"/>
      <c r="H25" s="212" t="b">
        <f t="shared" si="2"/>
        <v>0</v>
      </c>
      <c r="I25" s="214"/>
      <c r="J25" s="214"/>
      <c r="K25" s="214"/>
      <c r="L25" s="214"/>
      <c r="M25" s="166" t="s">
        <v>865</v>
      </c>
      <c r="N25" s="166" t="s">
        <v>233</v>
      </c>
      <c r="O25" s="25"/>
      <c r="P25" s="25"/>
      <c r="Q25" s="25"/>
      <c r="R25" s="25"/>
      <c r="S25" s="25"/>
      <c r="T25" s="25"/>
      <c r="U25" s="25"/>
      <c r="V25" s="25"/>
      <c r="W25" s="25"/>
      <c r="X25" s="25"/>
      <c r="Y25" s="25"/>
      <c r="Z25" s="25"/>
      <c r="AA25" s="25"/>
      <c r="AB25" s="25"/>
    </row>
    <row r="26">
      <c r="A26" s="25"/>
      <c r="B26" s="25"/>
      <c r="C26" s="25"/>
      <c r="D26" s="25"/>
      <c r="E26" s="212" t="s">
        <v>866</v>
      </c>
      <c r="F26" s="194" t="s">
        <v>834</v>
      </c>
      <c r="G26" s="212"/>
      <c r="H26" s="212" t="b">
        <f>ISBLANK(#REF!)</f>
        <v>0</v>
      </c>
      <c r="I26" s="214"/>
      <c r="J26" s="214"/>
      <c r="K26" s="214"/>
      <c r="L26" s="214"/>
      <c r="M26" s="166" t="s">
        <v>867</v>
      </c>
      <c r="N26" s="166" t="s">
        <v>868</v>
      </c>
      <c r="O26" s="25"/>
      <c r="P26" s="25"/>
      <c r="Q26" s="25"/>
      <c r="R26" s="25"/>
      <c r="S26" s="25"/>
      <c r="T26" s="25"/>
      <c r="U26" s="25"/>
      <c r="V26" s="25"/>
      <c r="W26" s="25"/>
      <c r="X26" s="25"/>
      <c r="Y26" s="25"/>
      <c r="Z26" s="25"/>
      <c r="AA26" s="25"/>
      <c r="AB26" s="25"/>
    </row>
    <row r="27">
      <c r="A27" s="25"/>
      <c r="B27" s="25"/>
      <c r="C27" s="25"/>
      <c r="D27" s="21" t="b">
        <v>1</v>
      </c>
      <c r="E27" s="212" t="s">
        <v>869</v>
      </c>
      <c r="F27" s="194" t="s">
        <v>834</v>
      </c>
      <c r="G27" s="212"/>
      <c r="H27" s="212" t="b">
        <f>ISBLANK(N27)</f>
        <v>1</v>
      </c>
      <c r="I27" s="214"/>
      <c r="J27" s="214"/>
      <c r="K27" s="214"/>
      <c r="L27" s="214"/>
      <c r="M27" s="166" t="s">
        <v>870</v>
      </c>
      <c r="N27" s="216"/>
      <c r="O27" s="25"/>
      <c r="P27" s="25"/>
      <c r="Q27" s="25"/>
      <c r="R27" s="25"/>
      <c r="S27" s="25"/>
      <c r="T27" s="25"/>
      <c r="U27" s="25"/>
      <c r="V27" s="25"/>
      <c r="W27" s="25"/>
      <c r="X27" s="25"/>
      <c r="Y27" s="25"/>
      <c r="Z27" s="25"/>
      <c r="AA27" s="25"/>
      <c r="AB27" s="25"/>
    </row>
    <row r="28">
      <c r="A28" s="25"/>
      <c r="B28" s="25"/>
      <c r="C28" s="25"/>
      <c r="D28" s="21" t="b">
        <v>1</v>
      </c>
      <c r="E28" s="215" t="s">
        <v>871</v>
      </c>
      <c r="F28" s="194" t="s">
        <v>834</v>
      </c>
      <c r="G28" s="212"/>
      <c r="H28" s="212" t="b">
        <f>ISBLANK(N26)</f>
        <v>0</v>
      </c>
      <c r="I28" s="214"/>
      <c r="J28" s="214"/>
      <c r="K28" s="214"/>
      <c r="L28" s="214"/>
      <c r="M28" s="166" t="s">
        <v>870</v>
      </c>
      <c r="N28" s="166" t="s">
        <v>872</v>
      </c>
      <c r="O28" s="25"/>
      <c r="P28" s="25"/>
      <c r="Q28" s="25"/>
      <c r="R28" s="25"/>
      <c r="S28" s="25"/>
      <c r="T28" s="25"/>
      <c r="U28" s="25"/>
      <c r="V28" s="25"/>
      <c r="W28" s="25"/>
      <c r="X28" s="25"/>
      <c r="Y28" s="25"/>
      <c r="Z28" s="25"/>
      <c r="AA28" s="25"/>
      <c r="AB28" s="25"/>
    </row>
    <row r="29">
      <c r="A29" s="25"/>
      <c r="B29" s="25"/>
      <c r="C29" s="25"/>
      <c r="D29" s="25"/>
      <c r="E29" s="212" t="s">
        <v>873</v>
      </c>
      <c r="F29" s="194" t="s">
        <v>834</v>
      </c>
      <c r="G29" s="212"/>
      <c r="H29" s="212" t="b">
        <f>ISBLANK(N29)</f>
        <v>1</v>
      </c>
      <c r="I29" s="214"/>
      <c r="J29" s="214"/>
      <c r="K29" s="214"/>
      <c r="L29" s="214"/>
      <c r="M29" s="166" t="s">
        <v>874</v>
      </c>
      <c r="N29" s="166"/>
      <c r="O29" s="25"/>
      <c r="P29" s="25"/>
      <c r="Q29" s="25"/>
      <c r="R29" s="25"/>
      <c r="S29" s="25"/>
      <c r="T29" s="25"/>
      <c r="U29" s="25"/>
      <c r="V29" s="25"/>
      <c r="W29" s="25"/>
      <c r="X29" s="25"/>
      <c r="Y29" s="25"/>
      <c r="Z29" s="25"/>
      <c r="AA29" s="25"/>
      <c r="AB29" s="25"/>
    </row>
    <row r="30">
      <c r="A30" s="25"/>
      <c r="B30" s="25"/>
      <c r="C30" s="25"/>
      <c r="D30" s="21" t="b">
        <v>1</v>
      </c>
      <c r="E30" s="212" t="s">
        <v>875</v>
      </c>
      <c r="F30" s="194" t="s">
        <v>834</v>
      </c>
      <c r="G30" s="212"/>
      <c r="H30" s="212" t="b">
        <f>ISBLANK(N28)</f>
        <v>0</v>
      </c>
      <c r="I30" s="214"/>
      <c r="J30" s="214"/>
      <c r="K30" s="214"/>
      <c r="L30" s="214"/>
      <c r="M30" s="166" t="s">
        <v>876</v>
      </c>
      <c r="N30" s="217"/>
      <c r="O30" s="25"/>
      <c r="P30" s="25"/>
      <c r="Q30" s="25"/>
      <c r="R30" s="25"/>
      <c r="S30" s="25"/>
      <c r="T30" s="25"/>
      <c r="U30" s="25"/>
      <c r="V30" s="25"/>
      <c r="W30" s="25"/>
      <c r="X30" s="25"/>
      <c r="Y30" s="25"/>
      <c r="Z30" s="25"/>
      <c r="AA30" s="25"/>
      <c r="AB30" s="25"/>
    </row>
    <row r="31">
      <c r="A31" s="25"/>
      <c r="B31" s="25"/>
      <c r="C31" s="25"/>
      <c r="D31" s="21" t="b">
        <v>1</v>
      </c>
      <c r="E31" s="212" t="s">
        <v>877</v>
      </c>
      <c r="F31" s="194" t="s">
        <v>834</v>
      </c>
      <c r="G31" s="212"/>
      <c r="H31" s="212" t="b">
        <f t="shared" ref="H31:H81" si="3">ISBLANK(N31)</f>
        <v>0</v>
      </c>
      <c r="I31" s="214"/>
      <c r="J31" s="214"/>
      <c r="K31" s="214"/>
      <c r="L31" s="214"/>
      <c r="M31" s="166" t="s">
        <v>878</v>
      </c>
      <c r="N31" s="166" t="s">
        <v>623</v>
      </c>
      <c r="O31" s="25"/>
      <c r="P31" s="25"/>
      <c r="Q31" s="25"/>
      <c r="R31" s="25"/>
      <c r="S31" s="25"/>
      <c r="T31" s="25"/>
      <c r="U31" s="25"/>
      <c r="V31" s="25"/>
      <c r="W31" s="25"/>
      <c r="X31" s="25"/>
      <c r="Y31" s="25"/>
      <c r="Z31" s="25"/>
      <c r="AA31" s="25"/>
      <c r="AB31" s="25"/>
    </row>
    <row r="32">
      <c r="A32" s="25"/>
      <c r="B32" s="25"/>
      <c r="C32" s="25"/>
      <c r="D32" s="25"/>
      <c r="E32" s="215" t="s">
        <v>879</v>
      </c>
      <c r="F32" s="194" t="s">
        <v>824</v>
      </c>
      <c r="G32" s="212"/>
      <c r="H32" s="212" t="b">
        <f t="shared" si="3"/>
        <v>0</v>
      </c>
      <c r="I32" s="214"/>
      <c r="J32" s="214"/>
      <c r="K32" s="214"/>
      <c r="L32" s="214"/>
      <c r="M32" s="166" t="s">
        <v>627</v>
      </c>
      <c r="N32" s="166" t="s">
        <v>880</v>
      </c>
      <c r="O32" s="25"/>
      <c r="P32" s="25"/>
      <c r="Q32" s="25"/>
      <c r="R32" s="25"/>
      <c r="S32" s="25"/>
      <c r="T32" s="25"/>
      <c r="U32" s="25"/>
      <c r="V32" s="25"/>
      <c r="W32" s="25"/>
      <c r="X32" s="25"/>
      <c r="Y32" s="25"/>
      <c r="Z32" s="25"/>
      <c r="AA32" s="25"/>
      <c r="AB32" s="25"/>
    </row>
    <row r="33">
      <c r="A33" s="25"/>
      <c r="B33" s="25"/>
      <c r="C33" s="25"/>
      <c r="D33" s="25"/>
      <c r="E33" s="212" t="s">
        <v>881</v>
      </c>
      <c r="F33" s="218" t="s">
        <v>882</v>
      </c>
      <c r="G33" s="212"/>
      <c r="H33" s="212" t="b">
        <f t="shared" si="3"/>
        <v>0</v>
      </c>
      <c r="I33" s="214"/>
      <c r="J33" s="214"/>
      <c r="K33" s="214"/>
      <c r="L33" s="214"/>
      <c r="M33" s="166" t="s">
        <v>883</v>
      </c>
      <c r="N33" s="166" t="s">
        <v>884</v>
      </c>
      <c r="O33" s="25"/>
      <c r="P33" s="25"/>
      <c r="Q33" s="25"/>
      <c r="R33" s="25"/>
      <c r="S33" s="25"/>
      <c r="T33" s="25"/>
      <c r="U33" s="25"/>
      <c r="V33" s="25"/>
      <c r="W33" s="25"/>
      <c r="X33" s="25"/>
      <c r="Y33" s="25"/>
      <c r="Z33" s="25"/>
      <c r="AA33" s="25"/>
      <c r="AB33" s="25"/>
    </row>
    <row r="34">
      <c r="A34" s="25"/>
      <c r="B34" s="25"/>
      <c r="C34" s="25"/>
      <c r="D34" s="25"/>
      <c r="E34" s="212" t="s">
        <v>885</v>
      </c>
      <c r="F34" s="218" t="s">
        <v>882</v>
      </c>
      <c r="G34" s="212"/>
      <c r="H34" s="212" t="b">
        <f t="shared" si="3"/>
        <v>0</v>
      </c>
      <c r="I34" s="214"/>
      <c r="J34" s="214"/>
      <c r="K34" s="214"/>
      <c r="L34" s="214"/>
      <c r="M34" s="166" t="s">
        <v>883</v>
      </c>
      <c r="N34" s="166" t="s">
        <v>886</v>
      </c>
      <c r="O34" s="25"/>
      <c r="P34" s="25"/>
      <c r="Q34" s="25"/>
      <c r="R34" s="25"/>
      <c r="S34" s="25"/>
      <c r="T34" s="25"/>
      <c r="U34" s="25"/>
      <c r="V34" s="25"/>
      <c r="W34" s="25"/>
      <c r="X34" s="25"/>
      <c r="Y34" s="25"/>
      <c r="Z34" s="25"/>
      <c r="AA34" s="25"/>
      <c r="AB34" s="25"/>
    </row>
    <row r="35">
      <c r="A35" s="25"/>
      <c r="B35" s="25"/>
      <c r="C35" s="25"/>
      <c r="D35" s="25"/>
      <c r="E35" s="212" t="s">
        <v>887</v>
      </c>
      <c r="F35" s="194" t="s">
        <v>888</v>
      </c>
      <c r="G35" s="212"/>
      <c r="H35" s="212" t="b">
        <f t="shared" si="3"/>
        <v>0</v>
      </c>
      <c r="I35" s="214"/>
      <c r="J35" s="214"/>
      <c r="K35" s="214"/>
      <c r="L35" s="214"/>
      <c r="M35" s="166" t="s">
        <v>889</v>
      </c>
      <c r="N35" s="166" t="s">
        <v>890</v>
      </c>
      <c r="O35" s="25"/>
      <c r="P35" s="25"/>
      <c r="Q35" s="25"/>
      <c r="R35" s="25"/>
      <c r="S35" s="25"/>
      <c r="T35" s="25"/>
      <c r="U35" s="25"/>
      <c r="V35" s="25"/>
      <c r="W35" s="25"/>
      <c r="X35" s="25"/>
      <c r="Y35" s="25"/>
      <c r="Z35" s="25"/>
      <c r="AA35" s="25"/>
      <c r="AB35" s="25"/>
    </row>
    <row r="36">
      <c r="A36" s="25"/>
      <c r="B36" s="25"/>
      <c r="C36" s="25"/>
      <c r="D36" s="25"/>
      <c r="E36" s="212" t="s">
        <v>891</v>
      </c>
      <c r="F36" s="194" t="s">
        <v>888</v>
      </c>
      <c r="G36" s="212"/>
      <c r="H36" s="212" t="b">
        <f t="shared" si="3"/>
        <v>0</v>
      </c>
      <c r="I36" s="214"/>
      <c r="J36" s="214"/>
      <c r="K36" s="214"/>
      <c r="L36" s="214"/>
      <c r="M36" s="166" t="s">
        <v>892</v>
      </c>
      <c r="N36" s="166" t="s">
        <v>893</v>
      </c>
      <c r="O36" s="25"/>
      <c r="P36" s="25"/>
      <c r="Q36" s="25"/>
      <c r="R36" s="25"/>
      <c r="S36" s="25"/>
      <c r="T36" s="25"/>
      <c r="U36" s="25"/>
      <c r="V36" s="25"/>
      <c r="W36" s="25"/>
      <c r="X36" s="25"/>
      <c r="Y36" s="25"/>
      <c r="Z36" s="25"/>
      <c r="AA36" s="25"/>
      <c r="AB36" s="25"/>
    </row>
    <row r="37">
      <c r="A37" s="25"/>
      <c r="B37" s="25"/>
      <c r="C37" s="25"/>
      <c r="D37" s="25"/>
      <c r="E37" s="212" t="s">
        <v>894</v>
      </c>
      <c r="F37" s="194" t="s">
        <v>888</v>
      </c>
      <c r="G37" s="212"/>
      <c r="H37" s="212" t="b">
        <f t="shared" si="3"/>
        <v>0</v>
      </c>
      <c r="I37" s="214"/>
      <c r="J37" s="214"/>
      <c r="K37" s="214"/>
      <c r="L37" s="214"/>
      <c r="M37" s="166" t="s">
        <v>892</v>
      </c>
      <c r="N37" s="166" t="s">
        <v>895</v>
      </c>
      <c r="O37" s="25"/>
      <c r="P37" s="25"/>
      <c r="Q37" s="25"/>
      <c r="R37" s="25"/>
      <c r="S37" s="25"/>
      <c r="T37" s="25"/>
      <c r="U37" s="25"/>
      <c r="V37" s="25"/>
      <c r="W37" s="25"/>
      <c r="X37" s="25"/>
      <c r="Y37" s="25"/>
      <c r="Z37" s="25"/>
      <c r="AA37" s="25"/>
      <c r="AB37" s="25"/>
    </row>
    <row r="38">
      <c r="A38" s="25"/>
      <c r="B38" s="25"/>
      <c r="C38" s="25"/>
      <c r="D38" s="25"/>
      <c r="E38" s="212" t="s">
        <v>896</v>
      </c>
      <c r="F38" s="194" t="s">
        <v>888</v>
      </c>
      <c r="G38" s="212"/>
      <c r="H38" s="212" t="b">
        <f t="shared" si="3"/>
        <v>0</v>
      </c>
      <c r="I38" s="214"/>
      <c r="J38" s="214"/>
      <c r="K38" s="214"/>
      <c r="L38" s="214"/>
      <c r="M38" s="166" t="s">
        <v>897</v>
      </c>
      <c r="N38" s="166" t="s">
        <v>898</v>
      </c>
      <c r="O38" s="25"/>
      <c r="P38" s="25"/>
      <c r="Q38" s="25"/>
      <c r="R38" s="25"/>
      <c r="S38" s="25"/>
      <c r="T38" s="25"/>
      <c r="U38" s="25"/>
      <c r="V38" s="25"/>
      <c r="W38" s="25"/>
      <c r="X38" s="25"/>
      <c r="Y38" s="25"/>
      <c r="Z38" s="25"/>
      <c r="AA38" s="25"/>
      <c r="AB38" s="25"/>
    </row>
    <row r="39">
      <c r="A39" s="25"/>
      <c r="B39" s="25"/>
      <c r="C39" s="25"/>
      <c r="D39" s="25"/>
      <c r="E39" s="212" t="s">
        <v>899</v>
      </c>
      <c r="F39" s="194" t="s">
        <v>888</v>
      </c>
      <c r="G39" s="212"/>
      <c r="H39" s="212" t="b">
        <f t="shared" si="3"/>
        <v>0</v>
      </c>
      <c r="I39" s="214"/>
      <c r="J39" s="214"/>
      <c r="K39" s="214"/>
      <c r="L39" s="214"/>
      <c r="M39" s="166" t="s">
        <v>897</v>
      </c>
      <c r="N39" s="166" t="s">
        <v>900</v>
      </c>
      <c r="O39" s="25"/>
      <c r="P39" s="25"/>
      <c r="Q39" s="25"/>
      <c r="R39" s="25"/>
      <c r="S39" s="25"/>
      <c r="T39" s="25"/>
      <c r="U39" s="25"/>
      <c r="V39" s="25"/>
      <c r="W39" s="25"/>
      <c r="X39" s="25"/>
      <c r="Y39" s="25"/>
      <c r="Z39" s="25"/>
      <c r="AA39" s="25"/>
      <c r="AB39" s="25"/>
    </row>
    <row r="40">
      <c r="A40" s="25"/>
      <c r="B40" s="25"/>
      <c r="C40" s="25"/>
      <c r="D40" s="25"/>
      <c r="E40" s="212" t="s">
        <v>901</v>
      </c>
      <c r="F40" s="194" t="s">
        <v>888</v>
      </c>
      <c r="G40" s="212"/>
      <c r="H40" s="212" t="b">
        <f t="shared" si="3"/>
        <v>1</v>
      </c>
      <c r="I40" s="214"/>
      <c r="J40" s="214"/>
      <c r="K40" s="214"/>
      <c r="L40" s="214"/>
      <c r="M40" s="166" t="s">
        <v>897</v>
      </c>
      <c r="N40" s="216"/>
      <c r="O40" s="25"/>
      <c r="P40" s="25"/>
      <c r="Q40" s="25"/>
      <c r="R40" s="25"/>
      <c r="S40" s="25"/>
      <c r="T40" s="25"/>
      <c r="U40" s="25"/>
      <c r="V40" s="25"/>
      <c r="W40" s="25"/>
      <c r="X40" s="25"/>
      <c r="Y40" s="25"/>
      <c r="Z40" s="25"/>
      <c r="AA40" s="25"/>
      <c r="AB40" s="25"/>
    </row>
    <row r="41">
      <c r="A41" s="25"/>
      <c r="B41" s="25"/>
      <c r="C41" s="25"/>
      <c r="D41" s="25"/>
      <c r="E41" s="212" t="s">
        <v>902</v>
      </c>
      <c r="F41" s="194" t="s">
        <v>888</v>
      </c>
      <c r="G41" s="212"/>
      <c r="H41" s="212" t="b">
        <f t="shared" si="3"/>
        <v>1</v>
      </c>
      <c r="I41" s="214"/>
      <c r="J41" s="214"/>
      <c r="K41" s="214"/>
      <c r="L41" s="214"/>
      <c r="M41" s="166" t="s">
        <v>867</v>
      </c>
      <c r="N41" s="216"/>
      <c r="O41" s="25"/>
      <c r="P41" s="25"/>
      <c r="Q41" s="25"/>
      <c r="R41" s="25"/>
      <c r="S41" s="25"/>
      <c r="T41" s="25"/>
      <c r="U41" s="25"/>
      <c r="V41" s="25"/>
      <c r="W41" s="25"/>
      <c r="X41" s="25"/>
      <c r="Y41" s="25"/>
      <c r="Z41" s="25"/>
      <c r="AA41" s="25"/>
      <c r="AB41" s="25"/>
    </row>
    <row r="42">
      <c r="A42" s="25"/>
      <c r="B42" s="25"/>
      <c r="C42" s="25"/>
      <c r="D42" s="21" t="b">
        <v>1</v>
      </c>
      <c r="E42" s="215" t="s">
        <v>322</v>
      </c>
      <c r="F42" s="194" t="s">
        <v>816</v>
      </c>
      <c r="G42" s="212"/>
      <c r="H42" s="212" t="b">
        <f t="shared" si="3"/>
        <v>0</v>
      </c>
      <c r="I42" s="214"/>
      <c r="J42" s="214"/>
      <c r="K42" s="214"/>
      <c r="L42" s="214"/>
      <c r="M42" s="219" t="s">
        <v>326</v>
      </c>
      <c r="N42" s="219" t="s">
        <v>327</v>
      </c>
      <c r="O42" s="25"/>
      <c r="P42" s="25"/>
      <c r="Q42" s="25"/>
      <c r="R42" s="25"/>
      <c r="S42" s="25"/>
      <c r="T42" s="25"/>
      <c r="U42" s="25"/>
      <c r="V42" s="25"/>
      <c r="W42" s="25"/>
      <c r="X42" s="25"/>
      <c r="Y42" s="25"/>
      <c r="Z42" s="25"/>
      <c r="AA42" s="25"/>
      <c r="AB42" s="25"/>
    </row>
    <row r="43">
      <c r="A43" s="25"/>
      <c r="B43" s="25"/>
      <c r="C43" s="25"/>
      <c r="D43" s="21" t="b">
        <v>1</v>
      </c>
      <c r="E43" s="220" t="s">
        <v>24</v>
      </c>
      <c r="F43" s="194" t="s">
        <v>816</v>
      </c>
      <c r="G43" s="212"/>
      <c r="H43" s="212" t="b">
        <f t="shared" si="3"/>
        <v>0</v>
      </c>
      <c r="I43" s="214"/>
      <c r="J43" s="214"/>
      <c r="K43" s="214"/>
      <c r="L43" s="214"/>
      <c r="M43" s="166" t="s">
        <v>67</v>
      </c>
      <c r="N43" s="166" t="s">
        <v>68</v>
      </c>
      <c r="O43" s="25"/>
      <c r="P43" s="25"/>
      <c r="Q43" s="25"/>
      <c r="R43" s="25"/>
      <c r="S43" s="25"/>
      <c r="T43" s="25"/>
      <c r="U43" s="25"/>
      <c r="V43" s="25"/>
      <c r="W43" s="25"/>
      <c r="X43" s="25"/>
      <c r="Y43" s="25"/>
      <c r="Z43" s="25"/>
      <c r="AA43" s="25"/>
      <c r="AB43" s="25"/>
    </row>
    <row r="44">
      <c r="A44" s="25"/>
      <c r="B44" s="25"/>
      <c r="C44" s="25"/>
      <c r="D44" s="21" t="b">
        <v>1</v>
      </c>
      <c r="E44" s="220" t="s">
        <v>903</v>
      </c>
      <c r="F44" s="194" t="s">
        <v>816</v>
      </c>
      <c r="G44" s="212"/>
      <c r="H44" s="212" t="b">
        <f t="shared" si="3"/>
        <v>0</v>
      </c>
      <c r="I44" s="214"/>
      <c r="J44" s="214"/>
      <c r="K44" s="214"/>
      <c r="L44" s="214"/>
      <c r="M44" s="166" t="s">
        <v>904</v>
      </c>
      <c r="N44" s="166" t="s">
        <v>101</v>
      </c>
      <c r="O44" s="25"/>
      <c r="P44" s="166" t="s">
        <v>101</v>
      </c>
      <c r="Q44" s="25"/>
      <c r="R44" s="25"/>
      <c r="S44" s="25"/>
      <c r="T44" s="25"/>
      <c r="U44" s="25"/>
      <c r="V44" s="25"/>
      <c r="W44" s="25"/>
      <c r="X44" s="25"/>
      <c r="Y44" s="25"/>
      <c r="Z44" s="25"/>
      <c r="AA44" s="25"/>
      <c r="AB44" s="25"/>
    </row>
    <row r="45">
      <c r="A45" s="25"/>
      <c r="B45" s="25"/>
      <c r="C45" s="25"/>
      <c r="D45" s="21" t="b">
        <v>1</v>
      </c>
      <c r="E45" s="220" t="s">
        <v>345</v>
      </c>
      <c r="F45" s="194" t="s">
        <v>816</v>
      </c>
      <c r="G45" s="212"/>
      <c r="H45" s="212" t="b">
        <f t="shared" si="3"/>
        <v>0</v>
      </c>
      <c r="I45" s="214"/>
      <c r="J45" s="214"/>
      <c r="K45" s="214"/>
      <c r="L45" s="214"/>
      <c r="M45" s="166" t="s">
        <v>344</v>
      </c>
      <c r="N45" s="166" t="s">
        <v>905</v>
      </c>
      <c r="O45" s="25"/>
      <c r="P45" s="24" t="s">
        <v>122</v>
      </c>
      <c r="Q45" s="25"/>
      <c r="R45" s="25"/>
      <c r="S45" s="25"/>
      <c r="T45" s="25"/>
      <c r="U45" s="25"/>
      <c r="V45" s="25"/>
      <c r="W45" s="25"/>
      <c r="X45" s="25"/>
      <c r="Y45" s="25"/>
      <c r="Z45" s="25"/>
      <c r="AA45" s="25"/>
      <c r="AB45" s="25"/>
    </row>
    <row r="46">
      <c r="A46" s="25"/>
      <c r="B46" s="25"/>
      <c r="C46" s="25"/>
      <c r="D46" s="25"/>
      <c r="E46" s="212" t="s">
        <v>356</v>
      </c>
      <c r="F46" s="194" t="s">
        <v>906</v>
      </c>
      <c r="G46" s="212"/>
      <c r="H46" s="212" t="b">
        <f t="shared" si="3"/>
        <v>0</v>
      </c>
      <c r="I46" s="214"/>
      <c r="J46" s="214"/>
      <c r="K46" s="214"/>
      <c r="L46" s="214"/>
      <c r="M46" s="166" t="s">
        <v>358</v>
      </c>
      <c r="N46" s="166" t="s">
        <v>359</v>
      </c>
      <c r="O46" s="25"/>
      <c r="P46" s="25"/>
      <c r="Q46" s="25"/>
      <c r="R46" s="25"/>
      <c r="S46" s="25"/>
      <c r="T46" s="25"/>
      <c r="U46" s="25"/>
      <c r="V46" s="25"/>
      <c r="W46" s="25"/>
      <c r="X46" s="25"/>
      <c r="Y46" s="25"/>
      <c r="Z46" s="25"/>
      <c r="AA46" s="25"/>
      <c r="AB46" s="25"/>
    </row>
    <row r="47">
      <c r="A47" s="25"/>
      <c r="B47" s="25"/>
      <c r="C47" s="25"/>
      <c r="D47" s="25"/>
      <c r="E47" s="212" t="s">
        <v>907</v>
      </c>
      <c r="F47" s="194" t="s">
        <v>830</v>
      </c>
      <c r="G47" s="212"/>
      <c r="H47" s="212" t="b">
        <f t="shared" si="3"/>
        <v>1</v>
      </c>
      <c r="I47" s="214"/>
      <c r="J47" s="214"/>
      <c r="K47" s="214"/>
      <c r="L47" s="214"/>
      <c r="M47" s="198" t="s">
        <v>908</v>
      </c>
      <c r="N47" s="216"/>
      <c r="O47" s="25"/>
      <c r="P47" s="25"/>
      <c r="Q47" s="25"/>
      <c r="R47" s="25"/>
      <c r="S47" s="25"/>
      <c r="T47" s="25"/>
      <c r="U47" s="25"/>
      <c r="V47" s="25"/>
      <c r="W47" s="25"/>
      <c r="X47" s="25"/>
      <c r="Y47" s="25"/>
      <c r="Z47" s="25"/>
      <c r="AA47" s="25"/>
      <c r="AB47" s="25"/>
    </row>
    <row r="48">
      <c r="A48" s="25"/>
      <c r="B48" s="25"/>
      <c r="C48" s="25"/>
      <c r="D48" s="25"/>
      <c r="E48" s="212" t="s">
        <v>909</v>
      </c>
      <c r="F48" s="194" t="s">
        <v>830</v>
      </c>
      <c r="G48" s="212"/>
      <c r="H48" s="212" t="b">
        <f t="shared" si="3"/>
        <v>1</v>
      </c>
      <c r="I48" s="214"/>
      <c r="J48" s="214"/>
      <c r="K48" s="214"/>
      <c r="L48" s="214"/>
      <c r="M48" s="198" t="s">
        <v>910</v>
      </c>
      <c r="N48" s="216"/>
      <c r="O48" s="25"/>
      <c r="P48" s="25"/>
      <c r="Q48" s="25"/>
      <c r="R48" s="25"/>
      <c r="S48" s="25"/>
      <c r="T48" s="25"/>
      <c r="U48" s="25"/>
      <c r="V48" s="25"/>
      <c r="W48" s="25"/>
      <c r="X48" s="25"/>
      <c r="Y48" s="25"/>
      <c r="Z48" s="25"/>
      <c r="AA48" s="25"/>
      <c r="AB48" s="25"/>
    </row>
    <row r="49">
      <c r="A49" s="25"/>
      <c r="B49" s="25"/>
      <c r="C49" s="25"/>
      <c r="D49" s="25"/>
      <c r="E49" s="212" t="s">
        <v>911</v>
      </c>
      <c r="F49" s="194" t="s">
        <v>830</v>
      </c>
      <c r="G49" s="212"/>
      <c r="H49" s="212" t="b">
        <f t="shared" si="3"/>
        <v>1</v>
      </c>
      <c r="I49" s="214"/>
      <c r="J49" s="214"/>
      <c r="K49" s="214"/>
      <c r="L49" s="214"/>
      <c r="M49" s="219" t="s">
        <v>912</v>
      </c>
      <c r="N49" s="216"/>
      <c r="O49" s="25"/>
      <c r="P49" s="25"/>
      <c r="Q49" s="25"/>
      <c r="R49" s="25"/>
      <c r="S49" s="25"/>
      <c r="T49" s="25"/>
      <c r="U49" s="25"/>
      <c r="V49" s="25"/>
      <c r="W49" s="25"/>
      <c r="X49" s="25"/>
      <c r="Y49" s="25"/>
      <c r="Z49" s="25"/>
      <c r="AA49" s="25"/>
      <c r="AB49" s="25"/>
    </row>
    <row r="50">
      <c r="A50" s="25"/>
      <c r="B50" s="25"/>
      <c r="C50" s="25"/>
      <c r="D50" s="25"/>
      <c r="E50" s="212" t="s">
        <v>913</v>
      </c>
      <c r="F50" s="194" t="s">
        <v>811</v>
      </c>
      <c r="G50" s="212"/>
      <c r="H50" s="212" t="b">
        <f t="shared" si="3"/>
        <v>1</v>
      </c>
      <c r="I50" s="214"/>
      <c r="J50" s="214"/>
      <c r="K50" s="214"/>
      <c r="L50" s="214"/>
      <c r="M50" s="219" t="s">
        <v>914</v>
      </c>
      <c r="N50" s="216"/>
      <c r="O50" s="25"/>
      <c r="P50" s="25"/>
      <c r="Q50" s="25"/>
      <c r="R50" s="25"/>
      <c r="S50" s="25"/>
      <c r="T50" s="25"/>
      <c r="U50" s="25"/>
      <c r="V50" s="25"/>
      <c r="W50" s="25"/>
      <c r="X50" s="25"/>
      <c r="Y50" s="25"/>
      <c r="Z50" s="25"/>
      <c r="AA50" s="25"/>
      <c r="AB50" s="25"/>
    </row>
    <row r="51">
      <c r="A51" s="25"/>
      <c r="B51" s="25"/>
      <c r="C51" s="25"/>
      <c r="D51" s="25"/>
      <c r="E51" s="212" t="s">
        <v>915</v>
      </c>
      <c r="F51" s="194" t="s">
        <v>811</v>
      </c>
      <c r="G51" s="212"/>
      <c r="H51" s="212" t="b">
        <f t="shared" si="3"/>
        <v>1</v>
      </c>
      <c r="I51" s="214"/>
      <c r="J51" s="214"/>
      <c r="K51" s="214"/>
      <c r="L51" s="214"/>
      <c r="M51" s="219" t="s">
        <v>916</v>
      </c>
      <c r="N51" s="216"/>
      <c r="O51" s="25"/>
      <c r="P51" s="25"/>
      <c r="Q51" s="25"/>
      <c r="R51" s="25"/>
      <c r="S51" s="25"/>
      <c r="T51" s="25"/>
      <c r="U51" s="25"/>
      <c r="V51" s="25"/>
      <c r="W51" s="25"/>
      <c r="X51" s="25"/>
      <c r="Y51" s="25"/>
      <c r="Z51" s="25"/>
      <c r="AA51" s="25"/>
      <c r="AB51" s="25"/>
    </row>
    <row r="52">
      <c r="A52" s="25"/>
      <c r="B52" s="25"/>
      <c r="C52" s="25"/>
      <c r="D52" s="25"/>
      <c r="E52" s="212" t="s">
        <v>917</v>
      </c>
      <c r="F52" s="194" t="s">
        <v>811</v>
      </c>
      <c r="G52" s="212"/>
      <c r="H52" s="212" t="b">
        <f t="shared" si="3"/>
        <v>1</v>
      </c>
      <c r="I52" s="214"/>
      <c r="J52" s="214"/>
      <c r="K52" s="214"/>
      <c r="L52" s="214"/>
      <c r="M52" s="219" t="s">
        <v>918</v>
      </c>
      <c r="N52" s="216"/>
      <c r="O52" s="25"/>
      <c r="P52" s="25"/>
      <c r="Q52" s="25"/>
      <c r="R52" s="25"/>
      <c r="S52" s="25"/>
      <c r="T52" s="25"/>
      <c r="U52" s="25"/>
      <c r="V52" s="25"/>
      <c r="W52" s="25"/>
      <c r="X52" s="25"/>
      <c r="Y52" s="25"/>
      <c r="Z52" s="25"/>
      <c r="AA52" s="25"/>
      <c r="AB52" s="25"/>
    </row>
    <row r="53">
      <c r="A53" s="25"/>
      <c r="B53" s="25"/>
      <c r="C53" s="25"/>
      <c r="D53" s="25"/>
      <c r="E53" s="212" t="s">
        <v>919</v>
      </c>
      <c r="F53" s="194" t="s">
        <v>811</v>
      </c>
      <c r="G53" s="212"/>
      <c r="H53" s="212" t="b">
        <f t="shared" si="3"/>
        <v>1</v>
      </c>
      <c r="I53" s="214"/>
      <c r="J53" s="214"/>
      <c r="K53" s="214"/>
      <c r="L53" s="214"/>
      <c r="M53" s="219" t="s">
        <v>920</v>
      </c>
      <c r="N53" s="216"/>
      <c r="O53" s="25"/>
      <c r="P53" s="25"/>
      <c r="Q53" s="25"/>
      <c r="R53" s="25"/>
      <c r="S53" s="25"/>
      <c r="T53" s="25"/>
      <c r="U53" s="25"/>
      <c r="V53" s="25"/>
      <c r="W53" s="25"/>
      <c r="X53" s="25"/>
      <c r="Y53" s="25"/>
      <c r="Z53" s="25"/>
      <c r="AA53" s="25"/>
      <c r="AB53" s="25"/>
    </row>
    <row r="54">
      <c r="A54" s="25"/>
      <c r="B54" s="25"/>
      <c r="C54" s="25"/>
      <c r="D54" s="21" t="b">
        <v>1</v>
      </c>
      <c r="E54" s="220" t="s">
        <v>921</v>
      </c>
      <c r="F54" s="194" t="s">
        <v>922</v>
      </c>
      <c r="G54" s="212"/>
      <c r="H54" s="212" t="b">
        <f t="shared" si="3"/>
        <v>1</v>
      </c>
      <c r="I54" s="214"/>
      <c r="J54" s="214"/>
      <c r="K54" s="214"/>
      <c r="L54" s="214"/>
      <c r="M54" s="219" t="s">
        <v>923</v>
      </c>
      <c r="N54" s="216"/>
      <c r="O54" s="25"/>
      <c r="P54" s="25"/>
      <c r="Q54" s="25"/>
      <c r="R54" s="25"/>
      <c r="S54" s="25"/>
      <c r="T54" s="25"/>
      <c r="U54" s="25"/>
      <c r="V54" s="25"/>
      <c r="W54" s="25"/>
      <c r="X54" s="25"/>
      <c r="Y54" s="25"/>
      <c r="Z54" s="25"/>
      <c r="AA54" s="25"/>
      <c r="AB54" s="25"/>
    </row>
    <row r="55">
      <c r="A55" s="25"/>
      <c r="B55" s="25"/>
      <c r="C55" s="25"/>
      <c r="D55" s="21" t="b">
        <v>1</v>
      </c>
      <c r="E55" s="215" t="s">
        <v>398</v>
      </c>
      <c r="F55" s="194" t="s">
        <v>922</v>
      </c>
      <c r="G55" s="212"/>
      <c r="H55" s="212" t="b">
        <f t="shared" si="3"/>
        <v>1</v>
      </c>
      <c r="I55" s="214"/>
      <c r="J55" s="214"/>
      <c r="K55" s="214"/>
      <c r="L55" s="214"/>
      <c r="M55" s="219" t="s">
        <v>924</v>
      </c>
      <c r="N55" s="216"/>
      <c r="O55" s="25"/>
      <c r="P55" s="25"/>
      <c r="Q55" s="25"/>
      <c r="R55" s="25"/>
      <c r="S55" s="25"/>
      <c r="T55" s="25"/>
      <c r="U55" s="25"/>
      <c r="V55" s="25"/>
      <c r="W55" s="25"/>
      <c r="X55" s="25"/>
      <c r="Y55" s="25"/>
      <c r="Z55" s="25"/>
      <c r="AA55" s="25"/>
      <c r="AB55" s="25"/>
    </row>
    <row r="56">
      <c r="A56" s="25"/>
      <c r="B56" s="25"/>
      <c r="C56" s="25"/>
      <c r="D56" s="25"/>
      <c r="E56" s="215" t="s">
        <v>925</v>
      </c>
      <c r="F56" s="194" t="s">
        <v>922</v>
      </c>
      <c r="G56" s="212"/>
      <c r="H56" s="212" t="b">
        <f t="shared" si="3"/>
        <v>1</v>
      </c>
      <c r="I56" s="214"/>
      <c r="J56" s="214"/>
      <c r="K56" s="214"/>
      <c r="L56" s="214"/>
      <c r="M56" s="219" t="s">
        <v>926</v>
      </c>
      <c r="N56" s="216"/>
      <c r="O56" s="25"/>
      <c r="P56" s="25"/>
      <c r="Q56" s="25"/>
      <c r="R56" s="25"/>
      <c r="S56" s="25"/>
      <c r="T56" s="25"/>
      <c r="U56" s="25"/>
      <c r="V56" s="25"/>
      <c r="W56" s="25"/>
      <c r="X56" s="25"/>
      <c r="Y56" s="25"/>
      <c r="Z56" s="25"/>
      <c r="AA56" s="25"/>
      <c r="AB56" s="25"/>
    </row>
    <row r="57">
      <c r="A57" s="25"/>
      <c r="B57" s="25"/>
      <c r="C57" s="25"/>
      <c r="D57" s="21" t="b">
        <v>1</v>
      </c>
      <c r="E57" s="220" t="s">
        <v>927</v>
      </c>
      <c r="F57" s="194" t="s">
        <v>922</v>
      </c>
      <c r="G57" s="212"/>
      <c r="H57" s="212" t="b">
        <f t="shared" si="3"/>
        <v>1</v>
      </c>
      <c r="I57" s="214"/>
      <c r="J57" s="214"/>
      <c r="K57" s="214"/>
      <c r="L57" s="214"/>
      <c r="M57" s="219" t="s">
        <v>928</v>
      </c>
      <c r="N57" s="216"/>
      <c r="O57" s="25"/>
      <c r="P57" s="25"/>
      <c r="Q57" s="25"/>
      <c r="R57" s="25"/>
      <c r="S57" s="25"/>
      <c r="T57" s="25"/>
      <c r="U57" s="25"/>
      <c r="V57" s="25"/>
      <c r="W57" s="25"/>
      <c r="X57" s="25"/>
      <c r="Y57" s="25"/>
      <c r="Z57" s="25"/>
      <c r="AA57" s="25"/>
      <c r="AB57" s="25"/>
    </row>
    <row r="58">
      <c r="A58" s="25"/>
      <c r="B58" s="25"/>
      <c r="C58" s="25"/>
      <c r="D58" s="25"/>
      <c r="E58" s="215" t="s">
        <v>929</v>
      </c>
      <c r="F58" s="194" t="s">
        <v>922</v>
      </c>
      <c r="G58" s="212"/>
      <c r="H58" s="212" t="b">
        <f t="shared" si="3"/>
        <v>1</v>
      </c>
      <c r="I58" s="214"/>
      <c r="J58" s="214"/>
      <c r="K58" s="214"/>
      <c r="L58" s="214"/>
      <c r="M58" s="219" t="s">
        <v>930</v>
      </c>
      <c r="N58" s="216"/>
      <c r="O58" s="25"/>
      <c r="P58" s="25"/>
      <c r="Q58" s="25"/>
      <c r="R58" s="25"/>
      <c r="S58" s="25"/>
      <c r="T58" s="25"/>
      <c r="U58" s="25"/>
      <c r="V58" s="25"/>
      <c r="W58" s="25"/>
      <c r="X58" s="25"/>
      <c r="Y58" s="25"/>
      <c r="Z58" s="25"/>
      <c r="AA58" s="25"/>
      <c r="AB58" s="25"/>
    </row>
    <row r="59">
      <c r="A59" s="25"/>
      <c r="B59" s="25"/>
      <c r="C59" s="25"/>
      <c r="D59" s="25"/>
      <c r="E59" s="215" t="s">
        <v>931</v>
      </c>
      <c r="F59" s="194" t="s">
        <v>922</v>
      </c>
      <c r="G59" s="212"/>
      <c r="H59" s="212" t="b">
        <f t="shared" si="3"/>
        <v>1</v>
      </c>
      <c r="I59" s="214"/>
      <c r="J59" s="214"/>
      <c r="K59" s="214"/>
      <c r="L59" s="214"/>
      <c r="M59" s="219" t="s">
        <v>932</v>
      </c>
      <c r="N59" s="216"/>
      <c r="O59" s="25"/>
      <c r="P59" s="25"/>
      <c r="Q59" s="25"/>
      <c r="R59" s="25"/>
      <c r="S59" s="25"/>
      <c r="T59" s="25"/>
      <c r="U59" s="25"/>
      <c r="V59" s="25"/>
      <c r="W59" s="25"/>
      <c r="X59" s="25"/>
      <c r="Y59" s="25"/>
      <c r="Z59" s="25"/>
      <c r="AA59" s="25"/>
      <c r="AB59" s="25"/>
    </row>
    <row r="60">
      <c r="A60" s="221"/>
      <c r="B60" s="221"/>
      <c r="C60" s="221"/>
      <c r="D60" s="222" t="b">
        <v>1</v>
      </c>
      <c r="E60" s="223" t="s">
        <v>789</v>
      </c>
      <c r="F60" s="224" t="s">
        <v>933</v>
      </c>
      <c r="G60" s="223"/>
      <c r="H60" s="223" t="b">
        <f t="shared" si="3"/>
        <v>1</v>
      </c>
      <c r="I60" s="225"/>
      <c r="J60" s="225"/>
      <c r="K60" s="225"/>
      <c r="L60" s="225"/>
      <c r="M60" s="204" t="s">
        <v>790</v>
      </c>
      <c r="N60" s="226"/>
      <c r="O60" s="221"/>
      <c r="P60" s="221"/>
      <c r="Q60" s="221"/>
      <c r="R60" s="221"/>
      <c r="S60" s="221"/>
      <c r="T60" s="221"/>
      <c r="U60" s="221"/>
      <c r="V60" s="221"/>
      <c r="W60" s="221"/>
      <c r="X60" s="221"/>
      <c r="Y60" s="221"/>
      <c r="Z60" s="221"/>
      <c r="AA60" s="221"/>
      <c r="AB60" s="221"/>
    </row>
    <row r="61">
      <c r="A61" s="25"/>
      <c r="B61" s="25"/>
      <c r="C61" s="25"/>
      <c r="D61" s="25"/>
      <c r="E61" s="212" t="s">
        <v>934</v>
      </c>
      <c r="F61" s="194" t="s">
        <v>933</v>
      </c>
      <c r="G61" s="212"/>
      <c r="H61" s="212" t="b">
        <f t="shared" si="3"/>
        <v>0</v>
      </c>
      <c r="I61" s="214"/>
      <c r="J61" s="214"/>
      <c r="K61" s="214"/>
      <c r="L61" s="214"/>
      <c r="M61" s="166" t="s">
        <v>935</v>
      </c>
      <c r="N61" s="166" t="s">
        <v>936</v>
      </c>
      <c r="O61" s="25"/>
      <c r="P61" s="25"/>
      <c r="Q61" s="25"/>
      <c r="R61" s="25"/>
      <c r="S61" s="25"/>
      <c r="T61" s="25"/>
      <c r="U61" s="25"/>
      <c r="V61" s="25"/>
      <c r="W61" s="25"/>
      <c r="X61" s="25"/>
      <c r="Y61" s="25"/>
      <c r="Z61" s="25"/>
      <c r="AA61" s="25"/>
      <c r="AB61" s="25"/>
    </row>
    <row r="62">
      <c r="A62" s="25"/>
      <c r="B62" s="25"/>
      <c r="C62" s="25"/>
      <c r="D62" s="25"/>
      <c r="E62" s="212" t="s">
        <v>937</v>
      </c>
      <c r="F62" s="194" t="s">
        <v>933</v>
      </c>
      <c r="G62" s="212"/>
      <c r="H62" s="212" t="b">
        <f t="shared" si="3"/>
        <v>1</v>
      </c>
      <c r="I62" s="214"/>
      <c r="J62" s="214"/>
      <c r="K62" s="214"/>
      <c r="L62" s="214"/>
      <c r="M62" s="198" t="s">
        <v>938</v>
      </c>
      <c r="N62" s="216"/>
      <c r="O62" s="25"/>
      <c r="P62" s="25"/>
      <c r="Q62" s="25"/>
      <c r="R62" s="25"/>
      <c r="S62" s="25"/>
      <c r="T62" s="25"/>
      <c r="U62" s="25"/>
      <c r="V62" s="25"/>
      <c r="W62" s="25"/>
      <c r="X62" s="25"/>
      <c r="Y62" s="25"/>
      <c r="Z62" s="25"/>
      <c r="AA62" s="25"/>
      <c r="AB62" s="25"/>
    </row>
    <row r="63">
      <c r="A63" s="25"/>
      <c r="B63" s="25"/>
      <c r="C63" s="25"/>
      <c r="D63" s="25"/>
      <c r="E63" s="212" t="s">
        <v>939</v>
      </c>
      <c r="F63" s="194" t="s">
        <v>933</v>
      </c>
      <c r="G63" s="212"/>
      <c r="H63" s="212" t="b">
        <f t="shared" si="3"/>
        <v>1</v>
      </c>
      <c r="I63" s="214"/>
      <c r="J63" s="214"/>
      <c r="K63" s="214"/>
      <c r="L63" s="214"/>
      <c r="M63" s="219" t="s">
        <v>940</v>
      </c>
      <c r="N63" s="216"/>
      <c r="O63" s="25"/>
      <c r="P63" s="25"/>
      <c r="Q63" s="25"/>
      <c r="R63" s="25"/>
      <c r="S63" s="25"/>
      <c r="T63" s="25"/>
      <c r="U63" s="25"/>
      <c r="V63" s="25"/>
      <c r="W63" s="25"/>
      <c r="X63" s="25"/>
      <c r="Y63" s="25"/>
      <c r="Z63" s="25"/>
      <c r="AA63" s="25"/>
      <c r="AB63" s="25"/>
    </row>
    <row r="64">
      <c r="A64" s="25"/>
      <c r="B64" s="25"/>
      <c r="C64" s="25"/>
      <c r="D64" s="25"/>
      <c r="E64" s="212" t="s">
        <v>941</v>
      </c>
      <c r="F64" s="194" t="s">
        <v>933</v>
      </c>
      <c r="G64" s="212"/>
      <c r="H64" s="212" t="b">
        <f t="shared" si="3"/>
        <v>1</v>
      </c>
      <c r="I64" s="214"/>
      <c r="J64" s="214"/>
      <c r="K64" s="214"/>
      <c r="L64" s="214"/>
      <c r="M64" s="219" t="s">
        <v>942</v>
      </c>
      <c r="N64" s="216"/>
      <c r="O64" s="25"/>
      <c r="P64" s="25"/>
      <c r="Q64" s="25"/>
      <c r="R64" s="25"/>
      <c r="S64" s="25"/>
      <c r="T64" s="25"/>
      <c r="U64" s="25"/>
      <c r="V64" s="25"/>
      <c r="W64" s="25"/>
      <c r="X64" s="25"/>
      <c r="Y64" s="25"/>
      <c r="Z64" s="25"/>
      <c r="AA64" s="25"/>
      <c r="AB64" s="25"/>
    </row>
    <row r="65">
      <c r="A65" s="25"/>
      <c r="B65" s="25"/>
      <c r="C65" s="25"/>
      <c r="D65" s="25"/>
      <c r="E65" s="227" t="s">
        <v>943</v>
      </c>
      <c r="F65" s="194" t="s">
        <v>933</v>
      </c>
      <c r="G65" s="212"/>
      <c r="H65" s="212" t="b">
        <f t="shared" si="3"/>
        <v>1</v>
      </c>
      <c r="I65" s="214"/>
      <c r="J65" s="214"/>
      <c r="K65" s="214"/>
      <c r="L65" s="214"/>
      <c r="M65" s="219" t="s">
        <v>944</v>
      </c>
      <c r="N65" s="216"/>
      <c r="O65" s="25"/>
      <c r="P65" s="25"/>
      <c r="Q65" s="25"/>
      <c r="R65" s="25"/>
      <c r="S65" s="25"/>
      <c r="T65" s="25"/>
      <c r="U65" s="25"/>
      <c r="V65" s="25"/>
      <c r="W65" s="25"/>
      <c r="X65" s="25"/>
      <c r="Y65" s="25"/>
      <c r="Z65" s="25"/>
      <c r="AA65" s="25"/>
      <c r="AB65" s="25"/>
    </row>
    <row r="66">
      <c r="A66" s="25"/>
      <c r="B66" s="25"/>
      <c r="C66" s="25"/>
      <c r="D66" s="25"/>
      <c r="E66" s="212" t="s">
        <v>945</v>
      </c>
      <c r="F66" s="194" t="s">
        <v>830</v>
      </c>
      <c r="G66" s="212"/>
      <c r="H66" s="212" t="b">
        <f t="shared" si="3"/>
        <v>1</v>
      </c>
      <c r="I66" s="214"/>
      <c r="J66" s="214"/>
      <c r="K66" s="214"/>
      <c r="L66" s="214"/>
      <c r="M66" s="219" t="s">
        <v>944</v>
      </c>
      <c r="N66" s="216"/>
      <c r="O66" s="25"/>
      <c r="P66" s="25"/>
      <c r="Q66" s="25"/>
      <c r="R66" s="25"/>
      <c r="S66" s="25"/>
      <c r="T66" s="25"/>
      <c r="U66" s="25"/>
      <c r="V66" s="25"/>
      <c r="W66" s="25"/>
      <c r="X66" s="25"/>
      <c r="Y66" s="25"/>
      <c r="Z66" s="25"/>
      <c r="AA66" s="25"/>
      <c r="AB66" s="25"/>
    </row>
    <row r="67">
      <c r="A67" s="25"/>
      <c r="B67" s="25"/>
      <c r="C67" s="25"/>
      <c r="D67" s="25"/>
      <c r="E67" s="212" t="s">
        <v>946</v>
      </c>
      <c r="F67" s="194" t="s">
        <v>830</v>
      </c>
      <c r="G67" s="212"/>
      <c r="H67" s="212" t="b">
        <f t="shared" si="3"/>
        <v>0</v>
      </c>
      <c r="I67" s="214"/>
      <c r="J67" s="214"/>
      <c r="K67" s="214"/>
      <c r="L67" s="214"/>
      <c r="M67" s="166" t="s">
        <v>947</v>
      </c>
      <c r="N67" s="166" t="s">
        <v>481</v>
      </c>
      <c r="O67" s="25"/>
      <c r="P67" s="25"/>
      <c r="Q67" s="25"/>
      <c r="R67" s="25"/>
      <c r="S67" s="25"/>
      <c r="T67" s="25"/>
      <c r="U67" s="25"/>
      <c r="V67" s="25"/>
      <c r="W67" s="25"/>
      <c r="X67" s="25"/>
      <c r="Y67" s="25"/>
      <c r="Z67" s="25"/>
      <c r="AA67" s="25"/>
      <c r="AB67" s="25"/>
    </row>
    <row r="68">
      <c r="A68" s="25"/>
      <c r="B68" s="25"/>
      <c r="C68" s="25"/>
      <c r="D68" s="25"/>
      <c r="E68" s="212" t="s">
        <v>948</v>
      </c>
      <c r="F68" s="194" t="s">
        <v>830</v>
      </c>
      <c r="G68" s="212"/>
      <c r="H68" s="212" t="b">
        <f t="shared" si="3"/>
        <v>1</v>
      </c>
      <c r="I68" s="214"/>
      <c r="J68" s="214"/>
      <c r="K68" s="214"/>
      <c r="L68" s="214"/>
      <c r="M68" s="166" t="s">
        <v>949</v>
      </c>
      <c r="N68" s="216"/>
      <c r="O68" s="25"/>
      <c r="P68" s="25"/>
      <c r="Q68" s="25"/>
      <c r="R68" s="25"/>
      <c r="S68" s="25"/>
      <c r="T68" s="25"/>
      <c r="U68" s="25"/>
      <c r="V68" s="25"/>
      <c r="W68" s="25"/>
      <c r="X68" s="25"/>
      <c r="Y68" s="25"/>
      <c r="Z68" s="25"/>
      <c r="AA68" s="25"/>
      <c r="AB68" s="25"/>
    </row>
    <row r="69">
      <c r="A69" s="25"/>
      <c r="B69" s="25"/>
      <c r="C69" s="25"/>
      <c r="D69" s="25"/>
      <c r="E69" s="212" t="s">
        <v>950</v>
      </c>
      <c r="F69" s="194" t="s">
        <v>830</v>
      </c>
      <c r="G69" s="212"/>
      <c r="H69" s="212" t="b">
        <f t="shared" si="3"/>
        <v>0</v>
      </c>
      <c r="I69" s="214"/>
      <c r="J69" s="214"/>
      <c r="K69" s="214"/>
      <c r="L69" s="214"/>
      <c r="M69" s="166" t="s">
        <v>951</v>
      </c>
      <c r="N69" s="166" t="s">
        <v>952</v>
      </c>
      <c r="O69" s="25"/>
      <c r="P69" s="25"/>
      <c r="Q69" s="25"/>
      <c r="R69" s="25"/>
      <c r="S69" s="25"/>
      <c r="T69" s="25"/>
      <c r="U69" s="25"/>
      <c r="V69" s="25"/>
      <c r="W69" s="25"/>
      <c r="X69" s="25"/>
      <c r="Y69" s="25"/>
      <c r="Z69" s="25"/>
      <c r="AA69" s="25"/>
      <c r="AB69" s="25"/>
    </row>
    <row r="70">
      <c r="A70" s="25"/>
      <c r="B70" s="25"/>
      <c r="C70" s="25"/>
      <c r="D70" s="25"/>
      <c r="E70" s="227" t="s">
        <v>953</v>
      </c>
      <c r="F70" s="194" t="s">
        <v>830</v>
      </c>
      <c r="G70" s="212"/>
      <c r="H70" s="212" t="b">
        <f t="shared" si="3"/>
        <v>1</v>
      </c>
      <c r="I70" s="214"/>
      <c r="J70" s="214"/>
      <c r="K70" s="214"/>
      <c r="L70" s="214"/>
      <c r="M70" s="166" t="s">
        <v>954</v>
      </c>
      <c r="N70" s="216"/>
      <c r="O70" s="25"/>
      <c r="P70" s="25"/>
      <c r="Q70" s="25"/>
      <c r="R70" s="25"/>
      <c r="S70" s="25"/>
      <c r="T70" s="25"/>
      <c r="U70" s="25"/>
      <c r="V70" s="25"/>
      <c r="W70" s="25"/>
      <c r="X70" s="25"/>
      <c r="Y70" s="25"/>
      <c r="Z70" s="25"/>
      <c r="AA70" s="25"/>
      <c r="AB70" s="25"/>
    </row>
    <row r="71">
      <c r="A71" s="25"/>
      <c r="B71" s="25"/>
      <c r="C71" s="25"/>
      <c r="D71" s="25"/>
      <c r="E71" s="227" t="s">
        <v>512</v>
      </c>
      <c r="F71" s="194" t="s">
        <v>830</v>
      </c>
      <c r="G71" s="212"/>
      <c r="H71" s="212" t="b">
        <f t="shared" si="3"/>
        <v>1</v>
      </c>
      <c r="I71" s="214"/>
      <c r="J71" s="214"/>
      <c r="K71" s="214"/>
      <c r="L71" s="214"/>
      <c r="M71" s="166" t="s">
        <v>955</v>
      </c>
      <c r="N71" s="216"/>
      <c r="O71" s="25"/>
      <c r="P71" s="25"/>
      <c r="Q71" s="25"/>
      <c r="R71" s="25"/>
      <c r="S71" s="25"/>
      <c r="T71" s="25"/>
      <c r="U71" s="25"/>
      <c r="V71" s="25"/>
      <c r="W71" s="25"/>
      <c r="X71" s="25"/>
      <c r="Y71" s="25"/>
      <c r="Z71" s="25"/>
      <c r="AA71" s="25"/>
      <c r="AB71" s="25"/>
    </row>
    <row r="72">
      <c r="A72" s="25"/>
      <c r="B72" s="25"/>
      <c r="C72" s="25"/>
      <c r="D72" s="21" t="b">
        <v>1</v>
      </c>
      <c r="E72" s="212" t="s">
        <v>653</v>
      </c>
      <c r="F72" s="194" t="s">
        <v>830</v>
      </c>
      <c r="G72" s="212"/>
      <c r="H72" s="212" t="b">
        <f t="shared" si="3"/>
        <v>0</v>
      </c>
      <c r="I72" s="214"/>
      <c r="J72" s="214"/>
      <c r="K72" s="214"/>
      <c r="L72" s="214"/>
      <c r="M72" s="166" t="s">
        <v>956</v>
      </c>
      <c r="N72" s="166" t="s">
        <v>651</v>
      </c>
      <c r="O72" s="25"/>
      <c r="P72" s="25"/>
      <c r="Q72" s="25"/>
      <c r="R72" s="25"/>
      <c r="S72" s="25"/>
      <c r="T72" s="25"/>
      <c r="U72" s="25"/>
      <c r="V72" s="25"/>
      <c r="W72" s="25"/>
      <c r="X72" s="25"/>
      <c r="Y72" s="25"/>
      <c r="Z72" s="25"/>
      <c r="AA72" s="25"/>
      <c r="AB72" s="25"/>
    </row>
    <row r="73">
      <c r="A73" s="25"/>
      <c r="B73" s="25"/>
      <c r="C73" s="25"/>
      <c r="D73" s="25"/>
      <c r="E73" s="215" t="s">
        <v>653</v>
      </c>
      <c r="F73" s="194" t="s">
        <v>830</v>
      </c>
      <c r="G73" s="212"/>
      <c r="H73" s="212" t="b">
        <f t="shared" si="3"/>
        <v>1</v>
      </c>
      <c r="I73" s="214"/>
      <c r="J73" s="214"/>
      <c r="K73" s="214"/>
      <c r="L73" s="214"/>
      <c r="M73" s="166" t="s">
        <v>956</v>
      </c>
      <c r="N73" s="216"/>
      <c r="O73" s="25"/>
      <c r="P73" s="25"/>
      <c r="Q73" s="25"/>
      <c r="R73" s="25"/>
      <c r="S73" s="25"/>
      <c r="T73" s="25"/>
      <c r="U73" s="25"/>
      <c r="V73" s="25"/>
      <c r="W73" s="25"/>
      <c r="X73" s="25"/>
      <c r="Y73" s="25"/>
      <c r="Z73" s="25"/>
      <c r="AA73" s="25"/>
      <c r="AB73" s="25"/>
    </row>
    <row r="74">
      <c r="A74" s="25"/>
      <c r="B74" s="25"/>
      <c r="C74" s="25"/>
      <c r="D74" s="25"/>
      <c r="E74" s="212" t="s">
        <v>957</v>
      </c>
      <c r="F74" s="194" t="s">
        <v>830</v>
      </c>
      <c r="G74" s="212"/>
      <c r="H74" s="212" t="b">
        <f t="shared" si="3"/>
        <v>0</v>
      </c>
      <c r="I74" s="214"/>
      <c r="J74" s="214"/>
      <c r="K74" s="214"/>
      <c r="L74" s="214"/>
      <c r="M74" s="166" t="s">
        <v>519</v>
      </c>
      <c r="N74" s="166" t="s">
        <v>520</v>
      </c>
      <c r="O74" s="25"/>
      <c r="P74" s="25"/>
      <c r="Q74" s="25"/>
      <c r="R74" s="25"/>
      <c r="S74" s="25"/>
      <c r="T74" s="25"/>
      <c r="U74" s="25"/>
      <c r="V74" s="25"/>
      <c r="W74" s="25"/>
      <c r="X74" s="25"/>
      <c r="Y74" s="25"/>
      <c r="Z74" s="25"/>
      <c r="AA74" s="25"/>
      <c r="AB74" s="25"/>
    </row>
    <row r="75">
      <c r="A75" s="25"/>
      <c r="B75" s="25"/>
      <c r="C75" s="25"/>
      <c r="D75" s="25"/>
      <c r="E75" s="212" t="s">
        <v>957</v>
      </c>
      <c r="F75" s="194" t="s">
        <v>830</v>
      </c>
      <c r="G75" s="212"/>
      <c r="H75" s="212" t="b">
        <f t="shared" si="3"/>
        <v>1</v>
      </c>
      <c r="I75" s="214"/>
      <c r="J75" s="214"/>
      <c r="K75" s="214"/>
      <c r="L75" s="214"/>
      <c r="M75" s="166" t="s">
        <v>519</v>
      </c>
      <c r="N75" s="216"/>
      <c r="O75" s="25"/>
      <c r="P75" s="25"/>
      <c r="Q75" s="25"/>
      <c r="R75" s="25"/>
      <c r="S75" s="25"/>
      <c r="T75" s="25"/>
      <c r="U75" s="25"/>
      <c r="V75" s="25"/>
      <c r="W75" s="25"/>
      <c r="X75" s="25"/>
      <c r="Y75" s="25"/>
      <c r="Z75" s="25"/>
      <c r="AA75" s="25"/>
      <c r="AB75" s="25"/>
    </row>
    <row r="76">
      <c r="A76" s="25"/>
      <c r="B76" s="25"/>
      <c r="C76" s="25"/>
      <c r="D76" s="25"/>
      <c r="E76" s="212" t="s">
        <v>521</v>
      </c>
      <c r="F76" s="194" t="s">
        <v>830</v>
      </c>
      <c r="G76" s="212"/>
      <c r="H76" s="212" t="b">
        <f t="shared" si="3"/>
        <v>0</v>
      </c>
      <c r="I76" s="214"/>
      <c r="J76" s="214"/>
      <c r="K76" s="214"/>
      <c r="L76" s="214"/>
      <c r="M76" s="166" t="s">
        <v>525</v>
      </c>
      <c r="N76" s="166" t="s">
        <v>526</v>
      </c>
      <c r="O76" s="25"/>
      <c r="P76" s="25"/>
      <c r="Q76" s="25"/>
      <c r="R76" s="25"/>
      <c r="S76" s="25"/>
      <c r="T76" s="25"/>
      <c r="U76" s="25"/>
      <c r="V76" s="25"/>
      <c r="W76" s="25"/>
      <c r="X76" s="25"/>
      <c r="Y76" s="25"/>
      <c r="Z76" s="25"/>
      <c r="AA76" s="25"/>
      <c r="AB76" s="25"/>
    </row>
    <row r="77">
      <c r="A77" s="25"/>
      <c r="B77" s="25"/>
      <c r="C77" s="25"/>
      <c r="D77" s="25"/>
      <c r="E77" s="212" t="s">
        <v>537</v>
      </c>
      <c r="F77" s="194" t="s">
        <v>830</v>
      </c>
      <c r="G77" s="212"/>
      <c r="H77" s="212" t="b">
        <f t="shared" si="3"/>
        <v>0</v>
      </c>
      <c r="I77" s="214"/>
      <c r="J77" s="214"/>
      <c r="K77" s="214"/>
      <c r="L77" s="214"/>
      <c r="M77" s="166" t="s">
        <v>539</v>
      </c>
      <c r="N77" s="166" t="s">
        <v>958</v>
      </c>
      <c r="O77" s="25"/>
      <c r="P77" s="25"/>
      <c r="Q77" s="25"/>
      <c r="R77" s="25"/>
      <c r="S77" s="25"/>
      <c r="T77" s="25"/>
      <c r="U77" s="25"/>
      <c r="V77" s="25"/>
      <c r="W77" s="25"/>
      <c r="X77" s="25"/>
      <c r="Y77" s="25"/>
      <c r="Z77" s="25"/>
      <c r="AA77" s="25"/>
      <c r="AB77" s="25"/>
    </row>
    <row r="78">
      <c r="A78" s="25"/>
      <c r="B78" s="25"/>
      <c r="C78" s="25"/>
      <c r="D78" s="25"/>
      <c r="E78" s="212" t="s">
        <v>959</v>
      </c>
      <c r="F78" s="194" t="s">
        <v>830</v>
      </c>
      <c r="G78" s="212"/>
      <c r="H78" s="212" t="b">
        <f t="shared" si="3"/>
        <v>1</v>
      </c>
      <c r="I78" s="214"/>
      <c r="J78" s="214"/>
      <c r="K78" s="214"/>
      <c r="L78" s="214"/>
      <c r="M78" s="198" t="s">
        <v>960</v>
      </c>
      <c r="N78" s="216"/>
      <c r="O78" s="25"/>
      <c r="P78" s="25"/>
      <c r="Q78" s="25"/>
      <c r="R78" s="25"/>
      <c r="S78" s="25"/>
      <c r="T78" s="25"/>
      <c r="U78" s="25"/>
      <c r="V78" s="25"/>
      <c r="W78" s="25"/>
      <c r="X78" s="25"/>
      <c r="Y78" s="25"/>
      <c r="Z78" s="25"/>
      <c r="AA78" s="25"/>
      <c r="AB78" s="25"/>
    </row>
    <row r="79">
      <c r="A79" s="25"/>
      <c r="B79" s="25"/>
      <c r="C79" s="25"/>
      <c r="D79" s="25"/>
      <c r="E79" s="212" t="s">
        <v>961</v>
      </c>
      <c r="F79" s="194" t="s">
        <v>830</v>
      </c>
      <c r="G79" s="212"/>
      <c r="H79" s="212" t="b">
        <f t="shared" si="3"/>
        <v>1</v>
      </c>
      <c r="I79" s="214"/>
      <c r="J79" s="214"/>
      <c r="K79" s="214"/>
      <c r="L79" s="214"/>
      <c r="M79" s="198" t="s">
        <v>962</v>
      </c>
      <c r="N79" s="216"/>
      <c r="O79" s="25"/>
      <c r="P79" s="25"/>
      <c r="Q79" s="25"/>
      <c r="R79" s="25"/>
      <c r="S79" s="25"/>
      <c r="T79" s="25"/>
      <c r="U79" s="25"/>
      <c r="V79" s="25"/>
      <c r="W79" s="25"/>
      <c r="X79" s="25"/>
      <c r="Y79" s="25"/>
      <c r="Z79" s="25"/>
      <c r="AA79" s="25"/>
      <c r="AB79" s="25"/>
    </row>
    <row r="80">
      <c r="A80" s="25"/>
      <c r="B80" s="25"/>
      <c r="C80" s="25"/>
      <c r="D80" s="25"/>
      <c r="E80" s="212" t="s">
        <v>963</v>
      </c>
      <c r="F80" s="194" t="s">
        <v>830</v>
      </c>
      <c r="G80" s="212"/>
      <c r="H80" s="212" t="b">
        <f t="shared" si="3"/>
        <v>1</v>
      </c>
      <c r="I80" s="214"/>
      <c r="J80" s="214"/>
      <c r="K80" s="214"/>
      <c r="L80" s="214"/>
      <c r="M80" s="198" t="s">
        <v>964</v>
      </c>
      <c r="N80" s="216"/>
      <c r="O80" s="25"/>
      <c r="P80" s="25"/>
      <c r="Q80" s="25"/>
      <c r="R80" s="25"/>
      <c r="S80" s="25"/>
      <c r="T80" s="25"/>
      <c r="U80" s="25"/>
      <c r="V80" s="25"/>
      <c r="W80" s="25"/>
      <c r="X80" s="25"/>
      <c r="Y80" s="25"/>
      <c r="Z80" s="25"/>
      <c r="AA80" s="25"/>
      <c r="AB80" s="25"/>
    </row>
    <row r="81">
      <c r="A81" s="25"/>
      <c r="B81" s="25"/>
      <c r="C81" s="25"/>
      <c r="D81" s="25"/>
      <c r="E81" s="212" t="s">
        <v>965</v>
      </c>
      <c r="F81" s="194" t="s">
        <v>830</v>
      </c>
      <c r="G81" s="212"/>
      <c r="H81" s="212" t="b">
        <f t="shared" si="3"/>
        <v>1</v>
      </c>
      <c r="I81" s="214"/>
      <c r="J81" s="214"/>
      <c r="K81" s="214"/>
      <c r="L81" s="214"/>
      <c r="M81" s="198" t="s">
        <v>966</v>
      </c>
      <c r="N81" s="216"/>
      <c r="O81" s="25"/>
      <c r="P81" s="25"/>
      <c r="Q81" s="25"/>
      <c r="R81" s="25"/>
      <c r="S81" s="25"/>
      <c r="T81" s="25"/>
      <c r="U81" s="25"/>
      <c r="V81" s="25"/>
      <c r="W81" s="25"/>
      <c r="X81" s="25"/>
      <c r="Y81" s="25"/>
      <c r="Z81" s="25"/>
      <c r="AA81" s="25"/>
      <c r="AB81" s="25"/>
    </row>
    <row r="82">
      <c r="A82" s="25"/>
      <c r="B82" s="25"/>
      <c r="C82" s="25"/>
      <c r="D82" s="25"/>
      <c r="E82" s="212" t="s">
        <v>967</v>
      </c>
      <c r="F82" s="194" t="s">
        <v>830</v>
      </c>
      <c r="G82" s="212" t="b">
        <f t="shared" ref="G82:H82" si="4">ISBLANK(M82)</f>
        <v>0</v>
      </c>
      <c r="H82" s="212" t="b">
        <f t="shared" si="4"/>
        <v>1</v>
      </c>
      <c r="I82" s="214"/>
      <c r="J82" s="214"/>
      <c r="K82" s="214"/>
      <c r="L82" s="214"/>
      <c r="M82" s="198" t="s">
        <v>968</v>
      </c>
      <c r="N82" s="216"/>
      <c r="O82" s="25"/>
      <c r="P82" s="25"/>
      <c r="Q82" s="25"/>
      <c r="R82" s="25"/>
      <c r="S82" s="25"/>
      <c r="T82" s="25"/>
      <c r="U82" s="25"/>
      <c r="V82" s="25"/>
      <c r="W82" s="25"/>
      <c r="X82" s="25"/>
      <c r="Y82" s="25"/>
      <c r="Z82" s="25"/>
      <c r="AA82" s="25"/>
      <c r="AB82" s="25"/>
    </row>
    <row r="83">
      <c r="A83" s="25"/>
      <c r="B83" s="25"/>
      <c r="C83" s="25"/>
      <c r="D83" s="25"/>
      <c r="E83" s="212" t="s">
        <v>969</v>
      </c>
      <c r="F83" s="194" t="s">
        <v>830</v>
      </c>
      <c r="G83" s="212" t="b">
        <f t="shared" ref="G83:H83" si="5">ISBLANK(M83)</f>
        <v>1</v>
      </c>
      <c r="H83" s="212" t="b">
        <f t="shared" si="5"/>
        <v>1</v>
      </c>
      <c r="I83" s="214"/>
      <c r="J83" s="214"/>
      <c r="K83" s="214"/>
      <c r="L83" s="214"/>
      <c r="M83" s="198"/>
      <c r="N83" s="216"/>
      <c r="O83" s="25"/>
      <c r="P83" s="25"/>
      <c r="Q83" s="25"/>
      <c r="R83" s="25"/>
      <c r="S83" s="25"/>
      <c r="T83" s="25"/>
      <c r="U83" s="25"/>
      <c r="V83" s="25"/>
      <c r="W83" s="25"/>
      <c r="X83" s="25"/>
      <c r="Y83" s="25"/>
      <c r="Z83" s="25"/>
      <c r="AA83" s="25"/>
      <c r="AB83" s="25"/>
    </row>
    <row r="85">
      <c r="A85" s="25"/>
      <c r="B85" s="25"/>
      <c r="C85" s="25"/>
      <c r="D85" s="21" t="b">
        <v>0</v>
      </c>
      <c r="E85" s="212" t="s">
        <v>970</v>
      </c>
      <c r="F85" s="194" t="s">
        <v>830</v>
      </c>
      <c r="G85" s="212" t="b">
        <f t="shared" ref="G85:H85" si="6">ISBLANK(M85)</f>
        <v>0</v>
      </c>
      <c r="H85" s="212" t="b">
        <f t="shared" si="6"/>
        <v>1</v>
      </c>
      <c r="I85" s="214"/>
      <c r="J85" s="214"/>
      <c r="K85" s="214"/>
      <c r="L85" s="214"/>
      <c r="M85" s="198" t="s">
        <v>971</v>
      </c>
      <c r="N85" s="216"/>
      <c r="O85" s="25"/>
      <c r="P85" s="25"/>
      <c r="Q85" s="25"/>
      <c r="R85" s="25"/>
      <c r="S85" s="25"/>
      <c r="T85" s="25"/>
      <c r="U85" s="25"/>
      <c r="V85" s="25"/>
      <c r="W85" s="25"/>
      <c r="X85" s="25"/>
      <c r="Y85" s="25"/>
      <c r="Z85" s="25"/>
      <c r="AA85" s="25"/>
      <c r="AB85" s="25"/>
    </row>
    <row r="86">
      <c r="A86" s="25"/>
      <c r="B86" s="25"/>
      <c r="C86" s="25"/>
      <c r="D86" s="25"/>
      <c r="E86" s="212" t="s">
        <v>972</v>
      </c>
      <c r="F86" s="194" t="s">
        <v>830</v>
      </c>
      <c r="G86" s="212" t="b">
        <f t="shared" ref="G86:H86" si="7">ISBLANK(M86)</f>
        <v>0</v>
      </c>
      <c r="H86" s="212" t="b">
        <f t="shared" si="7"/>
        <v>1</v>
      </c>
      <c r="I86" s="214"/>
      <c r="J86" s="214"/>
      <c r="K86" s="214"/>
      <c r="L86" s="214"/>
      <c r="M86" s="198" t="s">
        <v>973</v>
      </c>
      <c r="N86" s="216"/>
      <c r="O86" s="25"/>
      <c r="P86" s="25"/>
      <c r="Q86" s="25"/>
      <c r="R86" s="25"/>
      <c r="S86" s="25"/>
      <c r="T86" s="25"/>
      <c r="U86" s="25"/>
      <c r="V86" s="25"/>
      <c r="W86" s="25"/>
      <c r="X86" s="25"/>
      <c r="Y86" s="25"/>
      <c r="Z86" s="25"/>
      <c r="AA86" s="25"/>
      <c r="AB86" s="25"/>
    </row>
    <row r="87">
      <c r="A87" s="25"/>
      <c r="B87" s="25"/>
      <c r="C87" s="25"/>
      <c r="D87" s="21" t="b">
        <v>1</v>
      </c>
      <c r="E87" s="215" t="s">
        <v>974</v>
      </c>
      <c r="F87" s="194" t="s">
        <v>830</v>
      </c>
      <c r="G87" s="212" t="b">
        <f t="shared" ref="G87:H87" si="8">ISBLANK(M87)</f>
        <v>0</v>
      </c>
      <c r="H87" s="212" t="b">
        <f t="shared" si="8"/>
        <v>1</v>
      </c>
      <c r="I87" s="214"/>
      <c r="J87" s="214"/>
      <c r="K87" s="214"/>
      <c r="L87" s="214"/>
      <c r="M87" s="198" t="s">
        <v>975</v>
      </c>
      <c r="N87" s="216"/>
      <c r="O87" s="25"/>
      <c r="P87" s="25"/>
      <c r="Q87" s="25"/>
      <c r="R87" s="25"/>
      <c r="S87" s="25"/>
      <c r="T87" s="25"/>
      <c r="U87" s="25"/>
      <c r="V87" s="25"/>
      <c r="W87" s="25"/>
      <c r="X87" s="25"/>
      <c r="Y87" s="25"/>
      <c r="Z87" s="25"/>
      <c r="AA87" s="25"/>
      <c r="AB87" s="25"/>
    </row>
    <row r="88">
      <c r="A88" s="25"/>
      <c r="B88" s="25"/>
      <c r="C88" s="25"/>
      <c r="D88" s="25"/>
      <c r="E88" s="214" t="s">
        <v>398</v>
      </c>
      <c r="F88" s="194" t="s">
        <v>922</v>
      </c>
      <c r="G88" s="212" t="b">
        <f t="shared" ref="G88:H88" si="9">ISBLANK(M88)</f>
        <v>0</v>
      </c>
      <c r="H88" s="212" t="b">
        <f t="shared" si="9"/>
        <v>0</v>
      </c>
      <c r="I88" s="214"/>
      <c r="J88" s="214"/>
      <c r="K88" s="214"/>
      <c r="L88" s="214"/>
      <c r="M88" s="198" t="s">
        <v>976</v>
      </c>
      <c r="N88" s="166" t="s">
        <v>404</v>
      </c>
      <c r="O88" s="25"/>
      <c r="P88" s="25"/>
      <c r="Q88" s="25"/>
      <c r="R88" s="25"/>
      <c r="S88" s="25"/>
      <c r="T88" s="25"/>
      <c r="U88" s="25"/>
      <c r="V88" s="25"/>
      <c r="W88" s="25"/>
      <c r="X88" s="25"/>
      <c r="Y88" s="25"/>
      <c r="Z88" s="25"/>
      <c r="AA88" s="25"/>
      <c r="AB88" s="25"/>
    </row>
    <row r="89">
      <c r="A89" s="25"/>
      <c r="B89" s="25"/>
      <c r="C89" s="25"/>
      <c r="D89" s="25"/>
      <c r="E89" s="214" t="s">
        <v>925</v>
      </c>
      <c r="F89" s="194" t="s">
        <v>922</v>
      </c>
      <c r="G89" s="212" t="b">
        <f t="shared" ref="G89:H89" si="10">ISBLANK(M89)</f>
        <v>0</v>
      </c>
      <c r="H89" s="212" t="b">
        <f t="shared" si="10"/>
        <v>0</v>
      </c>
      <c r="I89" s="214"/>
      <c r="J89" s="214"/>
      <c r="K89" s="214"/>
      <c r="L89" s="214"/>
      <c r="M89" s="198" t="s">
        <v>977</v>
      </c>
      <c r="N89" s="166" t="s">
        <v>978</v>
      </c>
      <c r="O89" s="25"/>
      <c r="P89" s="25"/>
      <c r="Q89" s="25"/>
      <c r="R89" s="25"/>
      <c r="S89" s="25"/>
      <c r="T89" s="25"/>
      <c r="U89" s="25"/>
      <c r="V89" s="25"/>
      <c r="W89" s="25"/>
      <c r="X89" s="25"/>
      <c r="Y89" s="25"/>
      <c r="Z89" s="25"/>
      <c r="AA89" s="25"/>
      <c r="AB89" s="25"/>
    </row>
    <row r="90">
      <c r="A90" s="25"/>
      <c r="B90" s="25"/>
      <c r="C90" s="25"/>
      <c r="D90" s="25"/>
      <c r="E90" s="214" t="s">
        <v>412</v>
      </c>
      <c r="F90" s="194" t="s">
        <v>922</v>
      </c>
      <c r="G90" s="212" t="b">
        <f t="shared" ref="G90:H90" si="11">ISBLANK(M90)</f>
        <v>0</v>
      </c>
      <c r="H90" s="212" t="b">
        <f t="shared" si="11"/>
        <v>1</v>
      </c>
      <c r="I90" s="214"/>
      <c r="J90" s="214"/>
      <c r="K90" s="214"/>
      <c r="L90" s="214"/>
      <c r="M90" s="198" t="s">
        <v>979</v>
      </c>
      <c r="N90" s="216"/>
      <c r="O90" s="25"/>
      <c r="P90" s="25"/>
      <c r="Q90" s="25"/>
      <c r="R90" s="25"/>
      <c r="S90" s="25"/>
      <c r="T90" s="25"/>
      <c r="U90" s="25"/>
      <c r="V90" s="25"/>
      <c r="W90" s="25"/>
      <c r="X90" s="25"/>
      <c r="Y90" s="25"/>
      <c r="Z90" s="25"/>
      <c r="AA90" s="25"/>
      <c r="AB90" s="25"/>
    </row>
    <row r="91">
      <c r="A91" s="25"/>
      <c r="B91" s="25"/>
      <c r="C91" s="25"/>
      <c r="D91" s="25"/>
      <c r="E91" s="212" t="s">
        <v>980</v>
      </c>
      <c r="F91" s="94" t="s">
        <v>906</v>
      </c>
      <c r="G91" s="212" t="b">
        <f t="shared" ref="G91:H91" si="12">ISBLANK(M91)</f>
        <v>0</v>
      </c>
      <c r="H91" s="212" t="b">
        <f t="shared" si="12"/>
        <v>0</v>
      </c>
      <c r="I91" s="214"/>
      <c r="J91" s="214"/>
      <c r="K91" s="214"/>
      <c r="L91" s="214"/>
      <c r="M91" s="198" t="s">
        <v>981</v>
      </c>
      <c r="N91" s="166" t="s">
        <v>982</v>
      </c>
      <c r="O91" s="25"/>
      <c r="P91" s="25"/>
      <c r="Q91" s="25"/>
      <c r="R91" s="25"/>
      <c r="S91" s="25"/>
      <c r="T91" s="25"/>
      <c r="U91" s="25"/>
      <c r="V91" s="25"/>
      <c r="W91" s="25"/>
      <c r="X91" s="25"/>
      <c r="Y91" s="25"/>
      <c r="Z91" s="25"/>
      <c r="AA91" s="25"/>
      <c r="AB91" s="25"/>
    </row>
    <row r="92">
      <c r="A92" s="25"/>
      <c r="B92" s="25"/>
      <c r="C92" s="25"/>
      <c r="D92" s="21" t="b">
        <v>1</v>
      </c>
      <c r="E92" s="214" t="s">
        <v>277</v>
      </c>
      <c r="F92" s="94" t="s">
        <v>983</v>
      </c>
      <c r="G92" s="212" t="b">
        <f t="shared" ref="G92:H92" si="13">ISBLANK(M92)</f>
        <v>0</v>
      </c>
      <c r="H92" s="212" t="b">
        <f t="shared" si="13"/>
        <v>0</v>
      </c>
      <c r="I92" s="214"/>
      <c r="J92" s="214"/>
      <c r="K92" s="214"/>
      <c r="L92" s="214"/>
      <c r="M92" s="198" t="s">
        <v>282</v>
      </c>
      <c r="N92" s="166" t="s">
        <v>283</v>
      </c>
      <c r="O92" s="25"/>
      <c r="P92" s="25"/>
      <c r="Q92" s="25"/>
      <c r="R92" s="25"/>
      <c r="S92" s="25"/>
      <c r="T92" s="25"/>
      <c r="U92" s="25"/>
      <c r="V92" s="25"/>
      <c r="W92" s="25"/>
      <c r="X92" s="25"/>
      <c r="Y92" s="25"/>
      <c r="Z92" s="25"/>
      <c r="AA92" s="25"/>
      <c r="AB92" s="25"/>
    </row>
    <row r="93">
      <c r="A93" s="25"/>
      <c r="B93" s="25"/>
      <c r="C93" s="25"/>
      <c r="D93" s="21" t="b">
        <v>1</v>
      </c>
      <c r="E93" s="214" t="s">
        <v>292</v>
      </c>
      <c r="F93" s="94" t="s">
        <v>882</v>
      </c>
      <c r="G93" s="212" t="b">
        <f t="shared" ref="G93:H93" si="14">ISBLANK(M93)</f>
        <v>0</v>
      </c>
      <c r="H93" s="212" t="b">
        <f t="shared" si="14"/>
        <v>0</v>
      </c>
      <c r="I93" s="214"/>
      <c r="J93" s="214"/>
      <c r="K93" s="214"/>
      <c r="L93" s="214"/>
      <c r="M93" s="198" t="s">
        <v>297</v>
      </c>
      <c r="N93" s="166" t="s">
        <v>298</v>
      </c>
      <c r="O93" s="25"/>
      <c r="P93" s="25"/>
      <c r="Q93" s="25"/>
      <c r="R93" s="25"/>
      <c r="S93" s="25"/>
      <c r="T93" s="25"/>
      <c r="U93" s="25"/>
      <c r="V93" s="25"/>
      <c r="W93" s="25"/>
      <c r="X93" s="25"/>
      <c r="Y93" s="25"/>
      <c r="Z93" s="25"/>
      <c r="AA93" s="25"/>
      <c r="AB93" s="25"/>
    </row>
    <row r="94">
      <c r="A94" s="25"/>
      <c r="B94" s="25"/>
      <c r="C94" s="25"/>
      <c r="D94" s="21" t="b">
        <v>1</v>
      </c>
      <c r="E94" s="214" t="s">
        <v>17</v>
      </c>
      <c r="F94" s="94" t="s">
        <v>834</v>
      </c>
      <c r="G94" s="212" t="b">
        <f t="shared" ref="G94:H94" si="15">ISBLANK(M94)</f>
        <v>0</v>
      </c>
      <c r="H94" s="212" t="b">
        <f t="shared" si="15"/>
        <v>0</v>
      </c>
      <c r="I94" s="214"/>
      <c r="J94" s="214"/>
      <c r="K94" s="214"/>
      <c r="L94" s="214"/>
      <c r="M94" s="198" t="s">
        <v>93</v>
      </c>
      <c r="N94" s="166" t="s">
        <v>94</v>
      </c>
      <c r="O94" s="25"/>
      <c r="P94" s="25"/>
      <c r="Q94" s="25"/>
      <c r="R94" s="25"/>
      <c r="S94" s="25"/>
      <c r="T94" s="25"/>
      <c r="U94" s="25"/>
      <c r="V94" s="25"/>
      <c r="W94" s="25"/>
      <c r="X94" s="25"/>
      <c r="Y94" s="25"/>
      <c r="Z94" s="25"/>
      <c r="AA94" s="25"/>
      <c r="AB94" s="25"/>
    </row>
    <row r="95">
      <c r="A95" s="25"/>
      <c r="B95" s="25"/>
      <c r="C95" s="25"/>
      <c r="D95" s="21" t="b">
        <v>1</v>
      </c>
      <c r="E95" s="214" t="s">
        <v>20</v>
      </c>
      <c r="F95" s="94" t="s">
        <v>984</v>
      </c>
      <c r="G95" s="212" t="b">
        <f t="shared" ref="G95:H95" si="16">ISBLANK(M95)</f>
        <v>0</v>
      </c>
      <c r="H95" s="212" t="b">
        <f t="shared" si="16"/>
        <v>0</v>
      </c>
      <c r="I95" s="214"/>
      <c r="J95" s="214"/>
      <c r="K95" s="214"/>
      <c r="L95" s="214"/>
      <c r="M95" s="198" t="s">
        <v>274</v>
      </c>
      <c r="N95" s="166" t="s">
        <v>275</v>
      </c>
      <c r="O95" s="25"/>
      <c r="P95" s="25"/>
      <c r="Q95" s="25"/>
      <c r="R95" s="25"/>
      <c r="S95" s="25"/>
      <c r="T95" s="25"/>
      <c r="U95" s="25"/>
      <c r="V95" s="25"/>
      <c r="W95" s="25"/>
      <c r="X95" s="25"/>
      <c r="Y95" s="25"/>
      <c r="Z95" s="25"/>
      <c r="AA95" s="25"/>
      <c r="AB95" s="25"/>
    </row>
    <row r="96">
      <c r="A96" s="221"/>
      <c r="B96" s="221"/>
      <c r="C96" s="221"/>
      <c r="D96" s="222" t="b">
        <v>1</v>
      </c>
      <c r="E96" s="225" t="s">
        <v>405</v>
      </c>
      <c r="F96" s="87" t="s">
        <v>922</v>
      </c>
      <c r="G96" s="223" t="b">
        <f t="shared" ref="G96:H96" si="17">ISBLANK(M96)</f>
        <v>0</v>
      </c>
      <c r="H96" s="223" t="b">
        <f t="shared" si="17"/>
        <v>0</v>
      </c>
      <c r="I96" s="225"/>
      <c r="J96" s="225"/>
      <c r="K96" s="225"/>
      <c r="L96" s="225"/>
      <c r="M96" s="199" t="s">
        <v>409</v>
      </c>
      <c r="N96" s="200" t="s">
        <v>410</v>
      </c>
      <c r="O96" s="221"/>
      <c r="P96" s="221"/>
      <c r="Q96" s="221"/>
      <c r="R96" s="221"/>
      <c r="S96" s="221"/>
      <c r="T96" s="221"/>
      <c r="U96" s="221"/>
      <c r="V96" s="221"/>
      <c r="W96" s="221"/>
      <c r="X96" s="221"/>
      <c r="Y96" s="221"/>
      <c r="Z96" s="221"/>
      <c r="AA96" s="221"/>
      <c r="AB96" s="221"/>
    </row>
    <row r="97">
      <c r="A97" s="25"/>
      <c r="B97" s="25"/>
      <c r="C97" s="25"/>
      <c r="D97" s="21" t="b">
        <v>1</v>
      </c>
      <c r="E97" s="214" t="s">
        <v>985</v>
      </c>
      <c r="F97" s="94" t="s">
        <v>922</v>
      </c>
      <c r="G97" s="212" t="b">
        <f t="shared" ref="G97:H97" si="18">ISBLANK(M97)</f>
        <v>0</v>
      </c>
      <c r="H97" s="212" t="b">
        <f t="shared" si="18"/>
        <v>0</v>
      </c>
      <c r="I97" s="214"/>
      <c r="J97" s="214"/>
      <c r="K97" s="214"/>
      <c r="L97" s="214"/>
      <c r="M97" s="198" t="s">
        <v>986</v>
      </c>
      <c r="N97" s="166" t="s">
        <v>987</v>
      </c>
      <c r="O97" s="25"/>
      <c r="P97" s="25"/>
      <c r="Q97" s="25"/>
      <c r="R97" s="25"/>
      <c r="S97" s="25"/>
      <c r="T97" s="25"/>
      <c r="U97" s="25"/>
      <c r="V97" s="25"/>
      <c r="W97" s="25"/>
      <c r="X97" s="25"/>
      <c r="Y97" s="25"/>
      <c r="Z97" s="25"/>
      <c r="AA97" s="25"/>
      <c r="AB97" s="25"/>
    </row>
    <row r="98">
      <c r="A98" s="25"/>
      <c r="B98" s="25"/>
      <c r="C98" s="25"/>
      <c r="D98" s="21" t="b">
        <v>1</v>
      </c>
      <c r="E98" s="214" t="s">
        <v>416</v>
      </c>
      <c r="F98" s="94" t="s">
        <v>922</v>
      </c>
      <c r="G98" s="212" t="b">
        <f t="shared" ref="G98:H98" si="19">ISBLANK(M98)</f>
        <v>0</v>
      </c>
      <c r="H98" s="212" t="b">
        <f t="shared" si="19"/>
        <v>0</v>
      </c>
      <c r="I98" s="214"/>
      <c r="J98" s="214"/>
      <c r="K98" s="214"/>
      <c r="L98" s="214"/>
      <c r="M98" s="198" t="s">
        <v>420</v>
      </c>
      <c r="N98" s="166" t="s">
        <v>421</v>
      </c>
      <c r="O98" s="25"/>
      <c r="P98" s="25"/>
      <c r="Q98" s="25"/>
      <c r="R98" s="25"/>
      <c r="S98" s="25"/>
      <c r="T98" s="25"/>
      <c r="U98" s="25"/>
      <c r="V98" s="25"/>
      <c r="W98" s="25"/>
      <c r="X98" s="25"/>
      <c r="Y98" s="25"/>
      <c r="Z98" s="25"/>
      <c r="AA98" s="25"/>
      <c r="AB98" s="25"/>
    </row>
    <row r="99">
      <c r="A99" s="25"/>
      <c r="B99" s="25"/>
      <c r="C99" s="25"/>
      <c r="D99" s="21" t="b">
        <v>1</v>
      </c>
      <c r="E99" s="214" t="s">
        <v>39</v>
      </c>
      <c r="F99" s="94" t="s">
        <v>933</v>
      </c>
      <c r="G99" s="212" t="b">
        <f t="shared" ref="G99:H99" si="20">ISBLANK(M99)</f>
        <v>0</v>
      </c>
      <c r="H99" s="212" t="b">
        <f t="shared" si="20"/>
        <v>0</v>
      </c>
      <c r="I99" s="214"/>
      <c r="J99" s="214"/>
      <c r="K99" s="214"/>
      <c r="L99" s="214"/>
      <c r="M99" s="198" t="s">
        <v>139</v>
      </c>
      <c r="N99" s="166" t="s">
        <v>140</v>
      </c>
      <c r="O99" s="25"/>
      <c r="P99" s="25"/>
      <c r="Q99" s="25"/>
      <c r="R99" s="25"/>
      <c r="S99" s="25"/>
      <c r="T99" s="25"/>
      <c r="U99" s="25"/>
      <c r="V99" s="25"/>
      <c r="W99" s="25"/>
      <c r="X99" s="25"/>
      <c r="Y99" s="25"/>
      <c r="Z99" s="25"/>
      <c r="AA99" s="25"/>
      <c r="AB99" s="25"/>
    </row>
    <row r="100">
      <c r="A100" s="25"/>
      <c r="B100" s="25"/>
      <c r="C100" s="25"/>
      <c r="D100" s="21" t="b">
        <v>1</v>
      </c>
      <c r="E100" s="214" t="s">
        <v>434</v>
      </c>
      <c r="F100" s="94" t="s">
        <v>933</v>
      </c>
      <c r="G100" s="212" t="b">
        <f t="shared" ref="G100:H100" si="21">ISBLANK(M100)</f>
        <v>0</v>
      </c>
      <c r="H100" s="212" t="b">
        <f t="shared" si="21"/>
        <v>0</v>
      </c>
      <c r="I100" s="214"/>
      <c r="J100" s="214"/>
      <c r="K100" s="214"/>
      <c r="L100" s="214"/>
      <c r="M100" s="198" t="s">
        <v>438</v>
      </c>
      <c r="N100" s="166" t="s">
        <v>439</v>
      </c>
      <c r="O100" s="25"/>
      <c r="P100" s="25"/>
      <c r="Q100" s="25"/>
      <c r="R100" s="25"/>
      <c r="S100" s="25"/>
      <c r="T100" s="25"/>
      <c r="U100" s="25"/>
      <c r="V100" s="25"/>
      <c r="W100" s="25"/>
      <c r="X100" s="25"/>
      <c r="Y100" s="25"/>
      <c r="Z100" s="25"/>
      <c r="AA100" s="25"/>
      <c r="AB100" s="25"/>
    </row>
    <row r="101">
      <c r="A101" s="25"/>
      <c r="B101" s="25"/>
      <c r="C101" s="25"/>
      <c r="D101" s="21" t="b">
        <v>1</v>
      </c>
      <c r="E101" s="214" t="s">
        <v>40</v>
      </c>
      <c r="F101" s="94" t="s">
        <v>933</v>
      </c>
      <c r="G101" s="212" t="b">
        <f t="shared" ref="G101:H101" si="22">ISBLANK(M101)</f>
        <v>0</v>
      </c>
      <c r="H101" s="212" t="b">
        <f t="shared" si="22"/>
        <v>0</v>
      </c>
      <c r="I101" s="214"/>
      <c r="J101" s="214"/>
      <c r="K101" s="214"/>
      <c r="L101" s="214"/>
      <c r="M101" s="198" t="s">
        <v>146</v>
      </c>
      <c r="N101" s="166" t="s">
        <v>147</v>
      </c>
      <c r="O101" s="25"/>
      <c r="P101" s="25"/>
      <c r="Q101" s="25"/>
      <c r="R101" s="25"/>
      <c r="S101" s="25"/>
      <c r="T101" s="25"/>
      <c r="U101" s="25"/>
      <c r="V101" s="25"/>
      <c r="W101" s="25"/>
      <c r="X101" s="25"/>
      <c r="Y101" s="25"/>
      <c r="Z101" s="25"/>
      <c r="AA101" s="25"/>
      <c r="AB101" s="25"/>
    </row>
    <row r="102">
      <c r="A102" s="25"/>
      <c r="B102" s="25"/>
      <c r="C102" s="25"/>
      <c r="D102" s="21" t="b">
        <v>1</v>
      </c>
      <c r="E102" s="214" t="s">
        <v>988</v>
      </c>
      <c r="F102" s="94" t="s">
        <v>933</v>
      </c>
      <c r="G102" s="212" t="b">
        <f t="shared" ref="G102:H102" si="23">ISBLANK(M102)</f>
        <v>0</v>
      </c>
      <c r="H102" s="212" t="b">
        <f t="shared" si="23"/>
        <v>0</v>
      </c>
      <c r="I102" s="214"/>
      <c r="J102" s="214"/>
      <c r="K102" s="214"/>
      <c r="L102" s="214"/>
      <c r="M102" s="198" t="s">
        <v>989</v>
      </c>
      <c r="N102" s="166" t="s">
        <v>990</v>
      </c>
      <c r="O102" s="25"/>
      <c r="P102" s="25"/>
      <c r="Q102" s="25"/>
      <c r="R102" s="25"/>
      <c r="S102" s="25"/>
      <c r="T102" s="25"/>
      <c r="U102" s="25"/>
      <c r="V102" s="25"/>
      <c r="W102" s="25"/>
      <c r="X102" s="25"/>
      <c r="Y102" s="25"/>
      <c r="Z102" s="25"/>
      <c r="AA102" s="25"/>
      <c r="AB102" s="25"/>
    </row>
    <row r="104">
      <c r="A104" s="25"/>
      <c r="B104" s="25"/>
      <c r="C104" s="25"/>
      <c r="D104" s="21" t="b">
        <v>1</v>
      </c>
      <c r="E104" s="214" t="s">
        <v>459</v>
      </c>
      <c r="F104" s="94" t="s">
        <v>933</v>
      </c>
      <c r="G104" s="212" t="b">
        <f t="shared" ref="G104:H104" si="24">ISBLANK(M104)</f>
        <v>0</v>
      </c>
      <c r="H104" s="212" t="b">
        <f t="shared" si="24"/>
        <v>0</v>
      </c>
      <c r="I104" s="214"/>
      <c r="J104" s="214"/>
      <c r="K104" s="214"/>
      <c r="L104" s="214"/>
      <c r="M104" s="198" t="s">
        <v>464</v>
      </c>
      <c r="N104" s="166" t="s">
        <v>465</v>
      </c>
      <c r="O104" s="25"/>
      <c r="P104" s="25"/>
      <c r="Q104" s="25"/>
      <c r="R104" s="25"/>
      <c r="S104" s="25"/>
      <c r="T104" s="25"/>
      <c r="U104" s="25"/>
      <c r="V104" s="25"/>
      <c r="W104" s="25"/>
      <c r="X104" s="25"/>
      <c r="Y104" s="25"/>
      <c r="Z104" s="25"/>
      <c r="AA104" s="25"/>
      <c r="AB104" s="25"/>
    </row>
    <row r="105">
      <c r="A105" s="25"/>
      <c r="B105" s="25"/>
      <c r="C105" s="25"/>
      <c r="D105" s="21" t="b">
        <v>1</v>
      </c>
      <c r="E105" s="214" t="s">
        <v>482</v>
      </c>
      <c r="F105" s="94" t="s">
        <v>830</v>
      </c>
      <c r="G105" s="212" t="b">
        <f t="shared" ref="G105:H105" si="25">ISBLANK(M105)</f>
        <v>0</v>
      </c>
      <c r="H105" s="212" t="b">
        <f t="shared" si="25"/>
        <v>0</v>
      </c>
      <c r="I105" s="214"/>
      <c r="J105" s="214"/>
      <c r="K105" s="214"/>
      <c r="L105" s="214"/>
      <c r="M105" s="198" t="s">
        <v>487</v>
      </c>
      <c r="N105" s="166" t="s">
        <v>488</v>
      </c>
      <c r="O105" s="25"/>
      <c r="P105" s="25"/>
      <c r="Q105" s="25"/>
      <c r="R105" s="25"/>
      <c r="S105" s="25"/>
      <c r="T105" s="25"/>
      <c r="U105" s="25"/>
      <c r="V105" s="25"/>
      <c r="W105" s="25"/>
      <c r="X105" s="25"/>
      <c r="Y105" s="25"/>
      <c r="Z105" s="25"/>
      <c r="AA105" s="25"/>
      <c r="AB105" s="25"/>
    </row>
    <row r="106">
      <c r="A106" s="25"/>
      <c r="B106" s="25"/>
      <c r="C106" s="25"/>
      <c r="D106" s="21" t="b">
        <v>1</v>
      </c>
      <c r="E106" s="214" t="s">
        <v>507</v>
      </c>
      <c r="F106" s="94" t="s">
        <v>830</v>
      </c>
      <c r="G106" s="212" t="b">
        <f t="shared" ref="G106:H106" si="26">ISBLANK(M106)</f>
        <v>0</v>
      </c>
      <c r="H106" s="212" t="b">
        <f t="shared" si="26"/>
        <v>0</v>
      </c>
      <c r="I106" s="214"/>
      <c r="J106" s="214"/>
      <c r="K106" s="214"/>
      <c r="L106" s="214"/>
      <c r="M106" s="198" t="s">
        <v>510</v>
      </c>
      <c r="N106" s="166" t="s">
        <v>503</v>
      </c>
      <c r="O106" s="25"/>
      <c r="P106" s="25"/>
      <c r="Q106" s="25"/>
      <c r="R106" s="25"/>
      <c r="S106" s="25"/>
      <c r="T106" s="25"/>
      <c r="U106" s="25"/>
      <c r="V106" s="25"/>
      <c r="W106" s="25"/>
      <c r="X106" s="25"/>
      <c r="Y106" s="25"/>
      <c r="Z106" s="25"/>
      <c r="AA106" s="25"/>
      <c r="AB106" s="25"/>
    </row>
    <row r="107">
      <c r="A107" s="25"/>
      <c r="B107" s="25"/>
      <c r="C107" s="25"/>
      <c r="D107" s="21" t="b">
        <v>1</v>
      </c>
      <c r="E107" s="214" t="s">
        <v>528</v>
      </c>
      <c r="F107" s="94" t="s">
        <v>830</v>
      </c>
      <c r="G107" s="212" t="b">
        <f t="shared" ref="G107:H107" si="27">ISBLANK(M107)</f>
        <v>0</v>
      </c>
      <c r="H107" s="212" t="b">
        <f t="shared" si="27"/>
        <v>0</v>
      </c>
      <c r="I107" s="214"/>
      <c r="J107" s="214"/>
      <c r="K107" s="214"/>
      <c r="L107" s="214"/>
      <c r="M107" s="198" t="s">
        <v>532</v>
      </c>
      <c r="N107" s="166" t="s">
        <v>533</v>
      </c>
      <c r="O107" s="25"/>
      <c r="P107" s="25"/>
      <c r="Q107" s="25"/>
      <c r="R107" s="25"/>
      <c r="S107" s="25"/>
      <c r="T107" s="25"/>
      <c r="U107" s="25"/>
      <c r="V107" s="25"/>
      <c r="W107" s="25"/>
      <c r="X107" s="25"/>
      <c r="Y107" s="25"/>
      <c r="Z107" s="25"/>
      <c r="AA107" s="25"/>
      <c r="AB107" s="25"/>
    </row>
    <row r="108">
      <c r="A108" s="25"/>
      <c r="B108" s="25"/>
      <c r="C108" s="25"/>
      <c r="D108" s="21" t="b">
        <v>1</v>
      </c>
      <c r="E108" s="214" t="s">
        <v>575</v>
      </c>
      <c r="F108" s="94" t="s">
        <v>830</v>
      </c>
      <c r="G108" s="212" t="b">
        <f t="shared" ref="G108:H108" si="28">ISBLANK(M108)</f>
        <v>0</v>
      </c>
      <c r="H108" s="212" t="b">
        <f t="shared" si="28"/>
        <v>0</v>
      </c>
      <c r="I108" s="214"/>
      <c r="J108" s="214"/>
      <c r="K108" s="214"/>
      <c r="L108" s="214"/>
      <c r="M108" s="198" t="s">
        <v>580</v>
      </c>
      <c r="N108" s="166" t="s">
        <v>581</v>
      </c>
      <c r="O108" s="25"/>
      <c r="P108" s="25"/>
      <c r="Q108" s="25"/>
      <c r="R108" s="25"/>
      <c r="S108" s="25"/>
      <c r="T108" s="25"/>
      <c r="U108" s="25"/>
      <c r="V108" s="25"/>
      <c r="W108" s="25"/>
      <c r="X108" s="25"/>
      <c r="Y108" s="25"/>
      <c r="Z108" s="25"/>
      <c r="AA108" s="25"/>
      <c r="AB108" s="25"/>
    </row>
    <row r="109">
      <c r="A109" s="25"/>
      <c r="B109" s="25"/>
      <c r="C109" s="25"/>
      <c r="D109" s="21" t="b">
        <v>1</v>
      </c>
      <c r="E109" s="214" t="s">
        <v>738</v>
      </c>
      <c r="F109" s="94" t="s">
        <v>830</v>
      </c>
      <c r="G109" s="212" t="b">
        <f t="shared" ref="G109:H109" si="29">ISBLANK(M109)</f>
        <v>0</v>
      </c>
      <c r="H109" s="212" t="b">
        <f t="shared" si="29"/>
        <v>0</v>
      </c>
      <c r="I109" s="214"/>
      <c r="J109" s="214"/>
      <c r="K109" s="214"/>
      <c r="L109" s="214"/>
      <c r="M109" s="198" t="s">
        <v>733</v>
      </c>
      <c r="N109" s="166" t="s">
        <v>739</v>
      </c>
      <c r="O109" s="25"/>
      <c r="P109" s="25"/>
      <c r="Q109" s="25"/>
      <c r="R109" s="25"/>
      <c r="S109" s="25"/>
      <c r="T109" s="25"/>
      <c r="U109" s="25"/>
      <c r="V109" s="25"/>
      <c r="W109" s="25"/>
      <c r="X109" s="25"/>
      <c r="Y109" s="25"/>
      <c r="Z109" s="25"/>
      <c r="AA109" s="25"/>
      <c r="AB109" s="25"/>
    </row>
    <row r="110">
      <c r="A110" s="25"/>
      <c r="B110" s="25"/>
      <c r="C110" s="25"/>
      <c r="D110" s="21" t="b">
        <v>1</v>
      </c>
      <c r="E110" s="214" t="s">
        <v>583</v>
      </c>
      <c r="F110" s="94" t="s">
        <v>830</v>
      </c>
      <c r="G110" s="212" t="b">
        <f t="shared" ref="G110:H110" si="30">ISBLANK(M110)</f>
        <v>0</v>
      </c>
      <c r="H110" s="212" t="b">
        <f t="shared" si="30"/>
        <v>0</v>
      </c>
      <c r="I110" s="214"/>
      <c r="J110" s="214"/>
      <c r="K110" s="214"/>
      <c r="L110" s="214"/>
      <c r="M110" s="198" t="s">
        <v>587</v>
      </c>
      <c r="N110" s="166" t="s">
        <v>588</v>
      </c>
      <c r="O110" s="25"/>
      <c r="P110" s="25"/>
      <c r="Q110" s="25"/>
      <c r="R110" s="25"/>
      <c r="S110" s="25"/>
      <c r="T110" s="25"/>
      <c r="U110" s="25"/>
      <c r="V110" s="25"/>
      <c r="W110" s="25"/>
      <c r="X110" s="25"/>
      <c r="Y110" s="25"/>
      <c r="Z110" s="25"/>
      <c r="AA110" s="25"/>
      <c r="AB110" s="25"/>
    </row>
    <row r="111">
      <c r="A111" s="25"/>
      <c r="B111" s="25"/>
      <c r="C111" s="25"/>
      <c r="D111" s="21" t="b">
        <v>1</v>
      </c>
      <c r="E111" s="214" t="s">
        <v>593</v>
      </c>
      <c r="F111" s="94" t="s">
        <v>830</v>
      </c>
      <c r="G111" s="212" t="b">
        <f t="shared" ref="G111:H111" si="31">ISBLANK(M111)</f>
        <v>0</v>
      </c>
      <c r="H111" s="212" t="b">
        <f t="shared" si="31"/>
        <v>0</v>
      </c>
      <c r="I111" s="214"/>
      <c r="J111" s="214"/>
      <c r="K111" s="214"/>
      <c r="L111" s="214"/>
      <c r="M111" s="166" t="s">
        <v>597</v>
      </c>
      <c r="N111" s="166" t="s">
        <v>598</v>
      </c>
      <c r="O111" s="25"/>
      <c r="P111" s="25"/>
      <c r="Q111" s="25"/>
      <c r="R111" s="25"/>
      <c r="S111" s="25"/>
      <c r="T111" s="25"/>
      <c r="U111" s="25"/>
      <c r="V111" s="25"/>
      <c r="W111" s="25"/>
      <c r="X111" s="25"/>
      <c r="Y111" s="25"/>
      <c r="Z111" s="25"/>
      <c r="AA111" s="25"/>
      <c r="AB111" s="25"/>
    </row>
    <row r="112">
      <c r="A112" s="221"/>
      <c r="B112" s="221"/>
      <c r="C112" s="221"/>
      <c r="D112" s="222" t="b">
        <v>1</v>
      </c>
      <c r="E112" s="225" t="s">
        <v>607</v>
      </c>
      <c r="F112" s="87" t="s">
        <v>830</v>
      </c>
      <c r="G112" s="223" t="b">
        <f t="shared" ref="G112:H112" si="32">ISBLANK(M112)</f>
        <v>0</v>
      </c>
      <c r="H112" s="223" t="b">
        <f t="shared" si="32"/>
        <v>0</v>
      </c>
      <c r="I112" s="225"/>
      <c r="J112" s="225"/>
      <c r="K112" s="225"/>
      <c r="L112" s="225"/>
      <c r="M112" s="200" t="s">
        <v>611</v>
      </c>
      <c r="N112" s="200" t="s">
        <v>991</v>
      </c>
      <c r="O112" s="221"/>
      <c r="P112" s="221"/>
      <c r="Q112" s="221"/>
      <c r="R112" s="221"/>
      <c r="S112" s="221"/>
      <c r="T112" s="221"/>
      <c r="U112" s="221"/>
      <c r="V112" s="221"/>
      <c r="W112" s="221"/>
      <c r="X112" s="221"/>
      <c r="Y112" s="221"/>
      <c r="Z112" s="221"/>
      <c r="AA112" s="221"/>
      <c r="AB112" s="221"/>
    </row>
    <row r="113">
      <c r="A113" s="221"/>
      <c r="B113" s="221"/>
      <c r="C113" s="221"/>
      <c r="D113" s="222" t="b">
        <v>1</v>
      </c>
      <c r="E113" s="228" t="s">
        <v>33</v>
      </c>
      <c r="F113" s="87" t="s">
        <v>906</v>
      </c>
      <c r="G113" s="223" t="b">
        <f t="shared" ref="G113:H113" si="33">ISBLANK(M113)</f>
        <v>0</v>
      </c>
      <c r="H113" s="223" t="b">
        <f t="shared" si="33"/>
        <v>0</v>
      </c>
      <c r="I113" s="225"/>
      <c r="J113" s="225"/>
      <c r="K113" s="225"/>
      <c r="L113" s="225"/>
      <c r="M113" s="199" t="s">
        <v>374</v>
      </c>
      <c r="N113" s="200" t="s">
        <v>365</v>
      </c>
      <c r="O113" s="221"/>
      <c r="P113" s="221"/>
      <c r="Q113" s="221"/>
      <c r="R113" s="221"/>
      <c r="S113" s="221"/>
      <c r="T113" s="221"/>
      <c r="U113" s="221"/>
      <c r="V113" s="221"/>
      <c r="W113" s="221"/>
      <c r="X113" s="221"/>
      <c r="Y113" s="221"/>
      <c r="Z113" s="221"/>
      <c r="AA113" s="221"/>
      <c r="AB113" s="221"/>
    </row>
    <row r="114">
      <c r="A114" s="221"/>
      <c r="B114" s="221"/>
      <c r="C114" s="221"/>
      <c r="D114" s="222" t="b">
        <v>1</v>
      </c>
      <c r="E114" s="225" t="s">
        <v>34</v>
      </c>
      <c r="F114" s="87" t="s">
        <v>906</v>
      </c>
      <c r="G114" s="223" t="b">
        <f t="shared" ref="G114:H114" si="34">ISBLANK(M114)</f>
        <v>0</v>
      </c>
      <c r="H114" s="223" t="b">
        <f t="shared" si="34"/>
        <v>0</v>
      </c>
      <c r="I114" s="225"/>
      <c r="J114" s="225"/>
      <c r="K114" s="225"/>
      <c r="L114" s="225"/>
      <c r="M114" s="199" t="s">
        <v>378</v>
      </c>
      <c r="N114" s="200" t="s">
        <v>379</v>
      </c>
      <c r="O114" s="221"/>
      <c r="P114" s="221"/>
      <c r="Q114" s="221"/>
      <c r="R114" s="221"/>
      <c r="S114" s="221"/>
      <c r="T114" s="221"/>
      <c r="U114" s="221"/>
      <c r="V114" s="221"/>
      <c r="W114" s="221"/>
      <c r="X114" s="221"/>
      <c r="Y114" s="221"/>
      <c r="Z114" s="221"/>
      <c r="AA114" s="221"/>
      <c r="AB114" s="221"/>
    </row>
    <row r="115">
      <c r="A115" s="221"/>
      <c r="B115" s="221"/>
      <c r="C115" s="221"/>
      <c r="D115" s="222" t="b">
        <v>1</v>
      </c>
      <c r="E115" s="229" t="s">
        <v>38</v>
      </c>
      <c r="F115" s="224" t="s">
        <v>933</v>
      </c>
      <c r="G115" s="223"/>
      <c r="H115" s="223" t="b">
        <f t="shared" ref="H115:H119" si="35">ISBLANK(N115)</f>
        <v>0</v>
      </c>
      <c r="I115" s="225"/>
      <c r="J115" s="225"/>
      <c r="K115" s="225"/>
      <c r="L115" s="225"/>
      <c r="M115" s="204" t="s">
        <v>133</v>
      </c>
      <c r="N115" s="200" t="s">
        <v>134</v>
      </c>
      <c r="O115" s="221"/>
      <c r="P115" s="221"/>
      <c r="Q115" s="221"/>
      <c r="R115" s="221"/>
      <c r="S115" s="221"/>
      <c r="T115" s="221"/>
      <c r="U115" s="221"/>
      <c r="V115" s="221"/>
      <c r="W115" s="221"/>
      <c r="X115" s="221"/>
      <c r="Y115" s="221"/>
      <c r="Z115" s="221"/>
      <c r="AA115" s="221"/>
      <c r="AB115" s="221"/>
    </row>
    <row r="116">
      <c r="A116" s="221"/>
      <c r="B116" s="221"/>
      <c r="C116" s="221"/>
      <c r="D116" s="222" t="b">
        <v>1</v>
      </c>
      <c r="E116" s="223" t="s">
        <v>423</v>
      </c>
      <c r="F116" s="224" t="s">
        <v>933</v>
      </c>
      <c r="G116" s="223"/>
      <c r="H116" s="223" t="b">
        <f t="shared" si="35"/>
        <v>0</v>
      </c>
      <c r="I116" s="225"/>
      <c r="J116" s="225"/>
      <c r="K116" s="225"/>
      <c r="L116" s="225"/>
      <c r="M116" s="204" t="s">
        <v>427</v>
      </c>
      <c r="N116" s="200" t="s">
        <v>428</v>
      </c>
      <c r="O116" s="221"/>
      <c r="P116" s="221"/>
      <c r="Q116" s="221"/>
      <c r="R116" s="221"/>
      <c r="S116" s="221"/>
      <c r="T116" s="221"/>
      <c r="U116" s="221"/>
      <c r="V116" s="221"/>
      <c r="W116" s="221"/>
      <c r="X116" s="221"/>
      <c r="Y116" s="221"/>
      <c r="Z116" s="221"/>
      <c r="AA116" s="221"/>
      <c r="AB116" s="221"/>
    </row>
    <row r="117">
      <c r="A117" s="221"/>
      <c r="B117" s="221"/>
      <c r="C117" s="221"/>
      <c r="D117" s="222" t="b">
        <v>1</v>
      </c>
      <c r="E117" s="223" t="s">
        <v>441</v>
      </c>
      <c r="F117" s="224" t="s">
        <v>933</v>
      </c>
      <c r="G117" s="223"/>
      <c r="H117" s="223" t="b">
        <f t="shared" si="35"/>
        <v>0</v>
      </c>
      <c r="I117" s="225"/>
      <c r="J117" s="225"/>
      <c r="K117" s="225"/>
      <c r="L117" s="225"/>
      <c r="M117" s="204" t="s">
        <v>445</v>
      </c>
      <c r="N117" s="200" t="s">
        <v>446</v>
      </c>
      <c r="O117" s="221"/>
      <c r="P117" s="221"/>
      <c r="Q117" s="221"/>
      <c r="R117" s="221"/>
      <c r="S117" s="221"/>
      <c r="T117" s="221"/>
      <c r="U117" s="221"/>
      <c r="V117" s="221"/>
      <c r="W117" s="221"/>
      <c r="X117" s="221"/>
      <c r="Y117" s="221"/>
      <c r="Z117" s="221"/>
      <c r="AA117" s="221"/>
      <c r="AB117" s="221"/>
    </row>
    <row r="118">
      <c r="A118" s="221"/>
      <c r="B118" s="221"/>
      <c r="C118" s="221"/>
      <c r="D118" s="222" t="b">
        <v>1</v>
      </c>
      <c r="E118" s="230" t="s">
        <v>557</v>
      </c>
      <c r="F118" s="224" t="s">
        <v>830</v>
      </c>
      <c r="G118" s="223"/>
      <c r="H118" s="223" t="b">
        <f t="shared" si="35"/>
        <v>0</v>
      </c>
      <c r="I118" s="225"/>
      <c r="J118" s="225"/>
      <c r="K118" s="225"/>
      <c r="L118" s="225"/>
      <c r="M118" s="199" t="s">
        <v>561</v>
      </c>
      <c r="N118" s="200" t="s">
        <v>562</v>
      </c>
      <c r="O118" s="221"/>
      <c r="P118" s="221"/>
      <c r="Q118" s="221"/>
      <c r="R118" s="221"/>
      <c r="S118" s="221"/>
      <c r="T118" s="221"/>
      <c r="U118" s="221"/>
      <c r="V118" s="221"/>
      <c r="W118" s="221"/>
      <c r="X118" s="221"/>
      <c r="Y118" s="221"/>
      <c r="Z118" s="221"/>
      <c r="AA118" s="221"/>
      <c r="AB118" s="221"/>
    </row>
    <row r="119">
      <c r="A119" s="221"/>
      <c r="B119" s="221"/>
      <c r="C119" s="221"/>
      <c r="D119" s="222" t="b">
        <v>1</v>
      </c>
      <c r="E119" s="223" t="s">
        <v>564</v>
      </c>
      <c r="F119" s="224" t="s">
        <v>830</v>
      </c>
      <c r="G119" s="223"/>
      <c r="H119" s="223" t="b">
        <f t="shared" si="35"/>
        <v>0</v>
      </c>
      <c r="I119" s="223" t="s">
        <v>859</v>
      </c>
      <c r="J119" s="223" t="s">
        <v>832</v>
      </c>
      <c r="K119" s="223" t="s">
        <v>818</v>
      </c>
      <c r="L119" s="223" t="s">
        <v>860</v>
      </c>
      <c r="M119" s="200" t="s">
        <v>861</v>
      </c>
      <c r="N119" s="200" t="s">
        <v>569</v>
      </c>
      <c r="O119" s="221"/>
      <c r="P119" s="221"/>
      <c r="Q119" s="221"/>
      <c r="R119" s="221"/>
      <c r="S119" s="221"/>
      <c r="T119" s="221"/>
      <c r="U119" s="221"/>
      <c r="V119" s="221"/>
      <c r="W119" s="221"/>
      <c r="X119" s="221"/>
      <c r="Y119" s="221"/>
      <c r="Z119" s="221"/>
      <c r="AA119" s="221"/>
      <c r="AB119" s="221"/>
    </row>
    <row r="120">
      <c r="A120" s="22"/>
      <c r="B120" s="35"/>
      <c r="C120" s="35"/>
      <c r="D120" s="231" t="b">
        <v>1</v>
      </c>
      <c r="E120" s="232" t="s">
        <v>980</v>
      </c>
      <c r="F120" s="232" t="s">
        <v>906</v>
      </c>
      <c r="G120" s="233" t="b">
        <f t="shared" ref="G120:H120" si="36">ISBLANK(M120)</f>
        <v>0</v>
      </c>
      <c r="H120" s="233" t="b">
        <f t="shared" si="36"/>
        <v>0</v>
      </c>
      <c r="I120" s="232"/>
      <c r="J120" s="232"/>
      <c r="K120" s="232"/>
      <c r="L120" s="232"/>
      <c r="M120" s="234" t="s">
        <v>992</v>
      </c>
      <c r="N120" s="219" t="s">
        <v>982</v>
      </c>
      <c r="O120" s="35"/>
      <c r="P120" s="35"/>
      <c r="Q120" s="35"/>
      <c r="R120" s="35"/>
      <c r="S120" s="35"/>
      <c r="T120" s="35"/>
      <c r="U120" s="35"/>
      <c r="V120" s="35"/>
      <c r="W120" s="35"/>
      <c r="X120" s="35"/>
      <c r="Y120" s="35"/>
      <c r="Z120" s="35"/>
      <c r="AA120" s="35"/>
      <c r="AB120" s="35"/>
    </row>
    <row r="121">
      <c r="A121" s="25"/>
      <c r="B121" s="25"/>
      <c r="C121" s="25"/>
      <c r="D121" s="21" t="b">
        <v>1</v>
      </c>
      <c r="E121" s="220" t="s">
        <v>32</v>
      </c>
      <c r="F121" s="194" t="s">
        <v>906</v>
      </c>
      <c r="G121" s="212"/>
      <c r="H121" s="212" t="b">
        <f>ISBLANK(N121)</f>
        <v>0</v>
      </c>
      <c r="I121" s="214"/>
      <c r="J121" s="214"/>
      <c r="K121" s="214"/>
      <c r="L121" s="214"/>
      <c r="M121" s="198" t="s">
        <v>993</v>
      </c>
      <c r="N121" s="166" t="s">
        <v>994</v>
      </c>
      <c r="O121" s="25"/>
      <c r="P121" s="25"/>
      <c r="Q121" s="25"/>
      <c r="R121" s="25"/>
      <c r="S121" s="25"/>
      <c r="T121" s="25"/>
      <c r="U121" s="25"/>
      <c r="V121" s="25"/>
      <c r="W121" s="25"/>
      <c r="X121" s="25"/>
      <c r="Y121" s="25"/>
      <c r="Z121" s="25"/>
      <c r="AA121" s="25"/>
      <c r="AB121" s="25"/>
    </row>
    <row r="122">
      <c r="A122" s="25"/>
      <c r="B122" s="25"/>
      <c r="C122" s="25"/>
      <c r="D122" s="25"/>
      <c r="E122" s="214" t="s">
        <v>995</v>
      </c>
      <c r="F122" s="94" t="s">
        <v>922</v>
      </c>
      <c r="G122" s="212" t="b">
        <f t="shared" ref="G122:H122" si="37">ISBLANK(M122)</f>
        <v>0</v>
      </c>
      <c r="H122" s="212" t="b">
        <f t="shared" si="37"/>
        <v>0</v>
      </c>
      <c r="I122" s="214"/>
      <c r="J122" s="214"/>
      <c r="K122" s="214"/>
      <c r="L122" s="214"/>
      <c r="M122" s="198" t="s">
        <v>996</v>
      </c>
      <c r="N122" s="166" t="s">
        <v>997</v>
      </c>
      <c r="O122" s="25"/>
      <c r="P122" s="25"/>
      <c r="Q122" s="25"/>
      <c r="R122" s="25"/>
      <c r="S122" s="25"/>
      <c r="T122" s="25"/>
      <c r="U122" s="25"/>
      <c r="V122" s="25"/>
      <c r="W122" s="25"/>
      <c r="X122" s="25"/>
      <c r="Y122" s="25"/>
      <c r="Z122" s="25"/>
      <c r="AA122" s="25"/>
      <c r="AB122" s="25"/>
    </row>
    <row r="123">
      <c r="A123" s="25"/>
      <c r="B123" s="25"/>
      <c r="C123" s="25"/>
      <c r="D123" s="21" t="b">
        <v>0</v>
      </c>
      <c r="E123" s="214" t="s">
        <v>998</v>
      </c>
      <c r="F123" s="94" t="s">
        <v>906</v>
      </c>
      <c r="G123" s="212" t="b">
        <f t="shared" ref="G123:H123" si="38">ISBLANK(M123)</f>
        <v>0</v>
      </c>
      <c r="H123" s="212" t="b">
        <f t="shared" si="38"/>
        <v>0</v>
      </c>
      <c r="I123" s="214"/>
      <c r="J123" s="214"/>
      <c r="K123" s="214"/>
      <c r="L123" s="214"/>
      <c r="M123" s="198" t="s">
        <v>999</v>
      </c>
      <c r="N123" s="166" t="s">
        <v>1000</v>
      </c>
      <c r="O123" s="25"/>
      <c r="P123" s="25"/>
      <c r="Q123" s="25"/>
      <c r="R123" s="25"/>
      <c r="S123" s="25"/>
      <c r="T123" s="25"/>
      <c r="U123" s="25"/>
      <c r="V123" s="25"/>
      <c r="W123" s="25"/>
      <c r="X123" s="25"/>
      <c r="Y123" s="25"/>
      <c r="Z123" s="25"/>
      <c r="AA123" s="25"/>
      <c r="AB123" s="25"/>
    </row>
    <row r="124">
      <c r="A124" s="25"/>
      <c r="B124" s="25"/>
      <c r="C124" s="25"/>
      <c r="D124" s="21" t="b">
        <v>1</v>
      </c>
      <c r="E124" s="212" t="s">
        <v>1001</v>
      </c>
      <c r="F124" s="194" t="s">
        <v>830</v>
      </c>
      <c r="G124" s="212"/>
      <c r="H124" s="212" t="b">
        <f>ISBLANK(N124)</f>
        <v>0</v>
      </c>
      <c r="I124" s="214"/>
      <c r="J124" s="214"/>
      <c r="K124" s="214"/>
      <c r="L124" s="214"/>
      <c r="M124" s="198" t="s">
        <v>1002</v>
      </c>
      <c r="N124" s="166" t="s">
        <v>1003</v>
      </c>
      <c r="O124" s="25"/>
      <c r="P124" s="25"/>
      <c r="Q124" s="25"/>
      <c r="R124" s="25"/>
      <c r="S124" s="25"/>
      <c r="T124" s="25"/>
      <c r="U124" s="25"/>
      <c r="V124" s="25"/>
      <c r="W124" s="25"/>
      <c r="X124" s="25"/>
      <c r="Y124" s="25"/>
      <c r="Z124" s="25"/>
      <c r="AA124" s="25"/>
      <c r="AB124" s="25"/>
    </row>
    <row r="125">
      <c r="A125" s="221"/>
      <c r="B125" s="221"/>
      <c r="C125" s="221"/>
      <c r="D125" s="222" t="b">
        <v>1</v>
      </c>
      <c r="E125" s="225" t="s">
        <v>768</v>
      </c>
      <c r="F125" s="87" t="s">
        <v>811</v>
      </c>
      <c r="G125" s="223" t="b">
        <f t="shared" ref="G125:H125" si="39">ISBLANK(M125)</f>
        <v>0</v>
      </c>
      <c r="H125" s="223" t="b">
        <f t="shared" si="39"/>
        <v>0</v>
      </c>
      <c r="I125" s="225"/>
      <c r="J125" s="225"/>
      <c r="K125" s="225"/>
      <c r="L125" s="225"/>
      <c r="M125" s="199" t="s">
        <v>773</v>
      </c>
      <c r="N125" s="200" t="s">
        <v>774</v>
      </c>
      <c r="O125" s="221"/>
      <c r="P125" s="221"/>
      <c r="Q125" s="221"/>
      <c r="R125" s="221"/>
      <c r="S125" s="221"/>
      <c r="T125" s="221"/>
      <c r="U125" s="221"/>
      <c r="V125" s="221"/>
      <c r="W125" s="221"/>
      <c r="X125" s="221"/>
      <c r="Y125" s="221"/>
      <c r="Z125" s="221"/>
      <c r="AA125" s="221"/>
      <c r="AB125" s="221"/>
    </row>
    <row r="126">
      <c r="A126" s="25"/>
      <c r="B126" s="25"/>
      <c r="C126" s="25"/>
      <c r="D126" s="25"/>
      <c r="E126" s="214" t="s">
        <v>1004</v>
      </c>
      <c r="F126" s="94" t="s">
        <v>811</v>
      </c>
      <c r="G126" s="212" t="b">
        <f t="shared" ref="G126:H126" si="40">ISBLANK(M126)</f>
        <v>0</v>
      </c>
      <c r="H126" s="212" t="b">
        <f t="shared" si="40"/>
        <v>0</v>
      </c>
      <c r="I126" s="214"/>
      <c r="J126" s="214"/>
      <c r="K126" s="214"/>
      <c r="L126" s="214"/>
      <c r="M126" s="198" t="s">
        <v>1005</v>
      </c>
      <c r="N126" s="166" t="s">
        <v>1006</v>
      </c>
      <c r="O126" s="25"/>
      <c r="P126" s="25"/>
      <c r="Q126" s="25"/>
      <c r="R126" s="25"/>
      <c r="S126" s="25"/>
      <c r="T126" s="25"/>
      <c r="U126" s="25"/>
      <c r="V126" s="25"/>
      <c r="W126" s="25"/>
      <c r="X126" s="25"/>
      <c r="Y126" s="25"/>
      <c r="Z126" s="25"/>
      <c r="AA126" s="25"/>
      <c r="AB126" s="25"/>
    </row>
    <row r="127">
      <c r="A127" s="25"/>
      <c r="B127" s="25"/>
      <c r="C127" s="25"/>
      <c r="D127" s="21" t="b">
        <v>1</v>
      </c>
      <c r="E127" s="212" t="s">
        <v>1007</v>
      </c>
      <c r="F127" s="194" t="s">
        <v>811</v>
      </c>
      <c r="G127" s="212"/>
      <c r="H127" s="212" t="b">
        <f>ISBLANK(N127)</f>
        <v>0</v>
      </c>
      <c r="I127" s="212" t="s">
        <v>1008</v>
      </c>
      <c r="J127" s="212" t="s">
        <v>848</v>
      </c>
      <c r="K127" s="212" t="s">
        <v>837</v>
      </c>
      <c r="L127" s="212" t="s">
        <v>814</v>
      </c>
      <c r="M127" s="166" t="s">
        <v>389</v>
      </c>
      <c r="N127" s="166" t="s">
        <v>390</v>
      </c>
      <c r="O127" s="25"/>
      <c r="P127" s="25"/>
      <c r="Q127" s="25"/>
      <c r="R127" s="25"/>
      <c r="S127" s="25"/>
      <c r="T127" s="25"/>
      <c r="U127" s="25"/>
      <c r="V127" s="25"/>
      <c r="W127" s="25"/>
      <c r="X127" s="25"/>
      <c r="Y127" s="25"/>
      <c r="Z127" s="25"/>
      <c r="AA127" s="25"/>
      <c r="AB127" s="25"/>
    </row>
    <row r="128">
      <c r="A128" s="25"/>
      <c r="B128" s="25"/>
      <c r="C128" s="25"/>
      <c r="D128" s="21" t="b">
        <v>1</v>
      </c>
      <c r="E128" s="214" t="s">
        <v>1009</v>
      </c>
      <c r="F128" s="94" t="s">
        <v>922</v>
      </c>
      <c r="G128" s="212" t="b">
        <f t="shared" ref="G128:H128" si="41">ISBLANK(M128)</f>
        <v>0</v>
      </c>
      <c r="H128" s="212" t="b">
        <f t="shared" si="41"/>
        <v>0</v>
      </c>
      <c r="I128" s="214"/>
      <c r="J128" s="214"/>
      <c r="K128" s="214"/>
      <c r="L128" s="214"/>
      <c r="M128" s="198" t="s">
        <v>1010</v>
      </c>
      <c r="N128" s="166" t="s">
        <v>1011</v>
      </c>
      <c r="O128" s="25"/>
      <c r="P128" s="25"/>
      <c r="Q128" s="25"/>
      <c r="R128" s="25"/>
      <c r="S128" s="25"/>
      <c r="T128" s="25"/>
      <c r="U128" s="25"/>
      <c r="V128" s="25"/>
      <c r="W128" s="25"/>
      <c r="X128" s="25"/>
      <c r="Y128" s="25"/>
      <c r="Z128" s="25"/>
      <c r="AA128" s="25"/>
      <c r="AB128" s="25"/>
    </row>
    <row r="129">
      <c r="A129" s="25"/>
      <c r="B129" s="25"/>
      <c r="C129" s="25"/>
      <c r="D129" s="25"/>
      <c r="E129" s="212" t="s">
        <v>476</v>
      </c>
      <c r="F129" s="194" t="s">
        <v>830</v>
      </c>
      <c r="G129" s="212"/>
      <c r="H129" s="212" t="b">
        <f t="shared" ref="H129:H130" si="42">ISBLANK(N129)</f>
        <v>0</v>
      </c>
      <c r="I129" s="214"/>
      <c r="J129" s="214"/>
      <c r="K129" s="214"/>
      <c r="L129" s="214"/>
      <c r="M129" s="166" t="s">
        <v>1012</v>
      </c>
      <c r="N129" s="166" t="s">
        <v>1013</v>
      </c>
      <c r="O129" s="25"/>
      <c r="P129" s="25"/>
      <c r="Q129" s="25"/>
      <c r="R129" s="25"/>
      <c r="S129" s="25"/>
      <c r="T129" s="25"/>
      <c r="U129" s="25"/>
      <c r="V129" s="25"/>
      <c r="W129" s="25"/>
      <c r="X129" s="25"/>
      <c r="Y129" s="25"/>
      <c r="Z129" s="25"/>
      <c r="AA129" s="25"/>
      <c r="AB129" s="25"/>
    </row>
    <row r="130">
      <c r="A130" s="25"/>
      <c r="B130" s="25"/>
      <c r="C130" s="25"/>
      <c r="D130" s="25"/>
      <c r="E130" s="212" t="s">
        <v>1014</v>
      </c>
      <c r="F130" s="194" t="s">
        <v>830</v>
      </c>
      <c r="G130" s="212"/>
      <c r="H130" s="212" t="b">
        <f t="shared" si="42"/>
        <v>0</v>
      </c>
      <c r="I130" s="214"/>
      <c r="J130" s="214"/>
      <c r="K130" s="214"/>
      <c r="L130" s="214"/>
      <c r="M130" s="166" t="s">
        <v>1015</v>
      </c>
      <c r="N130" s="166" t="s">
        <v>386</v>
      </c>
      <c r="O130" s="25"/>
      <c r="P130" s="25"/>
      <c r="Q130" s="25"/>
      <c r="R130" s="25"/>
      <c r="S130" s="25"/>
      <c r="T130" s="25"/>
      <c r="U130" s="25"/>
      <c r="V130" s="25"/>
      <c r="W130" s="25"/>
      <c r="X130" s="25"/>
      <c r="Y130" s="25"/>
      <c r="Z130" s="25"/>
      <c r="AA130" s="25"/>
      <c r="AB130" s="25"/>
    </row>
    <row r="131">
      <c r="A131" s="25"/>
      <c r="B131" s="25"/>
      <c r="C131" s="25"/>
      <c r="D131" s="21" t="b">
        <v>1</v>
      </c>
      <c r="E131" s="212" t="s">
        <v>42</v>
      </c>
      <c r="F131" s="194" t="s">
        <v>830</v>
      </c>
      <c r="G131" s="212" t="b">
        <f t="shared" ref="G131:H131" si="43">ISBLANK(M131)</f>
        <v>0</v>
      </c>
      <c r="H131" s="212" t="b">
        <f t="shared" si="43"/>
        <v>1</v>
      </c>
      <c r="I131" s="214"/>
      <c r="J131" s="214"/>
      <c r="K131" s="214"/>
      <c r="L131" s="214"/>
      <c r="M131" s="198" t="s">
        <v>1016</v>
      </c>
      <c r="N131" s="216"/>
      <c r="O131" s="25"/>
      <c r="P131" s="25"/>
      <c r="Q131" s="25"/>
      <c r="R131" s="25"/>
      <c r="S131" s="25"/>
      <c r="T131" s="25"/>
      <c r="U131" s="25"/>
      <c r="V131" s="25"/>
      <c r="W131" s="25"/>
      <c r="X131" s="25"/>
      <c r="Y131" s="25"/>
      <c r="Z131" s="25"/>
      <c r="AA131" s="25"/>
      <c r="AB131" s="25"/>
    </row>
    <row r="132">
      <c r="A132" s="25"/>
      <c r="B132" s="25"/>
      <c r="C132" s="25"/>
      <c r="D132" s="25"/>
      <c r="E132" s="227" t="s">
        <v>149</v>
      </c>
      <c r="F132" s="194" t="s">
        <v>834</v>
      </c>
      <c r="G132" s="212"/>
      <c r="H132" s="212" t="b">
        <f>ISBLANK(N132)</f>
        <v>1</v>
      </c>
      <c r="I132" s="214"/>
      <c r="J132" s="214"/>
      <c r="K132" s="214"/>
      <c r="L132" s="214"/>
      <c r="M132" s="166" t="s">
        <v>1017</v>
      </c>
      <c r="N132" s="216"/>
      <c r="O132" s="25"/>
      <c r="P132" s="25"/>
      <c r="Q132" s="25"/>
      <c r="R132" s="25"/>
      <c r="S132" s="25"/>
      <c r="T132" s="25"/>
      <c r="U132" s="25"/>
      <c r="V132" s="25"/>
      <c r="W132" s="25"/>
      <c r="X132" s="25"/>
      <c r="Y132" s="25"/>
      <c r="Z132" s="25"/>
      <c r="AA132" s="25"/>
      <c r="AB132" s="25"/>
    </row>
    <row r="133">
      <c r="A133" s="25"/>
      <c r="B133" s="25"/>
      <c r="C133" s="25"/>
      <c r="D133" s="21" t="b">
        <v>1</v>
      </c>
      <c r="E133" s="227" t="s">
        <v>707</v>
      </c>
      <c r="F133" s="94" t="s">
        <v>922</v>
      </c>
      <c r="G133" s="21" t="b">
        <f t="shared" ref="G133:H133" si="44">ISBLANK(M133)</f>
        <v>0</v>
      </c>
      <c r="H133" s="21" t="b">
        <f t="shared" si="44"/>
        <v>0</v>
      </c>
      <c r="I133" s="25"/>
      <c r="J133" s="25"/>
      <c r="K133" s="25"/>
      <c r="L133" s="25"/>
      <c r="M133" s="166" t="s">
        <v>1018</v>
      </c>
      <c r="N133" s="24" t="s">
        <v>711</v>
      </c>
      <c r="O133" s="25"/>
      <c r="P133" s="25"/>
      <c r="Q133" s="25"/>
      <c r="R133" s="25"/>
      <c r="S133" s="25"/>
      <c r="T133" s="25"/>
      <c r="U133" s="25"/>
      <c r="V133" s="25"/>
      <c r="W133" s="25"/>
      <c r="X133" s="25"/>
      <c r="Y133" s="25"/>
      <c r="Z133" s="25"/>
      <c r="AA133" s="25"/>
      <c r="AB133" s="25"/>
    </row>
    <row r="134">
      <c r="A134" s="25"/>
      <c r="B134" s="25"/>
      <c r="C134" s="25"/>
      <c r="D134" s="21" t="b">
        <v>1</v>
      </c>
      <c r="E134" s="227" t="s">
        <v>28</v>
      </c>
      <c r="F134" s="113" t="s">
        <v>1019</v>
      </c>
      <c r="G134" s="21" t="b">
        <f t="shared" ref="G134:H134" si="45">ISBLANK(M134)</f>
        <v>0</v>
      </c>
      <c r="H134" s="21" t="b">
        <f t="shared" si="45"/>
        <v>0</v>
      </c>
      <c r="I134" s="25"/>
      <c r="J134" s="25"/>
      <c r="K134" s="25"/>
      <c r="L134" s="25"/>
      <c r="M134" s="166" t="s">
        <v>1020</v>
      </c>
      <c r="N134" s="24" t="s">
        <v>108</v>
      </c>
      <c r="O134" s="25"/>
      <c r="P134" s="25"/>
      <c r="Q134" s="25"/>
      <c r="R134" s="25"/>
      <c r="S134" s="25"/>
      <c r="T134" s="25"/>
      <c r="U134" s="25"/>
      <c r="V134" s="25"/>
      <c r="W134" s="25"/>
      <c r="X134" s="25"/>
      <c r="Y134" s="25"/>
      <c r="Z134" s="25"/>
      <c r="AA134" s="25"/>
      <c r="AB134" s="25"/>
    </row>
    <row r="135">
      <c r="A135" s="25"/>
      <c r="B135" s="25"/>
      <c r="C135" s="25"/>
      <c r="D135" s="21" t="b">
        <v>1</v>
      </c>
      <c r="E135" s="1" t="s">
        <v>250</v>
      </c>
      <c r="F135" s="113" t="s">
        <v>1021</v>
      </c>
      <c r="G135" s="21" t="b">
        <f t="shared" ref="G135:H135" si="46">ISBLANK(M135)</f>
        <v>0</v>
      </c>
      <c r="H135" s="21" t="b">
        <f t="shared" si="46"/>
        <v>0</v>
      </c>
      <c r="I135" s="25"/>
      <c r="J135" s="25"/>
      <c r="K135" s="25"/>
      <c r="L135" s="25"/>
      <c r="M135" s="166" t="s">
        <v>255</v>
      </c>
      <c r="N135" s="24" t="s">
        <v>256</v>
      </c>
      <c r="O135" s="25"/>
      <c r="P135" s="25"/>
      <c r="Q135" s="25"/>
      <c r="R135" s="25"/>
      <c r="S135" s="25"/>
      <c r="T135" s="25"/>
      <c r="U135" s="25"/>
      <c r="V135" s="25"/>
      <c r="W135" s="25"/>
      <c r="X135" s="25"/>
      <c r="Y135" s="25"/>
      <c r="Z135" s="25"/>
      <c r="AA135" s="25"/>
      <c r="AB135" s="25"/>
    </row>
    <row r="136">
      <c r="A136" s="25"/>
      <c r="B136" s="25"/>
      <c r="C136" s="25"/>
      <c r="D136" s="21" t="b">
        <v>1</v>
      </c>
      <c r="E136" s="212" t="s">
        <v>1022</v>
      </c>
      <c r="F136" s="194" t="s">
        <v>834</v>
      </c>
      <c r="G136" s="212"/>
      <c r="H136" s="212" t="b">
        <f t="shared" ref="H136:H137" si="47">ISBLANK(N136)</f>
        <v>0</v>
      </c>
      <c r="I136" s="214"/>
      <c r="J136" s="214"/>
      <c r="K136" s="214"/>
      <c r="L136" s="214"/>
      <c r="M136" s="166" t="s">
        <v>874</v>
      </c>
      <c r="N136" s="166" t="s">
        <v>75</v>
      </c>
      <c r="O136" s="25"/>
      <c r="P136" s="25"/>
      <c r="Q136" s="25"/>
      <c r="R136" s="25"/>
      <c r="S136" s="25"/>
      <c r="T136" s="25"/>
      <c r="U136" s="25"/>
      <c r="V136" s="25"/>
      <c r="W136" s="25"/>
      <c r="X136" s="25"/>
      <c r="Y136" s="25"/>
      <c r="Z136" s="25"/>
      <c r="AA136" s="25"/>
      <c r="AB136" s="25"/>
    </row>
    <row r="137">
      <c r="A137" s="235"/>
      <c r="B137" s="235"/>
      <c r="C137" s="235"/>
      <c r="D137" s="236" t="b">
        <v>1</v>
      </c>
      <c r="E137" s="237" t="s">
        <v>1023</v>
      </c>
      <c r="F137" s="238" t="s">
        <v>834</v>
      </c>
      <c r="G137" s="237"/>
      <c r="H137" s="237" t="b">
        <f t="shared" si="47"/>
        <v>0</v>
      </c>
      <c r="I137" s="239"/>
      <c r="J137" s="239"/>
      <c r="K137" s="239"/>
      <c r="L137" s="239"/>
      <c r="M137" s="240" t="s">
        <v>248</v>
      </c>
      <c r="N137" s="240" t="s">
        <v>1024</v>
      </c>
      <c r="O137" s="235"/>
      <c r="P137" s="235"/>
      <c r="Q137" s="235"/>
      <c r="R137" s="235"/>
      <c r="S137" s="235"/>
      <c r="T137" s="235"/>
      <c r="U137" s="235"/>
      <c r="V137" s="235"/>
      <c r="W137" s="235"/>
      <c r="X137" s="235"/>
      <c r="Y137" s="235"/>
      <c r="Z137" s="235"/>
      <c r="AA137" s="235"/>
      <c r="AB137" s="235"/>
    </row>
    <row r="138">
      <c r="A138" s="25"/>
      <c r="B138" s="25"/>
      <c r="C138" s="25"/>
      <c r="D138" s="21" t="b">
        <v>1</v>
      </c>
      <c r="E138" s="1" t="s">
        <v>27</v>
      </c>
      <c r="F138" s="194" t="s">
        <v>816</v>
      </c>
      <c r="G138" s="21" t="b">
        <f t="shared" ref="G138:H138" si="48">ISBLANK(M138)</f>
        <v>0</v>
      </c>
      <c r="H138" s="21" t="b">
        <f t="shared" si="48"/>
        <v>0</v>
      </c>
      <c r="I138" s="25"/>
      <c r="J138" s="25"/>
      <c r="K138" s="25"/>
      <c r="L138" s="25"/>
      <c r="M138" s="166" t="s">
        <v>1025</v>
      </c>
      <c r="N138" s="24" t="s">
        <v>1026</v>
      </c>
      <c r="O138" s="25"/>
      <c r="P138" s="25"/>
      <c r="Q138" s="25"/>
      <c r="R138" s="25"/>
      <c r="S138" s="25"/>
      <c r="T138" s="25"/>
      <c r="U138" s="25"/>
      <c r="V138" s="25"/>
      <c r="W138" s="25"/>
      <c r="X138" s="25"/>
      <c r="Y138" s="25"/>
      <c r="Z138" s="25"/>
      <c r="AA138" s="25"/>
      <c r="AB138" s="25"/>
    </row>
    <row r="139">
      <c r="A139" s="25"/>
      <c r="B139" s="25"/>
      <c r="C139" s="25"/>
      <c r="D139" s="21" t="b">
        <v>1</v>
      </c>
      <c r="E139" s="1" t="s">
        <v>29</v>
      </c>
      <c r="F139" s="194" t="s">
        <v>816</v>
      </c>
      <c r="G139" s="21" t="b">
        <f t="shared" ref="G139:H139" si="49">ISBLANK(M139)</f>
        <v>0</v>
      </c>
      <c r="H139" s="21" t="b">
        <f t="shared" si="49"/>
        <v>0</v>
      </c>
      <c r="I139" s="25"/>
      <c r="J139" s="25"/>
      <c r="K139" s="25"/>
      <c r="L139" s="25"/>
      <c r="M139" s="166" t="s">
        <v>1027</v>
      </c>
      <c r="N139" s="24" t="s">
        <v>1028</v>
      </c>
      <c r="O139" s="25"/>
      <c r="P139" s="25"/>
      <c r="Q139" s="25"/>
      <c r="R139" s="25"/>
      <c r="S139" s="25"/>
      <c r="T139" s="25"/>
      <c r="U139" s="25"/>
      <c r="V139" s="25"/>
      <c r="W139" s="25"/>
      <c r="X139" s="25"/>
      <c r="Y139" s="25"/>
      <c r="Z139" s="25"/>
      <c r="AA139" s="25"/>
      <c r="AB139" s="25"/>
    </row>
    <row r="140">
      <c r="A140" s="25"/>
      <c r="B140" s="25"/>
      <c r="C140" s="25"/>
      <c r="D140" s="21" t="b">
        <v>1</v>
      </c>
      <c r="E140" s="21" t="s">
        <v>30</v>
      </c>
      <c r="F140" s="194" t="s">
        <v>816</v>
      </c>
      <c r="G140" s="21" t="b">
        <f t="shared" ref="G140:H140" si="50">ISBLANK(M140)</f>
        <v>0</v>
      </c>
      <c r="H140" s="21" t="b">
        <f t="shared" si="50"/>
        <v>0</v>
      </c>
      <c r="I140" s="25"/>
      <c r="J140" s="25"/>
      <c r="K140" s="25"/>
      <c r="L140" s="25"/>
      <c r="M140" s="166" t="s">
        <v>127</v>
      </c>
      <c r="N140" s="24" t="s">
        <v>122</v>
      </c>
      <c r="O140" s="25"/>
      <c r="P140" s="25"/>
      <c r="Q140" s="25"/>
      <c r="R140" s="25"/>
      <c r="S140" s="25"/>
      <c r="T140" s="25"/>
      <c r="U140" s="25"/>
      <c r="V140" s="25"/>
      <c r="W140" s="25"/>
      <c r="X140" s="25"/>
      <c r="Y140" s="25"/>
      <c r="Z140" s="25"/>
      <c r="AA140" s="25"/>
      <c r="AB140" s="25"/>
    </row>
    <row r="141">
      <c r="A141" s="25"/>
      <c r="B141" s="25"/>
      <c r="C141" s="25"/>
      <c r="D141" s="21" t="b">
        <v>1</v>
      </c>
      <c r="E141" s="215" t="s">
        <v>36</v>
      </c>
      <c r="F141" s="194" t="s">
        <v>922</v>
      </c>
      <c r="G141" s="212"/>
      <c r="H141" s="212" t="b">
        <f>ISBLANK(N141)</f>
        <v>0</v>
      </c>
      <c r="I141" s="214"/>
      <c r="J141" s="214"/>
      <c r="K141" s="214"/>
      <c r="L141" s="214"/>
      <c r="M141" s="219" t="s">
        <v>396</v>
      </c>
      <c r="N141" s="166" t="s">
        <v>397</v>
      </c>
      <c r="O141" s="25"/>
      <c r="P141" s="25"/>
      <c r="Q141" s="25"/>
      <c r="R141" s="25"/>
      <c r="S141" s="25"/>
      <c r="T141" s="25"/>
      <c r="U141" s="25"/>
      <c r="V141" s="25"/>
      <c r="W141" s="25"/>
      <c r="X141" s="25"/>
      <c r="Y141" s="25"/>
      <c r="Z141" s="25"/>
      <c r="AA141" s="25"/>
      <c r="AB141" s="25"/>
    </row>
    <row r="142">
      <c r="A142" s="25"/>
      <c r="B142" s="25"/>
      <c r="C142" s="25"/>
      <c r="D142" s="21" t="b">
        <v>1</v>
      </c>
      <c r="E142" s="1" t="s">
        <v>35</v>
      </c>
      <c r="F142" s="194" t="s">
        <v>922</v>
      </c>
      <c r="G142" s="21" t="b">
        <f t="shared" ref="G142:H142" si="51">ISBLANK(M142)</f>
        <v>0</v>
      </c>
      <c r="H142" s="21" t="b">
        <f t="shared" si="51"/>
        <v>0</v>
      </c>
      <c r="I142" s="25"/>
      <c r="J142" s="25"/>
      <c r="K142" s="25"/>
      <c r="L142" s="25"/>
      <c r="M142" s="198" t="s">
        <v>393</v>
      </c>
      <c r="N142" s="24" t="s">
        <v>1029</v>
      </c>
      <c r="O142" s="25"/>
      <c r="P142" s="25"/>
      <c r="Q142" s="25"/>
      <c r="R142" s="25"/>
      <c r="S142" s="25"/>
      <c r="T142" s="25"/>
      <c r="U142" s="25"/>
      <c r="V142" s="25"/>
      <c r="W142" s="25"/>
      <c r="X142" s="25"/>
      <c r="Y142" s="25"/>
      <c r="Z142" s="25"/>
      <c r="AA142" s="25"/>
      <c r="AB142" s="25"/>
    </row>
    <row r="143">
      <c r="A143" s="25"/>
      <c r="B143" s="25"/>
      <c r="C143" s="25"/>
      <c r="D143" s="21" t="b">
        <v>1</v>
      </c>
      <c r="E143" s="220" t="s">
        <v>355</v>
      </c>
      <c r="F143" s="194" t="s">
        <v>816</v>
      </c>
      <c r="G143" s="212"/>
      <c r="H143" s="212" t="b">
        <f>ISBLANK(N143)</f>
        <v>0</v>
      </c>
      <c r="I143" s="214"/>
      <c r="J143" s="214"/>
      <c r="K143" s="214"/>
      <c r="L143" s="214"/>
      <c r="M143" s="166" t="s">
        <v>353</v>
      </c>
      <c r="N143" s="166" t="s">
        <v>354</v>
      </c>
      <c r="O143" s="25"/>
      <c r="P143" s="25"/>
      <c r="Q143" s="25"/>
      <c r="R143" s="25"/>
      <c r="S143" s="25"/>
      <c r="T143" s="25"/>
      <c r="U143" s="25"/>
      <c r="V143" s="25"/>
      <c r="W143" s="25"/>
      <c r="X143" s="25"/>
      <c r="Y143" s="25"/>
      <c r="Z143" s="25"/>
      <c r="AA143" s="25"/>
      <c r="AB143" s="25"/>
    </row>
    <row r="144">
      <c r="A144" s="25"/>
      <c r="B144" s="25"/>
      <c r="C144" s="25"/>
      <c r="D144" s="21" t="b">
        <v>1</v>
      </c>
      <c r="E144" s="1" t="s">
        <v>41</v>
      </c>
      <c r="F144" s="113" t="s">
        <v>933</v>
      </c>
      <c r="G144" s="21" t="b">
        <f t="shared" ref="G144:H144" si="52">ISBLANK(M144)</f>
        <v>0</v>
      </c>
      <c r="H144" s="21" t="b">
        <f t="shared" si="52"/>
        <v>0</v>
      </c>
      <c r="I144" s="25"/>
      <c r="J144" s="25"/>
      <c r="K144" s="25"/>
      <c r="L144" s="25"/>
      <c r="M144" s="166" t="s">
        <v>717</v>
      </c>
      <c r="N144" s="24" t="s">
        <v>718</v>
      </c>
      <c r="O144" s="25"/>
      <c r="P144" s="25"/>
      <c r="Q144" s="25"/>
      <c r="R144" s="25"/>
      <c r="S144" s="25"/>
      <c r="T144" s="25"/>
      <c r="U144" s="25"/>
      <c r="V144" s="25"/>
      <c r="W144" s="25"/>
      <c r="X144" s="25"/>
      <c r="Y144" s="25"/>
      <c r="Z144" s="25"/>
      <c r="AA144" s="25"/>
      <c r="AB144" s="25"/>
    </row>
    <row r="145">
      <c r="A145" s="25"/>
      <c r="B145" s="25"/>
      <c r="C145" s="25"/>
      <c r="D145" s="21" t="b">
        <v>1</v>
      </c>
      <c r="E145" s="1" t="s">
        <v>720</v>
      </c>
      <c r="F145" s="194" t="s">
        <v>922</v>
      </c>
      <c r="G145" s="21" t="b">
        <f t="shared" ref="G145:H145" si="53">ISBLANK(M145)</f>
        <v>0</v>
      </c>
      <c r="H145" s="21" t="b">
        <f t="shared" si="53"/>
        <v>0</v>
      </c>
      <c r="I145" s="25"/>
      <c r="J145" s="25"/>
      <c r="K145" s="25"/>
      <c r="L145" s="25"/>
      <c r="M145" s="166" t="s">
        <v>724</v>
      </c>
      <c r="N145" s="24" t="s">
        <v>725</v>
      </c>
      <c r="O145" s="25"/>
      <c r="P145" s="25"/>
      <c r="Q145" s="25"/>
      <c r="R145" s="25"/>
      <c r="S145" s="25"/>
      <c r="T145" s="25"/>
      <c r="U145" s="25"/>
      <c r="V145" s="25"/>
      <c r="W145" s="25"/>
      <c r="X145" s="25"/>
      <c r="Y145" s="25"/>
      <c r="Z145" s="25"/>
      <c r="AA145" s="25"/>
      <c r="AB145" s="25"/>
    </row>
    <row r="146">
      <c r="A146" s="25"/>
      <c r="B146" s="25"/>
      <c r="C146" s="25"/>
      <c r="D146" s="21" t="b">
        <v>1</v>
      </c>
      <c r="E146" s="212" t="s">
        <v>727</v>
      </c>
      <c r="F146" s="94" t="s">
        <v>830</v>
      </c>
      <c r="G146" s="212" t="b">
        <f t="shared" ref="G146:H146" si="54">ISBLANK(M146)</f>
        <v>0</v>
      </c>
      <c r="H146" s="212" t="b">
        <f t="shared" si="54"/>
        <v>0</v>
      </c>
      <c r="I146" s="214"/>
      <c r="J146" s="214"/>
      <c r="K146" s="214"/>
      <c r="L146" s="214"/>
      <c r="M146" s="198" t="s">
        <v>732</v>
      </c>
      <c r="N146" s="166" t="s">
        <v>739</v>
      </c>
      <c r="O146" s="25"/>
      <c r="P146" s="25"/>
      <c r="Q146" s="25"/>
      <c r="R146" s="25"/>
      <c r="S146" s="25"/>
      <c r="T146" s="25"/>
      <c r="U146" s="25"/>
      <c r="V146" s="25"/>
      <c r="W146" s="25"/>
      <c r="X146" s="25"/>
      <c r="Y146" s="25"/>
      <c r="Z146" s="25"/>
      <c r="AA146" s="25"/>
      <c r="AB146" s="25"/>
    </row>
    <row r="147">
      <c r="A147" s="25"/>
      <c r="B147" s="25"/>
      <c r="C147" s="25"/>
      <c r="D147" s="21" t="b">
        <v>1</v>
      </c>
      <c r="E147" s="214" t="s">
        <v>451</v>
      </c>
      <c r="F147" s="94" t="s">
        <v>933</v>
      </c>
      <c r="G147" s="212" t="b">
        <f t="shared" ref="G147:H147" si="55">ISBLANK(M147)</f>
        <v>0</v>
      </c>
      <c r="H147" s="212" t="b">
        <f t="shared" si="55"/>
        <v>0</v>
      </c>
      <c r="I147" s="214"/>
      <c r="J147" s="214"/>
      <c r="K147" s="214"/>
      <c r="L147" s="214"/>
      <c r="M147" s="198" t="s">
        <v>456</v>
      </c>
      <c r="N147" s="166" t="s">
        <v>457</v>
      </c>
      <c r="O147" s="25"/>
      <c r="P147" s="25"/>
      <c r="Q147" s="25"/>
      <c r="R147" s="25"/>
      <c r="S147" s="25"/>
      <c r="T147" s="25"/>
      <c r="U147" s="25"/>
      <c r="V147" s="25"/>
      <c r="W147" s="25"/>
      <c r="X147" s="25"/>
      <c r="Y147" s="25"/>
      <c r="Z147" s="25"/>
      <c r="AA147" s="25"/>
      <c r="AB147" s="25"/>
    </row>
    <row r="148">
      <c r="A148" s="25"/>
      <c r="B148" s="25"/>
      <c r="C148" s="25"/>
      <c r="D148" s="21" t="b">
        <v>1</v>
      </c>
      <c r="E148" s="1" t="s">
        <v>1030</v>
      </c>
      <c r="F148" s="194" t="s">
        <v>922</v>
      </c>
      <c r="G148" s="21" t="b">
        <f t="shared" ref="G148:H148" si="56">ISBLANK(M148)</f>
        <v>0</v>
      </c>
      <c r="H148" s="21" t="b">
        <f t="shared" si="56"/>
        <v>0</v>
      </c>
      <c r="I148" s="25"/>
      <c r="J148" s="25"/>
      <c r="K148" s="25"/>
      <c r="L148" s="25"/>
      <c r="M148" s="198" t="s">
        <v>1031</v>
      </c>
      <c r="N148" s="24" t="s">
        <v>1032</v>
      </c>
      <c r="O148" s="25"/>
      <c r="P148" s="25"/>
      <c r="Q148" s="25"/>
      <c r="R148" s="25"/>
      <c r="S148" s="25"/>
      <c r="T148" s="25"/>
      <c r="U148" s="25"/>
      <c r="V148" s="25"/>
      <c r="W148" s="25"/>
      <c r="X148" s="25"/>
      <c r="Y148" s="25"/>
      <c r="Z148" s="25"/>
      <c r="AA148" s="25"/>
      <c r="AB148" s="25"/>
    </row>
    <row r="149">
      <c r="A149" s="25"/>
      <c r="B149" s="25"/>
      <c r="C149" s="25"/>
      <c r="D149" s="21" t="b">
        <v>1</v>
      </c>
      <c r="E149" s="1" t="s">
        <v>1033</v>
      </c>
      <c r="F149" s="194" t="s">
        <v>922</v>
      </c>
      <c r="G149" s="21" t="b">
        <f t="shared" ref="G149:H149" si="57">ISBLANK(M149)</f>
        <v>0</v>
      </c>
      <c r="H149" s="21" t="b">
        <f t="shared" si="57"/>
        <v>0</v>
      </c>
      <c r="I149" s="25"/>
      <c r="J149" s="25"/>
      <c r="K149" s="25"/>
      <c r="L149" s="25"/>
      <c r="M149" s="198" t="s">
        <v>1034</v>
      </c>
      <c r="N149" s="24" t="s">
        <v>1035</v>
      </c>
      <c r="O149" s="25"/>
      <c r="P149" s="25"/>
      <c r="Q149" s="25"/>
      <c r="R149" s="25"/>
      <c r="S149" s="25"/>
      <c r="T149" s="25"/>
      <c r="U149" s="25"/>
      <c r="V149" s="25"/>
      <c r="W149" s="25"/>
      <c r="X149" s="25"/>
      <c r="Y149" s="25"/>
      <c r="Z149" s="25"/>
      <c r="AA149" s="25"/>
      <c r="AB149" s="25"/>
    </row>
    <row r="150">
      <c r="A150" s="25"/>
      <c r="B150" s="25"/>
      <c r="C150" s="25"/>
      <c r="D150" s="21" t="b">
        <v>1</v>
      </c>
      <c r="E150" s="1" t="s">
        <v>1036</v>
      </c>
      <c r="F150" s="113" t="s">
        <v>933</v>
      </c>
      <c r="G150" s="21" t="b">
        <f t="shared" ref="G150:H150" si="58">ISBLANK(M150)</f>
        <v>0</v>
      </c>
      <c r="H150" s="21" t="b">
        <f t="shared" si="58"/>
        <v>0</v>
      </c>
      <c r="I150" s="25"/>
      <c r="J150" s="25"/>
      <c r="K150" s="25"/>
      <c r="L150" s="25"/>
      <c r="M150" s="198" t="s">
        <v>1037</v>
      </c>
      <c r="N150" s="24" t="s">
        <v>1038</v>
      </c>
      <c r="O150" s="25"/>
      <c r="P150" s="25"/>
      <c r="Q150" s="25"/>
      <c r="R150" s="25"/>
      <c r="S150" s="25"/>
      <c r="T150" s="25"/>
      <c r="U150" s="25"/>
      <c r="V150" s="25"/>
      <c r="W150" s="25"/>
      <c r="X150" s="25"/>
      <c r="Y150" s="25"/>
      <c r="Z150" s="25"/>
      <c r="AA150" s="25"/>
      <c r="AB150" s="25"/>
    </row>
    <row r="151">
      <c r="A151" s="25"/>
      <c r="B151" s="25"/>
      <c r="C151" s="25"/>
      <c r="D151" s="21" t="b">
        <v>1</v>
      </c>
      <c r="E151" s="215" t="s">
        <v>762</v>
      </c>
      <c r="F151" s="194" t="s">
        <v>830</v>
      </c>
      <c r="G151" s="212" t="b">
        <f t="shared" ref="G151:H151" si="59">ISBLANK(M151)</f>
        <v>0</v>
      </c>
      <c r="H151" s="212" t="b">
        <f t="shared" si="59"/>
        <v>0</v>
      </c>
      <c r="I151" s="214"/>
      <c r="J151" s="214"/>
      <c r="K151" s="214"/>
      <c r="L151" s="214"/>
      <c r="M151" s="198" t="s">
        <v>1039</v>
      </c>
      <c r="N151" s="166" t="s">
        <v>1040</v>
      </c>
      <c r="O151" s="25"/>
      <c r="P151" s="25"/>
      <c r="Q151" s="25"/>
      <c r="R151" s="25"/>
      <c r="S151" s="25"/>
      <c r="T151" s="25"/>
      <c r="U151" s="25"/>
      <c r="V151" s="25"/>
      <c r="W151" s="25"/>
      <c r="X151" s="25"/>
      <c r="Y151" s="25"/>
      <c r="Z151" s="25"/>
      <c r="AA151" s="25"/>
      <c r="AB151" s="25"/>
    </row>
    <row r="152">
      <c r="A152" s="25"/>
      <c r="B152" s="25"/>
      <c r="C152" s="25"/>
      <c r="D152" s="21" t="b">
        <v>1</v>
      </c>
      <c r="E152" s="1" t="s">
        <v>752</v>
      </c>
      <c r="F152" s="194" t="s">
        <v>922</v>
      </c>
      <c r="G152" s="21" t="b">
        <f t="shared" ref="G152:H152" si="60">ISBLANK(M152)</f>
        <v>0</v>
      </c>
      <c r="H152" s="21" t="b">
        <f t="shared" si="60"/>
        <v>0</v>
      </c>
      <c r="I152" s="25"/>
      <c r="J152" s="25"/>
      <c r="K152" s="25"/>
      <c r="L152" s="25"/>
      <c r="M152" s="198" t="s">
        <v>1041</v>
      </c>
      <c r="N152" s="24" t="s">
        <v>758</v>
      </c>
      <c r="O152" s="25"/>
      <c r="P152" s="25"/>
      <c r="Q152" s="25"/>
      <c r="R152" s="25"/>
      <c r="S152" s="25"/>
      <c r="T152" s="25"/>
      <c r="U152" s="25"/>
      <c r="V152" s="25"/>
      <c r="W152" s="25"/>
      <c r="X152" s="25"/>
      <c r="Y152" s="25"/>
      <c r="Z152" s="25"/>
      <c r="AA152" s="25"/>
      <c r="AB152" s="25"/>
    </row>
    <row r="153">
      <c r="A153" s="25"/>
      <c r="B153" s="25"/>
      <c r="C153" s="25"/>
      <c r="D153" s="21" t="b">
        <v>1</v>
      </c>
      <c r="E153" s="214" t="s">
        <v>583</v>
      </c>
      <c r="F153" s="94" t="s">
        <v>830</v>
      </c>
      <c r="G153" s="212" t="b">
        <f t="shared" ref="G153:H153" si="61">ISBLANK(M153)</f>
        <v>0</v>
      </c>
      <c r="H153" s="212" t="b">
        <f t="shared" si="61"/>
        <v>0</v>
      </c>
      <c r="I153" s="214"/>
      <c r="J153" s="214"/>
      <c r="K153" s="214"/>
      <c r="L153" s="214"/>
      <c r="M153" s="198" t="s">
        <v>587</v>
      </c>
      <c r="N153" s="166" t="s">
        <v>588</v>
      </c>
      <c r="O153" s="25"/>
      <c r="P153" s="25"/>
      <c r="Q153" s="25"/>
      <c r="R153" s="25"/>
      <c r="S153" s="25"/>
      <c r="T153" s="25"/>
      <c r="U153" s="25"/>
      <c r="V153" s="25"/>
      <c r="W153" s="25"/>
      <c r="X153" s="25"/>
      <c r="Y153" s="25"/>
      <c r="Z153" s="25"/>
      <c r="AA153" s="25"/>
      <c r="AB153" s="25"/>
    </row>
    <row r="154">
      <c r="A154" s="25"/>
      <c r="B154" s="25"/>
      <c r="C154" s="25"/>
      <c r="D154" s="25"/>
      <c r="E154" s="4" t="s">
        <v>1042</v>
      </c>
      <c r="F154" s="241"/>
      <c r="G154" s="21" t="b">
        <f t="shared" ref="G154:H154" si="62">ISBLANK(M154)</f>
        <v>1</v>
      </c>
      <c r="H154" s="21" t="b">
        <f t="shared" si="62"/>
        <v>1</v>
      </c>
      <c r="I154" s="25"/>
      <c r="J154" s="25"/>
      <c r="K154" s="25"/>
      <c r="L154" s="25"/>
      <c r="M154" s="16"/>
      <c r="N154" s="16"/>
      <c r="O154" s="25"/>
      <c r="P154" s="25"/>
      <c r="Q154" s="25"/>
      <c r="R154" s="25"/>
      <c r="S154" s="25"/>
      <c r="T154" s="25"/>
      <c r="U154" s="25"/>
      <c r="V154" s="25"/>
      <c r="W154" s="25"/>
      <c r="X154" s="25"/>
      <c r="Y154" s="25"/>
      <c r="Z154" s="25"/>
      <c r="AA154" s="25"/>
      <c r="AB154" s="25"/>
    </row>
    <row r="155">
      <c r="A155" s="25"/>
      <c r="B155" s="25"/>
      <c r="C155" s="25"/>
      <c r="D155" s="25"/>
      <c r="E155" s="4" t="s">
        <v>1043</v>
      </c>
      <c r="F155" s="241"/>
      <c r="G155" s="21" t="b">
        <f t="shared" ref="G155:H155" si="63">ISBLANK(M155)</f>
        <v>1</v>
      </c>
      <c r="H155" s="21" t="b">
        <f t="shared" si="63"/>
        <v>0</v>
      </c>
      <c r="I155" s="25"/>
      <c r="J155" s="25"/>
      <c r="K155" s="25"/>
      <c r="L155" s="25"/>
      <c r="M155" s="16"/>
      <c r="N155" s="24" t="s">
        <v>1044</v>
      </c>
      <c r="O155" s="25"/>
      <c r="P155" s="25"/>
      <c r="Q155" s="25"/>
      <c r="R155" s="25"/>
      <c r="S155" s="25"/>
      <c r="T155" s="25"/>
      <c r="U155" s="25"/>
      <c r="V155" s="25"/>
      <c r="W155" s="25"/>
      <c r="X155" s="25"/>
      <c r="Y155" s="25"/>
      <c r="Z155" s="25"/>
      <c r="AA155" s="25"/>
      <c r="AB155" s="25"/>
    </row>
    <row r="156">
      <c r="A156" s="25"/>
      <c r="B156" s="25"/>
      <c r="C156" s="25"/>
      <c r="D156" s="25"/>
      <c r="E156" s="4" t="s">
        <v>213</v>
      </c>
      <c r="F156" s="241"/>
      <c r="G156" s="21" t="b">
        <f t="shared" ref="G156:H156" si="64">ISBLANK(M156)</f>
        <v>1</v>
      </c>
      <c r="H156" s="21" t="b">
        <f t="shared" si="64"/>
        <v>0</v>
      </c>
      <c r="I156" s="25"/>
      <c r="J156" s="25"/>
      <c r="K156" s="25"/>
      <c r="L156" s="25"/>
      <c r="M156" s="16"/>
      <c r="N156" s="24" t="s">
        <v>1045</v>
      </c>
      <c r="O156" s="25"/>
      <c r="P156" s="25"/>
      <c r="Q156" s="25"/>
      <c r="R156" s="25"/>
      <c r="S156" s="25"/>
      <c r="T156" s="25"/>
      <c r="U156" s="25"/>
      <c r="V156" s="25"/>
      <c r="W156" s="25"/>
      <c r="X156" s="25"/>
      <c r="Y156" s="25"/>
      <c r="Z156" s="25"/>
      <c r="AA156" s="25"/>
      <c r="AB156" s="25"/>
    </row>
    <row r="157">
      <c r="A157" s="25"/>
      <c r="B157" s="25"/>
      <c r="C157" s="25"/>
      <c r="D157" s="25"/>
      <c r="E157" s="21" t="s">
        <v>1046</v>
      </c>
      <c r="F157" s="241"/>
      <c r="G157" s="21" t="b">
        <f t="shared" ref="G157:H157" si="65">ISBLANK(M157)</f>
        <v>1</v>
      </c>
      <c r="H157" s="21" t="b">
        <f t="shared" si="65"/>
        <v>0</v>
      </c>
      <c r="I157" s="25"/>
      <c r="J157" s="25"/>
      <c r="K157" s="25"/>
      <c r="L157" s="25"/>
      <c r="M157" s="16"/>
      <c r="N157" s="24" t="s">
        <v>1047</v>
      </c>
      <c r="O157" s="25"/>
      <c r="P157" s="25"/>
      <c r="Q157" s="25"/>
      <c r="R157" s="25"/>
      <c r="S157" s="25"/>
      <c r="T157" s="25"/>
      <c r="U157" s="25"/>
      <c r="V157" s="25"/>
      <c r="W157" s="25"/>
      <c r="X157" s="25"/>
      <c r="Y157" s="25"/>
      <c r="Z157" s="25"/>
      <c r="AA157" s="25"/>
      <c r="AB157" s="25"/>
    </row>
    <row r="158">
      <c r="A158" s="25"/>
      <c r="B158" s="25"/>
      <c r="C158" s="25"/>
      <c r="D158" s="25"/>
      <c r="E158" s="21" t="s">
        <v>1048</v>
      </c>
      <c r="F158" s="241"/>
      <c r="G158" s="21" t="b">
        <f t="shared" ref="G158:H158" si="66">ISBLANK(M158)</f>
        <v>1</v>
      </c>
      <c r="H158" s="21" t="b">
        <f t="shared" si="66"/>
        <v>0</v>
      </c>
      <c r="I158" s="25"/>
      <c r="J158" s="25"/>
      <c r="K158" s="25"/>
      <c r="L158" s="25"/>
      <c r="M158" s="16"/>
      <c r="N158" s="24" t="s">
        <v>1049</v>
      </c>
      <c r="O158" s="25"/>
      <c r="P158" s="25"/>
      <c r="Q158" s="25"/>
      <c r="R158" s="25"/>
      <c r="S158" s="25"/>
      <c r="T158" s="25"/>
      <c r="U158" s="25"/>
      <c r="V158" s="25"/>
      <c r="W158" s="25"/>
      <c r="X158" s="25"/>
      <c r="Y158" s="25"/>
      <c r="Z158" s="25"/>
      <c r="AA158" s="25"/>
      <c r="AB158" s="25"/>
    </row>
    <row r="159">
      <c r="A159" s="25"/>
      <c r="B159" s="25"/>
      <c r="C159" s="25"/>
      <c r="D159" s="25"/>
      <c r="E159" s="21" t="s">
        <v>1050</v>
      </c>
      <c r="F159" s="241"/>
      <c r="G159" s="21" t="b">
        <f t="shared" ref="G159:H159" si="67">ISBLANK(M159)</f>
        <v>1</v>
      </c>
      <c r="H159" s="21" t="b">
        <f t="shared" si="67"/>
        <v>0</v>
      </c>
      <c r="I159" s="25"/>
      <c r="J159" s="25"/>
      <c r="K159" s="25"/>
      <c r="L159" s="25"/>
      <c r="M159" s="16"/>
      <c r="N159" s="24" t="s">
        <v>1051</v>
      </c>
      <c r="O159" s="25"/>
      <c r="P159" s="25"/>
      <c r="Q159" s="25"/>
      <c r="R159" s="25"/>
      <c r="S159" s="25"/>
      <c r="T159" s="25"/>
      <c r="U159" s="25"/>
      <c r="V159" s="25"/>
      <c r="W159" s="25"/>
      <c r="X159" s="25"/>
      <c r="Y159" s="25"/>
      <c r="Z159" s="25"/>
      <c r="AA159" s="25"/>
      <c r="AB159" s="25"/>
    </row>
    <row r="160">
      <c r="A160" s="25"/>
      <c r="B160" s="25"/>
      <c r="C160" s="25"/>
      <c r="D160" s="25"/>
      <c r="E160" s="4" t="s">
        <v>367</v>
      </c>
      <c r="F160" s="241"/>
      <c r="G160" s="21" t="b">
        <f t="shared" ref="G160:H160" si="68">ISBLANK(M160)</f>
        <v>0</v>
      </c>
      <c r="H160" s="21" t="b">
        <f t="shared" si="68"/>
        <v>0</v>
      </c>
      <c r="I160" s="25"/>
      <c r="J160" s="25"/>
      <c r="K160" s="25"/>
      <c r="L160" s="25"/>
      <c r="M160" s="147" t="s">
        <v>371</v>
      </c>
      <c r="N160" s="24" t="s">
        <v>372</v>
      </c>
      <c r="O160" s="25"/>
      <c r="P160" s="25"/>
      <c r="Q160" s="25"/>
      <c r="R160" s="25"/>
      <c r="S160" s="25"/>
      <c r="T160" s="25"/>
      <c r="U160" s="25"/>
      <c r="V160" s="25"/>
      <c r="W160" s="25"/>
      <c r="X160" s="25"/>
      <c r="Y160" s="25"/>
      <c r="Z160" s="25"/>
      <c r="AA160" s="25"/>
      <c r="AB160" s="25"/>
    </row>
    <row r="161">
      <c r="A161" s="25"/>
      <c r="B161" s="25"/>
      <c r="C161" s="25"/>
      <c r="D161" s="25"/>
      <c r="E161" s="21" t="s">
        <v>1052</v>
      </c>
      <c r="F161" s="241"/>
      <c r="G161" s="21" t="b">
        <f t="shared" ref="G161:H161" si="69">ISBLANK(M161)</f>
        <v>0</v>
      </c>
      <c r="H161" s="21" t="b">
        <f t="shared" si="69"/>
        <v>0</v>
      </c>
      <c r="I161" s="25"/>
      <c r="J161" s="25"/>
      <c r="K161" s="25"/>
      <c r="L161" s="25"/>
      <c r="M161" s="65" t="s">
        <v>87</v>
      </c>
      <c r="N161" s="24" t="s">
        <v>80</v>
      </c>
      <c r="O161" s="25"/>
      <c r="P161" s="25"/>
      <c r="Q161" s="25"/>
      <c r="R161" s="25"/>
      <c r="S161" s="25"/>
      <c r="T161" s="25"/>
      <c r="U161" s="25"/>
      <c r="V161" s="25"/>
      <c r="W161" s="25"/>
      <c r="X161" s="25"/>
      <c r="Y161" s="25"/>
      <c r="Z161" s="25"/>
      <c r="AA161" s="25"/>
      <c r="AB161" s="25"/>
    </row>
    <row r="162">
      <c r="A162" s="25"/>
      <c r="B162" s="25"/>
      <c r="C162" s="25"/>
      <c r="D162" s="25"/>
      <c r="E162" s="21" t="s">
        <v>1053</v>
      </c>
      <c r="F162" s="241"/>
      <c r="G162" s="21" t="b">
        <f t="shared" ref="G162:H162" si="70">ISBLANK(M162)</f>
        <v>0</v>
      </c>
      <c r="H162" s="21" t="b">
        <f t="shared" si="70"/>
        <v>0</v>
      </c>
      <c r="I162" s="25"/>
      <c r="J162" s="25"/>
      <c r="K162" s="25"/>
      <c r="L162" s="25"/>
      <c r="M162" s="24" t="s">
        <v>803</v>
      </c>
      <c r="N162" s="24" t="s">
        <v>804</v>
      </c>
      <c r="O162" s="25"/>
      <c r="P162" s="25"/>
      <c r="Q162" s="25"/>
      <c r="R162" s="25"/>
      <c r="S162" s="25"/>
      <c r="T162" s="25"/>
      <c r="U162" s="25"/>
      <c r="V162" s="25"/>
      <c r="W162" s="25"/>
      <c r="X162" s="25"/>
      <c r="Y162" s="25"/>
      <c r="Z162" s="25"/>
      <c r="AA162" s="25"/>
      <c r="AB162" s="25"/>
    </row>
    <row r="163">
      <c r="A163" s="25"/>
      <c r="B163" s="25"/>
      <c r="C163" s="25"/>
      <c r="D163" s="25"/>
      <c r="E163" s="21" t="s">
        <v>1054</v>
      </c>
      <c r="F163" s="241"/>
      <c r="G163" s="21" t="b">
        <f t="shared" ref="G163:H163" si="71">ISBLANK(M163)</f>
        <v>0</v>
      </c>
      <c r="H163" s="21" t="b">
        <f t="shared" si="71"/>
        <v>0</v>
      </c>
      <c r="I163" s="25"/>
      <c r="J163" s="25"/>
      <c r="K163" s="25"/>
      <c r="L163" s="25"/>
      <c r="M163" s="24" t="s">
        <v>795</v>
      </c>
      <c r="N163" s="24" t="s">
        <v>796</v>
      </c>
      <c r="O163" s="25"/>
      <c r="P163" s="25"/>
      <c r="Q163" s="25"/>
      <c r="R163" s="25"/>
      <c r="S163" s="25"/>
      <c r="T163" s="25"/>
      <c r="U163" s="25"/>
      <c r="V163" s="25"/>
      <c r="W163" s="25"/>
      <c r="X163" s="25"/>
      <c r="Y163" s="25"/>
      <c r="Z163" s="25"/>
      <c r="AA163" s="25"/>
      <c r="AB163" s="25"/>
    </row>
    <row r="164">
      <c r="A164" s="25"/>
      <c r="B164" s="25"/>
      <c r="C164" s="25"/>
      <c r="D164" s="25"/>
      <c r="E164" s="4" t="s">
        <v>798</v>
      </c>
      <c r="F164" s="241"/>
      <c r="G164" s="21" t="b">
        <f t="shared" ref="G164:H164" si="72">ISBLANK(M164)</f>
        <v>0</v>
      </c>
      <c r="H164" s="21" t="b">
        <f t="shared" si="72"/>
        <v>0</v>
      </c>
      <c r="I164" s="25"/>
      <c r="J164" s="25"/>
      <c r="K164" s="25"/>
      <c r="L164" s="25"/>
      <c r="M164" s="24" t="s">
        <v>803</v>
      </c>
      <c r="N164" s="24" t="s">
        <v>1055</v>
      </c>
      <c r="O164" s="25"/>
      <c r="P164" s="25"/>
      <c r="Q164" s="25"/>
      <c r="R164" s="25"/>
      <c r="S164" s="25"/>
      <c r="T164" s="25"/>
      <c r="U164" s="25"/>
      <c r="V164" s="25"/>
      <c r="W164" s="25"/>
      <c r="X164" s="25"/>
      <c r="Y164" s="25"/>
      <c r="Z164" s="25"/>
      <c r="AA164" s="25"/>
      <c r="AB164" s="25"/>
    </row>
    <row r="165">
      <c r="A165" s="25"/>
      <c r="B165" s="25"/>
      <c r="C165" s="25"/>
      <c r="D165" s="25"/>
      <c r="E165" s="4" t="s">
        <v>791</v>
      </c>
      <c r="F165" s="241"/>
      <c r="G165" s="21" t="b">
        <f t="shared" ref="G165:H165" si="73">ISBLANK(M165)</f>
        <v>0</v>
      </c>
      <c r="H165" s="21" t="b">
        <f t="shared" si="73"/>
        <v>0</v>
      </c>
      <c r="I165" s="25"/>
      <c r="J165" s="25"/>
      <c r="K165" s="25"/>
      <c r="L165" s="25"/>
      <c r="M165" s="66" t="s">
        <v>795</v>
      </c>
      <c r="N165" s="24" t="s">
        <v>1056</v>
      </c>
      <c r="O165" s="25"/>
      <c r="P165" s="25"/>
      <c r="Q165" s="25"/>
      <c r="R165" s="25"/>
      <c r="S165" s="25"/>
      <c r="T165" s="25"/>
      <c r="U165" s="25"/>
      <c r="V165" s="25"/>
      <c r="W165" s="25"/>
      <c r="X165" s="25"/>
      <c r="Y165" s="25"/>
      <c r="Z165" s="25"/>
      <c r="AA165" s="25"/>
      <c r="AB165" s="25"/>
    </row>
    <row r="166">
      <c r="A166" s="25"/>
      <c r="B166" s="25"/>
      <c r="C166" s="25"/>
      <c r="D166" s="25"/>
      <c r="E166" s="4" t="s">
        <v>76</v>
      </c>
      <c r="F166" s="241"/>
      <c r="G166" s="21" t="b">
        <f t="shared" ref="G166:H166" si="74">ISBLANK(M166)</f>
        <v>0</v>
      </c>
      <c r="H166" s="21" t="b">
        <f t="shared" si="74"/>
        <v>1</v>
      </c>
      <c r="I166" s="25"/>
      <c r="J166" s="25"/>
      <c r="K166" s="25"/>
      <c r="L166" s="25"/>
      <c r="M166" s="65" t="s">
        <v>79</v>
      </c>
      <c r="N166" s="16"/>
      <c r="O166" s="25"/>
      <c r="P166" s="25"/>
      <c r="Q166" s="25"/>
      <c r="R166" s="25"/>
      <c r="S166" s="25"/>
      <c r="T166" s="25"/>
      <c r="U166" s="25"/>
      <c r="V166" s="25"/>
      <c r="W166" s="25"/>
      <c r="X166" s="25"/>
      <c r="Y166" s="25"/>
      <c r="Z166" s="25"/>
      <c r="AA166" s="25"/>
      <c r="AB166" s="25"/>
    </row>
    <row r="167">
      <c r="A167" s="25"/>
      <c r="B167" s="25"/>
      <c r="C167" s="25"/>
      <c r="D167" s="25"/>
      <c r="E167" s="4" t="s">
        <v>495</v>
      </c>
      <c r="F167" s="241"/>
      <c r="G167" s="21" t="b">
        <f t="shared" ref="G167:H167" si="75">ISBLANK(M167)</f>
        <v>0</v>
      </c>
      <c r="H167" s="21" t="b">
        <f t="shared" si="75"/>
        <v>0</v>
      </c>
      <c r="I167" s="25"/>
      <c r="J167" s="25"/>
      <c r="K167" s="25"/>
      <c r="L167" s="25"/>
      <c r="M167" s="24" t="s">
        <v>499</v>
      </c>
      <c r="N167" s="166" t="s">
        <v>503</v>
      </c>
      <c r="O167" s="25"/>
      <c r="P167" s="25"/>
      <c r="Q167" s="25"/>
      <c r="R167" s="25"/>
      <c r="S167" s="25"/>
      <c r="T167" s="25"/>
      <c r="U167" s="25"/>
      <c r="V167" s="25"/>
      <c r="W167" s="25"/>
      <c r="X167" s="25"/>
      <c r="Y167" s="25"/>
      <c r="Z167" s="25"/>
      <c r="AA167" s="25"/>
      <c r="AB167" s="25"/>
    </row>
    <row r="168">
      <c r="A168" s="25"/>
      <c r="B168" s="25"/>
      <c r="C168" s="25"/>
      <c r="D168" s="25"/>
      <c r="E168" s="4" t="s">
        <v>648</v>
      </c>
      <c r="F168" s="241"/>
      <c r="G168" s="21" t="b">
        <f t="shared" ref="G168:H168" si="76">ISBLANK(M168)</f>
        <v>0</v>
      </c>
      <c r="H168" s="21" t="b">
        <f t="shared" si="76"/>
        <v>0</v>
      </c>
      <c r="I168" s="25"/>
      <c r="J168" s="25"/>
      <c r="K168" s="25"/>
      <c r="L168" s="25"/>
      <c r="M168" s="24" t="s">
        <v>516</v>
      </c>
      <c r="N168" s="166" t="s">
        <v>651</v>
      </c>
      <c r="O168" s="25"/>
      <c r="P168" s="25"/>
      <c r="Q168" s="25"/>
      <c r="R168" s="25"/>
      <c r="S168" s="25"/>
      <c r="T168" s="25"/>
      <c r="U168" s="25"/>
      <c r="V168" s="25"/>
      <c r="W168" s="25"/>
      <c r="X168" s="25"/>
      <c r="Y168" s="25"/>
      <c r="Z168" s="25"/>
      <c r="AA168" s="25"/>
      <c r="AB168" s="25"/>
    </row>
    <row r="169">
      <c r="A169" s="25"/>
      <c r="B169" s="25"/>
      <c r="C169" s="25"/>
      <c r="D169" s="25"/>
      <c r="E169" s="25"/>
      <c r="F169" s="241"/>
      <c r="G169" s="21" t="b">
        <f t="shared" ref="G169:H169" si="77">ISBLANK(M169)</f>
        <v>1</v>
      </c>
      <c r="H169" s="21" t="b">
        <f t="shared" si="77"/>
        <v>1</v>
      </c>
      <c r="I169" s="25"/>
      <c r="J169" s="25"/>
      <c r="K169" s="25"/>
      <c r="L169" s="25"/>
      <c r="M169" s="16"/>
      <c r="N169" s="16"/>
      <c r="O169" s="25"/>
      <c r="P169" s="25"/>
      <c r="Q169" s="25"/>
      <c r="R169" s="25"/>
      <c r="S169" s="25"/>
      <c r="T169" s="25"/>
      <c r="U169" s="25"/>
      <c r="V169" s="25"/>
      <c r="W169" s="25"/>
      <c r="X169" s="25"/>
      <c r="Y169" s="25"/>
      <c r="Z169" s="25"/>
      <c r="AA169" s="25"/>
      <c r="AB169" s="25"/>
    </row>
    <row r="170">
      <c r="A170" s="25"/>
      <c r="B170" s="25"/>
      <c r="C170" s="25"/>
      <c r="D170" s="25"/>
      <c r="E170" s="25"/>
      <c r="F170" s="241"/>
      <c r="G170" s="21" t="b">
        <f t="shared" ref="G170:H170" si="78">ISBLANK(M170)</f>
        <v>1</v>
      </c>
      <c r="H170" s="21" t="b">
        <f t="shared" si="78"/>
        <v>1</v>
      </c>
      <c r="I170" s="25"/>
      <c r="J170" s="25"/>
      <c r="K170" s="25"/>
      <c r="L170" s="25"/>
      <c r="M170" s="16"/>
      <c r="N170" s="16"/>
      <c r="O170" s="25"/>
      <c r="P170" s="25"/>
      <c r="Q170" s="25"/>
      <c r="R170" s="25"/>
      <c r="S170" s="25"/>
      <c r="T170" s="25"/>
      <c r="U170" s="25"/>
      <c r="V170" s="25"/>
      <c r="W170" s="25"/>
      <c r="X170" s="25"/>
      <c r="Y170" s="25"/>
      <c r="Z170" s="25"/>
      <c r="AA170" s="25"/>
      <c r="AB170" s="25"/>
    </row>
    <row r="171">
      <c r="A171" s="25"/>
      <c r="B171" s="25"/>
      <c r="C171" s="25"/>
      <c r="D171" s="25"/>
      <c r="E171" s="25"/>
      <c r="F171" s="241"/>
      <c r="G171" s="21" t="b">
        <f t="shared" ref="G171:H171" si="79">ISBLANK(M171)</f>
        <v>1</v>
      </c>
      <c r="H171" s="21" t="b">
        <f t="shared" si="79"/>
        <v>1</v>
      </c>
      <c r="I171" s="25"/>
      <c r="J171" s="25"/>
      <c r="K171" s="25"/>
      <c r="L171" s="25"/>
      <c r="M171" s="16"/>
      <c r="N171" s="16"/>
      <c r="O171" s="25"/>
      <c r="P171" s="25"/>
      <c r="Q171" s="25"/>
      <c r="R171" s="25"/>
      <c r="S171" s="25"/>
      <c r="T171" s="25"/>
      <c r="U171" s="25"/>
      <c r="V171" s="25"/>
      <c r="W171" s="25"/>
      <c r="X171" s="25"/>
      <c r="Y171" s="25"/>
      <c r="Z171" s="25"/>
      <c r="AA171" s="25"/>
      <c r="AB171" s="25"/>
    </row>
    <row r="172">
      <c r="A172" s="25"/>
      <c r="B172" s="25"/>
      <c r="C172" s="25"/>
      <c r="D172" s="25"/>
      <c r="E172" s="25"/>
      <c r="F172" s="241"/>
      <c r="G172" s="21" t="b">
        <f t="shared" ref="G172:H172" si="80">ISBLANK(M172)</f>
        <v>1</v>
      </c>
      <c r="H172" s="21" t="b">
        <f t="shared" si="80"/>
        <v>1</v>
      </c>
      <c r="I172" s="25"/>
      <c r="J172" s="25"/>
      <c r="K172" s="25"/>
      <c r="L172" s="25"/>
      <c r="M172" s="16"/>
      <c r="N172" s="16"/>
      <c r="O172" s="25"/>
      <c r="P172" s="25"/>
      <c r="Q172" s="25"/>
      <c r="R172" s="25"/>
      <c r="S172" s="25"/>
      <c r="T172" s="25"/>
      <c r="U172" s="25"/>
      <c r="V172" s="25"/>
      <c r="W172" s="25"/>
      <c r="X172" s="25"/>
      <c r="Y172" s="25"/>
      <c r="Z172" s="25"/>
      <c r="AA172" s="25"/>
      <c r="AB172" s="25"/>
    </row>
    <row r="173">
      <c r="A173" s="25"/>
      <c r="B173" s="25"/>
      <c r="C173" s="25"/>
      <c r="D173" s="25"/>
      <c r="E173" s="25"/>
      <c r="F173" s="241"/>
      <c r="G173" s="21" t="b">
        <f t="shared" ref="G173:H173" si="81">ISBLANK(M173)</f>
        <v>1</v>
      </c>
      <c r="H173" s="21" t="b">
        <f t="shared" si="81"/>
        <v>1</v>
      </c>
      <c r="I173" s="25"/>
      <c r="J173" s="25"/>
      <c r="K173" s="25"/>
      <c r="L173" s="25"/>
      <c r="M173" s="16"/>
      <c r="N173" s="16"/>
      <c r="O173" s="25"/>
      <c r="P173" s="25"/>
      <c r="Q173" s="25"/>
      <c r="R173" s="25"/>
      <c r="S173" s="25"/>
      <c r="T173" s="25"/>
      <c r="U173" s="25"/>
      <c r="V173" s="25"/>
      <c r="W173" s="25"/>
      <c r="X173" s="25"/>
      <c r="Y173" s="25"/>
      <c r="Z173" s="25"/>
      <c r="AA173" s="25"/>
      <c r="AB173" s="25"/>
    </row>
    <row r="174">
      <c r="A174" s="25"/>
      <c r="B174" s="25"/>
      <c r="C174" s="25"/>
      <c r="D174" s="25"/>
      <c r="E174" s="25"/>
      <c r="F174" s="241"/>
      <c r="G174" s="21" t="b">
        <f t="shared" ref="G174:H174" si="82">ISBLANK(M174)</f>
        <v>1</v>
      </c>
      <c r="H174" s="21" t="b">
        <f t="shared" si="82"/>
        <v>1</v>
      </c>
      <c r="I174" s="25"/>
      <c r="J174" s="25"/>
      <c r="K174" s="25"/>
      <c r="L174" s="25"/>
      <c r="M174" s="16"/>
      <c r="N174" s="16"/>
      <c r="O174" s="25"/>
      <c r="P174" s="25"/>
      <c r="Q174" s="25"/>
      <c r="R174" s="25"/>
      <c r="S174" s="25"/>
      <c r="T174" s="25"/>
      <c r="U174" s="25"/>
      <c r="V174" s="25"/>
      <c r="W174" s="25"/>
      <c r="X174" s="25"/>
      <c r="Y174" s="25"/>
      <c r="Z174" s="25"/>
      <c r="AA174" s="25"/>
      <c r="AB174" s="25"/>
    </row>
    <row r="175">
      <c r="A175" s="25"/>
      <c r="B175" s="25"/>
      <c r="C175" s="25"/>
      <c r="D175" s="25"/>
      <c r="E175" s="25"/>
      <c r="F175" s="241"/>
      <c r="G175" s="21" t="b">
        <f t="shared" ref="G175:H175" si="83">ISBLANK(M175)</f>
        <v>1</v>
      </c>
      <c r="H175" s="21" t="b">
        <f t="shared" si="83"/>
        <v>1</v>
      </c>
      <c r="I175" s="25"/>
      <c r="J175" s="25"/>
      <c r="K175" s="25"/>
      <c r="L175" s="25"/>
      <c r="M175" s="16"/>
      <c r="N175" s="16"/>
      <c r="O175" s="25"/>
      <c r="P175" s="25"/>
      <c r="Q175" s="25"/>
      <c r="R175" s="25"/>
      <c r="S175" s="25"/>
      <c r="T175" s="25"/>
      <c r="U175" s="25"/>
      <c r="V175" s="25"/>
      <c r="W175" s="25"/>
      <c r="X175" s="25"/>
      <c r="Y175" s="25"/>
      <c r="Z175" s="25"/>
      <c r="AA175" s="25"/>
      <c r="AB175" s="25"/>
    </row>
    <row r="176">
      <c r="A176" s="25"/>
      <c r="B176" s="25"/>
      <c r="C176" s="25"/>
      <c r="D176" s="25"/>
      <c r="E176" s="25"/>
      <c r="F176" s="241"/>
      <c r="G176" s="21" t="b">
        <f t="shared" ref="G176:H176" si="84">ISBLANK(M176)</f>
        <v>1</v>
      </c>
      <c r="H176" s="21" t="b">
        <f t="shared" si="84"/>
        <v>1</v>
      </c>
      <c r="I176" s="25"/>
      <c r="J176" s="25"/>
      <c r="K176" s="25"/>
      <c r="L176" s="25"/>
      <c r="M176" s="16"/>
      <c r="N176" s="16"/>
      <c r="O176" s="25"/>
      <c r="P176" s="25"/>
      <c r="Q176" s="25"/>
      <c r="R176" s="25"/>
      <c r="S176" s="25"/>
      <c r="T176" s="25"/>
      <c r="U176" s="25"/>
      <c r="V176" s="25"/>
      <c r="W176" s="25"/>
      <c r="X176" s="25"/>
      <c r="Y176" s="25"/>
      <c r="Z176" s="25"/>
      <c r="AA176" s="25"/>
      <c r="AB176" s="25"/>
    </row>
    <row r="177">
      <c r="A177" s="25"/>
      <c r="B177" s="25"/>
      <c r="C177" s="25"/>
      <c r="D177" s="25"/>
      <c r="E177" s="25"/>
      <c r="F177" s="241"/>
      <c r="G177" s="21" t="b">
        <f t="shared" ref="G177:H177" si="85">ISBLANK(M177)</f>
        <v>1</v>
      </c>
      <c r="H177" s="21" t="b">
        <f t="shared" si="85"/>
        <v>1</v>
      </c>
      <c r="I177" s="25"/>
      <c r="J177" s="25"/>
      <c r="K177" s="25"/>
      <c r="L177" s="25"/>
      <c r="M177" s="16"/>
      <c r="N177" s="16"/>
      <c r="O177" s="25"/>
      <c r="P177" s="25"/>
      <c r="Q177" s="25"/>
      <c r="R177" s="25"/>
      <c r="S177" s="25"/>
      <c r="T177" s="25"/>
      <c r="U177" s="25"/>
      <c r="V177" s="25"/>
      <c r="W177" s="25"/>
      <c r="X177" s="25"/>
      <c r="Y177" s="25"/>
      <c r="Z177" s="25"/>
      <c r="AA177" s="25"/>
      <c r="AB177" s="25"/>
    </row>
    <row r="178">
      <c r="A178" s="25"/>
      <c r="B178" s="25"/>
      <c r="C178" s="25"/>
      <c r="D178" s="25"/>
      <c r="E178" s="25"/>
      <c r="F178" s="241"/>
      <c r="G178" s="21" t="b">
        <f t="shared" ref="G178:H178" si="86">ISBLANK(M178)</f>
        <v>1</v>
      </c>
      <c r="H178" s="21" t="b">
        <f t="shared" si="86"/>
        <v>1</v>
      </c>
      <c r="I178" s="25"/>
      <c r="J178" s="25"/>
      <c r="K178" s="25"/>
      <c r="L178" s="25"/>
      <c r="M178" s="16"/>
      <c r="N178" s="16"/>
      <c r="O178" s="25"/>
      <c r="P178" s="25"/>
      <c r="Q178" s="25"/>
      <c r="R178" s="25"/>
      <c r="S178" s="25"/>
      <c r="T178" s="25"/>
      <c r="U178" s="25"/>
      <c r="V178" s="25"/>
      <c r="W178" s="25"/>
      <c r="X178" s="25"/>
      <c r="Y178" s="25"/>
      <c r="Z178" s="25"/>
      <c r="AA178" s="25"/>
      <c r="AB178" s="25"/>
    </row>
    <row r="179">
      <c r="A179" s="25"/>
      <c r="B179" s="25"/>
      <c r="C179" s="25"/>
      <c r="D179" s="25"/>
      <c r="E179" s="25"/>
      <c r="F179" s="241"/>
      <c r="G179" s="21" t="b">
        <f t="shared" ref="G179:H179" si="87">ISBLANK(M179)</f>
        <v>1</v>
      </c>
      <c r="H179" s="21" t="b">
        <f t="shared" si="87"/>
        <v>1</v>
      </c>
      <c r="I179" s="25"/>
      <c r="J179" s="25"/>
      <c r="K179" s="25"/>
      <c r="L179" s="25"/>
      <c r="M179" s="16"/>
      <c r="N179" s="16"/>
      <c r="O179" s="25"/>
      <c r="P179" s="25"/>
      <c r="Q179" s="25"/>
      <c r="R179" s="25"/>
      <c r="S179" s="25"/>
      <c r="T179" s="25"/>
      <c r="U179" s="25"/>
      <c r="V179" s="25"/>
      <c r="W179" s="25"/>
      <c r="X179" s="25"/>
      <c r="Y179" s="25"/>
      <c r="Z179" s="25"/>
      <c r="AA179" s="25"/>
      <c r="AB179" s="25"/>
    </row>
    <row r="180">
      <c r="A180" s="25"/>
      <c r="B180" s="25"/>
      <c r="C180" s="25"/>
      <c r="D180" s="25"/>
      <c r="E180" s="25"/>
      <c r="F180" s="241"/>
      <c r="G180" s="21" t="b">
        <f t="shared" ref="G180:H180" si="88">ISBLANK(M180)</f>
        <v>1</v>
      </c>
      <c r="H180" s="21" t="b">
        <f t="shared" si="88"/>
        <v>1</v>
      </c>
      <c r="I180" s="25"/>
      <c r="J180" s="25"/>
      <c r="K180" s="25"/>
      <c r="L180" s="25"/>
      <c r="M180" s="16"/>
      <c r="N180" s="16"/>
      <c r="O180" s="25"/>
      <c r="P180" s="25"/>
      <c r="Q180" s="25"/>
      <c r="R180" s="25"/>
      <c r="S180" s="25"/>
      <c r="T180" s="25"/>
      <c r="U180" s="25"/>
      <c r="V180" s="25"/>
      <c r="W180" s="25"/>
      <c r="X180" s="25"/>
      <c r="Y180" s="25"/>
      <c r="Z180" s="25"/>
      <c r="AA180" s="25"/>
      <c r="AB180" s="25"/>
    </row>
    <row r="181">
      <c r="A181" s="25"/>
      <c r="B181" s="25"/>
      <c r="C181" s="25"/>
      <c r="D181" s="25"/>
      <c r="E181" s="25"/>
      <c r="F181" s="241"/>
      <c r="G181" s="21" t="b">
        <f t="shared" ref="G181:H181" si="89">ISBLANK(M181)</f>
        <v>1</v>
      </c>
      <c r="H181" s="21" t="b">
        <f t="shared" si="89"/>
        <v>1</v>
      </c>
      <c r="I181" s="25"/>
      <c r="J181" s="25"/>
      <c r="K181" s="25"/>
      <c r="L181" s="25"/>
      <c r="M181" s="16"/>
      <c r="N181" s="16"/>
      <c r="O181" s="25"/>
      <c r="P181" s="25"/>
      <c r="Q181" s="25"/>
      <c r="R181" s="25"/>
      <c r="S181" s="25"/>
      <c r="T181" s="25"/>
      <c r="U181" s="25"/>
      <c r="V181" s="25"/>
      <c r="W181" s="25"/>
      <c r="X181" s="25"/>
      <c r="Y181" s="25"/>
      <c r="Z181" s="25"/>
      <c r="AA181" s="25"/>
      <c r="AB181" s="25"/>
    </row>
    <row r="182">
      <c r="A182" s="25"/>
      <c r="B182" s="25"/>
      <c r="C182" s="25"/>
      <c r="D182" s="25"/>
      <c r="E182" s="25"/>
      <c r="F182" s="241"/>
      <c r="G182" s="21" t="b">
        <f t="shared" ref="G182:H182" si="90">ISBLANK(M182)</f>
        <v>1</v>
      </c>
      <c r="H182" s="21" t="b">
        <f t="shared" si="90"/>
        <v>1</v>
      </c>
      <c r="I182" s="25"/>
      <c r="J182" s="25"/>
      <c r="K182" s="25"/>
      <c r="L182" s="25"/>
      <c r="M182" s="16"/>
      <c r="N182" s="16"/>
      <c r="O182" s="25"/>
      <c r="P182" s="25"/>
      <c r="Q182" s="25"/>
      <c r="R182" s="25"/>
      <c r="S182" s="25"/>
      <c r="T182" s="25"/>
      <c r="U182" s="25"/>
      <c r="V182" s="25"/>
      <c r="W182" s="25"/>
      <c r="X182" s="25"/>
      <c r="Y182" s="25"/>
      <c r="Z182" s="25"/>
      <c r="AA182" s="25"/>
      <c r="AB182" s="25"/>
    </row>
    <row r="183">
      <c r="A183" s="25"/>
      <c r="B183" s="25"/>
      <c r="C183" s="25"/>
      <c r="D183" s="25"/>
      <c r="E183" s="25"/>
      <c r="F183" s="241"/>
      <c r="G183" s="21" t="b">
        <f t="shared" ref="G183:H183" si="91">ISBLANK(M183)</f>
        <v>1</v>
      </c>
      <c r="H183" s="21" t="b">
        <f t="shared" si="91"/>
        <v>1</v>
      </c>
      <c r="I183" s="25"/>
      <c r="J183" s="25"/>
      <c r="K183" s="25"/>
      <c r="L183" s="25"/>
      <c r="M183" s="16"/>
      <c r="N183" s="16"/>
      <c r="O183" s="25"/>
      <c r="P183" s="25"/>
      <c r="Q183" s="25"/>
      <c r="R183" s="25"/>
      <c r="S183" s="25"/>
      <c r="T183" s="25"/>
      <c r="U183" s="25"/>
      <c r="V183" s="25"/>
      <c r="W183" s="25"/>
      <c r="X183" s="25"/>
      <c r="Y183" s="25"/>
      <c r="Z183" s="25"/>
      <c r="AA183" s="25"/>
      <c r="AB183" s="25"/>
    </row>
    <row r="184">
      <c r="A184" s="25"/>
      <c r="B184" s="25"/>
      <c r="C184" s="25"/>
      <c r="D184" s="25"/>
      <c r="E184" s="25"/>
      <c r="F184" s="241"/>
      <c r="G184" s="21" t="b">
        <f t="shared" ref="G184:H184" si="92">ISBLANK(M184)</f>
        <v>1</v>
      </c>
      <c r="H184" s="21" t="b">
        <f t="shared" si="92"/>
        <v>1</v>
      </c>
      <c r="I184" s="25"/>
      <c r="J184" s="25"/>
      <c r="K184" s="25"/>
      <c r="L184" s="25"/>
      <c r="M184" s="16"/>
      <c r="N184" s="16"/>
      <c r="O184" s="25"/>
      <c r="P184" s="25"/>
      <c r="Q184" s="25"/>
      <c r="R184" s="25"/>
      <c r="S184" s="25"/>
      <c r="T184" s="25"/>
      <c r="U184" s="25"/>
      <c r="V184" s="25"/>
      <c r="W184" s="25"/>
      <c r="X184" s="25"/>
      <c r="Y184" s="25"/>
      <c r="Z184" s="25"/>
      <c r="AA184" s="25"/>
      <c r="AB184" s="25"/>
    </row>
    <row r="185">
      <c r="A185" s="25"/>
      <c r="B185" s="25"/>
      <c r="C185" s="25"/>
      <c r="D185" s="25"/>
      <c r="E185" s="25"/>
      <c r="F185" s="241"/>
      <c r="G185" s="21" t="b">
        <f t="shared" ref="G185:H185" si="93">ISBLANK(M185)</f>
        <v>1</v>
      </c>
      <c r="H185" s="21" t="b">
        <f t="shared" si="93"/>
        <v>1</v>
      </c>
      <c r="I185" s="25"/>
      <c r="J185" s="25"/>
      <c r="K185" s="25"/>
      <c r="L185" s="25"/>
      <c r="M185" s="16"/>
      <c r="N185" s="16"/>
      <c r="O185" s="25"/>
      <c r="P185" s="25"/>
      <c r="Q185" s="25"/>
      <c r="R185" s="25"/>
      <c r="S185" s="25"/>
      <c r="T185" s="25"/>
      <c r="U185" s="25"/>
      <c r="V185" s="25"/>
      <c r="W185" s="25"/>
      <c r="X185" s="25"/>
      <c r="Y185" s="25"/>
      <c r="Z185" s="25"/>
      <c r="AA185" s="25"/>
      <c r="AB185" s="25"/>
    </row>
    <row r="186">
      <c r="A186" s="25"/>
      <c r="B186" s="25"/>
      <c r="C186" s="25"/>
      <c r="D186" s="25"/>
      <c r="E186" s="25"/>
      <c r="F186" s="241"/>
      <c r="G186" s="21" t="b">
        <f t="shared" ref="G186:H186" si="94">ISBLANK(M186)</f>
        <v>1</v>
      </c>
      <c r="H186" s="21" t="b">
        <f t="shared" si="94"/>
        <v>1</v>
      </c>
      <c r="I186" s="25"/>
      <c r="J186" s="25"/>
      <c r="K186" s="25"/>
      <c r="L186" s="25"/>
      <c r="M186" s="16"/>
      <c r="N186" s="16"/>
      <c r="O186" s="25"/>
      <c r="P186" s="25"/>
      <c r="Q186" s="25"/>
      <c r="R186" s="25"/>
      <c r="S186" s="25"/>
      <c r="T186" s="25"/>
      <c r="U186" s="25"/>
      <c r="V186" s="25"/>
      <c r="W186" s="25"/>
      <c r="X186" s="25"/>
      <c r="Y186" s="25"/>
      <c r="Z186" s="25"/>
      <c r="AA186" s="25"/>
      <c r="AB186" s="25"/>
    </row>
    <row r="187">
      <c r="A187" s="25"/>
      <c r="B187" s="25"/>
      <c r="C187" s="25"/>
      <c r="D187" s="25"/>
      <c r="E187" s="25"/>
      <c r="F187" s="241"/>
      <c r="G187" s="21" t="b">
        <f t="shared" ref="G187:H187" si="95">ISBLANK(M187)</f>
        <v>1</v>
      </c>
      <c r="H187" s="21" t="b">
        <f t="shared" si="95"/>
        <v>1</v>
      </c>
      <c r="I187" s="25"/>
      <c r="J187" s="25"/>
      <c r="K187" s="25"/>
      <c r="L187" s="25"/>
      <c r="M187" s="16"/>
      <c r="N187" s="16"/>
      <c r="O187" s="25"/>
      <c r="P187" s="25"/>
      <c r="Q187" s="25"/>
      <c r="R187" s="25"/>
      <c r="S187" s="25"/>
      <c r="T187" s="25"/>
      <c r="U187" s="25"/>
      <c r="V187" s="25"/>
      <c r="W187" s="25"/>
      <c r="X187" s="25"/>
      <c r="Y187" s="25"/>
      <c r="Z187" s="25"/>
      <c r="AA187" s="25"/>
      <c r="AB187" s="25"/>
    </row>
    <row r="188">
      <c r="A188" s="25"/>
      <c r="B188" s="25"/>
      <c r="C188" s="25"/>
      <c r="D188" s="25"/>
      <c r="E188" s="25"/>
      <c r="F188" s="241"/>
      <c r="G188" s="21" t="b">
        <f t="shared" ref="G188:H188" si="96">ISBLANK(M188)</f>
        <v>1</v>
      </c>
      <c r="H188" s="21" t="b">
        <f t="shared" si="96"/>
        <v>1</v>
      </c>
      <c r="I188" s="25"/>
      <c r="J188" s="25"/>
      <c r="K188" s="25"/>
      <c r="L188" s="25"/>
      <c r="M188" s="16"/>
      <c r="N188" s="16"/>
      <c r="O188" s="25"/>
      <c r="P188" s="25"/>
      <c r="Q188" s="25"/>
      <c r="R188" s="25"/>
      <c r="S188" s="25"/>
      <c r="T188" s="25"/>
      <c r="U188" s="25"/>
      <c r="V188" s="25"/>
      <c r="W188" s="25"/>
      <c r="X188" s="25"/>
      <c r="Y188" s="25"/>
      <c r="Z188" s="25"/>
      <c r="AA188" s="25"/>
      <c r="AB188" s="25"/>
    </row>
    <row r="189">
      <c r="A189" s="25"/>
      <c r="B189" s="25"/>
      <c r="C189" s="25"/>
      <c r="D189" s="25"/>
      <c r="E189" s="25"/>
      <c r="F189" s="241"/>
      <c r="G189" s="21" t="b">
        <f t="shared" ref="G189:H189" si="97">ISBLANK(M189)</f>
        <v>1</v>
      </c>
      <c r="H189" s="21" t="b">
        <f t="shared" si="97"/>
        <v>1</v>
      </c>
      <c r="I189" s="25"/>
      <c r="J189" s="25"/>
      <c r="K189" s="25"/>
      <c r="L189" s="25"/>
      <c r="M189" s="16"/>
      <c r="N189" s="16"/>
      <c r="O189" s="25"/>
      <c r="P189" s="25"/>
      <c r="Q189" s="25"/>
      <c r="R189" s="25"/>
      <c r="S189" s="25"/>
      <c r="T189" s="25"/>
      <c r="U189" s="25"/>
      <c r="V189" s="25"/>
      <c r="W189" s="25"/>
      <c r="X189" s="25"/>
      <c r="Y189" s="25"/>
      <c r="Z189" s="25"/>
      <c r="AA189" s="25"/>
      <c r="AB189" s="25"/>
    </row>
    <row r="190">
      <c r="A190" s="25"/>
      <c r="B190" s="25"/>
      <c r="C190" s="25"/>
      <c r="D190" s="25"/>
      <c r="E190" s="25"/>
      <c r="F190" s="241"/>
      <c r="G190" s="21" t="b">
        <f t="shared" ref="G190:H190" si="98">ISBLANK(M190)</f>
        <v>1</v>
      </c>
      <c r="H190" s="21" t="b">
        <f t="shared" si="98"/>
        <v>1</v>
      </c>
      <c r="I190" s="25"/>
      <c r="J190" s="25"/>
      <c r="K190" s="25"/>
      <c r="L190" s="25"/>
      <c r="M190" s="16"/>
      <c r="N190" s="16"/>
      <c r="O190" s="25"/>
      <c r="P190" s="25"/>
      <c r="Q190" s="25"/>
      <c r="R190" s="25"/>
      <c r="S190" s="25"/>
      <c r="T190" s="25"/>
      <c r="U190" s="25"/>
      <c r="V190" s="25"/>
      <c r="W190" s="25"/>
      <c r="X190" s="25"/>
      <c r="Y190" s="25"/>
      <c r="Z190" s="25"/>
      <c r="AA190" s="25"/>
      <c r="AB190" s="25"/>
    </row>
    <row r="191">
      <c r="A191" s="25"/>
      <c r="B191" s="25"/>
      <c r="C191" s="25"/>
      <c r="D191" s="25"/>
      <c r="E191" s="25"/>
      <c r="F191" s="241"/>
      <c r="G191" s="21" t="b">
        <f t="shared" ref="G191:H191" si="99">ISBLANK(M191)</f>
        <v>1</v>
      </c>
      <c r="H191" s="21" t="b">
        <f t="shared" si="99"/>
        <v>1</v>
      </c>
      <c r="I191" s="25"/>
      <c r="J191" s="25"/>
      <c r="K191" s="25"/>
      <c r="L191" s="25"/>
      <c r="M191" s="16"/>
      <c r="N191" s="16"/>
      <c r="O191" s="25"/>
      <c r="P191" s="25"/>
      <c r="Q191" s="25"/>
      <c r="R191" s="25"/>
      <c r="S191" s="25"/>
      <c r="T191" s="25"/>
      <c r="U191" s="25"/>
      <c r="V191" s="25"/>
      <c r="W191" s="25"/>
      <c r="X191" s="25"/>
      <c r="Y191" s="25"/>
      <c r="Z191" s="25"/>
      <c r="AA191" s="25"/>
      <c r="AB191" s="25"/>
    </row>
    <row r="192">
      <c r="A192" s="25"/>
      <c r="B192" s="25"/>
      <c r="C192" s="25"/>
      <c r="D192" s="25"/>
      <c r="E192" s="25"/>
      <c r="F192" s="241"/>
      <c r="G192" s="21" t="b">
        <f t="shared" ref="G192:H192" si="100">ISBLANK(M192)</f>
        <v>1</v>
      </c>
      <c r="H192" s="21" t="b">
        <f t="shared" si="100"/>
        <v>1</v>
      </c>
      <c r="I192" s="25"/>
      <c r="J192" s="25"/>
      <c r="K192" s="25"/>
      <c r="L192" s="25"/>
      <c r="M192" s="16"/>
      <c r="N192" s="16"/>
      <c r="O192" s="25"/>
      <c r="P192" s="25"/>
      <c r="Q192" s="25"/>
      <c r="R192" s="25"/>
      <c r="S192" s="25"/>
      <c r="T192" s="25"/>
      <c r="U192" s="25"/>
      <c r="V192" s="25"/>
      <c r="W192" s="25"/>
      <c r="X192" s="25"/>
      <c r="Y192" s="25"/>
      <c r="Z192" s="25"/>
      <c r="AA192" s="25"/>
      <c r="AB192" s="25"/>
    </row>
    <row r="193">
      <c r="A193" s="25"/>
      <c r="B193" s="25"/>
      <c r="C193" s="25"/>
      <c r="D193" s="25"/>
      <c r="E193" s="25"/>
      <c r="F193" s="241"/>
      <c r="G193" s="21" t="b">
        <f t="shared" ref="G193:H193" si="101">ISBLANK(M193)</f>
        <v>1</v>
      </c>
      <c r="H193" s="21" t="b">
        <f t="shared" si="101"/>
        <v>1</v>
      </c>
      <c r="I193" s="25"/>
      <c r="J193" s="25"/>
      <c r="K193" s="25"/>
      <c r="L193" s="25"/>
      <c r="M193" s="16"/>
      <c r="N193" s="16"/>
      <c r="O193" s="25"/>
      <c r="P193" s="25"/>
      <c r="Q193" s="25"/>
      <c r="R193" s="25"/>
      <c r="S193" s="25"/>
      <c r="T193" s="25"/>
      <c r="U193" s="25"/>
      <c r="V193" s="25"/>
      <c r="W193" s="25"/>
      <c r="X193" s="25"/>
      <c r="Y193" s="25"/>
      <c r="Z193" s="25"/>
      <c r="AA193" s="25"/>
      <c r="AB193" s="25"/>
    </row>
    <row r="194">
      <c r="A194" s="25"/>
      <c r="B194" s="25"/>
      <c r="C194" s="25"/>
      <c r="D194" s="25"/>
      <c r="E194" s="25"/>
      <c r="F194" s="241"/>
      <c r="G194" s="21" t="b">
        <f t="shared" ref="G194:H194" si="102">ISBLANK(M194)</f>
        <v>1</v>
      </c>
      <c r="H194" s="21" t="b">
        <f t="shared" si="102"/>
        <v>1</v>
      </c>
      <c r="I194" s="25"/>
      <c r="J194" s="25"/>
      <c r="K194" s="25"/>
      <c r="L194" s="25"/>
      <c r="M194" s="16"/>
      <c r="N194" s="16"/>
      <c r="O194" s="25"/>
      <c r="P194" s="25"/>
      <c r="Q194" s="25"/>
      <c r="R194" s="25"/>
      <c r="S194" s="25"/>
      <c r="T194" s="25"/>
      <c r="U194" s="25"/>
      <c r="V194" s="25"/>
      <c r="W194" s="25"/>
      <c r="X194" s="25"/>
      <c r="Y194" s="25"/>
      <c r="Z194" s="25"/>
      <c r="AA194" s="25"/>
      <c r="AB194" s="25"/>
    </row>
    <row r="195">
      <c r="A195" s="25"/>
      <c r="B195" s="25"/>
      <c r="C195" s="25"/>
      <c r="D195" s="25"/>
      <c r="E195" s="25"/>
      <c r="F195" s="241"/>
      <c r="G195" s="21" t="b">
        <f t="shared" ref="G195:H195" si="103">ISBLANK(M195)</f>
        <v>1</v>
      </c>
      <c r="H195" s="21" t="b">
        <f t="shared" si="103"/>
        <v>1</v>
      </c>
      <c r="I195" s="25"/>
      <c r="J195" s="25"/>
      <c r="K195" s="25"/>
      <c r="L195" s="25"/>
      <c r="M195" s="16"/>
      <c r="N195" s="16"/>
      <c r="O195" s="25"/>
      <c r="P195" s="25"/>
      <c r="Q195" s="25"/>
      <c r="R195" s="25"/>
      <c r="S195" s="25"/>
      <c r="T195" s="25"/>
      <c r="U195" s="25"/>
      <c r="V195" s="25"/>
      <c r="W195" s="25"/>
      <c r="X195" s="25"/>
      <c r="Y195" s="25"/>
      <c r="Z195" s="25"/>
      <c r="AA195" s="25"/>
      <c r="AB195" s="25"/>
    </row>
    <row r="196">
      <c r="A196" s="25"/>
      <c r="B196" s="25"/>
      <c r="C196" s="25"/>
      <c r="D196" s="25"/>
      <c r="E196" s="25"/>
      <c r="F196" s="241"/>
      <c r="G196" s="21" t="b">
        <f t="shared" ref="G196:H196" si="104">ISBLANK(M196)</f>
        <v>1</v>
      </c>
      <c r="H196" s="21" t="b">
        <f t="shared" si="104"/>
        <v>1</v>
      </c>
      <c r="I196" s="25"/>
      <c r="J196" s="25"/>
      <c r="K196" s="25"/>
      <c r="L196" s="25"/>
      <c r="M196" s="16"/>
      <c r="N196" s="16"/>
      <c r="O196" s="25"/>
      <c r="P196" s="25"/>
      <c r="Q196" s="25"/>
      <c r="R196" s="25"/>
      <c r="S196" s="25"/>
      <c r="T196" s="25"/>
      <c r="U196" s="25"/>
      <c r="V196" s="25"/>
      <c r="W196" s="25"/>
      <c r="X196" s="25"/>
      <c r="Y196" s="25"/>
      <c r="Z196" s="25"/>
      <c r="AA196" s="25"/>
      <c r="AB196" s="25"/>
    </row>
    <row r="197">
      <c r="A197" s="25"/>
      <c r="B197" s="25"/>
      <c r="C197" s="25"/>
      <c r="D197" s="25"/>
      <c r="E197" s="25"/>
      <c r="F197" s="241"/>
      <c r="G197" s="21" t="b">
        <f t="shared" ref="G197:H197" si="105">ISBLANK(M197)</f>
        <v>1</v>
      </c>
      <c r="H197" s="21" t="b">
        <f t="shared" si="105"/>
        <v>1</v>
      </c>
      <c r="I197" s="25"/>
      <c r="J197" s="25"/>
      <c r="K197" s="25"/>
      <c r="L197" s="25"/>
      <c r="M197" s="16"/>
      <c r="N197" s="16"/>
      <c r="O197" s="25"/>
      <c r="P197" s="25"/>
      <c r="Q197" s="25"/>
      <c r="R197" s="25"/>
      <c r="S197" s="25"/>
      <c r="T197" s="25"/>
      <c r="U197" s="25"/>
      <c r="V197" s="25"/>
      <c r="W197" s="25"/>
      <c r="X197" s="25"/>
      <c r="Y197" s="25"/>
      <c r="Z197" s="25"/>
      <c r="AA197" s="25"/>
      <c r="AB197" s="25"/>
    </row>
    <row r="198">
      <c r="A198" s="25"/>
      <c r="B198" s="25"/>
      <c r="C198" s="25"/>
      <c r="D198" s="25"/>
      <c r="E198" s="25"/>
      <c r="F198" s="241"/>
      <c r="G198" s="21" t="b">
        <f t="shared" ref="G198:H198" si="106">ISBLANK(M198)</f>
        <v>1</v>
      </c>
      <c r="H198" s="21" t="b">
        <f t="shared" si="106"/>
        <v>1</v>
      </c>
      <c r="I198" s="25"/>
      <c r="J198" s="25"/>
      <c r="K198" s="25"/>
      <c r="L198" s="25"/>
      <c r="M198" s="16"/>
      <c r="N198" s="16"/>
      <c r="O198" s="25"/>
      <c r="P198" s="25"/>
      <c r="Q198" s="25"/>
      <c r="R198" s="25"/>
      <c r="S198" s="25"/>
      <c r="T198" s="25"/>
      <c r="U198" s="25"/>
      <c r="V198" s="25"/>
      <c r="W198" s="25"/>
      <c r="X198" s="25"/>
      <c r="Y198" s="25"/>
      <c r="Z198" s="25"/>
      <c r="AA198" s="25"/>
      <c r="AB198" s="25"/>
    </row>
    <row r="199">
      <c r="A199" s="25"/>
      <c r="B199" s="25"/>
      <c r="C199" s="25"/>
      <c r="D199" s="25"/>
      <c r="E199" s="25"/>
      <c r="F199" s="241"/>
      <c r="G199" s="21" t="b">
        <f t="shared" ref="G199:H199" si="107">ISBLANK(M199)</f>
        <v>1</v>
      </c>
      <c r="H199" s="21" t="b">
        <f t="shared" si="107"/>
        <v>1</v>
      </c>
      <c r="I199" s="25"/>
      <c r="J199" s="25"/>
      <c r="K199" s="25"/>
      <c r="L199" s="25"/>
      <c r="M199" s="16"/>
      <c r="N199" s="16"/>
      <c r="O199" s="25"/>
      <c r="P199" s="25"/>
      <c r="Q199" s="25"/>
      <c r="R199" s="25"/>
      <c r="S199" s="25"/>
      <c r="T199" s="25"/>
      <c r="U199" s="25"/>
      <c r="V199" s="25"/>
      <c r="W199" s="25"/>
      <c r="X199" s="25"/>
      <c r="Y199" s="25"/>
      <c r="Z199" s="25"/>
      <c r="AA199" s="25"/>
      <c r="AB199" s="25"/>
    </row>
    <row r="200">
      <c r="A200" s="25"/>
      <c r="B200" s="25"/>
      <c r="C200" s="25"/>
      <c r="D200" s="25"/>
      <c r="E200" s="25"/>
      <c r="F200" s="241"/>
      <c r="G200" s="21" t="b">
        <f t="shared" ref="G200:H200" si="108">ISBLANK(M200)</f>
        <v>1</v>
      </c>
      <c r="H200" s="21" t="b">
        <f t="shared" si="108"/>
        <v>1</v>
      </c>
      <c r="I200" s="25"/>
      <c r="J200" s="25"/>
      <c r="K200" s="25"/>
      <c r="L200" s="25"/>
      <c r="M200" s="16"/>
      <c r="N200" s="16"/>
      <c r="O200" s="25"/>
      <c r="P200" s="25"/>
      <c r="Q200" s="25"/>
      <c r="R200" s="25"/>
      <c r="S200" s="25"/>
      <c r="T200" s="25"/>
      <c r="U200" s="25"/>
      <c r="V200" s="25"/>
      <c r="W200" s="25"/>
      <c r="X200" s="25"/>
      <c r="Y200" s="25"/>
      <c r="Z200" s="25"/>
      <c r="AA200" s="25"/>
      <c r="AB200" s="25"/>
    </row>
    <row r="201">
      <c r="A201" s="25"/>
      <c r="B201" s="25"/>
      <c r="C201" s="25"/>
      <c r="D201" s="25"/>
      <c r="E201" s="25"/>
      <c r="F201" s="241"/>
      <c r="G201" s="21" t="b">
        <f t="shared" ref="G201:H201" si="109">ISBLANK(M201)</f>
        <v>1</v>
      </c>
      <c r="H201" s="21" t="b">
        <f t="shared" si="109"/>
        <v>1</v>
      </c>
      <c r="I201" s="25"/>
      <c r="J201" s="25"/>
      <c r="K201" s="25"/>
      <c r="L201" s="25"/>
      <c r="M201" s="16"/>
      <c r="N201" s="16"/>
      <c r="O201" s="25"/>
      <c r="P201" s="25"/>
      <c r="Q201" s="25"/>
      <c r="R201" s="25"/>
      <c r="S201" s="25"/>
      <c r="T201" s="25"/>
      <c r="U201" s="25"/>
      <c r="V201" s="25"/>
      <c r="W201" s="25"/>
      <c r="X201" s="25"/>
      <c r="Y201" s="25"/>
      <c r="Z201" s="25"/>
      <c r="AA201" s="25"/>
      <c r="AB201" s="25"/>
    </row>
    <row r="202">
      <c r="A202" s="25"/>
      <c r="B202" s="25"/>
      <c r="C202" s="25"/>
      <c r="D202" s="25"/>
      <c r="E202" s="25"/>
      <c r="F202" s="241"/>
      <c r="G202" s="21" t="b">
        <f t="shared" ref="G202:H202" si="110">ISBLANK(M202)</f>
        <v>1</v>
      </c>
      <c r="H202" s="21" t="b">
        <f t="shared" si="110"/>
        <v>1</v>
      </c>
      <c r="I202" s="25"/>
      <c r="J202" s="25"/>
      <c r="K202" s="25"/>
      <c r="L202" s="25"/>
      <c r="M202" s="16"/>
      <c r="N202" s="16"/>
      <c r="O202" s="25"/>
      <c r="P202" s="25"/>
      <c r="Q202" s="25"/>
      <c r="R202" s="25"/>
      <c r="S202" s="25"/>
      <c r="T202" s="25"/>
      <c r="U202" s="25"/>
      <c r="V202" s="25"/>
      <c r="W202" s="25"/>
      <c r="X202" s="25"/>
      <c r="Y202" s="25"/>
      <c r="Z202" s="25"/>
      <c r="AA202" s="25"/>
      <c r="AB202" s="25"/>
    </row>
    <row r="203">
      <c r="A203" s="25"/>
      <c r="B203" s="25"/>
      <c r="C203" s="25"/>
      <c r="D203" s="25"/>
      <c r="E203" s="25"/>
      <c r="F203" s="241"/>
      <c r="G203" s="21" t="b">
        <f t="shared" ref="G203:H203" si="111">ISBLANK(M203)</f>
        <v>1</v>
      </c>
      <c r="H203" s="21" t="b">
        <f t="shared" si="111"/>
        <v>1</v>
      </c>
      <c r="I203" s="25"/>
      <c r="J203" s="25"/>
      <c r="K203" s="25"/>
      <c r="L203" s="25"/>
      <c r="M203" s="16"/>
      <c r="N203" s="16"/>
      <c r="O203" s="25"/>
      <c r="P203" s="25"/>
      <c r="Q203" s="25"/>
      <c r="R203" s="25"/>
      <c r="S203" s="25"/>
      <c r="T203" s="25"/>
      <c r="U203" s="25"/>
      <c r="V203" s="25"/>
      <c r="W203" s="25"/>
      <c r="X203" s="25"/>
      <c r="Y203" s="25"/>
      <c r="Z203" s="25"/>
      <c r="AA203" s="25"/>
      <c r="AB203" s="25"/>
    </row>
    <row r="204">
      <c r="A204" s="25"/>
      <c r="B204" s="25"/>
      <c r="C204" s="25"/>
      <c r="D204" s="25"/>
      <c r="E204" s="25"/>
      <c r="F204" s="241"/>
      <c r="G204" s="21" t="b">
        <f t="shared" ref="G204:H204" si="112">ISBLANK(M204)</f>
        <v>1</v>
      </c>
      <c r="H204" s="21" t="b">
        <f t="shared" si="112"/>
        <v>1</v>
      </c>
      <c r="I204" s="25"/>
      <c r="J204" s="25"/>
      <c r="K204" s="25"/>
      <c r="L204" s="25"/>
      <c r="M204" s="16"/>
      <c r="N204" s="16"/>
      <c r="O204" s="25"/>
      <c r="P204" s="25"/>
      <c r="Q204" s="25"/>
      <c r="R204" s="25"/>
      <c r="S204" s="25"/>
      <c r="T204" s="25"/>
      <c r="U204" s="25"/>
      <c r="V204" s="25"/>
      <c r="W204" s="25"/>
      <c r="X204" s="25"/>
      <c r="Y204" s="25"/>
      <c r="Z204" s="25"/>
      <c r="AA204" s="25"/>
      <c r="AB204" s="25"/>
    </row>
    <row r="205">
      <c r="A205" s="25"/>
      <c r="B205" s="25"/>
      <c r="C205" s="25"/>
      <c r="D205" s="25"/>
      <c r="E205" s="25"/>
      <c r="F205" s="241"/>
      <c r="G205" s="21" t="b">
        <f t="shared" ref="G205:H205" si="113">ISBLANK(M205)</f>
        <v>1</v>
      </c>
      <c r="H205" s="21" t="b">
        <f t="shared" si="113"/>
        <v>1</v>
      </c>
      <c r="I205" s="25"/>
      <c r="J205" s="25"/>
      <c r="K205" s="25"/>
      <c r="L205" s="25"/>
      <c r="M205" s="16"/>
      <c r="N205" s="16"/>
      <c r="O205" s="25"/>
      <c r="P205" s="25"/>
      <c r="Q205" s="25"/>
      <c r="R205" s="25"/>
      <c r="S205" s="25"/>
      <c r="T205" s="25"/>
      <c r="U205" s="25"/>
      <c r="V205" s="25"/>
      <c r="W205" s="25"/>
      <c r="X205" s="25"/>
      <c r="Y205" s="25"/>
      <c r="Z205" s="25"/>
      <c r="AA205" s="25"/>
      <c r="AB205" s="25"/>
    </row>
    <row r="206">
      <c r="A206" s="25"/>
      <c r="B206" s="25"/>
      <c r="C206" s="25"/>
      <c r="D206" s="25"/>
      <c r="E206" s="25"/>
      <c r="F206" s="241"/>
      <c r="G206" s="21" t="b">
        <f t="shared" ref="G206:H206" si="114">ISBLANK(M206)</f>
        <v>1</v>
      </c>
      <c r="H206" s="21" t="b">
        <f t="shared" si="114"/>
        <v>1</v>
      </c>
      <c r="I206" s="25"/>
      <c r="J206" s="25"/>
      <c r="K206" s="25"/>
      <c r="L206" s="25"/>
      <c r="M206" s="16"/>
      <c r="N206" s="16"/>
      <c r="O206" s="25"/>
      <c r="P206" s="25"/>
      <c r="Q206" s="25"/>
      <c r="R206" s="25"/>
      <c r="S206" s="25"/>
      <c r="T206" s="25"/>
      <c r="U206" s="25"/>
      <c r="V206" s="25"/>
      <c r="W206" s="25"/>
      <c r="X206" s="25"/>
      <c r="Y206" s="25"/>
      <c r="Z206" s="25"/>
      <c r="AA206" s="25"/>
      <c r="AB206" s="25"/>
    </row>
    <row r="207">
      <c r="A207" s="25"/>
      <c r="B207" s="25"/>
      <c r="C207" s="25"/>
      <c r="D207" s="25"/>
      <c r="E207" s="25"/>
      <c r="F207" s="241"/>
      <c r="G207" s="21" t="b">
        <f t="shared" ref="G207:H207" si="115">ISBLANK(M207)</f>
        <v>1</v>
      </c>
      <c r="H207" s="21" t="b">
        <f t="shared" si="115"/>
        <v>1</v>
      </c>
      <c r="I207" s="25"/>
      <c r="J207" s="25"/>
      <c r="K207" s="25"/>
      <c r="L207" s="25"/>
      <c r="M207" s="16"/>
      <c r="N207" s="16"/>
      <c r="O207" s="25"/>
      <c r="P207" s="25"/>
      <c r="Q207" s="25"/>
      <c r="R207" s="25"/>
      <c r="S207" s="25"/>
      <c r="T207" s="25"/>
      <c r="U207" s="25"/>
      <c r="V207" s="25"/>
      <c r="W207" s="25"/>
      <c r="X207" s="25"/>
      <c r="Y207" s="25"/>
      <c r="Z207" s="25"/>
      <c r="AA207" s="25"/>
      <c r="AB207" s="25"/>
    </row>
    <row r="208">
      <c r="A208" s="25"/>
      <c r="B208" s="25"/>
      <c r="C208" s="25"/>
      <c r="D208" s="25"/>
      <c r="E208" s="25"/>
      <c r="F208" s="241"/>
      <c r="G208" s="21" t="b">
        <f t="shared" ref="G208:H208" si="116">ISBLANK(M208)</f>
        <v>1</v>
      </c>
      <c r="H208" s="21" t="b">
        <f t="shared" si="116"/>
        <v>1</v>
      </c>
      <c r="I208" s="25"/>
      <c r="J208" s="25"/>
      <c r="K208" s="25"/>
      <c r="L208" s="25"/>
      <c r="M208" s="16"/>
      <c r="N208" s="16"/>
      <c r="O208" s="25"/>
      <c r="P208" s="25"/>
      <c r="Q208" s="25"/>
      <c r="R208" s="25"/>
      <c r="S208" s="25"/>
      <c r="T208" s="25"/>
      <c r="U208" s="25"/>
      <c r="V208" s="25"/>
      <c r="W208" s="25"/>
      <c r="X208" s="25"/>
      <c r="Y208" s="25"/>
      <c r="Z208" s="25"/>
      <c r="AA208" s="25"/>
      <c r="AB208" s="25"/>
    </row>
    <row r="209">
      <c r="A209" s="25"/>
      <c r="B209" s="25"/>
      <c r="C209" s="25"/>
      <c r="D209" s="25"/>
      <c r="E209" s="25"/>
      <c r="F209" s="241"/>
      <c r="G209" s="21" t="b">
        <f t="shared" ref="G209:H209" si="117">ISBLANK(M209)</f>
        <v>1</v>
      </c>
      <c r="H209" s="21" t="b">
        <f t="shared" si="117"/>
        <v>1</v>
      </c>
      <c r="I209" s="25"/>
      <c r="J209" s="25"/>
      <c r="K209" s="25"/>
      <c r="L209" s="25"/>
      <c r="M209" s="16"/>
      <c r="N209" s="16"/>
      <c r="O209" s="25"/>
      <c r="P209" s="25"/>
      <c r="Q209" s="25"/>
      <c r="R209" s="25"/>
      <c r="S209" s="25"/>
      <c r="T209" s="25"/>
      <c r="U209" s="25"/>
      <c r="V209" s="25"/>
      <c r="W209" s="25"/>
      <c r="X209" s="25"/>
      <c r="Y209" s="25"/>
      <c r="Z209" s="25"/>
      <c r="AA209" s="25"/>
      <c r="AB209" s="25"/>
    </row>
    <row r="210">
      <c r="A210" s="25"/>
      <c r="B210" s="25"/>
      <c r="C210" s="25"/>
      <c r="D210" s="25"/>
      <c r="E210" s="25"/>
      <c r="F210" s="241"/>
      <c r="G210" s="21" t="b">
        <f t="shared" ref="G210:H210" si="118">ISBLANK(M210)</f>
        <v>1</v>
      </c>
      <c r="H210" s="21" t="b">
        <f t="shared" si="118"/>
        <v>1</v>
      </c>
      <c r="I210" s="25"/>
      <c r="J210" s="25"/>
      <c r="K210" s="25"/>
      <c r="L210" s="25"/>
      <c r="M210" s="16"/>
      <c r="N210" s="16"/>
      <c r="O210" s="25"/>
      <c r="P210" s="25"/>
      <c r="Q210" s="25"/>
      <c r="R210" s="25"/>
      <c r="S210" s="25"/>
      <c r="T210" s="25"/>
      <c r="U210" s="25"/>
      <c r="V210" s="25"/>
      <c r="W210" s="25"/>
      <c r="X210" s="25"/>
      <c r="Y210" s="25"/>
      <c r="Z210" s="25"/>
      <c r="AA210" s="25"/>
      <c r="AB210" s="25"/>
    </row>
    <row r="211">
      <c r="A211" s="25"/>
      <c r="B211" s="25"/>
      <c r="C211" s="25"/>
      <c r="D211" s="25"/>
      <c r="E211" s="25"/>
      <c r="F211" s="241"/>
      <c r="G211" s="21" t="b">
        <f t="shared" ref="G211:H211" si="119">ISBLANK(M211)</f>
        <v>1</v>
      </c>
      <c r="H211" s="21" t="b">
        <f t="shared" si="119"/>
        <v>1</v>
      </c>
      <c r="I211" s="25"/>
      <c r="J211" s="25"/>
      <c r="K211" s="25"/>
      <c r="L211" s="25"/>
      <c r="M211" s="16"/>
      <c r="N211" s="16"/>
      <c r="O211" s="25"/>
      <c r="P211" s="25"/>
      <c r="Q211" s="25"/>
      <c r="R211" s="25"/>
      <c r="S211" s="25"/>
      <c r="T211" s="25"/>
      <c r="U211" s="25"/>
      <c r="V211" s="25"/>
      <c r="W211" s="25"/>
      <c r="X211" s="25"/>
      <c r="Y211" s="25"/>
      <c r="Z211" s="25"/>
      <c r="AA211" s="25"/>
      <c r="AB211" s="25"/>
    </row>
    <row r="212">
      <c r="A212" s="25"/>
      <c r="B212" s="25"/>
      <c r="C212" s="25"/>
      <c r="D212" s="25"/>
      <c r="E212" s="25"/>
      <c r="F212" s="241"/>
      <c r="G212" s="21" t="b">
        <f t="shared" ref="G212:H212" si="120">ISBLANK(M212)</f>
        <v>1</v>
      </c>
      <c r="H212" s="21" t="b">
        <f t="shared" si="120"/>
        <v>1</v>
      </c>
      <c r="I212" s="25"/>
      <c r="J212" s="25"/>
      <c r="K212" s="25"/>
      <c r="L212" s="25"/>
      <c r="M212" s="16"/>
      <c r="N212" s="16"/>
      <c r="O212" s="25"/>
      <c r="P212" s="25"/>
      <c r="Q212" s="25"/>
      <c r="R212" s="25"/>
      <c r="S212" s="25"/>
      <c r="T212" s="25"/>
      <c r="U212" s="25"/>
      <c r="V212" s="25"/>
      <c r="W212" s="25"/>
      <c r="X212" s="25"/>
      <c r="Y212" s="25"/>
      <c r="Z212" s="25"/>
      <c r="AA212" s="25"/>
      <c r="AB212" s="25"/>
    </row>
    <row r="213">
      <c r="A213" s="25"/>
      <c r="B213" s="25"/>
      <c r="C213" s="25"/>
      <c r="D213" s="25"/>
      <c r="E213" s="25"/>
      <c r="F213" s="241"/>
      <c r="G213" s="21" t="b">
        <f t="shared" ref="G213:H213" si="121">ISBLANK(M213)</f>
        <v>1</v>
      </c>
      <c r="H213" s="21" t="b">
        <f t="shared" si="121"/>
        <v>1</v>
      </c>
      <c r="I213" s="25"/>
      <c r="J213" s="25"/>
      <c r="K213" s="25"/>
      <c r="L213" s="25"/>
      <c r="M213" s="16"/>
      <c r="N213" s="16"/>
      <c r="O213" s="25"/>
      <c r="P213" s="25"/>
      <c r="Q213" s="25"/>
      <c r="R213" s="25"/>
      <c r="S213" s="25"/>
      <c r="T213" s="25"/>
      <c r="U213" s="25"/>
      <c r="V213" s="25"/>
      <c r="W213" s="25"/>
      <c r="X213" s="25"/>
      <c r="Y213" s="25"/>
      <c r="Z213" s="25"/>
      <c r="AA213" s="25"/>
      <c r="AB213" s="25"/>
    </row>
    <row r="214">
      <c r="A214" s="25"/>
      <c r="B214" s="25"/>
      <c r="C214" s="25"/>
      <c r="D214" s="25"/>
      <c r="E214" s="25"/>
      <c r="F214" s="241"/>
      <c r="G214" s="21" t="b">
        <f t="shared" ref="G214:H214" si="122">ISBLANK(M214)</f>
        <v>1</v>
      </c>
      <c r="H214" s="21" t="b">
        <f t="shared" si="122"/>
        <v>1</v>
      </c>
      <c r="I214" s="25"/>
      <c r="J214" s="25"/>
      <c r="K214" s="25"/>
      <c r="L214" s="25"/>
      <c r="M214" s="16"/>
      <c r="N214" s="16"/>
      <c r="O214" s="25"/>
      <c r="P214" s="25"/>
      <c r="Q214" s="25"/>
      <c r="R214" s="25"/>
      <c r="S214" s="25"/>
      <c r="T214" s="25"/>
      <c r="U214" s="25"/>
      <c r="V214" s="25"/>
      <c r="W214" s="25"/>
      <c r="X214" s="25"/>
      <c r="Y214" s="25"/>
      <c r="Z214" s="25"/>
      <c r="AA214" s="25"/>
      <c r="AB214" s="25"/>
    </row>
    <row r="215">
      <c r="A215" s="25"/>
      <c r="B215" s="25"/>
      <c r="C215" s="25"/>
      <c r="D215" s="25"/>
      <c r="E215" s="25"/>
      <c r="F215" s="241"/>
      <c r="G215" s="21" t="b">
        <f t="shared" ref="G215:H215" si="123">ISBLANK(M215)</f>
        <v>1</v>
      </c>
      <c r="H215" s="21" t="b">
        <f t="shared" si="123"/>
        <v>1</v>
      </c>
      <c r="I215" s="25"/>
      <c r="J215" s="25"/>
      <c r="K215" s="25"/>
      <c r="L215" s="25"/>
      <c r="M215" s="16"/>
      <c r="N215" s="16"/>
      <c r="O215" s="25"/>
      <c r="P215" s="25"/>
      <c r="Q215" s="25"/>
      <c r="R215" s="25"/>
      <c r="S215" s="25"/>
      <c r="T215" s="25"/>
      <c r="U215" s="25"/>
      <c r="V215" s="25"/>
      <c r="W215" s="25"/>
      <c r="X215" s="25"/>
      <c r="Y215" s="25"/>
      <c r="Z215" s="25"/>
      <c r="AA215" s="25"/>
      <c r="AB215" s="25"/>
    </row>
    <row r="216">
      <c r="A216" s="25"/>
      <c r="B216" s="25"/>
      <c r="C216" s="25"/>
      <c r="D216" s="25"/>
      <c r="E216" s="25"/>
      <c r="F216" s="241"/>
      <c r="G216" s="21" t="b">
        <f t="shared" ref="G216:H216" si="124">ISBLANK(M216)</f>
        <v>1</v>
      </c>
      <c r="H216" s="21" t="b">
        <f t="shared" si="124"/>
        <v>1</v>
      </c>
      <c r="I216" s="25"/>
      <c r="J216" s="25"/>
      <c r="K216" s="25"/>
      <c r="L216" s="25"/>
      <c r="M216" s="16"/>
      <c r="N216" s="16"/>
      <c r="O216" s="25"/>
      <c r="P216" s="25"/>
      <c r="Q216" s="25"/>
      <c r="R216" s="25"/>
      <c r="S216" s="25"/>
      <c r="T216" s="25"/>
      <c r="U216" s="25"/>
      <c r="V216" s="25"/>
      <c r="W216" s="25"/>
      <c r="X216" s="25"/>
      <c r="Y216" s="25"/>
      <c r="Z216" s="25"/>
      <c r="AA216" s="25"/>
      <c r="AB216" s="25"/>
    </row>
    <row r="217">
      <c r="A217" s="25"/>
      <c r="B217" s="25"/>
      <c r="C217" s="25"/>
      <c r="D217" s="25"/>
      <c r="E217" s="25"/>
      <c r="F217" s="241"/>
      <c r="G217" s="21" t="b">
        <f t="shared" ref="G217:H217" si="125">ISBLANK(M217)</f>
        <v>1</v>
      </c>
      <c r="H217" s="21" t="b">
        <f t="shared" si="125"/>
        <v>1</v>
      </c>
      <c r="I217" s="25"/>
      <c r="J217" s="25"/>
      <c r="K217" s="25"/>
      <c r="L217" s="25"/>
      <c r="M217" s="16"/>
      <c r="N217" s="16"/>
      <c r="O217" s="25"/>
      <c r="P217" s="25"/>
      <c r="Q217" s="25"/>
      <c r="R217" s="25"/>
      <c r="S217" s="25"/>
      <c r="T217" s="25"/>
      <c r="U217" s="25"/>
      <c r="V217" s="25"/>
      <c r="W217" s="25"/>
      <c r="X217" s="25"/>
      <c r="Y217" s="25"/>
      <c r="Z217" s="25"/>
      <c r="AA217" s="25"/>
      <c r="AB217" s="25"/>
    </row>
    <row r="218">
      <c r="A218" s="25"/>
      <c r="B218" s="25"/>
      <c r="C218" s="25"/>
      <c r="D218" s="25"/>
      <c r="E218" s="25"/>
      <c r="F218" s="241"/>
      <c r="G218" s="21" t="b">
        <f t="shared" ref="G218:H218" si="126">ISBLANK(M218)</f>
        <v>1</v>
      </c>
      <c r="H218" s="21" t="b">
        <f t="shared" si="126"/>
        <v>1</v>
      </c>
      <c r="I218" s="25"/>
      <c r="J218" s="25"/>
      <c r="K218" s="25"/>
      <c r="L218" s="25"/>
      <c r="M218" s="16"/>
      <c r="N218" s="16"/>
      <c r="O218" s="25"/>
      <c r="P218" s="25"/>
      <c r="Q218" s="25"/>
      <c r="R218" s="25"/>
      <c r="S218" s="25"/>
      <c r="T218" s="25"/>
      <c r="U218" s="25"/>
      <c r="V218" s="25"/>
      <c r="W218" s="25"/>
      <c r="X218" s="25"/>
      <c r="Y218" s="25"/>
      <c r="Z218" s="25"/>
      <c r="AA218" s="25"/>
      <c r="AB218" s="25"/>
    </row>
    <row r="219">
      <c r="A219" s="25"/>
      <c r="B219" s="25"/>
      <c r="C219" s="25"/>
      <c r="D219" s="25"/>
      <c r="E219" s="25"/>
      <c r="F219" s="241"/>
      <c r="G219" s="21" t="b">
        <f t="shared" ref="G219:H219" si="127">ISBLANK(M219)</f>
        <v>1</v>
      </c>
      <c r="H219" s="21" t="b">
        <f t="shared" si="127"/>
        <v>1</v>
      </c>
      <c r="I219" s="25"/>
      <c r="J219" s="25"/>
      <c r="K219" s="25"/>
      <c r="L219" s="25"/>
      <c r="M219" s="16"/>
      <c r="N219" s="16"/>
      <c r="O219" s="25"/>
      <c r="P219" s="25"/>
      <c r="Q219" s="25"/>
      <c r="R219" s="25"/>
      <c r="S219" s="25"/>
      <c r="T219" s="25"/>
      <c r="U219" s="25"/>
      <c r="V219" s="25"/>
      <c r="W219" s="25"/>
      <c r="X219" s="25"/>
      <c r="Y219" s="25"/>
      <c r="Z219" s="25"/>
      <c r="AA219" s="25"/>
      <c r="AB219" s="25"/>
    </row>
    <row r="220">
      <c r="A220" s="25"/>
      <c r="B220" s="25"/>
      <c r="C220" s="25"/>
      <c r="D220" s="25"/>
      <c r="E220" s="25"/>
      <c r="F220" s="241"/>
      <c r="G220" s="21" t="b">
        <f t="shared" ref="G220:H220" si="128">ISBLANK(M220)</f>
        <v>1</v>
      </c>
      <c r="H220" s="21" t="b">
        <f t="shared" si="128"/>
        <v>1</v>
      </c>
      <c r="I220" s="25"/>
      <c r="J220" s="25"/>
      <c r="K220" s="25"/>
      <c r="L220" s="25"/>
      <c r="M220" s="16"/>
      <c r="N220" s="16"/>
      <c r="O220" s="25"/>
      <c r="P220" s="25"/>
      <c r="Q220" s="25"/>
      <c r="R220" s="25"/>
      <c r="S220" s="25"/>
      <c r="T220" s="25"/>
      <c r="U220" s="25"/>
      <c r="V220" s="25"/>
      <c r="W220" s="25"/>
      <c r="X220" s="25"/>
      <c r="Y220" s="25"/>
      <c r="Z220" s="25"/>
      <c r="AA220" s="25"/>
      <c r="AB220" s="25"/>
    </row>
    <row r="221">
      <c r="A221" s="25"/>
      <c r="B221" s="25"/>
      <c r="C221" s="25"/>
      <c r="D221" s="25"/>
      <c r="E221" s="25"/>
      <c r="F221" s="241"/>
      <c r="G221" s="21" t="b">
        <f t="shared" ref="G221:H221" si="129">ISBLANK(M221)</f>
        <v>1</v>
      </c>
      <c r="H221" s="21" t="b">
        <f t="shared" si="129"/>
        <v>1</v>
      </c>
      <c r="I221" s="25"/>
      <c r="J221" s="25"/>
      <c r="K221" s="25"/>
      <c r="L221" s="25"/>
      <c r="M221" s="16"/>
      <c r="N221" s="16"/>
      <c r="O221" s="25"/>
      <c r="P221" s="25"/>
      <c r="Q221" s="25"/>
      <c r="R221" s="25"/>
      <c r="S221" s="25"/>
      <c r="T221" s="25"/>
      <c r="U221" s="25"/>
      <c r="V221" s="25"/>
      <c r="W221" s="25"/>
      <c r="X221" s="25"/>
      <c r="Y221" s="25"/>
      <c r="Z221" s="25"/>
      <c r="AA221" s="25"/>
      <c r="AB221" s="25"/>
    </row>
    <row r="222">
      <c r="A222" s="25"/>
      <c r="B222" s="25"/>
      <c r="C222" s="25"/>
      <c r="D222" s="25"/>
      <c r="E222" s="25"/>
      <c r="F222" s="241"/>
      <c r="G222" s="21" t="b">
        <f t="shared" ref="G222:H222" si="130">ISBLANK(M222)</f>
        <v>1</v>
      </c>
      <c r="H222" s="21" t="b">
        <f t="shared" si="130"/>
        <v>1</v>
      </c>
      <c r="I222" s="25"/>
      <c r="J222" s="25"/>
      <c r="K222" s="25"/>
      <c r="L222" s="25"/>
      <c r="M222" s="16"/>
      <c r="N222" s="16"/>
      <c r="O222" s="25"/>
      <c r="P222" s="25"/>
      <c r="Q222" s="25"/>
      <c r="R222" s="25"/>
      <c r="S222" s="25"/>
      <c r="T222" s="25"/>
      <c r="U222" s="25"/>
      <c r="V222" s="25"/>
      <c r="W222" s="25"/>
      <c r="X222" s="25"/>
      <c r="Y222" s="25"/>
      <c r="Z222" s="25"/>
      <c r="AA222" s="25"/>
      <c r="AB222" s="25"/>
    </row>
    <row r="223">
      <c r="A223" s="25"/>
      <c r="B223" s="25"/>
      <c r="C223" s="25"/>
      <c r="D223" s="25"/>
      <c r="E223" s="25"/>
      <c r="F223" s="241"/>
      <c r="G223" s="21" t="b">
        <f t="shared" ref="G223:H223" si="131">ISBLANK(M223)</f>
        <v>1</v>
      </c>
      <c r="H223" s="21" t="b">
        <f t="shared" si="131"/>
        <v>1</v>
      </c>
      <c r="I223" s="25"/>
      <c r="J223" s="25"/>
      <c r="K223" s="25"/>
      <c r="L223" s="25"/>
      <c r="M223" s="16"/>
      <c r="N223" s="16"/>
      <c r="O223" s="25"/>
      <c r="P223" s="25"/>
      <c r="Q223" s="25"/>
      <c r="R223" s="25"/>
      <c r="S223" s="25"/>
      <c r="T223" s="25"/>
      <c r="U223" s="25"/>
      <c r="V223" s="25"/>
      <c r="W223" s="25"/>
      <c r="X223" s="25"/>
      <c r="Y223" s="25"/>
      <c r="Z223" s="25"/>
      <c r="AA223" s="25"/>
      <c r="AB223" s="25"/>
    </row>
    <row r="224">
      <c r="A224" s="25"/>
      <c r="B224" s="25"/>
      <c r="C224" s="25"/>
      <c r="D224" s="25"/>
      <c r="E224" s="25"/>
      <c r="F224" s="241"/>
      <c r="G224" s="21" t="b">
        <f t="shared" ref="G224:H224" si="132">ISBLANK(M224)</f>
        <v>1</v>
      </c>
      <c r="H224" s="21" t="b">
        <f t="shared" si="132"/>
        <v>1</v>
      </c>
      <c r="I224" s="25"/>
      <c r="J224" s="25"/>
      <c r="K224" s="25"/>
      <c r="L224" s="25"/>
      <c r="M224" s="16"/>
      <c r="N224" s="16"/>
      <c r="O224" s="25"/>
      <c r="P224" s="25"/>
      <c r="Q224" s="25"/>
      <c r="R224" s="25"/>
      <c r="S224" s="25"/>
      <c r="T224" s="25"/>
      <c r="U224" s="25"/>
      <c r="V224" s="25"/>
      <c r="W224" s="25"/>
      <c r="X224" s="25"/>
      <c r="Y224" s="25"/>
      <c r="Z224" s="25"/>
      <c r="AA224" s="25"/>
      <c r="AB224" s="25"/>
    </row>
    <row r="225">
      <c r="A225" s="25"/>
      <c r="B225" s="25"/>
      <c r="C225" s="25"/>
      <c r="D225" s="25"/>
      <c r="E225" s="25"/>
      <c r="F225" s="241"/>
      <c r="G225" s="21" t="b">
        <f t="shared" ref="G225:H225" si="133">ISBLANK(M225)</f>
        <v>1</v>
      </c>
      <c r="H225" s="21" t="b">
        <f t="shared" si="133"/>
        <v>1</v>
      </c>
      <c r="I225" s="25"/>
      <c r="J225" s="25"/>
      <c r="K225" s="25"/>
      <c r="L225" s="25"/>
      <c r="M225" s="16"/>
      <c r="N225" s="16"/>
      <c r="O225" s="25"/>
      <c r="P225" s="25"/>
      <c r="Q225" s="25"/>
      <c r="R225" s="25"/>
      <c r="S225" s="25"/>
      <c r="T225" s="25"/>
      <c r="U225" s="25"/>
      <c r="V225" s="25"/>
      <c r="W225" s="25"/>
      <c r="X225" s="25"/>
      <c r="Y225" s="25"/>
      <c r="Z225" s="25"/>
      <c r="AA225" s="25"/>
      <c r="AB225" s="25"/>
    </row>
    <row r="226">
      <c r="A226" s="25"/>
      <c r="B226" s="25"/>
      <c r="C226" s="25"/>
      <c r="D226" s="25"/>
      <c r="E226" s="25"/>
      <c r="F226" s="241"/>
      <c r="G226" s="21" t="b">
        <f t="shared" ref="G226:H226" si="134">ISBLANK(M226)</f>
        <v>1</v>
      </c>
      <c r="H226" s="21" t="b">
        <f t="shared" si="134"/>
        <v>1</v>
      </c>
      <c r="I226" s="25"/>
      <c r="J226" s="25"/>
      <c r="K226" s="25"/>
      <c r="L226" s="25"/>
      <c r="M226" s="16"/>
      <c r="N226" s="16"/>
      <c r="O226" s="25"/>
      <c r="P226" s="25"/>
      <c r="Q226" s="25"/>
      <c r="R226" s="25"/>
      <c r="S226" s="25"/>
      <c r="T226" s="25"/>
      <c r="U226" s="25"/>
      <c r="V226" s="25"/>
      <c r="W226" s="25"/>
      <c r="X226" s="25"/>
      <c r="Y226" s="25"/>
      <c r="Z226" s="25"/>
      <c r="AA226" s="25"/>
      <c r="AB226" s="25"/>
    </row>
    <row r="227">
      <c r="A227" s="25"/>
      <c r="B227" s="25"/>
      <c r="C227" s="25"/>
      <c r="D227" s="25"/>
      <c r="E227" s="25"/>
      <c r="F227" s="241"/>
      <c r="G227" s="21" t="b">
        <f t="shared" ref="G227:H227" si="135">ISBLANK(M227)</f>
        <v>1</v>
      </c>
      <c r="H227" s="21" t="b">
        <f t="shared" si="135"/>
        <v>1</v>
      </c>
      <c r="I227" s="25"/>
      <c r="J227" s="25"/>
      <c r="K227" s="25"/>
      <c r="L227" s="25"/>
      <c r="M227" s="16"/>
      <c r="N227" s="16"/>
      <c r="O227" s="25"/>
      <c r="P227" s="25"/>
      <c r="Q227" s="25"/>
      <c r="R227" s="25"/>
      <c r="S227" s="25"/>
      <c r="T227" s="25"/>
      <c r="U227" s="25"/>
      <c r="V227" s="25"/>
      <c r="W227" s="25"/>
      <c r="X227" s="25"/>
      <c r="Y227" s="25"/>
      <c r="Z227" s="25"/>
      <c r="AA227" s="25"/>
      <c r="AB227" s="25"/>
    </row>
    <row r="228">
      <c r="A228" s="25"/>
      <c r="B228" s="25"/>
      <c r="C228" s="25"/>
      <c r="D228" s="25"/>
      <c r="E228" s="25"/>
      <c r="F228" s="241"/>
      <c r="G228" s="21" t="b">
        <f t="shared" ref="G228:H228" si="136">ISBLANK(M228)</f>
        <v>1</v>
      </c>
      <c r="H228" s="21" t="b">
        <f t="shared" si="136"/>
        <v>1</v>
      </c>
      <c r="I228" s="25"/>
      <c r="J228" s="25"/>
      <c r="K228" s="25"/>
      <c r="L228" s="25"/>
      <c r="M228" s="16"/>
      <c r="N228" s="16"/>
      <c r="O228" s="25"/>
      <c r="P228" s="25"/>
      <c r="Q228" s="25"/>
      <c r="R228" s="25"/>
      <c r="S228" s="25"/>
      <c r="T228" s="25"/>
      <c r="U228" s="25"/>
      <c r="V228" s="25"/>
      <c r="W228" s="25"/>
      <c r="X228" s="25"/>
      <c r="Y228" s="25"/>
      <c r="Z228" s="25"/>
      <c r="AA228" s="25"/>
      <c r="AB228" s="25"/>
    </row>
    <row r="229">
      <c r="A229" s="25"/>
      <c r="B229" s="25"/>
      <c r="C229" s="25"/>
      <c r="D229" s="25"/>
      <c r="E229" s="25"/>
      <c r="F229" s="241"/>
      <c r="G229" s="21" t="b">
        <f t="shared" ref="G229:H229" si="137">ISBLANK(M229)</f>
        <v>1</v>
      </c>
      <c r="H229" s="21" t="b">
        <f t="shared" si="137"/>
        <v>1</v>
      </c>
      <c r="I229" s="25"/>
      <c r="J229" s="25"/>
      <c r="K229" s="25"/>
      <c r="L229" s="25"/>
      <c r="M229" s="16"/>
      <c r="N229" s="16"/>
      <c r="O229" s="25"/>
      <c r="P229" s="25"/>
      <c r="Q229" s="25"/>
      <c r="R229" s="25"/>
      <c r="S229" s="25"/>
      <c r="T229" s="25"/>
      <c r="U229" s="25"/>
      <c r="V229" s="25"/>
      <c r="W229" s="25"/>
      <c r="X229" s="25"/>
      <c r="Y229" s="25"/>
      <c r="Z229" s="25"/>
      <c r="AA229" s="25"/>
      <c r="AB229" s="25"/>
    </row>
    <row r="230">
      <c r="A230" s="25"/>
      <c r="B230" s="25"/>
      <c r="C230" s="25"/>
      <c r="D230" s="25"/>
      <c r="E230" s="25"/>
      <c r="F230" s="241"/>
      <c r="G230" s="21" t="b">
        <f t="shared" ref="G230:H230" si="138">ISBLANK(M230)</f>
        <v>1</v>
      </c>
      <c r="H230" s="21" t="b">
        <f t="shared" si="138"/>
        <v>1</v>
      </c>
      <c r="I230" s="25"/>
      <c r="J230" s="25"/>
      <c r="K230" s="25"/>
      <c r="L230" s="25"/>
      <c r="M230" s="16"/>
      <c r="N230" s="16"/>
      <c r="O230" s="25"/>
      <c r="P230" s="25"/>
      <c r="Q230" s="25"/>
      <c r="R230" s="25"/>
      <c r="S230" s="25"/>
      <c r="T230" s="25"/>
      <c r="U230" s="25"/>
      <c r="V230" s="25"/>
      <c r="W230" s="25"/>
      <c r="X230" s="25"/>
      <c r="Y230" s="25"/>
      <c r="Z230" s="25"/>
      <c r="AA230" s="25"/>
      <c r="AB230" s="25"/>
    </row>
    <row r="231">
      <c r="A231" s="25"/>
      <c r="B231" s="25"/>
      <c r="C231" s="25"/>
      <c r="D231" s="25"/>
      <c r="E231" s="25"/>
      <c r="F231" s="241"/>
      <c r="G231" s="21" t="b">
        <f t="shared" ref="G231:H231" si="139">ISBLANK(M231)</f>
        <v>1</v>
      </c>
      <c r="H231" s="21" t="b">
        <f t="shared" si="139"/>
        <v>1</v>
      </c>
      <c r="I231" s="25"/>
      <c r="J231" s="25"/>
      <c r="K231" s="25"/>
      <c r="L231" s="25"/>
      <c r="M231" s="16"/>
      <c r="N231" s="16"/>
      <c r="O231" s="25"/>
      <c r="P231" s="25"/>
      <c r="Q231" s="25"/>
      <c r="R231" s="25"/>
      <c r="S231" s="25"/>
      <c r="T231" s="25"/>
      <c r="U231" s="25"/>
      <c r="V231" s="25"/>
      <c r="W231" s="25"/>
      <c r="X231" s="25"/>
      <c r="Y231" s="25"/>
      <c r="Z231" s="25"/>
      <c r="AA231" s="25"/>
      <c r="AB231" s="25"/>
    </row>
    <row r="232">
      <c r="A232" s="25"/>
      <c r="B232" s="25"/>
      <c r="C232" s="25"/>
      <c r="D232" s="25"/>
      <c r="E232" s="25"/>
      <c r="F232" s="241"/>
      <c r="G232" s="21" t="b">
        <f t="shared" ref="G232:H232" si="140">ISBLANK(M232)</f>
        <v>1</v>
      </c>
      <c r="H232" s="21" t="b">
        <f t="shared" si="140"/>
        <v>1</v>
      </c>
      <c r="I232" s="25"/>
      <c r="J232" s="25"/>
      <c r="K232" s="25"/>
      <c r="L232" s="25"/>
      <c r="M232" s="16"/>
      <c r="N232" s="16"/>
      <c r="O232" s="25"/>
      <c r="P232" s="25"/>
      <c r="Q232" s="25"/>
      <c r="R232" s="25"/>
      <c r="S232" s="25"/>
      <c r="T232" s="25"/>
      <c r="U232" s="25"/>
      <c r="V232" s="25"/>
      <c r="W232" s="25"/>
      <c r="X232" s="25"/>
      <c r="Y232" s="25"/>
      <c r="Z232" s="25"/>
      <c r="AA232" s="25"/>
      <c r="AB232" s="25"/>
    </row>
    <row r="233">
      <c r="A233" s="25"/>
      <c r="B233" s="25"/>
      <c r="C233" s="25"/>
      <c r="D233" s="25"/>
      <c r="E233" s="25"/>
      <c r="F233" s="241"/>
      <c r="G233" s="21" t="b">
        <f t="shared" ref="G233:H233" si="141">ISBLANK(M233)</f>
        <v>1</v>
      </c>
      <c r="H233" s="21" t="b">
        <f t="shared" si="141"/>
        <v>1</v>
      </c>
      <c r="I233" s="25"/>
      <c r="J233" s="25"/>
      <c r="K233" s="25"/>
      <c r="L233" s="25"/>
      <c r="M233" s="16"/>
      <c r="N233" s="16"/>
      <c r="O233" s="25"/>
      <c r="P233" s="25"/>
      <c r="Q233" s="25"/>
      <c r="R233" s="25"/>
      <c r="S233" s="25"/>
      <c r="T233" s="25"/>
      <c r="U233" s="25"/>
      <c r="V233" s="25"/>
      <c r="W233" s="25"/>
      <c r="X233" s="25"/>
      <c r="Y233" s="25"/>
      <c r="Z233" s="25"/>
      <c r="AA233" s="25"/>
      <c r="AB233" s="25"/>
    </row>
    <row r="234">
      <c r="A234" s="25"/>
      <c r="B234" s="25"/>
      <c r="C234" s="25"/>
      <c r="D234" s="25"/>
      <c r="E234" s="25"/>
      <c r="F234" s="241"/>
      <c r="G234" s="21" t="b">
        <f t="shared" ref="G234:H234" si="142">ISBLANK(M234)</f>
        <v>1</v>
      </c>
      <c r="H234" s="21" t="b">
        <f t="shared" si="142"/>
        <v>1</v>
      </c>
      <c r="I234" s="25"/>
      <c r="J234" s="25"/>
      <c r="K234" s="25"/>
      <c r="L234" s="25"/>
      <c r="M234" s="16"/>
      <c r="N234" s="16"/>
      <c r="O234" s="25"/>
      <c r="P234" s="25"/>
      <c r="Q234" s="25"/>
      <c r="R234" s="25"/>
      <c r="S234" s="25"/>
      <c r="T234" s="25"/>
      <c r="U234" s="25"/>
      <c r="V234" s="25"/>
      <c r="W234" s="25"/>
      <c r="X234" s="25"/>
      <c r="Y234" s="25"/>
      <c r="Z234" s="25"/>
      <c r="AA234" s="25"/>
      <c r="AB234" s="25"/>
    </row>
    <row r="235">
      <c r="A235" s="25"/>
      <c r="B235" s="25"/>
      <c r="C235" s="25"/>
      <c r="D235" s="25"/>
      <c r="E235" s="25"/>
      <c r="F235" s="241"/>
      <c r="G235" s="21" t="b">
        <f t="shared" ref="G235:H235" si="143">ISBLANK(M235)</f>
        <v>1</v>
      </c>
      <c r="H235" s="21" t="b">
        <f t="shared" si="143"/>
        <v>1</v>
      </c>
      <c r="I235" s="25"/>
      <c r="J235" s="25"/>
      <c r="K235" s="25"/>
      <c r="L235" s="25"/>
      <c r="M235" s="16"/>
      <c r="N235" s="16"/>
      <c r="O235" s="25"/>
      <c r="P235" s="25"/>
      <c r="Q235" s="25"/>
      <c r="R235" s="25"/>
      <c r="S235" s="25"/>
      <c r="T235" s="25"/>
      <c r="U235" s="25"/>
      <c r="V235" s="25"/>
      <c r="W235" s="25"/>
      <c r="X235" s="25"/>
      <c r="Y235" s="25"/>
      <c r="Z235" s="25"/>
      <c r="AA235" s="25"/>
      <c r="AB235" s="25"/>
    </row>
    <row r="236">
      <c r="A236" s="25"/>
      <c r="B236" s="25"/>
      <c r="C236" s="25"/>
      <c r="D236" s="25"/>
      <c r="E236" s="25"/>
      <c r="F236" s="241"/>
      <c r="G236" s="21" t="b">
        <f t="shared" ref="G236:H236" si="144">ISBLANK(M236)</f>
        <v>1</v>
      </c>
      <c r="H236" s="21" t="b">
        <f t="shared" si="144"/>
        <v>1</v>
      </c>
      <c r="I236" s="25"/>
      <c r="J236" s="25"/>
      <c r="K236" s="25"/>
      <c r="L236" s="25"/>
      <c r="M236" s="16"/>
      <c r="N236" s="16"/>
      <c r="O236" s="25"/>
      <c r="P236" s="25"/>
      <c r="Q236" s="25"/>
      <c r="R236" s="25"/>
      <c r="S236" s="25"/>
      <c r="T236" s="25"/>
      <c r="U236" s="25"/>
      <c r="V236" s="25"/>
      <c r="W236" s="25"/>
      <c r="X236" s="25"/>
      <c r="Y236" s="25"/>
      <c r="Z236" s="25"/>
      <c r="AA236" s="25"/>
      <c r="AB236" s="25"/>
    </row>
    <row r="237">
      <c r="A237" s="25"/>
      <c r="B237" s="25"/>
      <c r="C237" s="25"/>
      <c r="D237" s="25"/>
      <c r="E237" s="25"/>
      <c r="F237" s="241"/>
      <c r="G237" s="21" t="b">
        <f t="shared" ref="G237:H237" si="145">ISBLANK(M237)</f>
        <v>1</v>
      </c>
      <c r="H237" s="21" t="b">
        <f t="shared" si="145"/>
        <v>1</v>
      </c>
      <c r="I237" s="25"/>
      <c r="J237" s="25"/>
      <c r="K237" s="25"/>
      <c r="L237" s="25"/>
      <c r="M237" s="16"/>
      <c r="N237" s="16"/>
      <c r="O237" s="25"/>
      <c r="P237" s="25"/>
      <c r="Q237" s="25"/>
      <c r="R237" s="25"/>
      <c r="S237" s="25"/>
      <c r="T237" s="25"/>
      <c r="U237" s="25"/>
      <c r="V237" s="25"/>
      <c r="W237" s="25"/>
      <c r="X237" s="25"/>
      <c r="Y237" s="25"/>
      <c r="Z237" s="25"/>
      <c r="AA237" s="25"/>
      <c r="AB237" s="25"/>
    </row>
    <row r="238">
      <c r="A238" s="25"/>
      <c r="B238" s="25"/>
      <c r="C238" s="25"/>
      <c r="D238" s="25"/>
      <c r="E238" s="25"/>
      <c r="F238" s="241"/>
      <c r="G238" s="21" t="b">
        <f t="shared" ref="G238:H238" si="146">ISBLANK(M238)</f>
        <v>1</v>
      </c>
      <c r="H238" s="21" t="b">
        <f t="shared" si="146"/>
        <v>1</v>
      </c>
      <c r="I238" s="25"/>
      <c r="J238" s="25"/>
      <c r="K238" s="25"/>
      <c r="L238" s="25"/>
      <c r="M238" s="16"/>
      <c r="N238" s="16"/>
      <c r="O238" s="25"/>
      <c r="P238" s="25"/>
      <c r="Q238" s="25"/>
      <c r="R238" s="25"/>
      <c r="S238" s="25"/>
      <c r="T238" s="25"/>
      <c r="U238" s="25"/>
      <c r="V238" s="25"/>
      <c r="W238" s="25"/>
      <c r="X238" s="25"/>
      <c r="Y238" s="25"/>
      <c r="Z238" s="25"/>
      <c r="AA238" s="25"/>
      <c r="AB238" s="25"/>
    </row>
    <row r="239">
      <c r="A239" s="25"/>
      <c r="B239" s="25"/>
      <c r="C239" s="25"/>
      <c r="D239" s="25"/>
      <c r="E239" s="25"/>
      <c r="F239" s="241"/>
      <c r="G239" s="21" t="b">
        <f t="shared" ref="G239:H239" si="147">ISBLANK(M239)</f>
        <v>1</v>
      </c>
      <c r="H239" s="21" t="b">
        <f t="shared" si="147"/>
        <v>1</v>
      </c>
      <c r="I239" s="25"/>
      <c r="J239" s="25"/>
      <c r="K239" s="25"/>
      <c r="L239" s="25"/>
      <c r="M239" s="16"/>
      <c r="N239" s="16"/>
      <c r="O239" s="25"/>
      <c r="P239" s="25"/>
      <c r="Q239" s="25"/>
      <c r="R239" s="25"/>
      <c r="S239" s="25"/>
      <c r="T239" s="25"/>
      <c r="U239" s="25"/>
      <c r="V239" s="25"/>
      <c r="W239" s="25"/>
      <c r="X239" s="25"/>
      <c r="Y239" s="25"/>
      <c r="Z239" s="25"/>
      <c r="AA239" s="25"/>
      <c r="AB239" s="25"/>
    </row>
    <row r="240">
      <c r="A240" s="25"/>
      <c r="B240" s="25"/>
      <c r="C240" s="25"/>
      <c r="D240" s="25"/>
      <c r="E240" s="25"/>
      <c r="F240" s="241"/>
      <c r="G240" s="21" t="b">
        <f t="shared" ref="G240:H240" si="148">ISBLANK(M240)</f>
        <v>1</v>
      </c>
      <c r="H240" s="21" t="b">
        <f t="shared" si="148"/>
        <v>1</v>
      </c>
      <c r="I240" s="25"/>
      <c r="J240" s="25"/>
      <c r="K240" s="25"/>
      <c r="L240" s="25"/>
      <c r="M240" s="16"/>
      <c r="N240" s="16"/>
      <c r="O240" s="25"/>
      <c r="P240" s="25"/>
      <c r="Q240" s="25"/>
      <c r="R240" s="25"/>
      <c r="S240" s="25"/>
      <c r="T240" s="25"/>
      <c r="U240" s="25"/>
      <c r="V240" s="25"/>
      <c r="W240" s="25"/>
      <c r="X240" s="25"/>
      <c r="Y240" s="25"/>
      <c r="Z240" s="25"/>
      <c r="AA240" s="25"/>
      <c r="AB240" s="25"/>
    </row>
    <row r="241">
      <c r="A241" s="25"/>
      <c r="B241" s="25"/>
      <c r="C241" s="25"/>
      <c r="D241" s="25"/>
      <c r="E241" s="25"/>
      <c r="F241" s="241"/>
      <c r="G241" s="21" t="b">
        <f t="shared" ref="G241:H241" si="149">ISBLANK(M241)</f>
        <v>1</v>
      </c>
      <c r="H241" s="21" t="b">
        <f t="shared" si="149"/>
        <v>1</v>
      </c>
      <c r="I241" s="25"/>
      <c r="J241" s="25"/>
      <c r="K241" s="25"/>
      <c r="L241" s="25"/>
      <c r="M241" s="16"/>
      <c r="N241" s="16"/>
      <c r="O241" s="25"/>
      <c r="P241" s="25"/>
      <c r="Q241" s="25"/>
      <c r="R241" s="25"/>
      <c r="S241" s="25"/>
      <c r="T241" s="25"/>
      <c r="U241" s="25"/>
      <c r="V241" s="25"/>
      <c r="W241" s="25"/>
      <c r="X241" s="25"/>
      <c r="Y241" s="25"/>
      <c r="Z241" s="25"/>
      <c r="AA241" s="25"/>
      <c r="AB241" s="25"/>
    </row>
    <row r="242">
      <c r="A242" s="25"/>
      <c r="B242" s="25"/>
      <c r="C242" s="25"/>
      <c r="D242" s="25"/>
      <c r="E242" s="25"/>
      <c r="F242" s="241"/>
      <c r="G242" s="21" t="b">
        <f t="shared" ref="G242:H242" si="150">ISBLANK(M242)</f>
        <v>1</v>
      </c>
      <c r="H242" s="21" t="b">
        <f t="shared" si="150"/>
        <v>1</v>
      </c>
      <c r="I242" s="25"/>
      <c r="J242" s="25"/>
      <c r="K242" s="25"/>
      <c r="L242" s="25"/>
      <c r="M242" s="16"/>
      <c r="N242" s="16"/>
      <c r="O242" s="25"/>
      <c r="P242" s="25"/>
      <c r="Q242" s="25"/>
      <c r="R242" s="25"/>
      <c r="S242" s="25"/>
      <c r="T242" s="25"/>
      <c r="U242" s="25"/>
      <c r="V242" s="25"/>
      <c r="W242" s="25"/>
      <c r="X242" s="25"/>
      <c r="Y242" s="25"/>
      <c r="Z242" s="25"/>
      <c r="AA242" s="25"/>
      <c r="AB242" s="25"/>
    </row>
    <row r="243">
      <c r="A243" s="25"/>
      <c r="B243" s="25"/>
      <c r="C243" s="25"/>
      <c r="D243" s="25"/>
      <c r="E243" s="25"/>
      <c r="F243" s="241"/>
      <c r="G243" s="21" t="b">
        <f t="shared" ref="G243:H243" si="151">ISBLANK(M243)</f>
        <v>1</v>
      </c>
      <c r="H243" s="21" t="b">
        <f t="shared" si="151"/>
        <v>1</v>
      </c>
      <c r="I243" s="25"/>
      <c r="J243" s="25"/>
      <c r="K243" s="25"/>
      <c r="L243" s="25"/>
      <c r="M243" s="16"/>
      <c r="N243" s="16"/>
      <c r="O243" s="25"/>
      <c r="P243" s="25"/>
      <c r="Q243" s="25"/>
      <c r="R243" s="25"/>
      <c r="S243" s="25"/>
      <c r="T243" s="25"/>
      <c r="U243" s="25"/>
      <c r="V243" s="25"/>
      <c r="W243" s="25"/>
      <c r="X243" s="25"/>
      <c r="Y243" s="25"/>
      <c r="Z243" s="25"/>
      <c r="AA243" s="25"/>
      <c r="AB243" s="25"/>
    </row>
    <row r="244">
      <c r="A244" s="25"/>
      <c r="B244" s="25"/>
      <c r="C244" s="25"/>
      <c r="D244" s="25"/>
      <c r="E244" s="25"/>
      <c r="F244" s="241"/>
      <c r="G244" s="21" t="b">
        <f t="shared" ref="G244:H244" si="152">ISBLANK(M244)</f>
        <v>1</v>
      </c>
      <c r="H244" s="21" t="b">
        <f t="shared" si="152"/>
        <v>1</v>
      </c>
      <c r="I244" s="25"/>
      <c r="J244" s="25"/>
      <c r="K244" s="25"/>
      <c r="L244" s="25"/>
      <c r="M244" s="16"/>
      <c r="N244" s="16"/>
      <c r="O244" s="25"/>
      <c r="P244" s="25"/>
      <c r="Q244" s="25"/>
      <c r="R244" s="25"/>
      <c r="S244" s="25"/>
      <c r="T244" s="25"/>
      <c r="U244" s="25"/>
      <c r="V244" s="25"/>
      <c r="W244" s="25"/>
      <c r="X244" s="25"/>
      <c r="Y244" s="25"/>
      <c r="Z244" s="25"/>
      <c r="AA244" s="25"/>
      <c r="AB244" s="25"/>
    </row>
    <row r="245">
      <c r="A245" s="25"/>
      <c r="B245" s="25"/>
      <c r="C245" s="25"/>
      <c r="D245" s="25"/>
      <c r="E245" s="25"/>
      <c r="F245" s="241"/>
      <c r="G245" s="21" t="b">
        <f t="shared" ref="G245:H245" si="153">ISBLANK(M245)</f>
        <v>1</v>
      </c>
      <c r="H245" s="21" t="b">
        <f t="shared" si="153"/>
        <v>1</v>
      </c>
      <c r="I245" s="25"/>
      <c r="J245" s="25"/>
      <c r="K245" s="25"/>
      <c r="L245" s="25"/>
      <c r="M245" s="16"/>
      <c r="N245" s="16"/>
      <c r="O245" s="25"/>
      <c r="P245" s="25"/>
      <c r="Q245" s="25"/>
      <c r="R245" s="25"/>
      <c r="S245" s="25"/>
      <c r="T245" s="25"/>
      <c r="U245" s="25"/>
      <c r="V245" s="25"/>
      <c r="W245" s="25"/>
      <c r="X245" s="25"/>
      <c r="Y245" s="25"/>
      <c r="Z245" s="25"/>
      <c r="AA245" s="25"/>
      <c r="AB245" s="25"/>
    </row>
    <row r="246">
      <c r="A246" s="25"/>
      <c r="B246" s="25"/>
      <c r="C246" s="25"/>
      <c r="D246" s="25"/>
      <c r="E246" s="25"/>
      <c r="F246" s="241"/>
      <c r="G246" s="21" t="b">
        <f t="shared" ref="G246:H246" si="154">ISBLANK(M246)</f>
        <v>1</v>
      </c>
      <c r="H246" s="21" t="b">
        <f t="shared" si="154"/>
        <v>1</v>
      </c>
      <c r="I246" s="25"/>
      <c r="J246" s="25"/>
      <c r="K246" s="25"/>
      <c r="L246" s="25"/>
      <c r="M246" s="16"/>
      <c r="N246" s="16"/>
      <c r="O246" s="25"/>
      <c r="P246" s="25"/>
      <c r="Q246" s="25"/>
      <c r="R246" s="25"/>
      <c r="S246" s="25"/>
      <c r="T246" s="25"/>
      <c r="U246" s="25"/>
      <c r="V246" s="25"/>
      <c r="W246" s="25"/>
      <c r="X246" s="25"/>
      <c r="Y246" s="25"/>
      <c r="Z246" s="25"/>
      <c r="AA246" s="25"/>
      <c r="AB246" s="25"/>
    </row>
    <row r="247">
      <c r="A247" s="25"/>
      <c r="B247" s="25"/>
      <c r="C247" s="25"/>
      <c r="D247" s="25"/>
      <c r="E247" s="25"/>
      <c r="F247" s="241"/>
      <c r="G247" s="21" t="b">
        <f t="shared" ref="G247:H247" si="155">ISBLANK(M247)</f>
        <v>1</v>
      </c>
      <c r="H247" s="21" t="b">
        <f t="shared" si="155"/>
        <v>1</v>
      </c>
      <c r="I247" s="25"/>
      <c r="J247" s="25"/>
      <c r="K247" s="25"/>
      <c r="L247" s="25"/>
      <c r="M247" s="16"/>
      <c r="N247" s="16"/>
      <c r="O247" s="25"/>
      <c r="P247" s="25"/>
      <c r="Q247" s="25"/>
      <c r="R247" s="25"/>
      <c r="S247" s="25"/>
      <c r="T247" s="25"/>
      <c r="U247" s="25"/>
      <c r="V247" s="25"/>
      <c r="W247" s="25"/>
      <c r="X247" s="25"/>
      <c r="Y247" s="25"/>
      <c r="Z247" s="25"/>
      <c r="AA247" s="25"/>
      <c r="AB247" s="25"/>
    </row>
    <row r="248">
      <c r="A248" s="25"/>
      <c r="B248" s="25"/>
      <c r="C248" s="25"/>
      <c r="D248" s="25"/>
      <c r="E248" s="25"/>
      <c r="F248" s="241"/>
      <c r="G248" s="21" t="b">
        <f t="shared" ref="G248:H248" si="156">ISBLANK(M248)</f>
        <v>1</v>
      </c>
      <c r="H248" s="21" t="b">
        <f t="shared" si="156"/>
        <v>1</v>
      </c>
      <c r="I248" s="25"/>
      <c r="J248" s="25"/>
      <c r="K248" s="25"/>
      <c r="L248" s="25"/>
      <c r="M248" s="16"/>
      <c r="N248" s="16"/>
      <c r="O248" s="25"/>
      <c r="P248" s="25"/>
      <c r="Q248" s="25"/>
      <c r="R248" s="25"/>
      <c r="S248" s="25"/>
      <c r="T248" s="25"/>
      <c r="U248" s="25"/>
      <c r="V248" s="25"/>
      <c r="W248" s="25"/>
      <c r="X248" s="25"/>
      <c r="Y248" s="25"/>
      <c r="Z248" s="25"/>
      <c r="AA248" s="25"/>
      <c r="AB248" s="25"/>
    </row>
    <row r="249">
      <c r="A249" s="25"/>
      <c r="B249" s="25"/>
      <c r="C249" s="25"/>
      <c r="D249" s="25"/>
      <c r="E249" s="25"/>
      <c r="F249" s="241"/>
      <c r="G249" s="21" t="b">
        <f t="shared" ref="G249:H249" si="157">ISBLANK(M249)</f>
        <v>1</v>
      </c>
      <c r="H249" s="21" t="b">
        <f t="shared" si="157"/>
        <v>1</v>
      </c>
      <c r="I249" s="25"/>
      <c r="J249" s="25"/>
      <c r="K249" s="25"/>
      <c r="L249" s="25"/>
      <c r="M249" s="16"/>
      <c r="N249" s="16"/>
      <c r="O249" s="25"/>
      <c r="P249" s="25"/>
      <c r="Q249" s="25"/>
      <c r="R249" s="25"/>
      <c r="S249" s="25"/>
      <c r="T249" s="25"/>
      <c r="U249" s="25"/>
      <c r="V249" s="25"/>
      <c r="W249" s="25"/>
      <c r="X249" s="25"/>
      <c r="Y249" s="25"/>
      <c r="Z249" s="25"/>
      <c r="AA249" s="25"/>
      <c r="AB249" s="25"/>
    </row>
    <row r="250">
      <c r="A250" s="25"/>
      <c r="B250" s="25"/>
      <c r="C250" s="25"/>
      <c r="D250" s="25"/>
      <c r="E250" s="25"/>
      <c r="F250" s="241"/>
      <c r="G250" s="21" t="b">
        <f t="shared" ref="G250:H250" si="158">ISBLANK(M250)</f>
        <v>1</v>
      </c>
      <c r="H250" s="21" t="b">
        <f t="shared" si="158"/>
        <v>1</v>
      </c>
      <c r="I250" s="25"/>
      <c r="J250" s="25"/>
      <c r="K250" s="25"/>
      <c r="L250" s="25"/>
      <c r="M250" s="16"/>
      <c r="N250" s="16"/>
      <c r="O250" s="25"/>
      <c r="P250" s="25"/>
      <c r="Q250" s="25"/>
      <c r="R250" s="25"/>
      <c r="S250" s="25"/>
      <c r="T250" s="25"/>
      <c r="U250" s="25"/>
      <c r="V250" s="25"/>
      <c r="W250" s="25"/>
      <c r="X250" s="25"/>
      <c r="Y250" s="25"/>
      <c r="Z250" s="25"/>
      <c r="AA250" s="25"/>
      <c r="AB250" s="25"/>
    </row>
    <row r="251">
      <c r="A251" s="25"/>
      <c r="B251" s="25"/>
      <c r="C251" s="25"/>
      <c r="D251" s="25"/>
      <c r="E251" s="25"/>
      <c r="F251" s="241"/>
      <c r="G251" s="21" t="b">
        <f t="shared" ref="G251:H251" si="159">ISBLANK(M251)</f>
        <v>1</v>
      </c>
      <c r="H251" s="21" t="b">
        <f t="shared" si="159"/>
        <v>1</v>
      </c>
      <c r="I251" s="25"/>
      <c r="J251" s="25"/>
      <c r="K251" s="25"/>
      <c r="L251" s="25"/>
      <c r="M251" s="16"/>
      <c r="N251" s="16"/>
      <c r="O251" s="25"/>
      <c r="P251" s="25"/>
      <c r="Q251" s="25"/>
      <c r="R251" s="25"/>
      <c r="S251" s="25"/>
      <c r="T251" s="25"/>
      <c r="U251" s="25"/>
      <c r="V251" s="25"/>
      <c r="W251" s="25"/>
      <c r="X251" s="25"/>
      <c r="Y251" s="25"/>
      <c r="Z251" s="25"/>
      <c r="AA251" s="25"/>
      <c r="AB251" s="25"/>
    </row>
    <row r="252">
      <c r="A252" s="25"/>
      <c r="B252" s="25"/>
      <c r="C252" s="25"/>
      <c r="D252" s="25"/>
      <c r="E252" s="25"/>
      <c r="F252" s="241"/>
      <c r="G252" s="21" t="b">
        <f t="shared" ref="G252:H252" si="160">ISBLANK(M252)</f>
        <v>1</v>
      </c>
      <c r="H252" s="21" t="b">
        <f t="shared" si="160"/>
        <v>1</v>
      </c>
      <c r="I252" s="25"/>
      <c r="J252" s="25"/>
      <c r="K252" s="25"/>
      <c r="L252" s="25"/>
      <c r="M252" s="16"/>
      <c r="N252" s="16"/>
      <c r="O252" s="25"/>
      <c r="P252" s="25"/>
      <c r="Q252" s="25"/>
      <c r="R252" s="25"/>
      <c r="S252" s="25"/>
      <c r="T252" s="25"/>
      <c r="U252" s="25"/>
      <c r="V252" s="25"/>
      <c r="W252" s="25"/>
      <c r="X252" s="25"/>
      <c r="Y252" s="25"/>
      <c r="Z252" s="25"/>
      <c r="AA252" s="25"/>
      <c r="AB252" s="25"/>
    </row>
    <row r="253">
      <c r="A253" s="25"/>
      <c r="B253" s="25"/>
      <c r="C253" s="25"/>
      <c r="D253" s="25"/>
      <c r="E253" s="25"/>
      <c r="F253" s="241"/>
      <c r="G253" s="21" t="b">
        <f t="shared" ref="G253:H253" si="161">ISBLANK(M253)</f>
        <v>1</v>
      </c>
      <c r="H253" s="21" t="b">
        <f t="shared" si="161"/>
        <v>1</v>
      </c>
      <c r="I253" s="25"/>
      <c r="J253" s="25"/>
      <c r="K253" s="25"/>
      <c r="L253" s="25"/>
      <c r="M253" s="16"/>
      <c r="N253" s="16"/>
      <c r="O253" s="25"/>
      <c r="P253" s="25"/>
      <c r="Q253" s="25"/>
      <c r="R253" s="25"/>
      <c r="S253" s="25"/>
      <c r="T253" s="25"/>
      <c r="U253" s="25"/>
      <c r="V253" s="25"/>
      <c r="W253" s="25"/>
      <c r="X253" s="25"/>
      <c r="Y253" s="25"/>
      <c r="Z253" s="25"/>
      <c r="AA253" s="25"/>
      <c r="AB253" s="25"/>
    </row>
    <row r="254">
      <c r="A254" s="25"/>
      <c r="B254" s="25"/>
      <c r="C254" s="25"/>
      <c r="D254" s="25"/>
      <c r="E254" s="25"/>
      <c r="F254" s="241"/>
      <c r="G254" s="21" t="b">
        <f t="shared" ref="G254:H254" si="162">ISBLANK(M254)</f>
        <v>1</v>
      </c>
      <c r="H254" s="21" t="b">
        <f t="shared" si="162"/>
        <v>1</v>
      </c>
      <c r="I254" s="25"/>
      <c r="J254" s="25"/>
      <c r="K254" s="25"/>
      <c r="L254" s="25"/>
      <c r="M254" s="16"/>
      <c r="N254" s="16"/>
      <c r="O254" s="25"/>
      <c r="P254" s="25"/>
      <c r="Q254" s="25"/>
      <c r="R254" s="25"/>
      <c r="S254" s="25"/>
      <c r="T254" s="25"/>
      <c r="U254" s="25"/>
      <c r="V254" s="25"/>
      <c r="W254" s="25"/>
      <c r="X254" s="25"/>
      <c r="Y254" s="25"/>
      <c r="Z254" s="25"/>
      <c r="AA254" s="25"/>
      <c r="AB254" s="25"/>
    </row>
    <row r="255">
      <c r="A255" s="25"/>
      <c r="B255" s="25"/>
      <c r="C255" s="25"/>
      <c r="D255" s="25"/>
      <c r="E255" s="25"/>
      <c r="F255" s="241"/>
      <c r="G255" s="21" t="b">
        <f t="shared" ref="G255:H255" si="163">ISBLANK(M255)</f>
        <v>1</v>
      </c>
      <c r="H255" s="21" t="b">
        <f t="shared" si="163"/>
        <v>1</v>
      </c>
      <c r="I255" s="25"/>
      <c r="J255" s="25"/>
      <c r="K255" s="25"/>
      <c r="L255" s="25"/>
      <c r="M255" s="16"/>
      <c r="N255" s="16"/>
      <c r="O255" s="25"/>
      <c r="P255" s="25"/>
      <c r="Q255" s="25"/>
      <c r="R255" s="25"/>
      <c r="S255" s="25"/>
      <c r="T255" s="25"/>
      <c r="U255" s="25"/>
      <c r="V255" s="25"/>
      <c r="W255" s="25"/>
      <c r="X255" s="25"/>
      <c r="Y255" s="25"/>
      <c r="Z255" s="25"/>
      <c r="AA255" s="25"/>
      <c r="AB255" s="25"/>
    </row>
    <row r="256">
      <c r="A256" s="25"/>
      <c r="B256" s="25"/>
      <c r="C256" s="25"/>
      <c r="D256" s="25"/>
      <c r="E256" s="25"/>
      <c r="F256" s="241"/>
      <c r="G256" s="21" t="b">
        <f t="shared" ref="G256:H256" si="164">ISBLANK(M256)</f>
        <v>1</v>
      </c>
      <c r="H256" s="21" t="b">
        <f t="shared" si="164"/>
        <v>1</v>
      </c>
      <c r="I256" s="25"/>
      <c r="J256" s="25"/>
      <c r="K256" s="25"/>
      <c r="L256" s="25"/>
      <c r="M256" s="16"/>
      <c r="N256" s="16"/>
      <c r="O256" s="25"/>
      <c r="P256" s="25"/>
      <c r="Q256" s="25"/>
      <c r="R256" s="25"/>
      <c r="S256" s="25"/>
      <c r="T256" s="25"/>
      <c r="U256" s="25"/>
      <c r="V256" s="25"/>
      <c r="W256" s="25"/>
      <c r="X256" s="25"/>
      <c r="Y256" s="25"/>
      <c r="Z256" s="25"/>
      <c r="AA256" s="25"/>
      <c r="AB256" s="25"/>
    </row>
    <row r="257">
      <c r="A257" s="25"/>
      <c r="B257" s="25"/>
      <c r="C257" s="25"/>
      <c r="D257" s="25"/>
      <c r="E257" s="25"/>
      <c r="F257" s="241"/>
      <c r="G257" s="21" t="b">
        <f t="shared" ref="G257:H257" si="165">ISBLANK(M257)</f>
        <v>1</v>
      </c>
      <c r="H257" s="21" t="b">
        <f t="shared" si="165"/>
        <v>1</v>
      </c>
      <c r="I257" s="25"/>
      <c r="J257" s="25"/>
      <c r="K257" s="25"/>
      <c r="L257" s="25"/>
      <c r="M257" s="16"/>
      <c r="N257" s="16"/>
      <c r="O257" s="25"/>
      <c r="P257" s="25"/>
      <c r="Q257" s="25"/>
      <c r="R257" s="25"/>
      <c r="S257" s="25"/>
      <c r="T257" s="25"/>
      <c r="U257" s="25"/>
      <c r="V257" s="25"/>
      <c r="W257" s="25"/>
      <c r="X257" s="25"/>
      <c r="Y257" s="25"/>
      <c r="Z257" s="25"/>
      <c r="AA257" s="25"/>
      <c r="AB257" s="25"/>
    </row>
    <row r="258">
      <c r="A258" s="25"/>
      <c r="B258" s="25"/>
      <c r="C258" s="25"/>
      <c r="D258" s="25"/>
      <c r="E258" s="25"/>
      <c r="F258" s="241"/>
      <c r="G258" s="21" t="b">
        <f t="shared" ref="G258:H258" si="166">ISBLANK(M258)</f>
        <v>1</v>
      </c>
      <c r="H258" s="21" t="b">
        <f t="shared" si="166"/>
        <v>1</v>
      </c>
      <c r="I258" s="25"/>
      <c r="J258" s="25"/>
      <c r="K258" s="25"/>
      <c r="L258" s="25"/>
      <c r="M258" s="16"/>
      <c r="N258" s="16"/>
      <c r="O258" s="25"/>
      <c r="P258" s="25"/>
      <c r="Q258" s="25"/>
      <c r="R258" s="25"/>
      <c r="S258" s="25"/>
      <c r="T258" s="25"/>
      <c r="U258" s="25"/>
      <c r="V258" s="25"/>
      <c r="W258" s="25"/>
      <c r="X258" s="25"/>
      <c r="Y258" s="25"/>
      <c r="Z258" s="25"/>
      <c r="AA258" s="25"/>
      <c r="AB258" s="25"/>
    </row>
    <row r="259">
      <c r="A259" s="25"/>
      <c r="B259" s="25"/>
      <c r="C259" s="25"/>
      <c r="D259" s="25"/>
      <c r="E259" s="25"/>
      <c r="F259" s="241"/>
      <c r="G259" s="21" t="b">
        <f t="shared" ref="G259:H259" si="167">ISBLANK(M259)</f>
        <v>1</v>
      </c>
      <c r="H259" s="21" t="b">
        <f t="shared" si="167"/>
        <v>1</v>
      </c>
      <c r="I259" s="25"/>
      <c r="J259" s="25"/>
      <c r="K259" s="25"/>
      <c r="L259" s="25"/>
      <c r="M259" s="16"/>
      <c r="N259" s="16"/>
      <c r="O259" s="25"/>
      <c r="P259" s="25"/>
      <c r="Q259" s="25"/>
      <c r="R259" s="25"/>
      <c r="S259" s="25"/>
      <c r="T259" s="25"/>
      <c r="U259" s="25"/>
      <c r="V259" s="25"/>
      <c r="W259" s="25"/>
      <c r="X259" s="25"/>
      <c r="Y259" s="25"/>
      <c r="Z259" s="25"/>
      <c r="AA259" s="25"/>
      <c r="AB259" s="25"/>
    </row>
    <row r="260">
      <c r="A260" s="25"/>
      <c r="B260" s="25"/>
      <c r="C260" s="25"/>
      <c r="D260" s="25"/>
      <c r="E260" s="25"/>
      <c r="F260" s="241"/>
      <c r="G260" s="21" t="b">
        <f t="shared" ref="G260:H260" si="168">ISBLANK(M260)</f>
        <v>1</v>
      </c>
      <c r="H260" s="21" t="b">
        <f t="shared" si="168"/>
        <v>1</v>
      </c>
      <c r="I260" s="25"/>
      <c r="J260" s="25"/>
      <c r="K260" s="25"/>
      <c r="L260" s="25"/>
      <c r="M260" s="16"/>
      <c r="N260" s="16"/>
      <c r="O260" s="25"/>
      <c r="P260" s="25"/>
      <c r="Q260" s="25"/>
      <c r="R260" s="25"/>
      <c r="S260" s="25"/>
      <c r="T260" s="25"/>
      <c r="U260" s="25"/>
      <c r="V260" s="25"/>
      <c r="W260" s="25"/>
      <c r="X260" s="25"/>
      <c r="Y260" s="25"/>
      <c r="Z260" s="25"/>
      <c r="AA260" s="25"/>
      <c r="AB260" s="25"/>
    </row>
    <row r="261">
      <c r="A261" s="25"/>
      <c r="B261" s="25"/>
      <c r="C261" s="25"/>
      <c r="D261" s="25"/>
      <c r="E261" s="25"/>
      <c r="F261" s="241"/>
      <c r="G261" s="21" t="b">
        <f t="shared" ref="G261:H261" si="169">ISBLANK(M261)</f>
        <v>1</v>
      </c>
      <c r="H261" s="21" t="b">
        <f t="shared" si="169"/>
        <v>1</v>
      </c>
      <c r="I261" s="25"/>
      <c r="J261" s="25"/>
      <c r="K261" s="25"/>
      <c r="L261" s="25"/>
      <c r="M261" s="16"/>
      <c r="N261" s="16"/>
      <c r="O261" s="25"/>
      <c r="P261" s="25"/>
      <c r="Q261" s="25"/>
      <c r="R261" s="25"/>
      <c r="S261" s="25"/>
      <c r="T261" s="25"/>
      <c r="U261" s="25"/>
      <c r="V261" s="25"/>
      <c r="W261" s="25"/>
      <c r="X261" s="25"/>
      <c r="Y261" s="25"/>
      <c r="Z261" s="25"/>
      <c r="AA261" s="25"/>
      <c r="AB261" s="25"/>
    </row>
    <row r="262">
      <c r="A262" s="25"/>
      <c r="B262" s="25"/>
      <c r="C262" s="25"/>
      <c r="D262" s="25"/>
      <c r="E262" s="25"/>
      <c r="F262" s="241"/>
      <c r="G262" s="21" t="b">
        <f t="shared" ref="G262:H262" si="170">ISBLANK(M262)</f>
        <v>1</v>
      </c>
      <c r="H262" s="21" t="b">
        <f t="shared" si="170"/>
        <v>1</v>
      </c>
      <c r="I262" s="25"/>
      <c r="J262" s="25"/>
      <c r="K262" s="25"/>
      <c r="L262" s="25"/>
      <c r="M262" s="16"/>
      <c r="N262" s="16"/>
      <c r="O262" s="25"/>
      <c r="P262" s="25"/>
      <c r="Q262" s="25"/>
      <c r="R262" s="25"/>
      <c r="S262" s="25"/>
      <c r="T262" s="25"/>
      <c r="U262" s="25"/>
      <c r="V262" s="25"/>
      <c r="W262" s="25"/>
      <c r="X262" s="25"/>
      <c r="Y262" s="25"/>
      <c r="Z262" s="25"/>
      <c r="AA262" s="25"/>
      <c r="AB262" s="25"/>
    </row>
    <row r="263">
      <c r="A263" s="25"/>
      <c r="B263" s="25"/>
      <c r="C263" s="25"/>
      <c r="D263" s="25"/>
      <c r="E263" s="25"/>
      <c r="F263" s="241"/>
      <c r="G263" s="21" t="b">
        <f t="shared" ref="G263:H263" si="171">ISBLANK(M263)</f>
        <v>1</v>
      </c>
      <c r="H263" s="21" t="b">
        <f t="shared" si="171"/>
        <v>1</v>
      </c>
      <c r="I263" s="25"/>
      <c r="J263" s="25"/>
      <c r="K263" s="25"/>
      <c r="L263" s="25"/>
      <c r="M263" s="16"/>
      <c r="N263" s="16"/>
      <c r="O263" s="25"/>
      <c r="P263" s="25"/>
      <c r="Q263" s="25"/>
      <c r="R263" s="25"/>
      <c r="S263" s="25"/>
      <c r="T263" s="25"/>
      <c r="U263" s="25"/>
      <c r="V263" s="25"/>
      <c r="W263" s="25"/>
      <c r="X263" s="25"/>
      <c r="Y263" s="25"/>
      <c r="Z263" s="25"/>
      <c r="AA263" s="25"/>
      <c r="AB263" s="25"/>
    </row>
    <row r="264">
      <c r="A264" s="25"/>
      <c r="B264" s="25"/>
      <c r="C264" s="25"/>
      <c r="D264" s="25"/>
      <c r="E264" s="25"/>
      <c r="F264" s="241"/>
      <c r="G264" s="21" t="b">
        <f t="shared" ref="G264:H264" si="172">ISBLANK(M264)</f>
        <v>1</v>
      </c>
      <c r="H264" s="21" t="b">
        <f t="shared" si="172"/>
        <v>1</v>
      </c>
      <c r="I264" s="25"/>
      <c r="J264" s="25"/>
      <c r="K264" s="25"/>
      <c r="L264" s="25"/>
      <c r="M264" s="16"/>
      <c r="N264" s="16"/>
      <c r="O264" s="25"/>
      <c r="P264" s="25"/>
      <c r="Q264" s="25"/>
      <c r="R264" s="25"/>
      <c r="S264" s="25"/>
      <c r="T264" s="25"/>
      <c r="U264" s="25"/>
      <c r="V264" s="25"/>
      <c r="W264" s="25"/>
      <c r="X264" s="25"/>
      <c r="Y264" s="25"/>
      <c r="Z264" s="25"/>
      <c r="AA264" s="25"/>
      <c r="AB264" s="25"/>
    </row>
    <row r="265">
      <c r="A265" s="25"/>
      <c r="B265" s="25"/>
      <c r="C265" s="25"/>
      <c r="D265" s="25"/>
      <c r="E265" s="25"/>
      <c r="F265" s="241"/>
      <c r="G265" s="21" t="b">
        <f t="shared" ref="G265:H265" si="173">ISBLANK(M265)</f>
        <v>1</v>
      </c>
      <c r="H265" s="21" t="b">
        <f t="shared" si="173"/>
        <v>1</v>
      </c>
      <c r="I265" s="25"/>
      <c r="J265" s="25"/>
      <c r="K265" s="25"/>
      <c r="L265" s="25"/>
      <c r="M265" s="16"/>
      <c r="N265" s="16"/>
      <c r="O265" s="25"/>
      <c r="P265" s="25"/>
      <c r="Q265" s="25"/>
      <c r="R265" s="25"/>
      <c r="S265" s="25"/>
      <c r="T265" s="25"/>
      <c r="U265" s="25"/>
      <c r="V265" s="25"/>
      <c r="W265" s="25"/>
      <c r="X265" s="25"/>
      <c r="Y265" s="25"/>
      <c r="Z265" s="25"/>
      <c r="AA265" s="25"/>
      <c r="AB265" s="25"/>
    </row>
    <row r="266">
      <c r="A266" s="25"/>
      <c r="B266" s="25"/>
      <c r="C266" s="25"/>
      <c r="D266" s="25"/>
      <c r="E266" s="25"/>
      <c r="F266" s="241"/>
      <c r="G266" s="21" t="b">
        <f t="shared" ref="G266:H266" si="174">ISBLANK(M266)</f>
        <v>1</v>
      </c>
      <c r="H266" s="21" t="b">
        <f t="shared" si="174"/>
        <v>1</v>
      </c>
      <c r="I266" s="25"/>
      <c r="J266" s="25"/>
      <c r="K266" s="25"/>
      <c r="L266" s="25"/>
      <c r="M266" s="16"/>
      <c r="N266" s="16"/>
      <c r="O266" s="25"/>
      <c r="P266" s="25"/>
      <c r="Q266" s="25"/>
      <c r="R266" s="25"/>
      <c r="S266" s="25"/>
      <c r="T266" s="25"/>
      <c r="U266" s="25"/>
      <c r="V266" s="25"/>
      <c r="W266" s="25"/>
      <c r="X266" s="25"/>
      <c r="Y266" s="25"/>
      <c r="Z266" s="25"/>
      <c r="AA266" s="25"/>
      <c r="AB266" s="25"/>
    </row>
    <row r="267">
      <c r="A267" s="25"/>
      <c r="B267" s="25"/>
      <c r="C267" s="25"/>
      <c r="D267" s="25"/>
      <c r="E267" s="25"/>
      <c r="F267" s="241"/>
      <c r="G267" s="21" t="b">
        <f t="shared" ref="G267:H267" si="175">ISBLANK(M267)</f>
        <v>1</v>
      </c>
      <c r="H267" s="21" t="b">
        <f t="shared" si="175"/>
        <v>1</v>
      </c>
      <c r="I267" s="25"/>
      <c r="J267" s="25"/>
      <c r="K267" s="25"/>
      <c r="L267" s="25"/>
      <c r="M267" s="16"/>
      <c r="N267" s="16"/>
      <c r="O267" s="25"/>
      <c r="P267" s="25"/>
      <c r="Q267" s="25"/>
      <c r="R267" s="25"/>
      <c r="S267" s="25"/>
      <c r="T267" s="25"/>
      <c r="U267" s="25"/>
      <c r="V267" s="25"/>
      <c r="W267" s="25"/>
      <c r="X267" s="25"/>
      <c r="Y267" s="25"/>
      <c r="Z267" s="25"/>
      <c r="AA267" s="25"/>
      <c r="AB267" s="25"/>
    </row>
    <row r="268">
      <c r="A268" s="25"/>
      <c r="B268" s="25"/>
      <c r="C268" s="25"/>
      <c r="D268" s="25"/>
      <c r="E268" s="25"/>
      <c r="F268" s="241"/>
      <c r="G268" s="21" t="b">
        <f t="shared" ref="G268:H268" si="176">ISBLANK(M268)</f>
        <v>1</v>
      </c>
      <c r="H268" s="21" t="b">
        <f t="shared" si="176"/>
        <v>1</v>
      </c>
      <c r="I268" s="25"/>
      <c r="J268" s="25"/>
      <c r="K268" s="25"/>
      <c r="L268" s="25"/>
      <c r="M268" s="16"/>
      <c r="N268" s="16"/>
      <c r="O268" s="25"/>
      <c r="P268" s="25"/>
      <c r="Q268" s="25"/>
      <c r="R268" s="25"/>
      <c r="S268" s="25"/>
      <c r="T268" s="25"/>
      <c r="U268" s="25"/>
      <c r="V268" s="25"/>
      <c r="W268" s="25"/>
      <c r="X268" s="25"/>
      <c r="Y268" s="25"/>
      <c r="Z268" s="25"/>
      <c r="AA268" s="25"/>
      <c r="AB268" s="25"/>
    </row>
    <row r="269">
      <c r="A269" s="25"/>
      <c r="B269" s="25"/>
      <c r="C269" s="25"/>
      <c r="D269" s="25"/>
      <c r="E269" s="25"/>
      <c r="F269" s="241"/>
      <c r="G269" s="21" t="b">
        <f t="shared" ref="G269:H269" si="177">ISBLANK(M269)</f>
        <v>1</v>
      </c>
      <c r="H269" s="21" t="b">
        <f t="shared" si="177"/>
        <v>1</v>
      </c>
      <c r="I269" s="25"/>
      <c r="J269" s="25"/>
      <c r="K269" s="25"/>
      <c r="L269" s="25"/>
      <c r="M269" s="16"/>
      <c r="N269" s="16"/>
      <c r="O269" s="25"/>
      <c r="P269" s="25"/>
      <c r="Q269" s="25"/>
      <c r="R269" s="25"/>
      <c r="S269" s="25"/>
      <c r="T269" s="25"/>
      <c r="U269" s="25"/>
      <c r="V269" s="25"/>
      <c r="W269" s="25"/>
      <c r="X269" s="25"/>
      <c r="Y269" s="25"/>
      <c r="Z269" s="25"/>
      <c r="AA269" s="25"/>
      <c r="AB269" s="25"/>
    </row>
    <row r="270">
      <c r="A270" s="25"/>
      <c r="B270" s="25"/>
      <c r="C270" s="25"/>
      <c r="D270" s="25"/>
      <c r="E270" s="25"/>
      <c r="F270" s="241"/>
      <c r="G270" s="21" t="b">
        <f t="shared" ref="G270:H270" si="178">ISBLANK(M270)</f>
        <v>1</v>
      </c>
      <c r="H270" s="21" t="b">
        <f t="shared" si="178"/>
        <v>1</v>
      </c>
      <c r="I270" s="25"/>
      <c r="J270" s="25"/>
      <c r="K270" s="25"/>
      <c r="L270" s="25"/>
      <c r="M270" s="16"/>
      <c r="N270" s="16"/>
      <c r="O270" s="25"/>
      <c r="P270" s="25"/>
      <c r="Q270" s="25"/>
      <c r="R270" s="25"/>
      <c r="S270" s="25"/>
      <c r="T270" s="25"/>
      <c r="U270" s="25"/>
      <c r="V270" s="25"/>
      <c r="W270" s="25"/>
      <c r="X270" s="25"/>
      <c r="Y270" s="25"/>
      <c r="Z270" s="25"/>
      <c r="AA270" s="25"/>
      <c r="AB270" s="25"/>
    </row>
    <row r="271">
      <c r="A271" s="25"/>
      <c r="B271" s="25"/>
      <c r="C271" s="25"/>
      <c r="D271" s="25"/>
      <c r="E271" s="25"/>
      <c r="F271" s="241"/>
      <c r="G271" s="21" t="b">
        <f t="shared" ref="G271:H271" si="179">ISBLANK(M271)</f>
        <v>1</v>
      </c>
      <c r="H271" s="21" t="b">
        <f t="shared" si="179"/>
        <v>1</v>
      </c>
      <c r="I271" s="25"/>
      <c r="J271" s="25"/>
      <c r="K271" s="25"/>
      <c r="L271" s="25"/>
      <c r="M271" s="16"/>
      <c r="N271" s="16"/>
      <c r="O271" s="25"/>
      <c r="P271" s="25"/>
      <c r="Q271" s="25"/>
      <c r="R271" s="25"/>
      <c r="S271" s="25"/>
      <c r="T271" s="25"/>
      <c r="U271" s="25"/>
      <c r="V271" s="25"/>
      <c r="W271" s="25"/>
      <c r="X271" s="25"/>
      <c r="Y271" s="25"/>
      <c r="Z271" s="25"/>
      <c r="AA271" s="25"/>
      <c r="AB271" s="25"/>
    </row>
    <row r="272">
      <c r="A272" s="25"/>
      <c r="B272" s="25"/>
      <c r="C272" s="25"/>
      <c r="D272" s="25"/>
      <c r="E272" s="25"/>
      <c r="F272" s="241"/>
      <c r="G272" s="21" t="b">
        <f t="shared" ref="G272:H272" si="180">ISBLANK(M272)</f>
        <v>1</v>
      </c>
      <c r="H272" s="21" t="b">
        <f t="shared" si="180"/>
        <v>1</v>
      </c>
      <c r="I272" s="25"/>
      <c r="J272" s="25"/>
      <c r="K272" s="25"/>
      <c r="L272" s="25"/>
      <c r="M272" s="16"/>
      <c r="N272" s="16"/>
      <c r="O272" s="25"/>
      <c r="P272" s="25"/>
      <c r="Q272" s="25"/>
      <c r="R272" s="25"/>
      <c r="S272" s="25"/>
      <c r="T272" s="25"/>
      <c r="U272" s="25"/>
      <c r="V272" s="25"/>
      <c r="W272" s="25"/>
      <c r="X272" s="25"/>
      <c r="Y272" s="25"/>
      <c r="Z272" s="25"/>
      <c r="AA272" s="25"/>
      <c r="AB272" s="25"/>
    </row>
    <row r="273">
      <c r="A273" s="25"/>
      <c r="B273" s="25"/>
      <c r="C273" s="25"/>
      <c r="D273" s="25"/>
      <c r="E273" s="25"/>
      <c r="F273" s="241"/>
      <c r="G273" s="21" t="b">
        <f t="shared" ref="G273:H273" si="181">ISBLANK(M273)</f>
        <v>1</v>
      </c>
      <c r="H273" s="21" t="b">
        <f t="shared" si="181"/>
        <v>1</v>
      </c>
      <c r="I273" s="25"/>
      <c r="J273" s="25"/>
      <c r="K273" s="25"/>
      <c r="L273" s="25"/>
      <c r="M273" s="16"/>
      <c r="N273" s="16"/>
      <c r="O273" s="25"/>
      <c r="P273" s="25"/>
      <c r="Q273" s="25"/>
      <c r="R273" s="25"/>
      <c r="S273" s="25"/>
      <c r="T273" s="25"/>
      <c r="U273" s="25"/>
      <c r="V273" s="25"/>
      <c r="W273" s="25"/>
      <c r="X273" s="25"/>
      <c r="Y273" s="25"/>
      <c r="Z273" s="25"/>
      <c r="AA273" s="25"/>
      <c r="AB273" s="25"/>
    </row>
    <row r="274">
      <c r="A274" s="25"/>
      <c r="B274" s="25"/>
      <c r="C274" s="25"/>
      <c r="D274" s="25"/>
      <c r="E274" s="25"/>
      <c r="F274" s="241"/>
      <c r="G274" s="21" t="b">
        <f t="shared" ref="G274:H274" si="182">ISBLANK(M274)</f>
        <v>1</v>
      </c>
      <c r="H274" s="21" t="b">
        <f t="shared" si="182"/>
        <v>1</v>
      </c>
      <c r="I274" s="25"/>
      <c r="J274" s="25"/>
      <c r="K274" s="25"/>
      <c r="L274" s="25"/>
      <c r="M274" s="16"/>
      <c r="N274" s="16"/>
      <c r="O274" s="25"/>
      <c r="P274" s="25"/>
      <c r="Q274" s="25"/>
      <c r="R274" s="25"/>
      <c r="S274" s="25"/>
      <c r="T274" s="25"/>
      <c r="U274" s="25"/>
      <c r="V274" s="25"/>
      <c r="W274" s="25"/>
      <c r="X274" s="25"/>
      <c r="Y274" s="25"/>
      <c r="Z274" s="25"/>
      <c r="AA274" s="25"/>
      <c r="AB274" s="25"/>
    </row>
    <row r="275">
      <c r="A275" s="25"/>
      <c r="B275" s="25"/>
      <c r="C275" s="25"/>
      <c r="D275" s="25"/>
      <c r="E275" s="25"/>
      <c r="F275" s="241"/>
      <c r="G275" s="21" t="b">
        <f t="shared" ref="G275:H275" si="183">ISBLANK(M275)</f>
        <v>1</v>
      </c>
      <c r="H275" s="21" t="b">
        <f t="shared" si="183"/>
        <v>1</v>
      </c>
      <c r="I275" s="25"/>
      <c r="J275" s="25"/>
      <c r="K275" s="25"/>
      <c r="L275" s="25"/>
      <c r="M275" s="16"/>
      <c r="N275" s="16"/>
      <c r="O275" s="25"/>
      <c r="P275" s="25"/>
      <c r="Q275" s="25"/>
      <c r="R275" s="25"/>
      <c r="S275" s="25"/>
      <c r="T275" s="25"/>
      <c r="U275" s="25"/>
      <c r="V275" s="25"/>
      <c r="W275" s="25"/>
      <c r="X275" s="25"/>
      <c r="Y275" s="25"/>
      <c r="Z275" s="25"/>
      <c r="AA275" s="25"/>
      <c r="AB275" s="25"/>
    </row>
    <row r="276">
      <c r="A276" s="25"/>
      <c r="B276" s="25"/>
      <c r="C276" s="25"/>
      <c r="D276" s="25"/>
      <c r="E276" s="25"/>
      <c r="F276" s="241"/>
      <c r="G276" s="21" t="b">
        <f t="shared" ref="G276:H276" si="184">ISBLANK(M276)</f>
        <v>1</v>
      </c>
      <c r="H276" s="21" t="b">
        <f t="shared" si="184"/>
        <v>1</v>
      </c>
      <c r="I276" s="25"/>
      <c r="J276" s="25"/>
      <c r="K276" s="25"/>
      <c r="L276" s="25"/>
      <c r="M276" s="16"/>
      <c r="N276" s="16"/>
      <c r="O276" s="25"/>
      <c r="P276" s="25"/>
      <c r="Q276" s="25"/>
      <c r="R276" s="25"/>
      <c r="S276" s="25"/>
      <c r="T276" s="25"/>
      <c r="U276" s="25"/>
      <c r="V276" s="25"/>
      <c r="W276" s="25"/>
      <c r="X276" s="25"/>
      <c r="Y276" s="25"/>
      <c r="Z276" s="25"/>
      <c r="AA276" s="25"/>
      <c r="AB276" s="25"/>
    </row>
    <row r="277">
      <c r="A277" s="25"/>
      <c r="B277" s="25"/>
      <c r="C277" s="25"/>
      <c r="D277" s="25"/>
      <c r="E277" s="25"/>
      <c r="F277" s="241"/>
      <c r="G277" s="21" t="b">
        <f t="shared" ref="G277:H277" si="185">ISBLANK(M277)</f>
        <v>1</v>
      </c>
      <c r="H277" s="21" t="b">
        <f t="shared" si="185"/>
        <v>1</v>
      </c>
      <c r="I277" s="25"/>
      <c r="J277" s="25"/>
      <c r="K277" s="25"/>
      <c r="L277" s="25"/>
      <c r="M277" s="16"/>
      <c r="N277" s="16"/>
      <c r="O277" s="25"/>
      <c r="P277" s="25"/>
      <c r="Q277" s="25"/>
      <c r="R277" s="25"/>
      <c r="S277" s="25"/>
      <c r="T277" s="25"/>
      <c r="U277" s="25"/>
      <c r="V277" s="25"/>
      <c r="W277" s="25"/>
      <c r="X277" s="25"/>
      <c r="Y277" s="25"/>
      <c r="Z277" s="25"/>
      <c r="AA277" s="25"/>
      <c r="AB277" s="25"/>
    </row>
    <row r="278">
      <c r="A278" s="25"/>
      <c r="B278" s="25"/>
      <c r="C278" s="25"/>
      <c r="D278" s="25"/>
      <c r="E278" s="25"/>
      <c r="F278" s="241"/>
      <c r="G278" s="21" t="b">
        <f t="shared" ref="G278:H278" si="186">ISBLANK(M278)</f>
        <v>1</v>
      </c>
      <c r="H278" s="21" t="b">
        <f t="shared" si="186"/>
        <v>1</v>
      </c>
      <c r="I278" s="25"/>
      <c r="J278" s="25"/>
      <c r="K278" s="25"/>
      <c r="L278" s="25"/>
      <c r="M278" s="16"/>
      <c r="N278" s="16"/>
      <c r="O278" s="25"/>
      <c r="P278" s="25"/>
      <c r="Q278" s="25"/>
      <c r="R278" s="25"/>
      <c r="S278" s="25"/>
      <c r="T278" s="25"/>
      <c r="U278" s="25"/>
      <c r="V278" s="25"/>
      <c r="W278" s="25"/>
      <c r="X278" s="25"/>
      <c r="Y278" s="25"/>
      <c r="Z278" s="25"/>
      <c r="AA278" s="25"/>
      <c r="AB278" s="25"/>
    </row>
    <row r="279">
      <c r="A279" s="25"/>
      <c r="B279" s="25"/>
      <c r="C279" s="25"/>
      <c r="D279" s="25"/>
      <c r="E279" s="25"/>
      <c r="F279" s="241"/>
      <c r="G279" s="21" t="b">
        <f t="shared" ref="G279:H279" si="187">ISBLANK(M279)</f>
        <v>1</v>
      </c>
      <c r="H279" s="21" t="b">
        <f t="shared" si="187"/>
        <v>1</v>
      </c>
      <c r="I279" s="25"/>
      <c r="J279" s="25"/>
      <c r="K279" s="25"/>
      <c r="L279" s="25"/>
      <c r="M279" s="16"/>
      <c r="N279" s="16"/>
      <c r="O279" s="25"/>
      <c r="P279" s="25"/>
      <c r="Q279" s="25"/>
      <c r="R279" s="25"/>
      <c r="S279" s="25"/>
      <c r="T279" s="25"/>
      <c r="U279" s="25"/>
      <c r="V279" s="25"/>
      <c r="W279" s="25"/>
      <c r="X279" s="25"/>
      <c r="Y279" s="25"/>
      <c r="Z279" s="25"/>
      <c r="AA279" s="25"/>
      <c r="AB279" s="25"/>
    </row>
    <row r="280">
      <c r="A280" s="25"/>
      <c r="B280" s="25"/>
      <c r="C280" s="25"/>
      <c r="D280" s="25"/>
      <c r="E280" s="25"/>
      <c r="F280" s="241"/>
      <c r="G280" s="21" t="b">
        <f t="shared" ref="G280:H280" si="188">ISBLANK(M280)</f>
        <v>1</v>
      </c>
      <c r="H280" s="21" t="b">
        <f t="shared" si="188"/>
        <v>1</v>
      </c>
      <c r="I280" s="25"/>
      <c r="J280" s="25"/>
      <c r="K280" s="25"/>
      <c r="L280" s="25"/>
      <c r="M280" s="16"/>
      <c r="N280" s="16"/>
      <c r="O280" s="25"/>
      <c r="P280" s="25"/>
      <c r="Q280" s="25"/>
      <c r="R280" s="25"/>
      <c r="S280" s="25"/>
      <c r="T280" s="25"/>
      <c r="U280" s="25"/>
      <c r="V280" s="25"/>
      <c r="W280" s="25"/>
      <c r="X280" s="25"/>
      <c r="Y280" s="25"/>
      <c r="Z280" s="25"/>
      <c r="AA280" s="25"/>
      <c r="AB280" s="25"/>
    </row>
    <row r="281">
      <c r="A281" s="25"/>
      <c r="B281" s="25"/>
      <c r="C281" s="25"/>
      <c r="D281" s="25"/>
      <c r="E281" s="25"/>
      <c r="F281" s="241"/>
      <c r="G281" s="21" t="b">
        <f t="shared" ref="G281:H281" si="189">ISBLANK(M281)</f>
        <v>1</v>
      </c>
      <c r="H281" s="21" t="b">
        <f t="shared" si="189"/>
        <v>1</v>
      </c>
      <c r="I281" s="25"/>
      <c r="J281" s="25"/>
      <c r="K281" s="25"/>
      <c r="L281" s="25"/>
      <c r="M281" s="16"/>
      <c r="N281" s="16"/>
      <c r="O281" s="25"/>
      <c r="P281" s="25"/>
      <c r="Q281" s="25"/>
      <c r="R281" s="25"/>
      <c r="S281" s="25"/>
      <c r="T281" s="25"/>
      <c r="U281" s="25"/>
      <c r="V281" s="25"/>
      <c r="W281" s="25"/>
      <c r="X281" s="25"/>
      <c r="Y281" s="25"/>
      <c r="Z281" s="25"/>
      <c r="AA281" s="25"/>
      <c r="AB281" s="25"/>
    </row>
    <row r="282">
      <c r="A282" s="25"/>
      <c r="B282" s="25"/>
      <c r="C282" s="25"/>
      <c r="D282" s="25"/>
      <c r="E282" s="25"/>
      <c r="F282" s="241"/>
      <c r="G282" s="21" t="b">
        <f t="shared" ref="G282:H282" si="190">ISBLANK(M282)</f>
        <v>1</v>
      </c>
      <c r="H282" s="21" t="b">
        <f t="shared" si="190"/>
        <v>1</v>
      </c>
      <c r="I282" s="25"/>
      <c r="J282" s="25"/>
      <c r="K282" s="25"/>
      <c r="L282" s="25"/>
      <c r="M282" s="16"/>
      <c r="N282" s="16"/>
      <c r="O282" s="25"/>
      <c r="P282" s="25"/>
      <c r="Q282" s="25"/>
      <c r="R282" s="25"/>
      <c r="S282" s="25"/>
      <c r="T282" s="25"/>
      <c r="U282" s="25"/>
      <c r="V282" s="25"/>
      <c r="W282" s="25"/>
      <c r="X282" s="25"/>
      <c r="Y282" s="25"/>
      <c r="Z282" s="25"/>
      <c r="AA282" s="25"/>
      <c r="AB282" s="25"/>
    </row>
    <row r="283">
      <c r="A283" s="25"/>
      <c r="B283" s="25"/>
      <c r="C283" s="25"/>
      <c r="D283" s="25"/>
      <c r="E283" s="25"/>
      <c r="F283" s="241"/>
      <c r="G283" s="21" t="b">
        <f t="shared" ref="G283:H283" si="191">ISBLANK(M283)</f>
        <v>1</v>
      </c>
      <c r="H283" s="21" t="b">
        <f t="shared" si="191"/>
        <v>1</v>
      </c>
      <c r="I283" s="25"/>
      <c r="J283" s="25"/>
      <c r="K283" s="25"/>
      <c r="L283" s="25"/>
      <c r="M283" s="16"/>
      <c r="N283" s="16"/>
      <c r="O283" s="25"/>
      <c r="P283" s="25"/>
      <c r="Q283" s="25"/>
      <c r="R283" s="25"/>
      <c r="S283" s="25"/>
      <c r="T283" s="25"/>
      <c r="U283" s="25"/>
      <c r="V283" s="25"/>
      <c r="W283" s="25"/>
      <c r="X283" s="25"/>
      <c r="Y283" s="25"/>
      <c r="Z283" s="25"/>
      <c r="AA283" s="25"/>
      <c r="AB283" s="25"/>
    </row>
    <row r="284">
      <c r="A284" s="25"/>
      <c r="B284" s="25"/>
      <c r="C284" s="25"/>
      <c r="D284" s="25"/>
      <c r="E284" s="25"/>
      <c r="F284" s="241"/>
      <c r="G284" s="21" t="b">
        <f t="shared" ref="G284:H284" si="192">ISBLANK(M284)</f>
        <v>1</v>
      </c>
      <c r="H284" s="21" t="b">
        <f t="shared" si="192"/>
        <v>1</v>
      </c>
      <c r="I284" s="25"/>
      <c r="J284" s="25"/>
      <c r="K284" s="25"/>
      <c r="L284" s="25"/>
      <c r="M284" s="16"/>
      <c r="N284" s="16"/>
      <c r="O284" s="25"/>
      <c r="P284" s="25"/>
      <c r="Q284" s="25"/>
      <c r="R284" s="25"/>
      <c r="S284" s="25"/>
      <c r="T284" s="25"/>
      <c r="U284" s="25"/>
      <c r="V284" s="25"/>
      <c r="W284" s="25"/>
      <c r="X284" s="25"/>
      <c r="Y284" s="25"/>
      <c r="Z284" s="25"/>
      <c r="AA284" s="25"/>
      <c r="AB284" s="25"/>
    </row>
    <row r="285">
      <c r="A285" s="25"/>
      <c r="B285" s="25"/>
      <c r="C285" s="25"/>
      <c r="D285" s="25"/>
      <c r="E285" s="25"/>
      <c r="F285" s="241"/>
      <c r="G285" s="21" t="b">
        <f t="shared" ref="G285:H285" si="193">ISBLANK(M285)</f>
        <v>1</v>
      </c>
      <c r="H285" s="21" t="b">
        <f t="shared" si="193"/>
        <v>1</v>
      </c>
      <c r="I285" s="25"/>
      <c r="J285" s="25"/>
      <c r="K285" s="25"/>
      <c r="L285" s="25"/>
      <c r="M285" s="16"/>
      <c r="N285" s="16"/>
      <c r="O285" s="25"/>
      <c r="P285" s="25"/>
      <c r="Q285" s="25"/>
      <c r="R285" s="25"/>
      <c r="S285" s="25"/>
      <c r="T285" s="25"/>
      <c r="U285" s="25"/>
      <c r="V285" s="25"/>
      <c r="W285" s="25"/>
      <c r="X285" s="25"/>
      <c r="Y285" s="25"/>
      <c r="Z285" s="25"/>
      <c r="AA285" s="25"/>
      <c r="AB285" s="25"/>
    </row>
    <row r="286">
      <c r="A286" s="25"/>
      <c r="B286" s="25"/>
      <c r="C286" s="25"/>
      <c r="D286" s="25"/>
      <c r="E286" s="25"/>
      <c r="F286" s="241"/>
      <c r="G286" s="21" t="b">
        <f t="shared" ref="G286:H286" si="194">ISBLANK(M286)</f>
        <v>1</v>
      </c>
      <c r="H286" s="21" t="b">
        <f t="shared" si="194"/>
        <v>1</v>
      </c>
      <c r="I286" s="25"/>
      <c r="J286" s="25"/>
      <c r="K286" s="25"/>
      <c r="L286" s="25"/>
      <c r="M286" s="16"/>
      <c r="N286" s="16"/>
      <c r="O286" s="25"/>
      <c r="P286" s="25"/>
      <c r="Q286" s="25"/>
      <c r="R286" s="25"/>
      <c r="S286" s="25"/>
      <c r="T286" s="25"/>
      <c r="U286" s="25"/>
      <c r="V286" s="25"/>
      <c r="W286" s="25"/>
      <c r="X286" s="25"/>
      <c r="Y286" s="25"/>
      <c r="Z286" s="25"/>
      <c r="AA286" s="25"/>
      <c r="AB286" s="25"/>
    </row>
    <row r="287">
      <c r="A287" s="25"/>
      <c r="B287" s="25"/>
      <c r="C287" s="25"/>
      <c r="D287" s="25"/>
      <c r="E287" s="25"/>
      <c r="F287" s="241"/>
      <c r="G287" s="21" t="b">
        <f t="shared" ref="G287:H287" si="195">ISBLANK(M287)</f>
        <v>1</v>
      </c>
      <c r="H287" s="21" t="b">
        <f t="shared" si="195"/>
        <v>1</v>
      </c>
      <c r="I287" s="25"/>
      <c r="J287" s="25"/>
      <c r="K287" s="25"/>
      <c r="L287" s="25"/>
      <c r="M287" s="16"/>
      <c r="N287" s="16"/>
      <c r="O287" s="25"/>
      <c r="P287" s="25"/>
      <c r="Q287" s="25"/>
      <c r="R287" s="25"/>
      <c r="S287" s="25"/>
      <c r="T287" s="25"/>
      <c r="U287" s="25"/>
      <c r="V287" s="25"/>
      <c r="W287" s="25"/>
      <c r="X287" s="25"/>
      <c r="Y287" s="25"/>
      <c r="Z287" s="25"/>
      <c r="AA287" s="25"/>
      <c r="AB287" s="25"/>
    </row>
    <row r="288">
      <c r="A288" s="25"/>
      <c r="B288" s="25"/>
      <c r="C288" s="25"/>
      <c r="D288" s="25"/>
      <c r="E288" s="25"/>
      <c r="F288" s="241"/>
      <c r="G288" s="21" t="b">
        <f t="shared" ref="G288:H288" si="196">ISBLANK(M288)</f>
        <v>1</v>
      </c>
      <c r="H288" s="21" t="b">
        <f t="shared" si="196"/>
        <v>1</v>
      </c>
      <c r="I288" s="25"/>
      <c r="J288" s="25"/>
      <c r="K288" s="25"/>
      <c r="L288" s="25"/>
      <c r="M288" s="16"/>
      <c r="N288" s="16"/>
      <c r="O288" s="25"/>
      <c r="P288" s="25"/>
      <c r="Q288" s="25"/>
      <c r="R288" s="25"/>
      <c r="S288" s="25"/>
      <c r="T288" s="25"/>
      <c r="U288" s="25"/>
      <c r="V288" s="25"/>
      <c r="W288" s="25"/>
      <c r="X288" s="25"/>
      <c r="Y288" s="25"/>
      <c r="Z288" s="25"/>
      <c r="AA288" s="25"/>
      <c r="AB288" s="25"/>
    </row>
    <row r="289">
      <c r="A289" s="25"/>
      <c r="B289" s="25"/>
      <c r="C289" s="25"/>
      <c r="D289" s="25"/>
      <c r="E289" s="25"/>
      <c r="F289" s="241"/>
      <c r="G289" s="21" t="b">
        <f t="shared" ref="G289:H289" si="197">ISBLANK(M289)</f>
        <v>1</v>
      </c>
      <c r="H289" s="21" t="b">
        <f t="shared" si="197"/>
        <v>1</v>
      </c>
      <c r="I289" s="25"/>
      <c r="J289" s="25"/>
      <c r="K289" s="25"/>
      <c r="L289" s="25"/>
      <c r="M289" s="16"/>
      <c r="N289" s="16"/>
      <c r="O289" s="25"/>
      <c r="P289" s="25"/>
      <c r="Q289" s="25"/>
      <c r="R289" s="25"/>
      <c r="S289" s="25"/>
      <c r="T289" s="25"/>
      <c r="U289" s="25"/>
      <c r="V289" s="25"/>
      <c r="W289" s="25"/>
      <c r="X289" s="25"/>
      <c r="Y289" s="25"/>
      <c r="Z289" s="25"/>
      <c r="AA289" s="25"/>
      <c r="AB289" s="25"/>
    </row>
    <row r="290">
      <c r="A290" s="25"/>
      <c r="B290" s="25"/>
      <c r="C290" s="25"/>
      <c r="D290" s="25"/>
      <c r="E290" s="25"/>
      <c r="F290" s="241"/>
      <c r="G290" s="21" t="b">
        <f t="shared" ref="G290:H290" si="198">ISBLANK(M290)</f>
        <v>1</v>
      </c>
      <c r="H290" s="21" t="b">
        <f t="shared" si="198"/>
        <v>1</v>
      </c>
      <c r="I290" s="25"/>
      <c r="J290" s="25"/>
      <c r="K290" s="25"/>
      <c r="L290" s="25"/>
      <c r="M290" s="16"/>
      <c r="N290" s="16"/>
      <c r="O290" s="25"/>
      <c r="P290" s="25"/>
      <c r="Q290" s="25"/>
      <c r="R290" s="25"/>
      <c r="S290" s="25"/>
      <c r="T290" s="25"/>
      <c r="U290" s="25"/>
      <c r="V290" s="25"/>
      <c r="W290" s="25"/>
      <c r="X290" s="25"/>
      <c r="Y290" s="25"/>
      <c r="Z290" s="25"/>
      <c r="AA290" s="25"/>
      <c r="AB290" s="25"/>
    </row>
    <row r="291">
      <c r="A291" s="25"/>
      <c r="B291" s="25"/>
      <c r="C291" s="25"/>
      <c r="D291" s="25"/>
      <c r="E291" s="25"/>
      <c r="F291" s="241"/>
      <c r="G291" s="21" t="b">
        <f t="shared" ref="G291:H291" si="199">ISBLANK(M291)</f>
        <v>1</v>
      </c>
      <c r="H291" s="21" t="b">
        <f t="shared" si="199"/>
        <v>1</v>
      </c>
      <c r="I291" s="25"/>
      <c r="J291" s="25"/>
      <c r="K291" s="25"/>
      <c r="L291" s="25"/>
      <c r="M291" s="16"/>
      <c r="N291" s="16"/>
      <c r="O291" s="25"/>
      <c r="P291" s="25"/>
      <c r="Q291" s="25"/>
      <c r="R291" s="25"/>
      <c r="S291" s="25"/>
      <c r="T291" s="25"/>
      <c r="U291" s="25"/>
      <c r="V291" s="25"/>
      <c r="W291" s="25"/>
      <c r="X291" s="25"/>
      <c r="Y291" s="25"/>
      <c r="Z291" s="25"/>
      <c r="AA291" s="25"/>
      <c r="AB291" s="25"/>
    </row>
    <row r="292">
      <c r="A292" s="25"/>
      <c r="B292" s="25"/>
      <c r="C292" s="25"/>
      <c r="D292" s="25"/>
      <c r="E292" s="25"/>
      <c r="F292" s="241"/>
      <c r="G292" s="21" t="b">
        <f t="shared" ref="G292:H292" si="200">ISBLANK(M292)</f>
        <v>1</v>
      </c>
      <c r="H292" s="21" t="b">
        <f t="shared" si="200"/>
        <v>1</v>
      </c>
      <c r="I292" s="25"/>
      <c r="J292" s="25"/>
      <c r="K292" s="25"/>
      <c r="L292" s="25"/>
      <c r="M292" s="16"/>
      <c r="N292" s="16"/>
      <c r="O292" s="25"/>
      <c r="P292" s="25"/>
      <c r="Q292" s="25"/>
      <c r="R292" s="25"/>
      <c r="S292" s="25"/>
      <c r="T292" s="25"/>
      <c r="U292" s="25"/>
      <c r="V292" s="25"/>
      <c r="W292" s="25"/>
      <c r="X292" s="25"/>
      <c r="Y292" s="25"/>
      <c r="Z292" s="25"/>
      <c r="AA292" s="25"/>
      <c r="AB292" s="25"/>
    </row>
    <row r="293">
      <c r="A293" s="25"/>
      <c r="B293" s="25"/>
      <c r="C293" s="25"/>
      <c r="D293" s="25"/>
      <c r="E293" s="25"/>
      <c r="F293" s="241"/>
      <c r="G293" s="21" t="b">
        <f t="shared" ref="G293:H293" si="201">ISBLANK(M293)</f>
        <v>1</v>
      </c>
      <c r="H293" s="21" t="b">
        <f t="shared" si="201"/>
        <v>1</v>
      </c>
      <c r="I293" s="25"/>
      <c r="J293" s="25"/>
      <c r="K293" s="25"/>
      <c r="L293" s="25"/>
      <c r="M293" s="16"/>
      <c r="N293" s="16"/>
      <c r="O293" s="25"/>
      <c r="P293" s="25"/>
      <c r="Q293" s="25"/>
      <c r="R293" s="25"/>
      <c r="S293" s="25"/>
      <c r="T293" s="25"/>
      <c r="U293" s="25"/>
      <c r="V293" s="25"/>
      <c r="W293" s="25"/>
      <c r="X293" s="25"/>
      <c r="Y293" s="25"/>
      <c r="Z293" s="25"/>
      <c r="AA293" s="25"/>
      <c r="AB293" s="25"/>
    </row>
    <row r="294">
      <c r="A294" s="25"/>
      <c r="B294" s="25"/>
      <c r="C294" s="25"/>
      <c r="D294" s="25"/>
      <c r="E294" s="25"/>
      <c r="F294" s="241"/>
      <c r="G294" s="21" t="b">
        <f t="shared" ref="G294:H294" si="202">ISBLANK(M294)</f>
        <v>1</v>
      </c>
      <c r="H294" s="21" t="b">
        <f t="shared" si="202"/>
        <v>1</v>
      </c>
      <c r="I294" s="25"/>
      <c r="J294" s="25"/>
      <c r="K294" s="25"/>
      <c r="L294" s="25"/>
      <c r="M294" s="16"/>
      <c r="N294" s="16"/>
      <c r="O294" s="25"/>
      <c r="P294" s="25"/>
      <c r="Q294" s="25"/>
      <c r="R294" s="25"/>
      <c r="S294" s="25"/>
      <c r="T294" s="25"/>
      <c r="U294" s="25"/>
      <c r="V294" s="25"/>
      <c r="W294" s="25"/>
      <c r="X294" s="25"/>
      <c r="Y294" s="25"/>
      <c r="Z294" s="25"/>
      <c r="AA294" s="25"/>
      <c r="AB294" s="25"/>
    </row>
    <row r="295">
      <c r="A295" s="25"/>
      <c r="B295" s="25"/>
      <c r="C295" s="25"/>
      <c r="D295" s="25"/>
      <c r="E295" s="25"/>
      <c r="F295" s="241"/>
      <c r="G295" s="21" t="b">
        <f t="shared" ref="G295:H295" si="203">ISBLANK(M295)</f>
        <v>1</v>
      </c>
      <c r="H295" s="21" t="b">
        <f t="shared" si="203"/>
        <v>1</v>
      </c>
      <c r="I295" s="25"/>
      <c r="J295" s="25"/>
      <c r="K295" s="25"/>
      <c r="L295" s="25"/>
      <c r="M295" s="16"/>
      <c r="N295" s="16"/>
      <c r="O295" s="25"/>
      <c r="P295" s="25"/>
      <c r="Q295" s="25"/>
      <c r="R295" s="25"/>
      <c r="S295" s="25"/>
      <c r="T295" s="25"/>
      <c r="U295" s="25"/>
      <c r="V295" s="25"/>
      <c r="W295" s="25"/>
      <c r="X295" s="25"/>
      <c r="Y295" s="25"/>
      <c r="Z295" s="25"/>
      <c r="AA295" s="25"/>
      <c r="AB295" s="25"/>
    </row>
    <row r="296">
      <c r="A296" s="25"/>
      <c r="B296" s="25"/>
      <c r="C296" s="25"/>
      <c r="D296" s="25"/>
      <c r="E296" s="25"/>
      <c r="F296" s="241"/>
      <c r="G296" s="21" t="b">
        <f t="shared" ref="G296:H296" si="204">ISBLANK(M296)</f>
        <v>1</v>
      </c>
      <c r="H296" s="21" t="b">
        <f t="shared" si="204"/>
        <v>1</v>
      </c>
      <c r="I296" s="25"/>
      <c r="J296" s="25"/>
      <c r="K296" s="25"/>
      <c r="L296" s="25"/>
      <c r="M296" s="16"/>
      <c r="N296" s="16"/>
      <c r="O296" s="25"/>
      <c r="P296" s="25"/>
      <c r="Q296" s="25"/>
      <c r="R296" s="25"/>
      <c r="S296" s="25"/>
      <c r="T296" s="25"/>
      <c r="U296" s="25"/>
      <c r="V296" s="25"/>
      <c r="W296" s="25"/>
      <c r="X296" s="25"/>
      <c r="Y296" s="25"/>
      <c r="Z296" s="25"/>
      <c r="AA296" s="25"/>
      <c r="AB296" s="25"/>
    </row>
    <row r="297">
      <c r="A297" s="25"/>
      <c r="B297" s="25"/>
      <c r="C297" s="25"/>
      <c r="D297" s="25"/>
      <c r="E297" s="25"/>
      <c r="F297" s="241"/>
      <c r="G297" s="21" t="b">
        <f t="shared" ref="G297:H297" si="205">ISBLANK(M297)</f>
        <v>1</v>
      </c>
      <c r="H297" s="21" t="b">
        <f t="shared" si="205"/>
        <v>1</v>
      </c>
      <c r="I297" s="25"/>
      <c r="J297" s="25"/>
      <c r="K297" s="25"/>
      <c r="L297" s="25"/>
      <c r="M297" s="16"/>
      <c r="N297" s="16"/>
      <c r="O297" s="25"/>
      <c r="P297" s="25"/>
      <c r="Q297" s="25"/>
      <c r="R297" s="25"/>
      <c r="S297" s="25"/>
      <c r="T297" s="25"/>
      <c r="U297" s="25"/>
      <c r="V297" s="25"/>
      <c r="W297" s="25"/>
      <c r="X297" s="25"/>
      <c r="Y297" s="25"/>
      <c r="Z297" s="25"/>
      <c r="AA297" s="25"/>
      <c r="AB297" s="25"/>
    </row>
    <row r="298">
      <c r="A298" s="25"/>
      <c r="B298" s="25"/>
      <c r="C298" s="25"/>
      <c r="D298" s="25"/>
      <c r="E298" s="25"/>
      <c r="F298" s="241"/>
      <c r="G298" s="21" t="b">
        <f t="shared" ref="G298:H298" si="206">ISBLANK(M298)</f>
        <v>1</v>
      </c>
      <c r="H298" s="21" t="b">
        <f t="shared" si="206"/>
        <v>1</v>
      </c>
      <c r="I298" s="25"/>
      <c r="J298" s="25"/>
      <c r="K298" s="25"/>
      <c r="L298" s="25"/>
      <c r="M298" s="16"/>
      <c r="N298" s="16"/>
      <c r="O298" s="25"/>
      <c r="P298" s="25"/>
      <c r="Q298" s="25"/>
      <c r="R298" s="25"/>
      <c r="S298" s="25"/>
      <c r="T298" s="25"/>
      <c r="U298" s="25"/>
      <c r="V298" s="25"/>
      <c r="W298" s="25"/>
      <c r="X298" s="25"/>
      <c r="Y298" s="25"/>
      <c r="Z298" s="25"/>
      <c r="AA298" s="25"/>
      <c r="AB298" s="25"/>
    </row>
    <row r="299">
      <c r="A299" s="25"/>
      <c r="B299" s="25"/>
      <c r="C299" s="25"/>
      <c r="D299" s="25"/>
      <c r="E299" s="25"/>
      <c r="F299" s="241"/>
      <c r="G299" s="21" t="b">
        <f t="shared" ref="G299:H299" si="207">ISBLANK(M299)</f>
        <v>1</v>
      </c>
      <c r="H299" s="21" t="b">
        <f t="shared" si="207"/>
        <v>1</v>
      </c>
      <c r="I299" s="25"/>
      <c r="J299" s="25"/>
      <c r="K299" s="25"/>
      <c r="L299" s="25"/>
      <c r="M299" s="16"/>
      <c r="N299" s="16"/>
      <c r="O299" s="25"/>
      <c r="P299" s="25"/>
      <c r="Q299" s="25"/>
      <c r="R299" s="25"/>
      <c r="S299" s="25"/>
      <c r="T299" s="25"/>
      <c r="U299" s="25"/>
      <c r="V299" s="25"/>
      <c r="W299" s="25"/>
      <c r="X299" s="25"/>
      <c r="Y299" s="25"/>
      <c r="Z299" s="25"/>
      <c r="AA299" s="25"/>
      <c r="AB299" s="25"/>
    </row>
    <row r="300">
      <c r="A300" s="25"/>
      <c r="B300" s="25"/>
      <c r="C300" s="25"/>
      <c r="D300" s="25"/>
      <c r="E300" s="25"/>
      <c r="F300" s="241"/>
      <c r="G300" s="21" t="b">
        <f t="shared" ref="G300:H300" si="208">ISBLANK(M300)</f>
        <v>1</v>
      </c>
      <c r="H300" s="21" t="b">
        <f t="shared" si="208"/>
        <v>1</v>
      </c>
      <c r="I300" s="25"/>
      <c r="J300" s="25"/>
      <c r="K300" s="25"/>
      <c r="L300" s="25"/>
      <c r="M300" s="16"/>
      <c r="N300" s="16"/>
      <c r="O300" s="25"/>
      <c r="P300" s="25"/>
      <c r="Q300" s="25"/>
      <c r="R300" s="25"/>
      <c r="S300" s="25"/>
      <c r="T300" s="25"/>
      <c r="U300" s="25"/>
      <c r="V300" s="25"/>
      <c r="W300" s="25"/>
      <c r="X300" s="25"/>
      <c r="Y300" s="25"/>
      <c r="Z300" s="25"/>
      <c r="AA300" s="25"/>
      <c r="AB300" s="25"/>
    </row>
    <row r="301">
      <c r="A301" s="25"/>
      <c r="B301" s="25"/>
      <c r="C301" s="25"/>
      <c r="D301" s="25"/>
      <c r="E301" s="25"/>
      <c r="F301" s="241"/>
      <c r="G301" s="21" t="b">
        <f t="shared" ref="G301:H301" si="209">ISBLANK(M301)</f>
        <v>1</v>
      </c>
      <c r="H301" s="21" t="b">
        <f t="shared" si="209"/>
        <v>1</v>
      </c>
      <c r="I301" s="25"/>
      <c r="J301" s="25"/>
      <c r="K301" s="25"/>
      <c r="L301" s="25"/>
      <c r="M301" s="16"/>
      <c r="N301" s="16"/>
      <c r="O301" s="25"/>
      <c r="P301" s="25"/>
      <c r="Q301" s="25"/>
      <c r="R301" s="25"/>
      <c r="S301" s="25"/>
      <c r="T301" s="25"/>
      <c r="U301" s="25"/>
      <c r="V301" s="25"/>
      <c r="W301" s="25"/>
      <c r="X301" s="25"/>
      <c r="Y301" s="25"/>
      <c r="Z301" s="25"/>
      <c r="AA301" s="25"/>
      <c r="AB301" s="25"/>
    </row>
    <row r="302">
      <c r="A302" s="25"/>
      <c r="B302" s="25"/>
      <c r="C302" s="25"/>
      <c r="D302" s="25"/>
      <c r="E302" s="25"/>
      <c r="F302" s="241"/>
      <c r="G302" s="21" t="b">
        <f t="shared" ref="G302:H302" si="210">ISBLANK(M302)</f>
        <v>1</v>
      </c>
      <c r="H302" s="21" t="b">
        <f t="shared" si="210"/>
        <v>1</v>
      </c>
      <c r="I302" s="25"/>
      <c r="J302" s="25"/>
      <c r="K302" s="25"/>
      <c r="L302" s="25"/>
      <c r="M302" s="16"/>
      <c r="N302" s="16"/>
      <c r="O302" s="25"/>
      <c r="P302" s="25"/>
      <c r="Q302" s="25"/>
      <c r="R302" s="25"/>
      <c r="S302" s="25"/>
      <c r="T302" s="25"/>
      <c r="U302" s="25"/>
      <c r="V302" s="25"/>
      <c r="W302" s="25"/>
      <c r="X302" s="25"/>
      <c r="Y302" s="25"/>
      <c r="Z302" s="25"/>
      <c r="AA302" s="25"/>
      <c r="AB302" s="25"/>
    </row>
    <row r="303">
      <c r="A303" s="25"/>
      <c r="B303" s="25"/>
      <c r="C303" s="25"/>
      <c r="D303" s="25"/>
      <c r="E303" s="25"/>
      <c r="F303" s="241"/>
      <c r="G303" s="21" t="b">
        <f t="shared" ref="G303:H303" si="211">ISBLANK(M303)</f>
        <v>1</v>
      </c>
      <c r="H303" s="21" t="b">
        <f t="shared" si="211"/>
        <v>1</v>
      </c>
      <c r="I303" s="25"/>
      <c r="J303" s="25"/>
      <c r="K303" s="25"/>
      <c r="L303" s="25"/>
      <c r="M303" s="16"/>
      <c r="N303" s="16"/>
      <c r="O303" s="25"/>
      <c r="P303" s="25"/>
      <c r="Q303" s="25"/>
      <c r="R303" s="25"/>
      <c r="S303" s="25"/>
      <c r="T303" s="25"/>
      <c r="U303" s="25"/>
      <c r="V303" s="25"/>
      <c r="W303" s="25"/>
      <c r="X303" s="25"/>
      <c r="Y303" s="25"/>
      <c r="Z303" s="25"/>
      <c r="AA303" s="25"/>
      <c r="AB303" s="25"/>
    </row>
    <row r="304">
      <c r="A304" s="25"/>
      <c r="B304" s="25"/>
      <c r="C304" s="25"/>
      <c r="D304" s="25"/>
      <c r="E304" s="25"/>
      <c r="F304" s="241"/>
      <c r="G304" s="21" t="b">
        <f t="shared" ref="G304:H304" si="212">ISBLANK(M304)</f>
        <v>1</v>
      </c>
      <c r="H304" s="21" t="b">
        <f t="shared" si="212"/>
        <v>1</v>
      </c>
      <c r="I304" s="25"/>
      <c r="J304" s="25"/>
      <c r="K304" s="25"/>
      <c r="L304" s="25"/>
      <c r="M304" s="16"/>
      <c r="N304" s="16"/>
      <c r="O304" s="25"/>
      <c r="P304" s="25"/>
      <c r="Q304" s="25"/>
      <c r="R304" s="25"/>
      <c r="S304" s="25"/>
      <c r="T304" s="25"/>
      <c r="U304" s="25"/>
      <c r="V304" s="25"/>
      <c r="W304" s="25"/>
      <c r="X304" s="25"/>
      <c r="Y304" s="25"/>
      <c r="Z304" s="25"/>
      <c r="AA304" s="25"/>
      <c r="AB304" s="25"/>
    </row>
    <row r="305">
      <c r="A305" s="25"/>
      <c r="B305" s="25"/>
      <c r="C305" s="25"/>
      <c r="D305" s="25"/>
      <c r="E305" s="25"/>
      <c r="F305" s="241"/>
      <c r="G305" s="21" t="b">
        <f t="shared" ref="G305:H305" si="213">ISBLANK(M305)</f>
        <v>1</v>
      </c>
      <c r="H305" s="21" t="b">
        <f t="shared" si="213"/>
        <v>1</v>
      </c>
      <c r="I305" s="25"/>
      <c r="J305" s="25"/>
      <c r="K305" s="25"/>
      <c r="L305" s="25"/>
      <c r="M305" s="16"/>
      <c r="N305" s="16"/>
      <c r="O305" s="25"/>
      <c r="P305" s="25"/>
      <c r="Q305" s="25"/>
      <c r="R305" s="25"/>
      <c r="S305" s="25"/>
      <c r="T305" s="25"/>
      <c r="U305" s="25"/>
      <c r="V305" s="25"/>
      <c r="W305" s="25"/>
      <c r="X305" s="25"/>
      <c r="Y305" s="25"/>
      <c r="Z305" s="25"/>
      <c r="AA305" s="25"/>
      <c r="AB305" s="25"/>
    </row>
    <row r="306">
      <c r="A306" s="25"/>
      <c r="B306" s="25"/>
      <c r="C306" s="25"/>
      <c r="D306" s="25"/>
      <c r="E306" s="25"/>
      <c r="F306" s="241"/>
      <c r="G306" s="21" t="b">
        <f t="shared" ref="G306:H306" si="214">ISBLANK(M306)</f>
        <v>1</v>
      </c>
      <c r="H306" s="21" t="b">
        <f t="shared" si="214"/>
        <v>1</v>
      </c>
      <c r="I306" s="25"/>
      <c r="J306" s="25"/>
      <c r="K306" s="25"/>
      <c r="L306" s="25"/>
      <c r="M306" s="16"/>
      <c r="N306" s="16"/>
      <c r="O306" s="25"/>
      <c r="P306" s="25"/>
      <c r="Q306" s="25"/>
      <c r="R306" s="25"/>
      <c r="S306" s="25"/>
      <c r="T306" s="25"/>
      <c r="U306" s="25"/>
      <c r="V306" s="25"/>
      <c r="W306" s="25"/>
      <c r="X306" s="25"/>
      <c r="Y306" s="25"/>
      <c r="Z306" s="25"/>
      <c r="AA306" s="25"/>
      <c r="AB306" s="25"/>
    </row>
    <row r="307">
      <c r="A307" s="25"/>
      <c r="B307" s="25"/>
      <c r="C307" s="25"/>
      <c r="D307" s="25"/>
      <c r="E307" s="25"/>
      <c r="F307" s="241"/>
      <c r="G307" s="21" t="b">
        <f t="shared" ref="G307:H307" si="215">ISBLANK(M307)</f>
        <v>1</v>
      </c>
      <c r="H307" s="21" t="b">
        <f t="shared" si="215"/>
        <v>1</v>
      </c>
      <c r="I307" s="25"/>
      <c r="J307" s="25"/>
      <c r="K307" s="25"/>
      <c r="L307" s="25"/>
      <c r="M307" s="16"/>
      <c r="N307" s="16"/>
      <c r="O307" s="25"/>
      <c r="P307" s="25"/>
      <c r="Q307" s="25"/>
      <c r="R307" s="25"/>
      <c r="S307" s="25"/>
      <c r="T307" s="25"/>
      <c r="U307" s="25"/>
      <c r="V307" s="25"/>
      <c r="W307" s="25"/>
      <c r="X307" s="25"/>
      <c r="Y307" s="25"/>
      <c r="Z307" s="25"/>
      <c r="AA307" s="25"/>
      <c r="AB307" s="25"/>
    </row>
    <row r="308">
      <c r="A308" s="25"/>
      <c r="B308" s="25"/>
      <c r="C308" s="25"/>
      <c r="D308" s="25"/>
      <c r="E308" s="25"/>
      <c r="F308" s="241"/>
      <c r="G308" s="21" t="b">
        <f t="shared" ref="G308:H308" si="216">ISBLANK(M308)</f>
        <v>1</v>
      </c>
      <c r="H308" s="21" t="b">
        <f t="shared" si="216"/>
        <v>1</v>
      </c>
      <c r="I308" s="25"/>
      <c r="J308" s="25"/>
      <c r="K308" s="25"/>
      <c r="L308" s="25"/>
      <c r="M308" s="16"/>
      <c r="N308" s="16"/>
      <c r="O308" s="25"/>
      <c r="P308" s="25"/>
      <c r="Q308" s="25"/>
      <c r="R308" s="25"/>
      <c r="S308" s="25"/>
      <c r="T308" s="25"/>
      <c r="U308" s="25"/>
      <c r="V308" s="25"/>
      <c r="W308" s="25"/>
      <c r="X308" s="25"/>
      <c r="Y308" s="25"/>
      <c r="Z308" s="25"/>
      <c r="AA308" s="25"/>
      <c r="AB308" s="25"/>
    </row>
    <row r="309">
      <c r="A309" s="25"/>
      <c r="B309" s="25"/>
      <c r="C309" s="25"/>
      <c r="D309" s="25"/>
      <c r="E309" s="25"/>
      <c r="F309" s="241"/>
      <c r="G309" s="21" t="b">
        <f t="shared" ref="G309:H309" si="217">ISBLANK(M309)</f>
        <v>1</v>
      </c>
      <c r="H309" s="21" t="b">
        <f t="shared" si="217"/>
        <v>1</v>
      </c>
      <c r="I309" s="25"/>
      <c r="J309" s="25"/>
      <c r="K309" s="25"/>
      <c r="L309" s="25"/>
      <c r="M309" s="16"/>
      <c r="N309" s="16"/>
      <c r="O309" s="25"/>
      <c r="P309" s="25"/>
      <c r="Q309" s="25"/>
      <c r="R309" s="25"/>
      <c r="S309" s="25"/>
      <c r="T309" s="25"/>
      <c r="U309" s="25"/>
      <c r="V309" s="25"/>
      <c r="W309" s="25"/>
      <c r="X309" s="25"/>
      <c r="Y309" s="25"/>
      <c r="Z309" s="25"/>
      <c r="AA309" s="25"/>
      <c r="AB309" s="25"/>
    </row>
    <row r="310">
      <c r="A310" s="25"/>
      <c r="B310" s="25"/>
      <c r="C310" s="25"/>
      <c r="D310" s="25"/>
      <c r="E310" s="25"/>
      <c r="F310" s="241"/>
      <c r="G310" s="21" t="b">
        <f t="shared" ref="G310:H310" si="218">ISBLANK(M310)</f>
        <v>1</v>
      </c>
      <c r="H310" s="21" t="b">
        <f t="shared" si="218"/>
        <v>1</v>
      </c>
      <c r="I310" s="25"/>
      <c r="J310" s="25"/>
      <c r="K310" s="25"/>
      <c r="L310" s="25"/>
      <c r="M310" s="16"/>
      <c r="N310" s="16"/>
      <c r="O310" s="25"/>
      <c r="P310" s="25"/>
      <c r="Q310" s="25"/>
      <c r="R310" s="25"/>
      <c r="S310" s="25"/>
      <c r="T310" s="25"/>
      <c r="U310" s="25"/>
      <c r="V310" s="25"/>
      <c r="W310" s="25"/>
      <c r="X310" s="25"/>
      <c r="Y310" s="25"/>
      <c r="Z310" s="25"/>
      <c r="AA310" s="25"/>
      <c r="AB310" s="25"/>
    </row>
    <row r="311">
      <c r="A311" s="25"/>
      <c r="B311" s="25"/>
      <c r="C311" s="25"/>
      <c r="D311" s="25"/>
      <c r="E311" s="25"/>
      <c r="F311" s="241"/>
      <c r="G311" s="21" t="b">
        <f t="shared" ref="G311:H311" si="219">ISBLANK(M311)</f>
        <v>1</v>
      </c>
      <c r="H311" s="21" t="b">
        <f t="shared" si="219"/>
        <v>1</v>
      </c>
      <c r="I311" s="25"/>
      <c r="J311" s="25"/>
      <c r="K311" s="25"/>
      <c r="L311" s="25"/>
      <c r="M311" s="16"/>
      <c r="N311" s="16"/>
      <c r="O311" s="25"/>
      <c r="P311" s="25"/>
      <c r="Q311" s="25"/>
      <c r="R311" s="25"/>
      <c r="S311" s="25"/>
      <c r="T311" s="25"/>
      <c r="U311" s="25"/>
      <c r="V311" s="25"/>
      <c r="W311" s="25"/>
      <c r="X311" s="25"/>
      <c r="Y311" s="25"/>
      <c r="Z311" s="25"/>
      <c r="AA311" s="25"/>
      <c r="AB311" s="25"/>
    </row>
    <row r="312">
      <c r="A312" s="25"/>
      <c r="B312" s="25"/>
      <c r="C312" s="25"/>
      <c r="D312" s="25"/>
      <c r="E312" s="25"/>
      <c r="F312" s="241"/>
      <c r="G312" s="21" t="b">
        <f t="shared" ref="G312:H312" si="220">ISBLANK(M312)</f>
        <v>1</v>
      </c>
      <c r="H312" s="21" t="b">
        <f t="shared" si="220"/>
        <v>1</v>
      </c>
      <c r="I312" s="25"/>
      <c r="J312" s="25"/>
      <c r="K312" s="25"/>
      <c r="L312" s="25"/>
      <c r="M312" s="16"/>
      <c r="N312" s="16"/>
      <c r="O312" s="25"/>
      <c r="P312" s="25"/>
      <c r="Q312" s="25"/>
      <c r="R312" s="25"/>
      <c r="S312" s="25"/>
      <c r="T312" s="25"/>
      <c r="U312" s="25"/>
      <c r="V312" s="25"/>
      <c r="W312" s="25"/>
      <c r="X312" s="25"/>
      <c r="Y312" s="25"/>
      <c r="Z312" s="25"/>
      <c r="AA312" s="25"/>
      <c r="AB312" s="25"/>
    </row>
    <row r="313">
      <c r="A313" s="25"/>
      <c r="B313" s="25"/>
      <c r="C313" s="25"/>
      <c r="D313" s="25"/>
      <c r="E313" s="25"/>
      <c r="F313" s="241"/>
      <c r="G313" s="21" t="b">
        <f t="shared" ref="G313:H313" si="221">ISBLANK(M313)</f>
        <v>1</v>
      </c>
      <c r="H313" s="21" t="b">
        <f t="shared" si="221"/>
        <v>1</v>
      </c>
      <c r="I313" s="25"/>
      <c r="J313" s="25"/>
      <c r="K313" s="25"/>
      <c r="L313" s="25"/>
      <c r="M313" s="16"/>
      <c r="N313" s="16"/>
      <c r="O313" s="25"/>
      <c r="P313" s="25"/>
      <c r="Q313" s="25"/>
      <c r="R313" s="25"/>
      <c r="S313" s="25"/>
      <c r="T313" s="25"/>
      <c r="U313" s="25"/>
      <c r="V313" s="25"/>
      <c r="W313" s="25"/>
      <c r="X313" s="25"/>
      <c r="Y313" s="25"/>
      <c r="Z313" s="25"/>
      <c r="AA313" s="25"/>
      <c r="AB313" s="25"/>
    </row>
    <row r="314">
      <c r="A314" s="25"/>
      <c r="B314" s="25"/>
      <c r="C314" s="25"/>
      <c r="D314" s="25"/>
      <c r="E314" s="25"/>
      <c r="F314" s="241"/>
      <c r="G314" s="21" t="b">
        <f t="shared" ref="G314:H314" si="222">ISBLANK(M314)</f>
        <v>1</v>
      </c>
      <c r="H314" s="21" t="b">
        <f t="shared" si="222"/>
        <v>1</v>
      </c>
      <c r="I314" s="25"/>
      <c r="J314" s="25"/>
      <c r="K314" s="25"/>
      <c r="L314" s="25"/>
      <c r="M314" s="16"/>
      <c r="N314" s="16"/>
      <c r="O314" s="25"/>
      <c r="P314" s="25"/>
      <c r="Q314" s="25"/>
      <c r="R314" s="25"/>
      <c r="S314" s="25"/>
      <c r="T314" s="25"/>
      <c r="U314" s="25"/>
      <c r="V314" s="25"/>
      <c r="W314" s="25"/>
      <c r="X314" s="25"/>
      <c r="Y314" s="25"/>
      <c r="Z314" s="25"/>
      <c r="AA314" s="25"/>
      <c r="AB314" s="25"/>
    </row>
    <row r="315">
      <c r="A315" s="25"/>
      <c r="B315" s="25"/>
      <c r="C315" s="25"/>
      <c r="D315" s="25"/>
      <c r="E315" s="25"/>
      <c r="F315" s="241"/>
      <c r="G315" s="21" t="b">
        <f t="shared" ref="G315:H315" si="223">ISBLANK(M315)</f>
        <v>1</v>
      </c>
      <c r="H315" s="21" t="b">
        <f t="shared" si="223"/>
        <v>1</v>
      </c>
      <c r="I315" s="25"/>
      <c r="J315" s="25"/>
      <c r="K315" s="25"/>
      <c r="L315" s="25"/>
      <c r="M315" s="16"/>
      <c r="N315" s="16"/>
      <c r="O315" s="25"/>
      <c r="P315" s="25"/>
      <c r="Q315" s="25"/>
      <c r="R315" s="25"/>
      <c r="S315" s="25"/>
      <c r="T315" s="25"/>
      <c r="U315" s="25"/>
      <c r="V315" s="25"/>
      <c r="W315" s="25"/>
      <c r="X315" s="25"/>
      <c r="Y315" s="25"/>
      <c r="Z315" s="25"/>
      <c r="AA315" s="25"/>
      <c r="AB315" s="25"/>
    </row>
    <row r="316">
      <c r="A316" s="25"/>
      <c r="B316" s="25"/>
      <c r="C316" s="25"/>
      <c r="D316" s="25"/>
      <c r="E316" s="25"/>
      <c r="F316" s="241"/>
      <c r="G316" s="21" t="b">
        <f t="shared" ref="G316:H316" si="224">ISBLANK(M316)</f>
        <v>1</v>
      </c>
      <c r="H316" s="21" t="b">
        <f t="shared" si="224"/>
        <v>1</v>
      </c>
      <c r="I316" s="25"/>
      <c r="J316" s="25"/>
      <c r="K316" s="25"/>
      <c r="L316" s="25"/>
      <c r="M316" s="16"/>
      <c r="N316" s="16"/>
      <c r="O316" s="25"/>
      <c r="P316" s="25"/>
      <c r="Q316" s="25"/>
      <c r="R316" s="25"/>
      <c r="S316" s="25"/>
      <c r="T316" s="25"/>
      <c r="U316" s="25"/>
      <c r="V316" s="25"/>
      <c r="W316" s="25"/>
      <c r="X316" s="25"/>
      <c r="Y316" s="25"/>
      <c r="Z316" s="25"/>
      <c r="AA316" s="25"/>
      <c r="AB316" s="25"/>
    </row>
    <row r="317">
      <c r="A317" s="25"/>
      <c r="B317" s="25"/>
      <c r="C317" s="25"/>
      <c r="D317" s="25"/>
      <c r="E317" s="25"/>
      <c r="F317" s="241"/>
      <c r="G317" s="21" t="b">
        <f t="shared" ref="G317:H317" si="225">ISBLANK(M317)</f>
        <v>1</v>
      </c>
      <c r="H317" s="21" t="b">
        <f t="shared" si="225"/>
        <v>1</v>
      </c>
      <c r="I317" s="25"/>
      <c r="J317" s="25"/>
      <c r="K317" s="25"/>
      <c r="L317" s="25"/>
      <c r="M317" s="16"/>
      <c r="N317" s="16"/>
      <c r="O317" s="25"/>
      <c r="P317" s="25"/>
      <c r="Q317" s="25"/>
      <c r="R317" s="25"/>
      <c r="S317" s="25"/>
      <c r="T317" s="25"/>
      <c r="U317" s="25"/>
      <c r="V317" s="25"/>
      <c r="W317" s="25"/>
      <c r="X317" s="25"/>
      <c r="Y317" s="25"/>
      <c r="Z317" s="25"/>
      <c r="AA317" s="25"/>
      <c r="AB317" s="25"/>
    </row>
    <row r="318">
      <c r="A318" s="25"/>
      <c r="B318" s="25"/>
      <c r="C318" s="25"/>
      <c r="D318" s="25"/>
      <c r="E318" s="25"/>
      <c r="F318" s="241"/>
      <c r="G318" s="21" t="b">
        <f t="shared" ref="G318:H318" si="226">ISBLANK(M318)</f>
        <v>1</v>
      </c>
      <c r="H318" s="21" t="b">
        <f t="shared" si="226"/>
        <v>1</v>
      </c>
      <c r="I318" s="25"/>
      <c r="J318" s="25"/>
      <c r="K318" s="25"/>
      <c r="L318" s="25"/>
      <c r="M318" s="16"/>
      <c r="N318" s="16"/>
      <c r="O318" s="25"/>
      <c r="P318" s="25"/>
      <c r="Q318" s="25"/>
      <c r="R318" s="25"/>
      <c r="S318" s="25"/>
      <c r="T318" s="25"/>
      <c r="U318" s="25"/>
      <c r="V318" s="25"/>
      <c r="W318" s="25"/>
      <c r="X318" s="25"/>
      <c r="Y318" s="25"/>
      <c r="Z318" s="25"/>
      <c r="AA318" s="25"/>
      <c r="AB318" s="25"/>
    </row>
    <row r="319">
      <c r="A319" s="25"/>
      <c r="B319" s="25"/>
      <c r="C319" s="25"/>
      <c r="D319" s="25"/>
      <c r="E319" s="25"/>
      <c r="F319" s="241"/>
      <c r="G319" s="21" t="b">
        <f t="shared" ref="G319:H319" si="227">ISBLANK(M319)</f>
        <v>1</v>
      </c>
      <c r="H319" s="21" t="b">
        <f t="shared" si="227"/>
        <v>1</v>
      </c>
      <c r="I319" s="25"/>
      <c r="J319" s="25"/>
      <c r="K319" s="25"/>
      <c r="L319" s="25"/>
      <c r="M319" s="16"/>
      <c r="N319" s="16"/>
      <c r="O319" s="25"/>
      <c r="P319" s="25"/>
      <c r="Q319" s="25"/>
      <c r="R319" s="25"/>
      <c r="S319" s="25"/>
      <c r="T319" s="25"/>
      <c r="U319" s="25"/>
      <c r="V319" s="25"/>
      <c r="W319" s="25"/>
      <c r="X319" s="25"/>
      <c r="Y319" s="25"/>
      <c r="Z319" s="25"/>
      <c r="AA319" s="25"/>
      <c r="AB319" s="25"/>
    </row>
    <row r="320">
      <c r="A320" s="25"/>
      <c r="B320" s="25"/>
      <c r="C320" s="25"/>
      <c r="D320" s="25"/>
      <c r="E320" s="25"/>
      <c r="F320" s="241"/>
      <c r="G320" s="21" t="b">
        <f t="shared" ref="G320:H320" si="228">ISBLANK(M320)</f>
        <v>1</v>
      </c>
      <c r="H320" s="21" t="b">
        <f t="shared" si="228"/>
        <v>1</v>
      </c>
      <c r="I320" s="25"/>
      <c r="J320" s="25"/>
      <c r="K320" s="25"/>
      <c r="L320" s="25"/>
      <c r="M320" s="16"/>
      <c r="N320" s="16"/>
      <c r="O320" s="25"/>
      <c r="P320" s="25"/>
      <c r="Q320" s="25"/>
      <c r="R320" s="25"/>
      <c r="S320" s="25"/>
      <c r="T320" s="25"/>
      <c r="U320" s="25"/>
      <c r="V320" s="25"/>
      <c r="W320" s="25"/>
      <c r="X320" s="25"/>
      <c r="Y320" s="25"/>
      <c r="Z320" s="25"/>
      <c r="AA320" s="25"/>
      <c r="AB320" s="25"/>
    </row>
    <row r="321">
      <c r="A321" s="25"/>
      <c r="B321" s="25"/>
      <c r="C321" s="25"/>
      <c r="D321" s="25"/>
      <c r="E321" s="25"/>
      <c r="F321" s="241"/>
      <c r="G321" s="21" t="b">
        <f t="shared" ref="G321:H321" si="229">ISBLANK(M321)</f>
        <v>1</v>
      </c>
      <c r="H321" s="21" t="b">
        <f t="shared" si="229"/>
        <v>1</v>
      </c>
      <c r="I321" s="25"/>
      <c r="J321" s="25"/>
      <c r="K321" s="25"/>
      <c r="L321" s="25"/>
      <c r="M321" s="16"/>
      <c r="N321" s="16"/>
      <c r="O321" s="25"/>
      <c r="P321" s="25"/>
      <c r="Q321" s="25"/>
      <c r="R321" s="25"/>
      <c r="S321" s="25"/>
      <c r="T321" s="25"/>
      <c r="U321" s="25"/>
      <c r="V321" s="25"/>
      <c r="W321" s="25"/>
      <c r="X321" s="25"/>
      <c r="Y321" s="25"/>
      <c r="Z321" s="25"/>
      <c r="AA321" s="25"/>
      <c r="AB321" s="25"/>
    </row>
    <row r="322">
      <c r="A322" s="25"/>
      <c r="B322" s="25"/>
      <c r="C322" s="25"/>
      <c r="D322" s="25"/>
      <c r="E322" s="25"/>
      <c r="F322" s="241"/>
      <c r="G322" s="21" t="b">
        <f t="shared" ref="G322:H322" si="230">ISBLANK(M322)</f>
        <v>1</v>
      </c>
      <c r="H322" s="21" t="b">
        <f t="shared" si="230"/>
        <v>1</v>
      </c>
      <c r="I322" s="25"/>
      <c r="J322" s="25"/>
      <c r="K322" s="25"/>
      <c r="L322" s="25"/>
      <c r="M322" s="16"/>
      <c r="N322" s="16"/>
      <c r="O322" s="25"/>
      <c r="P322" s="25"/>
      <c r="Q322" s="25"/>
      <c r="R322" s="25"/>
      <c r="S322" s="25"/>
      <c r="T322" s="25"/>
      <c r="U322" s="25"/>
      <c r="V322" s="25"/>
      <c r="W322" s="25"/>
      <c r="X322" s="25"/>
      <c r="Y322" s="25"/>
      <c r="Z322" s="25"/>
      <c r="AA322" s="25"/>
      <c r="AB322" s="25"/>
    </row>
    <row r="323">
      <c r="A323" s="25"/>
      <c r="B323" s="25"/>
      <c r="C323" s="25"/>
      <c r="D323" s="25"/>
      <c r="E323" s="25"/>
      <c r="F323" s="241"/>
      <c r="G323" s="21" t="b">
        <f t="shared" ref="G323:H323" si="231">ISBLANK(M323)</f>
        <v>1</v>
      </c>
      <c r="H323" s="21" t="b">
        <f t="shared" si="231"/>
        <v>1</v>
      </c>
      <c r="I323" s="25"/>
      <c r="J323" s="25"/>
      <c r="K323" s="25"/>
      <c r="L323" s="25"/>
      <c r="M323" s="16"/>
      <c r="N323" s="16"/>
      <c r="O323" s="25"/>
      <c r="P323" s="25"/>
      <c r="Q323" s="25"/>
      <c r="R323" s="25"/>
      <c r="S323" s="25"/>
      <c r="T323" s="25"/>
      <c r="U323" s="25"/>
      <c r="V323" s="25"/>
      <c r="W323" s="25"/>
      <c r="X323" s="25"/>
      <c r="Y323" s="25"/>
      <c r="Z323" s="25"/>
      <c r="AA323" s="25"/>
      <c r="AB323" s="25"/>
    </row>
    <row r="324">
      <c r="A324" s="25"/>
      <c r="B324" s="25"/>
      <c r="C324" s="25"/>
      <c r="D324" s="25"/>
      <c r="E324" s="25"/>
      <c r="F324" s="241"/>
      <c r="G324" s="21" t="b">
        <f t="shared" ref="G324:H324" si="232">ISBLANK(M324)</f>
        <v>1</v>
      </c>
      <c r="H324" s="21" t="b">
        <f t="shared" si="232"/>
        <v>1</v>
      </c>
      <c r="I324" s="25"/>
      <c r="J324" s="25"/>
      <c r="K324" s="25"/>
      <c r="L324" s="25"/>
      <c r="M324" s="16"/>
      <c r="N324" s="16"/>
      <c r="O324" s="25"/>
      <c r="P324" s="25"/>
      <c r="Q324" s="25"/>
      <c r="R324" s="25"/>
      <c r="S324" s="25"/>
      <c r="T324" s="25"/>
      <c r="U324" s="25"/>
      <c r="V324" s="25"/>
      <c r="W324" s="25"/>
      <c r="X324" s="25"/>
      <c r="Y324" s="25"/>
      <c r="Z324" s="25"/>
      <c r="AA324" s="25"/>
      <c r="AB324" s="25"/>
    </row>
    <row r="325">
      <c r="A325" s="25"/>
      <c r="B325" s="25"/>
      <c r="C325" s="25"/>
      <c r="D325" s="25"/>
      <c r="E325" s="25"/>
      <c r="F325" s="241"/>
      <c r="G325" s="21" t="b">
        <f t="shared" ref="G325:H325" si="233">ISBLANK(M325)</f>
        <v>1</v>
      </c>
      <c r="H325" s="21" t="b">
        <f t="shared" si="233"/>
        <v>1</v>
      </c>
      <c r="I325" s="25"/>
      <c r="J325" s="25"/>
      <c r="K325" s="25"/>
      <c r="L325" s="25"/>
      <c r="M325" s="16"/>
      <c r="N325" s="16"/>
      <c r="O325" s="25"/>
      <c r="P325" s="25"/>
      <c r="Q325" s="25"/>
      <c r="R325" s="25"/>
      <c r="S325" s="25"/>
      <c r="T325" s="25"/>
      <c r="U325" s="25"/>
      <c r="V325" s="25"/>
      <c r="W325" s="25"/>
      <c r="X325" s="25"/>
      <c r="Y325" s="25"/>
      <c r="Z325" s="25"/>
      <c r="AA325" s="25"/>
      <c r="AB325" s="25"/>
    </row>
    <row r="326">
      <c r="A326" s="25"/>
      <c r="B326" s="25"/>
      <c r="C326" s="25"/>
      <c r="D326" s="25"/>
      <c r="E326" s="25"/>
      <c r="F326" s="241"/>
      <c r="G326" s="21" t="b">
        <f t="shared" ref="G326:H326" si="234">ISBLANK(M326)</f>
        <v>1</v>
      </c>
      <c r="H326" s="21" t="b">
        <f t="shared" si="234"/>
        <v>1</v>
      </c>
      <c r="I326" s="25"/>
      <c r="J326" s="25"/>
      <c r="K326" s="25"/>
      <c r="L326" s="25"/>
      <c r="M326" s="16"/>
      <c r="N326" s="16"/>
      <c r="O326" s="25"/>
      <c r="P326" s="25"/>
      <c r="Q326" s="25"/>
      <c r="R326" s="25"/>
      <c r="S326" s="25"/>
      <c r="T326" s="25"/>
      <c r="U326" s="25"/>
      <c r="V326" s="25"/>
      <c r="W326" s="25"/>
      <c r="X326" s="25"/>
      <c r="Y326" s="25"/>
      <c r="Z326" s="25"/>
      <c r="AA326" s="25"/>
      <c r="AB326" s="25"/>
    </row>
    <row r="327">
      <c r="A327" s="25"/>
      <c r="B327" s="25"/>
      <c r="C327" s="25"/>
      <c r="D327" s="25"/>
      <c r="E327" s="25"/>
      <c r="F327" s="241"/>
      <c r="G327" s="21" t="b">
        <f t="shared" ref="G327:H327" si="235">ISBLANK(M327)</f>
        <v>1</v>
      </c>
      <c r="H327" s="21" t="b">
        <f t="shared" si="235"/>
        <v>1</v>
      </c>
      <c r="I327" s="25"/>
      <c r="J327" s="25"/>
      <c r="K327" s="25"/>
      <c r="L327" s="25"/>
      <c r="M327" s="16"/>
      <c r="N327" s="16"/>
      <c r="O327" s="25"/>
      <c r="P327" s="25"/>
      <c r="Q327" s="25"/>
      <c r="R327" s="25"/>
      <c r="S327" s="25"/>
      <c r="T327" s="25"/>
      <c r="U327" s="25"/>
      <c r="V327" s="25"/>
      <c r="W327" s="25"/>
      <c r="X327" s="25"/>
      <c r="Y327" s="25"/>
      <c r="Z327" s="25"/>
      <c r="AA327" s="25"/>
      <c r="AB327" s="25"/>
    </row>
    <row r="328">
      <c r="A328" s="25"/>
      <c r="B328" s="25"/>
      <c r="C328" s="25"/>
      <c r="D328" s="25"/>
      <c r="E328" s="25"/>
      <c r="F328" s="241"/>
      <c r="G328" s="21" t="b">
        <f t="shared" ref="G328:H328" si="236">ISBLANK(M328)</f>
        <v>1</v>
      </c>
      <c r="H328" s="21" t="b">
        <f t="shared" si="236"/>
        <v>1</v>
      </c>
      <c r="I328" s="25"/>
      <c r="J328" s="25"/>
      <c r="K328" s="25"/>
      <c r="L328" s="25"/>
      <c r="M328" s="16"/>
      <c r="N328" s="16"/>
      <c r="O328" s="25"/>
      <c r="P328" s="25"/>
      <c r="Q328" s="25"/>
      <c r="R328" s="25"/>
      <c r="S328" s="25"/>
      <c r="T328" s="25"/>
      <c r="U328" s="25"/>
      <c r="V328" s="25"/>
      <c r="W328" s="25"/>
      <c r="X328" s="25"/>
      <c r="Y328" s="25"/>
      <c r="Z328" s="25"/>
      <c r="AA328" s="25"/>
      <c r="AB328" s="25"/>
    </row>
    <row r="329">
      <c r="A329" s="25"/>
      <c r="B329" s="25"/>
      <c r="C329" s="25"/>
      <c r="D329" s="25"/>
      <c r="E329" s="25"/>
      <c r="F329" s="241"/>
      <c r="G329" s="21" t="b">
        <f t="shared" ref="G329:H329" si="237">ISBLANK(M329)</f>
        <v>1</v>
      </c>
      <c r="H329" s="21" t="b">
        <f t="shared" si="237"/>
        <v>1</v>
      </c>
      <c r="I329" s="25"/>
      <c r="J329" s="25"/>
      <c r="K329" s="25"/>
      <c r="L329" s="25"/>
      <c r="M329" s="16"/>
      <c r="N329" s="16"/>
      <c r="O329" s="25"/>
      <c r="P329" s="25"/>
      <c r="Q329" s="25"/>
      <c r="R329" s="25"/>
      <c r="S329" s="25"/>
      <c r="T329" s="25"/>
      <c r="U329" s="25"/>
      <c r="V329" s="25"/>
      <c r="W329" s="25"/>
      <c r="X329" s="25"/>
      <c r="Y329" s="25"/>
      <c r="Z329" s="25"/>
      <c r="AA329" s="25"/>
      <c r="AB329" s="25"/>
    </row>
    <row r="330">
      <c r="A330" s="25"/>
      <c r="B330" s="25"/>
      <c r="C330" s="25"/>
      <c r="D330" s="25"/>
      <c r="E330" s="25"/>
      <c r="F330" s="241"/>
      <c r="G330" s="21" t="b">
        <f t="shared" ref="G330:H330" si="238">ISBLANK(M330)</f>
        <v>1</v>
      </c>
      <c r="H330" s="21" t="b">
        <f t="shared" si="238"/>
        <v>1</v>
      </c>
      <c r="I330" s="25"/>
      <c r="J330" s="25"/>
      <c r="K330" s="25"/>
      <c r="L330" s="25"/>
      <c r="M330" s="16"/>
      <c r="N330" s="16"/>
      <c r="O330" s="25"/>
      <c r="P330" s="25"/>
      <c r="Q330" s="25"/>
      <c r="R330" s="25"/>
      <c r="S330" s="25"/>
      <c r="T330" s="25"/>
      <c r="U330" s="25"/>
      <c r="V330" s="25"/>
      <c r="W330" s="25"/>
      <c r="X330" s="25"/>
      <c r="Y330" s="25"/>
      <c r="Z330" s="25"/>
      <c r="AA330" s="25"/>
      <c r="AB330" s="25"/>
    </row>
    <row r="331">
      <c r="A331" s="25"/>
      <c r="B331" s="25"/>
      <c r="C331" s="25"/>
      <c r="D331" s="25"/>
      <c r="E331" s="25"/>
      <c r="F331" s="241"/>
      <c r="G331" s="21" t="b">
        <f t="shared" ref="G331:H331" si="239">ISBLANK(M331)</f>
        <v>1</v>
      </c>
      <c r="H331" s="21" t="b">
        <f t="shared" si="239"/>
        <v>1</v>
      </c>
      <c r="I331" s="25"/>
      <c r="J331" s="25"/>
      <c r="K331" s="25"/>
      <c r="L331" s="25"/>
      <c r="M331" s="16"/>
      <c r="N331" s="16"/>
      <c r="O331" s="25"/>
      <c r="P331" s="25"/>
      <c r="Q331" s="25"/>
      <c r="R331" s="25"/>
      <c r="S331" s="25"/>
      <c r="T331" s="25"/>
      <c r="U331" s="25"/>
      <c r="V331" s="25"/>
      <c r="W331" s="25"/>
      <c r="X331" s="25"/>
      <c r="Y331" s="25"/>
      <c r="Z331" s="25"/>
      <c r="AA331" s="25"/>
      <c r="AB331" s="25"/>
    </row>
    <row r="332">
      <c r="A332" s="25"/>
      <c r="B332" s="25"/>
      <c r="C332" s="25"/>
      <c r="D332" s="25"/>
      <c r="E332" s="25"/>
      <c r="F332" s="241"/>
      <c r="G332" s="21" t="b">
        <f t="shared" ref="G332:H332" si="240">ISBLANK(M332)</f>
        <v>1</v>
      </c>
      <c r="H332" s="21" t="b">
        <f t="shared" si="240"/>
        <v>1</v>
      </c>
      <c r="I332" s="25"/>
      <c r="J332" s="25"/>
      <c r="K332" s="25"/>
      <c r="L332" s="25"/>
      <c r="M332" s="16"/>
      <c r="N332" s="16"/>
      <c r="O332" s="25"/>
      <c r="P332" s="25"/>
      <c r="Q332" s="25"/>
      <c r="R332" s="25"/>
      <c r="S332" s="25"/>
      <c r="T332" s="25"/>
      <c r="U332" s="25"/>
      <c r="V332" s="25"/>
      <c r="W332" s="25"/>
      <c r="X332" s="25"/>
      <c r="Y332" s="25"/>
      <c r="Z332" s="25"/>
      <c r="AA332" s="25"/>
      <c r="AB332" s="25"/>
    </row>
    <row r="333">
      <c r="A333" s="25"/>
      <c r="B333" s="25"/>
      <c r="C333" s="25"/>
      <c r="D333" s="25"/>
      <c r="E333" s="25"/>
      <c r="F333" s="241"/>
      <c r="G333" s="21" t="b">
        <f t="shared" ref="G333:H333" si="241">ISBLANK(M333)</f>
        <v>1</v>
      </c>
      <c r="H333" s="21" t="b">
        <f t="shared" si="241"/>
        <v>1</v>
      </c>
      <c r="I333" s="25"/>
      <c r="J333" s="25"/>
      <c r="K333" s="25"/>
      <c r="L333" s="25"/>
      <c r="M333" s="16"/>
      <c r="N333" s="16"/>
      <c r="O333" s="25"/>
      <c r="P333" s="25"/>
      <c r="Q333" s="25"/>
      <c r="R333" s="25"/>
      <c r="S333" s="25"/>
      <c r="T333" s="25"/>
      <c r="U333" s="25"/>
      <c r="V333" s="25"/>
      <c r="W333" s="25"/>
      <c r="X333" s="25"/>
      <c r="Y333" s="25"/>
      <c r="Z333" s="25"/>
      <c r="AA333" s="25"/>
      <c r="AB333" s="25"/>
    </row>
    <row r="334">
      <c r="A334" s="25"/>
      <c r="B334" s="25"/>
      <c r="C334" s="25"/>
      <c r="D334" s="25"/>
      <c r="E334" s="25"/>
      <c r="F334" s="241"/>
      <c r="G334" s="21" t="b">
        <f t="shared" ref="G334:H334" si="242">ISBLANK(M334)</f>
        <v>1</v>
      </c>
      <c r="H334" s="21" t="b">
        <f t="shared" si="242"/>
        <v>1</v>
      </c>
      <c r="I334" s="25"/>
      <c r="J334" s="25"/>
      <c r="K334" s="25"/>
      <c r="L334" s="25"/>
      <c r="M334" s="16"/>
      <c r="N334" s="16"/>
      <c r="O334" s="25"/>
      <c r="P334" s="25"/>
      <c r="Q334" s="25"/>
      <c r="R334" s="25"/>
      <c r="S334" s="25"/>
      <c r="T334" s="25"/>
      <c r="U334" s="25"/>
      <c r="V334" s="25"/>
      <c r="W334" s="25"/>
      <c r="X334" s="25"/>
      <c r="Y334" s="25"/>
      <c r="Z334" s="25"/>
      <c r="AA334" s="25"/>
      <c r="AB334" s="25"/>
    </row>
    <row r="335">
      <c r="A335" s="25"/>
      <c r="B335" s="25"/>
      <c r="C335" s="25"/>
      <c r="D335" s="25"/>
      <c r="E335" s="25"/>
      <c r="F335" s="241"/>
      <c r="G335" s="21" t="b">
        <f t="shared" ref="G335:H335" si="243">ISBLANK(M335)</f>
        <v>1</v>
      </c>
      <c r="H335" s="21" t="b">
        <f t="shared" si="243"/>
        <v>1</v>
      </c>
      <c r="I335" s="25"/>
      <c r="J335" s="25"/>
      <c r="K335" s="25"/>
      <c r="L335" s="25"/>
      <c r="M335" s="16"/>
      <c r="N335" s="16"/>
      <c r="O335" s="25"/>
      <c r="P335" s="25"/>
      <c r="Q335" s="25"/>
      <c r="R335" s="25"/>
      <c r="S335" s="25"/>
      <c r="T335" s="25"/>
      <c r="U335" s="25"/>
      <c r="V335" s="25"/>
      <c r="W335" s="25"/>
      <c r="X335" s="25"/>
      <c r="Y335" s="25"/>
      <c r="Z335" s="25"/>
      <c r="AA335" s="25"/>
      <c r="AB335" s="25"/>
    </row>
    <row r="336">
      <c r="A336" s="25"/>
      <c r="B336" s="25"/>
      <c r="C336" s="25"/>
      <c r="D336" s="25"/>
      <c r="E336" s="25"/>
      <c r="F336" s="241"/>
      <c r="G336" s="21" t="b">
        <f t="shared" ref="G336:H336" si="244">ISBLANK(M336)</f>
        <v>1</v>
      </c>
      <c r="H336" s="21" t="b">
        <f t="shared" si="244"/>
        <v>1</v>
      </c>
      <c r="I336" s="25"/>
      <c r="J336" s="25"/>
      <c r="K336" s="25"/>
      <c r="L336" s="25"/>
      <c r="M336" s="16"/>
      <c r="N336" s="16"/>
      <c r="O336" s="25"/>
      <c r="P336" s="25"/>
      <c r="Q336" s="25"/>
      <c r="R336" s="25"/>
      <c r="S336" s="25"/>
      <c r="T336" s="25"/>
      <c r="U336" s="25"/>
      <c r="V336" s="25"/>
      <c r="W336" s="25"/>
      <c r="X336" s="25"/>
      <c r="Y336" s="25"/>
      <c r="Z336" s="25"/>
      <c r="AA336" s="25"/>
      <c r="AB336" s="25"/>
    </row>
    <row r="337">
      <c r="A337" s="25"/>
      <c r="B337" s="25"/>
      <c r="C337" s="25"/>
      <c r="D337" s="25"/>
      <c r="E337" s="25"/>
      <c r="F337" s="241"/>
      <c r="G337" s="21" t="b">
        <f t="shared" ref="G337:H337" si="245">ISBLANK(M337)</f>
        <v>1</v>
      </c>
      <c r="H337" s="21" t="b">
        <f t="shared" si="245"/>
        <v>1</v>
      </c>
      <c r="I337" s="25"/>
      <c r="J337" s="25"/>
      <c r="K337" s="25"/>
      <c r="L337" s="25"/>
      <c r="M337" s="16"/>
      <c r="N337" s="16"/>
      <c r="O337" s="25"/>
      <c r="P337" s="25"/>
      <c r="Q337" s="25"/>
      <c r="R337" s="25"/>
      <c r="S337" s="25"/>
      <c r="T337" s="25"/>
      <c r="U337" s="25"/>
      <c r="V337" s="25"/>
      <c r="W337" s="25"/>
      <c r="X337" s="25"/>
      <c r="Y337" s="25"/>
      <c r="Z337" s="25"/>
      <c r="AA337" s="25"/>
      <c r="AB337" s="25"/>
    </row>
    <row r="338">
      <c r="A338" s="25"/>
      <c r="B338" s="25"/>
      <c r="C338" s="25"/>
      <c r="D338" s="25"/>
      <c r="E338" s="25"/>
      <c r="F338" s="241"/>
      <c r="G338" s="21" t="b">
        <f t="shared" ref="G338:H338" si="246">ISBLANK(M338)</f>
        <v>1</v>
      </c>
      <c r="H338" s="21" t="b">
        <f t="shared" si="246"/>
        <v>1</v>
      </c>
      <c r="I338" s="25"/>
      <c r="J338" s="25"/>
      <c r="K338" s="25"/>
      <c r="L338" s="25"/>
      <c r="M338" s="16"/>
      <c r="N338" s="16"/>
      <c r="O338" s="25"/>
      <c r="P338" s="25"/>
      <c r="Q338" s="25"/>
      <c r="R338" s="25"/>
      <c r="S338" s="25"/>
      <c r="T338" s="25"/>
      <c r="U338" s="25"/>
      <c r="V338" s="25"/>
      <c r="W338" s="25"/>
      <c r="X338" s="25"/>
      <c r="Y338" s="25"/>
      <c r="Z338" s="25"/>
      <c r="AA338" s="25"/>
      <c r="AB338" s="25"/>
    </row>
    <row r="339">
      <c r="A339" s="25"/>
      <c r="B339" s="25"/>
      <c r="C339" s="25"/>
      <c r="D339" s="25"/>
      <c r="E339" s="25"/>
      <c r="F339" s="241"/>
      <c r="G339" s="21" t="b">
        <f t="shared" ref="G339:H339" si="247">ISBLANK(M339)</f>
        <v>1</v>
      </c>
      <c r="H339" s="21" t="b">
        <f t="shared" si="247"/>
        <v>1</v>
      </c>
      <c r="I339" s="25"/>
      <c r="J339" s="25"/>
      <c r="K339" s="25"/>
      <c r="L339" s="25"/>
      <c r="M339" s="16"/>
      <c r="N339" s="16"/>
      <c r="O339" s="25"/>
      <c r="P339" s="25"/>
      <c r="Q339" s="25"/>
      <c r="R339" s="25"/>
      <c r="S339" s="25"/>
      <c r="T339" s="25"/>
      <c r="U339" s="25"/>
      <c r="V339" s="25"/>
      <c r="W339" s="25"/>
      <c r="X339" s="25"/>
      <c r="Y339" s="25"/>
      <c r="Z339" s="25"/>
      <c r="AA339" s="25"/>
      <c r="AB339" s="25"/>
    </row>
    <row r="340">
      <c r="A340" s="25"/>
      <c r="B340" s="25"/>
      <c r="C340" s="25"/>
      <c r="D340" s="25"/>
      <c r="E340" s="25"/>
      <c r="F340" s="241"/>
      <c r="G340" s="21" t="b">
        <f t="shared" ref="G340:H340" si="248">ISBLANK(M340)</f>
        <v>1</v>
      </c>
      <c r="H340" s="21" t="b">
        <f t="shared" si="248"/>
        <v>1</v>
      </c>
      <c r="I340" s="25"/>
      <c r="J340" s="25"/>
      <c r="K340" s="25"/>
      <c r="L340" s="25"/>
      <c r="M340" s="16"/>
      <c r="N340" s="16"/>
      <c r="O340" s="25"/>
      <c r="P340" s="25"/>
      <c r="Q340" s="25"/>
      <c r="R340" s="25"/>
      <c r="S340" s="25"/>
      <c r="T340" s="25"/>
      <c r="U340" s="25"/>
      <c r="V340" s="25"/>
      <c r="W340" s="25"/>
      <c r="X340" s="25"/>
      <c r="Y340" s="25"/>
      <c r="Z340" s="25"/>
      <c r="AA340" s="25"/>
      <c r="AB340" s="25"/>
    </row>
    <row r="341">
      <c r="A341" s="25"/>
      <c r="B341" s="25"/>
      <c r="C341" s="25"/>
      <c r="D341" s="25"/>
      <c r="E341" s="25"/>
      <c r="F341" s="241"/>
      <c r="G341" s="21" t="b">
        <f t="shared" ref="G341:H341" si="249">ISBLANK(M341)</f>
        <v>1</v>
      </c>
      <c r="H341" s="21" t="b">
        <f t="shared" si="249"/>
        <v>1</v>
      </c>
      <c r="I341" s="25"/>
      <c r="J341" s="25"/>
      <c r="K341" s="25"/>
      <c r="L341" s="25"/>
      <c r="M341" s="16"/>
      <c r="N341" s="16"/>
      <c r="O341" s="25"/>
      <c r="P341" s="25"/>
      <c r="Q341" s="25"/>
      <c r="R341" s="25"/>
      <c r="S341" s="25"/>
      <c r="T341" s="25"/>
      <c r="U341" s="25"/>
      <c r="V341" s="25"/>
      <c r="W341" s="25"/>
      <c r="X341" s="25"/>
      <c r="Y341" s="25"/>
      <c r="Z341" s="25"/>
      <c r="AA341" s="25"/>
      <c r="AB341" s="25"/>
    </row>
    <row r="342">
      <c r="A342" s="25"/>
      <c r="B342" s="25"/>
      <c r="C342" s="25"/>
      <c r="D342" s="25"/>
      <c r="E342" s="25"/>
      <c r="F342" s="241"/>
      <c r="G342" s="21" t="b">
        <f t="shared" ref="G342:H342" si="250">ISBLANK(M342)</f>
        <v>1</v>
      </c>
      <c r="H342" s="21" t="b">
        <f t="shared" si="250"/>
        <v>1</v>
      </c>
      <c r="I342" s="25"/>
      <c r="J342" s="25"/>
      <c r="K342" s="25"/>
      <c r="L342" s="25"/>
      <c r="M342" s="16"/>
      <c r="N342" s="16"/>
      <c r="O342" s="25"/>
      <c r="P342" s="25"/>
      <c r="Q342" s="25"/>
      <c r="R342" s="25"/>
      <c r="S342" s="25"/>
      <c r="T342" s="25"/>
      <c r="U342" s="25"/>
      <c r="V342" s="25"/>
      <c r="W342" s="25"/>
      <c r="X342" s="25"/>
      <c r="Y342" s="25"/>
      <c r="Z342" s="25"/>
      <c r="AA342" s="25"/>
      <c r="AB342" s="25"/>
    </row>
    <row r="343">
      <c r="A343" s="25"/>
      <c r="B343" s="25"/>
      <c r="C343" s="25"/>
      <c r="D343" s="25"/>
      <c r="E343" s="25"/>
      <c r="F343" s="241"/>
      <c r="G343" s="21" t="b">
        <f t="shared" ref="G343:H343" si="251">ISBLANK(M343)</f>
        <v>1</v>
      </c>
      <c r="H343" s="21" t="b">
        <f t="shared" si="251"/>
        <v>1</v>
      </c>
      <c r="I343" s="25"/>
      <c r="J343" s="25"/>
      <c r="K343" s="25"/>
      <c r="L343" s="25"/>
      <c r="M343" s="16"/>
      <c r="N343" s="16"/>
      <c r="O343" s="25"/>
      <c r="P343" s="25"/>
      <c r="Q343" s="25"/>
      <c r="R343" s="25"/>
      <c r="S343" s="25"/>
      <c r="T343" s="25"/>
      <c r="U343" s="25"/>
      <c r="V343" s="25"/>
      <c r="W343" s="25"/>
      <c r="X343" s="25"/>
      <c r="Y343" s="25"/>
      <c r="Z343" s="25"/>
      <c r="AA343" s="25"/>
      <c r="AB343" s="25"/>
    </row>
    <row r="344">
      <c r="A344" s="25"/>
      <c r="B344" s="25"/>
      <c r="C344" s="25"/>
      <c r="D344" s="25"/>
      <c r="E344" s="25"/>
      <c r="F344" s="241"/>
      <c r="G344" s="21" t="b">
        <f t="shared" ref="G344:H344" si="252">ISBLANK(M344)</f>
        <v>1</v>
      </c>
      <c r="H344" s="21" t="b">
        <f t="shared" si="252"/>
        <v>1</v>
      </c>
      <c r="I344" s="25"/>
      <c r="J344" s="25"/>
      <c r="K344" s="25"/>
      <c r="L344" s="25"/>
      <c r="M344" s="16"/>
      <c r="N344" s="16"/>
      <c r="O344" s="25"/>
      <c r="P344" s="25"/>
      <c r="Q344" s="25"/>
      <c r="R344" s="25"/>
      <c r="S344" s="25"/>
      <c r="T344" s="25"/>
      <c r="U344" s="25"/>
      <c r="V344" s="25"/>
      <c r="W344" s="25"/>
      <c r="X344" s="25"/>
      <c r="Y344" s="25"/>
      <c r="Z344" s="25"/>
      <c r="AA344" s="25"/>
      <c r="AB344" s="25"/>
    </row>
    <row r="345">
      <c r="A345" s="25"/>
      <c r="B345" s="25"/>
      <c r="C345" s="25"/>
      <c r="D345" s="25"/>
      <c r="E345" s="25"/>
      <c r="F345" s="241"/>
      <c r="G345" s="21" t="b">
        <f t="shared" ref="G345:H345" si="253">ISBLANK(M345)</f>
        <v>1</v>
      </c>
      <c r="H345" s="21" t="b">
        <f t="shared" si="253"/>
        <v>1</v>
      </c>
      <c r="I345" s="25"/>
      <c r="J345" s="25"/>
      <c r="K345" s="25"/>
      <c r="L345" s="25"/>
      <c r="M345" s="16"/>
      <c r="N345" s="16"/>
      <c r="O345" s="25"/>
      <c r="P345" s="25"/>
      <c r="Q345" s="25"/>
      <c r="R345" s="25"/>
      <c r="S345" s="25"/>
      <c r="T345" s="25"/>
      <c r="U345" s="25"/>
      <c r="V345" s="25"/>
      <c r="W345" s="25"/>
      <c r="X345" s="25"/>
      <c r="Y345" s="25"/>
      <c r="Z345" s="25"/>
      <c r="AA345" s="25"/>
      <c r="AB345" s="25"/>
    </row>
    <row r="346">
      <c r="A346" s="25"/>
      <c r="B346" s="25"/>
      <c r="C346" s="25"/>
      <c r="D346" s="25"/>
      <c r="E346" s="25"/>
      <c r="F346" s="241"/>
      <c r="G346" s="21" t="b">
        <f t="shared" ref="G346:H346" si="254">ISBLANK(M346)</f>
        <v>1</v>
      </c>
      <c r="H346" s="21" t="b">
        <f t="shared" si="254"/>
        <v>1</v>
      </c>
      <c r="I346" s="25"/>
      <c r="J346" s="25"/>
      <c r="K346" s="25"/>
      <c r="L346" s="25"/>
      <c r="M346" s="16"/>
      <c r="N346" s="16"/>
      <c r="O346" s="25"/>
      <c r="P346" s="25"/>
      <c r="Q346" s="25"/>
      <c r="R346" s="25"/>
      <c r="S346" s="25"/>
      <c r="T346" s="25"/>
      <c r="U346" s="25"/>
      <c r="V346" s="25"/>
      <c r="W346" s="25"/>
      <c r="X346" s="25"/>
      <c r="Y346" s="25"/>
      <c r="Z346" s="25"/>
      <c r="AA346" s="25"/>
      <c r="AB346" s="25"/>
    </row>
    <row r="347">
      <c r="A347" s="25"/>
      <c r="B347" s="25"/>
      <c r="C347" s="25"/>
      <c r="D347" s="25"/>
      <c r="E347" s="25"/>
      <c r="F347" s="241"/>
      <c r="G347" s="21" t="b">
        <f t="shared" ref="G347:H347" si="255">ISBLANK(M347)</f>
        <v>1</v>
      </c>
      <c r="H347" s="21" t="b">
        <f t="shared" si="255"/>
        <v>1</v>
      </c>
      <c r="I347" s="25"/>
      <c r="J347" s="25"/>
      <c r="K347" s="25"/>
      <c r="L347" s="25"/>
      <c r="M347" s="16"/>
      <c r="N347" s="16"/>
      <c r="O347" s="25"/>
      <c r="P347" s="25"/>
      <c r="Q347" s="25"/>
      <c r="R347" s="25"/>
      <c r="S347" s="25"/>
      <c r="T347" s="25"/>
      <c r="U347" s="25"/>
      <c r="V347" s="25"/>
      <c r="W347" s="25"/>
      <c r="X347" s="25"/>
      <c r="Y347" s="25"/>
      <c r="Z347" s="25"/>
      <c r="AA347" s="25"/>
      <c r="AB347" s="25"/>
    </row>
    <row r="348">
      <c r="A348" s="25"/>
      <c r="B348" s="25"/>
      <c r="C348" s="25"/>
      <c r="D348" s="25"/>
      <c r="E348" s="25"/>
      <c r="F348" s="241"/>
      <c r="G348" s="21" t="b">
        <f t="shared" ref="G348:H348" si="256">ISBLANK(M348)</f>
        <v>1</v>
      </c>
      <c r="H348" s="21" t="b">
        <f t="shared" si="256"/>
        <v>1</v>
      </c>
      <c r="I348" s="25"/>
      <c r="J348" s="25"/>
      <c r="K348" s="25"/>
      <c r="L348" s="25"/>
      <c r="M348" s="16"/>
      <c r="N348" s="16"/>
      <c r="O348" s="25"/>
      <c r="P348" s="25"/>
      <c r="Q348" s="25"/>
      <c r="R348" s="25"/>
      <c r="S348" s="25"/>
      <c r="T348" s="25"/>
      <c r="U348" s="25"/>
      <c r="V348" s="25"/>
      <c r="W348" s="25"/>
      <c r="X348" s="25"/>
      <c r="Y348" s="25"/>
      <c r="Z348" s="25"/>
      <c r="AA348" s="25"/>
      <c r="AB348" s="25"/>
    </row>
    <row r="349">
      <c r="A349" s="25"/>
      <c r="B349" s="25"/>
      <c r="C349" s="25"/>
      <c r="D349" s="25"/>
      <c r="E349" s="25"/>
      <c r="F349" s="241"/>
      <c r="G349" s="21" t="b">
        <f t="shared" ref="G349:H349" si="257">ISBLANK(M349)</f>
        <v>1</v>
      </c>
      <c r="H349" s="21" t="b">
        <f t="shared" si="257"/>
        <v>1</v>
      </c>
      <c r="I349" s="25"/>
      <c r="J349" s="25"/>
      <c r="K349" s="25"/>
      <c r="L349" s="25"/>
      <c r="M349" s="16"/>
      <c r="N349" s="16"/>
      <c r="O349" s="25"/>
      <c r="P349" s="25"/>
      <c r="Q349" s="25"/>
      <c r="R349" s="25"/>
      <c r="S349" s="25"/>
      <c r="T349" s="25"/>
      <c r="U349" s="25"/>
      <c r="V349" s="25"/>
      <c r="W349" s="25"/>
      <c r="X349" s="25"/>
      <c r="Y349" s="25"/>
      <c r="Z349" s="25"/>
      <c r="AA349" s="25"/>
      <c r="AB349" s="25"/>
    </row>
    <row r="350">
      <c r="A350" s="25"/>
      <c r="B350" s="25"/>
      <c r="C350" s="25"/>
      <c r="D350" s="25"/>
      <c r="E350" s="25"/>
      <c r="F350" s="241"/>
      <c r="G350" s="21" t="b">
        <f t="shared" ref="G350:H350" si="258">ISBLANK(M350)</f>
        <v>1</v>
      </c>
      <c r="H350" s="21" t="b">
        <f t="shared" si="258"/>
        <v>1</v>
      </c>
      <c r="I350" s="25"/>
      <c r="J350" s="25"/>
      <c r="K350" s="25"/>
      <c r="L350" s="25"/>
      <c r="M350" s="16"/>
      <c r="N350" s="16"/>
      <c r="O350" s="25"/>
      <c r="P350" s="25"/>
      <c r="Q350" s="25"/>
      <c r="R350" s="25"/>
      <c r="S350" s="25"/>
      <c r="T350" s="25"/>
      <c r="U350" s="25"/>
      <c r="V350" s="25"/>
      <c r="W350" s="25"/>
      <c r="X350" s="25"/>
      <c r="Y350" s="25"/>
      <c r="Z350" s="25"/>
      <c r="AA350" s="25"/>
      <c r="AB350" s="25"/>
    </row>
    <row r="351">
      <c r="A351" s="25"/>
      <c r="B351" s="25"/>
      <c r="C351" s="25"/>
      <c r="D351" s="25"/>
      <c r="E351" s="25"/>
      <c r="F351" s="241"/>
      <c r="G351" s="21" t="b">
        <f t="shared" ref="G351:H351" si="259">ISBLANK(M351)</f>
        <v>1</v>
      </c>
      <c r="H351" s="21" t="b">
        <f t="shared" si="259"/>
        <v>1</v>
      </c>
      <c r="I351" s="25"/>
      <c r="J351" s="25"/>
      <c r="K351" s="25"/>
      <c r="L351" s="25"/>
      <c r="M351" s="16"/>
      <c r="N351" s="16"/>
      <c r="O351" s="25"/>
      <c r="P351" s="25"/>
      <c r="Q351" s="25"/>
      <c r="R351" s="25"/>
      <c r="S351" s="25"/>
      <c r="T351" s="25"/>
      <c r="U351" s="25"/>
      <c r="V351" s="25"/>
      <c r="W351" s="25"/>
      <c r="X351" s="25"/>
      <c r="Y351" s="25"/>
      <c r="Z351" s="25"/>
      <c r="AA351" s="25"/>
      <c r="AB351" s="25"/>
    </row>
    <row r="352">
      <c r="A352" s="25"/>
      <c r="B352" s="25"/>
      <c r="C352" s="25"/>
      <c r="D352" s="25"/>
      <c r="E352" s="25"/>
      <c r="F352" s="241"/>
      <c r="G352" s="21" t="b">
        <f t="shared" ref="G352:H352" si="260">ISBLANK(M352)</f>
        <v>1</v>
      </c>
      <c r="H352" s="21" t="b">
        <f t="shared" si="260"/>
        <v>1</v>
      </c>
      <c r="I352" s="25"/>
      <c r="J352" s="25"/>
      <c r="K352" s="25"/>
      <c r="L352" s="25"/>
      <c r="M352" s="16"/>
      <c r="N352" s="16"/>
      <c r="O352" s="25"/>
      <c r="P352" s="25"/>
      <c r="Q352" s="25"/>
      <c r="R352" s="25"/>
      <c r="S352" s="25"/>
      <c r="T352" s="25"/>
      <c r="U352" s="25"/>
      <c r="V352" s="25"/>
      <c r="W352" s="25"/>
      <c r="X352" s="25"/>
      <c r="Y352" s="25"/>
      <c r="Z352" s="25"/>
      <c r="AA352" s="25"/>
      <c r="AB352" s="25"/>
    </row>
    <row r="353">
      <c r="A353" s="25"/>
      <c r="B353" s="25"/>
      <c r="C353" s="25"/>
      <c r="D353" s="25"/>
      <c r="E353" s="25"/>
      <c r="F353" s="241"/>
      <c r="G353" s="21" t="b">
        <f t="shared" ref="G353:H353" si="261">ISBLANK(M353)</f>
        <v>1</v>
      </c>
      <c r="H353" s="21" t="b">
        <f t="shared" si="261"/>
        <v>1</v>
      </c>
      <c r="I353" s="25"/>
      <c r="J353" s="25"/>
      <c r="K353" s="25"/>
      <c r="L353" s="25"/>
      <c r="M353" s="16"/>
      <c r="N353" s="16"/>
      <c r="O353" s="25"/>
      <c r="P353" s="25"/>
      <c r="Q353" s="25"/>
      <c r="R353" s="25"/>
      <c r="S353" s="25"/>
      <c r="T353" s="25"/>
      <c r="U353" s="25"/>
      <c r="V353" s="25"/>
      <c r="W353" s="25"/>
      <c r="X353" s="25"/>
      <c r="Y353" s="25"/>
      <c r="Z353" s="25"/>
      <c r="AA353" s="25"/>
      <c r="AB353" s="25"/>
    </row>
    <row r="354">
      <c r="A354" s="25"/>
      <c r="B354" s="25"/>
      <c r="C354" s="25"/>
      <c r="D354" s="25"/>
      <c r="E354" s="25"/>
      <c r="F354" s="241"/>
      <c r="G354" s="21" t="b">
        <f t="shared" ref="G354:H354" si="262">ISBLANK(M354)</f>
        <v>1</v>
      </c>
      <c r="H354" s="21" t="b">
        <f t="shared" si="262"/>
        <v>1</v>
      </c>
      <c r="I354" s="25"/>
      <c r="J354" s="25"/>
      <c r="K354" s="25"/>
      <c r="L354" s="25"/>
      <c r="M354" s="16"/>
      <c r="N354" s="16"/>
      <c r="O354" s="25"/>
      <c r="P354" s="25"/>
      <c r="Q354" s="25"/>
      <c r="R354" s="25"/>
      <c r="S354" s="25"/>
      <c r="T354" s="25"/>
      <c r="U354" s="25"/>
      <c r="V354" s="25"/>
      <c r="W354" s="25"/>
      <c r="X354" s="25"/>
      <c r="Y354" s="25"/>
      <c r="Z354" s="25"/>
      <c r="AA354" s="25"/>
      <c r="AB354" s="25"/>
    </row>
    <row r="355">
      <c r="A355" s="25"/>
      <c r="B355" s="25"/>
      <c r="C355" s="25"/>
      <c r="D355" s="25"/>
      <c r="E355" s="25"/>
      <c r="F355" s="241"/>
      <c r="G355" s="21" t="b">
        <f t="shared" ref="G355:H355" si="263">ISBLANK(M355)</f>
        <v>1</v>
      </c>
      <c r="H355" s="21" t="b">
        <f t="shared" si="263"/>
        <v>1</v>
      </c>
      <c r="I355" s="25"/>
      <c r="J355" s="25"/>
      <c r="K355" s="25"/>
      <c r="L355" s="25"/>
      <c r="M355" s="16"/>
      <c r="N355" s="16"/>
      <c r="O355" s="25"/>
      <c r="P355" s="25"/>
      <c r="Q355" s="25"/>
      <c r="R355" s="25"/>
      <c r="S355" s="25"/>
      <c r="T355" s="25"/>
      <c r="U355" s="25"/>
      <c r="V355" s="25"/>
      <c r="W355" s="25"/>
      <c r="X355" s="25"/>
      <c r="Y355" s="25"/>
      <c r="Z355" s="25"/>
      <c r="AA355" s="25"/>
      <c r="AB355" s="25"/>
    </row>
    <row r="356">
      <c r="A356" s="25"/>
      <c r="B356" s="25"/>
      <c r="C356" s="25"/>
      <c r="D356" s="25"/>
      <c r="E356" s="25"/>
      <c r="F356" s="241"/>
      <c r="G356" s="21" t="b">
        <f t="shared" ref="G356:H356" si="264">ISBLANK(M356)</f>
        <v>1</v>
      </c>
      <c r="H356" s="21" t="b">
        <f t="shared" si="264"/>
        <v>1</v>
      </c>
      <c r="I356" s="25"/>
      <c r="J356" s="25"/>
      <c r="K356" s="25"/>
      <c r="L356" s="25"/>
      <c r="M356" s="16"/>
      <c r="N356" s="16"/>
      <c r="O356" s="25"/>
      <c r="P356" s="25"/>
      <c r="Q356" s="25"/>
      <c r="R356" s="25"/>
      <c r="S356" s="25"/>
      <c r="T356" s="25"/>
      <c r="U356" s="25"/>
      <c r="V356" s="25"/>
      <c r="W356" s="25"/>
      <c r="X356" s="25"/>
      <c r="Y356" s="25"/>
      <c r="Z356" s="25"/>
      <c r="AA356" s="25"/>
      <c r="AB356" s="25"/>
    </row>
    <row r="357">
      <c r="A357" s="25"/>
      <c r="B357" s="25"/>
      <c r="C357" s="25"/>
      <c r="D357" s="25"/>
      <c r="E357" s="25"/>
      <c r="F357" s="241"/>
      <c r="G357" s="21" t="b">
        <f t="shared" ref="G357:H357" si="265">ISBLANK(M357)</f>
        <v>1</v>
      </c>
      <c r="H357" s="21" t="b">
        <f t="shared" si="265"/>
        <v>1</v>
      </c>
      <c r="I357" s="25"/>
      <c r="J357" s="25"/>
      <c r="K357" s="25"/>
      <c r="L357" s="25"/>
      <c r="M357" s="16"/>
      <c r="N357" s="16"/>
      <c r="O357" s="25"/>
      <c r="P357" s="25"/>
      <c r="Q357" s="25"/>
      <c r="R357" s="25"/>
      <c r="S357" s="25"/>
      <c r="T357" s="25"/>
      <c r="U357" s="25"/>
      <c r="V357" s="25"/>
      <c r="W357" s="25"/>
      <c r="X357" s="25"/>
      <c r="Y357" s="25"/>
      <c r="Z357" s="25"/>
      <c r="AA357" s="25"/>
      <c r="AB357" s="25"/>
    </row>
    <row r="358">
      <c r="A358" s="25"/>
      <c r="B358" s="25"/>
      <c r="C358" s="25"/>
      <c r="D358" s="25"/>
      <c r="E358" s="25"/>
      <c r="F358" s="241"/>
      <c r="G358" s="21" t="b">
        <f t="shared" ref="G358:H358" si="266">ISBLANK(M358)</f>
        <v>1</v>
      </c>
      <c r="H358" s="21" t="b">
        <f t="shared" si="266"/>
        <v>1</v>
      </c>
      <c r="I358" s="25"/>
      <c r="J358" s="25"/>
      <c r="K358" s="25"/>
      <c r="L358" s="25"/>
      <c r="M358" s="16"/>
      <c r="N358" s="16"/>
      <c r="O358" s="25"/>
      <c r="P358" s="25"/>
      <c r="Q358" s="25"/>
      <c r="R358" s="25"/>
      <c r="S358" s="25"/>
      <c r="T358" s="25"/>
      <c r="U358" s="25"/>
      <c r="V358" s="25"/>
      <c r="W358" s="25"/>
      <c r="X358" s="25"/>
      <c r="Y358" s="25"/>
      <c r="Z358" s="25"/>
      <c r="AA358" s="25"/>
      <c r="AB358" s="25"/>
    </row>
    <row r="359">
      <c r="A359" s="25"/>
      <c r="B359" s="25"/>
      <c r="C359" s="25"/>
      <c r="D359" s="25"/>
      <c r="E359" s="25"/>
      <c r="F359" s="241"/>
      <c r="G359" s="21" t="b">
        <f t="shared" ref="G359:H359" si="267">ISBLANK(M359)</f>
        <v>1</v>
      </c>
      <c r="H359" s="21" t="b">
        <f t="shared" si="267"/>
        <v>1</v>
      </c>
      <c r="I359" s="25"/>
      <c r="J359" s="25"/>
      <c r="K359" s="25"/>
      <c r="L359" s="25"/>
      <c r="M359" s="16"/>
      <c r="N359" s="16"/>
      <c r="O359" s="25"/>
      <c r="P359" s="25"/>
      <c r="Q359" s="25"/>
      <c r="R359" s="25"/>
      <c r="S359" s="25"/>
      <c r="T359" s="25"/>
      <c r="U359" s="25"/>
      <c r="V359" s="25"/>
      <c r="W359" s="25"/>
      <c r="X359" s="25"/>
      <c r="Y359" s="25"/>
      <c r="Z359" s="25"/>
      <c r="AA359" s="25"/>
      <c r="AB359" s="25"/>
    </row>
    <row r="360">
      <c r="A360" s="25"/>
      <c r="B360" s="25"/>
      <c r="C360" s="25"/>
      <c r="D360" s="25"/>
      <c r="E360" s="25"/>
      <c r="F360" s="241"/>
      <c r="G360" s="21" t="b">
        <f t="shared" ref="G360:H360" si="268">ISBLANK(M360)</f>
        <v>1</v>
      </c>
      <c r="H360" s="21" t="b">
        <f t="shared" si="268"/>
        <v>1</v>
      </c>
      <c r="I360" s="25"/>
      <c r="J360" s="25"/>
      <c r="K360" s="25"/>
      <c r="L360" s="25"/>
      <c r="M360" s="16"/>
      <c r="N360" s="16"/>
      <c r="O360" s="25"/>
      <c r="P360" s="25"/>
      <c r="Q360" s="25"/>
      <c r="R360" s="25"/>
      <c r="S360" s="25"/>
      <c r="T360" s="25"/>
      <c r="U360" s="25"/>
      <c r="V360" s="25"/>
      <c r="W360" s="25"/>
      <c r="X360" s="25"/>
      <c r="Y360" s="25"/>
      <c r="Z360" s="25"/>
      <c r="AA360" s="25"/>
      <c r="AB360" s="25"/>
    </row>
    <row r="361">
      <c r="A361" s="25"/>
      <c r="B361" s="25"/>
      <c r="C361" s="25"/>
      <c r="D361" s="25"/>
      <c r="E361" s="25"/>
      <c r="F361" s="241"/>
      <c r="G361" s="21" t="b">
        <f t="shared" ref="G361:H361" si="269">ISBLANK(M361)</f>
        <v>1</v>
      </c>
      <c r="H361" s="21" t="b">
        <f t="shared" si="269"/>
        <v>1</v>
      </c>
      <c r="I361" s="25"/>
      <c r="J361" s="25"/>
      <c r="K361" s="25"/>
      <c r="L361" s="25"/>
      <c r="M361" s="16"/>
      <c r="N361" s="16"/>
      <c r="O361" s="25"/>
      <c r="P361" s="25"/>
      <c r="Q361" s="25"/>
      <c r="R361" s="25"/>
      <c r="S361" s="25"/>
      <c r="T361" s="25"/>
      <c r="U361" s="25"/>
      <c r="V361" s="25"/>
      <c r="W361" s="25"/>
      <c r="X361" s="25"/>
      <c r="Y361" s="25"/>
      <c r="Z361" s="25"/>
      <c r="AA361" s="25"/>
      <c r="AB361" s="25"/>
    </row>
    <row r="362">
      <c r="A362" s="25"/>
      <c r="B362" s="25"/>
      <c r="C362" s="25"/>
      <c r="D362" s="25"/>
      <c r="E362" s="25"/>
      <c r="F362" s="241"/>
      <c r="G362" s="21" t="b">
        <f t="shared" ref="G362:H362" si="270">ISBLANK(M362)</f>
        <v>1</v>
      </c>
      <c r="H362" s="21" t="b">
        <f t="shared" si="270"/>
        <v>1</v>
      </c>
      <c r="I362" s="25"/>
      <c r="J362" s="25"/>
      <c r="K362" s="25"/>
      <c r="L362" s="25"/>
      <c r="M362" s="16"/>
      <c r="N362" s="16"/>
      <c r="O362" s="25"/>
      <c r="P362" s="25"/>
      <c r="Q362" s="25"/>
      <c r="R362" s="25"/>
      <c r="S362" s="25"/>
      <c r="T362" s="25"/>
      <c r="U362" s="25"/>
      <c r="V362" s="25"/>
      <c r="W362" s="25"/>
      <c r="X362" s="25"/>
      <c r="Y362" s="25"/>
      <c r="Z362" s="25"/>
      <c r="AA362" s="25"/>
      <c r="AB362" s="25"/>
    </row>
    <row r="363">
      <c r="A363" s="25"/>
      <c r="B363" s="25"/>
      <c r="C363" s="25"/>
      <c r="D363" s="25"/>
      <c r="E363" s="25"/>
      <c r="F363" s="241"/>
      <c r="G363" s="21" t="b">
        <f t="shared" ref="G363:H363" si="271">ISBLANK(M363)</f>
        <v>1</v>
      </c>
      <c r="H363" s="21" t="b">
        <f t="shared" si="271"/>
        <v>1</v>
      </c>
      <c r="I363" s="25"/>
      <c r="J363" s="25"/>
      <c r="K363" s="25"/>
      <c r="L363" s="25"/>
      <c r="M363" s="16"/>
      <c r="N363" s="16"/>
      <c r="O363" s="25"/>
      <c r="P363" s="25"/>
      <c r="Q363" s="25"/>
      <c r="R363" s="25"/>
      <c r="S363" s="25"/>
      <c r="T363" s="25"/>
      <c r="U363" s="25"/>
      <c r="V363" s="25"/>
      <c r="W363" s="25"/>
      <c r="X363" s="25"/>
      <c r="Y363" s="25"/>
      <c r="Z363" s="25"/>
      <c r="AA363" s="25"/>
      <c r="AB363" s="25"/>
    </row>
    <row r="364">
      <c r="A364" s="25"/>
      <c r="B364" s="25"/>
      <c r="C364" s="25"/>
      <c r="D364" s="25"/>
      <c r="E364" s="25"/>
      <c r="F364" s="241"/>
      <c r="G364" s="21" t="b">
        <f t="shared" ref="G364:H364" si="272">ISBLANK(M364)</f>
        <v>1</v>
      </c>
      <c r="H364" s="21" t="b">
        <f t="shared" si="272"/>
        <v>1</v>
      </c>
      <c r="I364" s="25"/>
      <c r="J364" s="25"/>
      <c r="K364" s="25"/>
      <c r="L364" s="25"/>
      <c r="M364" s="16"/>
      <c r="N364" s="16"/>
      <c r="O364" s="25"/>
      <c r="P364" s="25"/>
      <c r="Q364" s="25"/>
      <c r="R364" s="25"/>
      <c r="S364" s="25"/>
      <c r="T364" s="25"/>
      <c r="U364" s="25"/>
      <c r="V364" s="25"/>
      <c r="W364" s="25"/>
      <c r="X364" s="25"/>
      <c r="Y364" s="25"/>
      <c r="Z364" s="25"/>
      <c r="AA364" s="25"/>
      <c r="AB364" s="25"/>
    </row>
    <row r="365">
      <c r="A365" s="25"/>
      <c r="B365" s="25"/>
      <c r="C365" s="25"/>
      <c r="D365" s="25"/>
      <c r="E365" s="25"/>
      <c r="F365" s="241"/>
      <c r="G365" s="21" t="b">
        <f t="shared" ref="G365:H365" si="273">ISBLANK(M365)</f>
        <v>1</v>
      </c>
      <c r="H365" s="21" t="b">
        <f t="shared" si="273"/>
        <v>1</v>
      </c>
      <c r="I365" s="25"/>
      <c r="J365" s="25"/>
      <c r="K365" s="25"/>
      <c r="L365" s="25"/>
      <c r="M365" s="16"/>
      <c r="N365" s="16"/>
      <c r="O365" s="25"/>
      <c r="P365" s="25"/>
      <c r="Q365" s="25"/>
      <c r="R365" s="25"/>
      <c r="S365" s="25"/>
      <c r="T365" s="25"/>
      <c r="U365" s="25"/>
      <c r="V365" s="25"/>
      <c r="W365" s="25"/>
      <c r="X365" s="25"/>
      <c r="Y365" s="25"/>
      <c r="Z365" s="25"/>
      <c r="AA365" s="25"/>
      <c r="AB365" s="25"/>
    </row>
    <row r="366">
      <c r="A366" s="25"/>
      <c r="B366" s="25"/>
      <c r="C366" s="25"/>
      <c r="D366" s="25"/>
      <c r="E366" s="25"/>
      <c r="F366" s="241"/>
      <c r="G366" s="21" t="b">
        <f t="shared" ref="G366:H366" si="274">ISBLANK(M366)</f>
        <v>1</v>
      </c>
      <c r="H366" s="21" t="b">
        <f t="shared" si="274"/>
        <v>1</v>
      </c>
      <c r="I366" s="25"/>
      <c r="J366" s="25"/>
      <c r="K366" s="25"/>
      <c r="L366" s="25"/>
      <c r="M366" s="16"/>
      <c r="N366" s="16"/>
      <c r="O366" s="25"/>
      <c r="P366" s="25"/>
      <c r="Q366" s="25"/>
      <c r="R366" s="25"/>
      <c r="S366" s="25"/>
      <c r="T366" s="25"/>
      <c r="U366" s="25"/>
      <c r="V366" s="25"/>
      <c r="W366" s="25"/>
      <c r="X366" s="25"/>
      <c r="Y366" s="25"/>
      <c r="Z366" s="25"/>
      <c r="AA366" s="25"/>
      <c r="AB366" s="25"/>
    </row>
    <row r="367">
      <c r="A367" s="25"/>
      <c r="B367" s="25"/>
      <c r="C367" s="25"/>
      <c r="D367" s="25"/>
      <c r="E367" s="25"/>
      <c r="F367" s="241"/>
      <c r="G367" s="21" t="b">
        <f t="shared" ref="G367:H367" si="275">ISBLANK(M367)</f>
        <v>1</v>
      </c>
      <c r="H367" s="21" t="b">
        <f t="shared" si="275"/>
        <v>1</v>
      </c>
      <c r="I367" s="25"/>
      <c r="J367" s="25"/>
      <c r="K367" s="25"/>
      <c r="L367" s="25"/>
      <c r="M367" s="16"/>
      <c r="N367" s="16"/>
      <c r="O367" s="25"/>
      <c r="P367" s="25"/>
      <c r="Q367" s="25"/>
      <c r="R367" s="25"/>
      <c r="S367" s="25"/>
      <c r="T367" s="25"/>
      <c r="U367" s="25"/>
      <c r="V367" s="25"/>
      <c r="W367" s="25"/>
      <c r="X367" s="25"/>
      <c r="Y367" s="25"/>
      <c r="Z367" s="25"/>
      <c r="AA367" s="25"/>
      <c r="AB367" s="25"/>
    </row>
    <row r="368">
      <c r="A368" s="25"/>
      <c r="B368" s="25"/>
      <c r="C368" s="25"/>
      <c r="D368" s="25"/>
      <c r="E368" s="25"/>
      <c r="F368" s="241"/>
      <c r="G368" s="21" t="b">
        <f t="shared" ref="G368:H368" si="276">ISBLANK(M368)</f>
        <v>1</v>
      </c>
      <c r="H368" s="21" t="b">
        <f t="shared" si="276"/>
        <v>1</v>
      </c>
      <c r="I368" s="25"/>
      <c r="J368" s="25"/>
      <c r="K368" s="25"/>
      <c r="L368" s="25"/>
      <c r="M368" s="16"/>
      <c r="N368" s="16"/>
      <c r="O368" s="25"/>
      <c r="P368" s="25"/>
      <c r="Q368" s="25"/>
      <c r="R368" s="25"/>
      <c r="S368" s="25"/>
      <c r="T368" s="25"/>
      <c r="U368" s="25"/>
      <c r="V368" s="25"/>
      <c r="W368" s="25"/>
      <c r="X368" s="25"/>
      <c r="Y368" s="25"/>
      <c r="Z368" s="25"/>
      <c r="AA368" s="25"/>
      <c r="AB368" s="25"/>
    </row>
    <row r="369">
      <c r="A369" s="25"/>
      <c r="B369" s="25"/>
      <c r="C369" s="25"/>
      <c r="D369" s="25"/>
      <c r="E369" s="25"/>
      <c r="F369" s="241"/>
      <c r="G369" s="21" t="b">
        <f t="shared" ref="G369:H369" si="277">ISBLANK(M369)</f>
        <v>1</v>
      </c>
      <c r="H369" s="21" t="b">
        <f t="shared" si="277"/>
        <v>1</v>
      </c>
      <c r="I369" s="25"/>
      <c r="J369" s="25"/>
      <c r="K369" s="25"/>
      <c r="L369" s="25"/>
      <c r="M369" s="16"/>
      <c r="N369" s="16"/>
      <c r="O369" s="25"/>
      <c r="P369" s="25"/>
      <c r="Q369" s="25"/>
      <c r="R369" s="25"/>
      <c r="S369" s="25"/>
      <c r="T369" s="25"/>
      <c r="U369" s="25"/>
      <c r="V369" s="25"/>
      <c r="W369" s="25"/>
      <c r="X369" s="25"/>
      <c r="Y369" s="25"/>
      <c r="Z369" s="25"/>
      <c r="AA369" s="25"/>
      <c r="AB369" s="25"/>
    </row>
    <row r="370">
      <c r="A370" s="25"/>
      <c r="B370" s="25"/>
      <c r="C370" s="25"/>
      <c r="D370" s="25"/>
      <c r="E370" s="25"/>
      <c r="F370" s="241"/>
      <c r="G370" s="21" t="b">
        <f t="shared" ref="G370:H370" si="278">ISBLANK(M370)</f>
        <v>1</v>
      </c>
      <c r="H370" s="21" t="b">
        <f t="shared" si="278"/>
        <v>1</v>
      </c>
      <c r="I370" s="25"/>
      <c r="J370" s="25"/>
      <c r="K370" s="25"/>
      <c r="L370" s="25"/>
      <c r="M370" s="16"/>
      <c r="N370" s="16"/>
      <c r="O370" s="25"/>
      <c r="P370" s="25"/>
      <c r="Q370" s="25"/>
      <c r="R370" s="25"/>
      <c r="S370" s="25"/>
      <c r="T370" s="25"/>
      <c r="U370" s="25"/>
      <c r="V370" s="25"/>
      <c r="W370" s="25"/>
      <c r="X370" s="25"/>
      <c r="Y370" s="25"/>
      <c r="Z370" s="25"/>
      <c r="AA370" s="25"/>
      <c r="AB370" s="25"/>
    </row>
    <row r="371">
      <c r="A371" s="25"/>
      <c r="B371" s="25"/>
      <c r="C371" s="25"/>
      <c r="D371" s="25"/>
      <c r="E371" s="25"/>
      <c r="F371" s="241"/>
      <c r="G371" s="21" t="b">
        <f t="shared" ref="G371:H371" si="279">ISBLANK(M371)</f>
        <v>1</v>
      </c>
      <c r="H371" s="21" t="b">
        <f t="shared" si="279"/>
        <v>1</v>
      </c>
      <c r="I371" s="25"/>
      <c r="J371" s="25"/>
      <c r="K371" s="25"/>
      <c r="L371" s="25"/>
      <c r="M371" s="16"/>
      <c r="N371" s="16"/>
      <c r="O371" s="25"/>
      <c r="P371" s="25"/>
      <c r="Q371" s="25"/>
      <c r="R371" s="25"/>
      <c r="S371" s="25"/>
      <c r="T371" s="25"/>
      <c r="U371" s="25"/>
      <c r="V371" s="25"/>
      <c r="W371" s="25"/>
      <c r="X371" s="25"/>
      <c r="Y371" s="25"/>
      <c r="Z371" s="25"/>
      <c r="AA371" s="25"/>
      <c r="AB371" s="25"/>
    </row>
    <row r="372">
      <c r="A372" s="25"/>
      <c r="B372" s="25"/>
      <c r="C372" s="25"/>
      <c r="D372" s="25"/>
      <c r="E372" s="25"/>
      <c r="F372" s="241"/>
      <c r="G372" s="21" t="b">
        <f t="shared" ref="G372:H372" si="280">ISBLANK(M372)</f>
        <v>1</v>
      </c>
      <c r="H372" s="21" t="b">
        <f t="shared" si="280"/>
        <v>1</v>
      </c>
      <c r="I372" s="25"/>
      <c r="J372" s="25"/>
      <c r="K372" s="25"/>
      <c r="L372" s="25"/>
      <c r="M372" s="16"/>
      <c r="N372" s="16"/>
      <c r="O372" s="25"/>
      <c r="P372" s="25"/>
      <c r="Q372" s="25"/>
      <c r="R372" s="25"/>
      <c r="S372" s="25"/>
      <c r="T372" s="25"/>
      <c r="U372" s="25"/>
      <c r="V372" s="25"/>
      <c r="W372" s="25"/>
      <c r="X372" s="25"/>
      <c r="Y372" s="25"/>
      <c r="Z372" s="25"/>
      <c r="AA372" s="25"/>
      <c r="AB372" s="25"/>
    </row>
    <row r="373">
      <c r="A373" s="25"/>
      <c r="B373" s="25"/>
      <c r="C373" s="25"/>
      <c r="D373" s="25"/>
      <c r="E373" s="25"/>
      <c r="F373" s="241"/>
      <c r="G373" s="21" t="b">
        <f t="shared" ref="G373:H373" si="281">ISBLANK(M373)</f>
        <v>1</v>
      </c>
      <c r="H373" s="21" t="b">
        <f t="shared" si="281"/>
        <v>1</v>
      </c>
      <c r="I373" s="25"/>
      <c r="J373" s="25"/>
      <c r="K373" s="25"/>
      <c r="L373" s="25"/>
      <c r="M373" s="16"/>
      <c r="N373" s="16"/>
      <c r="O373" s="25"/>
      <c r="P373" s="25"/>
      <c r="Q373" s="25"/>
      <c r="R373" s="25"/>
      <c r="S373" s="25"/>
      <c r="T373" s="25"/>
      <c r="U373" s="25"/>
      <c r="V373" s="25"/>
      <c r="W373" s="25"/>
      <c r="X373" s="25"/>
      <c r="Y373" s="25"/>
      <c r="Z373" s="25"/>
      <c r="AA373" s="25"/>
      <c r="AB373" s="25"/>
    </row>
    <row r="374">
      <c r="A374" s="25"/>
      <c r="B374" s="25"/>
      <c r="C374" s="25"/>
      <c r="D374" s="25"/>
      <c r="E374" s="25"/>
      <c r="F374" s="241"/>
      <c r="G374" s="21" t="b">
        <f t="shared" ref="G374:H374" si="282">ISBLANK(M374)</f>
        <v>1</v>
      </c>
      <c r="H374" s="21" t="b">
        <f t="shared" si="282"/>
        <v>1</v>
      </c>
      <c r="I374" s="25"/>
      <c r="J374" s="25"/>
      <c r="K374" s="25"/>
      <c r="L374" s="25"/>
      <c r="M374" s="16"/>
      <c r="N374" s="16"/>
      <c r="O374" s="25"/>
      <c r="P374" s="25"/>
      <c r="Q374" s="25"/>
      <c r="R374" s="25"/>
      <c r="S374" s="25"/>
      <c r="T374" s="25"/>
      <c r="U374" s="25"/>
      <c r="V374" s="25"/>
      <c r="W374" s="25"/>
      <c r="X374" s="25"/>
      <c r="Y374" s="25"/>
      <c r="Z374" s="25"/>
      <c r="AA374" s="25"/>
      <c r="AB374" s="25"/>
    </row>
    <row r="375">
      <c r="A375" s="25"/>
      <c r="B375" s="25"/>
      <c r="C375" s="25"/>
      <c r="D375" s="25"/>
      <c r="E375" s="25"/>
      <c r="F375" s="241"/>
      <c r="G375" s="21" t="b">
        <f t="shared" ref="G375:H375" si="283">ISBLANK(M375)</f>
        <v>1</v>
      </c>
      <c r="H375" s="21" t="b">
        <f t="shared" si="283"/>
        <v>1</v>
      </c>
      <c r="I375" s="25"/>
      <c r="J375" s="25"/>
      <c r="K375" s="25"/>
      <c r="L375" s="25"/>
      <c r="M375" s="16"/>
      <c r="N375" s="16"/>
      <c r="O375" s="25"/>
      <c r="P375" s="25"/>
      <c r="Q375" s="25"/>
      <c r="R375" s="25"/>
      <c r="S375" s="25"/>
      <c r="T375" s="25"/>
      <c r="U375" s="25"/>
      <c r="V375" s="25"/>
      <c r="W375" s="25"/>
      <c r="X375" s="25"/>
      <c r="Y375" s="25"/>
      <c r="Z375" s="25"/>
      <c r="AA375" s="25"/>
      <c r="AB375" s="25"/>
    </row>
    <row r="376">
      <c r="A376" s="25"/>
      <c r="B376" s="25"/>
      <c r="C376" s="25"/>
      <c r="D376" s="25"/>
      <c r="E376" s="25"/>
      <c r="F376" s="241"/>
      <c r="G376" s="21" t="b">
        <f t="shared" ref="G376:H376" si="284">ISBLANK(M376)</f>
        <v>1</v>
      </c>
      <c r="H376" s="21" t="b">
        <f t="shared" si="284"/>
        <v>1</v>
      </c>
      <c r="I376" s="25"/>
      <c r="J376" s="25"/>
      <c r="K376" s="25"/>
      <c r="L376" s="25"/>
      <c r="M376" s="16"/>
      <c r="N376" s="16"/>
      <c r="O376" s="25"/>
      <c r="P376" s="25"/>
      <c r="Q376" s="25"/>
      <c r="R376" s="25"/>
      <c r="S376" s="25"/>
      <c r="T376" s="25"/>
      <c r="U376" s="25"/>
      <c r="V376" s="25"/>
      <c r="W376" s="25"/>
      <c r="X376" s="25"/>
      <c r="Y376" s="25"/>
      <c r="Z376" s="25"/>
      <c r="AA376" s="25"/>
      <c r="AB376" s="25"/>
    </row>
    <row r="377">
      <c r="A377" s="25"/>
      <c r="B377" s="25"/>
      <c r="C377" s="25"/>
      <c r="D377" s="25"/>
      <c r="E377" s="25"/>
      <c r="F377" s="241"/>
      <c r="G377" s="21" t="b">
        <f t="shared" ref="G377:H377" si="285">ISBLANK(M377)</f>
        <v>1</v>
      </c>
      <c r="H377" s="21" t="b">
        <f t="shared" si="285"/>
        <v>1</v>
      </c>
      <c r="I377" s="25"/>
      <c r="J377" s="25"/>
      <c r="K377" s="25"/>
      <c r="L377" s="25"/>
      <c r="M377" s="16"/>
      <c r="N377" s="16"/>
      <c r="O377" s="25"/>
      <c r="P377" s="25"/>
      <c r="Q377" s="25"/>
      <c r="R377" s="25"/>
      <c r="S377" s="25"/>
      <c r="T377" s="25"/>
      <c r="U377" s="25"/>
      <c r="V377" s="25"/>
      <c r="W377" s="25"/>
      <c r="X377" s="25"/>
      <c r="Y377" s="25"/>
      <c r="Z377" s="25"/>
      <c r="AA377" s="25"/>
      <c r="AB377" s="25"/>
    </row>
    <row r="378">
      <c r="A378" s="25"/>
      <c r="B378" s="25"/>
      <c r="C378" s="25"/>
      <c r="D378" s="25"/>
      <c r="E378" s="25"/>
      <c r="F378" s="241"/>
      <c r="G378" s="21" t="b">
        <f t="shared" ref="G378:H378" si="286">ISBLANK(M378)</f>
        <v>1</v>
      </c>
      <c r="H378" s="21" t="b">
        <f t="shared" si="286"/>
        <v>1</v>
      </c>
      <c r="I378" s="25"/>
      <c r="J378" s="25"/>
      <c r="K378" s="25"/>
      <c r="L378" s="25"/>
      <c r="M378" s="16"/>
      <c r="N378" s="16"/>
      <c r="O378" s="25"/>
      <c r="P378" s="25"/>
      <c r="Q378" s="25"/>
      <c r="R378" s="25"/>
      <c r="S378" s="25"/>
      <c r="T378" s="25"/>
      <c r="U378" s="25"/>
      <c r="V378" s="25"/>
      <c r="W378" s="25"/>
      <c r="X378" s="25"/>
      <c r="Y378" s="25"/>
      <c r="Z378" s="25"/>
      <c r="AA378" s="25"/>
      <c r="AB378" s="25"/>
    </row>
    <row r="379">
      <c r="A379" s="25"/>
      <c r="B379" s="25"/>
      <c r="C379" s="25"/>
      <c r="D379" s="25"/>
      <c r="E379" s="25"/>
      <c r="F379" s="241"/>
      <c r="G379" s="21" t="b">
        <f t="shared" ref="G379:H379" si="287">ISBLANK(M379)</f>
        <v>1</v>
      </c>
      <c r="H379" s="21" t="b">
        <f t="shared" si="287"/>
        <v>1</v>
      </c>
      <c r="I379" s="25"/>
      <c r="J379" s="25"/>
      <c r="K379" s="25"/>
      <c r="L379" s="25"/>
      <c r="M379" s="16"/>
      <c r="N379" s="16"/>
      <c r="O379" s="25"/>
      <c r="P379" s="25"/>
      <c r="Q379" s="25"/>
      <c r="R379" s="25"/>
      <c r="S379" s="25"/>
      <c r="T379" s="25"/>
      <c r="U379" s="25"/>
      <c r="V379" s="25"/>
      <c r="W379" s="25"/>
      <c r="X379" s="25"/>
      <c r="Y379" s="25"/>
      <c r="Z379" s="25"/>
      <c r="AA379" s="25"/>
      <c r="AB379" s="25"/>
    </row>
    <row r="380">
      <c r="A380" s="25"/>
      <c r="B380" s="25"/>
      <c r="C380" s="25"/>
      <c r="D380" s="25"/>
      <c r="E380" s="25"/>
      <c r="F380" s="241"/>
      <c r="G380" s="21" t="b">
        <f t="shared" ref="G380:H380" si="288">ISBLANK(M380)</f>
        <v>1</v>
      </c>
      <c r="H380" s="21" t="b">
        <f t="shared" si="288"/>
        <v>1</v>
      </c>
      <c r="I380" s="25"/>
      <c r="J380" s="25"/>
      <c r="K380" s="25"/>
      <c r="L380" s="25"/>
      <c r="M380" s="16"/>
      <c r="N380" s="16"/>
      <c r="O380" s="25"/>
      <c r="P380" s="25"/>
      <c r="Q380" s="25"/>
      <c r="R380" s="25"/>
      <c r="S380" s="25"/>
      <c r="T380" s="25"/>
      <c r="U380" s="25"/>
      <c r="V380" s="25"/>
      <c r="W380" s="25"/>
      <c r="X380" s="25"/>
      <c r="Y380" s="25"/>
      <c r="Z380" s="25"/>
      <c r="AA380" s="25"/>
      <c r="AB380" s="25"/>
    </row>
    <row r="381">
      <c r="A381" s="25"/>
      <c r="B381" s="25"/>
      <c r="C381" s="25"/>
      <c r="D381" s="25"/>
      <c r="E381" s="25"/>
      <c r="F381" s="241"/>
      <c r="G381" s="21" t="b">
        <f t="shared" ref="G381:H381" si="289">ISBLANK(M381)</f>
        <v>1</v>
      </c>
      <c r="H381" s="21" t="b">
        <f t="shared" si="289"/>
        <v>1</v>
      </c>
      <c r="I381" s="25"/>
      <c r="J381" s="25"/>
      <c r="K381" s="25"/>
      <c r="L381" s="25"/>
      <c r="M381" s="16"/>
      <c r="N381" s="16"/>
      <c r="O381" s="25"/>
      <c r="P381" s="25"/>
      <c r="Q381" s="25"/>
      <c r="R381" s="25"/>
      <c r="S381" s="25"/>
      <c r="T381" s="25"/>
      <c r="U381" s="25"/>
      <c r="V381" s="25"/>
      <c r="W381" s="25"/>
      <c r="X381" s="25"/>
      <c r="Y381" s="25"/>
      <c r="Z381" s="25"/>
      <c r="AA381" s="25"/>
      <c r="AB381" s="25"/>
    </row>
    <row r="382">
      <c r="A382" s="25"/>
      <c r="B382" s="25"/>
      <c r="C382" s="25"/>
      <c r="D382" s="25"/>
      <c r="E382" s="25"/>
      <c r="F382" s="241"/>
      <c r="G382" s="21" t="b">
        <f t="shared" ref="G382:H382" si="290">ISBLANK(M382)</f>
        <v>1</v>
      </c>
      <c r="H382" s="21" t="b">
        <f t="shared" si="290"/>
        <v>1</v>
      </c>
      <c r="I382" s="25"/>
      <c r="J382" s="25"/>
      <c r="K382" s="25"/>
      <c r="L382" s="25"/>
      <c r="M382" s="16"/>
      <c r="N382" s="16"/>
      <c r="O382" s="25"/>
      <c r="P382" s="25"/>
      <c r="Q382" s="25"/>
      <c r="R382" s="25"/>
      <c r="S382" s="25"/>
      <c r="T382" s="25"/>
      <c r="U382" s="25"/>
      <c r="V382" s="25"/>
      <c r="W382" s="25"/>
      <c r="X382" s="25"/>
      <c r="Y382" s="25"/>
      <c r="Z382" s="25"/>
      <c r="AA382" s="25"/>
      <c r="AB382" s="25"/>
    </row>
    <row r="383">
      <c r="A383" s="25"/>
      <c r="B383" s="25"/>
      <c r="C383" s="25"/>
      <c r="D383" s="25"/>
      <c r="E383" s="25"/>
      <c r="F383" s="241"/>
      <c r="G383" s="21" t="b">
        <f t="shared" ref="G383:H383" si="291">ISBLANK(M383)</f>
        <v>1</v>
      </c>
      <c r="H383" s="21" t="b">
        <f t="shared" si="291"/>
        <v>1</v>
      </c>
      <c r="I383" s="25"/>
      <c r="J383" s="25"/>
      <c r="K383" s="25"/>
      <c r="L383" s="25"/>
      <c r="M383" s="16"/>
      <c r="N383" s="16"/>
      <c r="O383" s="25"/>
      <c r="P383" s="25"/>
      <c r="Q383" s="25"/>
      <c r="R383" s="25"/>
      <c r="S383" s="25"/>
      <c r="T383" s="25"/>
      <c r="U383" s="25"/>
      <c r="V383" s="25"/>
      <c r="W383" s="25"/>
      <c r="X383" s="25"/>
      <c r="Y383" s="25"/>
      <c r="Z383" s="25"/>
      <c r="AA383" s="25"/>
      <c r="AB383" s="25"/>
    </row>
    <row r="384">
      <c r="A384" s="25"/>
      <c r="B384" s="25"/>
      <c r="C384" s="25"/>
      <c r="D384" s="25"/>
      <c r="E384" s="25"/>
      <c r="F384" s="241"/>
      <c r="G384" s="21" t="b">
        <f t="shared" ref="G384:H384" si="292">ISBLANK(M384)</f>
        <v>1</v>
      </c>
      <c r="H384" s="21" t="b">
        <f t="shared" si="292"/>
        <v>1</v>
      </c>
      <c r="I384" s="25"/>
      <c r="J384" s="25"/>
      <c r="K384" s="25"/>
      <c r="L384" s="25"/>
      <c r="M384" s="16"/>
      <c r="N384" s="16"/>
      <c r="O384" s="25"/>
      <c r="P384" s="25"/>
      <c r="Q384" s="25"/>
      <c r="R384" s="25"/>
      <c r="S384" s="25"/>
      <c r="T384" s="25"/>
      <c r="U384" s="25"/>
      <c r="V384" s="25"/>
      <c r="W384" s="25"/>
      <c r="X384" s="25"/>
      <c r="Y384" s="25"/>
      <c r="Z384" s="25"/>
      <c r="AA384" s="25"/>
      <c r="AB384" s="25"/>
    </row>
    <row r="385">
      <c r="A385" s="25"/>
      <c r="B385" s="25"/>
      <c r="C385" s="25"/>
      <c r="D385" s="25"/>
      <c r="E385" s="25"/>
      <c r="F385" s="241"/>
      <c r="G385" s="21" t="b">
        <f t="shared" ref="G385:H385" si="293">ISBLANK(M385)</f>
        <v>1</v>
      </c>
      <c r="H385" s="21" t="b">
        <f t="shared" si="293"/>
        <v>1</v>
      </c>
      <c r="I385" s="25"/>
      <c r="J385" s="25"/>
      <c r="K385" s="25"/>
      <c r="L385" s="25"/>
      <c r="M385" s="16"/>
      <c r="N385" s="16"/>
      <c r="O385" s="25"/>
      <c r="P385" s="25"/>
      <c r="Q385" s="25"/>
      <c r="R385" s="25"/>
      <c r="S385" s="25"/>
      <c r="T385" s="25"/>
      <c r="U385" s="25"/>
      <c r="V385" s="25"/>
      <c r="W385" s="25"/>
      <c r="X385" s="25"/>
      <c r="Y385" s="25"/>
      <c r="Z385" s="25"/>
      <c r="AA385" s="25"/>
      <c r="AB385" s="25"/>
    </row>
    <row r="386">
      <c r="A386" s="25"/>
      <c r="B386" s="25"/>
      <c r="C386" s="25"/>
      <c r="D386" s="25"/>
      <c r="E386" s="25"/>
      <c r="F386" s="241"/>
      <c r="G386" s="21" t="b">
        <f t="shared" ref="G386:H386" si="294">ISBLANK(M386)</f>
        <v>1</v>
      </c>
      <c r="H386" s="21" t="b">
        <f t="shared" si="294"/>
        <v>1</v>
      </c>
      <c r="I386" s="25"/>
      <c r="J386" s="25"/>
      <c r="K386" s="25"/>
      <c r="L386" s="25"/>
      <c r="M386" s="16"/>
      <c r="N386" s="16"/>
      <c r="O386" s="25"/>
      <c r="P386" s="25"/>
      <c r="Q386" s="25"/>
      <c r="R386" s="25"/>
      <c r="S386" s="25"/>
      <c r="T386" s="25"/>
      <c r="U386" s="25"/>
      <c r="V386" s="25"/>
      <c r="W386" s="25"/>
      <c r="X386" s="25"/>
      <c r="Y386" s="25"/>
      <c r="Z386" s="25"/>
      <c r="AA386" s="25"/>
      <c r="AB386" s="25"/>
    </row>
    <row r="387">
      <c r="A387" s="25"/>
      <c r="B387" s="25"/>
      <c r="C387" s="25"/>
      <c r="D387" s="25"/>
      <c r="E387" s="25"/>
      <c r="F387" s="241"/>
      <c r="G387" s="21" t="b">
        <f t="shared" ref="G387:H387" si="295">ISBLANK(M387)</f>
        <v>1</v>
      </c>
      <c r="H387" s="21" t="b">
        <f t="shared" si="295"/>
        <v>1</v>
      </c>
      <c r="I387" s="25"/>
      <c r="J387" s="25"/>
      <c r="K387" s="25"/>
      <c r="L387" s="25"/>
      <c r="M387" s="16"/>
      <c r="N387" s="16"/>
      <c r="O387" s="25"/>
      <c r="P387" s="25"/>
      <c r="Q387" s="25"/>
      <c r="R387" s="25"/>
      <c r="S387" s="25"/>
      <c r="T387" s="25"/>
      <c r="U387" s="25"/>
      <c r="V387" s="25"/>
      <c r="W387" s="25"/>
      <c r="X387" s="25"/>
      <c r="Y387" s="25"/>
      <c r="Z387" s="25"/>
      <c r="AA387" s="25"/>
      <c r="AB387" s="25"/>
    </row>
    <row r="388">
      <c r="A388" s="25"/>
      <c r="B388" s="25"/>
      <c r="C388" s="25"/>
      <c r="D388" s="25"/>
      <c r="E388" s="25"/>
      <c r="F388" s="241"/>
      <c r="G388" s="21" t="b">
        <f t="shared" ref="G388:H388" si="296">ISBLANK(M388)</f>
        <v>1</v>
      </c>
      <c r="H388" s="21" t="b">
        <f t="shared" si="296"/>
        <v>1</v>
      </c>
      <c r="I388" s="25"/>
      <c r="J388" s="25"/>
      <c r="K388" s="25"/>
      <c r="L388" s="25"/>
      <c r="M388" s="16"/>
      <c r="N388" s="16"/>
      <c r="O388" s="25"/>
      <c r="P388" s="25"/>
      <c r="Q388" s="25"/>
      <c r="R388" s="25"/>
      <c r="S388" s="25"/>
      <c r="T388" s="25"/>
      <c r="U388" s="25"/>
      <c r="V388" s="25"/>
      <c r="W388" s="25"/>
      <c r="X388" s="25"/>
      <c r="Y388" s="25"/>
      <c r="Z388" s="25"/>
      <c r="AA388" s="25"/>
      <c r="AB388" s="25"/>
    </row>
    <row r="389">
      <c r="A389" s="25"/>
      <c r="B389" s="25"/>
      <c r="C389" s="25"/>
      <c r="D389" s="25"/>
      <c r="E389" s="25"/>
      <c r="F389" s="241"/>
      <c r="G389" s="21" t="b">
        <f t="shared" ref="G389:H389" si="297">ISBLANK(M389)</f>
        <v>1</v>
      </c>
      <c r="H389" s="21" t="b">
        <f t="shared" si="297"/>
        <v>1</v>
      </c>
      <c r="I389" s="25"/>
      <c r="J389" s="25"/>
      <c r="K389" s="25"/>
      <c r="L389" s="25"/>
      <c r="M389" s="16"/>
      <c r="N389" s="16"/>
      <c r="O389" s="25"/>
      <c r="P389" s="25"/>
      <c r="Q389" s="25"/>
      <c r="R389" s="25"/>
      <c r="S389" s="25"/>
      <c r="T389" s="25"/>
      <c r="U389" s="25"/>
      <c r="V389" s="25"/>
      <c r="W389" s="25"/>
      <c r="X389" s="25"/>
      <c r="Y389" s="25"/>
      <c r="Z389" s="25"/>
      <c r="AA389" s="25"/>
      <c r="AB389" s="25"/>
    </row>
    <row r="390">
      <c r="A390" s="25"/>
      <c r="B390" s="25"/>
      <c r="C390" s="25"/>
      <c r="D390" s="25"/>
      <c r="E390" s="25"/>
      <c r="F390" s="241"/>
      <c r="G390" s="21" t="b">
        <f t="shared" ref="G390:H390" si="298">ISBLANK(M390)</f>
        <v>1</v>
      </c>
      <c r="H390" s="21" t="b">
        <f t="shared" si="298"/>
        <v>1</v>
      </c>
      <c r="I390" s="25"/>
      <c r="J390" s="25"/>
      <c r="K390" s="25"/>
      <c r="L390" s="25"/>
      <c r="M390" s="16"/>
      <c r="N390" s="16"/>
      <c r="O390" s="25"/>
      <c r="P390" s="25"/>
      <c r="Q390" s="25"/>
      <c r="R390" s="25"/>
      <c r="S390" s="25"/>
      <c r="T390" s="25"/>
      <c r="U390" s="25"/>
      <c r="V390" s="25"/>
      <c r="W390" s="25"/>
      <c r="X390" s="25"/>
      <c r="Y390" s="25"/>
      <c r="Z390" s="25"/>
      <c r="AA390" s="25"/>
      <c r="AB390" s="25"/>
    </row>
    <row r="391">
      <c r="A391" s="25"/>
      <c r="B391" s="25"/>
      <c r="C391" s="25"/>
      <c r="D391" s="25"/>
      <c r="E391" s="25"/>
      <c r="F391" s="241"/>
      <c r="G391" s="21" t="b">
        <f t="shared" ref="G391:H391" si="299">ISBLANK(M391)</f>
        <v>1</v>
      </c>
      <c r="H391" s="21" t="b">
        <f t="shared" si="299"/>
        <v>1</v>
      </c>
      <c r="I391" s="25"/>
      <c r="J391" s="25"/>
      <c r="K391" s="25"/>
      <c r="L391" s="25"/>
      <c r="M391" s="16"/>
      <c r="N391" s="16"/>
      <c r="O391" s="25"/>
      <c r="P391" s="25"/>
      <c r="Q391" s="25"/>
      <c r="R391" s="25"/>
      <c r="S391" s="25"/>
      <c r="T391" s="25"/>
      <c r="U391" s="25"/>
      <c r="V391" s="25"/>
      <c r="W391" s="25"/>
      <c r="X391" s="25"/>
      <c r="Y391" s="25"/>
      <c r="Z391" s="25"/>
      <c r="AA391" s="25"/>
      <c r="AB391" s="25"/>
    </row>
    <row r="392">
      <c r="A392" s="25"/>
      <c r="B392" s="25"/>
      <c r="C392" s="25"/>
      <c r="D392" s="25"/>
      <c r="E392" s="25"/>
      <c r="F392" s="241"/>
      <c r="G392" s="21" t="b">
        <f t="shared" ref="G392:H392" si="300">ISBLANK(M392)</f>
        <v>1</v>
      </c>
      <c r="H392" s="21" t="b">
        <f t="shared" si="300"/>
        <v>1</v>
      </c>
      <c r="I392" s="25"/>
      <c r="J392" s="25"/>
      <c r="K392" s="25"/>
      <c r="L392" s="25"/>
      <c r="M392" s="16"/>
      <c r="N392" s="16"/>
      <c r="O392" s="25"/>
      <c r="P392" s="25"/>
      <c r="Q392" s="25"/>
      <c r="R392" s="25"/>
      <c r="S392" s="25"/>
      <c r="T392" s="25"/>
      <c r="U392" s="25"/>
      <c r="V392" s="25"/>
      <c r="W392" s="25"/>
      <c r="X392" s="25"/>
      <c r="Y392" s="25"/>
      <c r="Z392" s="25"/>
      <c r="AA392" s="25"/>
      <c r="AB392" s="25"/>
    </row>
    <row r="393">
      <c r="A393" s="25"/>
      <c r="B393" s="25"/>
      <c r="C393" s="25"/>
      <c r="D393" s="25"/>
      <c r="E393" s="25"/>
      <c r="F393" s="241"/>
      <c r="G393" s="21" t="b">
        <f t="shared" ref="G393:H393" si="301">ISBLANK(M393)</f>
        <v>1</v>
      </c>
      <c r="H393" s="21" t="b">
        <f t="shared" si="301"/>
        <v>1</v>
      </c>
      <c r="I393" s="25"/>
      <c r="J393" s="25"/>
      <c r="K393" s="25"/>
      <c r="L393" s="25"/>
      <c r="M393" s="16"/>
      <c r="N393" s="16"/>
      <c r="O393" s="25"/>
      <c r="P393" s="25"/>
      <c r="Q393" s="25"/>
      <c r="R393" s="25"/>
      <c r="S393" s="25"/>
      <c r="T393" s="25"/>
      <c r="U393" s="25"/>
      <c r="V393" s="25"/>
      <c r="W393" s="25"/>
      <c r="X393" s="25"/>
      <c r="Y393" s="25"/>
      <c r="Z393" s="25"/>
      <c r="AA393" s="25"/>
      <c r="AB393" s="25"/>
    </row>
    <row r="394">
      <c r="A394" s="25"/>
      <c r="B394" s="25"/>
      <c r="C394" s="25"/>
      <c r="D394" s="25"/>
      <c r="E394" s="25"/>
      <c r="F394" s="241"/>
      <c r="G394" s="21" t="b">
        <f t="shared" ref="G394:H394" si="302">ISBLANK(M394)</f>
        <v>1</v>
      </c>
      <c r="H394" s="21" t="b">
        <f t="shared" si="302"/>
        <v>1</v>
      </c>
      <c r="I394" s="25"/>
      <c r="J394" s="25"/>
      <c r="K394" s="25"/>
      <c r="L394" s="25"/>
      <c r="M394" s="16"/>
      <c r="N394" s="16"/>
      <c r="O394" s="25"/>
      <c r="P394" s="25"/>
      <c r="Q394" s="25"/>
      <c r="R394" s="25"/>
      <c r="S394" s="25"/>
      <c r="T394" s="25"/>
      <c r="U394" s="25"/>
      <c r="V394" s="25"/>
      <c r="W394" s="25"/>
      <c r="X394" s="25"/>
      <c r="Y394" s="25"/>
      <c r="Z394" s="25"/>
      <c r="AA394" s="25"/>
      <c r="AB394" s="25"/>
    </row>
    <row r="395">
      <c r="A395" s="25"/>
      <c r="B395" s="25"/>
      <c r="C395" s="25"/>
      <c r="D395" s="25"/>
      <c r="E395" s="25"/>
      <c r="F395" s="241"/>
      <c r="G395" s="21" t="b">
        <f t="shared" ref="G395:H395" si="303">ISBLANK(M395)</f>
        <v>1</v>
      </c>
      <c r="H395" s="21" t="b">
        <f t="shared" si="303"/>
        <v>1</v>
      </c>
      <c r="I395" s="25"/>
      <c r="J395" s="25"/>
      <c r="K395" s="25"/>
      <c r="L395" s="25"/>
      <c r="M395" s="16"/>
      <c r="N395" s="16"/>
      <c r="O395" s="25"/>
      <c r="P395" s="25"/>
      <c r="Q395" s="25"/>
      <c r="R395" s="25"/>
      <c r="S395" s="25"/>
      <c r="T395" s="25"/>
      <c r="U395" s="25"/>
      <c r="V395" s="25"/>
      <c r="W395" s="25"/>
      <c r="X395" s="25"/>
      <c r="Y395" s="25"/>
      <c r="Z395" s="25"/>
      <c r="AA395" s="25"/>
      <c r="AB395" s="25"/>
    </row>
    <row r="396">
      <c r="A396" s="25"/>
      <c r="B396" s="25"/>
      <c r="C396" s="25"/>
      <c r="D396" s="25"/>
      <c r="E396" s="25"/>
      <c r="F396" s="241"/>
      <c r="G396" s="21" t="b">
        <f t="shared" ref="G396:H396" si="304">ISBLANK(M396)</f>
        <v>1</v>
      </c>
      <c r="H396" s="21" t="b">
        <f t="shared" si="304"/>
        <v>1</v>
      </c>
      <c r="I396" s="25"/>
      <c r="J396" s="25"/>
      <c r="K396" s="25"/>
      <c r="L396" s="25"/>
      <c r="M396" s="16"/>
      <c r="N396" s="16"/>
      <c r="O396" s="25"/>
      <c r="P396" s="25"/>
      <c r="Q396" s="25"/>
      <c r="R396" s="25"/>
      <c r="S396" s="25"/>
      <c r="T396" s="25"/>
      <c r="U396" s="25"/>
      <c r="V396" s="25"/>
      <c r="W396" s="25"/>
      <c r="X396" s="25"/>
      <c r="Y396" s="25"/>
      <c r="Z396" s="25"/>
      <c r="AA396" s="25"/>
      <c r="AB396" s="25"/>
    </row>
    <row r="397">
      <c r="A397" s="25"/>
      <c r="B397" s="25"/>
      <c r="C397" s="25"/>
      <c r="D397" s="25"/>
      <c r="E397" s="25"/>
      <c r="F397" s="241"/>
      <c r="G397" s="21" t="b">
        <f t="shared" ref="G397:H397" si="305">ISBLANK(M397)</f>
        <v>1</v>
      </c>
      <c r="H397" s="21" t="b">
        <f t="shared" si="305"/>
        <v>1</v>
      </c>
      <c r="I397" s="25"/>
      <c r="J397" s="25"/>
      <c r="K397" s="25"/>
      <c r="L397" s="25"/>
      <c r="M397" s="16"/>
      <c r="N397" s="16"/>
      <c r="O397" s="25"/>
      <c r="P397" s="25"/>
      <c r="Q397" s="25"/>
      <c r="R397" s="25"/>
      <c r="S397" s="25"/>
      <c r="T397" s="25"/>
      <c r="U397" s="25"/>
      <c r="V397" s="25"/>
      <c r="W397" s="25"/>
      <c r="X397" s="25"/>
      <c r="Y397" s="25"/>
      <c r="Z397" s="25"/>
      <c r="AA397" s="25"/>
      <c r="AB397" s="25"/>
    </row>
    <row r="398">
      <c r="A398" s="25"/>
      <c r="B398" s="25"/>
      <c r="C398" s="25"/>
      <c r="D398" s="25"/>
      <c r="E398" s="25"/>
      <c r="F398" s="241"/>
      <c r="G398" s="21" t="b">
        <f t="shared" ref="G398:H398" si="306">ISBLANK(M398)</f>
        <v>1</v>
      </c>
      <c r="H398" s="21" t="b">
        <f t="shared" si="306"/>
        <v>1</v>
      </c>
      <c r="I398" s="25"/>
      <c r="J398" s="25"/>
      <c r="K398" s="25"/>
      <c r="L398" s="25"/>
      <c r="M398" s="16"/>
      <c r="N398" s="16"/>
      <c r="O398" s="25"/>
      <c r="P398" s="25"/>
      <c r="Q398" s="25"/>
      <c r="R398" s="25"/>
      <c r="S398" s="25"/>
      <c r="T398" s="25"/>
      <c r="U398" s="25"/>
      <c r="V398" s="25"/>
      <c r="W398" s="25"/>
      <c r="X398" s="25"/>
      <c r="Y398" s="25"/>
      <c r="Z398" s="25"/>
      <c r="AA398" s="25"/>
      <c r="AB398" s="25"/>
    </row>
    <row r="399">
      <c r="A399" s="25"/>
      <c r="B399" s="25"/>
      <c r="C399" s="25"/>
      <c r="D399" s="25"/>
      <c r="E399" s="25"/>
      <c r="F399" s="241"/>
      <c r="G399" s="21" t="b">
        <f t="shared" ref="G399:H399" si="307">ISBLANK(M399)</f>
        <v>1</v>
      </c>
      <c r="H399" s="21" t="b">
        <f t="shared" si="307"/>
        <v>1</v>
      </c>
      <c r="I399" s="25"/>
      <c r="J399" s="25"/>
      <c r="K399" s="25"/>
      <c r="L399" s="25"/>
      <c r="M399" s="16"/>
      <c r="N399" s="16"/>
      <c r="O399" s="25"/>
      <c r="P399" s="25"/>
      <c r="Q399" s="25"/>
      <c r="R399" s="25"/>
      <c r="S399" s="25"/>
      <c r="T399" s="25"/>
      <c r="U399" s="25"/>
      <c r="V399" s="25"/>
      <c r="W399" s="25"/>
      <c r="X399" s="25"/>
      <c r="Y399" s="25"/>
      <c r="Z399" s="25"/>
      <c r="AA399" s="25"/>
      <c r="AB399" s="25"/>
    </row>
    <row r="400">
      <c r="A400" s="25"/>
      <c r="B400" s="25"/>
      <c r="C400" s="25"/>
      <c r="D400" s="25"/>
      <c r="E400" s="25"/>
      <c r="F400" s="241"/>
      <c r="G400" s="21" t="b">
        <f t="shared" ref="G400:H400" si="308">ISBLANK(M400)</f>
        <v>1</v>
      </c>
      <c r="H400" s="21" t="b">
        <f t="shared" si="308"/>
        <v>1</v>
      </c>
      <c r="I400" s="25"/>
      <c r="J400" s="25"/>
      <c r="K400" s="25"/>
      <c r="L400" s="25"/>
      <c r="M400" s="16"/>
      <c r="N400" s="16"/>
      <c r="O400" s="25"/>
      <c r="P400" s="25"/>
      <c r="Q400" s="25"/>
      <c r="R400" s="25"/>
      <c r="S400" s="25"/>
      <c r="T400" s="25"/>
      <c r="U400" s="25"/>
      <c r="V400" s="25"/>
      <c r="W400" s="25"/>
      <c r="X400" s="25"/>
      <c r="Y400" s="25"/>
      <c r="Z400" s="25"/>
      <c r="AA400" s="25"/>
      <c r="AB400" s="25"/>
    </row>
    <row r="401">
      <c r="A401" s="25"/>
      <c r="B401" s="25"/>
      <c r="C401" s="25"/>
      <c r="D401" s="25"/>
      <c r="E401" s="25"/>
      <c r="F401" s="241"/>
      <c r="G401" s="21" t="b">
        <f t="shared" ref="G401:H401" si="309">ISBLANK(M401)</f>
        <v>1</v>
      </c>
      <c r="H401" s="21" t="b">
        <f t="shared" si="309"/>
        <v>1</v>
      </c>
      <c r="I401" s="25"/>
      <c r="J401" s="25"/>
      <c r="K401" s="25"/>
      <c r="L401" s="25"/>
      <c r="M401" s="16"/>
      <c r="N401" s="16"/>
      <c r="O401" s="25"/>
      <c r="P401" s="25"/>
      <c r="Q401" s="25"/>
      <c r="R401" s="25"/>
      <c r="S401" s="25"/>
      <c r="T401" s="25"/>
      <c r="U401" s="25"/>
      <c r="V401" s="25"/>
      <c r="W401" s="25"/>
      <c r="X401" s="25"/>
      <c r="Y401" s="25"/>
      <c r="Z401" s="25"/>
      <c r="AA401" s="25"/>
      <c r="AB401" s="25"/>
    </row>
    <row r="402">
      <c r="A402" s="25"/>
      <c r="B402" s="25"/>
      <c r="C402" s="25"/>
      <c r="D402" s="25"/>
      <c r="E402" s="25"/>
      <c r="F402" s="241"/>
      <c r="G402" s="21" t="b">
        <f t="shared" ref="G402:H402" si="310">ISBLANK(M402)</f>
        <v>1</v>
      </c>
      <c r="H402" s="21" t="b">
        <f t="shared" si="310"/>
        <v>1</v>
      </c>
      <c r="I402" s="25"/>
      <c r="J402" s="25"/>
      <c r="K402" s="25"/>
      <c r="L402" s="25"/>
      <c r="M402" s="16"/>
      <c r="N402" s="16"/>
      <c r="O402" s="25"/>
      <c r="P402" s="25"/>
      <c r="Q402" s="25"/>
      <c r="R402" s="25"/>
      <c r="S402" s="25"/>
      <c r="T402" s="25"/>
      <c r="U402" s="25"/>
      <c r="V402" s="25"/>
      <c r="W402" s="25"/>
      <c r="X402" s="25"/>
      <c r="Y402" s="25"/>
      <c r="Z402" s="25"/>
      <c r="AA402" s="25"/>
      <c r="AB402" s="25"/>
    </row>
    <row r="403">
      <c r="A403" s="25"/>
      <c r="B403" s="25"/>
      <c r="C403" s="25"/>
      <c r="D403" s="25"/>
      <c r="E403" s="25"/>
      <c r="F403" s="241"/>
      <c r="G403" s="21" t="b">
        <f t="shared" ref="G403:H403" si="311">ISBLANK(M403)</f>
        <v>1</v>
      </c>
      <c r="H403" s="21" t="b">
        <f t="shared" si="311"/>
        <v>1</v>
      </c>
      <c r="I403" s="25"/>
      <c r="J403" s="25"/>
      <c r="K403" s="25"/>
      <c r="L403" s="25"/>
      <c r="M403" s="16"/>
      <c r="N403" s="16"/>
      <c r="O403" s="25"/>
      <c r="P403" s="25"/>
      <c r="Q403" s="25"/>
      <c r="R403" s="25"/>
      <c r="S403" s="25"/>
      <c r="T403" s="25"/>
      <c r="U403" s="25"/>
      <c r="V403" s="25"/>
      <c r="W403" s="25"/>
      <c r="X403" s="25"/>
      <c r="Y403" s="25"/>
      <c r="Z403" s="25"/>
      <c r="AA403" s="25"/>
      <c r="AB403" s="25"/>
    </row>
    <row r="404">
      <c r="A404" s="25"/>
      <c r="B404" s="25"/>
      <c r="C404" s="25"/>
      <c r="D404" s="25"/>
      <c r="E404" s="25"/>
      <c r="F404" s="241"/>
      <c r="G404" s="21" t="b">
        <f t="shared" ref="G404:H404" si="312">ISBLANK(M404)</f>
        <v>1</v>
      </c>
      <c r="H404" s="21" t="b">
        <f t="shared" si="312"/>
        <v>1</v>
      </c>
      <c r="I404" s="25"/>
      <c r="J404" s="25"/>
      <c r="K404" s="25"/>
      <c r="L404" s="25"/>
      <c r="M404" s="16"/>
      <c r="N404" s="16"/>
      <c r="O404" s="25"/>
      <c r="P404" s="25"/>
      <c r="Q404" s="25"/>
      <c r="R404" s="25"/>
      <c r="S404" s="25"/>
      <c r="T404" s="25"/>
      <c r="U404" s="25"/>
      <c r="V404" s="25"/>
      <c r="W404" s="25"/>
      <c r="X404" s="25"/>
      <c r="Y404" s="25"/>
      <c r="Z404" s="25"/>
      <c r="AA404" s="25"/>
      <c r="AB404" s="25"/>
    </row>
    <row r="405">
      <c r="A405" s="25"/>
      <c r="B405" s="25"/>
      <c r="C405" s="25"/>
      <c r="D405" s="25"/>
      <c r="E405" s="25"/>
      <c r="F405" s="241"/>
      <c r="G405" s="21" t="b">
        <f t="shared" ref="G405:H405" si="313">ISBLANK(M405)</f>
        <v>1</v>
      </c>
      <c r="H405" s="21" t="b">
        <f t="shared" si="313"/>
        <v>1</v>
      </c>
      <c r="I405" s="25"/>
      <c r="J405" s="25"/>
      <c r="K405" s="25"/>
      <c r="L405" s="25"/>
      <c r="M405" s="16"/>
      <c r="N405" s="16"/>
      <c r="O405" s="25"/>
      <c r="P405" s="25"/>
      <c r="Q405" s="25"/>
      <c r="R405" s="25"/>
      <c r="S405" s="25"/>
      <c r="T405" s="25"/>
      <c r="U405" s="25"/>
      <c r="V405" s="25"/>
      <c r="W405" s="25"/>
      <c r="X405" s="25"/>
      <c r="Y405" s="25"/>
      <c r="Z405" s="25"/>
      <c r="AA405" s="25"/>
      <c r="AB405" s="25"/>
    </row>
    <row r="406">
      <c r="A406" s="25"/>
      <c r="B406" s="25"/>
      <c r="C406" s="25"/>
      <c r="D406" s="25"/>
      <c r="E406" s="25"/>
      <c r="F406" s="241"/>
      <c r="G406" s="21" t="b">
        <f t="shared" ref="G406:H406" si="314">ISBLANK(M406)</f>
        <v>1</v>
      </c>
      <c r="H406" s="21" t="b">
        <f t="shared" si="314"/>
        <v>1</v>
      </c>
      <c r="I406" s="25"/>
      <c r="J406" s="25"/>
      <c r="K406" s="25"/>
      <c r="L406" s="25"/>
      <c r="M406" s="16"/>
      <c r="N406" s="16"/>
      <c r="O406" s="25"/>
      <c r="P406" s="25"/>
      <c r="Q406" s="25"/>
      <c r="R406" s="25"/>
      <c r="S406" s="25"/>
      <c r="T406" s="25"/>
      <c r="U406" s="25"/>
      <c r="V406" s="25"/>
      <c r="W406" s="25"/>
      <c r="X406" s="25"/>
      <c r="Y406" s="25"/>
      <c r="Z406" s="25"/>
      <c r="AA406" s="25"/>
      <c r="AB406" s="25"/>
    </row>
    <row r="407">
      <c r="A407" s="25"/>
      <c r="B407" s="25"/>
      <c r="C407" s="25"/>
      <c r="D407" s="25"/>
      <c r="E407" s="25"/>
      <c r="F407" s="241"/>
      <c r="G407" s="21" t="b">
        <f t="shared" ref="G407:H407" si="315">ISBLANK(M407)</f>
        <v>1</v>
      </c>
      <c r="H407" s="21" t="b">
        <f t="shared" si="315"/>
        <v>1</v>
      </c>
      <c r="I407" s="25"/>
      <c r="J407" s="25"/>
      <c r="K407" s="25"/>
      <c r="L407" s="25"/>
      <c r="M407" s="16"/>
      <c r="N407" s="16"/>
      <c r="O407" s="25"/>
      <c r="P407" s="25"/>
      <c r="Q407" s="25"/>
      <c r="R407" s="25"/>
      <c r="S407" s="25"/>
      <c r="T407" s="25"/>
      <c r="U407" s="25"/>
      <c r="V407" s="25"/>
      <c r="W407" s="25"/>
      <c r="X407" s="25"/>
      <c r="Y407" s="25"/>
      <c r="Z407" s="25"/>
      <c r="AA407" s="25"/>
      <c r="AB407" s="25"/>
    </row>
    <row r="408">
      <c r="A408" s="25"/>
      <c r="B408" s="25"/>
      <c r="C408" s="25"/>
      <c r="D408" s="25"/>
      <c r="E408" s="25"/>
      <c r="F408" s="241"/>
      <c r="G408" s="21" t="b">
        <f t="shared" ref="G408:H408" si="316">ISBLANK(M408)</f>
        <v>1</v>
      </c>
      <c r="H408" s="21" t="b">
        <f t="shared" si="316"/>
        <v>1</v>
      </c>
      <c r="I408" s="25"/>
      <c r="J408" s="25"/>
      <c r="K408" s="25"/>
      <c r="L408" s="25"/>
      <c r="M408" s="16"/>
      <c r="N408" s="16"/>
      <c r="O408" s="25"/>
      <c r="P408" s="25"/>
      <c r="Q408" s="25"/>
      <c r="R408" s="25"/>
      <c r="S408" s="25"/>
      <c r="T408" s="25"/>
      <c r="U408" s="25"/>
      <c r="V408" s="25"/>
      <c r="W408" s="25"/>
      <c r="X408" s="25"/>
      <c r="Y408" s="25"/>
      <c r="Z408" s="25"/>
      <c r="AA408" s="25"/>
      <c r="AB408" s="25"/>
    </row>
    <row r="409">
      <c r="A409" s="25"/>
      <c r="B409" s="25"/>
      <c r="C409" s="25"/>
      <c r="D409" s="25"/>
      <c r="E409" s="25"/>
      <c r="F409" s="241"/>
      <c r="G409" s="21" t="b">
        <f t="shared" ref="G409:H409" si="317">ISBLANK(M409)</f>
        <v>1</v>
      </c>
      <c r="H409" s="21" t="b">
        <f t="shared" si="317"/>
        <v>1</v>
      </c>
      <c r="I409" s="25"/>
      <c r="J409" s="25"/>
      <c r="K409" s="25"/>
      <c r="L409" s="25"/>
      <c r="M409" s="16"/>
      <c r="N409" s="16"/>
      <c r="O409" s="25"/>
      <c r="P409" s="25"/>
      <c r="Q409" s="25"/>
      <c r="R409" s="25"/>
      <c r="S409" s="25"/>
      <c r="T409" s="25"/>
      <c r="U409" s="25"/>
      <c r="V409" s="25"/>
      <c r="W409" s="25"/>
      <c r="X409" s="25"/>
      <c r="Y409" s="25"/>
      <c r="Z409" s="25"/>
      <c r="AA409" s="25"/>
      <c r="AB409" s="25"/>
    </row>
    <row r="410">
      <c r="A410" s="25"/>
      <c r="B410" s="25"/>
      <c r="C410" s="25"/>
      <c r="D410" s="25"/>
      <c r="E410" s="25"/>
      <c r="F410" s="241"/>
      <c r="G410" s="21" t="b">
        <f t="shared" ref="G410:H410" si="318">ISBLANK(M410)</f>
        <v>1</v>
      </c>
      <c r="H410" s="21" t="b">
        <f t="shared" si="318"/>
        <v>1</v>
      </c>
      <c r="I410" s="25"/>
      <c r="J410" s="25"/>
      <c r="K410" s="25"/>
      <c r="L410" s="25"/>
      <c r="M410" s="16"/>
      <c r="N410" s="16"/>
      <c r="O410" s="25"/>
      <c r="P410" s="25"/>
      <c r="Q410" s="25"/>
      <c r="R410" s="25"/>
      <c r="S410" s="25"/>
      <c r="T410" s="25"/>
      <c r="U410" s="25"/>
      <c r="V410" s="25"/>
      <c r="W410" s="25"/>
      <c r="X410" s="25"/>
      <c r="Y410" s="25"/>
      <c r="Z410" s="25"/>
      <c r="AA410" s="25"/>
      <c r="AB410" s="25"/>
    </row>
    <row r="411">
      <c r="A411" s="25"/>
      <c r="B411" s="25"/>
      <c r="C411" s="25"/>
      <c r="D411" s="25"/>
      <c r="E411" s="25"/>
      <c r="F411" s="241"/>
      <c r="G411" s="21" t="b">
        <f t="shared" ref="G411:H411" si="319">ISBLANK(M411)</f>
        <v>1</v>
      </c>
      <c r="H411" s="21" t="b">
        <f t="shared" si="319"/>
        <v>1</v>
      </c>
      <c r="I411" s="25"/>
      <c r="J411" s="25"/>
      <c r="K411" s="25"/>
      <c r="L411" s="25"/>
      <c r="M411" s="16"/>
      <c r="N411" s="16"/>
      <c r="O411" s="25"/>
      <c r="P411" s="25"/>
      <c r="Q411" s="25"/>
      <c r="R411" s="25"/>
      <c r="S411" s="25"/>
      <c r="T411" s="25"/>
      <c r="U411" s="25"/>
      <c r="V411" s="25"/>
      <c r="W411" s="25"/>
      <c r="X411" s="25"/>
      <c r="Y411" s="25"/>
      <c r="Z411" s="25"/>
      <c r="AA411" s="25"/>
      <c r="AB411" s="25"/>
    </row>
    <row r="412">
      <c r="A412" s="25"/>
      <c r="B412" s="25"/>
      <c r="C412" s="25"/>
      <c r="D412" s="25"/>
      <c r="E412" s="25"/>
      <c r="F412" s="241"/>
      <c r="G412" s="21" t="b">
        <f t="shared" ref="G412:H412" si="320">ISBLANK(M412)</f>
        <v>1</v>
      </c>
      <c r="H412" s="21" t="b">
        <f t="shared" si="320"/>
        <v>1</v>
      </c>
      <c r="I412" s="25"/>
      <c r="J412" s="25"/>
      <c r="K412" s="25"/>
      <c r="L412" s="25"/>
      <c r="M412" s="16"/>
      <c r="N412" s="16"/>
      <c r="O412" s="25"/>
      <c r="P412" s="25"/>
      <c r="Q412" s="25"/>
      <c r="R412" s="25"/>
      <c r="S412" s="25"/>
      <c r="T412" s="25"/>
      <c r="U412" s="25"/>
      <c r="V412" s="25"/>
      <c r="W412" s="25"/>
      <c r="X412" s="25"/>
      <c r="Y412" s="25"/>
      <c r="Z412" s="25"/>
      <c r="AA412" s="25"/>
      <c r="AB412" s="25"/>
    </row>
    <row r="413">
      <c r="A413" s="25"/>
      <c r="B413" s="25"/>
      <c r="C413" s="25"/>
      <c r="D413" s="25"/>
      <c r="E413" s="25"/>
      <c r="F413" s="241"/>
      <c r="G413" s="21" t="b">
        <f t="shared" ref="G413:H413" si="321">ISBLANK(M413)</f>
        <v>1</v>
      </c>
      <c r="H413" s="21" t="b">
        <f t="shared" si="321"/>
        <v>1</v>
      </c>
      <c r="I413" s="25"/>
      <c r="J413" s="25"/>
      <c r="K413" s="25"/>
      <c r="L413" s="25"/>
      <c r="M413" s="16"/>
      <c r="N413" s="16"/>
      <c r="O413" s="25"/>
      <c r="P413" s="25"/>
      <c r="Q413" s="25"/>
      <c r="R413" s="25"/>
      <c r="S413" s="25"/>
      <c r="T413" s="25"/>
      <c r="U413" s="25"/>
      <c r="V413" s="25"/>
      <c r="W413" s="25"/>
      <c r="X413" s="25"/>
      <c r="Y413" s="25"/>
      <c r="Z413" s="25"/>
      <c r="AA413" s="25"/>
      <c r="AB413" s="25"/>
    </row>
    <row r="414">
      <c r="A414" s="25"/>
      <c r="B414" s="25"/>
      <c r="C414" s="25"/>
      <c r="D414" s="25"/>
      <c r="E414" s="25"/>
      <c r="F414" s="241"/>
      <c r="G414" s="21" t="b">
        <f t="shared" ref="G414:H414" si="322">ISBLANK(M414)</f>
        <v>1</v>
      </c>
      <c r="H414" s="21" t="b">
        <f t="shared" si="322"/>
        <v>1</v>
      </c>
      <c r="I414" s="25"/>
      <c r="J414" s="25"/>
      <c r="K414" s="25"/>
      <c r="L414" s="25"/>
      <c r="M414" s="16"/>
      <c r="N414" s="16"/>
      <c r="O414" s="25"/>
      <c r="P414" s="25"/>
      <c r="Q414" s="25"/>
      <c r="R414" s="25"/>
      <c r="S414" s="25"/>
      <c r="T414" s="25"/>
      <c r="U414" s="25"/>
      <c r="V414" s="25"/>
      <c r="W414" s="25"/>
      <c r="X414" s="25"/>
      <c r="Y414" s="25"/>
      <c r="Z414" s="25"/>
      <c r="AA414" s="25"/>
      <c r="AB414" s="25"/>
    </row>
    <row r="415">
      <c r="A415" s="25"/>
      <c r="B415" s="25"/>
      <c r="C415" s="25"/>
      <c r="D415" s="25"/>
      <c r="E415" s="25"/>
      <c r="F415" s="241"/>
      <c r="G415" s="21" t="b">
        <f t="shared" ref="G415:H415" si="323">ISBLANK(M415)</f>
        <v>1</v>
      </c>
      <c r="H415" s="21" t="b">
        <f t="shared" si="323"/>
        <v>1</v>
      </c>
      <c r="I415" s="25"/>
      <c r="J415" s="25"/>
      <c r="K415" s="25"/>
      <c r="L415" s="25"/>
      <c r="M415" s="16"/>
      <c r="N415" s="16"/>
      <c r="O415" s="25"/>
      <c r="P415" s="25"/>
      <c r="Q415" s="25"/>
      <c r="R415" s="25"/>
      <c r="S415" s="25"/>
      <c r="T415" s="25"/>
      <c r="U415" s="25"/>
      <c r="V415" s="25"/>
      <c r="W415" s="25"/>
      <c r="X415" s="25"/>
      <c r="Y415" s="25"/>
      <c r="Z415" s="25"/>
      <c r="AA415" s="25"/>
      <c r="AB415" s="25"/>
    </row>
    <row r="416">
      <c r="A416" s="25"/>
      <c r="B416" s="25"/>
      <c r="C416" s="25"/>
      <c r="D416" s="25"/>
      <c r="E416" s="25"/>
      <c r="F416" s="241"/>
      <c r="G416" s="21" t="b">
        <f t="shared" ref="G416:H416" si="324">ISBLANK(M416)</f>
        <v>1</v>
      </c>
      <c r="H416" s="21" t="b">
        <f t="shared" si="324"/>
        <v>1</v>
      </c>
      <c r="I416" s="25"/>
      <c r="J416" s="25"/>
      <c r="K416" s="25"/>
      <c r="L416" s="25"/>
      <c r="M416" s="16"/>
      <c r="N416" s="16"/>
      <c r="O416" s="25"/>
      <c r="P416" s="25"/>
      <c r="Q416" s="25"/>
      <c r="R416" s="25"/>
      <c r="S416" s="25"/>
      <c r="T416" s="25"/>
      <c r="U416" s="25"/>
      <c r="V416" s="25"/>
      <c r="W416" s="25"/>
      <c r="X416" s="25"/>
      <c r="Y416" s="25"/>
      <c r="Z416" s="25"/>
      <c r="AA416" s="25"/>
      <c r="AB416" s="25"/>
    </row>
    <row r="417">
      <c r="A417" s="25"/>
      <c r="B417" s="25"/>
      <c r="C417" s="25"/>
      <c r="D417" s="25"/>
      <c r="E417" s="25"/>
      <c r="F417" s="241"/>
      <c r="G417" s="21" t="b">
        <f t="shared" ref="G417:H417" si="325">ISBLANK(M417)</f>
        <v>1</v>
      </c>
      <c r="H417" s="21" t="b">
        <f t="shared" si="325"/>
        <v>1</v>
      </c>
      <c r="I417" s="25"/>
      <c r="J417" s="25"/>
      <c r="K417" s="25"/>
      <c r="L417" s="25"/>
      <c r="M417" s="16"/>
      <c r="N417" s="16"/>
      <c r="O417" s="25"/>
      <c r="P417" s="25"/>
      <c r="Q417" s="25"/>
      <c r="R417" s="25"/>
      <c r="S417" s="25"/>
      <c r="T417" s="25"/>
      <c r="U417" s="25"/>
      <c r="V417" s="25"/>
      <c r="W417" s="25"/>
      <c r="X417" s="25"/>
      <c r="Y417" s="25"/>
      <c r="Z417" s="25"/>
      <c r="AA417" s="25"/>
      <c r="AB417" s="25"/>
    </row>
    <row r="418">
      <c r="A418" s="25"/>
      <c r="B418" s="25"/>
      <c r="C418" s="25"/>
      <c r="D418" s="25"/>
      <c r="E418" s="25"/>
      <c r="F418" s="241"/>
      <c r="G418" s="21" t="b">
        <f t="shared" ref="G418:H418" si="326">ISBLANK(M418)</f>
        <v>1</v>
      </c>
      <c r="H418" s="21" t="b">
        <f t="shared" si="326"/>
        <v>1</v>
      </c>
      <c r="I418" s="25"/>
      <c r="J418" s="25"/>
      <c r="K418" s="25"/>
      <c r="L418" s="25"/>
      <c r="M418" s="16"/>
      <c r="N418" s="16"/>
      <c r="O418" s="25"/>
      <c r="P418" s="25"/>
      <c r="Q418" s="25"/>
      <c r="R418" s="25"/>
      <c r="S418" s="25"/>
      <c r="T418" s="25"/>
      <c r="U418" s="25"/>
      <c r="V418" s="25"/>
      <c r="W418" s="25"/>
      <c r="X418" s="25"/>
      <c r="Y418" s="25"/>
      <c r="Z418" s="25"/>
      <c r="AA418" s="25"/>
      <c r="AB418" s="25"/>
    </row>
    <row r="419">
      <c r="A419" s="25"/>
      <c r="B419" s="25"/>
      <c r="C419" s="25"/>
      <c r="D419" s="25"/>
      <c r="E419" s="25"/>
      <c r="F419" s="241"/>
      <c r="G419" s="21" t="b">
        <f t="shared" ref="G419:H419" si="327">ISBLANK(M419)</f>
        <v>1</v>
      </c>
      <c r="H419" s="21" t="b">
        <f t="shared" si="327"/>
        <v>1</v>
      </c>
      <c r="I419" s="25"/>
      <c r="J419" s="25"/>
      <c r="K419" s="25"/>
      <c r="L419" s="25"/>
      <c r="M419" s="16"/>
      <c r="N419" s="16"/>
      <c r="O419" s="25"/>
      <c r="P419" s="25"/>
      <c r="Q419" s="25"/>
      <c r="R419" s="25"/>
      <c r="S419" s="25"/>
      <c r="T419" s="25"/>
      <c r="U419" s="25"/>
      <c r="V419" s="25"/>
      <c r="W419" s="25"/>
      <c r="X419" s="25"/>
      <c r="Y419" s="25"/>
      <c r="Z419" s="25"/>
      <c r="AA419" s="25"/>
      <c r="AB419" s="25"/>
    </row>
    <row r="420">
      <c r="A420" s="25"/>
      <c r="B420" s="25"/>
      <c r="C420" s="25"/>
      <c r="D420" s="25"/>
      <c r="E420" s="25"/>
      <c r="F420" s="241"/>
      <c r="G420" s="21" t="b">
        <f t="shared" ref="G420:H420" si="328">ISBLANK(M420)</f>
        <v>1</v>
      </c>
      <c r="H420" s="21" t="b">
        <f t="shared" si="328"/>
        <v>1</v>
      </c>
      <c r="I420" s="25"/>
      <c r="J420" s="25"/>
      <c r="K420" s="25"/>
      <c r="L420" s="25"/>
      <c r="M420" s="16"/>
      <c r="N420" s="16"/>
      <c r="O420" s="25"/>
      <c r="P420" s="25"/>
      <c r="Q420" s="25"/>
      <c r="R420" s="25"/>
      <c r="S420" s="25"/>
      <c r="T420" s="25"/>
      <c r="U420" s="25"/>
      <c r="V420" s="25"/>
      <c r="W420" s="25"/>
      <c r="X420" s="25"/>
      <c r="Y420" s="25"/>
      <c r="Z420" s="25"/>
      <c r="AA420" s="25"/>
      <c r="AB420" s="25"/>
    </row>
    <row r="421">
      <c r="A421" s="25"/>
      <c r="B421" s="25"/>
      <c r="C421" s="25"/>
      <c r="D421" s="25"/>
      <c r="E421" s="25"/>
      <c r="F421" s="241"/>
      <c r="G421" s="21" t="b">
        <f t="shared" ref="G421:H421" si="329">ISBLANK(M421)</f>
        <v>1</v>
      </c>
      <c r="H421" s="21" t="b">
        <f t="shared" si="329"/>
        <v>1</v>
      </c>
      <c r="I421" s="25"/>
      <c r="J421" s="25"/>
      <c r="K421" s="25"/>
      <c r="L421" s="25"/>
      <c r="M421" s="16"/>
      <c r="N421" s="16"/>
      <c r="O421" s="25"/>
      <c r="P421" s="25"/>
      <c r="Q421" s="25"/>
      <c r="R421" s="25"/>
      <c r="S421" s="25"/>
      <c r="T421" s="25"/>
      <c r="U421" s="25"/>
      <c r="V421" s="25"/>
      <c r="W421" s="25"/>
      <c r="X421" s="25"/>
      <c r="Y421" s="25"/>
      <c r="Z421" s="25"/>
      <c r="AA421" s="25"/>
      <c r="AB421" s="25"/>
    </row>
    <row r="422">
      <c r="A422" s="25"/>
      <c r="B422" s="25"/>
      <c r="C422" s="25"/>
      <c r="D422" s="25"/>
      <c r="E422" s="25"/>
      <c r="F422" s="241"/>
      <c r="G422" s="21" t="b">
        <f t="shared" ref="G422:H422" si="330">ISBLANK(M422)</f>
        <v>1</v>
      </c>
      <c r="H422" s="21" t="b">
        <f t="shared" si="330"/>
        <v>1</v>
      </c>
      <c r="I422" s="25"/>
      <c r="J422" s="25"/>
      <c r="K422" s="25"/>
      <c r="L422" s="25"/>
      <c r="M422" s="16"/>
      <c r="N422" s="16"/>
      <c r="O422" s="25"/>
      <c r="P422" s="25"/>
      <c r="Q422" s="25"/>
      <c r="R422" s="25"/>
      <c r="S422" s="25"/>
      <c r="T422" s="25"/>
      <c r="U422" s="25"/>
      <c r="V422" s="25"/>
      <c r="W422" s="25"/>
      <c r="X422" s="25"/>
      <c r="Y422" s="25"/>
      <c r="Z422" s="25"/>
      <c r="AA422" s="25"/>
      <c r="AB422" s="25"/>
    </row>
    <row r="423">
      <c r="A423" s="25"/>
      <c r="B423" s="25"/>
      <c r="C423" s="25"/>
      <c r="D423" s="25"/>
      <c r="E423" s="25"/>
      <c r="F423" s="241"/>
      <c r="G423" s="21" t="b">
        <f t="shared" ref="G423:H423" si="331">ISBLANK(M423)</f>
        <v>1</v>
      </c>
      <c r="H423" s="21" t="b">
        <f t="shared" si="331"/>
        <v>1</v>
      </c>
      <c r="I423" s="25"/>
      <c r="J423" s="25"/>
      <c r="K423" s="25"/>
      <c r="L423" s="25"/>
      <c r="M423" s="16"/>
      <c r="N423" s="16"/>
      <c r="O423" s="25"/>
      <c r="P423" s="25"/>
      <c r="Q423" s="25"/>
      <c r="R423" s="25"/>
      <c r="S423" s="25"/>
      <c r="T423" s="25"/>
      <c r="U423" s="25"/>
      <c r="V423" s="25"/>
      <c r="W423" s="25"/>
      <c r="X423" s="25"/>
      <c r="Y423" s="25"/>
      <c r="Z423" s="25"/>
      <c r="AA423" s="25"/>
      <c r="AB423" s="25"/>
    </row>
    <row r="424">
      <c r="A424" s="25"/>
      <c r="B424" s="25"/>
      <c r="C424" s="25"/>
      <c r="D424" s="25"/>
      <c r="E424" s="25"/>
      <c r="F424" s="241"/>
      <c r="G424" s="21" t="b">
        <f t="shared" ref="G424:H424" si="332">ISBLANK(M424)</f>
        <v>1</v>
      </c>
      <c r="H424" s="21" t="b">
        <f t="shared" si="332"/>
        <v>1</v>
      </c>
      <c r="I424" s="25"/>
      <c r="J424" s="25"/>
      <c r="K424" s="25"/>
      <c r="L424" s="25"/>
      <c r="M424" s="16"/>
      <c r="N424" s="16"/>
      <c r="O424" s="25"/>
      <c r="P424" s="25"/>
      <c r="Q424" s="25"/>
      <c r="R424" s="25"/>
      <c r="S424" s="25"/>
      <c r="T424" s="25"/>
      <c r="U424" s="25"/>
      <c r="V424" s="25"/>
      <c r="W424" s="25"/>
      <c r="X424" s="25"/>
      <c r="Y424" s="25"/>
      <c r="Z424" s="25"/>
      <c r="AA424" s="25"/>
      <c r="AB424" s="25"/>
    </row>
    <row r="425">
      <c r="A425" s="25"/>
      <c r="B425" s="25"/>
      <c r="C425" s="25"/>
      <c r="D425" s="25"/>
      <c r="E425" s="25"/>
      <c r="F425" s="241"/>
      <c r="G425" s="21" t="b">
        <f t="shared" ref="G425:H425" si="333">ISBLANK(M425)</f>
        <v>1</v>
      </c>
      <c r="H425" s="21" t="b">
        <f t="shared" si="333"/>
        <v>1</v>
      </c>
      <c r="I425" s="25"/>
      <c r="J425" s="25"/>
      <c r="K425" s="25"/>
      <c r="L425" s="25"/>
      <c r="M425" s="16"/>
      <c r="N425" s="16"/>
      <c r="O425" s="25"/>
      <c r="P425" s="25"/>
      <c r="Q425" s="25"/>
      <c r="R425" s="25"/>
      <c r="S425" s="25"/>
      <c r="T425" s="25"/>
      <c r="U425" s="25"/>
      <c r="V425" s="25"/>
      <c r="W425" s="25"/>
      <c r="X425" s="25"/>
      <c r="Y425" s="25"/>
      <c r="Z425" s="25"/>
      <c r="AA425" s="25"/>
      <c r="AB425" s="25"/>
    </row>
    <row r="426">
      <c r="A426" s="25"/>
      <c r="B426" s="25"/>
      <c r="C426" s="25"/>
      <c r="D426" s="25"/>
      <c r="E426" s="25"/>
      <c r="F426" s="241"/>
      <c r="G426" s="21" t="b">
        <f t="shared" ref="G426:H426" si="334">ISBLANK(M426)</f>
        <v>1</v>
      </c>
      <c r="H426" s="21" t="b">
        <f t="shared" si="334"/>
        <v>1</v>
      </c>
      <c r="I426" s="25"/>
      <c r="J426" s="25"/>
      <c r="K426" s="25"/>
      <c r="L426" s="25"/>
      <c r="M426" s="16"/>
      <c r="N426" s="16"/>
      <c r="O426" s="25"/>
      <c r="P426" s="25"/>
      <c r="Q426" s="25"/>
      <c r="R426" s="25"/>
      <c r="S426" s="25"/>
      <c r="T426" s="25"/>
      <c r="U426" s="25"/>
      <c r="V426" s="25"/>
      <c r="W426" s="25"/>
      <c r="X426" s="25"/>
      <c r="Y426" s="25"/>
      <c r="Z426" s="25"/>
      <c r="AA426" s="25"/>
      <c r="AB426" s="25"/>
    </row>
    <row r="427">
      <c r="A427" s="25"/>
      <c r="B427" s="25"/>
      <c r="C427" s="25"/>
      <c r="D427" s="25"/>
      <c r="E427" s="25"/>
      <c r="F427" s="241"/>
      <c r="G427" s="21" t="b">
        <f t="shared" ref="G427:H427" si="335">ISBLANK(M427)</f>
        <v>1</v>
      </c>
      <c r="H427" s="21" t="b">
        <f t="shared" si="335"/>
        <v>1</v>
      </c>
      <c r="I427" s="25"/>
      <c r="J427" s="25"/>
      <c r="K427" s="25"/>
      <c r="L427" s="25"/>
      <c r="M427" s="16"/>
      <c r="N427" s="16"/>
      <c r="O427" s="25"/>
      <c r="P427" s="25"/>
      <c r="Q427" s="25"/>
      <c r="R427" s="25"/>
      <c r="S427" s="25"/>
      <c r="T427" s="25"/>
      <c r="U427" s="25"/>
      <c r="V427" s="25"/>
      <c r="W427" s="25"/>
      <c r="X427" s="25"/>
      <c r="Y427" s="25"/>
      <c r="Z427" s="25"/>
      <c r="AA427" s="25"/>
      <c r="AB427" s="25"/>
    </row>
    <row r="428">
      <c r="A428" s="25"/>
      <c r="B428" s="25"/>
      <c r="C428" s="25"/>
      <c r="D428" s="25"/>
      <c r="E428" s="25"/>
      <c r="F428" s="241"/>
      <c r="G428" s="21" t="b">
        <f t="shared" ref="G428:H428" si="336">ISBLANK(M428)</f>
        <v>1</v>
      </c>
      <c r="H428" s="21" t="b">
        <f t="shared" si="336"/>
        <v>1</v>
      </c>
      <c r="I428" s="25"/>
      <c r="J428" s="25"/>
      <c r="K428" s="25"/>
      <c r="L428" s="25"/>
      <c r="M428" s="16"/>
      <c r="N428" s="16"/>
      <c r="O428" s="25"/>
      <c r="P428" s="25"/>
      <c r="Q428" s="25"/>
      <c r="R428" s="25"/>
      <c r="S428" s="25"/>
      <c r="T428" s="25"/>
      <c r="U428" s="25"/>
      <c r="V428" s="25"/>
      <c r="W428" s="25"/>
      <c r="X428" s="25"/>
      <c r="Y428" s="25"/>
      <c r="Z428" s="25"/>
      <c r="AA428" s="25"/>
      <c r="AB428" s="25"/>
    </row>
    <row r="429">
      <c r="A429" s="25"/>
      <c r="B429" s="25"/>
      <c r="C429" s="25"/>
      <c r="D429" s="25"/>
      <c r="E429" s="25"/>
      <c r="F429" s="241"/>
      <c r="G429" s="21" t="b">
        <f t="shared" ref="G429:H429" si="337">ISBLANK(M429)</f>
        <v>1</v>
      </c>
      <c r="H429" s="21" t="b">
        <f t="shared" si="337"/>
        <v>1</v>
      </c>
      <c r="I429" s="25"/>
      <c r="J429" s="25"/>
      <c r="K429" s="25"/>
      <c r="L429" s="25"/>
      <c r="M429" s="16"/>
      <c r="N429" s="16"/>
      <c r="O429" s="25"/>
      <c r="P429" s="25"/>
      <c r="Q429" s="25"/>
      <c r="R429" s="25"/>
      <c r="S429" s="25"/>
      <c r="T429" s="25"/>
      <c r="U429" s="25"/>
      <c r="V429" s="25"/>
      <c r="W429" s="25"/>
      <c r="X429" s="25"/>
      <c r="Y429" s="25"/>
      <c r="Z429" s="25"/>
      <c r="AA429" s="25"/>
      <c r="AB429" s="25"/>
    </row>
    <row r="430">
      <c r="A430" s="25"/>
      <c r="B430" s="25"/>
      <c r="C430" s="25"/>
      <c r="D430" s="25"/>
      <c r="E430" s="25"/>
      <c r="F430" s="241"/>
      <c r="G430" s="21" t="b">
        <f t="shared" ref="G430:H430" si="338">ISBLANK(M430)</f>
        <v>1</v>
      </c>
      <c r="H430" s="21" t="b">
        <f t="shared" si="338"/>
        <v>1</v>
      </c>
      <c r="I430" s="25"/>
      <c r="J430" s="25"/>
      <c r="K430" s="25"/>
      <c r="L430" s="25"/>
      <c r="M430" s="16"/>
      <c r="N430" s="16"/>
      <c r="O430" s="25"/>
      <c r="P430" s="25"/>
      <c r="Q430" s="25"/>
      <c r="R430" s="25"/>
      <c r="S430" s="25"/>
      <c r="T430" s="25"/>
      <c r="U430" s="25"/>
      <c r="V430" s="25"/>
      <c r="W430" s="25"/>
      <c r="X430" s="25"/>
      <c r="Y430" s="25"/>
      <c r="Z430" s="25"/>
      <c r="AA430" s="25"/>
      <c r="AB430" s="25"/>
    </row>
    <row r="431">
      <c r="A431" s="25"/>
      <c r="B431" s="25"/>
      <c r="C431" s="25"/>
      <c r="D431" s="25"/>
      <c r="E431" s="25"/>
      <c r="F431" s="241"/>
      <c r="G431" s="21" t="b">
        <f t="shared" ref="G431:H431" si="339">ISBLANK(M431)</f>
        <v>1</v>
      </c>
      <c r="H431" s="21" t="b">
        <f t="shared" si="339"/>
        <v>1</v>
      </c>
      <c r="I431" s="25"/>
      <c r="J431" s="25"/>
      <c r="K431" s="25"/>
      <c r="L431" s="25"/>
      <c r="M431" s="16"/>
      <c r="N431" s="16"/>
      <c r="O431" s="25"/>
      <c r="P431" s="25"/>
      <c r="Q431" s="25"/>
      <c r="R431" s="25"/>
      <c r="S431" s="25"/>
      <c r="T431" s="25"/>
      <c r="U431" s="25"/>
      <c r="V431" s="25"/>
      <c r="W431" s="25"/>
      <c r="X431" s="25"/>
      <c r="Y431" s="25"/>
      <c r="Z431" s="25"/>
      <c r="AA431" s="25"/>
      <c r="AB431" s="25"/>
    </row>
    <row r="432">
      <c r="A432" s="25"/>
      <c r="B432" s="25"/>
      <c r="C432" s="25"/>
      <c r="D432" s="25"/>
      <c r="E432" s="25"/>
      <c r="F432" s="241"/>
      <c r="G432" s="21" t="b">
        <f t="shared" ref="G432:H432" si="340">ISBLANK(M432)</f>
        <v>1</v>
      </c>
      <c r="H432" s="21" t="b">
        <f t="shared" si="340"/>
        <v>1</v>
      </c>
      <c r="I432" s="25"/>
      <c r="J432" s="25"/>
      <c r="K432" s="25"/>
      <c r="L432" s="25"/>
      <c r="M432" s="16"/>
      <c r="N432" s="16"/>
      <c r="O432" s="25"/>
      <c r="P432" s="25"/>
      <c r="Q432" s="25"/>
      <c r="R432" s="25"/>
      <c r="S432" s="25"/>
      <c r="T432" s="25"/>
      <c r="U432" s="25"/>
      <c r="V432" s="25"/>
      <c r="W432" s="25"/>
      <c r="X432" s="25"/>
      <c r="Y432" s="25"/>
      <c r="Z432" s="25"/>
      <c r="AA432" s="25"/>
      <c r="AB432" s="25"/>
    </row>
    <row r="433">
      <c r="A433" s="25"/>
      <c r="B433" s="25"/>
      <c r="C433" s="25"/>
      <c r="D433" s="25"/>
      <c r="E433" s="25"/>
      <c r="F433" s="241"/>
      <c r="G433" s="21" t="b">
        <f t="shared" ref="G433:H433" si="341">ISBLANK(M433)</f>
        <v>1</v>
      </c>
      <c r="H433" s="21" t="b">
        <f t="shared" si="341"/>
        <v>1</v>
      </c>
      <c r="I433" s="25"/>
      <c r="J433" s="25"/>
      <c r="K433" s="25"/>
      <c r="L433" s="25"/>
      <c r="M433" s="16"/>
      <c r="N433" s="16"/>
      <c r="O433" s="25"/>
      <c r="P433" s="25"/>
      <c r="Q433" s="25"/>
      <c r="R433" s="25"/>
      <c r="S433" s="25"/>
      <c r="T433" s="25"/>
      <c r="U433" s="25"/>
      <c r="V433" s="25"/>
      <c r="W433" s="25"/>
      <c r="X433" s="25"/>
      <c r="Y433" s="25"/>
      <c r="Z433" s="25"/>
      <c r="AA433" s="25"/>
      <c r="AB433" s="25"/>
    </row>
    <row r="434">
      <c r="A434" s="25"/>
      <c r="B434" s="25"/>
      <c r="C434" s="25"/>
      <c r="D434" s="25"/>
      <c r="E434" s="25"/>
      <c r="F434" s="241"/>
      <c r="G434" s="21" t="b">
        <f t="shared" ref="G434:H434" si="342">ISBLANK(M434)</f>
        <v>1</v>
      </c>
      <c r="H434" s="21" t="b">
        <f t="shared" si="342"/>
        <v>1</v>
      </c>
      <c r="I434" s="25"/>
      <c r="J434" s="25"/>
      <c r="K434" s="25"/>
      <c r="L434" s="25"/>
      <c r="M434" s="16"/>
      <c r="N434" s="16"/>
      <c r="O434" s="25"/>
      <c r="P434" s="25"/>
      <c r="Q434" s="25"/>
      <c r="R434" s="25"/>
      <c r="S434" s="25"/>
      <c r="T434" s="25"/>
      <c r="U434" s="25"/>
      <c r="V434" s="25"/>
      <c r="W434" s="25"/>
      <c r="X434" s="25"/>
      <c r="Y434" s="25"/>
      <c r="Z434" s="25"/>
      <c r="AA434" s="25"/>
      <c r="AB434" s="25"/>
    </row>
    <row r="435">
      <c r="A435" s="25"/>
      <c r="B435" s="25"/>
      <c r="C435" s="25"/>
      <c r="D435" s="25"/>
      <c r="E435" s="25"/>
      <c r="F435" s="241"/>
      <c r="G435" s="21" t="b">
        <f t="shared" ref="G435:H435" si="343">ISBLANK(M435)</f>
        <v>1</v>
      </c>
      <c r="H435" s="21" t="b">
        <f t="shared" si="343"/>
        <v>1</v>
      </c>
      <c r="I435" s="25"/>
      <c r="J435" s="25"/>
      <c r="K435" s="25"/>
      <c r="L435" s="25"/>
      <c r="M435" s="16"/>
      <c r="N435" s="16"/>
      <c r="O435" s="25"/>
      <c r="P435" s="25"/>
      <c r="Q435" s="25"/>
      <c r="R435" s="25"/>
      <c r="S435" s="25"/>
      <c r="T435" s="25"/>
      <c r="U435" s="25"/>
      <c r="V435" s="25"/>
      <c r="W435" s="25"/>
      <c r="X435" s="25"/>
      <c r="Y435" s="25"/>
      <c r="Z435" s="25"/>
      <c r="AA435" s="25"/>
      <c r="AB435" s="25"/>
    </row>
    <row r="436">
      <c r="A436" s="25"/>
      <c r="B436" s="25"/>
      <c r="C436" s="25"/>
      <c r="D436" s="25"/>
      <c r="E436" s="25"/>
      <c r="F436" s="241"/>
      <c r="G436" s="21" t="b">
        <f t="shared" ref="G436:H436" si="344">ISBLANK(M436)</f>
        <v>1</v>
      </c>
      <c r="H436" s="21" t="b">
        <f t="shared" si="344"/>
        <v>1</v>
      </c>
      <c r="I436" s="25"/>
      <c r="J436" s="25"/>
      <c r="K436" s="25"/>
      <c r="L436" s="25"/>
      <c r="M436" s="16"/>
      <c r="N436" s="16"/>
      <c r="O436" s="25"/>
      <c r="P436" s="25"/>
      <c r="Q436" s="25"/>
      <c r="R436" s="25"/>
      <c r="S436" s="25"/>
      <c r="T436" s="25"/>
      <c r="U436" s="25"/>
      <c r="V436" s="25"/>
      <c r="W436" s="25"/>
      <c r="X436" s="25"/>
      <c r="Y436" s="25"/>
      <c r="Z436" s="25"/>
      <c r="AA436" s="25"/>
      <c r="AB436" s="25"/>
    </row>
    <row r="437">
      <c r="A437" s="25"/>
      <c r="B437" s="25"/>
      <c r="C437" s="25"/>
      <c r="D437" s="25"/>
      <c r="E437" s="25"/>
      <c r="F437" s="241"/>
      <c r="G437" s="21" t="b">
        <f t="shared" ref="G437:H437" si="345">ISBLANK(M437)</f>
        <v>1</v>
      </c>
      <c r="H437" s="21" t="b">
        <f t="shared" si="345"/>
        <v>1</v>
      </c>
      <c r="I437" s="25"/>
      <c r="J437" s="25"/>
      <c r="K437" s="25"/>
      <c r="L437" s="25"/>
      <c r="M437" s="16"/>
      <c r="N437" s="16"/>
      <c r="O437" s="25"/>
      <c r="P437" s="25"/>
      <c r="Q437" s="25"/>
      <c r="R437" s="25"/>
      <c r="S437" s="25"/>
      <c r="T437" s="25"/>
      <c r="U437" s="25"/>
      <c r="V437" s="25"/>
      <c r="W437" s="25"/>
      <c r="X437" s="25"/>
      <c r="Y437" s="25"/>
      <c r="Z437" s="25"/>
      <c r="AA437" s="25"/>
      <c r="AB437" s="25"/>
    </row>
    <row r="438">
      <c r="A438" s="25"/>
      <c r="B438" s="25"/>
      <c r="C438" s="25"/>
      <c r="D438" s="25"/>
      <c r="E438" s="25"/>
      <c r="F438" s="241"/>
      <c r="G438" s="21" t="b">
        <f t="shared" ref="G438:H438" si="346">ISBLANK(M438)</f>
        <v>1</v>
      </c>
      <c r="H438" s="21" t="b">
        <f t="shared" si="346"/>
        <v>1</v>
      </c>
      <c r="I438" s="25"/>
      <c r="J438" s="25"/>
      <c r="K438" s="25"/>
      <c r="L438" s="25"/>
      <c r="M438" s="16"/>
      <c r="N438" s="16"/>
      <c r="O438" s="25"/>
      <c r="P438" s="25"/>
      <c r="Q438" s="25"/>
      <c r="R438" s="25"/>
      <c r="S438" s="25"/>
      <c r="T438" s="25"/>
      <c r="U438" s="25"/>
      <c r="V438" s="25"/>
      <c r="W438" s="25"/>
      <c r="X438" s="25"/>
      <c r="Y438" s="25"/>
      <c r="Z438" s="25"/>
      <c r="AA438" s="25"/>
      <c r="AB438" s="25"/>
    </row>
    <row r="439">
      <c r="A439" s="25"/>
      <c r="B439" s="25"/>
      <c r="C439" s="25"/>
      <c r="D439" s="25"/>
      <c r="E439" s="25"/>
      <c r="F439" s="241"/>
      <c r="G439" s="21" t="b">
        <f t="shared" ref="G439:H439" si="347">ISBLANK(M439)</f>
        <v>1</v>
      </c>
      <c r="H439" s="21" t="b">
        <f t="shared" si="347"/>
        <v>1</v>
      </c>
      <c r="I439" s="25"/>
      <c r="J439" s="25"/>
      <c r="K439" s="25"/>
      <c r="L439" s="25"/>
      <c r="M439" s="16"/>
      <c r="N439" s="16"/>
      <c r="O439" s="25"/>
      <c r="P439" s="25"/>
      <c r="Q439" s="25"/>
      <c r="R439" s="25"/>
      <c r="S439" s="25"/>
      <c r="T439" s="25"/>
      <c r="U439" s="25"/>
      <c r="V439" s="25"/>
      <c r="W439" s="25"/>
      <c r="X439" s="25"/>
      <c r="Y439" s="25"/>
      <c r="Z439" s="25"/>
      <c r="AA439" s="25"/>
      <c r="AB439" s="25"/>
    </row>
    <row r="440">
      <c r="A440" s="25"/>
      <c r="B440" s="25"/>
      <c r="C440" s="25"/>
      <c r="D440" s="25"/>
      <c r="E440" s="25"/>
      <c r="F440" s="241"/>
      <c r="G440" s="21" t="b">
        <f t="shared" ref="G440:H440" si="348">ISBLANK(M440)</f>
        <v>1</v>
      </c>
      <c r="H440" s="21" t="b">
        <f t="shared" si="348"/>
        <v>1</v>
      </c>
      <c r="I440" s="25"/>
      <c r="J440" s="25"/>
      <c r="K440" s="25"/>
      <c r="L440" s="25"/>
      <c r="M440" s="16"/>
      <c r="N440" s="16"/>
      <c r="O440" s="25"/>
      <c r="P440" s="25"/>
      <c r="Q440" s="25"/>
      <c r="R440" s="25"/>
      <c r="S440" s="25"/>
      <c r="T440" s="25"/>
      <c r="U440" s="25"/>
      <c r="V440" s="25"/>
      <c r="W440" s="25"/>
      <c r="X440" s="25"/>
      <c r="Y440" s="25"/>
      <c r="Z440" s="25"/>
      <c r="AA440" s="25"/>
      <c r="AB440" s="25"/>
    </row>
    <row r="441">
      <c r="A441" s="25"/>
      <c r="B441" s="25"/>
      <c r="C441" s="25"/>
      <c r="D441" s="25"/>
      <c r="E441" s="25"/>
      <c r="F441" s="241"/>
      <c r="G441" s="21" t="b">
        <f t="shared" ref="G441:H441" si="349">ISBLANK(M441)</f>
        <v>1</v>
      </c>
      <c r="H441" s="21" t="b">
        <f t="shared" si="349"/>
        <v>1</v>
      </c>
      <c r="I441" s="25"/>
      <c r="J441" s="25"/>
      <c r="K441" s="25"/>
      <c r="L441" s="25"/>
      <c r="M441" s="16"/>
      <c r="N441" s="16"/>
      <c r="O441" s="25"/>
      <c r="P441" s="25"/>
      <c r="Q441" s="25"/>
      <c r="R441" s="25"/>
      <c r="S441" s="25"/>
      <c r="T441" s="25"/>
      <c r="U441" s="25"/>
      <c r="V441" s="25"/>
      <c r="W441" s="25"/>
      <c r="X441" s="25"/>
      <c r="Y441" s="25"/>
      <c r="Z441" s="25"/>
      <c r="AA441" s="25"/>
      <c r="AB441" s="25"/>
    </row>
    <row r="442">
      <c r="A442" s="25"/>
      <c r="B442" s="25"/>
      <c r="C442" s="25"/>
      <c r="D442" s="25"/>
      <c r="E442" s="25"/>
      <c r="F442" s="241"/>
      <c r="G442" s="21" t="b">
        <f t="shared" ref="G442:H442" si="350">ISBLANK(M442)</f>
        <v>1</v>
      </c>
      <c r="H442" s="21" t="b">
        <f t="shared" si="350"/>
        <v>1</v>
      </c>
      <c r="I442" s="25"/>
      <c r="J442" s="25"/>
      <c r="K442" s="25"/>
      <c r="L442" s="25"/>
      <c r="M442" s="16"/>
      <c r="N442" s="16"/>
      <c r="O442" s="25"/>
      <c r="P442" s="25"/>
      <c r="Q442" s="25"/>
      <c r="R442" s="25"/>
      <c r="S442" s="25"/>
      <c r="T442" s="25"/>
      <c r="U442" s="25"/>
      <c r="V442" s="25"/>
      <c r="W442" s="25"/>
      <c r="X442" s="25"/>
      <c r="Y442" s="25"/>
      <c r="Z442" s="25"/>
      <c r="AA442" s="25"/>
      <c r="AB442" s="25"/>
    </row>
    <row r="443">
      <c r="A443" s="25"/>
      <c r="B443" s="25"/>
      <c r="C443" s="25"/>
      <c r="D443" s="25"/>
      <c r="E443" s="25"/>
      <c r="F443" s="241"/>
      <c r="G443" s="21" t="b">
        <f t="shared" ref="G443:H443" si="351">ISBLANK(M443)</f>
        <v>1</v>
      </c>
      <c r="H443" s="21" t="b">
        <f t="shared" si="351"/>
        <v>1</v>
      </c>
      <c r="I443" s="25"/>
      <c r="J443" s="25"/>
      <c r="K443" s="25"/>
      <c r="L443" s="25"/>
      <c r="M443" s="16"/>
      <c r="N443" s="16"/>
      <c r="O443" s="25"/>
      <c r="P443" s="25"/>
      <c r="Q443" s="25"/>
      <c r="R443" s="25"/>
      <c r="S443" s="25"/>
      <c r="T443" s="25"/>
      <c r="U443" s="25"/>
      <c r="V443" s="25"/>
      <c r="W443" s="25"/>
      <c r="X443" s="25"/>
      <c r="Y443" s="25"/>
      <c r="Z443" s="25"/>
      <c r="AA443" s="25"/>
      <c r="AB443" s="25"/>
    </row>
    <row r="444">
      <c r="A444" s="25"/>
      <c r="B444" s="25"/>
      <c r="C444" s="25"/>
      <c r="D444" s="25"/>
      <c r="E444" s="25"/>
      <c r="F444" s="241"/>
      <c r="G444" s="21" t="b">
        <f t="shared" ref="G444:H444" si="352">ISBLANK(M444)</f>
        <v>1</v>
      </c>
      <c r="H444" s="21" t="b">
        <f t="shared" si="352"/>
        <v>1</v>
      </c>
      <c r="I444" s="25"/>
      <c r="J444" s="25"/>
      <c r="K444" s="25"/>
      <c r="L444" s="25"/>
      <c r="M444" s="16"/>
      <c r="N444" s="16"/>
      <c r="O444" s="25"/>
      <c r="P444" s="25"/>
      <c r="Q444" s="25"/>
      <c r="R444" s="25"/>
      <c r="S444" s="25"/>
      <c r="T444" s="25"/>
      <c r="U444" s="25"/>
      <c r="V444" s="25"/>
      <c r="W444" s="25"/>
      <c r="X444" s="25"/>
      <c r="Y444" s="25"/>
      <c r="Z444" s="25"/>
      <c r="AA444" s="25"/>
      <c r="AB444" s="25"/>
    </row>
    <row r="445">
      <c r="A445" s="25"/>
      <c r="B445" s="25"/>
      <c r="C445" s="25"/>
      <c r="D445" s="25"/>
      <c r="E445" s="25"/>
      <c r="F445" s="241"/>
      <c r="G445" s="21" t="b">
        <f t="shared" ref="G445:H445" si="353">ISBLANK(M445)</f>
        <v>1</v>
      </c>
      <c r="H445" s="21" t="b">
        <f t="shared" si="353"/>
        <v>1</v>
      </c>
      <c r="I445" s="25"/>
      <c r="J445" s="25"/>
      <c r="K445" s="25"/>
      <c r="L445" s="25"/>
      <c r="M445" s="16"/>
      <c r="N445" s="16"/>
      <c r="O445" s="25"/>
      <c r="P445" s="25"/>
      <c r="Q445" s="25"/>
      <c r="R445" s="25"/>
      <c r="S445" s="25"/>
      <c r="T445" s="25"/>
      <c r="U445" s="25"/>
      <c r="V445" s="25"/>
      <c r="W445" s="25"/>
      <c r="X445" s="25"/>
      <c r="Y445" s="25"/>
      <c r="Z445" s="25"/>
      <c r="AA445" s="25"/>
      <c r="AB445" s="25"/>
    </row>
    <row r="446">
      <c r="A446" s="25"/>
      <c r="B446" s="25"/>
      <c r="C446" s="25"/>
      <c r="D446" s="25"/>
      <c r="E446" s="25"/>
      <c r="F446" s="241"/>
      <c r="G446" s="21" t="b">
        <f t="shared" ref="G446:H446" si="354">ISBLANK(M446)</f>
        <v>1</v>
      </c>
      <c r="H446" s="21" t="b">
        <f t="shared" si="354"/>
        <v>1</v>
      </c>
      <c r="I446" s="25"/>
      <c r="J446" s="25"/>
      <c r="K446" s="25"/>
      <c r="L446" s="25"/>
      <c r="M446" s="16"/>
      <c r="N446" s="16"/>
      <c r="O446" s="25"/>
      <c r="P446" s="25"/>
      <c r="Q446" s="25"/>
      <c r="R446" s="25"/>
      <c r="S446" s="25"/>
      <c r="T446" s="25"/>
      <c r="U446" s="25"/>
      <c r="V446" s="25"/>
      <c r="W446" s="25"/>
      <c r="X446" s="25"/>
      <c r="Y446" s="25"/>
      <c r="Z446" s="25"/>
      <c r="AA446" s="25"/>
      <c r="AB446" s="25"/>
    </row>
    <row r="447">
      <c r="A447" s="25"/>
      <c r="B447" s="25"/>
      <c r="C447" s="25"/>
      <c r="D447" s="25"/>
      <c r="E447" s="25"/>
      <c r="F447" s="241"/>
      <c r="G447" s="21" t="b">
        <f t="shared" ref="G447:H447" si="355">ISBLANK(M447)</f>
        <v>1</v>
      </c>
      <c r="H447" s="21" t="b">
        <f t="shared" si="355"/>
        <v>1</v>
      </c>
      <c r="I447" s="25"/>
      <c r="J447" s="25"/>
      <c r="K447" s="25"/>
      <c r="L447" s="25"/>
      <c r="M447" s="16"/>
      <c r="N447" s="16"/>
      <c r="O447" s="25"/>
      <c r="P447" s="25"/>
      <c r="Q447" s="25"/>
      <c r="R447" s="25"/>
      <c r="S447" s="25"/>
      <c r="T447" s="25"/>
      <c r="U447" s="25"/>
      <c r="V447" s="25"/>
      <c r="W447" s="25"/>
      <c r="X447" s="25"/>
      <c r="Y447" s="25"/>
      <c r="Z447" s="25"/>
      <c r="AA447" s="25"/>
      <c r="AB447" s="25"/>
    </row>
    <row r="448">
      <c r="A448" s="25"/>
      <c r="B448" s="25"/>
      <c r="C448" s="25"/>
      <c r="D448" s="25"/>
      <c r="E448" s="25"/>
      <c r="F448" s="241"/>
      <c r="G448" s="21" t="b">
        <f t="shared" ref="G448:H448" si="356">ISBLANK(M448)</f>
        <v>1</v>
      </c>
      <c r="H448" s="21" t="b">
        <f t="shared" si="356"/>
        <v>1</v>
      </c>
      <c r="I448" s="25"/>
      <c r="J448" s="25"/>
      <c r="K448" s="25"/>
      <c r="L448" s="25"/>
      <c r="M448" s="16"/>
      <c r="N448" s="16"/>
      <c r="O448" s="25"/>
      <c r="P448" s="25"/>
      <c r="Q448" s="25"/>
      <c r="R448" s="25"/>
      <c r="S448" s="25"/>
      <c r="T448" s="25"/>
      <c r="U448" s="25"/>
      <c r="V448" s="25"/>
      <c r="W448" s="25"/>
      <c r="X448" s="25"/>
      <c r="Y448" s="25"/>
      <c r="Z448" s="25"/>
      <c r="AA448" s="25"/>
      <c r="AB448" s="25"/>
    </row>
    <row r="449">
      <c r="A449" s="25"/>
      <c r="B449" s="25"/>
      <c r="C449" s="25"/>
      <c r="D449" s="25"/>
      <c r="E449" s="25"/>
      <c r="F449" s="241"/>
      <c r="G449" s="21" t="b">
        <f t="shared" ref="G449:H449" si="357">ISBLANK(M449)</f>
        <v>1</v>
      </c>
      <c r="H449" s="21" t="b">
        <f t="shared" si="357"/>
        <v>1</v>
      </c>
      <c r="I449" s="25"/>
      <c r="J449" s="25"/>
      <c r="K449" s="25"/>
      <c r="L449" s="25"/>
      <c r="M449" s="16"/>
      <c r="N449" s="16"/>
      <c r="O449" s="25"/>
      <c r="P449" s="25"/>
      <c r="Q449" s="25"/>
      <c r="R449" s="25"/>
      <c r="S449" s="25"/>
      <c r="T449" s="25"/>
      <c r="U449" s="25"/>
      <c r="V449" s="25"/>
      <c r="W449" s="25"/>
      <c r="X449" s="25"/>
      <c r="Y449" s="25"/>
      <c r="Z449" s="25"/>
      <c r="AA449" s="25"/>
      <c r="AB449" s="25"/>
    </row>
    <row r="450">
      <c r="A450" s="25"/>
      <c r="B450" s="25"/>
      <c r="C450" s="25"/>
      <c r="D450" s="25"/>
      <c r="E450" s="25"/>
      <c r="F450" s="241"/>
      <c r="G450" s="21" t="b">
        <f t="shared" ref="G450:H450" si="358">ISBLANK(M450)</f>
        <v>1</v>
      </c>
      <c r="H450" s="21" t="b">
        <f t="shared" si="358"/>
        <v>1</v>
      </c>
      <c r="I450" s="25"/>
      <c r="J450" s="25"/>
      <c r="K450" s="25"/>
      <c r="L450" s="25"/>
      <c r="M450" s="16"/>
      <c r="N450" s="16"/>
      <c r="O450" s="25"/>
      <c r="P450" s="25"/>
      <c r="Q450" s="25"/>
      <c r="R450" s="25"/>
      <c r="S450" s="25"/>
      <c r="T450" s="25"/>
      <c r="U450" s="25"/>
      <c r="V450" s="25"/>
      <c r="W450" s="25"/>
      <c r="X450" s="25"/>
      <c r="Y450" s="25"/>
      <c r="Z450" s="25"/>
      <c r="AA450" s="25"/>
      <c r="AB450" s="25"/>
    </row>
    <row r="451">
      <c r="A451" s="25"/>
      <c r="B451" s="25"/>
      <c r="C451" s="25"/>
      <c r="D451" s="25"/>
      <c r="E451" s="25"/>
      <c r="F451" s="241"/>
      <c r="G451" s="21" t="b">
        <f t="shared" ref="G451:H451" si="359">ISBLANK(M451)</f>
        <v>1</v>
      </c>
      <c r="H451" s="21" t="b">
        <f t="shared" si="359"/>
        <v>1</v>
      </c>
      <c r="I451" s="25"/>
      <c r="J451" s="25"/>
      <c r="K451" s="25"/>
      <c r="L451" s="25"/>
      <c r="M451" s="16"/>
      <c r="N451" s="16"/>
      <c r="O451" s="25"/>
      <c r="P451" s="25"/>
      <c r="Q451" s="25"/>
      <c r="R451" s="25"/>
      <c r="S451" s="25"/>
      <c r="T451" s="25"/>
      <c r="U451" s="25"/>
      <c r="V451" s="25"/>
      <c r="W451" s="25"/>
      <c r="X451" s="25"/>
      <c r="Y451" s="25"/>
      <c r="Z451" s="25"/>
      <c r="AA451" s="25"/>
      <c r="AB451" s="25"/>
    </row>
    <row r="452">
      <c r="A452" s="25"/>
      <c r="B452" s="25"/>
      <c r="C452" s="25"/>
      <c r="D452" s="25"/>
      <c r="E452" s="25"/>
      <c r="F452" s="241"/>
      <c r="G452" s="21" t="b">
        <f t="shared" ref="G452:H452" si="360">ISBLANK(M452)</f>
        <v>1</v>
      </c>
      <c r="H452" s="21" t="b">
        <f t="shared" si="360"/>
        <v>1</v>
      </c>
      <c r="I452" s="25"/>
      <c r="J452" s="25"/>
      <c r="K452" s="25"/>
      <c r="L452" s="25"/>
      <c r="M452" s="16"/>
      <c r="N452" s="16"/>
      <c r="O452" s="25"/>
      <c r="P452" s="25"/>
      <c r="Q452" s="25"/>
      <c r="R452" s="25"/>
      <c r="S452" s="25"/>
      <c r="T452" s="25"/>
      <c r="U452" s="25"/>
      <c r="V452" s="25"/>
      <c r="W452" s="25"/>
      <c r="X452" s="25"/>
      <c r="Y452" s="25"/>
      <c r="Z452" s="25"/>
      <c r="AA452" s="25"/>
      <c r="AB452" s="25"/>
    </row>
    <row r="453">
      <c r="A453" s="25"/>
      <c r="B453" s="25"/>
      <c r="C453" s="25"/>
      <c r="D453" s="25"/>
      <c r="E453" s="25"/>
      <c r="F453" s="241"/>
      <c r="G453" s="21" t="b">
        <f t="shared" ref="G453:H453" si="361">ISBLANK(M453)</f>
        <v>1</v>
      </c>
      <c r="H453" s="21" t="b">
        <f t="shared" si="361"/>
        <v>1</v>
      </c>
      <c r="I453" s="25"/>
      <c r="J453" s="25"/>
      <c r="K453" s="25"/>
      <c r="L453" s="25"/>
      <c r="M453" s="16"/>
      <c r="N453" s="16"/>
      <c r="O453" s="25"/>
      <c r="P453" s="25"/>
      <c r="Q453" s="25"/>
      <c r="R453" s="25"/>
      <c r="S453" s="25"/>
      <c r="T453" s="25"/>
      <c r="U453" s="25"/>
      <c r="V453" s="25"/>
      <c r="W453" s="25"/>
      <c r="X453" s="25"/>
      <c r="Y453" s="25"/>
      <c r="Z453" s="25"/>
      <c r="AA453" s="25"/>
      <c r="AB453" s="25"/>
    </row>
    <row r="454">
      <c r="A454" s="25"/>
      <c r="B454" s="25"/>
      <c r="C454" s="25"/>
      <c r="D454" s="25"/>
      <c r="E454" s="25"/>
      <c r="F454" s="241"/>
      <c r="G454" s="21" t="b">
        <f t="shared" ref="G454:H454" si="362">ISBLANK(M454)</f>
        <v>1</v>
      </c>
      <c r="H454" s="21" t="b">
        <f t="shared" si="362"/>
        <v>1</v>
      </c>
      <c r="I454" s="25"/>
      <c r="J454" s="25"/>
      <c r="K454" s="25"/>
      <c r="L454" s="25"/>
      <c r="M454" s="16"/>
      <c r="N454" s="16"/>
      <c r="O454" s="25"/>
      <c r="P454" s="25"/>
      <c r="Q454" s="25"/>
      <c r="R454" s="25"/>
      <c r="S454" s="25"/>
      <c r="T454" s="25"/>
      <c r="U454" s="25"/>
      <c r="V454" s="25"/>
      <c r="W454" s="25"/>
      <c r="X454" s="25"/>
      <c r="Y454" s="25"/>
      <c r="Z454" s="25"/>
      <c r="AA454" s="25"/>
      <c r="AB454" s="25"/>
    </row>
    <row r="455">
      <c r="A455" s="25"/>
      <c r="B455" s="25"/>
      <c r="C455" s="25"/>
      <c r="D455" s="25"/>
      <c r="E455" s="25"/>
      <c r="F455" s="241"/>
      <c r="G455" s="21" t="b">
        <f t="shared" ref="G455:H455" si="363">ISBLANK(M455)</f>
        <v>1</v>
      </c>
      <c r="H455" s="21" t="b">
        <f t="shared" si="363"/>
        <v>1</v>
      </c>
      <c r="I455" s="25"/>
      <c r="J455" s="25"/>
      <c r="K455" s="25"/>
      <c r="L455" s="25"/>
      <c r="M455" s="16"/>
      <c r="N455" s="16"/>
      <c r="O455" s="25"/>
      <c r="P455" s="25"/>
      <c r="Q455" s="25"/>
      <c r="R455" s="25"/>
      <c r="S455" s="25"/>
      <c r="T455" s="25"/>
      <c r="U455" s="25"/>
      <c r="V455" s="25"/>
      <c r="W455" s="25"/>
      <c r="X455" s="25"/>
      <c r="Y455" s="25"/>
      <c r="Z455" s="25"/>
      <c r="AA455" s="25"/>
      <c r="AB455" s="25"/>
    </row>
    <row r="456">
      <c r="A456" s="25"/>
      <c r="B456" s="25"/>
      <c r="C456" s="25"/>
      <c r="D456" s="25"/>
      <c r="E456" s="25"/>
      <c r="F456" s="241"/>
      <c r="G456" s="21" t="b">
        <f t="shared" ref="G456:H456" si="364">ISBLANK(M456)</f>
        <v>1</v>
      </c>
      <c r="H456" s="21" t="b">
        <f t="shared" si="364"/>
        <v>1</v>
      </c>
      <c r="I456" s="25"/>
      <c r="J456" s="25"/>
      <c r="K456" s="25"/>
      <c r="L456" s="25"/>
      <c r="M456" s="16"/>
      <c r="N456" s="16"/>
      <c r="O456" s="25"/>
      <c r="P456" s="25"/>
      <c r="Q456" s="25"/>
      <c r="R456" s="25"/>
      <c r="S456" s="25"/>
      <c r="T456" s="25"/>
      <c r="U456" s="25"/>
      <c r="V456" s="25"/>
      <c r="W456" s="25"/>
      <c r="X456" s="25"/>
      <c r="Y456" s="25"/>
      <c r="Z456" s="25"/>
      <c r="AA456" s="25"/>
      <c r="AB456" s="25"/>
    </row>
    <row r="457">
      <c r="A457" s="25"/>
      <c r="B457" s="25"/>
      <c r="C457" s="25"/>
      <c r="D457" s="25"/>
      <c r="E457" s="25"/>
      <c r="F457" s="241"/>
      <c r="G457" s="21" t="b">
        <f t="shared" ref="G457:H457" si="365">ISBLANK(M457)</f>
        <v>1</v>
      </c>
      <c r="H457" s="21" t="b">
        <f t="shared" si="365"/>
        <v>1</v>
      </c>
      <c r="I457" s="25"/>
      <c r="J457" s="25"/>
      <c r="K457" s="25"/>
      <c r="L457" s="25"/>
      <c r="M457" s="16"/>
      <c r="N457" s="16"/>
      <c r="O457" s="25"/>
      <c r="P457" s="25"/>
      <c r="Q457" s="25"/>
      <c r="R457" s="25"/>
      <c r="S457" s="25"/>
      <c r="T457" s="25"/>
      <c r="U457" s="25"/>
      <c r="V457" s="25"/>
      <c r="W457" s="25"/>
      <c r="X457" s="25"/>
      <c r="Y457" s="25"/>
      <c r="Z457" s="25"/>
      <c r="AA457" s="25"/>
      <c r="AB457" s="25"/>
    </row>
    <row r="458">
      <c r="A458" s="25"/>
      <c r="B458" s="25"/>
      <c r="C458" s="25"/>
      <c r="D458" s="25"/>
      <c r="E458" s="25"/>
      <c r="F458" s="241"/>
      <c r="G458" s="21" t="b">
        <f t="shared" ref="G458:H458" si="366">ISBLANK(M458)</f>
        <v>1</v>
      </c>
      <c r="H458" s="21" t="b">
        <f t="shared" si="366"/>
        <v>1</v>
      </c>
      <c r="I458" s="25"/>
      <c r="J458" s="25"/>
      <c r="K458" s="25"/>
      <c r="L458" s="25"/>
      <c r="M458" s="16"/>
      <c r="N458" s="16"/>
      <c r="O458" s="25"/>
      <c r="P458" s="25"/>
      <c r="Q458" s="25"/>
      <c r="R458" s="25"/>
      <c r="S458" s="25"/>
      <c r="T458" s="25"/>
      <c r="U458" s="25"/>
      <c r="V458" s="25"/>
      <c r="W458" s="25"/>
      <c r="X458" s="25"/>
      <c r="Y458" s="25"/>
      <c r="Z458" s="25"/>
      <c r="AA458" s="25"/>
      <c r="AB458" s="25"/>
    </row>
    <row r="459">
      <c r="A459" s="25"/>
      <c r="B459" s="25"/>
      <c r="C459" s="25"/>
      <c r="D459" s="25"/>
      <c r="E459" s="25"/>
      <c r="F459" s="241"/>
      <c r="G459" s="21" t="b">
        <f t="shared" ref="G459:H459" si="367">ISBLANK(M459)</f>
        <v>1</v>
      </c>
      <c r="H459" s="21" t="b">
        <f t="shared" si="367"/>
        <v>1</v>
      </c>
      <c r="I459" s="25"/>
      <c r="J459" s="25"/>
      <c r="K459" s="25"/>
      <c r="L459" s="25"/>
      <c r="M459" s="16"/>
      <c r="N459" s="16"/>
      <c r="O459" s="25"/>
      <c r="P459" s="25"/>
      <c r="Q459" s="25"/>
      <c r="R459" s="25"/>
      <c r="S459" s="25"/>
      <c r="T459" s="25"/>
      <c r="U459" s="25"/>
      <c r="V459" s="25"/>
      <c r="W459" s="25"/>
      <c r="X459" s="25"/>
      <c r="Y459" s="25"/>
      <c r="Z459" s="25"/>
      <c r="AA459" s="25"/>
      <c r="AB459" s="25"/>
    </row>
    <row r="460">
      <c r="A460" s="25"/>
      <c r="B460" s="25"/>
      <c r="C460" s="25"/>
      <c r="D460" s="25"/>
      <c r="E460" s="25"/>
      <c r="F460" s="241"/>
      <c r="G460" s="21" t="b">
        <f t="shared" ref="G460:H460" si="368">ISBLANK(M460)</f>
        <v>1</v>
      </c>
      <c r="H460" s="21" t="b">
        <f t="shared" si="368"/>
        <v>1</v>
      </c>
      <c r="I460" s="25"/>
      <c r="J460" s="25"/>
      <c r="K460" s="25"/>
      <c r="L460" s="25"/>
      <c r="M460" s="16"/>
      <c r="N460" s="16"/>
      <c r="O460" s="25"/>
      <c r="P460" s="25"/>
      <c r="Q460" s="25"/>
      <c r="R460" s="25"/>
      <c r="S460" s="25"/>
      <c r="T460" s="25"/>
      <c r="U460" s="25"/>
      <c r="V460" s="25"/>
      <c r="W460" s="25"/>
      <c r="X460" s="25"/>
      <c r="Y460" s="25"/>
      <c r="Z460" s="25"/>
      <c r="AA460" s="25"/>
      <c r="AB460" s="25"/>
    </row>
    <row r="461">
      <c r="A461" s="25"/>
      <c r="B461" s="25"/>
      <c r="C461" s="25"/>
      <c r="D461" s="25"/>
      <c r="E461" s="25"/>
      <c r="F461" s="241"/>
      <c r="G461" s="21" t="b">
        <f t="shared" ref="G461:H461" si="369">ISBLANK(M461)</f>
        <v>1</v>
      </c>
      <c r="H461" s="21" t="b">
        <f t="shared" si="369"/>
        <v>1</v>
      </c>
      <c r="I461" s="25"/>
      <c r="J461" s="25"/>
      <c r="K461" s="25"/>
      <c r="L461" s="25"/>
      <c r="M461" s="16"/>
      <c r="N461" s="16"/>
      <c r="O461" s="25"/>
      <c r="P461" s="25"/>
      <c r="Q461" s="25"/>
      <c r="R461" s="25"/>
      <c r="S461" s="25"/>
      <c r="T461" s="25"/>
      <c r="U461" s="25"/>
      <c r="V461" s="25"/>
      <c r="W461" s="25"/>
      <c r="X461" s="25"/>
      <c r="Y461" s="25"/>
      <c r="Z461" s="25"/>
      <c r="AA461" s="25"/>
      <c r="AB461" s="25"/>
    </row>
    <row r="462">
      <c r="A462" s="25"/>
      <c r="B462" s="25"/>
      <c r="C462" s="25"/>
      <c r="D462" s="25"/>
      <c r="E462" s="25"/>
      <c r="F462" s="241"/>
      <c r="G462" s="21" t="b">
        <f t="shared" ref="G462:H462" si="370">ISBLANK(M462)</f>
        <v>1</v>
      </c>
      <c r="H462" s="21" t="b">
        <f t="shared" si="370"/>
        <v>1</v>
      </c>
      <c r="I462" s="25"/>
      <c r="J462" s="25"/>
      <c r="K462" s="25"/>
      <c r="L462" s="25"/>
      <c r="M462" s="16"/>
      <c r="N462" s="16"/>
      <c r="O462" s="25"/>
      <c r="P462" s="25"/>
      <c r="Q462" s="25"/>
      <c r="R462" s="25"/>
      <c r="S462" s="25"/>
      <c r="T462" s="25"/>
      <c r="U462" s="25"/>
      <c r="V462" s="25"/>
      <c r="W462" s="25"/>
      <c r="X462" s="25"/>
      <c r="Y462" s="25"/>
      <c r="Z462" s="25"/>
      <c r="AA462" s="25"/>
      <c r="AB462" s="25"/>
    </row>
    <row r="463">
      <c r="A463" s="25"/>
      <c r="B463" s="25"/>
      <c r="C463" s="25"/>
      <c r="D463" s="25"/>
      <c r="E463" s="25"/>
      <c r="F463" s="241"/>
      <c r="G463" s="21" t="b">
        <f t="shared" ref="G463:H463" si="371">ISBLANK(M463)</f>
        <v>1</v>
      </c>
      <c r="H463" s="21" t="b">
        <f t="shared" si="371"/>
        <v>1</v>
      </c>
      <c r="I463" s="25"/>
      <c r="J463" s="25"/>
      <c r="K463" s="25"/>
      <c r="L463" s="25"/>
      <c r="M463" s="16"/>
      <c r="N463" s="16"/>
      <c r="O463" s="25"/>
      <c r="P463" s="25"/>
      <c r="Q463" s="25"/>
      <c r="R463" s="25"/>
      <c r="S463" s="25"/>
      <c r="T463" s="25"/>
      <c r="U463" s="25"/>
      <c r="V463" s="25"/>
      <c r="W463" s="25"/>
      <c r="X463" s="25"/>
      <c r="Y463" s="25"/>
      <c r="Z463" s="25"/>
      <c r="AA463" s="25"/>
      <c r="AB463" s="25"/>
    </row>
    <row r="464">
      <c r="A464" s="25"/>
      <c r="B464" s="25"/>
      <c r="C464" s="25"/>
      <c r="D464" s="25"/>
      <c r="E464" s="25"/>
      <c r="F464" s="241"/>
      <c r="G464" s="21" t="b">
        <f t="shared" ref="G464:H464" si="372">ISBLANK(M464)</f>
        <v>1</v>
      </c>
      <c r="H464" s="21" t="b">
        <f t="shared" si="372"/>
        <v>1</v>
      </c>
      <c r="I464" s="25"/>
      <c r="J464" s="25"/>
      <c r="K464" s="25"/>
      <c r="L464" s="25"/>
      <c r="M464" s="16"/>
      <c r="N464" s="16"/>
      <c r="O464" s="25"/>
      <c r="P464" s="25"/>
      <c r="Q464" s="25"/>
      <c r="R464" s="25"/>
      <c r="S464" s="25"/>
      <c r="T464" s="25"/>
      <c r="U464" s="25"/>
      <c r="V464" s="25"/>
      <c r="W464" s="25"/>
      <c r="X464" s="25"/>
      <c r="Y464" s="25"/>
      <c r="Z464" s="25"/>
      <c r="AA464" s="25"/>
      <c r="AB464" s="25"/>
    </row>
    <row r="465">
      <c r="A465" s="25"/>
      <c r="B465" s="25"/>
      <c r="C465" s="25"/>
      <c r="D465" s="25"/>
      <c r="E465" s="25"/>
      <c r="F465" s="241"/>
      <c r="G465" s="21" t="b">
        <f t="shared" ref="G465:H465" si="373">ISBLANK(M465)</f>
        <v>1</v>
      </c>
      <c r="H465" s="21" t="b">
        <f t="shared" si="373"/>
        <v>1</v>
      </c>
      <c r="I465" s="25"/>
      <c r="J465" s="25"/>
      <c r="K465" s="25"/>
      <c r="L465" s="25"/>
      <c r="M465" s="16"/>
      <c r="N465" s="16"/>
      <c r="O465" s="25"/>
      <c r="P465" s="25"/>
      <c r="Q465" s="25"/>
      <c r="R465" s="25"/>
      <c r="S465" s="25"/>
      <c r="T465" s="25"/>
      <c r="U465" s="25"/>
      <c r="V465" s="25"/>
      <c r="W465" s="25"/>
      <c r="X465" s="25"/>
      <c r="Y465" s="25"/>
      <c r="Z465" s="25"/>
      <c r="AA465" s="25"/>
      <c r="AB465" s="25"/>
    </row>
    <row r="466">
      <c r="A466" s="25"/>
      <c r="B466" s="25"/>
      <c r="C466" s="25"/>
      <c r="D466" s="25"/>
      <c r="E466" s="25"/>
      <c r="F466" s="241"/>
      <c r="G466" s="21" t="b">
        <f t="shared" ref="G466:H466" si="374">ISBLANK(M466)</f>
        <v>1</v>
      </c>
      <c r="H466" s="21" t="b">
        <f t="shared" si="374"/>
        <v>1</v>
      </c>
      <c r="I466" s="25"/>
      <c r="J466" s="25"/>
      <c r="K466" s="25"/>
      <c r="L466" s="25"/>
      <c r="M466" s="16"/>
      <c r="N466" s="16"/>
      <c r="O466" s="25"/>
      <c r="P466" s="25"/>
      <c r="Q466" s="25"/>
      <c r="R466" s="25"/>
      <c r="S466" s="25"/>
      <c r="T466" s="25"/>
      <c r="U466" s="25"/>
      <c r="V466" s="25"/>
      <c r="W466" s="25"/>
      <c r="X466" s="25"/>
      <c r="Y466" s="25"/>
      <c r="Z466" s="25"/>
      <c r="AA466" s="25"/>
      <c r="AB466" s="25"/>
    </row>
    <row r="467">
      <c r="A467" s="25"/>
      <c r="B467" s="25"/>
      <c r="C467" s="25"/>
      <c r="D467" s="25"/>
      <c r="E467" s="25"/>
      <c r="F467" s="241"/>
      <c r="G467" s="21" t="b">
        <f t="shared" ref="G467:H467" si="375">ISBLANK(M467)</f>
        <v>1</v>
      </c>
      <c r="H467" s="21" t="b">
        <f t="shared" si="375"/>
        <v>1</v>
      </c>
      <c r="I467" s="25"/>
      <c r="J467" s="25"/>
      <c r="K467" s="25"/>
      <c r="L467" s="25"/>
      <c r="M467" s="16"/>
      <c r="N467" s="16"/>
      <c r="O467" s="25"/>
      <c r="P467" s="25"/>
      <c r="Q467" s="25"/>
      <c r="R467" s="25"/>
      <c r="S467" s="25"/>
      <c r="T467" s="25"/>
      <c r="U467" s="25"/>
      <c r="V467" s="25"/>
      <c r="W467" s="25"/>
      <c r="X467" s="25"/>
      <c r="Y467" s="25"/>
      <c r="Z467" s="25"/>
      <c r="AA467" s="25"/>
      <c r="AB467" s="25"/>
    </row>
    <row r="468">
      <c r="A468" s="25"/>
      <c r="B468" s="25"/>
      <c r="C468" s="25"/>
      <c r="D468" s="25"/>
      <c r="E468" s="25"/>
      <c r="F468" s="241"/>
      <c r="G468" s="21" t="b">
        <f t="shared" ref="G468:H468" si="376">ISBLANK(M468)</f>
        <v>1</v>
      </c>
      <c r="H468" s="21" t="b">
        <f t="shared" si="376"/>
        <v>1</v>
      </c>
      <c r="I468" s="25"/>
      <c r="J468" s="25"/>
      <c r="K468" s="25"/>
      <c r="L468" s="25"/>
      <c r="M468" s="16"/>
      <c r="N468" s="16"/>
      <c r="O468" s="25"/>
      <c r="P468" s="25"/>
      <c r="Q468" s="25"/>
      <c r="R468" s="25"/>
      <c r="S468" s="25"/>
      <c r="T468" s="25"/>
      <c r="U468" s="25"/>
      <c r="V468" s="25"/>
      <c r="W468" s="25"/>
      <c r="X468" s="25"/>
      <c r="Y468" s="25"/>
      <c r="Z468" s="25"/>
      <c r="AA468" s="25"/>
      <c r="AB468" s="25"/>
    </row>
    <row r="469">
      <c r="A469" s="25"/>
      <c r="B469" s="25"/>
      <c r="C469" s="25"/>
      <c r="D469" s="25"/>
      <c r="E469" s="25"/>
      <c r="F469" s="241"/>
      <c r="G469" s="21" t="b">
        <f t="shared" ref="G469:H469" si="377">ISBLANK(M469)</f>
        <v>1</v>
      </c>
      <c r="H469" s="21" t="b">
        <f t="shared" si="377"/>
        <v>1</v>
      </c>
      <c r="I469" s="25"/>
      <c r="J469" s="25"/>
      <c r="K469" s="25"/>
      <c r="L469" s="25"/>
      <c r="M469" s="16"/>
      <c r="N469" s="16"/>
      <c r="O469" s="25"/>
      <c r="P469" s="25"/>
      <c r="Q469" s="25"/>
      <c r="R469" s="25"/>
      <c r="S469" s="25"/>
      <c r="T469" s="25"/>
      <c r="U469" s="25"/>
      <c r="V469" s="25"/>
      <c r="W469" s="25"/>
      <c r="X469" s="25"/>
      <c r="Y469" s="25"/>
      <c r="Z469" s="25"/>
      <c r="AA469" s="25"/>
      <c r="AB469" s="25"/>
    </row>
    <row r="470">
      <c r="A470" s="25"/>
      <c r="B470" s="25"/>
      <c r="C470" s="25"/>
      <c r="D470" s="25"/>
      <c r="E470" s="25"/>
      <c r="F470" s="241"/>
      <c r="G470" s="21" t="b">
        <f t="shared" ref="G470:H470" si="378">ISBLANK(M470)</f>
        <v>1</v>
      </c>
      <c r="H470" s="21" t="b">
        <f t="shared" si="378"/>
        <v>1</v>
      </c>
      <c r="I470" s="25"/>
      <c r="J470" s="25"/>
      <c r="K470" s="25"/>
      <c r="L470" s="25"/>
      <c r="M470" s="16"/>
      <c r="N470" s="16"/>
      <c r="O470" s="25"/>
      <c r="P470" s="25"/>
      <c r="Q470" s="25"/>
      <c r="R470" s="25"/>
      <c r="S470" s="25"/>
      <c r="T470" s="25"/>
      <c r="U470" s="25"/>
      <c r="V470" s="25"/>
      <c r="W470" s="25"/>
      <c r="X470" s="25"/>
      <c r="Y470" s="25"/>
      <c r="Z470" s="25"/>
      <c r="AA470" s="25"/>
      <c r="AB470" s="25"/>
    </row>
    <row r="471">
      <c r="A471" s="25"/>
      <c r="B471" s="25"/>
      <c r="C471" s="25"/>
      <c r="D471" s="25"/>
      <c r="E471" s="25"/>
      <c r="F471" s="241"/>
      <c r="G471" s="21" t="b">
        <f t="shared" ref="G471:H471" si="379">ISBLANK(M471)</f>
        <v>1</v>
      </c>
      <c r="H471" s="21" t="b">
        <f t="shared" si="379"/>
        <v>1</v>
      </c>
      <c r="I471" s="25"/>
      <c r="J471" s="25"/>
      <c r="K471" s="25"/>
      <c r="L471" s="25"/>
      <c r="M471" s="16"/>
      <c r="N471" s="16"/>
      <c r="O471" s="25"/>
      <c r="P471" s="25"/>
      <c r="Q471" s="25"/>
      <c r="R471" s="25"/>
      <c r="S471" s="25"/>
      <c r="T471" s="25"/>
      <c r="U471" s="25"/>
      <c r="V471" s="25"/>
      <c r="W471" s="25"/>
      <c r="X471" s="25"/>
      <c r="Y471" s="25"/>
      <c r="Z471" s="25"/>
      <c r="AA471" s="25"/>
      <c r="AB471" s="25"/>
    </row>
    <row r="472">
      <c r="A472" s="25"/>
      <c r="B472" s="25"/>
      <c r="C472" s="25"/>
      <c r="D472" s="25"/>
      <c r="E472" s="25"/>
      <c r="F472" s="241"/>
      <c r="G472" s="21" t="b">
        <f t="shared" ref="G472:H472" si="380">ISBLANK(M472)</f>
        <v>1</v>
      </c>
      <c r="H472" s="21" t="b">
        <f t="shared" si="380"/>
        <v>1</v>
      </c>
      <c r="I472" s="25"/>
      <c r="J472" s="25"/>
      <c r="K472" s="25"/>
      <c r="L472" s="25"/>
      <c r="M472" s="16"/>
      <c r="N472" s="16"/>
      <c r="O472" s="25"/>
      <c r="P472" s="25"/>
      <c r="Q472" s="25"/>
      <c r="R472" s="25"/>
      <c r="S472" s="25"/>
      <c r="T472" s="25"/>
      <c r="U472" s="25"/>
      <c r="V472" s="25"/>
      <c r="W472" s="25"/>
      <c r="X472" s="25"/>
      <c r="Y472" s="25"/>
      <c r="Z472" s="25"/>
      <c r="AA472" s="25"/>
      <c r="AB472" s="25"/>
    </row>
    <row r="473">
      <c r="A473" s="25"/>
      <c r="B473" s="25"/>
      <c r="C473" s="25"/>
      <c r="D473" s="25"/>
      <c r="E473" s="25"/>
      <c r="F473" s="241"/>
      <c r="G473" s="21" t="b">
        <f t="shared" ref="G473:H473" si="381">ISBLANK(M473)</f>
        <v>1</v>
      </c>
      <c r="H473" s="21" t="b">
        <f t="shared" si="381"/>
        <v>1</v>
      </c>
      <c r="I473" s="25"/>
      <c r="J473" s="25"/>
      <c r="K473" s="25"/>
      <c r="L473" s="25"/>
      <c r="M473" s="16"/>
      <c r="N473" s="16"/>
      <c r="O473" s="25"/>
      <c r="P473" s="25"/>
      <c r="Q473" s="25"/>
      <c r="R473" s="25"/>
      <c r="S473" s="25"/>
      <c r="T473" s="25"/>
      <c r="U473" s="25"/>
      <c r="V473" s="25"/>
      <c r="W473" s="25"/>
      <c r="X473" s="25"/>
      <c r="Y473" s="25"/>
      <c r="Z473" s="25"/>
      <c r="AA473" s="25"/>
      <c r="AB473" s="25"/>
    </row>
    <row r="474">
      <c r="A474" s="25"/>
      <c r="B474" s="25"/>
      <c r="C474" s="25"/>
      <c r="D474" s="25"/>
      <c r="E474" s="25"/>
      <c r="F474" s="241"/>
      <c r="G474" s="21" t="b">
        <f t="shared" ref="G474:H474" si="382">ISBLANK(M474)</f>
        <v>1</v>
      </c>
      <c r="H474" s="21" t="b">
        <f t="shared" si="382"/>
        <v>1</v>
      </c>
      <c r="I474" s="25"/>
      <c r="J474" s="25"/>
      <c r="K474" s="25"/>
      <c r="L474" s="25"/>
      <c r="M474" s="16"/>
      <c r="N474" s="16"/>
      <c r="O474" s="25"/>
      <c r="P474" s="25"/>
      <c r="Q474" s="25"/>
      <c r="R474" s="25"/>
      <c r="S474" s="25"/>
      <c r="T474" s="25"/>
      <c r="U474" s="25"/>
      <c r="V474" s="25"/>
      <c r="W474" s="25"/>
      <c r="X474" s="25"/>
      <c r="Y474" s="25"/>
      <c r="Z474" s="25"/>
      <c r="AA474" s="25"/>
      <c r="AB474" s="25"/>
    </row>
    <row r="475">
      <c r="A475" s="25"/>
      <c r="B475" s="25"/>
      <c r="C475" s="25"/>
      <c r="D475" s="25"/>
      <c r="E475" s="25"/>
      <c r="F475" s="241"/>
      <c r="G475" s="21" t="b">
        <f t="shared" ref="G475:H475" si="383">ISBLANK(M475)</f>
        <v>1</v>
      </c>
      <c r="H475" s="21" t="b">
        <f t="shared" si="383"/>
        <v>1</v>
      </c>
      <c r="I475" s="25"/>
      <c r="J475" s="25"/>
      <c r="K475" s="25"/>
      <c r="L475" s="25"/>
      <c r="M475" s="16"/>
      <c r="N475" s="16"/>
      <c r="O475" s="25"/>
      <c r="P475" s="25"/>
      <c r="Q475" s="25"/>
      <c r="R475" s="25"/>
      <c r="S475" s="25"/>
      <c r="T475" s="25"/>
      <c r="U475" s="25"/>
      <c r="V475" s="25"/>
      <c r="W475" s="25"/>
      <c r="X475" s="25"/>
      <c r="Y475" s="25"/>
      <c r="Z475" s="25"/>
      <c r="AA475" s="25"/>
      <c r="AB475" s="25"/>
    </row>
    <row r="476">
      <c r="A476" s="25"/>
      <c r="B476" s="25"/>
      <c r="C476" s="25"/>
      <c r="D476" s="25"/>
      <c r="E476" s="25"/>
      <c r="F476" s="241"/>
      <c r="G476" s="21" t="b">
        <f t="shared" ref="G476:H476" si="384">ISBLANK(M476)</f>
        <v>1</v>
      </c>
      <c r="H476" s="21" t="b">
        <f t="shared" si="384"/>
        <v>1</v>
      </c>
      <c r="I476" s="25"/>
      <c r="J476" s="25"/>
      <c r="K476" s="25"/>
      <c r="L476" s="25"/>
      <c r="M476" s="16"/>
      <c r="N476" s="16"/>
      <c r="O476" s="25"/>
      <c r="P476" s="25"/>
      <c r="Q476" s="25"/>
      <c r="R476" s="25"/>
      <c r="S476" s="25"/>
      <c r="T476" s="25"/>
      <c r="U476" s="25"/>
      <c r="V476" s="25"/>
      <c r="W476" s="25"/>
      <c r="X476" s="25"/>
      <c r="Y476" s="25"/>
      <c r="Z476" s="25"/>
      <c r="AA476" s="25"/>
      <c r="AB476" s="25"/>
    </row>
    <row r="477">
      <c r="A477" s="25"/>
      <c r="B477" s="25"/>
      <c r="C477" s="25"/>
      <c r="D477" s="25"/>
      <c r="E477" s="25"/>
      <c r="F477" s="241"/>
      <c r="G477" s="21" t="b">
        <f t="shared" ref="G477:H477" si="385">ISBLANK(M477)</f>
        <v>1</v>
      </c>
      <c r="H477" s="21" t="b">
        <f t="shared" si="385"/>
        <v>1</v>
      </c>
      <c r="I477" s="25"/>
      <c r="J477" s="25"/>
      <c r="K477" s="25"/>
      <c r="L477" s="25"/>
      <c r="M477" s="16"/>
      <c r="N477" s="16"/>
      <c r="O477" s="25"/>
      <c r="P477" s="25"/>
      <c r="Q477" s="25"/>
      <c r="R477" s="25"/>
      <c r="S477" s="25"/>
      <c r="T477" s="25"/>
      <c r="U477" s="25"/>
      <c r="V477" s="25"/>
      <c r="W477" s="25"/>
      <c r="X477" s="25"/>
      <c r="Y477" s="25"/>
      <c r="Z477" s="25"/>
      <c r="AA477" s="25"/>
      <c r="AB477" s="25"/>
    </row>
    <row r="478">
      <c r="A478" s="25"/>
      <c r="B478" s="25"/>
      <c r="C478" s="25"/>
      <c r="D478" s="25"/>
      <c r="E478" s="25"/>
      <c r="F478" s="241"/>
      <c r="G478" s="21" t="b">
        <f t="shared" ref="G478:H478" si="386">ISBLANK(M478)</f>
        <v>1</v>
      </c>
      <c r="H478" s="21" t="b">
        <f t="shared" si="386"/>
        <v>1</v>
      </c>
      <c r="I478" s="25"/>
      <c r="J478" s="25"/>
      <c r="K478" s="25"/>
      <c r="L478" s="25"/>
      <c r="M478" s="16"/>
      <c r="N478" s="16"/>
      <c r="O478" s="25"/>
      <c r="P478" s="25"/>
      <c r="Q478" s="25"/>
      <c r="R478" s="25"/>
      <c r="S478" s="25"/>
      <c r="T478" s="25"/>
      <c r="U478" s="25"/>
      <c r="V478" s="25"/>
      <c r="W478" s="25"/>
      <c r="X478" s="25"/>
      <c r="Y478" s="25"/>
      <c r="Z478" s="25"/>
      <c r="AA478" s="25"/>
      <c r="AB478" s="25"/>
    </row>
    <row r="479">
      <c r="A479" s="25"/>
      <c r="B479" s="25"/>
      <c r="C479" s="25"/>
      <c r="D479" s="25"/>
      <c r="E479" s="25"/>
      <c r="F479" s="241"/>
      <c r="G479" s="21" t="b">
        <f t="shared" ref="G479:H479" si="387">ISBLANK(M479)</f>
        <v>1</v>
      </c>
      <c r="H479" s="21" t="b">
        <f t="shared" si="387"/>
        <v>1</v>
      </c>
      <c r="I479" s="25"/>
      <c r="J479" s="25"/>
      <c r="K479" s="25"/>
      <c r="L479" s="25"/>
      <c r="M479" s="16"/>
      <c r="N479" s="16"/>
      <c r="O479" s="25"/>
      <c r="P479" s="25"/>
      <c r="Q479" s="25"/>
      <c r="R479" s="25"/>
      <c r="S479" s="25"/>
      <c r="T479" s="25"/>
      <c r="U479" s="25"/>
      <c r="V479" s="25"/>
      <c r="W479" s="25"/>
      <c r="X479" s="25"/>
      <c r="Y479" s="25"/>
      <c r="Z479" s="25"/>
      <c r="AA479" s="25"/>
      <c r="AB479" s="25"/>
    </row>
    <row r="480">
      <c r="A480" s="25"/>
      <c r="B480" s="25"/>
      <c r="C480" s="25"/>
      <c r="D480" s="25"/>
      <c r="E480" s="25"/>
      <c r="F480" s="241"/>
      <c r="G480" s="21" t="b">
        <f t="shared" ref="G480:H480" si="388">ISBLANK(M480)</f>
        <v>1</v>
      </c>
      <c r="H480" s="21" t="b">
        <f t="shared" si="388"/>
        <v>1</v>
      </c>
      <c r="I480" s="25"/>
      <c r="J480" s="25"/>
      <c r="K480" s="25"/>
      <c r="L480" s="25"/>
      <c r="M480" s="16"/>
      <c r="N480" s="16"/>
      <c r="O480" s="25"/>
      <c r="P480" s="25"/>
      <c r="Q480" s="25"/>
      <c r="R480" s="25"/>
      <c r="S480" s="25"/>
      <c r="T480" s="25"/>
      <c r="U480" s="25"/>
      <c r="V480" s="25"/>
      <c r="W480" s="25"/>
      <c r="X480" s="25"/>
      <c r="Y480" s="25"/>
      <c r="Z480" s="25"/>
      <c r="AA480" s="25"/>
      <c r="AB480" s="25"/>
    </row>
    <row r="481">
      <c r="A481" s="25"/>
      <c r="B481" s="25"/>
      <c r="C481" s="25"/>
      <c r="D481" s="25"/>
      <c r="E481" s="25"/>
      <c r="F481" s="241"/>
      <c r="G481" s="21" t="b">
        <f t="shared" ref="G481:H481" si="389">ISBLANK(M481)</f>
        <v>1</v>
      </c>
      <c r="H481" s="21" t="b">
        <f t="shared" si="389"/>
        <v>1</v>
      </c>
      <c r="I481" s="25"/>
      <c r="J481" s="25"/>
      <c r="K481" s="25"/>
      <c r="L481" s="25"/>
      <c r="M481" s="16"/>
      <c r="N481" s="16"/>
      <c r="O481" s="25"/>
      <c r="P481" s="25"/>
      <c r="Q481" s="25"/>
      <c r="R481" s="25"/>
      <c r="S481" s="25"/>
      <c r="T481" s="25"/>
      <c r="U481" s="25"/>
      <c r="V481" s="25"/>
      <c r="W481" s="25"/>
      <c r="X481" s="25"/>
      <c r="Y481" s="25"/>
      <c r="Z481" s="25"/>
      <c r="AA481" s="25"/>
      <c r="AB481" s="25"/>
    </row>
    <row r="482">
      <c r="A482" s="25"/>
      <c r="B482" s="25"/>
      <c r="C482" s="25"/>
      <c r="D482" s="25"/>
      <c r="E482" s="25"/>
      <c r="F482" s="241"/>
      <c r="G482" s="21" t="b">
        <f t="shared" ref="G482:H482" si="390">ISBLANK(M482)</f>
        <v>1</v>
      </c>
      <c r="H482" s="21" t="b">
        <f t="shared" si="390"/>
        <v>1</v>
      </c>
      <c r="I482" s="25"/>
      <c r="J482" s="25"/>
      <c r="K482" s="25"/>
      <c r="L482" s="25"/>
      <c r="M482" s="16"/>
      <c r="N482" s="16"/>
      <c r="O482" s="25"/>
      <c r="P482" s="25"/>
      <c r="Q482" s="25"/>
      <c r="R482" s="25"/>
      <c r="S482" s="25"/>
      <c r="T482" s="25"/>
      <c r="U482" s="25"/>
      <c r="V482" s="25"/>
      <c r="W482" s="25"/>
      <c r="X482" s="25"/>
      <c r="Y482" s="25"/>
      <c r="Z482" s="25"/>
      <c r="AA482" s="25"/>
      <c r="AB482" s="25"/>
    </row>
    <row r="483">
      <c r="A483" s="25"/>
      <c r="B483" s="25"/>
      <c r="C483" s="25"/>
      <c r="D483" s="25"/>
      <c r="E483" s="25"/>
      <c r="F483" s="241"/>
      <c r="G483" s="21" t="b">
        <f t="shared" ref="G483:H483" si="391">ISBLANK(M483)</f>
        <v>1</v>
      </c>
      <c r="H483" s="21" t="b">
        <f t="shared" si="391"/>
        <v>1</v>
      </c>
      <c r="I483" s="25"/>
      <c r="J483" s="25"/>
      <c r="K483" s="25"/>
      <c r="L483" s="25"/>
      <c r="M483" s="16"/>
      <c r="N483" s="16"/>
      <c r="O483" s="25"/>
      <c r="P483" s="25"/>
      <c r="Q483" s="25"/>
      <c r="R483" s="25"/>
      <c r="S483" s="25"/>
      <c r="T483" s="25"/>
      <c r="U483" s="25"/>
      <c r="V483" s="25"/>
      <c r="W483" s="25"/>
      <c r="X483" s="25"/>
      <c r="Y483" s="25"/>
      <c r="Z483" s="25"/>
      <c r="AA483" s="25"/>
      <c r="AB483" s="25"/>
    </row>
    <row r="484">
      <c r="A484" s="25"/>
      <c r="B484" s="25"/>
      <c r="C484" s="25"/>
      <c r="D484" s="25"/>
      <c r="E484" s="25"/>
      <c r="F484" s="241"/>
      <c r="G484" s="21" t="b">
        <f t="shared" ref="G484:H484" si="392">ISBLANK(M484)</f>
        <v>1</v>
      </c>
      <c r="H484" s="21" t="b">
        <f t="shared" si="392"/>
        <v>1</v>
      </c>
      <c r="I484" s="25"/>
      <c r="J484" s="25"/>
      <c r="K484" s="25"/>
      <c r="L484" s="25"/>
      <c r="M484" s="16"/>
      <c r="N484" s="16"/>
      <c r="O484" s="25"/>
      <c r="P484" s="25"/>
      <c r="Q484" s="25"/>
      <c r="R484" s="25"/>
      <c r="S484" s="25"/>
      <c r="T484" s="25"/>
      <c r="U484" s="25"/>
      <c r="V484" s="25"/>
      <c r="W484" s="25"/>
      <c r="X484" s="25"/>
      <c r="Y484" s="25"/>
      <c r="Z484" s="25"/>
      <c r="AA484" s="25"/>
      <c r="AB484" s="25"/>
    </row>
    <row r="485">
      <c r="A485" s="25"/>
      <c r="B485" s="25"/>
      <c r="C485" s="25"/>
      <c r="D485" s="25"/>
      <c r="E485" s="25"/>
      <c r="F485" s="241"/>
      <c r="G485" s="21" t="b">
        <f t="shared" ref="G485:H485" si="393">ISBLANK(M485)</f>
        <v>1</v>
      </c>
      <c r="H485" s="21" t="b">
        <f t="shared" si="393"/>
        <v>1</v>
      </c>
      <c r="I485" s="25"/>
      <c r="J485" s="25"/>
      <c r="K485" s="25"/>
      <c r="L485" s="25"/>
      <c r="M485" s="16"/>
      <c r="N485" s="16"/>
      <c r="O485" s="25"/>
      <c r="P485" s="25"/>
      <c r="Q485" s="25"/>
      <c r="R485" s="25"/>
      <c r="S485" s="25"/>
      <c r="T485" s="25"/>
      <c r="U485" s="25"/>
      <c r="V485" s="25"/>
      <c r="W485" s="25"/>
      <c r="X485" s="25"/>
      <c r="Y485" s="25"/>
      <c r="Z485" s="25"/>
      <c r="AA485" s="25"/>
      <c r="AB485" s="25"/>
    </row>
    <row r="486">
      <c r="A486" s="25"/>
      <c r="B486" s="25"/>
      <c r="C486" s="25"/>
      <c r="D486" s="25"/>
      <c r="E486" s="25"/>
      <c r="F486" s="241"/>
      <c r="G486" s="21" t="b">
        <f t="shared" ref="G486:H486" si="394">ISBLANK(M486)</f>
        <v>1</v>
      </c>
      <c r="H486" s="21" t="b">
        <f t="shared" si="394"/>
        <v>1</v>
      </c>
      <c r="I486" s="25"/>
      <c r="J486" s="25"/>
      <c r="K486" s="25"/>
      <c r="L486" s="25"/>
      <c r="M486" s="16"/>
      <c r="N486" s="16"/>
      <c r="O486" s="25"/>
      <c r="P486" s="25"/>
      <c r="Q486" s="25"/>
      <c r="R486" s="25"/>
      <c r="S486" s="25"/>
      <c r="T486" s="25"/>
      <c r="U486" s="25"/>
      <c r="V486" s="25"/>
      <c r="W486" s="25"/>
      <c r="X486" s="25"/>
      <c r="Y486" s="25"/>
      <c r="Z486" s="25"/>
      <c r="AA486" s="25"/>
      <c r="AB486" s="25"/>
    </row>
    <row r="487">
      <c r="A487" s="25"/>
      <c r="B487" s="25"/>
      <c r="C487" s="25"/>
      <c r="D487" s="25"/>
      <c r="E487" s="25"/>
      <c r="F487" s="241"/>
      <c r="G487" s="21" t="b">
        <f t="shared" ref="G487:H487" si="395">ISBLANK(M487)</f>
        <v>1</v>
      </c>
      <c r="H487" s="21" t="b">
        <f t="shared" si="395"/>
        <v>1</v>
      </c>
      <c r="I487" s="25"/>
      <c r="J487" s="25"/>
      <c r="K487" s="25"/>
      <c r="L487" s="25"/>
      <c r="M487" s="16"/>
      <c r="N487" s="16"/>
      <c r="O487" s="25"/>
      <c r="P487" s="25"/>
      <c r="Q487" s="25"/>
      <c r="R487" s="25"/>
      <c r="S487" s="25"/>
      <c r="T487" s="25"/>
      <c r="U487" s="25"/>
      <c r="V487" s="25"/>
      <c r="W487" s="25"/>
      <c r="X487" s="25"/>
      <c r="Y487" s="25"/>
      <c r="Z487" s="25"/>
      <c r="AA487" s="25"/>
      <c r="AB487" s="25"/>
    </row>
    <row r="488">
      <c r="A488" s="25"/>
      <c r="B488" s="25"/>
      <c r="C488" s="25"/>
      <c r="D488" s="25"/>
      <c r="E488" s="25"/>
      <c r="F488" s="241"/>
      <c r="G488" s="21" t="b">
        <f t="shared" ref="G488:H488" si="396">ISBLANK(M488)</f>
        <v>1</v>
      </c>
      <c r="H488" s="21" t="b">
        <f t="shared" si="396"/>
        <v>1</v>
      </c>
      <c r="I488" s="25"/>
      <c r="J488" s="25"/>
      <c r="K488" s="25"/>
      <c r="L488" s="25"/>
      <c r="M488" s="16"/>
      <c r="N488" s="16"/>
      <c r="O488" s="25"/>
      <c r="P488" s="25"/>
      <c r="Q488" s="25"/>
      <c r="R488" s="25"/>
      <c r="S488" s="25"/>
      <c r="T488" s="25"/>
      <c r="U488" s="25"/>
      <c r="V488" s="25"/>
      <c r="W488" s="25"/>
      <c r="X488" s="25"/>
      <c r="Y488" s="25"/>
      <c r="Z488" s="25"/>
      <c r="AA488" s="25"/>
      <c r="AB488" s="25"/>
    </row>
    <row r="489">
      <c r="A489" s="25"/>
      <c r="B489" s="25"/>
      <c r="C489" s="25"/>
      <c r="D489" s="25"/>
      <c r="E489" s="25"/>
      <c r="F489" s="241"/>
      <c r="G489" s="21" t="b">
        <f t="shared" ref="G489:H489" si="397">ISBLANK(M489)</f>
        <v>1</v>
      </c>
      <c r="H489" s="21" t="b">
        <f t="shared" si="397"/>
        <v>1</v>
      </c>
      <c r="I489" s="25"/>
      <c r="J489" s="25"/>
      <c r="K489" s="25"/>
      <c r="L489" s="25"/>
      <c r="M489" s="16"/>
      <c r="N489" s="16"/>
      <c r="O489" s="25"/>
      <c r="P489" s="25"/>
      <c r="Q489" s="25"/>
      <c r="R489" s="25"/>
      <c r="S489" s="25"/>
      <c r="T489" s="25"/>
      <c r="U489" s="25"/>
      <c r="V489" s="25"/>
      <c r="W489" s="25"/>
      <c r="X489" s="25"/>
      <c r="Y489" s="25"/>
      <c r="Z489" s="25"/>
      <c r="AA489" s="25"/>
      <c r="AB489" s="25"/>
    </row>
    <row r="490">
      <c r="A490" s="25"/>
      <c r="B490" s="25"/>
      <c r="C490" s="25"/>
      <c r="D490" s="25"/>
      <c r="E490" s="25"/>
      <c r="F490" s="241"/>
      <c r="G490" s="21" t="b">
        <f t="shared" ref="G490:H490" si="398">ISBLANK(M490)</f>
        <v>1</v>
      </c>
      <c r="H490" s="21" t="b">
        <f t="shared" si="398"/>
        <v>1</v>
      </c>
      <c r="I490" s="25"/>
      <c r="J490" s="25"/>
      <c r="K490" s="25"/>
      <c r="L490" s="25"/>
      <c r="M490" s="16"/>
      <c r="N490" s="16"/>
      <c r="O490" s="25"/>
      <c r="P490" s="25"/>
      <c r="Q490" s="25"/>
      <c r="R490" s="25"/>
      <c r="S490" s="25"/>
      <c r="T490" s="25"/>
      <c r="U490" s="25"/>
      <c r="V490" s="25"/>
      <c r="W490" s="25"/>
      <c r="X490" s="25"/>
      <c r="Y490" s="25"/>
      <c r="Z490" s="25"/>
      <c r="AA490" s="25"/>
      <c r="AB490" s="25"/>
    </row>
    <row r="491">
      <c r="A491" s="25"/>
      <c r="B491" s="25"/>
      <c r="C491" s="25"/>
      <c r="D491" s="25"/>
      <c r="E491" s="25"/>
      <c r="F491" s="241"/>
      <c r="G491" s="21" t="b">
        <f t="shared" ref="G491:H491" si="399">ISBLANK(M491)</f>
        <v>1</v>
      </c>
      <c r="H491" s="21" t="b">
        <f t="shared" si="399"/>
        <v>1</v>
      </c>
      <c r="I491" s="25"/>
      <c r="J491" s="25"/>
      <c r="K491" s="25"/>
      <c r="L491" s="25"/>
      <c r="M491" s="16"/>
      <c r="N491" s="16"/>
      <c r="O491" s="25"/>
      <c r="P491" s="25"/>
      <c r="Q491" s="25"/>
      <c r="R491" s="25"/>
      <c r="S491" s="25"/>
      <c r="T491" s="25"/>
      <c r="U491" s="25"/>
      <c r="V491" s="25"/>
      <c r="W491" s="25"/>
      <c r="X491" s="25"/>
      <c r="Y491" s="25"/>
      <c r="Z491" s="25"/>
      <c r="AA491" s="25"/>
      <c r="AB491" s="25"/>
    </row>
    <row r="492">
      <c r="A492" s="25"/>
      <c r="B492" s="25"/>
      <c r="C492" s="25"/>
      <c r="D492" s="25"/>
      <c r="E492" s="25"/>
      <c r="F492" s="241"/>
      <c r="G492" s="21" t="b">
        <f t="shared" ref="G492:H492" si="400">ISBLANK(M492)</f>
        <v>1</v>
      </c>
      <c r="H492" s="21" t="b">
        <f t="shared" si="400"/>
        <v>1</v>
      </c>
      <c r="I492" s="25"/>
      <c r="J492" s="25"/>
      <c r="K492" s="25"/>
      <c r="L492" s="25"/>
      <c r="M492" s="16"/>
      <c r="N492" s="16"/>
      <c r="O492" s="25"/>
      <c r="P492" s="25"/>
      <c r="Q492" s="25"/>
      <c r="R492" s="25"/>
      <c r="S492" s="25"/>
      <c r="T492" s="25"/>
      <c r="U492" s="25"/>
      <c r="V492" s="25"/>
      <c r="W492" s="25"/>
      <c r="X492" s="25"/>
      <c r="Y492" s="25"/>
      <c r="Z492" s="25"/>
      <c r="AA492" s="25"/>
      <c r="AB492" s="25"/>
    </row>
    <row r="493">
      <c r="A493" s="25"/>
      <c r="B493" s="25"/>
      <c r="C493" s="25"/>
      <c r="D493" s="25"/>
      <c r="E493" s="25"/>
      <c r="F493" s="241"/>
      <c r="G493" s="21" t="b">
        <f t="shared" ref="G493:H493" si="401">ISBLANK(M493)</f>
        <v>1</v>
      </c>
      <c r="H493" s="21" t="b">
        <f t="shared" si="401"/>
        <v>1</v>
      </c>
      <c r="I493" s="25"/>
      <c r="J493" s="25"/>
      <c r="K493" s="25"/>
      <c r="L493" s="25"/>
      <c r="M493" s="16"/>
      <c r="N493" s="16"/>
      <c r="O493" s="25"/>
      <c r="P493" s="25"/>
      <c r="Q493" s="25"/>
      <c r="R493" s="25"/>
      <c r="S493" s="25"/>
      <c r="T493" s="25"/>
      <c r="U493" s="25"/>
      <c r="V493" s="25"/>
      <c r="W493" s="25"/>
      <c r="X493" s="25"/>
      <c r="Y493" s="25"/>
      <c r="Z493" s="25"/>
      <c r="AA493" s="25"/>
      <c r="AB493" s="25"/>
    </row>
    <row r="494">
      <c r="A494" s="25"/>
      <c r="B494" s="25"/>
      <c r="C494" s="25"/>
      <c r="D494" s="25"/>
      <c r="E494" s="25"/>
      <c r="F494" s="241"/>
      <c r="G494" s="21" t="b">
        <f t="shared" ref="G494:H494" si="402">ISBLANK(M494)</f>
        <v>1</v>
      </c>
      <c r="H494" s="21" t="b">
        <f t="shared" si="402"/>
        <v>1</v>
      </c>
      <c r="I494" s="25"/>
      <c r="J494" s="25"/>
      <c r="K494" s="25"/>
      <c r="L494" s="25"/>
      <c r="M494" s="16"/>
      <c r="N494" s="16"/>
      <c r="O494" s="25"/>
      <c r="P494" s="25"/>
      <c r="Q494" s="25"/>
      <c r="R494" s="25"/>
      <c r="S494" s="25"/>
      <c r="T494" s="25"/>
      <c r="U494" s="25"/>
      <c r="V494" s="25"/>
      <c r="W494" s="25"/>
      <c r="X494" s="25"/>
      <c r="Y494" s="25"/>
      <c r="Z494" s="25"/>
      <c r="AA494" s="25"/>
      <c r="AB494" s="25"/>
    </row>
    <row r="495">
      <c r="A495" s="25"/>
      <c r="B495" s="25"/>
      <c r="C495" s="25"/>
      <c r="D495" s="25"/>
      <c r="E495" s="25"/>
      <c r="F495" s="241"/>
      <c r="G495" s="21" t="b">
        <f t="shared" ref="G495:H495" si="403">ISBLANK(M495)</f>
        <v>1</v>
      </c>
      <c r="H495" s="21" t="b">
        <f t="shared" si="403"/>
        <v>1</v>
      </c>
      <c r="I495" s="25"/>
      <c r="J495" s="25"/>
      <c r="K495" s="25"/>
      <c r="L495" s="25"/>
      <c r="M495" s="16"/>
      <c r="N495" s="16"/>
      <c r="O495" s="25"/>
      <c r="P495" s="25"/>
      <c r="Q495" s="25"/>
      <c r="R495" s="25"/>
      <c r="S495" s="25"/>
      <c r="T495" s="25"/>
      <c r="U495" s="25"/>
      <c r="V495" s="25"/>
      <c r="W495" s="25"/>
      <c r="X495" s="25"/>
      <c r="Y495" s="25"/>
      <c r="Z495" s="25"/>
      <c r="AA495" s="25"/>
      <c r="AB495" s="25"/>
    </row>
    <row r="496">
      <c r="A496" s="25"/>
      <c r="B496" s="25"/>
      <c r="C496" s="25"/>
      <c r="D496" s="25"/>
      <c r="E496" s="25"/>
      <c r="F496" s="241"/>
      <c r="G496" s="21" t="b">
        <f t="shared" ref="G496:H496" si="404">ISBLANK(M496)</f>
        <v>1</v>
      </c>
      <c r="H496" s="21" t="b">
        <f t="shared" si="404"/>
        <v>1</v>
      </c>
      <c r="I496" s="25"/>
      <c r="J496" s="25"/>
      <c r="K496" s="25"/>
      <c r="L496" s="25"/>
      <c r="M496" s="16"/>
      <c r="N496" s="16"/>
      <c r="O496" s="25"/>
      <c r="P496" s="25"/>
      <c r="Q496" s="25"/>
      <c r="R496" s="25"/>
      <c r="S496" s="25"/>
      <c r="T496" s="25"/>
      <c r="U496" s="25"/>
      <c r="V496" s="25"/>
      <c r="W496" s="25"/>
      <c r="X496" s="25"/>
      <c r="Y496" s="25"/>
      <c r="Z496" s="25"/>
      <c r="AA496" s="25"/>
      <c r="AB496" s="25"/>
    </row>
    <row r="497">
      <c r="A497" s="25"/>
      <c r="B497" s="25"/>
      <c r="C497" s="25"/>
      <c r="D497" s="25"/>
      <c r="E497" s="25"/>
      <c r="F497" s="241"/>
      <c r="G497" s="21" t="b">
        <f t="shared" ref="G497:H497" si="405">ISBLANK(M497)</f>
        <v>1</v>
      </c>
      <c r="H497" s="21" t="b">
        <f t="shared" si="405"/>
        <v>1</v>
      </c>
      <c r="I497" s="25"/>
      <c r="J497" s="25"/>
      <c r="K497" s="25"/>
      <c r="L497" s="25"/>
      <c r="M497" s="16"/>
      <c r="N497" s="16"/>
      <c r="O497" s="25"/>
      <c r="P497" s="25"/>
      <c r="Q497" s="25"/>
      <c r="R497" s="25"/>
      <c r="S497" s="25"/>
      <c r="T497" s="25"/>
      <c r="U497" s="25"/>
      <c r="V497" s="25"/>
      <c r="W497" s="25"/>
      <c r="X497" s="25"/>
      <c r="Y497" s="25"/>
      <c r="Z497" s="25"/>
      <c r="AA497" s="25"/>
      <c r="AB497" s="25"/>
    </row>
    <row r="498">
      <c r="A498" s="25"/>
      <c r="B498" s="25"/>
      <c r="C498" s="25"/>
      <c r="D498" s="25"/>
      <c r="E498" s="25"/>
      <c r="F498" s="241"/>
      <c r="G498" s="21" t="b">
        <f t="shared" ref="G498:H498" si="406">ISBLANK(M498)</f>
        <v>1</v>
      </c>
      <c r="H498" s="21" t="b">
        <f t="shared" si="406"/>
        <v>1</v>
      </c>
      <c r="I498" s="25"/>
      <c r="J498" s="25"/>
      <c r="K498" s="25"/>
      <c r="L498" s="25"/>
      <c r="M498" s="16"/>
      <c r="N498" s="16"/>
      <c r="O498" s="25"/>
      <c r="P498" s="25"/>
      <c r="Q498" s="25"/>
      <c r="R498" s="25"/>
      <c r="S498" s="25"/>
      <c r="T498" s="25"/>
      <c r="U498" s="25"/>
      <c r="V498" s="25"/>
      <c r="W498" s="25"/>
      <c r="X498" s="25"/>
      <c r="Y498" s="25"/>
      <c r="Z498" s="25"/>
      <c r="AA498" s="25"/>
      <c r="AB498" s="25"/>
    </row>
    <row r="499">
      <c r="A499" s="25"/>
      <c r="B499" s="25"/>
      <c r="C499" s="25"/>
      <c r="D499" s="25"/>
      <c r="E499" s="25"/>
      <c r="F499" s="241"/>
      <c r="G499" s="21" t="b">
        <f t="shared" ref="G499:H499" si="407">ISBLANK(M499)</f>
        <v>1</v>
      </c>
      <c r="H499" s="21" t="b">
        <f t="shared" si="407"/>
        <v>1</v>
      </c>
      <c r="I499" s="25"/>
      <c r="J499" s="25"/>
      <c r="K499" s="25"/>
      <c r="L499" s="25"/>
      <c r="M499" s="16"/>
      <c r="N499" s="16"/>
      <c r="O499" s="25"/>
      <c r="P499" s="25"/>
      <c r="Q499" s="25"/>
      <c r="R499" s="25"/>
      <c r="S499" s="25"/>
      <c r="T499" s="25"/>
      <c r="U499" s="25"/>
      <c r="V499" s="25"/>
      <c r="W499" s="25"/>
      <c r="X499" s="25"/>
      <c r="Y499" s="25"/>
      <c r="Z499" s="25"/>
      <c r="AA499" s="25"/>
      <c r="AB499" s="25"/>
    </row>
    <row r="500">
      <c r="A500" s="25"/>
      <c r="B500" s="25"/>
      <c r="C500" s="25"/>
      <c r="D500" s="25"/>
      <c r="E500" s="25"/>
      <c r="F500" s="241"/>
      <c r="G500" s="21" t="b">
        <f t="shared" ref="G500:H500" si="408">ISBLANK(M500)</f>
        <v>1</v>
      </c>
      <c r="H500" s="21" t="b">
        <f t="shared" si="408"/>
        <v>1</v>
      </c>
      <c r="I500" s="25"/>
      <c r="J500" s="25"/>
      <c r="K500" s="25"/>
      <c r="L500" s="25"/>
      <c r="M500" s="16"/>
      <c r="N500" s="16"/>
      <c r="O500" s="25"/>
      <c r="P500" s="25"/>
      <c r="Q500" s="25"/>
      <c r="R500" s="25"/>
      <c r="S500" s="25"/>
      <c r="T500" s="25"/>
      <c r="U500" s="25"/>
      <c r="V500" s="25"/>
      <c r="W500" s="25"/>
      <c r="X500" s="25"/>
      <c r="Y500" s="25"/>
      <c r="Z500" s="25"/>
      <c r="AA500" s="25"/>
      <c r="AB500" s="25"/>
    </row>
    <row r="501">
      <c r="A501" s="25"/>
      <c r="B501" s="25"/>
      <c r="C501" s="25"/>
      <c r="D501" s="25"/>
      <c r="E501" s="25"/>
      <c r="F501" s="241"/>
      <c r="G501" s="21" t="b">
        <f t="shared" ref="G501:H501" si="409">ISBLANK(M501)</f>
        <v>1</v>
      </c>
      <c r="H501" s="21" t="b">
        <f t="shared" si="409"/>
        <v>1</v>
      </c>
      <c r="I501" s="25"/>
      <c r="J501" s="25"/>
      <c r="K501" s="25"/>
      <c r="L501" s="25"/>
      <c r="M501" s="16"/>
      <c r="N501" s="16"/>
      <c r="O501" s="25"/>
      <c r="P501" s="25"/>
      <c r="Q501" s="25"/>
      <c r="R501" s="25"/>
      <c r="S501" s="25"/>
      <c r="T501" s="25"/>
      <c r="U501" s="25"/>
      <c r="V501" s="25"/>
      <c r="W501" s="25"/>
      <c r="X501" s="25"/>
      <c r="Y501" s="25"/>
      <c r="Z501" s="25"/>
      <c r="AA501" s="25"/>
      <c r="AB501" s="25"/>
    </row>
    <row r="502">
      <c r="A502" s="25"/>
      <c r="B502" s="25"/>
      <c r="C502" s="25"/>
      <c r="D502" s="25"/>
      <c r="E502" s="25"/>
      <c r="F502" s="241"/>
      <c r="G502" s="21" t="b">
        <f t="shared" ref="G502:H502" si="410">ISBLANK(M502)</f>
        <v>1</v>
      </c>
      <c r="H502" s="21" t="b">
        <f t="shared" si="410"/>
        <v>1</v>
      </c>
      <c r="I502" s="25"/>
      <c r="J502" s="25"/>
      <c r="K502" s="25"/>
      <c r="L502" s="25"/>
      <c r="M502" s="16"/>
      <c r="N502" s="16"/>
      <c r="O502" s="25"/>
      <c r="P502" s="25"/>
      <c r="Q502" s="25"/>
      <c r="R502" s="25"/>
      <c r="S502" s="25"/>
      <c r="T502" s="25"/>
      <c r="U502" s="25"/>
      <c r="V502" s="25"/>
      <c r="W502" s="25"/>
      <c r="X502" s="25"/>
      <c r="Y502" s="25"/>
      <c r="Z502" s="25"/>
      <c r="AA502" s="25"/>
      <c r="AB502" s="25"/>
    </row>
    <row r="503">
      <c r="A503" s="25"/>
      <c r="B503" s="25"/>
      <c r="C503" s="25"/>
      <c r="D503" s="25"/>
      <c r="E503" s="25"/>
      <c r="F503" s="241"/>
      <c r="G503" s="21" t="b">
        <f t="shared" ref="G503:H503" si="411">ISBLANK(M503)</f>
        <v>1</v>
      </c>
      <c r="H503" s="21" t="b">
        <f t="shared" si="411"/>
        <v>1</v>
      </c>
      <c r="I503" s="25"/>
      <c r="J503" s="25"/>
      <c r="K503" s="25"/>
      <c r="L503" s="25"/>
      <c r="M503" s="16"/>
      <c r="N503" s="16"/>
      <c r="O503" s="25"/>
      <c r="P503" s="25"/>
      <c r="Q503" s="25"/>
      <c r="R503" s="25"/>
      <c r="S503" s="25"/>
      <c r="T503" s="25"/>
      <c r="U503" s="25"/>
      <c r="V503" s="25"/>
      <c r="W503" s="25"/>
      <c r="X503" s="25"/>
      <c r="Y503" s="25"/>
      <c r="Z503" s="25"/>
      <c r="AA503" s="25"/>
      <c r="AB503" s="25"/>
    </row>
    <row r="504">
      <c r="A504" s="25"/>
      <c r="B504" s="25"/>
      <c r="C504" s="25"/>
      <c r="D504" s="25"/>
      <c r="E504" s="25"/>
      <c r="F504" s="241"/>
      <c r="G504" s="21" t="b">
        <f t="shared" ref="G504:H504" si="412">ISBLANK(M504)</f>
        <v>1</v>
      </c>
      <c r="H504" s="21" t="b">
        <f t="shared" si="412"/>
        <v>1</v>
      </c>
      <c r="I504" s="25"/>
      <c r="J504" s="25"/>
      <c r="K504" s="25"/>
      <c r="L504" s="25"/>
      <c r="M504" s="16"/>
      <c r="N504" s="16"/>
      <c r="O504" s="25"/>
      <c r="P504" s="25"/>
      <c r="Q504" s="25"/>
      <c r="R504" s="25"/>
      <c r="S504" s="25"/>
      <c r="T504" s="25"/>
      <c r="U504" s="25"/>
      <c r="V504" s="25"/>
      <c r="W504" s="25"/>
      <c r="X504" s="25"/>
      <c r="Y504" s="25"/>
      <c r="Z504" s="25"/>
      <c r="AA504" s="25"/>
      <c r="AB504" s="25"/>
    </row>
    <row r="505">
      <c r="A505" s="25"/>
      <c r="B505" s="25"/>
      <c r="C505" s="25"/>
      <c r="D505" s="25"/>
      <c r="E505" s="25"/>
      <c r="F505" s="241"/>
      <c r="G505" s="21" t="b">
        <f t="shared" ref="G505:H505" si="413">ISBLANK(M505)</f>
        <v>1</v>
      </c>
      <c r="H505" s="21" t="b">
        <f t="shared" si="413"/>
        <v>1</v>
      </c>
      <c r="I505" s="25"/>
      <c r="J505" s="25"/>
      <c r="K505" s="25"/>
      <c r="L505" s="25"/>
      <c r="M505" s="16"/>
      <c r="N505" s="16"/>
      <c r="O505" s="25"/>
      <c r="P505" s="25"/>
      <c r="Q505" s="25"/>
      <c r="R505" s="25"/>
      <c r="S505" s="25"/>
      <c r="T505" s="25"/>
      <c r="U505" s="25"/>
      <c r="V505" s="25"/>
      <c r="W505" s="25"/>
      <c r="X505" s="25"/>
      <c r="Y505" s="25"/>
      <c r="Z505" s="25"/>
      <c r="AA505" s="25"/>
      <c r="AB505" s="25"/>
    </row>
    <row r="506">
      <c r="A506" s="25"/>
      <c r="B506" s="25"/>
      <c r="C506" s="25"/>
      <c r="D506" s="25"/>
      <c r="E506" s="25"/>
      <c r="F506" s="241"/>
      <c r="G506" s="21" t="b">
        <f t="shared" ref="G506:H506" si="414">ISBLANK(M506)</f>
        <v>1</v>
      </c>
      <c r="H506" s="21" t="b">
        <f t="shared" si="414"/>
        <v>1</v>
      </c>
      <c r="I506" s="25"/>
      <c r="J506" s="25"/>
      <c r="K506" s="25"/>
      <c r="L506" s="25"/>
      <c r="M506" s="16"/>
      <c r="N506" s="16"/>
      <c r="O506" s="25"/>
      <c r="P506" s="25"/>
      <c r="Q506" s="25"/>
      <c r="R506" s="25"/>
      <c r="S506" s="25"/>
      <c r="T506" s="25"/>
      <c r="U506" s="25"/>
      <c r="V506" s="25"/>
      <c r="W506" s="25"/>
      <c r="X506" s="25"/>
      <c r="Y506" s="25"/>
      <c r="Z506" s="25"/>
      <c r="AA506" s="25"/>
      <c r="AB506" s="25"/>
    </row>
    <row r="507">
      <c r="A507" s="25"/>
      <c r="B507" s="25"/>
      <c r="C507" s="25"/>
      <c r="D507" s="25"/>
      <c r="E507" s="25"/>
      <c r="F507" s="241"/>
      <c r="G507" s="21" t="b">
        <f t="shared" ref="G507:H507" si="415">ISBLANK(M507)</f>
        <v>1</v>
      </c>
      <c r="H507" s="21" t="b">
        <f t="shared" si="415"/>
        <v>1</v>
      </c>
      <c r="I507" s="25"/>
      <c r="J507" s="25"/>
      <c r="K507" s="25"/>
      <c r="L507" s="25"/>
      <c r="M507" s="16"/>
      <c r="N507" s="16"/>
      <c r="O507" s="25"/>
      <c r="P507" s="25"/>
      <c r="Q507" s="25"/>
      <c r="R507" s="25"/>
      <c r="S507" s="25"/>
      <c r="T507" s="25"/>
      <c r="U507" s="25"/>
      <c r="V507" s="25"/>
      <c r="W507" s="25"/>
      <c r="X507" s="25"/>
      <c r="Y507" s="25"/>
      <c r="Z507" s="25"/>
      <c r="AA507" s="25"/>
      <c r="AB507" s="25"/>
    </row>
    <row r="508">
      <c r="A508" s="25"/>
      <c r="B508" s="25"/>
      <c r="C508" s="25"/>
      <c r="D508" s="25"/>
      <c r="E508" s="25"/>
      <c r="F508" s="241"/>
      <c r="G508" s="21" t="b">
        <f t="shared" ref="G508:H508" si="416">ISBLANK(M508)</f>
        <v>1</v>
      </c>
      <c r="H508" s="21" t="b">
        <f t="shared" si="416"/>
        <v>1</v>
      </c>
      <c r="I508" s="25"/>
      <c r="J508" s="25"/>
      <c r="K508" s="25"/>
      <c r="L508" s="25"/>
      <c r="M508" s="16"/>
      <c r="N508" s="16"/>
      <c r="O508" s="25"/>
      <c r="P508" s="25"/>
      <c r="Q508" s="25"/>
      <c r="R508" s="25"/>
      <c r="S508" s="25"/>
      <c r="T508" s="25"/>
      <c r="U508" s="25"/>
      <c r="V508" s="25"/>
      <c r="W508" s="25"/>
      <c r="X508" s="25"/>
      <c r="Y508" s="25"/>
      <c r="Z508" s="25"/>
      <c r="AA508" s="25"/>
      <c r="AB508" s="25"/>
    </row>
    <row r="509">
      <c r="A509" s="25"/>
      <c r="B509" s="25"/>
      <c r="C509" s="25"/>
      <c r="D509" s="25"/>
      <c r="E509" s="25"/>
      <c r="F509" s="241"/>
      <c r="G509" s="21" t="b">
        <f t="shared" ref="G509:H509" si="417">ISBLANK(M509)</f>
        <v>1</v>
      </c>
      <c r="H509" s="21" t="b">
        <f t="shared" si="417"/>
        <v>1</v>
      </c>
      <c r="I509" s="25"/>
      <c r="J509" s="25"/>
      <c r="K509" s="25"/>
      <c r="L509" s="25"/>
      <c r="M509" s="16"/>
      <c r="N509" s="16"/>
      <c r="O509" s="25"/>
      <c r="P509" s="25"/>
      <c r="Q509" s="25"/>
      <c r="R509" s="25"/>
      <c r="S509" s="25"/>
      <c r="T509" s="25"/>
      <c r="U509" s="25"/>
      <c r="V509" s="25"/>
      <c r="W509" s="25"/>
      <c r="X509" s="25"/>
      <c r="Y509" s="25"/>
      <c r="Z509" s="25"/>
      <c r="AA509" s="25"/>
      <c r="AB509" s="25"/>
    </row>
    <row r="510">
      <c r="A510" s="25"/>
      <c r="B510" s="25"/>
      <c r="C510" s="25"/>
      <c r="D510" s="25"/>
      <c r="E510" s="25"/>
      <c r="F510" s="241"/>
      <c r="G510" s="21" t="b">
        <f t="shared" ref="G510:H510" si="418">ISBLANK(M510)</f>
        <v>1</v>
      </c>
      <c r="H510" s="21" t="b">
        <f t="shared" si="418"/>
        <v>1</v>
      </c>
      <c r="I510" s="25"/>
      <c r="J510" s="25"/>
      <c r="K510" s="25"/>
      <c r="L510" s="25"/>
      <c r="M510" s="16"/>
      <c r="N510" s="16"/>
      <c r="O510" s="25"/>
      <c r="P510" s="25"/>
      <c r="Q510" s="25"/>
      <c r="R510" s="25"/>
      <c r="S510" s="25"/>
      <c r="T510" s="25"/>
      <c r="U510" s="25"/>
      <c r="V510" s="25"/>
      <c r="W510" s="25"/>
      <c r="X510" s="25"/>
      <c r="Y510" s="25"/>
      <c r="Z510" s="25"/>
      <c r="AA510" s="25"/>
      <c r="AB510" s="25"/>
    </row>
    <row r="511">
      <c r="A511" s="25"/>
      <c r="B511" s="25"/>
      <c r="C511" s="25"/>
      <c r="D511" s="25"/>
      <c r="E511" s="25"/>
      <c r="F511" s="241"/>
      <c r="G511" s="21" t="b">
        <f t="shared" ref="G511:H511" si="419">ISBLANK(M511)</f>
        <v>1</v>
      </c>
      <c r="H511" s="21" t="b">
        <f t="shared" si="419"/>
        <v>1</v>
      </c>
      <c r="I511" s="25"/>
      <c r="J511" s="25"/>
      <c r="K511" s="25"/>
      <c r="L511" s="25"/>
      <c r="M511" s="16"/>
      <c r="N511" s="16"/>
      <c r="O511" s="25"/>
      <c r="P511" s="25"/>
      <c r="Q511" s="25"/>
      <c r="R511" s="25"/>
      <c r="S511" s="25"/>
      <c r="T511" s="25"/>
      <c r="U511" s="25"/>
      <c r="V511" s="25"/>
      <c r="W511" s="25"/>
      <c r="X511" s="25"/>
      <c r="Y511" s="25"/>
      <c r="Z511" s="25"/>
      <c r="AA511" s="25"/>
      <c r="AB511" s="25"/>
    </row>
    <row r="512">
      <c r="A512" s="25"/>
      <c r="B512" s="25"/>
      <c r="C512" s="25"/>
      <c r="D512" s="25"/>
      <c r="E512" s="25"/>
      <c r="F512" s="241"/>
      <c r="G512" s="21" t="b">
        <f t="shared" ref="G512:H512" si="420">ISBLANK(M512)</f>
        <v>1</v>
      </c>
      <c r="H512" s="21" t="b">
        <f t="shared" si="420"/>
        <v>1</v>
      </c>
      <c r="I512" s="25"/>
      <c r="J512" s="25"/>
      <c r="K512" s="25"/>
      <c r="L512" s="25"/>
      <c r="M512" s="16"/>
      <c r="N512" s="16"/>
      <c r="O512" s="25"/>
      <c r="P512" s="25"/>
      <c r="Q512" s="25"/>
      <c r="R512" s="25"/>
      <c r="S512" s="25"/>
      <c r="T512" s="25"/>
      <c r="U512" s="25"/>
      <c r="V512" s="25"/>
      <c r="W512" s="25"/>
      <c r="X512" s="25"/>
      <c r="Y512" s="25"/>
      <c r="Z512" s="25"/>
      <c r="AA512" s="25"/>
      <c r="AB512" s="25"/>
    </row>
    <row r="513">
      <c r="A513" s="25"/>
      <c r="B513" s="25"/>
      <c r="C513" s="25"/>
      <c r="D513" s="25"/>
      <c r="E513" s="25"/>
      <c r="F513" s="241"/>
      <c r="G513" s="21" t="b">
        <f t="shared" ref="G513:H513" si="421">ISBLANK(M513)</f>
        <v>1</v>
      </c>
      <c r="H513" s="21" t="b">
        <f t="shared" si="421"/>
        <v>1</v>
      </c>
      <c r="I513" s="25"/>
      <c r="J513" s="25"/>
      <c r="K513" s="25"/>
      <c r="L513" s="25"/>
      <c r="M513" s="16"/>
      <c r="N513" s="16"/>
      <c r="O513" s="25"/>
      <c r="P513" s="25"/>
      <c r="Q513" s="25"/>
      <c r="R513" s="25"/>
      <c r="S513" s="25"/>
      <c r="T513" s="25"/>
      <c r="U513" s="25"/>
      <c r="V513" s="25"/>
      <c r="W513" s="25"/>
      <c r="X513" s="25"/>
      <c r="Y513" s="25"/>
      <c r="Z513" s="25"/>
      <c r="AA513" s="25"/>
      <c r="AB513" s="25"/>
    </row>
    <row r="514">
      <c r="A514" s="25"/>
      <c r="B514" s="25"/>
      <c r="C514" s="25"/>
      <c r="D514" s="25"/>
      <c r="E514" s="25"/>
      <c r="F514" s="241"/>
      <c r="G514" s="21" t="b">
        <f t="shared" ref="G514:H514" si="422">ISBLANK(M514)</f>
        <v>1</v>
      </c>
      <c r="H514" s="21" t="b">
        <f t="shared" si="422"/>
        <v>1</v>
      </c>
      <c r="I514" s="25"/>
      <c r="J514" s="25"/>
      <c r="K514" s="25"/>
      <c r="L514" s="25"/>
      <c r="M514" s="16"/>
      <c r="N514" s="16"/>
      <c r="O514" s="25"/>
      <c r="P514" s="25"/>
      <c r="Q514" s="25"/>
      <c r="R514" s="25"/>
      <c r="S514" s="25"/>
      <c r="T514" s="25"/>
      <c r="U514" s="25"/>
      <c r="V514" s="25"/>
      <c r="W514" s="25"/>
      <c r="X514" s="25"/>
      <c r="Y514" s="25"/>
      <c r="Z514" s="25"/>
      <c r="AA514" s="25"/>
      <c r="AB514" s="25"/>
    </row>
    <row r="515">
      <c r="A515" s="25"/>
      <c r="B515" s="25"/>
      <c r="C515" s="25"/>
      <c r="D515" s="25"/>
      <c r="E515" s="25"/>
      <c r="F515" s="241"/>
      <c r="G515" s="21" t="b">
        <f t="shared" ref="G515:H515" si="423">ISBLANK(M515)</f>
        <v>1</v>
      </c>
      <c r="H515" s="21" t="b">
        <f t="shared" si="423"/>
        <v>1</v>
      </c>
      <c r="I515" s="25"/>
      <c r="J515" s="25"/>
      <c r="K515" s="25"/>
      <c r="L515" s="25"/>
      <c r="M515" s="16"/>
      <c r="N515" s="16"/>
      <c r="O515" s="25"/>
      <c r="P515" s="25"/>
      <c r="Q515" s="25"/>
      <c r="R515" s="25"/>
      <c r="S515" s="25"/>
      <c r="T515" s="25"/>
      <c r="U515" s="25"/>
      <c r="V515" s="25"/>
      <c r="W515" s="25"/>
      <c r="X515" s="25"/>
      <c r="Y515" s="25"/>
      <c r="Z515" s="25"/>
      <c r="AA515" s="25"/>
      <c r="AB515" s="25"/>
    </row>
    <row r="516">
      <c r="A516" s="25"/>
      <c r="B516" s="25"/>
      <c r="C516" s="25"/>
      <c r="D516" s="25"/>
      <c r="E516" s="25"/>
      <c r="F516" s="241"/>
      <c r="G516" s="21" t="b">
        <f t="shared" ref="G516:H516" si="424">ISBLANK(M516)</f>
        <v>1</v>
      </c>
      <c r="H516" s="21" t="b">
        <f t="shared" si="424"/>
        <v>1</v>
      </c>
      <c r="I516" s="25"/>
      <c r="J516" s="25"/>
      <c r="K516" s="25"/>
      <c r="L516" s="25"/>
      <c r="M516" s="16"/>
      <c r="N516" s="16"/>
      <c r="O516" s="25"/>
      <c r="P516" s="25"/>
      <c r="Q516" s="25"/>
      <c r="R516" s="25"/>
      <c r="S516" s="25"/>
      <c r="T516" s="25"/>
      <c r="U516" s="25"/>
      <c r="V516" s="25"/>
      <c r="W516" s="25"/>
      <c r="X516" s="25"/>
      <c r="Y516" s="25"/>
      <c r="Z516" s="25"/>
      <c r="AA516" s="25"/>
      <c r="AB516" s="25"/>
    </row>
    <row r="517">
      <c r="A517" s="25"/>
      <c r="B517" s="25"/>
      <c r="C517" s="25"/>
      <c r="D517" s="25"/>
      <c r="E517" s="25"/>
      <c r="F517" s="241"/>
      <c r="G517" s="21" t="b">
        <f t="shared" ref="G517:H517" si="425">ISBLANK(M517)</f>
        <v>1</v>
      </c>
      <c r="H517" s="21" t="b">
        <f t="shared" si="425"/>
        <v>1</v>
      </c>
      <c r="I517" s="25"/>
      <c r="J517" s="25"/>
      <c r="K517" s="25"/>
      <c r="L517" s="25"/>
      <c r="M517" s="16"/>
      <c r="N517" s="16"/>
      <c r="O517" s="25"/>
      <c r="P517" s="25"/>
      <c r="Q517" s="25"/>
      <c r="R517" s="25"/>
      <c r="S517" s="25"/>
      <c r="T517" s="25"/>
      <c r="U517" s="25"/>
      <c r="V517" s="25"/>
      <c r="W517" s="25"/>
      <c r="X517" s="25"/>
      <c r="Y517" s="25"/>
      <c r="Z517" s="25"/>
      <c r="AA517" s="25"/>
      <c r="AB517" s="25"/>
    </row>
    <row r="518">
      <c r="A518" s="25"/>
      <c r="B518" s="25"/>
      <c r="C518" s="25"/>
      <c r="D518" s="25"/>
      <c r="E518" s="25"/>
      <c r="F518" s="241"/>
      <c r="G518" s="21" t="b">
        <f t="shared" ref="G518:H518" si="426">ISBLANK(M518)</f>
        <v>1</v>
      </c>
      <c r="H518" s="21" t="b">
        <f t="shared" si="426"/>
        <v>1</v>
      </c>
      <c r="I518" s="25"/>
      <c r="J518" s="25"/>
      <c r="K518" s="25"/>
      <c r="L518" s="25"/>
      <c r="M518" s="16"/>
      <c r="N518" s="16"/>
      <c r="O518" s="25"/>
      <c r="P518" s="25"/>
      <c r="Q518" s="25"/>
      <c r="R518" s="25"/>
      <c r="S518" s="25"/>
      <c r="T518" s="25"/>
      <c r="U518" s="25"/>
      <c r="V518" s="25"/>
      <c r="W518" s="25"/>
      <c r="X518" s="25"/>
      <c r="Y518" s="25"/>
      <c r="Z518" s="25"/>
      <c r="AA518" s="25"/>
      <c r="AB518" s="25"/>
    </row>
    <row r="519">
      <c r="A519" s="25"/>
      <c r="B519" s="25"/>
      <c r="C519" s="25"/>
      <c r="D519" s="25"/>
      <c r="E519" s="25"/>
      <c r="F519" s="241"/>
      <c r="G519" s="21" t="b">
        <f t="shared" ref="G519:H519" si="427">ISBLANK(M519)</f>
        <v>1</v>
      </c>
      <c r="H519" s="21" t="b">
        <f t="shared" si="427"/>
        <v>1</v>
      </c>
      <c r="I519" s="25"/>
      <c r="J519" s="25"/>
      <c r="K519" s="25"/>
      <c r="L519" s="25"/>
      <c r="M519" s="16"/>
      <c r="N519" s="16"/>
      <c r="O519" s="25"/>
      <c r="P519" s="25"/>
      <c r="Q519" s="25"/>
      <c r="R519" s="25"/>
      <c r="S519" s="25"/>
      <c r="T519" s="25"/>
      <c r="U519" s="25"/>
      <c r="V519" s="25"/>
      <c r="W519" s="25"/>
      <c r="X519" s="25"/>
      <c r="Y519" s="25"/>
      <c r="Z519" s="25"/>
      <c r="AA519" s="25"/>
      <c r="AB519" s="25"/>
    </row>
    <row r="520">
      <c r="A520" s="25"/>
      <c r="B520" s="25"/>
      <c r="C520" s="25"/>
      <c r="D520" s="25"/>
      <c r="E520" s="25"/>
      <c r="F520" s="241"/>
      <c r="G520" s="21" t="b">
        <f t="shared" ref="G520:H520" si="428">ISBLANK(M520)</f>
        <v>1</v>
      </c>
      <c r="H520" s="21" t="b">
        <f t="shared" si="428"/>
        <v>1</v>
      </c>
      <c r="I520" s="25"/>
      <c r="J520" s="25"/>
      <c r="K520" s="25"/>
      <c r="L520" s="25"/>
      <c r="M520" s="16"/>
      <c r="N520" s="16"/>
      <c r="O520" s="25"/>
      <c r="P520" s="25"/>
      <c r="Q520" s="25"/>
      <c r="R520" s="25"/>
      <c r="S520" s="25"/>
      <c r="T520" s="25"/>
      <c r="U520" s="25"/>
      <c r="V520" s="25"/>
      <c r="W520" s="25"/>
      <c r="X520" s="25"/>
      <c r="Y520" s="25"/>
      <c r="Z520" s="25"/>
      <c r="AA520" s="25"/>
      <c r="AB520" s="25"/>
    </row>
    <row r="521">
      <c r="A521" s="25"/>
      <c r="B521" s="25"/>
      <c r="C521" s="25"/>
      <c r="D521" s="25"/>
      <c r="E521" s="25"/>
      <c r="F521" s="241"/>
      <c r="G521" s="21" t="b">
        <f t="shared" ref="G521:H521" si="429">ISBLANK(M521)</f>
        <v>1</v>
      </c>
      <c r="H521" s="21" t="b">
        <f t="shared" si="429"/>
        <v>1</v>
      </c>
      <c r="I521" s="25"/>
      <c r="J521" s="25"/>
      <c r="K521" s="25"/>
      <c r="L521" s="25"/>
      <c r="M521" s="16"/>
      <c r="N521" s="16"/>
      <c r="O521" s="25"/>
      <c r="P521" s="25"/>
      <c r="Q521" s="25"/>
      <c r="R521" s="25"/>
      <c r="S521" s="25"/>
      <c r="T521" s="25"/>
      <c r="U521" s="25"/>
      <c r="V521" s="25"/>
      <c r="W521" s="25"/>
      <c r="X521" s="25"/>
      <c r="Y521" s="25"/>
      <c r="Z521" s="25"/>
      <c r="AA521" s="25"/>
      <c r="AB521" s="25"/>
    </row>
    <row r="522">
      <c r="A522" s="25"/>
      <c r="B522" s="25"/>
      <c r="C522" s="25"/>
      <c r="D522" s="25"/>
      <c r="E522" s="25"/>
      <c r="F522" s="241"/>
      <c r="G522" s="21" t="b">
        <f t="shared" ref="G522:H522" si="430">ISBLANK(M522)</f>
        <v>1</v>
      </c>
      <c r="H522" s="21" t="b">
        <f t="shared" si="430"/>
        <v>1</v>
      </c>
      <c r="I522" s="25"/>
      <c r="J522" s="25"/>
      <c r="K522" s="25"/>
      <c r="L522" s="25"/>
      <c r="M522" s="16"/>
      <c r="N522" s="16"/>
      <c r="O522" s="25"/>
      <c r="P522" s="25"/>
      <c r="Q522" s="25"/>
      <c r="R522" s="25"/>
      <c r="S522" s="25"/>
      <c r="T522" s="25"/>
      <c r="U522" s="25"/>
      <c r="V522" s="25"/>
      <c r="W522" s="25"/>
      <c r="X522" s="25"/>
      <c r="Y522" s="25"/>
      <c r="Z522" s="25"/>
      <c r="AA522" s="25"/>
      <c r="AB522" s="25"/>
    </row>
    <row r="523">
      <c r="A523" s="25"/>
      <c r="B523" s="25"/>
      <c r="C523" s="25"/>
      <c r="D523" s="25"/>
      <c r="E523" s="25"/>
      <c r="F523" s="241"/>
      <c r="G523" s="21" t="b">
        <f t="shared" ref="G523:H523" si="431">ISBLANK(M523)</f>
        <v>1</v>
      </c>
      <c r="H523" s="21" t="b">
        <f t="shared" si="431"/>
        <v>1</v>
      </c>
      <c r="I523" s="25"/>
      <c r="J523" s="25"/>
      <c r="K523" s="25"/>
      <c r="L523" s="25"/>
      <c r="M523" s="16"/>
      <c r="N523" s="16"/>
      <c r="O523" s="25"/>
      <c r="P523" s="25"/>
      <c r="Q523" s="25"/>
      <c r="R523" s="25"/>
      <c r="S523" s="25"/>
      <c r="T523" s="25"/>
      <c r="U523" s="25"/>
      <c r="V523" s="25"/>
      <c r="W523" s="25"/>
      <c r="X523" s="25"/>
      <c r="Y523" s="25"/>
      <c r="Z523" s="25"/>
      <c r="AA523" s="25"/>
      <c r="AB523" s="25"/>
    </row>
    <row r="524">
      <c r="A524" s="25"/>
      <c r="B524" s="25"/>
      <c r="C524" s="25"/>
      <c r="D524" s="25"/>
      <c r="E524" s="25"/>
      <c r="F524" s="241"/>
      <c r="G524" s="21" t="b">
        <f t="shared" ref="G524:H524" si="432">ISBLANK(M524)</f>
        <v>1</v>
      </c>
      <c r="H524" s="21" t="b">
        <f t="shared" si="432"/>
        <v>1</v>
      </c>
      <c r="I524" s="25"/>
      <c r="J524" s="25"/>
      <c r="K524" s="25"/>
      <c r="L524" s="25"/>
      <c r="M524" s="16"/>
      <c r="N524" s="16"/>
      <c r="O524" s="25"/>
      <c r="P524" s="25"/>
      <c r="Q524" s="25"/>
      <c r="R524" s="25"/>
      <c r="S524" s="25"/>
      <c r="T524" s="25"/>
      <c r="U524" s="25"/>
      <c r="V524" s="25"/>
      <c r="W524" s="25"/>
      <c r="X524" s="25"/>
      <c r="Y524" s="25"/>
      <c r="Z524" s="25"/>
      <c r="AA524" s="25"/>
      <c r="AB524" s="25"/>
    </row>
    <row r="525">
      <c r="A525" s="25"/>
      <c r="B525" s="25"/>
      <c r="C525" s="25"/>
      <c r="D525" s="25"/>
      <c r="E525" s="25"/>
      <c r="F525" s="241"/>
      <c r="G525" s="21" t="b">
        <f t="shared" ref="G525:H525" si="433">ISBLANK(M525)</f>
        <v>1</v>
      </c>
      <c r="H525" s="21" t="b">
        <f t="shared" si="433"/>
        <v>1</v>
      </c>
      <c r="I525" s="25"/>
      <c r="J525" s="25"/>
      <c r="K525" s="25"/>
      <c r="L525" s="25"/>
      <c r="M525" s="16"/>
      <c r="N525" s="16"/>
      <c r="O525" s="25"/>
      <c r="P525" s="25"/>
      <c r="Q525" s="25"/>
      <c r="R525" s="25"/>
      <c r="S525" s="25"/>
      <c r="T525" s="25"/>
      <c r="U525" s="25"/>
      <c r="V525" s="25"/>
      <c r="W525" s="25"/>
      <c r="X525" s="25"/>
      <c r="Y525" s="25"/>
      <c r="Z525" s="25"/>
      <c r="AA525" s="25"/>
      <c r="AB525" s="25"/>
    </row>
    <row r="526">
      <c r="A526" s="25"/>
      <c r="B526" s="25"/>
      <c r="C526" s="25"/>
      <c r="D526" s="25"/>
      <c r="E526" s="25"/>
      <c r="F526" s="241"/>
      <c r="G526" s="21" t="b">
        <f t="shared" ref="G526:H526" si="434">ISBLANK(M526)</f>
        <v>1</v>
      </c>
      <c r="H526" s="21" t="b">
        <f t="shared" si="434"/>
        <v>1</v>
      </c>
      <c r="I526" s="25"/>
      <c r="J526" s="25"/>
      <c r="K526" s="25"/>
      <c r="L526" s="25"/>
      <c r="M526" s="16"/>
      <c r="N526" s="16"/>
      <c r="O526" s="25"/>
      <c r="P526" s="25"/>
      <c r="Q526" s="25"/>
      <c r="R526" s="25"/>
      <c r="S526" s="25"/>
      <c r="T526" s="25"/>
      <c r="U526" s="25"/>
      <c r="V526" s="25"/>
      <c r="W526" s="25"/>
      <c r="X526" s="25"/>
      <c r="Y526" s="25"/>
      <c r="Z526" s="25"/>
      <c r="AA526" s="25"/>
      <c r="AB526" s="25"/>
    </row>
    <row r="527">
      <c r="A527" s="25"/>
      <c r="B527" s="25"/>
      <c r="C527" s="25"/>
      <c r="D527" s="25"/>
      <c r="E527" s="25"/>
      <c r="F527" s="241"/>
      <c r="G527" s="21" t="b">
        <f t="shared" ref="G527:H527" si="435">ISBLANK(M527)</f>
        <v>1</v>
      </c>
      <c r="H527" s="21" t="b">
        <f t="shared" si="435"/>
        <v>1</v>
      </c>
      <c r="I527" s="25"/>
      <c r="J527" s="25"/>
      <c r="K527" s="25"/>
      <c r="L527" s="25"/>
      <c r="M527" s="16"/>
      <c r="N527" s="16"/>
      <c r="O527" s="25"/>
      <c r="P527" s="25"/>
      <c r="Q527" s="25"/>
      <c r="R527" s="25"/>
      <c r="S527" s="25"/>
      <c r="T527" s="25"/>
      <c r="U527" s="25"/>
      <c r="V527" s="25"/>
      <c r="W527" s="25"/>
      <c r="X527" s="25"/>
      <c r="Y527" s="25"/>
      <c r="Z527" s="25"/>
      <c r="AA527" s="25"/>
      <c r="AB527" s="25"/>
    </row>
    <row r="528">
      <c r="A528" s="25"/>
      <c r="B528" s="25"/>
      <c r="C528" s="25"/>
      <c r="D528" s="25"/>
      <c r="E528" s="25"/>
      <c r="F528" s="241"/>
      <c r="G528" s="21" t="b">
        <f t="shared" ref="G528:H528" si="436">ISBLANK(M528)</f>
        <v>1</v>
      </c>
      <c r="H528" s="21" t="b">
        <f t="shared" si="436"/>
        <v>1</v>
      </c>
      <c r="I528" s="25"/>
      <c r="J528" s="25"/>
      <c r="K528" s="25"/>
      <c r="L528" s="25"/>
      <c r="M528" s="16"/>
      <c r="N528" s="16"/>
      <c r="O528" s="25"/>
      <c r="P528" s="25"/>
      <c r="Q528" s="25"/>
      <c r="R528" s="25"/>
      <c r="S528" s="25"/>
      <c r="T528" s="25"/>
      <c r="U528" s="25"/>
      <c r="V528" s="25"/>
      <c r="W528" s="25"/>
      <c r="X528" s="25"/>
      <c r="Y528" s="25"/>
      <c r="Z528" s="25"/>
      <c r="AA528" s="25"/>
      <c r="AB528" s="25"/>
    </row>
    <row r="529">
      <c r="A529" s="25"/>
      <c r="B529" s="25"/>
      <c r="C529" s="25"/>
      <c r="D529" s="25"/>
      <c r="E529" s="25"/>
      <c r="F529" s="241"/>
      <c r="G529" s="21" t="b">
        <f t="shared" ref="G529:H529" si="437">ISBLANK(M529)</f>
        <v>1</v>
      </c>
      <c r="H529" s="21" t="b">
        <f t="shared" si="437"/>
        <v>1</v>
      </c>
      <c r="I529" s="25"/>
      <c r="J529" s="25"/>
      <c r="K529" s="25"/>
      <c r="L529" s="25"/>
      <c r="M529" s="16"/>
      <c r="N529" s="16"/>
      <c r="O529" s="25"/>
      <c r="P529" s="25"/>
      <c r="Q529" s="25"/>
      <c r="R529" s="25"/>
      <c r="S529" s="25"/>
      <c r="T529" s="25"/>
      <c r="U529" s="25"/>
      <c r="V529" s="25"/>
      <c r="W529" s="25"/>
      <c r="X529" s="25"/>
      <c r="Y529" s="25"/>
      <c r="Z529" s="25"/>
      <c r="AA529" s="25"/>
      <c r="AB529" s="25"/>
    </row>
    <row r="530">
      <c r="A530" s="25"/>
      <c r="B530" s="25"/>
      <c r="C530" s="25"/>
      <c r="D530" s="25"/>
      <c r="E530" s="25"/>
      <c r="F530" s="241"/>
      <c r="G530" s="21" t="b">
        <f t="shared" ref="G530:H530" si="438">ISBLANK(M530)</f>
        <v>1</v>
      </c>
      <c r="H530" s="21" t="b">
        <f t="shared" si="438"/>
        <v>1</v>
      </c>
      <c r="I530" s="25"/>
      <c r="J530" s="25"/>
      <c r="K530" s="25"/>
      <c r="L530" s="25"/>
      <c r="M530" s="16"/>
      <c r="N530" s="16"/>
      <c r="O530" s="25"/>
      <c r="P530" s="25"/>
      <c r="Q530" s="25"/>
      <c r="R530" s="25"/>
      <c r="S530" s="25"/>
      <c r="T530" s="25"/>
      <c r="U530" s="25"/>
      <c r="V530" s="25"/>
      <c r="W530" s="25"/>
      <c r="X530" s="25"/>
      <c r="Y530" s="25"/>
      <c r="Z530" s="25"/>
      <c r="AA530" s="25"/>
      <c r="AB530" s="25"/>
    </row>
    <row r="531">
      <c r="A531" s="25"/>
      <c r="B531" s="25"/>
      <c r="C531" s="25"/>
      <c r="D531" s="25"/>
      <c r="E531" s="25"/>
      <c r="F531" s="241"/>
      <c r="G531" s="21" t="b">
        <f t="shared" ref="G531:H531" si="439">ISBLANK(M531)</f>
        <v>1</v>
      </c>
      <c r="H531" s="21" t="b">
        <f t="shared" si="439"/>
        <v>1</v>
      </c>
      <c r="I531" s="25"/>
      <c r="J531" s="25"/>
      <c r="K531" s="25"/>
      <c r="L531" s="25"/>
      <c r="M531" s="16"/>
      <c r="N531" s="16"/>
      <c r="O531" s="25"/>
      <c r="P531" s="25"/>
      <c r="Q531" s="25"/>
      <c r="R531" s="25"/>
      <c r="S531" s="25"/>
      <c r="T531" s="25"/>
      <c r="U531" s="25"/>
      <c r="V531" s="25"/>
      <c r="W531" s="25"/>
      <c r="X531" s="25"/>
      <c r="Y531" s="25"/>
      <c r="Z531" s="25"/>
      <c r="AA531" s="25"/>
      <c r="AB531" s="25"/>
    </row>
    <row r="532">
      <c r="A532" s="25"/>
      <c r="B532" s="25"/>
      <c r="C532" s="25"/>
      <c r="D532" s="25"/>
      <c r="E532" s="25"/>
      <c r="F532" s="241"/>
      <c r="G532" s="21" t="b">
        <f t="shared" ref="G532:H532" si="440">ISBLANK(M532)</f>
        <v>1</v>
      </c>
      <c r="H532" s="21" t="b">
        <f t="shared" si="440"/>
        <v>1</v>
      </c>
      <c r="I532" s="25"/>
      <c r="J532" s="25"/>
      <c r="K532" s="25"/>
      <c r="L532" s="25"/>
      <c r="M532" s="16"/>
      <c r="N532" s="16"/>
      <c r="O532" s="25"/>
      <c r="P532" s="25"/>
      <c r="Q532" s="25"/>
      <c r="R532" s="25"/>
      <c r="S532" s="25"/>
      <c r="T532" s="25"/>
      <c r="U532" s="25"/>
      <c r="V532" s="25"/>
      <c r="W532" s="25"/>
      <c r="X532" s="25"/>
      <c r="Y532" s="25"/>
      <c r="Z532" s="25"/>
      <c r="AA532" s="25"/>
      <c r="AB532" s="25"/>
    </row>
    <row r="533">
      <c r="A533" s="25"/>
      <c r="B533" s="25"/>
      <c r="C533" s="25"/>
      <c r="D533" s="25"/>
      <c r="E533" s="25"/>
      <c r="F533" s="241"/>
      <c r="G533" s="21" t="b">
        <f t="shared" ref="G533:H533" si="441">ISBLANK(M533)</f>
        <v>1</v>
      </c>
      <c r="H533" s="21" t="b">
        <f t="shared" si="441"/>
        <v>1</v>
      </c>
      <c r="I533" s="25"/>
      <c r="J533" s="25"/>
      <c r="K533" s="25"/>
      <c r="L533" s="25"/>
      <c r="M533" s="16"/>
      <c r="N533" s="16"/>
      <c r="O533" s="25"/>
      <c r="P533" s="25"/>
      <c r="Q533" s="25"/>
      <c r="R533" s="25"/>
      <c r="S533" s="25"/>
      <c r="T533" s="25"/>
      <c r="U533" s="25"/>
      <c r="V533" s="25"/>
      <c r="W533" s="25"/>
      <c r="X533" s="25"/>
      <c r="Y533" s="25"/>
      <c r="Z533" s="25"/>
      <c r="AA533" s="25"/>
      <c r="AB533" s="25"/>
    </row>
    <row r="534">
      <c r="A534" s="25"/>
      <c r="B534" s="25"/>
      <c r="C534" s="25"/>
      <c r="D534" s="25"/>
      <c r="E534" s="25"/>
      <c r="F534" s="241"/>
      <c r="G534" s="21" t="b">
        <f t="shared" ref="G534:H534" si="442">ISBLANK(M534)</f>
        <v>1</v>
      </c>
      <c r="H534" s="21" t="b">
        <f t="shared" si="442"/>
        <v>1</v>
      </c>
      <c r="I534" s="25"/>
      <c r="J534" s="25"/>
      <c r="K534" s="25"/>
      <c r="L534" s="25"/>
      <c r="M534" s="16"/>
      <c r="N534" s="16"/>
      <c r="O534" s="25"/>
      <c r="P534" s="25"/>
      <c r="Q534" s="25"/>
      <c r="R534" s="25"/>
      <c r="S534" s="25"/>
      <c r="T534" s="25"/>
      <c r="U534" s="25"/>
      <c r="V534" s="25"/>
      <c r="W534" s="25"/>
      <c r="X534" s="25"/>
      <c r="Y534" s="25"/>
      <c r="Z534" s="25"/>
      <c r="AA534" s="25"/>
      <c r="AB534" s="25"/>
    </row>
    <row r="535">
      <c r="A535" s="25"/>
      <c r="B535" s="25"/>
      <c r="C535" s="25"/>
      <c r="D535" s="25"/>
      <c r="E535" s="25"/>
      <c r="F535" s="241"/>
      <c r="G535" s="21" t="b">
        <f t="shared" ref="G535:H535" si="443">ISBLANK(M535)</f>
        <v>1</v>
      </c>
      <c r="H535" s="21" t="b">
        <f t="shared" si="443"/>
        <v>1</v>
      </c>
      <c r="I535" s="25"/>
      <c r="J535" s="25"/>
      <c r="K535" s="25"/>
      <c r="L535" s="25"/>
      <c r="M535" s="16"/>
      <c r="N535" s="16"/>
      <c r="O535" s="25"/>
      <c r="P535" s="25"/>
      <c r="Q535" s="25"/>
      <c r="R535" s="25"/>
      <c r="S535" s="25"/>
      <c r="T535" s="25"/>
      <c r="U535" s="25"/>
      <c r="V535" s="25"/>
      <c r="W535" s="25"/>
      <c r="X535" s="25"/>
      <c r="Y535" s="25"/>
      <c r="Z535" s="25"/>
      <c r="AA535" s="25"/>
      <c r="AB535" s="25"/>
    </row>
    <row r="536">
      <c r="A536" s="25"/>
      <c r="B536" s="25"/>
      <c r="C536" s="25"/>
      <c r="D536" s="25"/>
      <c r="E536" s="25"/>
      <c r="F536" s="241"/>
      <c r="G536" s="21" t="b">
        <f t="shared" ref="G536:H536" si="444">ISBLANK(M536)</f>
        <v>1</v>
      </c>
      <c r="H536" s="21" t="b">
        <f t="shared" si="444"/>
        <v>1</v>
      </c>
      <c r="I536" s="25"/>
      <c r="J536" s="25"/>
      <c r="K536" s="25"/>
      <c r="L536" s="25"/>
      <c r="M536" s="16"/>
      <c r="N536" s="16"/>
      <c r="O536" s="25"/>
      <c r="P536" s="25"/>
      <c r="Q536" s="25"/>
      <c r="R536" s="25"/>
      <c r="S536" s="25"/>
      <c r="T536" s="25"/>
      <c r="U536" s="25"/>
      <c r="V536" s="25"/>
      <c r="W536" s="25"/>
      <c r="X536" s="25"/>
      <c r="Y536" s="25"/>
      <c r="Z536" s="25"/>
      <c r="AA536" s="25"/>
      <c r="AB536" s="25"/>
    </row>
    <row r="537">
      <c r="A537" s="25"/>
      <c r="B537" s="25"/>
      <c r="C537" s="25"/>
      <c r="D537" s="25"/>
      <c r="E537" s="25"/>
      <c r="F537" s="241"/>
      <c r="G537" s="21" t="b">
        <f t="shared" ref="G537:H537" si="445">ISBLANK(M537)</f>
        <v>1</v>
      </c>
      <c r="H537" s="21" t="b">
        <f t="shared" si="445"/>
        <v>1</v>
      </c>
      <c r="I537" s="25"/>
      <c r="J537" s="25"/>
      <c r="K537" s="25"/>
      <c r="L537" s="25"/>
      <c r="M537" s="16"/>
      <c r="N537" s="16"/>
      <c r="O537" s="25"/>
      <c r="P537" s="25"/>
      <c r="Q537" s="25"/>
      <c r="R537" s="25"/>
      <c r="S537" s="25"/>
      <c r="T537" s="25"/>
      <c r="U537" s="25"/>
      <c r="V537" s="25"/>
      <c r="W537" s="25"/>
      <c r="X537" s="25"/>
      <c r="Y537" s="25"/>
      <c r="Z537" s="25"/>
      <c r="AA537" s="25"/>
      <c r="AB537" s="25"/>
    </row>
    <row r="538">
      <c r="A538" s="25"/>
      <c r="B538" s="25"/>
      <c r="C538" s="25"/>
      <c r="D538" s="25"/>
      <c r="E538" s="25"/>
      <c r="F538" s="241"/>
      <c r="G538" s="21" t="b">
        <f t="shared" ref="G538:H538" si="446">ISBLANK(M538)</f>
        <v>1</v>
      </c>
      <c r="H538" s="21" t="b">
        <f t="shared" si="446"/>
        <v>1</v>
      </c>
      <c r="I538" s="25"/>
      <c r="J538" s="25"/>
      <c r="K538" s="25"/>
      <c r="L538" s="25"/>
      <c r="M538" s="16"/>
      <c r="N538" s="16"/>
      <c r="O538" s="25"/>
      <c r="P538" s="25"/>
      <c r="Q538" s="25"/>
      <c r="R538" s="25"/>
      <c r="S538" s="25"/>
      <c r="T538" s="25"/>
      <c r="U538" s="25"/>
      <c r="V538" s="25"/>
      <c r="W538" s="25"/>
      <c r="X538" s="25"/>
      <c r="Y538" s="25"/>
      <c r="Z538" s="25"/>
      <c r="AA538" s="25"/>
      <c r="AB538" s="25"/>
    </row>
    <row r="539">
      <c r="A539" s="25"/>
      <c r="B539" s="25"/>
      <c r="C539" s="25"/>
      <c r="D539" s="25"/>
      <c r="E539" s="25"/>
      <c r="F539" s="241"/>
      <c r="G539" s="21" t="b">
        <f t="shared" ref="G539:H539" si="447">ISBLANK(M539)</f>
        <v>1</v>
      </c>
      <c r="H539" s="21" t="b">
        <f t="shared" si="447"/>
        <v>1</v>
      </c>
      <c r="I539" s="25"/>
      <c r="J539" s="25"/>
      <c r="K539" s="25"/>
      <c r="L539" s="25"/>
      <c r="M539" s="16"/>
      <c r="N539" s="16"/>
      <c r="O539" s="25"/>
      <c r="P539" s="25"/>
      <c r="Q539" s="25"/>
      <c r="R539" s="25"/>
      <c r="S539" s="25"/>
      <c r="T539" s="25"/>
      <c r="U539" s="25"/>
      <c r="V539" s="25"/>
      <c r="W539" s="25"/>
      <c r="X539" s="25"/>
      <c r="Y539" s="25"/>
      <c r="Z539" s="25"/>
      <c r="AA539" s="25"/>
      <c r="AB539" s="25"/>
    </row>
    <row r="540">
      <c r="A540" s="25"/>
      <c r="B540" s="25"/>
      <c r="C540" s="25"/>
      <c r="D540" s="25"/>
      <c r="E540" s="25"/>
      <c r="F540" s="241"/>
      <c r="G540" s="21" t="b">
        <f t="shared" ref="G540:H540" si="448">ISBLANK(M540)</f>
        <v>1</v>
      </c>
      <c r="H540" s="21" t="b">
        <f t="shared" si="448"/>
        <v>1</v>
      </c>
      <c r="I540" s="25"/>
      <c r="J540" s="25"/>
      <c r="K540" s="25"/>
      <c r="L540" s="25"/>
      <c r="M540" s="16"/>
      <c r="N540" s="16"/>
      <c r="O540" s="25"/>
      <c r="P540" s="25"/>
      <c r="Q540" s="25"/>
      <c r="R540" s="25"/>
      <c r="S540" s="25"/>
      <c r="T540" s="25"/>
      <c r="U540" s="25"/>
      <c r="V540" s="25"/>
      <c r="W540" s="25"/>
      <c r="X540" s="25"/>
      <c r="Y540" s="25"/>
      <c r="Z540" s="25"/>
      <c r="AA540" s="25"/>
      <c r="AB540" s="25"/>
    </row>
    <row r="541">
      <c r="A541" s="25"/>
      <c r="B541" s="25"/>
      <c r="C541" s="25"/>
      <c r="D541" s="25"/>
      <c r="E541" s="25"/>
      <c r="F541" s="241"/>
      <c r="G541" s="21" t="b">
        <f t="shared" ref="G541:H541" si="449">ISBLANK(M541)</f>
        <v>1</v>
      </c>
      <c r="H541" s="21" t="b">
        <f t="shared" si="449"/>
        <v>1</v>
      </c>
      <c r="I541" s="25"/>
      <c r="J541" s="25"/>
      <c r="K541" s="25"/>
      <c r="L541" s="25"/>
      <c r="M541" s="16"/>
      <c r="N541" s="16"/>
      <c r="O541" s="25"/>
      <c r="P541" s="25"/>
      <c r="Q541" s="25"/>
      <c r="R541" s="25"/>
      <c r="S541" s="25"/>
      <c r="T541" s="25"/>
      <c r="U541" s="25"/>
      <c r="V541" s="25"/>
      <c r="W541" s="25"/>
      <c r="X541" s="25"/>
      <c r="Y541" s="25"/>
      <c r="Z541" s="25"/>
      <c r="AA541" s="25"/>
      <c r="AB541" s="25"/>
    </row>
    <row r="542">
      <c r="A542" s="25"/>
      <c r="B542" s="25"/>
      <c r="C542" s="25"/>
      <c r="D542" s="25"/>
      <c r="E542" s="25"/>
      <c r="F542" s="241"/>
      <c r="G542" s="21" t="b">
        <f t="shared" ref="G542:H542" si="450">ISBLANK(M542)</f>
        <v>1</v>
      </c>
      <c r="H542" s="21" t="b">
        <f t="shared" si="450"/>
        <v>1</v>
      </c>
      <c r="I542" s="25"/>
      <c r="J542" s="25"/>
      <c r="K542" s="25"/>
      <c r="L542" s="25"/>
      <c r="M542" s="16"/>
      <c r="N542" s="16"/>
      <c r="O542" s="25"/>
      <c r="P542" s="25"/>
      <c r="Q542" s="25"/>
      <c r="R542" s="25"/>
      <c r="S542" s="25"/>
      <c r="T542" s="25"/>
      <c r="U542" s="25"/>
      <c r="V542" s="25"/>
      <c r="W542" s="25"/>
      <c r="X542" s="25"/>
      <c r="Y542" s="25"/>
      <c r="Z542" s="25"/>
      <c r="AA542" s="25"/>
      <c r="AB542" s="25"/>
    </row>
    <row r="543">
      <c r="A543" s="25"/>
      <c r="B543" s="25"/>
      <c r="C543" s="25"/>
      <c r="D543" s="25"/>
      <c r="E543" s="25"/>
      <c r="F543" s="241"/>
      <c r="G543" s="21" t="b">
        <f t="shared" ref="G543:H543" si="451">ISBLANK(M543)</f>
        <v>1</v>
      </c>
      <c r="H543" s="21" t="b">
        <f t="shared" si="451"/>
        <v>1</v>
      </c>
      <c r="I543" s="25"/>
      <c r="J543" s="25"/>
      <c r="K543" s="25"/>
      <c r="L543" s="25"/>
      <c r="M543" s="16"/>
      <c r="N543" s="16"/>
      <c r="O543" s="25"/>
      <c r="P543" s="25"/>
      <c r="Q543" s="25"/>
      <c r="R543" s="25"/>
      <c r="S543" s="25"/>
      <c r="T543" s="25"/>
      <c r="U543" s="25"/>
      <c r="V543" s="25"/>
      <c r="W543" s="25"/>
      <c r="X543" s="25"/>
      <c r="Y543" s="25"/>
      <c r="Z543" s="25"/>
      <c r="AA543" s="25"/>
      <c r="AB543" s="25"/>
    </row>
    <row r="544">
      <c r="A544" s="25"/>
      <c r="B544" s="25"/>
      <c r="C544" s="25"/>
      <c r="D544" s="25"/>
      <c r="E544" s="25"/>
      <c r="F544" s="241"/>
      <c r="G544" s="21" t="b">
        <f t="shared" ref="G544:H544" si="452">ISBLANK(M544)</f>
        <v>1</v>
      </c>
      <c r="H544" s="21" t="b">
        <f t="shared" si="452"/>
        <v>1</v>
      </c>
      <c r="I544" s="25"/>
      <c r="J544" s="25"/>
      <c r="K544" s="25"/>
      <c r="L544" s="25"/>
      <c r="M544" s="16"/>
      <c r="N544" s="16"/>
      <c r="O544" s="25"/>
      <c r="P544" s="25"/>
      <c r="Q544" s="25"/>
      <c r="R544" s="25"/>
      <c r="S544" s="25"/>
      <c r="T544" s="25"/>
      <c r="U544" s="25"/>
      <c r="V544" s="25"/>
      <c r="W544" s="25"/>
      <c r="X544" s="25"/>
      <c r="Y544" s="25"/>
      <c r="Z544" s="25"/>
      <c r="AA544" s="25"/>
      <c r="AB544" s="25"/>
    </row>
    <row r="545">
      <c r="A545" s="25"/>
      <c r="B545" s="25"/>
      <c r="C545" s="25"/>
      <c r="D545" s="25"/>
      <c r="E545" s="25"/>
      <c r="F545" s="241"/>
      <c r="G545" s="21" t="b">
        <f t="shared" ref="G545:H545" si="453">ISBLANK(M545)</f>
        <v>1</v>
      </c>
      <c r="H545" s="21" t="b">
        <f t="shared" si="453"/>
        <v>1</v>
      </c>
      <c r="I545" s="25"/>
      <c r="J545" s="25"/>
      <c r="K545" s="25"/>
      <c r="L545" s="25"/>
      <c r="M545" s="16"/>
      <c r="N545" s="16"/>
      <c r="O545" s="25"/>
      <c r="P545" s="25"/>
      <c r="Q545" s="25"/>
      <c r="R545" s="25"/>
      <c r="S545" s="25"/>
      <c r="T545" s="25"/>
      <c r="U545" s="25"/>
      <c r="V545" s="25"/>
      <c r="W545" s="25"/>
      <c r="X545" s="25"/>
      <c r="Y545" s="25"/>
      <c r="Z545" s="25"/>
      <c r="AA545" s="25"/>
      <c r="AB545" s="25"/>
    </row>
    <row r="546">
      <c r="A546" s="25"/>
      <c r="B546" s="25"/>
      <c r="C546" s="25"/>
      <c r="D546" s="25"/>
      <c r="E546" s="25"/>
      <c r="F546" s="241"/>
      <c r="G546" s="21" t="b">
        <f t="shared" ref="G546:H546" si="454">ISBLANK(M546)</f>
        <v>1</v>
      </c>
      <c r="H546" s="21" t="b">
        <f t="shared" si="454"/>
        <v>1</v>
      </c>
      <c r="I546" s="25"/>
      <c r="J546" s="25"/>
      <c r="K546" s="25"/>
      <c r="L546" s="25"/>
      <c r="M546" s="16"/>
      <c r="N546" s="16"/>
      <c r="O546" s="25"/>
      <c r="P546" s="25"/>
      <c r="Q546" s="25"/>
      <c r="R546" s="25"/>
      <c r="S546" s="25"/>
      <c r="T546" s="25"/>
      <c r="U546" s="25"/>
      <c r="V546" s="25"/>
      <c r="W546" s="25"/>
      <c r="X546" s="25"/>
      <c r="Y546" s="25"/>
      <c r="Z546" s="25"/>
      <c r="AA546" s="25"/>
      <c r="AB546" s="25"/>
    </row>
    <row r="547">
      <c r="A547" s="25"/>
      <c r="B547" s="25"/>
      <c r="C547" s="25"/>
      <c r="D547" s="25"/>
      <c r="E547" s="25"/>
      <c r="F547" s="241"/>
      <c r="G547" s="21" t="b">
        <f t="shared" ref="G547:H547" si="455">ISBLANK(M547)</f>
        <v>1</v>
      </c>
      <c r="H547" s="21" t="b">
        <f t="shared" si="455"/>
        <v>1</v>
      </c>
      <c r="I547" s="25"/>
      <c r="J547" s="25"/>
      <c r="K547" s="25"/>
      <c r="L547" s="25"/>
      <c r="M547" s="16"/>
      <c r="N547" s="16"/>
      <c r="O547" s="25"/>
      <c r="P547" s="25"/>
      <c r="Q547" s="25"/>
      <c r="R547" s="25"/>
      <c r="S547" s="25"/>
      <c r="T547" s="25"/>
      <c r="U547" s="25"/>
      <c r="V547" s="25"/>
      <c r="W547" s="25"/>
      <c r="X547" s="25"/>
      <c r="Y547" s="25"/>
      <c r="Z547" s="25"/>
      <c r="AA547" s="25"/>
      <c r="AB547" s="25"/>
    </row>
    <row r="548">
      <c r="A548" s="25"/>
      <c r="B548" s="25"/>
      <c r="C548" s="25"/>
      <c r="D548" s="25"/>
      <c r="E548" s="25"/>
      <c r="F548" s="241"/>
      <c r="G548" s="21" t="b">
        <f t="shared" ref="G548:H548" si="456">ISBLANK(M548)</f>
        <v>1</v>
      </c>
      <c r="H548" s="21" t="b">
        <f t="shared" si="456"/>
        <v>1</v>
      </c>
      <c r="I548" s="25"/>
      <c r="J548" s="25"/>
      <c r="K548" s="25"/>
      <c r="L548" s="25"/>
      <c r="M548" s="16"/>
      <c r="N548" s="16"/>
      <c r="O548" s="25"/>
      <c r="P548" s="25"/>
      <c r="Q548" s="25"/>
      <c r="R548" s="25"/>
      <c r="S548" s="25"/>
      <c r="T548" s="25"/>
      <c r="U548" s="25"/>
      <c r="V548" s="25"/>
      <c r="W548" s="25"/>
      <c r="X548" s="25"/>
      <c r="Y548" s="25"/>
      <c r="Z548" s="25"/>
      <c r="AA548" s="25"/>
      <c r="AB548" s="25"/>
    </row>
    <row r="549">
      <c r="A549" s="25"/>
      <c r="B549" s="25"/>
      <c r="C549" s="25"/>
      <c r="D549" s="25"/>
      <c r="E549" s="25"/>
      <c r="F549" s="241"/>
      <c r="G549" s="21" t="b">
        <f t="shared" ref="G549:H549" si="457">ISBLANK(M549)</f>
        <v>1</v>
      </c>
      <c r="H549" s="21" t="b">
        <f t="shared" si="457"/>
        <v>1</v>
      </c>
      <c r="I549" s="25"/>
      <c r="J549" s="25"/>
      <c r="K549" s="25"/>
      <c r="L549" s="25"/>
      <c r="M549" s="16"/>
      <c r="N549" s="16"/>
      <c r="O549" s="25"/>
      <c r="P549" s="25"/>
      <c r="Q549" s="25"/>
      <c r="R549" s="25"/>
      <c r="S549" s="25"/>
      <c r="T549" s="25"/>
      <c r="U549" s="25"/>
      <c r="V549" s="25"/>
      <c r="W549" s="25"/>
      <c r="X549" s="25"/>
      <c r="Y549" s="25"/>
      <c r="Z549" s="25"/>
      <c r="AA549" s="25"/>
      <c r="AB549" s="25"/>
    </row>
    <row r="550">
      <c r="A550" s="25"/>
      <c r="B550" s="25"/>
      <c r="C550" s="25"/>
      <c r="D550" s="25"/>
      <c r="E550" s="25"/>
      <c r="F550" s="241"/>
      <c r="G550" s="21" t="b">
        <f t="shared" ref="G550:H550" si="458">ISBLANK(M550)</f>
        <v>1</v>
      </c>
      <c r="H550" s="21" t="b">
        <f t="shared" si="458"/>
        <v>1</v>
      </c>
      <c r="I550" s="25"/>
      <c r="J550" s="25"/>
      <c r="K550" s="25"/>
      <c r="L550" s="25"/>
      <c r="M550" s="16"/>
      <c r="N550" s="16"/>
      <c r="O550" s="25"/>
      <c r="P550" s="25"/>
      <c r="Q550" s="25"/>
      <c r="R550" s="25"/>
      <c r="S550" s="25"/>
      <c r="T550" s="25"/>
      <c r="U550" s="25"/>
      <c r="V550" s="25"/>
      <c r="W550" s="25"/>
      <c r="X550" s="25"/>
      <c r="Y550" s="25"/>
      <c r="Z550" s="25"/>
      <c r="AA550" s="25"/>
      <c r="AB550" s="25"/>
    </row>
    <row r="551">
      <c r="A551" s="25"/>
      <c r="B551" s="25"/>
      <c r="C551" s="25"/>
      <c r="D551" s="25"/>
      <c r="E551" s="25"/>
      <c r="F551" s="241"/>
      <c r="G551" s="21" t="b">
        <f t="shared" ref="G551:H551" si="459">ISBLANK(M551)</f>
        <v>1</v>
      </c>
      <c r="H551" s="21" t="b">
        <f t="shared" si="459"/>
        <v>1</v>
      </c>
      <c r="I551" s="25"/>
      <c r="J551" s="25"/>
      <c r="K551" s="25"/>
      <c r="L551" s="25"/>
      <c r="M551" s="16"/>
      <c r="N551" s="16"/>
      <c r="O551" s="25"/>
      <c r="P551" s="25"/>
      <c r="Q551" s="25"/>
      <c r="R551" s="25"/>
      <c r="S551" s="25"/>
      <c r="T551" s="25"/>
      <c r="U551" s="25"/>
      <c r="V551" s="25"/>
      <c r="W551" s="25"/>
      <c r="X551" s="25"/>
      <c r="Y551" s="25"/>
      <c r="Z551" s="25"/>
      <c r="AA551" s="25"/>
      <c r="AB551" s="25"/>
    </row>
    <row r="552">
      <c r="A552" s="25"/>
      <c r="B552" s="25"/>
      <c r="C552" s="25"/>
      <c r="D552" s="25"/>
      <c r="E552" s="25"/>
      <c r="F552" s="241"/>
      <c r="G552" s="21" t="b">
        <f t="shared" ref="G552:H552" si="460">ISBLANK(M552)</f>
        <v>1</v>
      </c>
      <c r="H552" s="21" t="b">
        <f t="shared" si="460"/>
        <v>1</v>
      </c>
      <c r="I552" s="25"/>
      <c r="J552" s="25"/>
      <c r="K552" s="25"/>
      <c r="L552" s="25"/>
      <c r="M552" s="16"/>
      <c r="N552" s="16"/>
      <c r="O552" s="25"/>
      <c r="P552" s="25"/>
      <c r="Q552" s="25"/>
      <c r="R552" s="25"/>
      <c r="S552" s="25"/>
      <c r="T552" s="25"/>
      <c r="U552" s="25"/>
      <c r="V552" s="25"/>
      <c r="W552" s="25"/>
      <c r="X552" s="25"/>
      <c r="Y552" s="25"/>
      <c r="Z552" s="25"/>
      <c r="AA552" s="25"/>
      <c r="AB552" s="25"/>
    </row>
    <row r="553">
      <c r="A553" s="25"/>
      <c r="B553" s="25"/>
      <c r="C553" s="25"/>
      <c r="D553" s="25"/>
      <c r="E553" s="25"/>
      <c r="F553" s="241"/>
      <c r="G553" s="21" t="b">
        <f t="shared" ref="G553:H553" si="461">ISBLANK(M553)</f>
        <v>1</v>
      </c>
      <c r="H553" s="21" t="b">
        <f t="shared" si="461"/>
        <v>1</v>
      </c>
      <c r="I553" s="25"/>
      <c r="J553" s="25"/>
      <c r="K553" s="25"/>
      <c r="L553" s="25"/>
      <c r="M553" s="16"/>
      <c r="N553" s="16"/>
      <c r="O553" s="25"/>
      <c r="P553" s="25"/>
      <c r="Q553" s="25"/>
      <c r="R553" s="25"/>
      <c r="S553" s="25"/>
      <c r="T553" s="25"/>
      <c r="U553" s="25"/>
      <c r="V553" s="25"/>
      <c r="W553" s="25"/>
      <c r="X553" s="25"/>
      <c r="Y553" s="25"/>
      <c r="Z553" s="25"/>
      <c r="AA553" s="25"/>
      <c r="AB553" s="25"/>
    </row>
    <row r="554">
      <c r="A554" s="25"/>
      <c r="B554" s="25"/>
      <c r="C554" s="25"/>
      <c r="D554" s="25"/>
      <c r="E554" s="25"/>
      <c r="F554" s="241"/>
      <c r="G554" s="21" t="b">
        <f t="shared" ref="G554:H554" si="462">ISBLANK(M554)</f>
        <v>1</v>
      </c>
      <c r="H554" s="21" t="b">
        <f t="shared" si="462"/>
        <v>1</v>
      </c>
      <c r="I554" s="25"/>
      <c r="J554" s="25"/>
      <c r="K554" s="25"/>
      <c r="L554" s="25"/>
      <c r="M554" s="16"/>
      <c r="N554" s="16"/>
      <c r="O554" s="25"/>
      <c r="P554" s="25"/>
      <c r="Q554" s="25"/>
      <c r="R554" s="25"/>
      <c r="S554" s="25"/>
      <c r="T554" s="25"/>
      <c r="U554" s="25"/>
      <c r="V554" s="25"/>
      <c r="W554" s="25"/>
      <c r="X554" s="25"/>
      <c r="Y554" s="25"/>
      <c r="Z554" s="25"/>
      <c r="AA554" s="25"/>
      <c r="AB554" s="25"/>
    </row>
    <row r="555">
      <c r="A555" s="25"/>
      <c r="B555" s="25"/>
      <c r="C555" s="25"/>
      <c r="D555" s="25"/>
      <c r="E555" s="25"/>
      <c r="F555" s="241"/>
      <c r="G555" s="21" t="b">
        <f t="shared" ref="G555:H555" si="463">ISBLANK(M555)</f>
        <v>1</v>
      </c>
      <c r="H555" s="21" t="b">
        <f t="shared" si="463"/>
        <v>1</v>
      </c>
      <c r="I555" s="25"/>
      <c r="J555" s="25"/>
      <c r="K555" s="25"/>
      <c r="L555" s="25"/>
      <c r="M555" s="16"/>
      <c r="N555" s="16"/>
      <c r="O555" s="25"/>
      <c r="P555" s="25"/>
      <c r="Q555" s="25"/>
      <c r="R555" s="25"/>
      <c r="S555" s="25"/>
      <c r="T555" s="25"/>
      <c r="U555" s="25"/>
      <c r="V555" s="25"/>
      <c r="W555" s="25"/>
      <c r="X555" s="25"/>
      <c r="Y555" s="25"/>
      <c r="Z555" s="25"/>
      <c r="AA555" s="25"/>
      <c r="AB555" s="25"/>
    </row>
    <row r="556">
      <c r="A556" s="25"/>
      <c r="B556" s="25"/>
      <c r="C556" s="25"/>
      <c r="D556" s="25"/>
      <c r="E556" s="25"/>
      <c r="F556" s="241"/>
      <c r="G556" s="21" t="b">
        <f t="shared" ref="G556:H556" si="464">ISBLANK(M556)</f>
        <v>1</v>
      </c>
      <c r="H556" s="21" t="b">
        <f t="shared" si="464"/>
        <v>1</v>
      </c>
      <c r="I556" s="25"/>
      <c r="J556" s="25"/>
      <c r="K556" s="25"/>
      <c r="L556" s="25"/>
      <c r="M556" s="16"/>
      <c r="N556" s="16"/>
      <c r="O556" s="25"/>
      <c r="P556" s="25"/>
      <c r="Q556" s="25"/>
      <c r="R556" s="25"/>
      <c r="S556" s="25"/>
      <c r="T556" s="25"/>
      <c r="U556" s="25"/>
      <c r="V556" s="25"/>
      <c r="W556" s="25"/>
      <c r="X556" s="25"/>
      <c r="Y556" s="25"/>
      <c r="Z556" s="25"/>
      <c r="AA556" s="25"/>
      <c r="AB556" s="25"/>
    </row>
    <row r="557">
      <c r="A557" s="25"/>
      <c r="B557" s="25"/>
      <c r="C557" s="25"/>
      <c r="D557" s="25"/>
      <c r="E557" s="25"/>
      <c r="F557" s="241"/>
      <c r="G557" s="21" t="b">
        <f t="shared" ref="G557:H557" si="465">ISBLANK(M557)</f>
        <v>1</v>
      </c>
      <c r="H557" s="21" t="b">
        <f t="shared" si="465"/>
        <v>1</v>
      </c>
      <c r="I557" s="25"/>
      <c r="J557" s="25"/>
      <c r="K557" s="25"/>
      <c r="L557" s="25"/>
      <c r="M557" s="16"/>
      <c r="N557" s="16"/>
      <c r="O557" s="25"/>
      <c r="P557" s="25"/>
      <c r="Q557" s="25"/>
      <c r="R557" s="25"/>
      <c r="S557" s="25"/>
      <c r="T557" s="25"/>
      <c r="U557" s="25"/>
      <c r="V557" s="25"/>
      <c r="W557" s="25"/>
      <c r="X557" s="25"/>
      <c r="Y557" s="25"/>
      <c r="Z557" s="25"/>
      <c r="AA557" s="25"/>
      <c r="AB557" s="25"/>
    </row>
    <row r="558">
      <c r="A558" s="25"/>
      <c r="B558" s="25"/>
      <c r="C558" s="25"/>
      <c r="D558" s="25"/>
      <c r="E558" s="25"/>
      <c r="F558" s="241"/>
      <c r="G558" s="21" t="b">
        <f t="shared" ref="G558:H558" si="466">ISBLANK(M558)</f>
        <v>1</v>
      </c>
      <c r="H558" s="21" t="b">
        <f t="shared" si="466"/>
        <v>1</v>
      </c>
      <c r="I558" s="25"/>
      <c r="J558" s="25"/>
      <c r="K558" s="25"/>
      <c r="L558" s="25"/>
      <c r="M558" s="16"/>
      <c r="N558" s="16"/>
      <c r="O558" s="25"/>
      <c r="P558" s="25"/>
      <c r="Q558" s="25"/>
      <c r="R558" s="25"/>
      <c r="S558" s="25"/>
      <c r="T558" s="25"/>
      <c r="U558" s="25"/>
      <c r="V558" s="25"/>
      <c r="W558" s="25"/>
      <c r="X558" s="25"/>
      <c r="Y558" s="25"/>
      <c r="Z558" s="25"/>
      <c r="AA558" s="25"/>
      <c r="AB558" s="25"/>
    </row>
    <row r="559">
      <c r="A559" s="25"/>
      <c r="B559" s="25"/>
      <c r="C559" s="25"/>
      <c r="D559" s="25"/>
      <c r="E559" s="25"/>
      <c r="F559" s="241"/>
      <c r="G559" s="21" t="b">
        <f t="shared" ref="G559:H559" si="467">ISBLANK(M559)</f>
        <v>1</v>
      </c>
      <c r="H559" s="21" t="b">
        <f t="shared" si="467"/>
        <v>1</v>
      </c>
      <c r="I559" s="25"/>
      <c r="J559" s="25"/>
      <c r="K559" s="25"/>
      <c r="L559" s="25"/>
      <c r="M559" s="16"/>
      <c r="N559" s="16"/>
      <c r="O559" s="25"/>
      <c r="P559" s="25"/>
      <c r="Q559" s="25"/>
      <c r="R559" s="25"/>
      <c r="S559" s="25"/>
      <c r="T559" s="25"/>
      <c r="U559" s="25"/>
      <c r="V559" s="25"/>
      <c r="W559" s="25"/>
      <c r="X559" s="25"/>
      <c r="Y559" s="25"/>
      <c r="Z559" s="25"/>
      <c r="AA559" s="25"/>
      <c r="AB559" s="25"/>
    </row>
    <row r="560">
      <c r="A560" s="25"/>
      <c r="B560" s="25"/>
      <c r="C560" s="25"/>
      <c r="D560" s="25"/>
      <c r="E560" s="25"/>
      <c r="F560" s="241"/>
      <c r="G560" s="21" t="b">
        <f t="shared" ref="G560:H560" si="468">ISBLANK(M560)</f>
        <v>1</v>
      </c>
      <c r="H560" s="21" t="b">
        <f t="shared" si="468"/>
        <v>1</v>
      </c>
      <c r="I560" s="25"/>
      <c r="J560" s="25"/>
      <c r="K560" s="25"/>
      <c r="L560" s="25"/>
      <c r="M560" s="16"/>
      <c r="N560" s="16"/>
      <c r="O560" s="25"/>
      <c r="P560" s="25"/>
      <c r="Q560" s="25"/>
      <c r="R560" s="25"/>
      <c r="S560" s="25"/>
      <c r="T560" s="25"/>
      <c r="U560" s="25"/>
      <c r="V560" s="25"/>
      <c r="W560" s="25"/>
      <c r="X560" s="25"/>
      <c r="Y560" s="25"/>
      <c r="Z560" s="25"/>
      <c r="AA560" s="25"/>
      <c r="AB560" s="25"/>
    </row>
    <row r="561">
      <c r="A561" s="25"/>
      <c r="B561" s="25"/>
      <c r="C561" s="25"/>
      <c r="D561" s="25"/>
      <c r="E561" s="25"/>
      <c r="F561" s="241"/>
      <c r="G561" s="21" t="b">
        <f t="shared" ref="G561:H561" si="469">ISBLANK(M561)</f>
        <v>1</v>
      </c>
      <c r="H561" s="21" t="b">
        <f t="shared" si="469"/>
        <v>1</v>
      </c>
      <c r="I561" s="25"/>
      <c r="J561" s="25"/>
      <c r="K561" s="25"/>
      <c r="L561" s="25"/>
      <c r="M561" s="16"/>
      <c r="N561" s="16"/>
      <c r="O561" s="25"/>
      <c r="P561" s="25"/>
      <c r="Q561" s="25"/>
      <c r="R561" s="25"/>
      <c r="S561" s="25"/>
      <c r="T561" s="25"/>
      <c r="U561" s="25"/>
      <c r="V561" s="25"/>
      <c r="W561" s="25"/>
      <c r="X561" s="25"/>
      <c r="Y561" s="25"/>
      <c r="Z561" s="25"/>
      <c r="AA561" s="25"/>
      <c r="AB561" s="25"/>
    </row>
    <row r="562">
      <c r="A562" s="25"/>
      <c r="B562" s="25"/>
      <c r="C562" s="25"/>
      <c r="D562" s="25"/>
      <c r="E562" s="25"/>
      <c r="F562" s="241"/>
      <c r="G562" s="21" t="b">
        <f t="shared" ref="G562:H562" si="470">ISBLANK(M562)</f>
        <v>1</v>
      </c>
      <c r="H562" s="21" t="b">
        <f t="shared" si="470"/>
        <v>1</v>
      </c>
      <c r="I562" s="25"/>
      <c r="J562" s="25"/>
      <c r="K562" s="25"/>
      <c r="L562" s="25"/>
      <c r="M562" s="16"/>
      <c r="N562" s="16"/>
      <c r="O562" s="25"/>
      <c r="P562" s="25"/>
      <c r="Q562" s="25"/>
      <c r="R562" s="25"/>
      <c r="S562" s="25"/>
      <c r="T562" s="25"/>
      <c r="U562" s="25"/>
      <c r="V562" s="25"/>
      <c r="W562" s="25"/>
      <c r="X562" s="25"/>
      <c r="Y562" s="25"/>
      <c r="Z562" s="25"/>
      <c r="AA562" s="25"/>
      <c r="AB562" s="25"/>
    </row>
    <row r="563">
      <c r="A563" s="25"/>
      <c r="B563" s="25"/>
      <c r="C563" s="25"/>
      <c r="D563" s="25"/>
      <c r="E563" s="25"/>
      <c r="F563" s="241"/>
      <c r="G563" s="21" t="b">
        <f t="shared" ref="G563:H563" si="471">ISBLANK(M563)</f>
        <v>1</v>
      </c>
      <c r="H563" s="21" t="b">
        <f t="shared" si="471"/>
        <v>1</v>
      </c>
      <c r="I563" s="25"/>
      <c r="J563" s="25"/>
      <c r="K563" s="25"/>
      <c r="L563" s="25"/>
      <c r="M563" s="16"/>
      <c r="N563" s="16"/>
      <c r="O563" s="25"/>
      <c r="P563" s="25"/>
      <c r="Q563" s="25"/>
      <c r="R563" s="25"/>
      <c r="S563" s="25"/>
      <c r="T563" s="25"/>
      <c r="U563" s="25"/>
      <c r="V563" s="25"/>
      <c r="W563" s="25"/>
      <c r="X563" s="25"/>
      <c r="Y563" s="25"/>
      <c r="Z563" s="25"/>
      <c r="AA563" s="25"/>
      <c r="AB563" s="25"/>
    </row>
    <row r="564">
      <c r="A564" s="25"/>
      <c r="B564" s="25"/>
      <c r="C564" s="25"/>
      <c r="D564" s="25"/>
      <c r="E564" s="25"/>
      <c r="F564" s="241"/>
      <c r="G564" s="21" t="b">
        <f t="shared" ref="G564:H564" si="472">ISBLANK(M564)</f>
        <v>1</v>
      </c>
      <c r="H564" s="21" t="b">
        <f t="shared" si="472"/>
        <v>1</v>
      </c>
      <c r="I564" s="25"/>
      <c r="J564" s="25"/>
      <c r="K564" s="25"/>
      <c r="L564" s="25"/>
      <c r="M564" s="16"/>
      <c r="N564" s="16"/>
      <c r="O564" s="25"/>
      <c r="P564" s="25"/>
      <c r="Q564" s="25"/>
      <c r="R564" s="25"/>
      <c r="S564" s="25"/>
      <c r="T564" s="25"/>
      <c r="U564" s="25"/>
      <c r="V564" s="25"/>
      <c r="W564" s="25"/>
      <c r="X564" s="25"/>
      <c r="Y564" s="25"/>
      <c r="Z564" s="25"/>
      <c r="AA564" s="25"/>
      <c r="AB564" s="25"/>
    </row>
    <row r="565">
      <c r="A565" s="25"/>
      <c r="B565" s="25"/>
      <c r="C565" s="25"/>
      <c r="D565" s="25"/>
      <c r="E565" s="25"/>
      <c r="F565" s="241"/>
      <c r="G565" s="21" t="b">
        <f t="shared" ref="G565:H565" si="473">ISBLANK(M565)</f>
        <v>1</v>
      </c>
      <c r="H565" s="21" t="b">
        <f t="shared" si="473"/>
        <v>1</v>
      </c>
      <c r="I565" s="25"/>
      <c r="J565" s="25"/>
      <c r="K565" s="25"/>
      <c r="L565" s="25"/>
      <c r="M565" s="16"/>
      <c r="N565" s="16"/>
      <c r="O565" s="25"/>
      <c r="P565" s="25"/>
      <c r="Q565" s="25"/>
      <c r="R565" s="25"/>
      <c r="S565" s="25"/>
      <c r="T565" s="25"/>
      <c r="U565" s="25"/>
      <c r="V565" s="25"/>
      <c r="W565" s="25"/>
      <c r="X565" s="25"/>
      <c r="Y565" s="25"/>
      <c r="Z565" s="25"/>
      <c r="AA565" s="25"/>
      <c r="AB565" s="25"/>
    </row>
    <row r="566">
      <c r="A566" s="25"/>
      <c r="B566" s="25"/>
      <c r="C566" s="25"/>
      <c r="D566" s="25"/>
      <c r="E566" s="25"/>
      <c r="F566" s="241"/>
      <c r="G566" s="21" t="b">
        <f t="shared" ref="G566:H566" si="474">ISBLANK(M566)</f>
        <v>1</v>
      </c>
      <c r="H566" s="21" t="b">
        <f t="shared" si="474"/>
        <v>1</v>
      </c>
      <c r="I566" s="25"/>
      <c r="J566" s="25"/>
      <c r="K566" s="25"/>
      <c r="L566" s="25"/>
      <c r="M566" s="16"/>
      <c r="N566" s="16"/>
      <c r="O566" s="25"/>
      <c r="P566" s="25"/>
      <c r="Q566" s="25"/>
      <c r="R566" s="25"/>
      <c r="S566" s="25"/>
      <c r="T566" s="25"/>
      <c r="U566" s="25"/>
      <c r="V566" s="25"/>
      <c r="W566" s="25"/>
      <c r="X566" s="25"/>
      <c r="Y566" s="25"/>
      <c r="Z566" s="25"/>
      <c r="AA566" s="25"/>
      <c r="AB566" s="25"/>
    </row>
    <row r="567">
      <c r="A567" s="25"/>
      <c r="B567" s="25"/>
      <c r="C567" s="25"/>
      <c r="D567" s="25"/>
      <c r="E567" s="25"/>
      <c r="F567" s="241"/>
      <c r="G567" s="21" t="b">
        <f t="shared" ref="G567:H567" si="475">ISBLANK(M567)</f>
        <v>1</v>
      </c>
      <c r="H567" s="21" t="b">
        <f t="shared" si="475"/>
        <v>1</v>
      </c>
      <c r="I567" s="25"/>
      <c r="J567" s="25"/>
      <c r="K567" s="25"/>
      <c r="L567" s="25"/>
      <c r="M567" s="16"/>
      <c r="N567" s="16"/>
      <c r="O567" s="25"/>
      <c r="P567" s="25"/>
      <c r="Q567" s="25"/>
      <c r="R567" s="25"/>
      <c r="S567" s="25"/>
      <c r="T567" s="25"/>
      <c r="U567" s="25"/>
      <c r="V567" s="25"/>
      <c r="W567" s="25"/>
      <c r="X567" s="25"/>
      <c r="Y567" s="25"/>
      <c r="Z567" s="25"/>
      <c r="AA567" s="25"/>
      <c r="AB567" s="25"/>
    </row>
    <row r="568">
      <c r="A568" s="25"/>
      <c r="B568" s="25"/>
      <c r="C568" s="25"/>
      <c r="D568" s="25"/>
      <c r="E568" s="25"/>
      <c r="F568" s="241"/>
      <c r="G568" s="21" t="b">
        <f t="shared" ref="G568:H568" si="476">ISBLANK(M568)</f>
        <v>1</v>
      </c>
      <c r="H568" s="21" t="b">
        <f t="shared" si="476"/>
        <v>1</v>
      </c>
      <c r="I568" s="25"/>
      <c r="J568" s="25"/>
      <c r="K568" s="25"/>
      <c r="L568" s="25"/>
      <c r="M568" s="16"/>
      <c r="N568" s="16"/>
      <c r="O568" s="25"/>
      <c r="P568" s="25"/>
      <c r="Q568" s="25"/>
      <c r="R568" s="25"/>
      <c r="S568" s="25"/>
      <c r="T568" s="25"/>
      <c r="U568" s="25"/>
      <c r="V568" s="25"/>
      <c r="W568" s="25"/>
      <c r="X568" s="25"/>
      <c r="Y568" s="25"/>
      <c r="Z568" s="25"/>
      <c r="AA568" s="25"/>
      <c r="AB568" s="25"/>
    </row>
    <row r="569">
      <c r="A569" s="25"/>
      <c r="B569" s="25"/>
      <c r="C569" s="25"/>
      <c r="D569" s="25"/>
      <c r="E569" s="25"/>
      <c r="F569" s="241"/>
      <c r="G569" s="21" t="b">
        <f t="shared" ref="G569:H569" si="477">ISBLANK(M569)</f>
        <v>1</v>
      </c>
      <c r="H569" s="21" t="b">
        <f t="shared" si="477"/>
        <v>1</v>
      </c>
      <c r="I569" s="25"/>
      <c r="J569" s="25"/>
      <c r="K569" s="25"/>
      <c r="L569" s="25"/>
      <c r="M569" s="16"/>
      <c r="N569" s="16"/>
      <c r="O569" s="25"/>
      <c r="P569" s="25"/>
      <c r="Q569" s="25"/>
      <c r="R569" s="25"/>
      <c r="S569" s="25"/>
      <c r="T569" s="25"/>
      <c r="U569" s="25"/>
      <c r="V569" s="25"/>
      <c r="W569" s="25"/>
      <c r="X569" s="25"/>
      <c r="Y569" s="25"/>
      <c r="Z569" s="25"/>
      <c r="AA569" s="25"/>
      <c r="AB569" s="25"/>
    </row>
    <row r="570">
      <c r="A570" s="25"/>
      <c r="B570" s="25"/>
      <c r="C570" s="25"/>
      <c r="D570" s="25"/>
      <c r="E570" s="25"/>
      <c r="F570" s="241"/>
      <c r="G570" s="21" t="b">
        <f t="shared" ref="G570:H570" si="478">ISBLANK(M570)</f>
        <v>1</v>
      </c>
      <c r="H570" s="21" t="b">
        <f t="shared" si="478"/>
        <v>1</v>
      </c>
      <c r="I570" s="25"/>
      <c r="J570" s="25"/>
      <c r="K570" s="25"/>
      <c r="L570" s="25"/>
      <c r="M570" s="16"/>
      <c r="N570" s="16"/>
      <c r="O570" s="25"/>
      <c r="P570" s="25"/>
      <c r="Q570" s="25"/>
      <c r="R570" s="25"/>
      <c r="S570" s="25"/>
      <c r="T570" s="25"/>
      <c r="U570" s="25"/>
      <c r="V570" s="25"/>
      <c r="W570" s="25"/>
      <c r="X570" s="25"/>
      <c r="Y570" s="25"/>
      <c r="Z570" s="25"/>
      <c r="AA570" s="25"/>
      <c r="AB570" s="25"/>
    </row>
    <row r="571">
      <c r="A571" s="25"/>
      <c r="B571" s="25"/>
      <c r="C571" s="25"/>
      <c r="D571" s="25"/>
      <c r="E571" s="25"/>
      <c r="F571" s="241"/>
      <c r="G571" s="21" t="b">
        <f t="shared" ref="G571:H571" si="479">ISBLANK(M571)</f>
        <v>1</v>
      </c>
      <c r="H571" s="21" t="b">
        <f t="shared" si="479"/>
        <v>1</v>
      </c>
      <c r="I571" s="25"/>
      <c r="J571" s="25"/>
      <c r="K571" s="25"/>
      <c r="L571" s="25"/>
      <c r="M571" s="16"/>
      <c r="N571" s="16"/>
      <c r="O571" s="25"/>
      <c r="P571" s="25"/>
      <c r="Q571" s="25"/>
      <c r="R571" s="25"/>
      <c r="S571" s="25"/>
      <c r="T571" s="25"/>
      <c r="U571" s="25"/>
      <c r="V571" s="25"/>
      <c r="W571" s="25"/>
      <c r="X571" s="25"/>
      <c r="Y571" s="25"/>
      <c r="Z571" s="25"/>
      <c r="AA571" s="25"/>
      <c r="AB571" s="25"/>
    </row>
    <row r="572">
      <c r="A572" s="25"/>
      <c r="B572" s="25"/>
      <c r="C572" s="25"/>
      <c r="D572" s="25"/>
      <c r="E572" s="25"/>
      <c r="F572" s="241"/>
      <c r="G572" s="21" t="b">
        <f t="shared" ref="G572:H572" si="480">ISBLANK(M572)</f>
        <v>1</v>
      </c>
      <c r="H572" s="21" t="b">
        <f t="shared" si="480"/>
        <v>1</v>
      </c>
      <c r="I572" s="25"/>
      <c r="J572" s="25"/>
      <c r="K572" s="25"/>
      <c r="L572" s="25"/>
      <c r="M572" s="16"/>
      <c r="N572" s="16"/>
      <c r="O572" s="25"/>
      <c r="P572" s="25"/>
      <c r="Q572" s="25"/>
      <c r="R572" s="25"/>
      <c r="S572" s="25"/>
      <c r="T572" s="25"/>
      <c r="U572" s="25"/>
      <c r="V572" s="25"/>
      <c r="W572" s="25"/>
      <c r="X572" s="25"/>
      <c r="Y572" s="25"/>
      <c r="Z572" s="25"/>
      <c r="AA572" s="25"/>
      <c r="AB572" s="25"/>
    </row>
    <row r="573">
      <c r="A573" s="25"/>
      <c r="B573" s="25"/>
      <c r="C573" s="25"/>
      <c r="D573" s="25"/>
      <c r="E573" s="25"/>
      <c r="F573" s="241"/>
      <c r="G573" s="21" t="b">
        <f t="shared" ref="G573:H573" si="481">ISBLANK(M573)</f>
        <v>1</v>
      </c>
      <c r="H573" s="21" t="b">
        <f t="shared" si="481"/>
        <v>1</v>
      </c>
      <c r="I573" s="25"/>
      <c r="J573" s="25"/>
      <c r="K573" s="25"/>
      <c r="L573" s="25"/>
      <c r="M573" s="16"/>
      <c r="N573" s="16"/>
      <c r="O573" s="25"/>
      <c r="P573" s="25"/>
      <c r="Q573" s="25"/>
      <c r="R573" s="25"/>
      <c r="S573" s="25"/>
      <c r="T573" s="25"/>
      <c r="U573" s="25"/>
      <c r="V573" s="25"/>
      <c r="W573" s="25"/>
      <c r="X573" s="25"/>
      <c r="Y573" s="25"/>
      <c r="Z573" s="25"/>
      <c r="AA573" s="25"/>
      <c r="AB573" s="25"/>
    </row>
    <row r="574">
      <c r="A574" s="25"/>
      <c r="B574" s="25"/>
      <c r="C574" s="25"/>
      <c r="D574" s="25"/>
      <c r="E574" s="25"/>
      <c r="F574" s="241"/>
      <c r="G574" s="21" t="b">
        <f t="shared" ref="G574:H574" si="482">ISBLANK(M574)</f>
        <v>1</v>
      </c>
      <c r="H574" s="21" t="b">
        <f t="shared" si="482"/>
        <v>1</v>
      </c>
      <c r="I574" s="25"/>
      <c r="J574" s="25"/>
      <c r="K574" s="25"/>
      <c r="L574" s="25"/>
      <c r="M574" s="16"/>
      <c r="N574" s="16"/>
      <c r="O574" s="25"/>
      <c r="P574" s="25"/>
      <c r="Q574" s="25"/>
      <c r="R574" s="25"/>
      <c r="S574" s="25"/>
      <c r="T574" s="25"/>
      <c r="U574" s="25"/>
      <c r="V574" s="25"/>
      <c r="W574" s="25"/>
      <c r="X574" s="25"/>
      <c r="Y574" s="25"/>
      <c r="Z574" s="25"/>
      <c r="AA574" s="25"/>
      <c r="AB574" s="25"/>
    </row>
    <row r="575">
      <c r="A575" s="25"/>
      <c r="B575" s="25"/>
      <c r="C575" s="25"/>
      <c r="D575" s="25"/>
      <c r="E575" s="25"/>
      <c r="F575" s="241"/>
      <c r="G575" s="21" t="b">
        <f t="shared" ref="G575:H575" si="483">ISBLANK(M575)</f>
        <v>1</v>
      </c>
      <c r="H575" s="21" t="b">
        <f t="shared" si="483"/>
        <v>1</v>
      </c>
      <c r="I575" s="25"/>
      <c r="J575" s="25"/>
      <c r="K575" s="25"/>
      <c r="L575" s="25"/>
      <c r="M575" s="16"/>
      <c r="N575" s="16"/>
      <c r="O575" s="25"/>
      <c r="P575" s="25"/>
      <c r="Q575" s="25"/>
      <c r="R575" s="25"/>
      <c r="S575" s="25"/>
      <c r="T575" s="25"/>
      <c r="U575" s="25"/>
      <c r="V575" s="25"/>
      <c r="W575" s="25"/>
      <c r="X575" s="25"/>
      <c r="Y575" s="25"/>
      <c r="Z575" s="25"/>
      <c r="AA575" s="25"/>
      <c r="AB575" s="25"/>
    </row>
    <row r="576">
      <c r="A576" s="25"/>
      <c r="B576" s="25"/>
      <c r="C576" s="25"/>
      <c r="D576" s="25"/>
      <c r="E576" s="25"/>
      <c r="F576" s="241"/>
      <c r="G576" s="21" t="b">
        <f t="shared" ref="G576:H576" si="484">ISBLANK(M576)</f>
        <v>1</v>
      </c>
      <c r="H576" s="21" t="b">
        <f t="shared" si="484"/>
        <v>1</v>
      </c>
      <c r="I576" s="25"/>
      <c r="J576" s="25"/>
      <c r="K576" s="25"/>
      <c r="L576" s="25"/>
      <c r="M576" s="16"/>
      <c r="N576" s="16"/>
      <c r="O576" s="25"/>
      <c r="P576" s="25"/>
      <c r="Q576" s="25"/>
      <c r="R576" s="25"/>
      <c r="S576" s="25"/>
      <c r="T576" s="25"/>
      <c r="U576" s="25"/>
      <c r="V576" s="25"/>
      <c r="W576" s="25"/>
      <c r="X576" s="25"/>
      <c r="Y576" s="25"/>
      <c r="Z576" s="25"/>
      <c r="AA576" s="25"/>
      <c r="AB576" s="25"/>
    </row>
    <row r="577">
      <c r="A577" s="25"/>
      <c r="B577" s="25"/>
      <c r="C577" s="25"/>
      <c r="D577" s="25"/>
      <c r="E577" s="25"/>
      <c r="F577" s="241"/>
      <c r="G577" s="21" t="b">
        <f t="shared" ref="G577:H577" si="485">ISBLANK(M577)</f>
        <v>1</v>
      </c>
      <c r="H577" s="21" t="b">
        <f t="shared" si="485"/>
        <v>1</v>
      </c>
      <c r="I577" s="25"/>
      <c r="J577" s="25"/>
      <c r="K577" s="25"/>
      <c r="L577" s="25"/>
      <c r="M577" s="16"/>
      <c r="N577" s="16"/>
      <c r="O577" s="25"/>
      <c r="P577" s="25"/>
      <c r="Q577" s="25"/>
      <c r="R577" s="25"/>
      <c r="S577" s="25"/>
      <c r="T577" s="25"/>
      <c r="U577" s="25"/>
      <c r="V577" s="25"/>
      <c r="W577" s="25"/>
      <c r="X577" s="25"/>
      <c r="Y577" s="25"/>
      <c r="Z577" s="25"/>
      <c r="AA577" s="25"/>
      <c r="AB577" s="25"/>
    </row>
    <row r="578">
      <c r="A578" s="25"/>
      <c r="B578" s="25"/>
      <c r="C578" s="25"/>
      <c r="D578" s="25"/>
      <c r="E578" s="25"/>
      <c r="F578" s="241"/>
      <c r="G578" s="21" t="b">
        <f t="shared" ref="G578:H578" si="486">ISBLANK(M578)</f>
        <v>1</v>
      </c>
      <c r="H578" s="21" t="b">
        <f t="shared" si="486"/>
        <v>1</v>
      </c>
      <c r="I578" s="25"/>
      <c r="J578" s="25"/>
      <c r="K578" s="25"/>
      <c r="L578" s="25"/>
      <c r="M578" s="16"/>
      <c r="N578" s="16"/>
      <c r="O578" s="25"/>
      <c r="P578" s="25"/>
      <c r="Q578" s="25"/>
      <c r="R578" s="25"/>
      <c r="S578" s="25"/>
      <c r="T578" s="25"/>
      <c r="U578" s="25"/>
      <c r="V578" s="25"/>
      <c r="W578" s="25"/>
      <c r="X578" s="25"/>
      <c r="Y578" s="25"/>
      <c r="Z578" s="25"/>
      <c r="AA578" s="25"/>
      <c r="AB578" s="25"/>
    </row>
    <row r="579">
      <c r="A579" s="25"/>
      <c r="B579" s="25"/>
      <c r="C579" s="25"/>
      <c r="D579" s="25"/>
      <c r="E579" s="25"/>
      <c r="F579" s="241"/>
      <c r="G579" s="21" t="b">
        <f t="shared" ref="G579:H579" si="487">ISBLANK(M579)</f>
        <v>1</v>
      </c>
      <c r="H579" s="21" t="b">
        <f t="shared" si="487"/>
        <v>1</v>
      </c>
      <c r="I579" s="25"/>
      <c r="J579" s="25"/>
      <c r="K579" s="25"/>
      <c r="L579" s="25"/>
      <c r="M579" s="16"/>
      <c r="N579" s="16"/>
      <c r="O579" s="25"/>
      <c r="P579" s="25"/>
      <c r="Q579" s="25"/>
      <c r="R579" s="25"/>
      <c r="S579" s="25"/>
      <c r="T579" s="25"/>
      <c r="U579" s="25"/>
      <c r="V579" s="25"/>
      <c r="W579" s="25"/>
      <c r="X579" s="25"/>
      <c r="Y579" s="25"/>
      <c r="Z579" s="25"/>
      <c r="AA579" s="25"/>
      <c r="AB579" s="25"/>
    </row>
    <row r="580">
      <c r="A580" s="25"/>
      <c r="B580" s="25"/>
      <c r="C580" s="25"/>
      <c r="D580" s="25"/>
      <c r="E580" s="25"/>
      <c r="F580" s="241"/>
      <c r="G580" s="21" t="b">
        <f t="shared" ref="G580:H580" si="488">ISBLANK(M580)</f>
        <v>1</v>
      </c>
      <c r="H580" s="21" t="b">
        <f t="shared" si="488"/>
        <v>1</v>
      </c>
      <c r="I580" s="25"/>
      <c r="J580" s="25"/>
      <c r="K580" s="25"/>
      <c r="L580" s="25"/>
      <c r="M580" s="16"/>
      <c r="N580" s="16"/>
      <c r="O580" s="25"/>
      <c r="P580" s="25"/>
      <c r="Q580" s="25"/>
      <c r="R580" s="25"/>
      <c r="S580" s="25"/>
      <c r="T580" s="25"/>
      <c r="U580" s="25"/>
      <c r="V580" s="25"/>
      <c r="W580" s="25"/>
      <c r="X580" s="25"/>
      <c r="Y580" s="25"/>
      <c r="Z580" s="25"/>
      <c r="AA580" s="25"/>
      <c r="AB580" s="25"/>
    </row>
    <row r="581">
      <c r="A581" s="25"/>
      <c r="B581" s="25"/>
      <c r="C581" s="25"/>
      <c r="D581" s="25"/>
      <c r="E581" s="25"/>
      <c r="F581" s="241"/>
      <c r="G581" s="21" t="b">
        <f t="shared" ref="G581:H581" si="489">ISBLANK(M581)</f>
        <v>1</v>
      </c>
      <c r="H581" s="21" t="b">
        <f t="shared" si="489"/>
        <v>1</v>
      </c>
      <c r="I581" s="25"/>
      <c r="J581" s="25"/>
      <c r="K581" s="25"/>
      <c r="L581" s="25"/>
      <c r="M581" s="16"/>
      <c r="N581" s="16"/>
      <c r="O581" s="25"/>
      <c r="P581" s="25"/>
      <c r="Q581" s="25"/>
      <c r="R581" s="25"/>
      <c r="S581" s="25"/>
      <c r="T581" s="25"/>
      <c r="U581" s="25"/>
      <c r="V581" s="25"/>
      <c r="W581" s="25"/>
      <c r="X581" s="25"/>
      <c r="Y581" s="25"/>
      <c r="Z581" s="25"/>
      <c r="AA581" s="25"/>
      <c r="AB581" s="25"/>
    </row>
    <row r="582">
      <c r="A582" s="25"/>
      <c r="B582" s="25"/>
      <c r="C582" s="25"/>
      <c r="D582" s="25"/>
      <c r="E582" s="25"/>
      <c r="F582" s="241"/>
      <c r="G582" s="21" t="b">
        <f t="shared" ref="G582:H582" si="490">ISBLANK(M582)</f>
        <v>1</v>
      </c>
      <c r="H582" s="21" t="b">
        <f t="shared" si="490"/>
        <v>1</v>
      </c>
      <c r="I582" s="25"/>
      <c r="J582" s="25"/>
      <c r="K582" s="25"/>
      <c r="L582" s="25"/>
      <c r="M582" s="16"/>
      <c r="N582" s="16"/>
      <c r="O582" s="25"/>
      <c r="P582" s="25"/>
      <c r="Q582" s="25"/>
      <c r="R582" s="25"/>
      <c r="S582" s="25"/>
      <c r="T582" s="25"/>
      <c r="U582" s="25"/>
      <c r="V582" s="25"/>
      <c r="W582" s="25"/>
      <c r="X582" s="25"/>
      <c r="Y582" s="25"/>
      <c r="Z582" s="25"/>
      <c r="AA582" s="25"/>
      <c r="AB582" s="25"/>
    </row>
    <row r="583">
      <c r="A583" s="25"/>
      <c r="B583" s="25"/>
      <c r="C583" s="25"/>
      <c r="D583" s="25"/>
      <c r="E583" s="25"/>
      <c r="F583" s="241"/>
      <c r="G583" s="21" t="b">
        <f t="shared" ref="G583:H583" si="491">ISBLANK(M583)</f>
        <v>1</v>
      </c>
      <c r="H583" s="21" t="b">
        <f t="shared" si="491"/>
        <v>1</v>
      </c>
      <c r="I583" s="25"/>
      <c r="J583" s="25"/>
      <c r="K583" s="25"/>
      <c r="L583" s="25"/>
      <c r="M583" s="16"/>
      <c r="N583" s="16"/>
      <c r="O583" s="25"/>
      <c r="P583" s="25"/>
      <c r="Q583" s="25"/>
      <c r="R583" s="25"/>
      <c r="S583" s="25"/>
      <c r="T583" s="25"/>
      <c r="U583" s="25"/>
      <c r="V583" s="25"/>
      <c r="W583" s="25"/>
      <c r="X583" s="25"/>
      <c r="Y583" s="25"/>
      <c r="Z583" s="25"/>
      <c r="AA583" s="25"/>
      <c r="AB583" s="25"/>
    </row>
    <row r="584">
      <c r="A584" s="25"/>
      <c r="B584" s="25"/>
      <c r="C584" s="25"/>
      <c r="D584" s="25"/>
      <c r="E584" s="25"/>
      <c r="F584" s="241"/>
      <c r="G584" s="21" t="b">
        <f t="shared" ref="G584:H584" si="492">ISBLANK(M584)</f>
        <v>1</v>
      </c>
      <c r="H584" s="21" t="b">
        <f t="shared" si="492"/>
        <v>1</v>
      </c>
      <c r="I584" s="25"/>
      <c r="J584" s="25"/>
      <c r="K584" s="25"/>
      <c r="L584" s="25"/>
      <c r="M584" s="16"/>
      <c r="N584" s="16"/>
      <c r="O584" s="25"/>
      <c r="P584" s="25"/>
      <c r="Q584" s="25"/>
      <c r="R584" s="25"/>
      <c r="S584" s="25"/>
      <c r="T584" s="25"/>
      <c r="U584" s="25"/>
      <c r="V584" s="25"/>
      <c r="W584" s="25"/>
      <c r="X584" s="25"/>
      <c r="Y584" s="25"/>
      <c r="Z584" s="25"/>
      <c r="AA584" s="25"/>
      <c r="AB584" s="25"/>
    </row>
    <row r="585">
      <c r="A585" s="25"/>
      <c r="B585" s="25"/>
      <c r="C585" s="25"/>
      <c r="D585" s="25"/>
      <c r="E585" s="25"/>
      <c r="F585" s="241"/>
      <c r="G585" s="21" t="b">
        <f t="shared" ref="G585:H585" si="493">ISBLANK(M585)</f>
        <v>1</v>
      </c>
      <c r="H585" s="21" t="b">
        <f t="shared" si="493"/>
        <v>1</v>
      </c>
      <c r="I585" s="25"/>
      <c r="J585" s="25"/>
      <c r="K585" s="25"/>
      <c r="L585" s="25"/>
      <c r="M585" s="16"/>
      <c r="N585" s="16"/>
      <c r="O585" s="25"/>
      <c r="P585" s="25"/>
      <c r="Q585" s="25"/>
      <c r="R585" s="25"/>
      <c r="S585" s="25"/>
      <c r="T585" s="25"/>
      <c r="U585" s="25"/>
      <c r="V585" s="25"/>
      <c r="W585" s="25"/>
      <c r="X585" s="25"/>
      <c r="Y585" s="25"/>
      <c r="Z585" s="25"/>
      <c r="AA585" s="25"/>
      <c r="AB585" s="25"/>
    </row>
    <row r="586">
      <c r="A586" s="25"/>
      <c r="B586" s="25"/>
      <c r="C586" s="25"/>
      <c r="D586" s="25"/>
      <c r="E586" s="25"/>
      <c r="F586" s="241"/>
      <c r="G586" s="21" t="b">
        <f t="shared" ref="G586:H586" si="494">ISBLANK(M586)</f>
        <v>1</v>
      </c>
      <c r="H586" s="21" t="b">
        <f t="shared" si="494"/>
        <v>1</v>
      </c>
      <c r="I586" s="25"/>
      <c r="J586" s="25"/>
      <c r="K586" s="25"/>
      <c r="L586" s="25"/>
      <c r="M586" s="16"/>
      <c r="N586" s="16"/>
      <c r="O586" s="25"/>
      <c r="P586" s="25"/>
      <c r="Q586" s="25"/>
      <c r="R586" s="25"/>
      <c r="S586" s="25"/>
      <c r="T586" s="25"/>
      <c r="U586" s="25"/>
      <c r="V586" s="25"/>
      <c r="W586" s="25"/>
      <c r="X586" s="25"/>
      <c r="Y586" s="25"/>
      <c r="Z586" s="25"/>
      <c r="AA586" s="25"/>
      <c r="AB586" s="25"/>
    </row>
    <row r="587">
      <c r="A587" s="25"/>
      <c r="B587" s="25"/>
      <c r="C587" s="25"/>
      <c r="D587" s="25"/>
      <c r="E587" s="25"/>
      <c r="F587" s="241"/>
      <c r="G587" s="21" t="b">
        <f t="shared" ref="G587:H587" si="495">ISBLANK(M587)</f>
        <v>1</v>
      </c>
      <c r="H587" s="21" t="b">
        <f t="shared" si="495"/>
        <v>1</v>
      </c>
      <c r="I587" s="25"/>
      <c r="J587" s="25"/>
      <c r="K587" s="25"/>
      <c r="L587" s="25"/>
      <c r="M587" s="16"/>
      <c r="N587" s="16"/>
      <c r="O587" s="25"/>
      <c r="P587" s="25"/>
      <c r="Q587" s="25"/>
      <c r="R587" s="25"/>
      <c r="S587" s="25"/>
      <c r="T587" s="25"/>
      <c r="U587" s="25"/>
      <c r="V587" s="25"/>
      <c r="W587" s="25"/>
      <c r="X587" s="25"/>
      <c r="Y587" s="25"/>
      <c r="Z587" s="25"/>
      <c r="AA587" s="25"/>
      <c r="AB587" s="25"/>
    </row>
    <row r="588">
      <c r="A588" s="25"/>
      <c r="B588" s="25"/>
      <c r="C588" s="25"/>
      <c r="D588" s="25"/>
      <c r="E588" s="25"/>
      <c r="F588" s="241"/>
      <c r="G588" s="21" t="b">
        <f t="shared" ref="G588:H588" si="496">ISBLANK(M588)</f>
        <v>1</v>
      </c>
      <c r="H588" s="21" t="b">
        <f t="shared" si="496"/>
        <v>1</v>
      </c>
      <c r="I588" s="25"/>
      <c r="J588" s="25"/>
      <c r="K588" s="25"/>
      <c r="L588" s="25"/>
      <c r="M588" s="16"/>
      <c r="N588" s="16"/>
      <c r="O588" s="25"/>
      <c r="P588" s="25"/>
      <c r="Q588" s="25"/>
      <c r="R588" s="25"/>
      <c r="S588" s="25"/>
      <c r="T588" s="25"/>
      <c r="U588" s="25"/>
      <c r="V588" s="25"/>
      <c r="W588" s="25"/>
      <c r="X588" s="25"/>
      <c r="Y588" s="25"/>
      <c r="Z588" s="25"/>
      <c r="AA588" s="25"/>
      <c r="AB588" s="25"/>
    </row>
    <row r="589">
      <c r="A589" s="25"/>
      <c r="B589" s="25"/>
      <c r="C589" s="25"/>
      <c r="D589" s="25"/>
      <c r="E589" s="25"/>
      <c r="F589" s="241"/>
      <c r="G589" s="21" t="b">
        <f t="shared" ref="G589:H589" si="497">ISBLANK(M589)</f>
        <v>1</v>
      </c>
      <c r="H589" s="21" t="b">
        <f t="shared" si="497"/>
        <v>1</v>
      </c>
      <c r="I589" s="25"/>
      <c r="J589" s="25"/>
      <c r="K589" s="25"/>
      <c r="L589" s="25"/>
      <c r="M589" s="16"/>
      <c r="N589" s="16"/>
      <c r="O589" s="25"/>
      <c r="P589" s="25"/>
      <c r="Q589" s="25"/>
      <c r="R589" s="25"/>
      <c r="S589" s="25"/>
      <c r="T589" s="25"/>
      <c r="U589" s="25"/>
      <c r="V589" s="25"/>
      <c r="W589" s="25"/>
      <c r="X589" s="25"/>
      <c r="Y589" s="25"/>
      <c r="Z589" s="25"/>
      <c r="AA589" s="25"/>
      <c r="AB589" s="25"/>
    </row>
    <row r="590">
      <c r="A590" s="25"/>
      <c r="B590" s="25"/>
      <c r="C590" s="25"/>
      <c r="D590" s="25"/>
      <c r="E590" s="25"/>
      <c r="F590" s="241"/>
      <c r="G590" s="21" t="b">
        <f t="shared" ref="G590:H590" si="498">ISBLANK(M590)</f>
        <v>1</v>
      </c>
      <c r="H590" s="21" t="b">
        <f t="shared" si="498"/>
        <v>1</v>
      </c>
      <c r="I590" s="25"/>
      <c r="J590" s="25"/>
      <c r="K590" s="25"/>
      <c r="L590" s="25"/>
      <c r="M590" s="16"/>
      <c r="N590" s="16"/>
      <c r="O590" s="25"/>
      <c r="P590" s="25"/>
      <c r="Q590" s="25"/>
      <c r="R590" s="25"/>
      <c r="S590" s="25"/>
      <c r="T590" s="25"/>
      <c r="U590" s="25"/>
      <c r="V590" s="25"/>
      <c r="W590" s="25"/>
      <c r="X590" s="25"/>
      <c r="Y590" s="25"/>
      <c r="Z590" s="25"/>
      <c r="AA590" s="25"/>
      <c r="AB590" s="25"/>
    </row>
    <row r="591">
      <c r="A591" s="25"/>
      <c r="B591" s="25"/>
      <c r="C591" s="25"/>
      <c r="D591" s="25"/>
      <c r="E591" s="25"/>
      <c r="F591" s="241"/>
      <c r="G591" s="21" t="b">
        <f t="shared" ref="G591:H591" si="499">ISBLANK(M591)</f>
        <v>1</v>
      </c>
      <c r="H591" s="21" t="b">
        <f t="shared" si="499"/>
        <v>1</v>
      </c>
      <c r="I591" s="25"/>
      <c r="J591" s="25"/>
      <c r="K591" s="25"/>
      <c r="L591" s="25"/>
      <c r="M591" s="16"/>
      <c r="N591" s="16"/>
      <c r="O591" s="25"/>
      <c r="P591" s="25"/>
      <c r="Q591" s="25"/>
      <c r="R591" s="25"/>
      <c r="S591" s="25"/>
      <c r="T591" s="25"/>
      <c r="U591" s="25"/>
      <c r="V591" s="25"/>
      <c r="W591" s="25"/>
      <c r="X591" s="25"/>
      <c r="Y591" s="25"/>
      <c r="Z591" s="25"/>
      <c r="AA591" s="25"/>
      <c r="AB591" s="25"/>
    </row>
    <row r="592">
      <c r="A592" s="25"/>
      <c r="B592" s="25"/>
      <c r="C592" s="25"/>
      <c r="D592" s="25"/>
      <c r="E592" s="25"/>
      <c r="F592" s="241"/>
      <c r="G592" s="21" t="b">
        <f t="shared" ref="G592:H592" si="500">ISBLANK(M592)</f>
        <v>1</v>
      </c>
      <c r="H592" s="21" t="b">
        <f t="shared" si="500"/>
        <v>1</v>
      </c>
      <c r="I592" s="25"/>
      <c r="J592" s="25"/>
      <c r="K592" s="25"/>
      <c r="L592" s="25"/>
      <c r="M592" s="16"/>
      <c r="N592" s="16"/>
      <c r="O592" s="25"/>
      <c r="P592" s="25"/>
      <c r="Q592" s="25"/>
      <c r="R592" s="25"/>
      <c r="S592" s="25"/>
      <c r="T592" s="25"/>
      <c r="U592" s="25"/>
      <c r="V592" s="25"/>
      <c r="W592" s="25"/>
      <c r="X592" s="25"/>
      <c r="Y592" s="25"/>
      <c r="Z592" s="25"/>
      <c r="AA592" s="25"/>
      <c r="AB592" s="25"/>
    </row>
    <row r="593">
      <c r="A593" s="25"/>
      <c r="B593" s="25"/>
      <c r="C593" s="25"/>
      <c r="D593" s="25"/>
      <c r="E593" s="25"/>
      <c r="F593" s="241"/>
      <c r="G593" s="21" t="b">
        <f t="shared" ref="G593:H593" si="501">ISBLANK(M593)</f>
        <v>1</v>
      </c>
      <c r="H593" s="21" t="b">
        <f t="shared" si="501"/>
        <v>1</v>
      </c>
      <c r="I593" s="25"/>
      <c r="J593" s="25"/>
      <c r="K593" s="25"/>
      <c r="L593" s="25"/>
      <c r="M593" s="16"/>
      <c r="N593" s="16"/>
      <c r="O593" s="25"/>
      <c r="P593" s="25"/>
      <c r="Q593" s="25"/>
      <c r="R593" s="25"/>
      <c r="S593" s="25"/>
      <c r="T593" s="25"/>
      <c r="U593" s="25"/>
      <c r="V593" s="25"/>
      <c r="W593" s="25"/>
      <c r="X593" s="25"/>
      <c r="Y593" s="25"/>
      <c r="Z593" s="25"/>
      <c r="AA593" s="25"/>
      <c r="AB593" s="25"/>
    </row>
    <row r="594">
      <c r="A594" s="25"/>
      <c r="B594" s="25"/>
      <c r="C594" s="25"/>
      <c r="D594" s="25"/>
      <c r="E594" s="25"/>
      <c r="F594" s="241"/>
      <c r="G594" s="21" t="b">
        <f t="shared" ref="G594:H594" si="502">ISBLANK(M594)</f>
        <v>1</v>
      </c>
      <c r="H594" s="21" t="b">
        <f t="shared" si="502"/>
        <v>1</v>
      </c>
      <c r="I594" s="25"/>
      <c r="J594" s="25"/>
      <c r="K594" s="25"/>
      <c r="L594" s="25"/>
      <c r="M594" s="16"/>
      <c r="N594" s="16"/>
      <c r="O594" s="25"/>
      <c r="P594" s="25"/>
      <c r="Q594" s="25"/>
      <c r="R594" s="25"/>
      <c r="S594" s="25"/>
      <c r="T594" s="25"/>
      <c r="U594" s="25"/>
      <c r="V594" s="25"/>
      <c r="W594" s="25"/>
      <c r="X594" s="25"/>
      <c r="Y594" s="25"/>
      <c r="Z594" s="25"/>
      <c r="AA594" s="25"/>
      <c r="AB594" s="25"/>
    </row>
    <row r="595">
      <c r="A595" s="25"/>
      <c r="B595" s="25"/>
      <c r="C595" s="25"/>
      <c r="D595" s="25"/>
      <c r="E595" s="25"/>
      <c r="F595" s="241"/>
      <c r="G595" s="21" t="b">
        <f t="shared" ref="G595:H595" si="503">ISBLANK(M595)</f>
        <v>1</v>
      </c>
      <c r="H595" s="21" t="b">
        <f t="shared" si="503"/>
        <v>1</v>
      </c>
      <c r="I595" s="25"/>
      <c r="J595" s="25"/>
      <c r="K595" s="25"/>
      <c r="L595" s="25"/>
      <c r="M595" s="16"/>
      <c r="N595" s="16"/>
      <c r="O595" s="25"/>
      <c r="P595" s="25"/>
      <c r="Q595" s="25"/>
      <c r="R595" s="25"/>
      <c r="S595" s="25"/>
      <c r="T595" s="25"/>
      <c r="U595" s="25"/>
      <c r="V595" s="25"/>
      <c r="W595" s="25"/>
      <c r="X595" s="25"/>
      <c r="Y595" s="25"/>
      <c r="Z595" s="25"/>
      <c r="AA595" s="25"/>
      <c r="AB595" s="25"/>
    </row>
    <row r="596">
      <c r="A596" s="25"/>
      <c r="B596" s="25"/>
      <c r="C596" s="25"/>
      <c r="D596" s="25"/>
      <c r="E596" s="25"/>
      <c r="F596" s="241"/>
      <c r="G596" s="21" t="b">
        <f t="shared" ref="G596:H596" si="504">ISBLANK(M596)</f>
        <v>1</v>
      </c>
      <c r="H596" s="21" t="b">
        <f t="shared" si="504"/>
        <v>1</v>
      </c>
      <c r="I596" s="25"/>
      <c r="J596" s="25"/>
      <c r="K596" s="25"/>
      <c r="L596" s="25"/>
      <c r="M596" s="16"/>
      <c r="N596" s="16"/>
      <c r="O596" s="25"/>
      <c r="P596" s="25"/>
      <c r="Q596" s="25"/>
      <c r="R596" s="25"/>
      <c r="S596" s="25"/>
      <c r="T596" s="25"/>
      <c r="U596" s="25"/>
      <c r="V596" s="25"/>
      <c r="W596" s="25"/>
      <c r="X596" s="25"/>
      <c r="Y596" s="25"/>
      <c r="Z596" s="25"/>
      <c r="AA596" s="25"/>
      <c r="AB596" s="25"/>
    </row>
    <row r="597">
      <c r="A597" s="25"/>
      <c r="B597" s="25"/>
      <c r="C597" s="25"/>
      <c r="D597" s="25"/>
      <c r="E597" s="25"/>
      <c r="F597" s="241"/>
      <c r="G597" s="21" t="b">
        <f t="shared" ref="G597:H597" si="505">ISBLANK(M597)</f>
        <v>1</v>
      </c>
      <c r="H597" s="21" t="b">
        <f t="shared" si="505"/>
        <v>1</v>
      </c>
      <c r="I597" s="25"/>
      <c r="J597" s="25"/>
      <c r="K597" s="25"/>
      <c r="L597" s="25"/>
      <c r="M597" s="16"/>
      <c r="N597" s="16"/>
      <c r="O597" s="25"/>
      <c r="P597" s="25"/>
      <c r="Q597" s="25"/>
      <c r="R597" s="25"/>
      <c r="S597" s="25"/>
      <c r="T597" s="25"/>
      <c r="U597" s="25"/>
      <c r="V597" s="25"/>
      <c r="W597" s="25"/>
      <c r="X597" s="25"/>
      <c r="Y597" s="25"/>
      <c r="Z597" s="25"/>
      <c r="AA597" s="25"/>
      <c r="AB597" s="25"/>
    </row>
    <row r="598">
      <c r="A598" s="25"/>
      <c r="B598" s="25"/>
      <c r="C598" s="25"/>
      <c r="D598" s="25"/>
      <c r="E598" s="25"/>
      <c r="F598" s="241"/>
      <c r="G598" s="21" t="b">
        <f t="shared" ref="G598:H598" si="506">ISBLANK(M598)</f>
        <v>1</v>
      </c>
      <c r="H598" s="21" t="b">
        <f t="shared" si="506"/>
        <v>1</v>
      </c>
      <c r="I598" s="25"/>
      <c r="J598" s="25"/>
      <c r="K598" s="25"/>
      <c r="L598" s="25"/>
      <c r="M598" s="16"/>
      <c r="N598" s="16"/>
      <c r="O598" s="25"/>
      <c r="P598" s="25"/>
      <c r="Q598" s="25"/>
      <c r="R598" s="25"/>
      <c r="S598" s="25"/>
      <c r="T598" s="25"/>
      <c r="U598" s="25"/>
      <c r="V598" s="25"/>
      <c r="W598" s="25"/>
      <c r="X598" s="25"/>
      <c r="Y598" s="25"/>
      <c r="Z598" s="25"/>
      <c r="AA598" s="25"/>
      <c r="AB598" s="25"/>
    </row>
    <row r="599">
      <c r="A599" s="25"/>
      <c r="B599" s="25"/>
      <c r="C599" s="25"/>
      <c r="D599" s="25"/>
      <c r="E599" s="25"/>
      <c r="F599" s="241"/>
      <c r="G599" s="21" t="b">
        <f t="shared" ref="G599:H599" si="507">ISBLANK(M599)</f>
        <v>1</v>
      </c>
      <c r="H599" s="21" t="b">
        <f t="shared" si="507"/>
        <v>1</v>
      </c>
      <c r="I599" s="25"/>
      <c r="J599" s="25"/>
      <c r="K599" s="25"/>
      <c r="L599" s="25"/>
      <c r="M599" s="16"/>
      <c r="N599" s="16"/>
      <c r="O599" s="25"/>
      <c r="P599" s="25"/>
      <c r="Q599" s="25"/>
      <c r="R599" s="25"/>
      <c r="S599" s="25"/>
      <c r="T599" s="25"/>
      <c r="U599" s="25"/>
      <c r="V599" s="25"/>
      <c r="W599" s="25"/>
      <c r="X599" s="25"/>
      <c r="Y599" s="25"/>
      <c r="Z599" s="25"/>
      <c r="AA599" s="25"/>
      <c r="AB599" s="25"/>
    </row>
    <row r="600">
      <c r="A600" s="25"/>
      <c r="B600" s="25"/>
      <c r="C600" s="25"/>
      <c r="D600" s="25"/>
      <c r="E600" s="25"/>
      <c r="F600" s="241"/>
      <c r="G600" s="21" t="b">
        <f t="shared" ref="G600:H600" si="508">ISBLANK(M600)</f>
        <v>1</v>
      </c>
      <c r="H600" s="21" t="b">
        <f t="shared" si="508"/>
        <v>1</v>
      </c>
      <c r="I600" s="25"/>
      <c r="J600" s="25"/>
      <c r="K600" s="25"/>
      <c r="L600" s="25"/>
      <c r="M600" s="16"/>
      <c r="N600" s="16"/>
      <c r="O600" s="25"/>
      <c r="P600" s="25"/>
      <c r="Q600" s="25"/>
      <c r="R600" s="25"/>
      <c r="S600" s="25"/>
      <c r="T600" s="25"/>
      <c r="U600" s="25"/>
      <c r="V600" s="25"/>
      <c r="W600" s="25"/>
      <c r="X600" s="25"/>
      <c r="Y600" s="25"/>
      <c r="Z600" s="25"/>
      <c r="AA600" s="25"/>
      <c r="AB600" s="25"/>
    </row>
    <row r="601">
      <c r="A601" s="25"/>
      <c r="B601" s="25"/>
      <c r="C601" s="25"/>
      <c r="D601" s="25"/>
      <c r="E601" s="25"/>
      <c r="F601" s="241"/>
      <c r="G601" s="21" t="b">
        <f t="shared" ref="G601:H601" si="509">ISBLANK(M601)</f>
        <v>1</v>
      </c>
      <c r="H601" s="21" t="b">
        <f t="shared" si="509"/>
        <v>1</v>
      </c>
      <c r="I601" s="25"/>
      <c r="J601" s="25"/>
      <c r="K601" s="25"/>
      <c r="L601" s="25"/>
      <c r="M601" s="16"/>
      <c r="N601" s="16"/>
      <c r="O601" s="25"/>
      <c r="P601" s="25"/>
      <c r="Q601" s="25"/>
      <c r="R601" s="25"/>
      <c r="S601" s="25"/>
      <c r="T601" s="25"/>
      <c r="U601" s="25"/>
      <c r="V601" s="25"/>
      <c r="W601" s="25"/>
      <c r="X601" s="25"/>
      <c r="Y601" s="25"/>
      <c r="Z601" s="25"/>
      <c r="AA601" s="25"/>
      <c r="AB601" s="25"/>
    </row>
    <row r="602">
      <c r="A602" s="25"/>
      <c r="B602" s="25"/>
      <c r="C602" s="25"/>
      <c r="D602" s="25"/>
      <c r="E602" s="25"/>
      <c r="F602" s="241"/>
      <c r="G602" s="21" t="b">
        <f t="shared" ref="G602:H602" si="510">ISBLANK(M602)</f>
        <v>1</v>
      </c>
      <c r="H602" s="21" t="b">
        <f t="shared" si="510"/>
        <v>1</v>
      </c>
      <c r="I602" s="25"/>
      <c r="J602" s="25"/>
      <c r="K602" s="25"/>
      <c r="L602" s="25"/>
      <c r="M602" s="16"/>
      <c r="N602" s="16"/>
      <c r="O602" s="25"/>
      <c r="P602" s="25"/>
      <c r="Q602" s="25"/>
      <c r="R602" s="25"/>
      <c r="S602" s="25"/>
      <c r="T602" s="25"/>
      <c r="U602" s="25"/>
      <c r="V602" s="25"/>
      <c r="W602" s="25"/>
      <c r="X602" s="25"/>
      <c r="Y602" s="25"/>
      <c r="Z602" s="25"/>
      <c r="AA602" s="25"/>
      <c r="AB602" s="25"/>
    </row>
    <row r="603">
      <c r="A603" s="25"/>
      <c r="B603" s="25"/>
      <c r="C603" s="25"/>
      <c r="D603" s="25"/>
      <c r="E603" s="25"/>
      <c r="F603" s="241"/>
      <c r="G603" s="21" t="b">
        <f t="shared" ref="G603:H603" si="511">ISBLANK(M603)</f>
        <v>1</v>
      </c>
      <c r="H603" s="21" t="b">
        <f t="shared" si="511"/>
        <v>1</v>
      </c>
      <c r="I603" s="25"/>
      <c r="J603" s="25"/>
      <c r="K603" s="25"/>
      <c r="L603" s="25"/>
      <c r="M603" s="16"/>
      <c r="N603" s="16"/>
      <c r="O603" s="25"/>
      <c r="P603" s="25"/>
      <c r="Q603" s="25"/>
      <c r="R603" s="25"/>
      <c r="S603" s="25"/>
      <c r="T603" s="25"/>
      <c r="U603" s="25"/>
      <c r="V603" s="25"/>
      <c r="W603" s="25"/>
      <c r="X603" s="25"/>
      <c r="Y603" s="25"/>
      <c r="Z603" s="25"/>
      <c r="AA603" s="25"/>
      <c r="AB603" s="25"/>
    </row>
    <row r="604">
      <c r="A604" s="25"/>
      <c r="B604" s="25"/>
      <c r="C604" s="25"/>
      <c r="D604" s="25"/>
      <c r="E604" s="25"/>
      <c r="F604" s="241"/>
      <c r="G604" s="21" t="b">
        <f t="shared" ref="G604:H604" si="512">ISBLANK(M604)</f>
        <v>1</v>
      </c>
      <c r="H604" s="21" t="b">
        <f t="shared" si="512"/>
        <v>1</v>
      </c>
      <c r="I604" s="25"/>
      <c r="J604" s="25"/>
      <c r="K604" s="25"/>
      <c r="L604" s="25"/>
      <c r="M604" s="16"/>
      <c r="N604" s="16"/>
      <c r="O604" s="25"/>
      <c r="P604" s="25"/>
      <c r="Q604" s="25"/>
      <c r="R604" s="25"/>
      <c r="S604" s="25"/>
      <c r="T604" s="25"/>
      <c r="U604" s="25"/>
      <c r="V604" s="25"/>
      <c r="W604" s="25"/>
      <c r="X604" s="25"/>
      <c r="Y604" s="25"/>
      <c r="Z604" s="25"/>
      <c r="AA604" s="25"/>
      <c r="AB604" s="25"/>
    </row>
    <row r="605">
      <c r="A605" s="25"/>
      <c r="B605" s="25"/>
      <c r="C605" s="25"/>
      <c r="D605" s="25"/>
      <c r="E605" s="25"/>
      <c r="F605" s="241"/>
      <c r="G605" s="21" t="b">
        <f t="shared" ref="G605:H605" si="513">ISBLANK(M605)</f>
        <v>1</v>
      </c>
      <c r="H605" s="21" t="b">
        <f t="shared" si="513"/>
        <v>1</v>
      </c>
      <c r="I605" s="25"/>
      <c r="J605" s="25"/>
      <c r="K605" s="25"/>
      <c r="L605" s="25"/>
      <c r="M605" s="16"/>
      <c r="N605" s="16"/>
      <c r="O605" s="25"/>
      <c r="P605" s="25"/>
      <c r="Q605" s="25"/>
      <c r="R605" s="25"/>
      <c r="S605" s="25"/>
      <c r="T605" s="25"/>
      <c r="U605" s="25"/>
      <c r="V605" s="25"/>
      <c r="W605" s="25"/>
      <c r="X605" s="25"/>
      <c r="Y605" s="25"/>
      <c r="Z605" s="25"/>
      <c r="AA605" s="25"/>
      <c r="AB605" s="25"/>
    </row>
    <row r="606">
      <c r="A606" s="25"/>
      <c r="B606" s="25"/>
      <c r="C606" s="25"/>
      <c r="D606" s="25"/>
      <c r="E606" s="25"/>
      <c r="F606" s="241"/>
      <c r="G606" s="21" t="b">
        <f t="shared" ref="G606:H606" si="514">ISBLANK(M606)</f>
        <v>1</v>
      </c>
      <c r="H606" s="21" t="b">
        <f t="shared" si="514"/>
        <v>1</v>
      </c>
      <c r="I606" s="25"/>
      <c r="J606" s="25"/>
      <c r="K606" s="25"/>
      <c r="L606" s="25"/>
      <c r="M606" s="16"/>
      <c r="N606" s="16"/>
      <c r="O606" s="25"/>
      <c r="P606" s="25"/>
      <c r="Q606" s="25"/>
      <c r="R606" s="25"/>
      <c r="S606" s="25"/>
      <c r="T606" s="25"/>
      <c r="U606" s="25"/>
      <c r="V606" s="25"/>
      <c r="W606" s="25"/>
      <c r="X606" s="25"/>
      <c r="Y606" s="25"/>
      <c r="Z606" s="25"/>
      <c r="AA606" s="25"/>
      <c r="AB606" s="25"/>
    </row>
    <row r="607">
      <c r="A607" s="25"/>
      <c r="B607" s="25"/>
      <c r="C607" s="25"/>
      <c r="D607" s="25"/>
      <c r="E607" s="25"/>
      <c r="F607" s="241"/>
      <c r="G607" s="21" t="b">
        <f t="shared" ref="G607:H607" si="515">ISBLANK(M607)</f>
        <v>1</v>
      </c>
      <c r="H607" s="21" t="b">
        <f t="shared" si="515"/>
        <v>1</v>
      </c>
      <c r="I607" s="25"/>
      <c r="J607" s="25"/>
      <c r="K607" s="25"/>
      <c r="L607" s="25"/>
      <c r="M607" s="16"/>
      <c r="N607" s="16"/>
      <c r="O607" s="25"/>
      <c r="P607" s="25"/>
      <c r="Q607" s="25"/>
      <c r="R607" s="25"/>
      <c r="S607" s="25"/>
      <c r="T607" s="25"/>
      <c r="U607" s="25"/>
      <c r="V607" s="25"/>
      <c r="W607" s="25"/>
      <c r="X607" s="25"/>
      <c r="Y607" s="25"/>
      <c r="Z607" s="25"/>
      <c r="AA607" s="25"/>
      <c r="AB607" s="25"/>
    </row>
    <row r="608">
      <c r="A608" s="25"/>
      <c r="B608" s="25"/>
      <c r="C608" s="25"/>
      <c r="D608" s="25"/>
      <c r="E608" s="25"/>
      <c r="F608" s="241"/>
      <c r="G608" s="21" t="b">
        <f t="shared" ref="G608:H608" si="516">ISBLANK(M608)</f>
        <v>1</v>
      </c>
      <c r="H608" s="21" t="b">
        <f t="shared" si="516"/>
        <v>1</v>
      </c>
      <c r="I608" s="25"/>
      <c r="J608" s="25"/>
      <c r="K608" s="25"/>
      <c r="L608" s="25"/>
      <c r="M608" s="16"/>
      <c r="N608" s="16"/>
      <c r="O608" s="25"/>
      <c r="P608" s="25"/>
      <c r="Q608" s="25"/>
      <c r="R608" s="25"/>
      <c r="S608" s="25"/>
      <c r="T608" s="25"/>
      <c r="U608" s="25"/>
      <c r="V608" s="25"/>
      <c r="W608" s="25"/>
      <c r="X608" s="25"/>
      <c r="Y608" s="25"/>
      <c r="Z608" s="25"/>
      <c r="AA608" s="25"/>
      <c r="AB608" s="25"/>
    </row>
    <row r="609">
      <c r="A609" s="25"/>
      <c r="B609" s="25"/>
      <c r="C609" s="25"/>
      <c r="D609" s="25"/>
      <c r="E609" s="25"/>
      <c r="F609" s="241"/>
      <c r="G609" s="21" t="b">
        <f t="shared" ref="G609:H609" si="517">ISBLANK(M609)</f>
        <v>1</v>
      </c>
      <c r="H609" s="21" t="b">
        <f t="shared" si="517"/>
        <v>1</v>
      </c>
      <c r="I609" s="25"/>
      <c r="J609" s="25"/>
      <c r="K609" s="25"/>
      <c r="L609" s="25"/>
      <c r="M609" s="16"/>
      <c r="N609" s="16"/>
      <c r="O609" s="25"/>
      <c r="P609" s="25"/>
      <c r="Q609" s="25"/>
      <c r="R609" s="25"/>
      <c r="S609" s="25"/>
      <c r="T609" s="25"/>
      <c r="U609" s="25"/>
      <c r="V609" s="25"/>
      <c r="W609" s="25"/>
      <c r="X609" s="25"/>
      <c r="Y609" s="25"/>
      <c r="Z609" s="25"/>
      <c r="AA609" s="25"/>
      <c r="AB609" s="25"/>
    </row>
    <row r="610">
      <c r="A610" s="25"/>
      <c r="B610" s="25"/>
      <c r="C610" s="25"/>
      <c r="D610" s="25"/>
      <c r="E610" s="25"/>
      <c r="F610" s="241"/>
      <c r="G610" s="21" t="b">
        <f t="shared" ref="G610:H610" si="518">ISBLANK(M610)</f>
        <v>1</v>
      </c>
      <c r="H610" s="21" t="b">
        <f t="shared" si="518"/>
        <v>1</v>
      </c>
      <c r="I610" s="25"/>
      <c r="J610" s="25"/>
      <c r="K610" s="25"/>
      <c r="L610" s="25"/>
      <c r="M610" s="16"/>
      <c r="N610" s="16"/>
      <c r="O610" s="25"/>
      <c r="P610" s="25"/>
      <c r="Q610" s="25"/>
      <c r="R610" s="25"/>
      <c r="S610" s="25"/>
      <c r="T610" s="25"/>
      <c r="U610" s="25"/>
      <c r="V610" s="25"/>
      <c r="W610" s="25"/>
      <c r="X610" s="25"/>
      <c r="Y610" s="25"/>
      <c r="Z610" s="25"/>
      <c r="AA610" s="25"/>
      <c r="AB610" s="25"/>
    </row>
    <row r="611">
      <c r="A611" s="25"/>
      <c r="B611" s="25"/>
      <c r="C611" s="25"/>
      <c r="D611" s="25"/>
      <c r="E611" s="25"/>
      <c r="F611" s="241"/>
      <c r="G611" s="21" t="b">
        <f t="shared" ref="G611:H611" si="519">ISBLANK(M611)</f>
        <v>1</v>
      </c>
      <c r="H611" s="21" t="b">
        <f t="shared" si="519"/>
        <v>1</v>
      </c>
      <c r="I611" s="25"/>
      <c r="J611" s="25"/>
      <c r="K611" s="25"/>
      <c r="L611" s="25"/>
      <c r="M611" s="16"/>
      <c r="N611" s="16"/>
      <c r="O611" s="25"/>
      <c r="P611" s="25"/>
      <c r="Q611" s="25"/>
      <c r="R611" s="25"/>
      <c r="S611" s="25"/>
      <c r="T611" s="25"/>
      <c r="U611" s="25"/>
      <c r="V611" s="25"/>
      <c r="W611" s="25"/>
      <c r="X611" s="25"/>
      <c r="Y611" s="25"/>
      <c r="Z611" s="25"/>
      <c r="AA611" s="25"/>
      <c r="AB611" s="25"/>
    </row>
    <row r="612">
      <c r="A612" s="25"/>
      <c r="B612" s="25"/>
      <c r="C612" s="25"/>
      <c r="D612" s="25"/>
      <c r="E612" s="25"/>
      <c r="F612" s="241"/>
      <c r="G612" s="21" t="b">
        <f t="shared" ref="G612:H612" si="520">ISBLANK(M612)</f>
        <v>1</v>
      </c>
      <c r="H612" s="21" t="b">
        <f t="shared" si="520"/>
        <v>1</v>
      </c>
      <c r="I612" s="25"/>
      <c r="J612" s="25"/>
      <c r="K612" s="25"/>
      <c r="L612" s="25"/>
      <c r="M612" s="16"/>
      <c r="N612" s="16"/>
      <c r="O612" s="25"/>
      <c r="P612" s="25"/>
      <c r="Q612" s="25"/>
      <c r="R612" s="25"/>
      <c r="S612" s="25"/>
      <c r="T612" s="25"/>
      <c r="U612" s="25"/>
      <c r="V612" s="25"/>
      <c r="W612" s="25"/>
      <c r="X612" s="25"/>
      <c r="Y612" s="25"/>
      <c r="Z612" s="25"/>
      <c r="AA612" s="25"/>
      <c r="AB612" s="25"/>
    </row>
    <row r="613">
      <c r="A613" s="25"/>
      <c r="B613" s="25"/>
      <c r="C613" s="25"/>
      <c r="D613" s="25"/>
      <c r="E613" s="25"/>
      <c r="F613" s="241"/>
      <c r="G613" s="21" t="b">
        <f t="shared" ref="G613:H613" si="521">ISBLANK(M613)</f>
        <v>1</v>
      </c>
      <c r="H613" s="21" t="b">
        <f t="shared" si="521"/>
        <v>1</v>
      </c>
      <c r="I613" s="25"/>
      <c r="J613" s="25"/>
      <c r="K613" s="25"/>
      <c r="L613" s="25"/>
      <c r="M613" s="16"/>
      <c r="N613" s="16"/>
      <c r="O613" s="25"/>
      <c r="P613" s="25"/>
      <c r="Q613" s="25"/>
      <c r="R613" s="25"/>
      <c r="S613" s="25"/>
      <c r="T613" s="25"/>
      <c r="U613" s="25"/>
      <c r="V613" s="25"/>
      <c r="W613" s="25"/>
      <c r="X613" s="25"/>
      <c r="Y613" s="25"/>
      <c r="Z613" s="25"/>
      <c r="AA613" s="25"/>
      <c r="AB613" s="25"/>
    </row>
    <row r="614">
      <c r="A614" s="25"/>
      <c r="B614" s="25"/>
      <c r="C614" s="25"/>
      <c r="D614" s="25"/>
      <c r="E614" s="25"/>
      <c r="F614" s="241"/>
      <c r="G614" s="21" t="b">
        <f t="shared" ref="G614:H614" si="522">ISBLANK(M614)</f>
        <v>1</v>
      </c>
      <c r="H614" s="21" t="b">
        <f t="shared" si="522"/>
        <v>1</v>
      </c>
      <c r="I614" s="25"/>
      <c r="J614" s="25"/>
      <c r="K614" s="25"/>
      <c r="L614" s="25"/>
      <c r="M614" s="16"/>
      <c r="N614" s="16"/>
      <c r="O614" s="25"/>
      <c r="P614" s="25"/>
      <c r="Q614" s="25"/>
      <c r="R614" s="25"/>
      <c r="S614" s="25"/>
      <c r="T614" s="25"/>
      <c r="U614" s="25"/>
      <c r="V614" s="25"/>
      <c r="W614" s="25"/>
      <c r="X614" s="25"/>
      <c r="Y614" s="25"/>
      <c r="Z614" s="25"/>
      <c r="AA614" s="25"/>
      <c r="AB614" s="25"/>
    </row>
    <row r="615">
      <c r="A615" s="25"/>
      <c r="B615" s="25"/>
      <c r="C615" s="25"/>
      <c r="D615" s="25"/>
      <c r="E615" s="25"/>
      <c r="F615" s="241"/>
      <c r="G615" s="21" t="b">
        <f t="shared" ref="G615:H615" si="523">ISBLANK(M615)</f>
        <v>1</v>
      </c>
      <c r="H615" s="21" t="b">
        <f t="shared" si="523"/>
        <v>1</v>
      </c>
      <c r="I615" s="25"/>
      <c r="J615" s="25"/>
      <c r="K615" s="25"/>
      <c r="L615" s="25"/>
      <c r="M615" s="16"/>
      <c r="N615" s="16"/>
      <c r="O615" s="25"/>
      <c r="P615" s="25"/>
      <c r="Q615" s="25"/>
      <c r="R615" s="25"/>
      <c r="S615" s="25"/>
      <c r="T615" s="25"/>
      <c r="U615" s="25"/>
      <c r="V615" s="25"/>
      <c r="W615" s="25"/>
      <c r="X615" s="25"/>
      <c r="Y615" s="25"/>
      <c r="Z615" s="25"/>
      <c r="AA615" s="25"/>
      <c r="AB615" s="25"/>
    </row>
    <row r="616">
      <c r="A616" s="25"/>
      <c r="B616" s="25"/>
      <c r="C616" s="25"/>
      <c r="D616" s="25"/>
      <c r="E616" s="25"/>
      <c r="F616" s="241"/>
      <c r="G616" s="21" t="b">
        <f t="shared" ref="G616:H616" si="524">ISBLANK(M616)</f>
        <v>1</v>
      </c>
      <c r="H616" s="21" t="b">
        <f t="shared" si="524"/>
        <v>1</v>
      </c>
      <c r="I616" s="25"/>
      <c r="J616" s="25"/>
      <c r="K616" s="25"/>
      <c r="L616" s="25"/>
      <c r="M616" s="16"/>
      <c r="N616" s="16"/>
      <c r="O616" s="25"/>
      <c r="P616" s="25"/>
      <c r="Q616" s="25"/>
      <c r="R616" s="25"/>
      <c r="S616" s="25"/>
      <c r="T616" s="25"/>
      <c r="U616" s="25"/>
      <c r="V616" s="25"/>
      <c r="W616" s="25"/>
      <c r="X616" s="25"/>
      <c r="Y616" s="25"/>
      <c r="Z616" s="25"/>
      <c r="AA616" s="25"/>
      <c r="AB616" s="25"/>
    </row>
    <row r="617">
      <c r="A617" s="25"/>
      <c r="B617" s="25"/>
      <c r="C617" s="25"/>
      <c r="D617" s="25"/>
      <c r="E617" s="25"/>
      <c r="F617" s="241"/>
      <c r="G617" s="21" t="b">
        <f t="shared" ref="G617:H617" si="525">ISBLANK(M617)</f>
        <v>1</v>
      </c>
      <c r="H617" s="21" t="b">
        <f t="shared" si="525"/>
        <v>1</v>
      </c>
      <c r="I617" s="25"/>
      <c r="J617" s="25"/>
      <c r="K617" s="25"/>
      <c r="L617" s="25"/>
      <c r="M617" s="16"/>
      <c r="N617" s="16"/>
      <c r="O617" s="25"/>
      <c r="P617" s="25"/>
      <c r="Q617" s="25"/>
      <c r="R617" s="25"/>
      <c r="S617" s="25"/>
      <c r="T617" s="25"/>
      <c r="U617" s="25"/>
      <c r="V617" s="25"/>
      <c r="W617" s="25"/>
      <c r="X617" s="25"/>
      <c r="Y617" s="25"/>
      <c r="Z617" s="25"/>
      <c r="AA617" s="25"/>
      <c r="AB617" s="25"/>
    </row>
    <row r="618">
      <c r="A618" s="25"/>
      <c r="B618" s="25"/>
      <c r="C618" s="25"/>
      <c r="D618" s="25"/>
      <c r="E618" s="25"/>
      <c r="F618" s="241"/>
      <c r="G618" s="21" t="b">
        <f t="shared" ref="G618:H618" si="526">ISBLANK(M618)</f>
        <v>1</v>
      </c>
      <c r="H618" s="21" t="b">
        <f t="shared" si="526"/>
        <v>1</v>
      </c>
      <c r="I618" s="25"/>
      <c r="J618" s="25"/>
      <c r="K618" s="25"/>
      <c r="L618" s="25"/>
      <c r="M618" s="16"/>
      <c r="N618" s="16"/>
      <c r="O618" s="25"/>
      <c r="P618" s="25"/>
      <c r="Q618" s="25"/>
      <c r="R618" s="25"/>
      <c r="S618" s="25"/>
      <c r="T618" s="25"/>
      <c r="U618" s="25"/>
      <c r="V618" s="25"/>
      <c r="W618" s="25"/>
      <c r="X618" s="25"/>
      <c r="Y618" s="25"/>
      <c r="Z618" s="25"/>
      <c r="AA618" s="25"/>
      <c r="AB618" s="25"/>
    </row>
    <row r="619">
      <c r="A619" s="25"/>
      <c r="B619" s="25"/>
      <c r="C619" s="25"/>
      <c r="D619" s="25"/>
      <c r="E619" s="25"/>
      <c r="F619" s="241"/>
      <c r="G619" s="21" t="b">
        <f t="shared" ref="G619:H619" si="527">ISBLANK(M619)</f>
        <v>1</v>
      </c>
      <c r="H619" s="21" t="b">
        <f t="shared" si="527"/>
        <v>1</v>
      </c>
      <c r="I619" s="25"/>
      <c r="J619" s="25"/>
      <c r="K619" s="25"/>
      <c r="L619" s="25"/>
      <c r="M619" s="16"/>
      <c r="N619" s="16"/>
      <c r="O619" s="25"/>
      <c r="P619" s="25"/>
      <c r="Q619" s="25"/>
      <c r="R619" s="25"/>
      <c r="S619" s="25"/>
      <c r="T619" s="25"/>
      <c r="U619" s="25"/>
      <c r="V619" s="25"/>
      <c r="W619" s="25"/>
      <c r="X619" s="25"/>
      <c r="Y619" s="25"/>
      <c r="Z619" s="25"/>
      <c r="AA619" s="25"/>
      <c r="AB619" s="25"/>
    </row>
    <row r="620">
      <c r="A620" s="25"/>
      <c r="B620" s="25"/>
      <c r="C620" s="25"/>
      <c r="D620" s="25"/>
      <c r="E620" s="25"/>
      <c r="F620" s="241"/>
      <c r="G620" s="21" t="b">
        <f t="shared" ref="G620:H620" si="528">ISBLANK(M620)</f>
        <v>1</v>
      </c>
      <c r="H620" s="21" t="b">
        <f t="shared" si="528"/>
        <v>1</v>
      </c>
      <c r="I620" s="25"/>
      <c r="J620" s="25"/>
      <c r="K620" s="25"/>
      <c r="L620" s="25"/>
      <c r="M620" s="16"/>
      <c r="N620" s="16"/>
      <c r="O620" s="25"/>
      <c r="P620" s="25"/>
      <c r="Q620" s="25"/>
      <c r="R620" s="25"/>
      <c r="S620" s="25"/>
      <c r="T620" s="25"/>
      <c r="U620" s="25"/>
      <c r="V620" s="25"/>
      <c r="W620" s="25"/>
      <c r="X620" s="25"/>
      <c r="Y620" s="25"/>
      <c r="Z620" s="25"/>
      <c r="AA620" s="25"/>
      <c r="AB620" s="25"/>
    </row>
    <row r="621">
      <c r="A621" s="25"/>
      <c r="B621" s="25"/>
      <c r="C621" s="25"/>
      <c r="D621" s="25"/>
      <c r="E621" s="25"/>
      <c r="F621" s="241"/>
      <c r="G621" s="21" t="b">
        <f t="shared" ref="G621:H621" si="529">ISBLANK(M621)</f>
        <v>1</v>
      </c>
      <c r="H621" s="21" t="b">
        <f t="shared" si="529"/>
        <v>1</v>
      </c>
      <c r="I621" s="25"/>
      <c r="J621" s="25"/>
      <c r="K621" s="25"/>
      <c r="L621" s="25"/>
      <c r="M621" s="16"/>
      <c r="N621" s="16"/>
      <c r="O621" s="25"/>
      <c r="P621" s="25"/>
      <c r="Q621" s="25"/>
      <c r="R621" s="25"/>
      <c r="S621" s="25"/>
      <c r="T621" s="25"/>
      <c r="U621" s="25"/>
      <c r="V621" s="25"/>
      <c r="W621" s="25"/>
      <c r="X621" s="25"/>
      <c r="Y621" s="25"/>
      <c r="Z621" s="25"/>
      <c r="AA621" s="25"/>
      <c r="AB621" s="25"/>
    </row>
    <row r="622">
      <c r="A622" s="25"/>
      <c r="B622" s="25"/>
      <c r="C622" s="25"/>
      <c r="D622" s="25"/>
      <c r="E622" s="25"/>
      <c r="F622" s="241"/>
      <c r="G622" s="21" t="b">
        <f t="shared" ref="G622:H622" si="530">ISBLANK(M622)</f>
        <v>1</v>
      </c>
      <c r="H622" s="21" t="b">
        <f t="shared" si="530"/>
        <v>1</v>
      </c>
      <c r="I622" s="25"/>
      <c r="J622" s="25"/>
      <c r="K622" s="25"/>
      <c r="L622" s="25"/>
      <c r="M622" s="16"/>
      <c r="N622" s="16"/>
      <c r="O622" s="25"/>
      <c r="P622" s="25"/>
      <c r="Q622" s="25"/>
      <c r="R622" s="25"/>
      <c r="S622" s="25"/>
      <c r="T622" s="25"/>
      <c r="U622" s="25"/>
      <c r="V622" s="25"/>
      <c r="W622" s="25"/>
      <c r="X622" s="25"/>
      <c r="Y622" s="25"/>
      <c r="Z622" s="25"/>
      <c r="AA622" s="25"/>
      <c r="AB622" s="25"/>
    </row>
    <row r="623">
      <c r="A623" s="25"/>
      <c r="B623" s="25"/>
      <c r="C623" s="25"/>
      <c r="D623" s="25"/>
      <c r="E623" s="25"/>
      <c r="F623" s="241"/>
      <c r="G623" s="21" t="b">
        <f t="shared" ref="G623:H623" si="531">ISBLANK(M623)</f>
        <v>1</v>
      </c>
      <c r="H623" s="21" t="b">
        <f t="shared" si="531"/>
        <v>1</v>
      </c>
      <c r="I623" s="25"/>
      <c r="J623" s="25"/>
      <c r="K623" s="25"/>
      <c r="L623" s="25"/>
      <c r="M623" s="16"/>
      <c r="N623" s="16"/>
      <c r="O623" s="25"/>
      <c r="P623" s="25"/>
      <c r="Q623" s="25"/>
      <c r="R623" s="25"/>
      <c r="S623" s="25"/>
      <c r="T623" s="25"/>
      <c r="U623" s="25"/>
      <c r="V623" s="25"/>
      <c r="W623" s="25"/>
      <c r="X623" s="25"/>
      <c r="Y623" s="25"/>
      <c r="Z623" s="25"/>
      <c r="AA623" s="25"/>
      <c r="AB623" s="25"/>
    </row>
    <row r="624">
      <c r="A624" s="25"/>
      <c r="B624" s="25"/>
      <c r="C624" s="25"/>
      <c r="D624" s="25"/>
      <c r="E624" s="25"/>
      <c r="F624" s="241"/>
      <c r="G624" s="21" t="b">
        <f t="shared" ref="G624:H624" si="532">ISBLANK(M624)</f>
        <v>1</v>
      </c>
      <c r="H624" s="21" t="b">
        <f t="shared" si="532"/>
        <v>1</v>
      </c>
      <c r="I624" s="25"/>
      <c r="J624" s="25"/>
      <c r="K624" s="25"/>
      <c r="L624" s="25"/>
      <c r="M624" s="16"/>
      <c r="N624" s="16"/>
      <c r="O624" s="25"/>
      <c r="P624" s="25"/>
      <c r="Q624" s="25"/>
      <c r="R624" s="25"/>
      <c r="S624" s="25"/>
      <c r="T624" s="25"/>
      <c r="U624" s="25"/>
      <c r="V624" s="25"/>
      <c r="W624" s="25"/>
      <c r="X624" s="25"/>
      <c r="Y624" s="25"/>
      <c r="Z624" s="25"/>
      <c r="AA624" s="25"/>
      <c r="AB624" s="25"/>
    </row>
    <row r="625">
      <c r="A625" s="25"/>
      <c r="B625" s="25"/>
      <c r="C625" s="25"/>
      <c r="D625" s="25"/>
      <c r="E625" s="25"/>
      <c r="F625" s="241"/>
      <c r="G625" s="21" t="b">
        <f t="shared" ref="G625:H625" si="533">ISBLANK(M625)</f>
        <v>1</v>
      </c>
      <c r="H625" s="21" t="b">
        <f t="shared" si="533"/>
        <v>1</v>
      </c>
      <c r="I625" s="25"/>
      <c r="J625" s="25"/>
      <c r="K625" s="25"/>
      <c r="L625" s="25"/>
      <c r="M625" s="16"/>
      <c r="N625" s="16"/>
      <c r="O625" s="25"/>
      <c r="P625" s="25"/>
      <c r="Q625" s="25"/>
      <c r="R625" s="25"/>
      <c r="S625" s="25"/>
      <c r="T625" s="25"/>
      <c r="U625" s="25"/>
      <c r="V625" s="25"/>
      <c r="W625" s="25"/>
      <c r="X625" s="25"/>
      <c r="Y625" s="25"/>
      <c r="Z625" s="25"/>
      <c r="AA625" s="25"/>
      <c r="AB625" s="25"/>
    </row>
    <row r="626">
      <c r="A626" s="25"/>
      <c r="B626" s="25"/>
      <c r="C626" s="25"/>
      <c r="D626" s="25"/>
      <c r="E626" s="25"/>
      <c r="F626" s="241"/>
      <c r="G626" s="21" t="b">
        <f t="shared" ref="G626:H626" si="534">ISBLANK(M626)</f>
        <v>1</v>
      </c>
      <c r="H626" s="21" t="b">
        <f t="shared" si="534"/>
        <v>1</v>
      </c>
      <c r="I626" s="25"/>
      <c r="J626" s="25"/>
      <c r="K626" s="25"/>
      <c r="L626" s="25"/>
      <c r="M626" s="16"/>
      <c r="N626" s="16"/>
      <c r="O626" s="25"/>
      <c r="P626" s="25"/>
      <c r="Q626" s="25"/>
      <c r="R626" s="25"/>
      <c r="S626" s="25"/>
      <c r="T626" s="25"/>
      <c r="U626" s="25"/>
      <c r="V626" s="25"/>
      <c r="W626" s="25"/>
      <c r="X626" s="25"/>
      <c r="Y626" s="25"/>
      <c r="Z626" s="25"/>
      <c r="AA626" s="25"/>
      <c r="AB626" s="25"/>
    </row>
    <row r="627">
      <c r="A627" s="25"/>
      <c r="B627" s="25"/>
      <c r="C627" s="25"/>
      <c r="D627" s="25"/>
      <c r="E627" s="25"/>
      <c r="F627" s="241"/>
      <c r="G627" s="21" t="b">
        <f t="shared" ref="G627:H627" si="535">ISBLANK(M627)</f>
        <v>1</v>
      </c>
      <c r="H627" s="21" t="b">
        <f t="shared" si="535"/>
        <v>1</v>
      </c>
      <c r="I627" s="25"/>
      <c r="J627" s="25"/>
      <c r="K627" s="25"/>
      <c r="L627" s="25"/>
      <c r="M627" s="16"/>
      <c r="N627" s="16"/>
      <c r="O627" s="25"/>
      <c r="P627" s="25"/>
      <c r="Q627" s="25"/>
      <c r="R627" s="25"/>
      <c r="S627" s="25"/>
      <c r="T627" s="25"/>
      <c r="U627" s="25"/>
      <c r="V627" s="25"/>
      <c r="W627" s="25"/>
      <c r="X627" s="25"/>
      <c r="Y627" s="25"/>
      <c r="Z627" s="25"/>
      <c r="AA627" s="25"/>
      <c r="AB627" s="25"/>
    </row>
    <row r="628">
      <c r="A628" s="25"/>
      <c r="B628" s="25"/>
      <c r="C628" s="25"/>
      <c r="D628" s="25"/>
      <c r="E628" s="25"/>
      <c r="F628" s="241"/>
      <c r="G628" s="21" t="b">
        <f t="shared" ref="G628:H628" si="536">ISBLANK(M628)</f>
        <v>1</v>
      </c>
      <c r="H628" s="21" t="b">
        <f t="shared" si="536"/>
        <v>1</v>
      </c>
      <c r="I628" s="25"/>
      <c r="J628" s="25"/>
      <c r="K628" s="25"/>
      <c r="L628" s="25"/>
      <c r="M628" s="16"/>
      <c r="N628" s="16"/>
      <c r="O628" s="25"/>
      <c r="P628" s="25"/>
      <c r="Q628" s="25"/>
      <c r="R628" s="25"/>
      <c r="S628" s="25"/>
      <c r="T628" s="25"/>
      <c r="U628" s="25"/>
      <c r="V628" s="25"/>
      <c r="W628" s="25"/>
      <c r="X628" s="25"/>
      <c r="Y628" s="25"/>
      <c r="Z628" s="25"/>
      <c r="AA628" s="25"/>
      <c r="AB628" s="25"/>
    </row>
    <row r="629">
      <c r="A629" s="25"/>
      <c r="B629" s="25"/>
      <c r="C629" s="25"/>
      <c r="D629" s="25"/>
      <c r="E629" s="25"/>
      <c r="F629" s="241"/>
      <c r="G629" s="21" t="b">
        <f t="shared" ref="G629:H629" si="537">ISBLANK(M629)</f>
        <v>1</v>
      </c>
      <c r="H629" s="21" t="b">
        <f t="shared" si="537"/>
        <v>1</v>
      </c>
      <c r="I629" s="25"/>
      <c r="J629" s="25"/>
      <c r="K629" s="25"/>
      <c r="L629" s="25"/>
      <c r="M629" s="16"/>
      <c r="N629" s="16"/>
      <c r="O629" s="25"/>
      <c r="P629" s="25"/>
      <c r="Q629" s="25"/>
      <c r="R629" s="25"/>
      <c r="S629" s="25"/>
      <c r="T629" s="25"/>
      <c r="U629" s="25"/>
      <c r="V629" s="25"/>
      <c r="W629" s="25"/>
      <c r="X629" s="25"/>
      <c r="Y629" s="25"/>
      <c r="Z629" s="25"/>
      <c r="AA629" s="25"/>
      <c r="AB629" s="25"/>
    </row>
    <row r="630">
      <c r="A630" s="25"/>
      <c r="B630" s="25"/>
      <c r="C630" s="25"/>
      <c r="D630" s="25"/>
      <c r="E630" s="25"/>
      <c r="F630" s="241"/>
      <c r="G630" s="21" t="b">
        <f t="shared" ref="G630:H630" si="538">ISBLANK(M630)</f>
        <v>1</v>
      </c>
      <c r="H630" s="21" t="b">
        <f t="shared" si="538"/>
        <v>1</v>
      </c>
      <c r="I630" s="25"/>
      <c r="J630" s="25"/>
      <c r="K630" s="25"/>
      <c r="L630" s="25"/>
      <c r="M630" s="16"/>
      <c r="N630" s="16"/>
      <c r="O630" s="25"/>
      <c r="P630" s="25"/>
      <c r="Q630" s="25"/>
      <c r="R630" s="25"/>
      <c r="S630" s="25"/>
      <c r="T630" s="25"/>
      <c r="U630" s="25"/>
      <c r="V630" s="25"/>
      <c r="W630" s="25"/>
      <c r="X630" s="25"/>
      <c r="Y630" s="25"/>
      <c r="Z630" s="25"/>
      <c r="AA630" s="25"/>
      <c r="AB630" s="25"/>
    </row>
    <row r="631">
      <c r="A631" s="25"/>
      <c r="B631" s="25"/>
      <c r="C631" s="25"/>
      <c r="D631" s="25"/>
      <c r="E631" s="25"/>
      <c r="F631" s="241"/>
      <c r="G631" s="21" t="b">
        <f t="shared" ref="G631:H631" si="539">ISBLANK(M631)</f>
        <v>1</v>
      </c>
      <c r="H631" s="21" t="b">
        <f t="shared" si="539"/>
        <v>1</v>
      </c>
      <c r="I631" s="25"/>
      <c r="J631" s="25"/>
      <c r="K631" s="25"/>
      <c r="L631" s="25"/>
      <c r="M631" s="16"/>
      <c r="N631" s="16"/>
      <c r="O631" s="25"/>
      <c r="P631" s="25"/>
      <c r="Q631" s="25"/>
      <c r="R631" s="25"/>
      <c r="S631" s="25"/>
      <c r="T631" s="25"/>
      <c r="U631" s="25"/>
      <c r="V631" s="25"/>
      <c r="W631" s="25"/>
      <c r="X631" s="25"/>
      <c r="Y631" s="25"/>
      <c r="Z631" s="25"/>
      <c r="AA631" s="25"/>
      <c r="AB631" s="25"/>
    </row>
    <row r="632">
      <c r="A632" s="25"/>
      <c r="B632" s="25"/>
      <c r="C632" s="25"/>
      <c r="D632" s="25"/>
      <c r="E632" s="25"/>
      <c r="F632" s="241"/>
      <c r="G632" s="21" t="b">
        <f t="shared" ref="G632:H632" si="540">ISBLANK(M632)</f>
        <v>1</v>
      </c>
      <c r="H632" s="21" t="b">
        <f t="shared" si="540"/>
        <v>1</v>
      </c>
      <c r="I632" s="25"/>
      <c r="J632" s="25"/>
      <c r="K632" s="25"/>
      <c r="L632" s="25"/>
      <c r="M632" s="16"/>
      <c r="N632" s="16"/>
      <c r="O632" s="25"/>
      <c r="P632" s="25"/>
      <c r="Q632" s="25"/>
      <c r="R632" s="25"/>
      <c r="S632" s="25"/>
      <c r="T632" s="25"/>
      <c r="U632" s="25"/>
      <c r="V632" s="25"/>
      <c r="W632" s="25"/>
      <c r="X632" s="25"/>
      <c r="Y632" s="25"/>
      <c r="Z632" s="25"/>
      <c r="AA632" s="25"/>
      <c r="AB632" s="25"/>
    </row>
    <row r="633">
      <c r="A633" s="25"/>
      <c r="B633" s="25"/>
      <c r="C633" s="25"/>
      <c r="D633" s="25"/>
      <c r="E633" s="25"/>
      <c r="F633" s="241"/>
      <c r="G633" s="21" t="b">
        <f t="shared" ref="G633:H633" si="541">ISBLANK(M633)</f>
        <v>1</v>
      </c>
      <c r="H633" s="21" t="b">
        <f t="shared" si="541"/>
        <v>1</v>
      </c>
      <c r="I633" s="25"/>
      <c r="J633" s="25"/>
      <c r="K633" s="25"/>
      <c r="L633" s="25"/>
      <c r="M633" s="16"/>
      <c r="N633" s="16"/>
      <c r="O633" s="25"/>
      <c r="P633" s="25"/>
      <c r="Q633" s="25"/>
      <c r="R633" s="25"/>
      <c r="S633" s="25"/>
      <c r="T633" s="25"/>
      <c r="U633" s="25"/>
      <c r="V633" s="25"/>
      <c r="W633" s="25"/>
      <c r="X633" s="25"/>
      <c r="Y633" s="25"/>
      <c r="Z633" s="25"/>
      <c r="AA633" s="25"/>
      <c r="AB633" s="25"/>
    </row>
    <row r="634">
      <c r="A634" s="25"/>
      <c r="B634" s="25"/>
      <c r="C634" s="25"/>
      <c r="D634" s="25"/>
      <c r="E634" s="25"/>
      <c r="F634" s="241"/>
      <c r="G634" s="21" t="b">
        <f t="shared" ref="G634:H634" si="542">ISBLANK(M634)</f>
        <v>1</v>
      </c>
      <c r="H634" s="21" t="b">
        <f t="shared" si="542"/>
        <v>1</v>
      </c>
      <c r="I634" s="25"/>
      <c r="J634" s="25"/>
      <c r="K634" s="25"/>
      <c r="L634" s="25"/>
      <c r="M634" s="16"/>
      <c r="N634" s="16"/>
      <c r="O634" s="25"/>
      <c r="P634" s="25"/>
      <c r="Q634" s="25"/>
      <c r="R634" s="25"/>
      <c r="S634" s="25"/>
      <c r="T634" s="25"/>
      <c r="U634" s="25"/>
      <c r="V634" s="25"/>
      <c r="W634" s="25"/>
      <c r="X634" s="25"/>
      <c r="Y634" s="25"/>
      <c r="Z634" s="25"/>
      <c r="AA634" s="25"/>
      <c r="AB634" s="25"/>
    </row>
    <row r="635">
      <c r="A635" s="25"/>
      <c r="B635" s="25"/>
      <c r="C635" s="25"/>
      <c r="D635" s="25"/>
      <c r="E635" s="25"/>
      <c r="F635" s="241"/>
      <c r="G635" s="21" t="b">
        <f t="shared" ref="G635:H635" si="543">ISBLANK(M635)</f>
        <v>1</v>
      </c>
      <c r="H635" s="21" t="b">
        <f t="shared" si="543"/>
        <v>1</v>
      </c>
      <c r="I635" s="25"/>
      <c r="J635" s="25"/>
      <c r="K635" s="25"/>
      <c r="L635" s="25"/>
      <c r="M635" s="16"/>
      <c r="N635" s="16"/>
      <c r="O635" s="25"/>
      <c r="P635" s="25"/>
      <c r="Q635" s="25"/>
      <c r="R635" s="25"/>
      <c r="S635" s="25"/>
      <c r="T635" s="25"/>
      <c r="U635" s="25"/>
      <c r="V635" s="25"/>
      <c r="W635" s="25"/>
      <c r="X635" s="25"/>
      <c r="Y635" s="25"/>
      <c r="Z635" s="25"/>
      <c r="AA635" s="25"/>
      <c r="AB635" s="25"/>
    </row>
    <row r="636">
      <c r="A636" s="25"/>
      <c r="B636" s="25"/>
      <c r="C636" s="25"/>
      <c r="D636" s="25"/>
      <c r="E636" s="25"/>
      <c r="F636" s="241"/>
      <c r="G636" s="21" t="b">
        <f t="shared" ref="G636:H636" si="544">ISBLANK(M636)</f>
        <v>1</v>
      </c>
      <c r="H636" s="21" t="b">
        <f t="shared" si="544"/>
        <v>1</v>
      </c>
      <c r="I636" s="25"/>
      <c r="J636" s="25"/>
      <c r="K636" s="25"/>
      <c r="L636" s="25"/>
      <c r="M636" s="16"/>
      <c r="N636" s="16"/>
      <c r="O636" s="25"/>
      <c r="P636" s="25"/>
      <c r="Q636" s="25"/>
      <c r="R636" s="25"/>
      <c r="S636" s="25"/>
      <c r="T636" s="25"/>
      <c r="U636" s="25"/>
      <c r="V636" s="25"/>
      <c r="W636" s="25"/>
      <c r="X636" s="25"/>
      <c r="Y636" s="25"/>
      <c r="Z636" s="25"/>
      <c r="AA636" s="25"/>
      <c r="AB636" s="25"/>
    </row>
    <row r="637">
      <c r="A637" s="25"/>
      <c r="B637" s="25"/>
      <c r="C637" s="25"/>
      <c r="D637" s="25"/>
      <c r="E637" s="25"/>
      <c r="F637" s="241"/>
      <c r="G637" s="21" t="b">
        <f t="shared" ref="G637:H637" si="545">ISBLANK(M637)</f>
        <v>1</v>
      </c>
      <c r="H637" s="21" t="b">
        <f t="shared" si="545"/>
        <v>1</v>
      </c>
      <c r="I637" s="25"/>
      <c r="J637" s="25"/>
      <c r="K637" s="25"/>
      <c r="L637" s="25"/>
      <c r="M637" s="16"/>
      <c r="N637" s="16"/>
      <c r="O637" s="25"/>
      <c r="P637" s="25"/>
      <c r="Q637" s="25"/>
      <c r="R637" s="25"/>
      <c r="S637" s="25"/>
      <c r="T637" s="25"/>
      <c r="U637" s="25"/>
      <c r="V637" s="25"/>
      <c r="W637" s="25"/>
      <c r="X637" s="25"/>
      <c r="Y637" s="25"/>
      <c r="Z637" s="25"/>
      <c r="AA637" s="25"/>
      <c r="AB637" s="25"/>
    </row>
    <row r="638">
      <c r="A638" s="25"/>
      <c r="B638" s="25"/>
      <c r="C638" s="25"/>
      <c r="D638" s="25"/>
      <c r="E638" s="25"/>
      <c r="F638" s="241"/>
      <c r="G638" s="21" t="b">
        <f t="shared" ref="G638:H638" si="546">ISBLANK(M638)</f>
        <v>1</v>
      </c>
      <c r="H638" s="21" t="b">
        <f t="shared" si="546"/>
        <v>1</v>
      </c>
      <c r="I638" s="25"/>
      <c r="J638" s="25"/>
      <c r="K638" s="25"/>
      <c r="L638" s="25"/>
      <c r="M638" s="16"/>
      <c r="N638" s="16"/>
      <c r="O638" s="25"/>
      <c r="P638" s="25"/>
      <c r="Q638" s="25"/>
      <c r="R638" s="25"/>
      <c r="S638" s="25"/>
      <c r="T638" s="25"/>
      <c r="U638" s="25"/>
      <c r="V638" s="25"/>
      <c r="W638" s="25"/>
      <c r="X638" s="25"/>
      <c r="Y638" s="25"/>
      <c r="Z638" s="25"/>
      <c r="AA638" s="25"/>
      <c r="AB638" s="25"/>
    </row>
    <row r="639">
      <c r="A639" s="25"/>
      <c r="B639" s="25"/>
      <c r="C639" s="25"/>
      <c r="D639" s="25"/>
      <c r="E639" s="25"/>
      <c r="F639" s="241"/>
      <c r="G639" s="21" t="b">
        <f t="shared" ref="G639:H639" si="547">ISBLANK(M639)</f>
        <v>1</v>
      </c>
      <c r="H639" s="21" t="b">
        <f t="shared" si="547"/>
        <v>1</v>
      </c>
      <c r="I639" s="25"/>
      <c r="J639" s="25"/>
      <c r="K639" s="25"/>
      <c r="L639" s="25"/>
      <c r="M639" s="16"/>
      <c r="N639" s="16"/>
      <c r="O639" s="25"/>
      <c r="P639" s="25"/>
      <c r="Q639" s="25"/>
      <c r="R639" s="25"/>
      <c r="S639" s="25"/>
      <c r="T639" s="25"/>
      <c r="U639" s="25"/>
      <c r="V639" s="25"/>
      <c r="W639" s="25"/>
      <c r="X639" s="25"/>
      <c r="Y639" s="25"/>
      <c r="Z639" s="25"/>
      <c r="AA639" s="25"/>
      <c r="AB639" s="25"/>
    </row>
    <row r="640">
      <c r="A640" s="25"/>
      <c r="B640" s="25"/>
      <c r="C640" s="25"/>
      <c r="D640" s="25"/>
      <c r="E640" s="25"/>
      <c r="F640" s="241"/>
      <c r="G640" s="21" t="b">
        <f t="shared" ref="G640:H640" si="548">ISBLANK(M640)</f>
        <v>1</v>
      </c>
      <c r="H640" s="21" t="b">
        <f t="shared" si="548"/>
        <v>1</v>
      </c>
      <c r="I640" s="25"/>
      <c r="J640" s="25"/>
      <c r="K640" s="25"/>
      <c r="L640" s="25"/>
      <c r="M640" s="16"/>
      <c r="N640" s="16"/>
      <c r="O640" s="25"/>
      <c r="P640" s="25"/>
      <c r="Q640" s="25"/>
      <c r="R640" s="25"/>
      <c r="S640" s="25"/>
      <c r="T640" s="25"/>
      <c r="U640" s="25"/>
      <c r="V640" s="25"/>
      <c r="W640" s="25"/>
      <c r="X640" s="25"/>
      <c r="Y640" s="25"/>
      <c r="Z640" s="25"/>
      <c r="AA640" s="25"/>
      <c r="AB640" s="25"/>
    </row>
    <row r="641">
      <c r="A641" s="25"/>
      <c r="B641" s="25"/>
      <c r="C641" s="25"/>
      <c r="D641" s="25"/>
      <c r="E641" s="25"/>
      <c r="F641" s="241"/>
      <c r="G641" s="21" t="b">
        <f t="shared" ref="G641:H641" si="549">ISBLANK(M641)</f>
        <v>1</v>
      </c>
      <c r="H641" s="21" t="b">
        <f t="shared" si="549"/>
        <v>1</v>
      </c>
      <c r="I641" s="25"/>
      <c r="J641" s="25"/>
      <c r="K641" s="25"/>
      <c r="L641" s="25"/>
      <c r="M641" s="16"/>
      <c r="N641" s="16"/>
      <c r="O641" s="25"/>
      <c r="P641" s="25"/>
      <c r="Q641" s="25"/>
      <c r="R641" s="25"/>
      <c r="S641" s="25"/>
      <c r="T641" s="25"/>
      <c r="U641" s="25"/>
      <c r="V641" s="25"/>
      <c r="W641" s="25"/>
      <c r="X641" s="25"/>
      <c r="Y641" s="25"/>
      <c r="Z641" s="25"/>
      <c r="AA641" s="25"/>
      <c r="AB641" s="25"/>
    </row>
    <row r="642">
      <c r="A642" s="25"/>
      <c r="B642" s="25"/>
      <c r="C642" s="25"/>
      <c r="D642" s="25"/>
      <c r="E642" s="25"/>
      <c r="F642" s="241"/>
      <c r="G642" s="21" t="b">
        <f t="shared" ref="G642:H642" si="550">ISBLANK(M642)</f>
        <v>1</v>
      </c>
      <c r="H642" s="21" t="b">
        <f t="shared" si="550"/>
        <v>1</v>
      </c>
      <c r="I642" s="25"/>
      <c r="J642" s="25"/>
      <c r="K642" s="25"/>
      <c r="L642" s="25"/>
      <c r="M642" s="16"/>
      <c r="N642" s="16"/>
      <c r="O642" s="25"/>
      <c r="P642" s="25"/>
      <c r="Q642" s="25"/>
      <c r="R642" s="25"/>
      <c r="S642" s="25"/>
      <c r="T642" s="25"/>
      <c r="U642" s="25"/>
      <c r="V642" s="25"/>
      <c r="W642" s="25"/>
      <c r="X642" s="25"/>
      <c r="Y642" s="25"/>
      <c r="Z642" s="25"/>
      <c r="AA642" s="25"/>
      <c r="AB642" s="25"/>
    </row>
    <row r="643">
      <c r="A643" s="25"/>
      <c r="B643" s="25"/>
      <c r="C643" s="25"/>
      <c r="D643" s="25"/>
      <c r="E643" s="25"/>
      <c r="F643" s="241"/>
      <c r="G643" s="21" t="b">
        <f t="shared" ref="G643:H643" si="551">ISBLANK(M643)</f>
        <v>1</v>
      </c>
      <c r="H643" s="21" t="b">
        <f t="shared" si="551"/>
        <v>1</v>
      </c>
      <c r="I643" s="25"/>
      <c r="J643" s="25"/>
      <c r="K643" s="25"/>
      <c r="L643" s="25"/>
      <c r="M643" s="16"/>
      <c r="N643" s="16"/>
      <c r="O643" s="25"/>
      <c r="P643" s="25"/>
      <c r="Q643" s="25"/>
      <c r="R643" s="25"/>
      <c r="S643" s="25"/>
      <c r="T643" s="25"/>
      <c r="U643" s="25"/>
      <c r="V643" s="25"/>
      <c r="W643" s="25"/>
      <c r="X643" s="25"/>
      <c r="Y643" s="25"/>
      <c r="Z643" s="25"/>
      <c r="AA643" s="25"/>
      <c r="AB643" s="25"/>
    </row>
    <row r="644">
      <c r="A644" s="25"/>
      <c r="B644" s="25"/>
      <c r="C644" s="25"/>
      <c r="D644" s="25"/>
      <c r="E644" s="25"/>
      <c r="F644" s="241"/>
      <c r="G644" s="21" t="b">
        <f t="shared" ref="G644:H644" si="552">ISBLANK(M644)</f>
        <v>1</v>
      </c>
      <c r="H644" s="21" t="b">
        <f t="shared" si="552"/>
        <v>1</v>
      </c>
      <c r="I644" s="25"/>
      <c r="J644" s="25"/>
      <c r="K644" s="25"/>
      <c r="L644" s="25"/>
      <c r="M644" s="16"/>
      <c r="N644" s="16"/>
      <c r="O644" s="25"/>
      <c r="P644" s="25"/>
      <c r="Q644" s="25"/>
      <c r="R644" s="25"/>
      <c r="S644" s="25"/>
      <c r="T644" s="25"/>
      <c r="U644" s="25"/>
      <c r="V644" s="25"/>
      <c r="W644" s="25"/>
      <c r="X644" s="25"/>
      <c r="Y644" s="25"/>
      <c r="Z644" s="25"/>
      <c r="AA644" s="25"/>
      <c r="AB644" s="25"/>
    </row>
    <row r="645">
      <c r="A645" s="25"/>
      <c r="B645" s="25"/>
      <c r="C645" s="25"/>
      <c r="D645" s="25"/>
      <c r="E645" s="25"/>
      <c r="F645" s="241"/>
      <c r="G645" s="21" t="b">
        <f t="shared" ref="G645:H645" si="553">ISBLANK(M645)</f>
        <v>1</v>
      </c>
      <c r="H645" s="21" t="b">
        <f t="shared" si="553"/>
        <v>1</v>
      </c>
      <c r="I645" s="25"/>
      <c r="J645" s="25"/>
      <c r="K645" s="25"/>
      <c r="L645" s="25"/>
      <c r="M645" s="16"/>
      <c r="N645" s="16"/>
      <c r="O645" s="25"/>
      <c r="P645" s="25"/>
      <c r="Q645" s="25"/>
      <c r="R645" s="25"/>
      <c r="S645" s="25"/>
      <c r="T645" s="25"/>
      <c r="U645" s="25"/>
      <c r="V645" s="25"/>
      <c r="W645" s="25"/>
      <c r="X645" s="25"/>
      <c r="Y645" s="25"/>
      <c r="Z645" s="25"/>
      <c r="AA645" s="25"/>
      <c r="AB645" s="25"/>
    </row>
    <row r="646">
      <c r="A646" s="25"/>
      <c r="B646" s="25"/>
      <c r="C646" s="25"/>
      <c r="D646" s="25"/>
      <c r="E646" s="25"/>
      <c r="F646" s="241"/>
      <c r="G646" s="21" t="b">
        <f t="shared" ref="G646:H646" si="554">ISBLANK(M646)</f>
        <v>1</v>
      </c>
      <c r="H646" s="21" t="b">
        <f t="shared" si="554"/>
        <v>1</v>
      </c>
      <c r="I646" s="25"/>
      <c r="J646" s="25"/>
      <c r="K646" s="25"/>
      <c r="L646" s="25"/>
      <c r="M646" s="16"/>
      <c r="N646" s="16"/>
      <c r="O646" s="25"/>
      <c r="P646" s="25"/>
      <c r="Q646" s="25"/>
      <c r="R646" s="25"/>
      <c r="S646" s="25"/>
      <c r="T646" s="25"/>
      <c r="U646" s="25"/>
      <c r="V646" s="25"/>
      <c r="W646" s="25"/>
      <c r="X646" s="25"/>
      <c r="Y646" s="25"/>
      <c r="Z646" s="25"/>
      <c r="AA646" s="25"/>
      <c r="AB646" s="25"/>
    </row>
    <row r="647">
      <c r="A647" s="25"/>
      <c r="B647" s="25"/>
      <c r="C647" s="25"/>
      <c r="D647" s="25"/>
      <c r="E647" s="25"/>
      <c r="F647" s="241"/>
      <c r="G647" s="21" t="b">
        <f t="shared" ref="G647:H647" si="555">ISBLANK(M647)</f>
        <v>1</v>
      </c>
      <c r="H647" s="21" t="b">
        <f t="shared" si="555"/>
        <v>1</v>
      </c>
      <c r="I647" s="25"/>
      <c r="J647" s="25"/>
      <c r="K647" s="25"/>
      <c r="L647" s="25"/>
      <c r="M647" s="16"/>
      <c r="N647" s="16"/>
      <c r="O647" s="25"/>
      <c r="P647" s="25"/>
      <c r="Q647" s="25"/>
      <c r="R647" s="25"/>
      <c r="S647" s="25"/>
      <c r="T647" s="25"/>
      <c r="U647" s="25"/>
      <c r="V647" s="25"/>
      <c r="W647" s="25"/>
      <c r="X647" s="25"/>
      <c r="Y647" s="25"/>
      <c r="Z647" s="25"/>
      <c r="AA647" s="25"/>
      <c r="AB647" s="25"/>
    </row>
    <row r="648">
      <c r="A648" s="25"/>
      <c r="B648" s="25"/>
      <c r="C648" s="25"/>
      <c r="D648" s="25"/>
      <c r="E648" s="25"/>
      <c r="F648" s="241"/>
      <c r="G648" s="21" t="b">
        <f t="shared" ref="G648:H648" si="556">ISBLANK(M648)</f>
        <v>1</v>
      </c>
      <c r="H648" s="21" t="b">
        <f t="shared" si="556"/>
        <v>1</v>
      </c>
      <c r="I648" s="25"/>
      <c r="J648" s="25"/>
      <c r="K648" s="25"/>
      <c r="L648" s="25"/>
      <c r="M648" s="16"/>
      <c r="N648" s="16"/>
      <c r="O648" s="25"/>
      <c r="P648" s="25"/>
      <c r="Q648" s="25"/>
      <c r="R648" s="25"/>
      <c r="S648" s="25"/>
      <c r="T648" s="25"/>
      <c r="U648" s="25"/>
      <c r="V648" s="25"/>
      <c r="W648" s="25"/>
      <c r="X648" s="25"/>
      <c r="Y648" s="25"/>
      <c r="Z648" s="25"/>
      <c r="AA648" s="25"/>
      <c r="AB648" s="25"/>
    </row>
    <row r="649">
      <c r="A649" s="25"/>
      <c r="B649" s="25"/>
      <c r="C649" s="25"/>
      <c r="D649" s="25"/>
      <c r="E649" s="25"/>
      <c r="F649" s="241"/>
      <c r="G649" s="21" t="b">
        <f t="shared" ref="G649:H649" si="557">ISBLANK(M649)</f>
        <v>1</v>
      </c>
      <c r="H649" s="21" t="b">
        <f t="shared" si="557"/>
        <v>1</v>
      </c>
      <c r="I649" s="25"/>
      <c r="J649" s="25"/>
      <c r="K649" s="25"/>
      <c r="L649" s="25"/>
      <c r="M649" s="16"/>
      <c r="N649" s="16"/>
      <c r="O649" s="25"/>
      <c r="P649" s="25"/>
      <c r="Q649" s="25"/>
      <c r="R649" s="25"/>
      <c r="S649" s="25"/>
      <c r="T649" s="25"/>
      <c r="U649" s="25"/>
      <c r="V649" s="25"/>
      <c r="W649" s="25"/>
      <c r="X649" s="25"/>
      <c r="Y649" s="25"/>
      <c r="Z649" s="25"/>
      <c r="AA649" s="25"/>
      <c r="AB649" s="25"/>
    </row>
    <row r="650">
      <c r="A650" s="25"/>
      <c r="B650" s="25"/>
      <c r="C650" s="25"/>
      <c r="D650" s="25"/>
      <c r="E650" s="25"/>
      <c r="F650" s="241"/>
      <c r="G650" s="21" t="b">
        <f t="shared" ref="G650:H650" si="558">ISBLANK(M650)</f>
        <v>1</v>
      </c>
      <c r="H650" s="21" t="b">
        <f t="shared" si="558"/>
        <v>1</v>
      </c>
      <c r="I650" s="25"/>
      <c r="J650" s="25"/>
      <c r="K650" s="25"/>
      <c r="L650" s="25"/>
      <c r="M650" s="16"/>
      <c r="N650" s="16"/>
      <c r="O650" s="25"/>
      <c r="P650" s="25"/>
      <c r="Q650" s="25"/>
      <c r="R650" s="25"/>
      <c r="S650" s="25"/>
      <c r="T650" s="25"/>
      <c r="U650" s="25"/>
      <c r="V650" s="25"/>
      <c r="W650" s="25"/>
      <c r="X650" s="25"/>
      <c r="Y650" s="25"/>
      <c r="Z650" s="25"/>
      <c r="AA650" s="25"/>
      <c r="AB650" s="25"/>
    </row>
    <row r="651">
      <c r="A651" s="25"/>
      <c r="B651" s="25"/>
      <c r="C651" s="25"/>
      <c r="D651" s="25"/>
      <c r="E651" s="25"/>
      <c r="F651" s="241"/>
      <c r="G651" s="21" t="b">
        <f t="shared" ref="G651:H651" si="559">ISBLANK(M651)</f>
        <v>1</v>
      </c>
      <c r="H651" s="21" t="b">
        <f t="shared" si="559"/>
        <v>1</v>
      </c>
      <c r="I651" s="25"/>
      <c r="J651" s="25"/>
      <c r="K651" s="25"/>
      <c r="L651" s="25"/>
      <c r="M651" s="16"/>
      <c r="N651" s="16"/>
      <c r="O651" s="25"/>
      <c r="P651" s="25"/>
      <c r="Q651" s="25"/>
      <c r="R651" s="25"/>
      <c r="S651" s="25"/>
      <c r="T651" s="25"/>
      <c r="U651" s="25"/>
      <c r="V651" s="25"/>
      <c r="W651" s="25"/>
      <c r="X651" s="25"/>
      <c r="Y651" s="25"/>
      <c r="Z651" s="25"/>
      <c r="AA651" s="25"/>
      <c r="AB651" s="25"/>
    </row>
    <row r="652">
      <c r="A652" s="25"/>
      <c r="B652" s="25"/>
      <c r="C652" s="25"/>
      <c r="D652" s="25"/>
      <c r="E652" s="25"/>
      <c r="F652" s="241"/>
      <c r="G652" s="21" t="b">
        <f t="shared" ref="G652:H652" si="560">ISBLANK(M652)</f>
        <v>1</v>
      </c>
      <c r="H652" s="21" t="b">
        <f t="shared" si="560"/>
        <v>1</v>
      </c>
      <c r="I652" s="25"/>
      <c r="J652" s="25"/>
      <c r="K652" s="25"/>
      <c r="L652" s="25"/>
      <c r="M652" s="16"/>
      <c r="N652" s="16"/>
      <c r="O652" s="25"/>
      <c r="P652" s="25"/>
      <c r="Q652" s="25"/>
      <c r="R652" s="25"/>
      <c r="S652" s="25"/>
      <c r="T652" s="25"/>
      <c r="U652" s="25"/>
      <c r="V652" s="25"/>
      <c r="W652" s="25"/>
      <c r="X652" s="25"/>
      <c r="Y652" s="25"/>
      <c r="Z652" s="25"/>
      <c r="AA652" s="25"/>
      <c r="AB652" s="25"/>
    </row>
    <row r="653">
      <c r="A653" s="25"/>
      <c r="B653" s="25"/>
      <c r="C653" s="25"/>
      <c r="D653" s="25"/>
      <c r="E653" s="25"/>
      <c r="F653" s="241"/>
      <c r="G653" s="21" t="b">
        <f t="shared" ref="G653:H653" si="561">ISBLANK(M653)</f>
        <v>1</v>
      </c>
      <c r="H653" s="21" t="b">
        <f t="shared" si="561"/>
        <v>1</v>
      </c>
      <c r="I653" s="25"/>
      <c r="J653" s="25"/>
      <c r="K653" s="25"/>
      <c r="L653" s="25"/>
      <c r="M653" s="16"/>
      <c r="N653" s="16"/>
      <c r="O653" s="25"/>
      <c r="P653" s="25"/>
      <c r="Q653" s="25"/>
      <c r="R653" s="25"/>
      <c r="S653" s="25"/>
      <c r="T653" s="25"/>
      <c r="U653" s="25"/>
      <c r="V653" s="25"/>
      <c r="W653" s="25"/>
      <c r="X653" s="25"/>
      <c r="Y653" s="25"/>
      <c r="Z653" s="25"/>
      <c r="AA653" s="25"/>
      <c r="AB653" s="25"/>
    </row>
    <row r="654">
      <c r="A654" s="25"/>
      <c r="B654" s="25"/>
      <c r="C654" s="25"/>
      <c r="D654" s="25"/>
      <c r="E654" s="25"/>
      <c r="F654" s="241"/>
      <c r="G654" s="21" t="b">
        <f t="shared" ref="G654:H654" si="562">ISBLANK(M654)</f>
        <v>1</v>
      </c>
      <c r="H654" s="21" t="b">
        <f t="shared" si="562"/>
        <v>1</v>
      </c>
      <c r="I654" s="25"/>
      <c r="J654" s="25"/>
      <c r="K654" s="25"/>
      <c r="L654" s="25"/>
      <c r="M654" s="16"/>
      <c r="N654" s="16"/>
      <c r="O654" s="25"/>
      <c r="P654" s="25"/>
      <c r="Q654" s="25"/>
      <c r="R654" s="25"/>
      <c r="S654" s="25"/>
      <c r="T654" s="25"/>
      <c r="U654" s="25"/>
      <c r="V654" s="25"/>
      <c r="W654" s="25"/>
      <c r="X654" s="25"/>
      <c r="Y654" s="25"/>
      <c r="Z654" s="25"/>
      <c r="AA654" s="25"/>
      <c r="AB654" s="25"/>
    </row>
    <row r="655">
      <c r="A655" s="25"/>
      <c r="B655" s="25"/>
      <c r="C655" s="25"/>
      <c r="D655" s="25"/>
      <c r="E655" s="25"/>
      <c r="F655" s="241"/>
      <c r="G655" s="21" t="b">
        <f t="shared" ref="G655:H655" si="563">ISBLANK(M655)</f>
        <v>1</v>
      </c>
      <c r="H655" s="21" t="b">
        <f t="shared" si="563"/>
        <v>1</v>
      </c>
      <c r="I655" s="25"/>
      <c r="J655" s="25"/>
      <c r="K655" s="25"/>
      <c r="L655" s="25"/>
      <c r="M655" s="16"/>
      <c r="N655" s="16"/>
      <c r="O655" s="25"/>
      <c r="P655" s="25"/>
      <c r="Q655" s="25"/>
      <c r="R655" s="25"/>
      <c r="S655" s="25"/>
      <c r="T655" s="25"/>
      <c r="U655" s="25"/>
      <c r="V655" s="25"/>
      <c r="W655" s="25"/>
      <c r="X655" s="25"/>
      <c r="Y655" s="25"/>
      <c r="Z655" s="25"/>
      <c r="AA655" s="25"/>
      <c r="AB655" s="25"/>
    </row>
    <row r="656">
      <c r="A656" s="25"/>
      <c r="B656" s="25"/>
      <c r="C656" s="25"/>
      <c r="D656" s="25"/>
      <c r="E656" s="25"/>
      <c r="F656" s="241"/>
      <c r="G656" s="21" t="b">
        <f t="shared" ref="G656:H656" si="564">ISBLANK(M656)</f>
        <v>1</v>
      </c>
      <c r="H656" s="21" t="b">
        <f t="shared" si="564"/>
        <v>1</v>
      </c>
      <c r="I656" s="25"/>
      <c r="J656" s="25"/>
      <c r="K656" s="25"/>
      <c r="L656" s="25"/>
      <c r="M656" s="16"/>
      <c r="N656" s="16"/>
      <c r="O656" s="25"/>
      <c r="P656" s="25"/>
      <c r="Q656" s="25"/>
      <c r="R656" s="25"/>
      <c r="S656" s="25"/>
      <c r="T656" s="25"/>
      <c r="U656" s="25"/>
      <c r="V656" s="25"/>
      <c r="W656" s="25"/>
      <c r="X656" s="25"/>
      <c r="Y656" s="25"/>
      <c r="Z656" s="25"/>
      <c r="AA656" s="25"/>
      <c r="AB656" s="25"/>
    </row>
    <row r="657">
      <c r="A657" s="25"/>
      <c r="B657" s="25"/>
      <c r="C657" s="25"/>
      <c r="D657" s="25"/>
      <c r="E657" s="25"/>
      <c r="F657" s="241"/>
      <c r="G657" s="21" t="b">
        <f t="shared" ref="G657:H657" si="565">ISBLANK(M657)</f>
        <v>1</v>
      </c>
      <c r="H657" s="21" t="b">
        <f t="shared" si="565"/>
        <v>1</v>
      </c>
      <c r="I657" s="25"/>
      <c r="J657" s="25"/>
      <c r="K657" s="25"/>
      <c r="L657" s="25"/>
      <c r="M657" s="16"/>
      <c r="N657" s="16"/>
      <c r="O657" s="25"/>
      <c r="P657" s="25"/>
      <c r="Q657" s="25"/>
      <c r="R657" s="25"/>
      <c r="S657" s="25"/>
      <c r="T657" s="25"/>
      <c r="U657" s="25"/>
      <c r="V657" s="25"/>
      <c r="W657" s="25"/>
      <c r="X657" s="25"/>
      <c r="Y657" s="25"/>
      <c r="Z657" s="25"/>
      <c r="AA657" s="25"/>
      <c r="AB657" s="25"/>
    </row>
    <row r="658">
      <c r="A658" s="25"/>
      <c r="B658" s="25"/>
      <c r="C658" s="25"/>
      <c r="D658" s="25"/>
      <c r="E658" s="25"/>
      <c r="F658" s="241"/>
      <c r="G658" s="21" t="b">
        <f t="shared" ref="G658:H658" si="566">ISBLANK(M658)</f>
        <v>1</v>
      </c>
      <c r="H658" s="21" t="b">
        <f t="shared" si="566"/>
        <v>1</v>
      </c>
      <c r="I658" s="25"/>
      <c r="J658" s="25"/>
      <c r="K658" s="25"/>
      <c r="L658" s="25"/>
      <c r="M658" s="16"/>
      <c r="N658" s="16"/>
      <c r="O658" s="25"/>
      <c r="P658" s="25"/>
      <c r="Q658" s="25"/>
      <c r="R658" s="25"/>
      <c r="S658" s="25"/>
      <c r="T658" s="25"/>
      <c r="U658" s="25"/>
      <c r="V658" s="25"/>
      <c r="W658" s="25"/>
      <c r="X658" s="25"/>
      <c r="Y658" s="25"/>
      <c r="Z658" s="25"/>
      <c r="AA658" s="25"/>
      <c r="AB658" s="25"/>
    </row>
    <row r="659">
      <c r="A659" s="25"/>
      <c r="B659" s="25"/>
      <c r="C659" s="25"/>
      <c r="D659" s="25"/>
      <c r="E659" s="25"/>
      <c r="F659" s="241"/>
      <c r="G659" s="21" t="b">
        <f t="shared" ref="G659:H659" si="567">ISBLANK(M659)</f>
        <v>1</v>
      </c>
      <c r="H659" s="21" t="b">
        <f t="shared" si="567"/>
        <v>1</v>
      </c>
      <c r="I659" s="25"/>
      <c r="J659" s="25"/>
      <c r="K659" s="25"/>
      <c r="L659" s="25"/>
      <c r="M659" s="16"/>
      <c r="N659" s="16"/>
      <c r="O659" s="25"/>
      <c r="P659" s="25"/>
      <c r="Q659" s="25"/>
      <c r="R659" s="25"/>
      <c r="S659" s="25"/>
      <c r="T659" s="25"/>
      <c r="U659" s="25"/>
      <c r="V659" s="25"/>
      <c r="W659" s="25"/>
      <c r="X659" s="25"/>
      <c r="Y659" s="25"/>
      <c r="Z659" s="25"/>
      <c r="AA659" s="25"/>
      <c r="AB659" s="25"/>
    </row>
    <row r="660">
      <c r="A660" s="25"/>
      <c r="B660" s="25"/>
      <c r="C660" s="25"/>
      <c r="D660" s="25"/>
      <c r="E660" s="25"/>
      <c r="F660" s="241"/>
      <c r="G660" s="21" t="b">
        <f t="shared" ref="G660:H660" si="568">ISBLANK(M660)</f>
        <v>1</v>
      </c>
      <c r="H660" s="21" t="b">
        <f t="shared" si="568"/>
        <v>1</v>
      </c>
      <c r="I660" s="25"/>
      <c r="J660" s="25"/>
      <c r="K660" s="25"/>
      <c r="L660" s="25"/>
      <c r="M660" s="16"/>
      <c r="N660" s="16"/>
      <c r="O660" s="25"/>
      <c r="P660" s="25"/>
      <c r="Q660" s="25"/>
      <c r="R660" s="25"/>
      <c r="S660" s="25"/>
      <c r="T660" s="25"/>
      <c r="U660" s="25"/>
      <c r="V660" s="25"/>
      <c r="W660" s="25"/>
      <c r="X660" s="25"/>
      <c r="Y660" s="25"/>
      <c r="Z660" s="25"/>
      <c r="AA660" s="25"/>
      <c r="AB660" s="25"/>
    </row>
    <row r="661">
      <c r="A661" s="25"/>
      <c r="B661" s="25"/>
      <c r="C661" s="25"/>
      <c r="D661" s="25"/>
      <c r="E661" s="25"/>
      <c r="F661" s="241"/>
      <c r="G661" s="21" t="b">
        <f t="shared" ref="G661:H661" si="569">ISBLANK(M661)</f>
        <v>1</v>
      </c>
      <c r="H661" s="21" t="b">
        <f t="shared" si="569"/>
        <v>1</v>
      </c>
      <c r="I661" s="25"/>
      <c r="J661" s="25"/>
      <c r="K661" s="25"/>
      <c r="L661" s="25"/>
      <c r="M661" s="16"/>
      <c r="N661" s="16"/>
      <c r="O661" s="25"/>
      <c r="P661" s="25"/>
      <c r="Q661" s="25"/>
      <c r="R661" s="25"/>
      <c r="S661" s="25"/>
      <c r="T661" s="25"/>
      <c r="U661" s="25"/>
      <c r="V661" s="25"/>
      <c r="W661" s="25"/>
      <c r="X661" s="25"/>
      <c r="Y661" s="25"/>
      <c r="Z661" s="25"/>
      <c r="AA661" s="25"/>
      <c r="AB661" s="25"/>
    </row>
    <row r="662">
      <c r="A662" s="25"/>
      <c r="B662" s="25"/>
      <c r="C662" s="25"/>
      <c r="D662" s="25"/>
      <c r="E662" s="25"/>
      <c r="F662" s="241"/>
      <c r="G662" s="21" t="b">
        <f t="shared" ref="G662:H662" si="570">ISBLANK(M662)</f>
        <v>1</v>
      </c>
      <c r="H662" s="21" t="b">
        <f t="shared" si="570"/>
        <v>1</v>
      </c>
      <c r="I662" s="25"/>
      <c r="J662" s="25"/>
      <c r="K662" s="25"/>
      <c r="L662" s="25"/>
      <c r="M662" s="16"/>
      <c r="N662" s="16"/>
      <c r="O662" s="25"/>
      <c r="P662" s="25"/>
      <c r="Q662" s="25"/>
      <c r="R662" s="25"/>
      <c r="S662" s="25"/>
      <c r="T662" s="25"/>
      <c r="U662" s="25"/>
      <c r="V662" s="25"/>
      <c r="W662" s="25"/>
      <c r="X662" s="25"/>
      <c r="Y662" s="25"/>
      <c r="Z662" s="25"/>
      <c r="AA662" s="25"/>
      <c r="AB662" s="25"/>
    </row>
    <row r="663">
      <c r="A663" s="25"/>
      <c r="B663" s="25"/>
      <c r="C663" s="25"/>
      <c r="D663" s="25"/>
      <c r="E663" s="25"/>
      <c r="F663" s="241"/>
      <c r="G663" s="21" t="b">
        <f t="shared" ref="G663:H663" si="571">ISBLANK(M663)</f>
        <v>1</v>
      </c>
      <c r="H663" s="21" t="b">
        <f t="shared" si="571"/>
        <v>1</v>
      </c>
      <c r="I663" s="25"/>
      <c r="J663" s="25"/>
      <c r="K663" s="25"/>
      <c r="L663" s="25"/>
      <c r="M663" s="16"/>
      <c r="N663" s="16"/>
      <c r="O663" s="25"/>
      <c r="P663" s="25"/>
      <c r="Q663" s="25"/>
      <c r="R663" s="25"/>
      <c r="S663" s="25"/>
      <c r="T663" s="25"/>
      <c r="U663" s="25"/>
      <c r="V663" s="25"/>
      <c r="W663" s="25"/>
      <c r="X663" s="25"/>
      <c r="Y663" s="25"/>
      <c r="Z663" s="25"/>
      <c r="AA663" s="25"/>
      <c r="AB663" s="25"/>
    </row>
    <row r="664">
      <c r="A664" s="25"/>
      <c r="B664" s="25"/>
      <c r="C664" s="25"/>
      <c r="D664" s="25"/>
      <c r="E664" s="25"/>
      <c r="F664" s="241"/>
      <c r="G664" s="21" t="b">
        <f t="shared" ref="G664:H664" si="572">ISBLANK(M664)</f>
        <v>1</v>
      </c>
      <c r="H664" s="21" t="b">
        <f t="shared" si="572"/>
        <v>1</v>
      </c>
      <c r="I664" s="25"/>
      <c r="J664" s="25"/>
      <c r="K664" s="25"/>
      <c r="L664" s="25"/>
      <c r="M664" s="16"/>
      <c r="N664" s="16"/>
      <c r="O664" s="25"/>
      <c r="P664" s="25"/>
      <c r="Q664" s="25"/>
      <c r="R664" s="25"/>
      <c r="S664" s="25"/>
      <c r="T664" s="25"/>
      <c r="U664" s="25"/>
      <c r="V664" s="25"/>
      <c r="W664" s="25"/>
      <c r="X664" s="25"/>
      <c r="Y664" s="25"/>
      <c r="Z664" s="25"/>
      <c r="AA664" s="25"/>
      <c r="AB664" s="25"/>
    </row>
    <row r="665">
      <c r="A665" s="25"/>
      <c r="B665" s="25"/>
      <c r="C665" s="25"/>
      <c r="D665" s="25"/>
      <c r="E665" s="25"/>
      <c r="F665" s="241"/>
      <c r="G665" s="21" t="b">
        <f t="shared" ref="G665:H665" si="573">ISBLANK(M665)</f>
        <v>1</v>
      </c>
      <c r="H665" s="21" t="b">
        <f t="shared" si="573"/>
        <v>1</v>
      </c>
      <c r="I665" s="25"/>
      <c r="J665" s="25"/>
      <c r="K665" s="25"/>
      <c r="L665" s="25"/>
      <c r="M665" s="16"/>
      <c r="N665" s="16"/>
      <c r="O665" s="25"/>
      <c r="P665" s="25"/>
      <c r="Q665" s="25"/>
      <c r="R665" s="25"/>
      <c r="S665" s="25"/>
      <c r="T665" s="25"/>
      <c r="U665" s="25"/>
      <c r="V665" s="25"/>
      <c r="W665" s="25"/>
      <c r="X665" s="25"/>
      <c r="Y665" s="25"/>
      <c r="Z665" s="25"/>
      <c r="AA665" s="25"/>
      <c r="AB665" s="25"/>
    </row>
    <row r="666">
      <c r="A666" s="25"/>
      <c r="B666" s="25"/>
      <c r="C666" s="25"/>
      <c r="D666" s="25"/>
      <c r="E666" s="25"/>
      <c r="F666" s="241"/>
      <c r="G666" s="21" t="b">
        <f t="shared" ref="G666:H666" si="574">ISBLANK(M666)</f>
        <v>1</v>
      </c>
      <c r="H666" s="21" t="b">
        <f t="shared" si="574"/>
        <v>1</v>
      </c>
      <c r="I666" s="25"/>
      <c r="J666" s="25"/>
      <c r="K666" s="25"/>
      <c r="L666" s="25"/>
      <c r="M666" s="16"/>
      <c r="N666" s="16"/>
      <c r="O666" s="25"/>
      <c r="P666" s="25"/>
      <c r="Q666" s="25"/>
      <c r="R666" s="25"/>
      <c r="S666" s="25"/>
      <c r="T666" s="25"/>
      <c r="U666" s="25"/>
      <c r="V666" s="25"/>
      <c r="W666" s="25"/>
      <c r="X666" s="25"/>
      <c r="Y666" s="25"/>
      <c r="Z666" s="25"/>
      <c r="AA666" s="25"/>
      <c r="AB666" s="25"/>
    </row>
    <row r="667">
      <c r="A667" s="25"/>
      <c r="B667" s="25"/>
      <c r="C667" s="25"/>
      <c r="D667" s="25"/>
      <c r="E667" s="25"/>
      <c r="F667" s="241"/>
      <c r="G667" s="21" t="b">
        <f t="shared" ref="G667:H667" si="575">ISBLANK(M667)</f>
        <v>1</v>
      </c>
      <c r="H667" s="21" t="b">
        <f t="shared" si="575"/>
        <v>1</v>
      </c>
      <c r="I667" s="25"/>
      <c r="J667" s="25"/>
      <c r="K667" s="25"/>
      <c r="L667" s="25"/>
      <c r="M667" s="16"/>
      <c r="N667" s="16"/>
      <c r="O667" s="25"/>
      <c r="P667" s="25"/>
      <c r="Q667" s="25"/>
      <c r="R667" s="25"/>
      <c r="S667" s="25"/>
      <c r="T667" s="25"/>
      <c r="U667" s="25"/>
      <c r="V667" s="25"/>
      <c r="W667" s="25"/>
      <c r="X667" s="25"/>
      <c r="Y667" s="25"/>
      <c r="Z667" s="25"/>
      <c r="AA667" s="25"/>
      <c r="AB667" s="25"/>
    </row>
    <row r="668">
      <c r="A668" s="25"/>
      <c r="B668" s="25"/>
      <c r="C668" s="25"/>
      <c r="D668" s="25"/>
      <c r="E668" s="25"/>
      <c r="F668" s="241"/>
      <c r="G668" s="21" t="b">
        <f t="shared" ref="G668:H668" si="576">ISBLANK(M668)</f>
        <v>1</v>
      </c>
      <c r="H668" s="21" t="b">
        <f t="shared" si="576"/>
        <v>1</v>
      </c>
      <c r="I668" s="25"/>
      <c r="J668" s="25"/>
      <c r="K668" s="25"/>
      <c r="L668" s="25"/>
      <c r="M668" s="16"/>
      <c r="N668" s="16"/>
      <c r="O668" s="25"/>
      <c r="P668" s="25"/>
      <c r="Q668" s="25"/>
      <c r="R668" s="25"/>
      <c r="S668" s="25"/>
      <c r="T668" s="25"/>
      <c r="U668" s="25"/>
      <c r="V668" s="25"/>
      <c r="W668" s="25"/>
      <c r="X668" s="25"/>
      <c r="Y668" s="25"/>
      <c r="Z668" s="25"/>
      <c r="AA668" s="25"/>
      <c r="AB668" s="25"/>
    </row>
    <row r="669">
      <c r="A669" s="25"/>
      <c r="B669" s="25"/>
      <c r="C669" s="25"/>
      <c r="D669" s="25"/>
      <c r="E669" s="25"/>
      <c r="F669" s="241"/>
      <c r="G669" s="21" t="b">
        <f t="shared" ref="G669:H669" si="577">ISBLANK(M669)</f>
        <v>1</v>
      </c>
      <c r="H669" s="21" t="b">
        <f t="shared" si="577"/>
        <v>1</v>
      </c>
      <c r="I669" s="25"/>
      <c r="J669" s="25"/>
      <c r="K669" s="25"/>
      <c r="L669" s="25"/>
      <c r="M669" s="16"/>
      <c r="N669" s="16"/>
      <c r="O669" s="25"/>
      <c r="P669" s="25"/>
      <c r="Q669" s="25"/>
      <c r="R669" s="25"/>
      <c r="S669" s="25"/>
      <c r="T669" s="25"/>
      <c r="U669" s="25"/>
      <c r="V669" s="25"/>
      <c r="W669" s="25"/>
      <c r="X669" s="25"/>
      <c r="Y669" s="25"/>
      <c r="Z669" s="25"/>
      <c r="AA669" s="25"/>
      <c r="AB669" s="25"/>
    </row>
    <row r="670">
      <c r="A670" s="25"/>
      <c r="B670" s="25"/>
      <c r="C670" s="25"/>
      <c r="D670" s="25"/>
      <c r="E670" s="25"/>
      <c r="F670" s="241"/>
      <c r="G670" s="21" t="b">
        <f t="shared" ref="G670:H670" si="578">ISBLANK(M670)</f>
        <v>1</v>
      </c>
      <c r="H670" s="21" t="b">
        <f t="shared" si="578"/>
        <v>1</v>
      </c>
      <c r="I670" s="25"/>
      <c r="J670" s="25"/>
      <c r="K670" s="25"/>
      <c r="L670" s="25"/>
      <c r="M670" s="16"/>
      <c r="N670" s="16"/>
      <c r="O670" s="25"/>
      <c r="P670" s="25"/>
      <c r="Q670" s="25"/>
      <c r="R670" s="25"/>
      <c r="S670" s="25"/>
      <c r="T670" s="25"/>
      <c r="U670" s="25"/>
      <c r="V670" s="25"/>
      <c r="W670" s="25"/>
      <c r="X670" s="25"/>
      <c r="Y670" s="25"/>
      <c r="Z670" s="25"/>
      <c r="AA670" s="25"/>
      <c r="AB670" s="25"/>
    </row>
    <row r="671">
      <c r="A671" s="25"/>
      <c r="B671" s="25"/>
      <c r="C671" s="25"/>
      <c r="D671" s="25"/>
      <c r="E671" s="25"/>
      <c r="F671" s="241"/>
      <c r="G671" s="21" t="b">
        <f t="shared" ref="G671:H671" si="579">ISBLANK(M671)</f>
        <v>1</v>
      </c>
      <c r="H671" s="21" t="b">
        <f t="shared" si="579"/>
        <v>1</v>
      </c>
      <c r="I671" s="25"/>
      <c r="J671" s="25"/>
      <c r="K671" s="25"/>
      <c r="L671" s="25"/>
      <c r="M671" s="16"/>
      <c r="N671" s="16"/>
      <c r="O671" s="25"/>
      <c r="P671" s="25"/>
      <c r="Q671" s="25"/>
      <c r="R671" s="25"/>
      <c r="S671" s="25"/>
      <c r="T671" s="25"/>
      <c r="U671" s="25"/>
      <c r="V671" s="25"/>
      <c r="W671" s="25"/>
      <c r="X671" s="25"/>
      <c r="Y671" s="25"/>
      <c r="Z671" s="25"/>
      <c r="AA671" s="25"/>
      <c r="AB671" s="25"/>
    </row>
    <row r="672">
      <c r="A672" s="25"/>
      <c r="B672" s="25"/>
      <c r="C672" s="25"/>
      <c r="D672" s="25"/>
      <c r="E672" s="25"/>
      <c r="F672" s="241"/>
      <c r="G672" s="21" t="b">
        <f t="shared" ref="G672:H672" si="580">ISBLANK(M672)</f>
        <v>1</v>
      </c>
      <c r="H672" s="21" t="b">
        <f t="shared" si="580"/>
        <v>1</v>
      </c>
      <c r="I672" s="25"/>
      <c r="J672" s="25"/>
      <c r="K672" s="25"/>
      <c r="L672" s="25"/>
      <c r="M672" s="16"/>
      <c r="N672" s="16"/>
      <c r="O672" s="25"/>
      <c r="P672" s="25"/>
      <c r="Q672" s="25"/>
      <c r="R672" s="25"/>
      <c r="S672" s="25"/>
      <c r="T672" s="25"/>
      <c r="U672" s="25"/>
      <c r="V672" s="25"/>
      <c r="W672" s="25"/>
      <c r="X672" s="25"/>
      <c r="Y672" s="25"/>
      <c r="Z672" s="25"/>
      <c r="AA672" s="25"/>
      <c r="AB672" s="25"/>
    </row>
    <row r="673">
      <c r="A673" s="25"/>
      <c r="B673" s="25"/>
      <c r="C673" s="25"/>
      <c r="D673" s="25"/>
      <c r="E673" s="25"/>
      <c r="F673" s="241"/>
      <c r="G673" s="21" t="b">
        <f t="shared" ref="G673:H673" si="581">ISBLANK(M673)</f>
        <v>1</v>
      </c>
      <c r="H673" s="21" t="b">
        <f t="shared" si="581"/>
        <v>1</v>
      </c>
      <c r="I673" s="25"/>
      <c r="J673" s="25"/>
      <c r="K673" s="25"/>
      <c r="L673" s="25"/>
      <c r="M673" s="16"/>
      <c r="N673" s="16"/>
      <c r="O673" s="25"/>
      <c r="P673" s="25"/>
      <c r="Q673" s="25"/>
      <c r="R673" s="25"/>
      <c r="S673" s="25"/>
      <c r="T673" s="25"/>
      <c r="U673" s="25"/>
      <c r="V673" s="25"/>
      <c r="W673" s="25"/>
      <c r="X673" s="25"/>
      <c r="Y673" s="25"/>
      <c r="Z673" s="25"/>
      <c r="AA673" s="25"/>
      <c r="AB673" s="25"/>
    </row>
    <row r="674">
      <c r="A674" s="25"/>
      <c r="B674" s="25"/>
      <c r="C674" s="25"/>
      <c r="D674" s="25"/>
      <c r="E674" s="25"/>
      <c r="F674" s="241"/>
      <c r="G674" s="21" t="b">
        <f t="shared" ref="G674:H674" si="582">ISBLANK(M674)</f>
        <v>1</v>
      </c>
      <c r="H674" s="21" t="b">
        <f t="shared" si="582"/>
        <v>1</v>
      </c>
      <c r="I674" s="25"/>
      <c r="J674" s="25"/>
      <c r="K674" s="25"/>
      <c r="L674" s="25"/>
      <c r="M674" s="16"/>
      <c r="N674" s="16"/>
      <c r="O674" s="25"/>
      <c r="P674" s="25"/>
      <c r="Q674" s="25"/>
      <c r="R674" s="25"/>
      <c r="S674" s="25"/>
      <c r="T674" s="25"/>
      <c r="U674" s="25"/>
      <c r="V674" s="25"/>
      <c r="W674" s="25"/>
      <c r="X674" s="25"/>
      <c r="Y674" s="25"/>
      <c r="Z674" s="25"/>
      <c r="AA674" s="25"/>
      <c r="AB674" s="25"/>
    </row>
    <row r="675">
      <c r="A675" s="25"/>
      <c r="B675" s="25"/>
      <c r="C675" s="25"/>
      <c r="D675" s="25"/>
      <c r="E675" s="25"/>
      <c r="F675" s="241"/>
      <c r="G675" s="21" t="b">
        <f t="shared" ref="G675:H675" si="583">ISBLANK(M675)</f>
        <v>1</v>
      </c>
      <c r="H675" s="21" t="b">
        <f t="shared" si="583"/>
        <v>1</v>
      </c>
      <c r="I675" s="25"/>
      <c r="J675" s="25"/>
      <c r="K675" s="25"/>
      <c r="L675" s="25"/>
      <c r="M675" s="16"/>
      <c r="N675" s="16"/>
      <c r="O675" s="25"/>
      <c r="P675" s="25"/>
      <c r="Q675" s="25"/>
      <c r="R675" s="25"/>
      <c r="S675" s="25"/>
      <c r="T675" s="25"/>
      <c r="U675" s="25"/>
      <c r="V675" s="25"/>
      <c r="W675" s="25"/>
      <c r="X675" s="25"/>
      <c r="Y675" s="25"/>
      <c r="Z675" s="25"/>
      <c r="AA675" s="25"/>
      <c r="AB675" s="25"/>
    </row>
    <row r="676">
      <c r="A676" s="25"/>
      <c r="B676" s="25"/>
      <c r="C676" s="25"/>
      <c r="D676" s="25"/>
      <c r="E676" s="25"/>
      <c r="F676" s="241"/>
      <c r="G676" s="21" t="b">
        <f t="shared" ref="G676:H676" si="584">ISBLANK(M676)</f>
        <v>1</v>
      </c>
      <c r="H676" s="21" t="b">
        <f t="shared" si="584"/>
        <v>1</v>
      </c>
      <c r="I676" s="25"/>
      <c r="J676" s="25"/>
      <c r="K676" s="25"/>
      <c r="L676" s="25"/>
      <c r="M676" s="16"/>
      <c r="N676" s="16"/>
      <c r="O676" s="25"/>
      <c r="P676" s="25"/>
      <c r="Q676" s="25"/>
      <c r="R676" s="25"/>
      <c r="S676" s="25"/>
      <c r="T676" s="25"/>
      <c r="U676" s="25"/>
      <c r="V676" s="25"/>
      <c r="W676" s="25"/>
      <c r="X676" s="25"/>
      <c r="Y676" s="25"/>
      <c r="Z676" s="25"/>
      <c r="AA676" s="25"/>
      <c r="AB676" s="25"/>
    </row>
    <row r="677">
      <c r="A677" s="25"/>
      <c r="B677" s="25"/>
      <c r="C677" s="25"/>
      <c r="D677" s="25"/>
      <c r="E677" s="25"/>
      <c r="F677" s="241"/>
      <c r="G677" s="21" t="b">
        <f t="shared" ref="G677:H677" si="585">ISBLANK(M677)</f>
        <v>1</v>
      </c>
      <c r="H677" s="21" t="b">
        <f t="shared" si="585"/>
        <v>1</v>
      </c>
      <c r="I677" s="25"/>
      <c r="J677" s="25"/>
      <c r="K677" s="25"/>
      <c r="L677" s="25"/>
      <c r="M677" s="16"/>
      <c r="N677" s="16"/>
      <c r="O677" s="25"/>
      <c r="P677" s="25"/>
      <c r="Q677" s="25"/>
      <c r="R677" s="25"/>
      <c r="S677" s="25"/>
      <c r="T677" s="25"/>
      <c r="U677" s="25"/>
      <c r="V677" s="25"/>
      <c r="W677" s="25"/>
      <c r="X677" s="25"/>
      <c r="Y677" s="25"/>
      <c r="Z677" s="25"/>
      <c r="AA677" s="25"/>
      <c r="AB677" s="25"/>
    </row>
    <row r="678">
      <c r="A678" s="25"/>
      <c r="B678" s="25"/>
      <c r="C678" s="25"/>
      <c r="D678" s="25"/>
      <c r="E678" s="25"/>
      <c r="F678" s="241"/>
      <c r="G678" s="21" t="b">
        <f t="shared" ref="G678:H678" si="586">ISBLANK(M678)</f>
        <v>1</v>
      </c>
      <c r="H678" s="21" t="b">
        <f t="shared" si="586"/>
        <v>1</v>
      </c>
      <c r="I678" s="25"/>
      <c r="J678" s="25"/>
      <c r="K678" s="25"/>
      <c r="L678" s="25"/>
      <c r="M678" s="16"/>
      <c r="N678" s="16"/>
      <c r="O678" s="25"/>
      <c r="P678" s="25"/>
      <c r="Q678" s="25"/>
      <c r="R678" s="25"/>
      <c r="S678" s="25"/>
      <c r="T678" s="25"/>
      <c r="U678" s="25"/>
      <c r="V678" s="25"/>
      <c r="W678" s="25"/>
      <c r="X678" s="25"/>
      <c r="Y678" s="25"/>
      <c r="Z678" s="25"/>
      <c r="AA678" s="25"/>
      <c r="AB678" s="25"/>
    </row>
    <row r="679">
      <c r="A679" s="25"/>
      <c r="B679" s="25"/>
      <c r="C679" s="25"/>
      <c r="D679" s="25"/>
      <c r="E679" s="25"/>
      <c r="F679" s="241"/>
      <c r="G679" s="21" t="b">
        <f t="shared" ref="G679:H679" si="587">ISBLANK(M679)</f>
        <v>1</v>
      </c>
      <c r="H679" s="21" t="b">
        <f t="shared" si="587"/>
        <v>1</v>
      </c>
      <c r="I679" s="25"/>
      <c r="J679" s="25"/>
      <c r="K679" s="25"/>
      <c r="L679" s="25"/>
      <c r="M679" s="16"/>
      <c r="N679" s="16"/>
      <c r="O679" s="25"/>
      <c r="P679" s="25"/>
      <c r="Q679" s="25"/>
      <c r="R679" s="25"/>
      <c r="S679" s="25"/>
      <c r="T679" s="25"/>
      <c r="U679" s="25"/>
      <c r="V679" s="25"/>
      <c r="W679" s="25"/>
      <c r="X679" s="25"/>
      <c r="Y679" s="25"/>
      <c r="Z679" s="25"/>
      <c r="AA679" s="25"/>
      <c r="AB679" s="25"/>
    </row>
    <row r="680">
      <c r="A680" s="25"/>
      <c r="B680" s="25"/>
      <c r="C680" s="25"/>
      <c r="D680" s="25"/>
      <c r="E680" s="25"/>
      <c r="F680" s="241"/>
      <c r="G680" s="21" t="b">
        <f t="shared" ref="G680:H680" si="588">ISBLANK(M680)</f>
        <v>1</v>
      </c>
      <c r="H680" s="21" t="b">
        <f t="shared" si="588"/>
        <v>1</v>
      </c>
      <c r="I680" s="25"/>
      <c r="J680" s="25"/>
      <c r="K680" s="25"/>
      <c r="L680" s="25"/>
      <c r="M680" s="16"/>
      <c r="N680" s="16"/>
      <c r="O680" s="25"/>
      <c r="P680" s="25"/>
      <c r="Q680" s="25"/>
      <c r="R680" s="25"/>
      <c r="S680" s="25"/>
      <c r="T680" s="25"/>
      <c r="U680" s="25"/>
      <c r="V680" s="25"/>
      <c r="W680" s="25"/>
      <c r="X680" s="25"/>
      <c r="Y680" s="25"/>
      <c r="Z680" s="25"/>
      <c r="AA680" s="25"/>
      <c r="AB680" s="25"/>
    </row>
    <row r="681">
      <c r="A681" s="25"/>
      <c r="B681" s="25"/>
      <c r="C681" s="25"/>
      <c r="D681" s="25"/>
      <c r="E681" s="25"/>
      <c r="F681" s="241"/>
      <c r="G681" s="21" t="b">
        <f t="shared" ref="G681:H681" si="589">ISBLANK(M681)</f>
        <v>1</v>
      </c>
      <c r="H681" s="21" t="b">
        <f t="shared" si="589"/>
        <v>1</v>
      </c>
      <c r="I681" s="25"/>
      <c r="J681" s="25"/>
      <c r="K681" s="25"/>
      <c r="L681" s="25"/>
      <c r="M681" s="16"/>
      <c r="N681" s="16"/>
      <c r="O681" s="25"/>
      <c r="P681" s="25"/>
      <c r="Q681" s="25"/>
      <c r="R681" s="25"/>
      <c r="S681" s="25"/>
      <c r="T681" s="25"/>
      <c r="U681" s="25"/>
      <c r="V681" s="25"/>
      <c r="W681" s="25"/>
      <c r="X681" s="25"/>
      <c r="Y681" s="25"/>
      <c r="Z681" s="25"/>
      <c r="AA681" s="25"/>
      <c r="AB681" s="25"/>
    </row>
    <row r="682">
      <c r="A682" s="25"/>
      <c r="B682" s="25"/>
      <c r="C682" s="25"/>
      <c r="D682" s="25"/>
      <c r="E682" s="25"/>
      <c r="F682" s="241"/>
      <c r="G682" s="21" t="b">
        <f t="shared" ref="G682:H682" si="590">ISBLANK(M682)</f>
        <v>1</v>
      </c>
      <c r="H682" s="21" t="b">
        <f t="shared" si="590"/>
        <v>1</v>
      </c>
      <c r="I682" s="25"/>
      <c r="J682" s="25"/>
      <c r="K682" s="25"/>
      <c r="L682" s="25"/>
      <c r="M682" s="16"/>
      <c r="N682" s="16"/>
      <c r="O682" s="25"/>
      <c r="P682" s="25"/>
      <c r="Q682" s="25"/>
      <c r="R682" s="25"/>
      <c r="S682" s="25"/>
      <c r="T682" s="25"/>
      <c r="U682" s="25"/>
      <c r="V682" s="25"/>
      <c r="W682" s="25"/>
      <c r="X682" s="25"/>
      <c r="Y682" s="25"/>
      <c r="Z682" s="25"/>
      <c r="AA682" s="25"/>
      <c r="AB682" s="25"/>
    </row>
    <row r="683">
      <c r="A683" s="25"/>
      <c r="B683" s="25"/>
      <c r="C683" s="25"/>
      <c r="D683" s="25"/>
      <c r="E683" s="25"/>
      <c r="F683" s="241"/>
      <c r="G683" s="21" t="b">
        <f t="shared" ref="G683:H683" si="591">ISBLANK(M683)</f>
        <v>1</v>
      </c>
      <c r="H683" s="21" t="b">
        <f t="shared" si="591"/>
        <v>1</v>
      </c>
      <c r="I683" s="25"/>
      <c r="J683" s="25"/>
      <c r="K683" s="25"/>
      <c r="L683" s="25"/>
      <c r="M683" s="16"/>
      <c r="N683" s="16"/>
      <c r="O683" s="25"/>
      <c r="P683" s="25"/>
      <c r="Q683" s="25"/>
      <c r="R683" s="25"/>
      <c r="S683" s="25"/>
      <c r="T683" s="25"/>
      <c r="U683" s="25"/>
      <c r="V683" s="25"/>
      <c r="W683" s="25"/>
      <c r="X683" s="25"/>
      <c r="Y683" s="25"/>
      <c r="Z683" s="25"/>
      <c r="AA683" s="25"/>
      <c r="AB683" s="25"/>
    </row>
    <row r="684">
      <c r="A684" s="25"/>
      <c r="B684" s="25"/>
      <c r="C684" s="25"/>
      <c r="D684" s="25"/>
      <c r="E684" s="25"/>
      <c r="F684" s="241"/>
      <c r="G684" s="21" t="b">
        <f t="shared" ref="G684:H684" si="592">ISBLANK(M684)</f>
        <v>1</v>
      </c>
      <c r="H684" s="21" t="b">
        <f t="shared" si="592"/>
        <v>1</v>
      </c>
      <c r="I684" s="25"/>
      <c r="J684" s="25"/>
      <c r="K684" s="25"/>
      <c r="L684" s="25"/>
      <c r="M684" s="16"/>
      <c r="N684" s="16"/>
      <c r="O684" s="25"/>
      <c r="P684" s="25"/>
      <c r="Q684" s="25"/>
      <c r="R684" s="25"/>
      <c r="S684" s="25"/>
      <c r="T684" s="25"/>
      <c r="U684" s="25"/>
      <c r="V684" s="25"/>
      <c r="W684" s="25"/>
      <c r="X684" s="25"/>
      <c r="Y684" s="25"/>
      <c r="Z684" s="25"/>
      <c r="AA684" s="25"/>
      <c r="AB684" s="25"/>
    </row>
    <row r="685">
      <c r="A685" s="25"/>
      <c r="B685" s="25"/>
      <c r="C685" s="25"/>
      <c r="D685" s="25"/>
      <c r="E685" s="25"/>
      <c r="F685" s="241"/>
      <c r="G685" s="21" t="b">
        <f t="shared" ref="G685:H685" si="593">ISBLANK(M685)</f>
        <v>1</v>
      </c>
      <c r="H685" s="21" t="b">
        <f t="shared" si="593"/>
        <v>1</v>
      </c>
      <c r="I685" s="25"/>
      <c r="J685" s="25"/>
      <c r="K685" s="25"/>
      <c r="L685" s="25"/>
      <c r="M685" s="16"/>
      <c r="N685" s="16"/>
      <c r="O685" s="25"/>
      <c r="P685" s="25"/>
      <c r="Q685" s="25"/>
      <c r="R685" s="25"/>
      <c r="S685" s="25"/>
      <c r="T685" s="25"/>
      <c r="U685" s="25"/>
      <c r="V685" s="25"/>
      <c r="W685" s="25"/>
      <c r="X685" s="25"/>
      <c r="Y685" s="25"/>
      <c r="Z685" s="25"/>
      <c r="AA685" s="25"/>
      <c r="AB685" s="25"/>
    </row>
    <row r="686">
      <c r="A686" s="25"/>
      <c r="B686" s="25"/>
      <c r="C686" s="25"/>
      <c r="D686" s="25"/>
      <c r="E686" s="25"/>
      <c r="F686" s="241"/>
      <c r="G686" s="21" t="b">
        <f t="shared" ref="G686:H686" si="594">ISBLANK(M686)</f>
        <v>1</v>
      </c>
      <c r="H686" s="21" t="b">
        <f t="shared" si="594"/>
        <v>1</v>
      </c>
      <c r="I686" s="25"/>
      <c r="J686" s="25"/>
      <c r="K686" s="25"/>
      <c r="L686" s="25"/>
      <c r="M686" s="16"/>
      <c r="N686" s="16"/>
      <c r="O686" s="25"/>
      <c r="P686" s="25"/>
      <c r="Q686" s="25"/>
      <c r="R686" s="25"/>
      <c r="S686" s="25"/>
      <c r="T686" s="25"/>
      <c r="U686" s="25"/>
      <c r="V686" s="25"/>
      <c r="W686" s="25"/>
      <c r="X686" s="25"/>
      <c r="Y686" s="25"/>
      <c r="Z686" s="25"/>
      <c r="AA686" s="25"/>
      <c r="AB686" s="25"/>
    </row>
    <row r="687">
      <c r="A687" s="25"/>
      <c r="B687" s="25"/>
      <c r="C687" s="25"/>
      <c r="D687" s="25"/>
      <c r="E687" s="25"/>
      <c r="F687" s="241"/>
      <c r="G687" s="21" t="b">
        <f t="shared" ref="G687:H687" si="595">ISBLANK(M687)</f>
        <v>1</v>
      </c>
      <c r="H687" s="21" t="b">
        <f t="shared" si="595"/>
        <v>1</v>
      </c>
      <c r="I687" s="25"/>
      <c r="J687" s="25"/>
      <c r="K687" s="25"/>
      <c r="L687" s="25"/>
      <c r="M687" s="16"/>
      <c r="N687" s="16"/>
      <c r="O687" s="25"/>
      <c r="P687" s="25"/>
      <c r="Q687" s="25"/>
      <c r="R687" s="25"/>
      <c r="S687" s="25"/>
      <c r="T687" s="25"/>
      <c r="U687" s="25"/>
      <c r="V687" s="25"/>
      <c r="W687" s="25"/>
      <c r="X687" s="25"/>
      <c r="Y687" s="25"/>
      <c r="Z687" s="25"/>
      <c r="AA687" s="25"/>
      <c r="AB687" s="25"/>
    </row>
    <row r="688">
      <c r="A688" s="25"/>
      <c r="B688" s="25"/>
      <c r="C688" s="25"/>
      <c r="D688" s="25"/>
      <c r="E688" s="25"/>
      <c r="F688" s="241"/>
      <c r="G688" s="21" t="b">
        <f t="shared" ref="G688:H688" si="596">ISBLANK(M688)</f>
        <v>1</v>
      </c>
      <c r="H688" s="21" t="b">
        <f t="shared" si="596"/>
        <v>1</v>
      </c>
      <c r="I688" s="25"/>
      <c r="J688" s="25"/>
      <c r="K688" s="25"/>
      <c r="L688" s="25"/>
      <c r="M688" s="16"/>
      <c r="N688" s="16"/>
      <c r="O688" s="25"/>
      <c r="P688" s="25"/>
      <c r="Q688" s="25"/>
      <c r="R688" s="25"/>
      <c r="S688" s="25"/>
      <c r="T688" s="25"/>
      <c r="U688" s="25"/>
      <c r="V688" s="25"/>
      <c r="W688" s="25"/>
      <c r="X688" s="25"/>
      <c r="Y688" s="25"/>
      <c r="Z688" s="25"/>
      <c r="AA688" s="25"/>
      <c r="AB688" s="25"/>
    </row>
    <row r="689">
      <c r="A689" s="25"/>
      <c r="B689" s="25"/>
      <c r="C689" s="25"/>
      <c r="D689" s="25"/>
      <c r="E689" s="25"/>
      <c r="F689" s="241"/>
      <c r="G689" s="21" t="b">
        <f t="shared" ref="G689:H689" si="597">ISBLANK(M689)</f>
        <v>1</v>
      </c>
      <c r="H689" s="21" t="b">
        <f t="shared" si="597"/>
        <v>1</v>
      </c>
      <c r="I689" s="25"/>
      <c r="J689" s="25"/>
      <c r="K689" s="25"/>
      <c r="L689" s="25"/>
      <c r="M689" s="16"/>
      <c r="N689" s="16"/>
      <c r="O689" s="25"/>
      <c r="P689" s="25"/>
      <c r="Q689" s="25"/>
      <c r="R689" s="25"/>
      <c r="S689" s="25"/>
      <c r="T689" s="25"/>
      <c r="U689" s="25"/>
      <c r="V689" s="25"/>
      <c r="W689" s="25"/>
      <c r="X689" s="25"/>
      <c r="Y689" s="25"/>
      <c r="Z689" s="25"/>
      <c r="AA689" s="25"/>
      <c r="AB689" s="25"/>
    </row>
    <row r="690">
      <c r="A690" s="25"/>
      <c r="B690" s="25"/>
      <c r="C690" s="25"/>
      <c r="D690" s="25"/>
      <c r="E690" s="25"/>
      <c r="F690" s="241"/>
      <c r="G690" s="21" t="b">
        <f t="shared" ref="G690:H690" si="598">ISBLANK(M690)</f>
        <v>1</v>
      </c>
      <c r="H690" s="21" t="b">
        <f t="shared" si="598"/>
        <v>1</v>
      </c>
      <c r="I690" s="25"/>
      <c r="J690" s="25"/>
      <c r="K690" s="25"/>
      <c r="L690" s="25"/>
      <c r="M690" s="16"/>
      <c r="N690" s="16"/>
      <c r="O690" s="25"/>
      <c r="P690" s="25"/>
      <c r="Q690" s="25"/>
      <c r="R690" s="25"/>
      <c r="S690" s="25"/>
      <c r="T690" s="25"/>
      <c r="U690" s="25"/>
      <c r="V690" s="25"/>
      <c r="W690" s="25"/>
      <c r="X690" s="25"/>
      <c r="Y690" s="25"/>
      <c r="Z690" s="25"/>
      <c r="AA690" s="25"/>
      <c r="AB690" s="25"/>
    </row>
    <row r="691">
      <c r="A691" s="25"/>
      <c r="B691" s="25"/>
      <c r="C691" s="25"/>
      <c r="D691" s="25"/>
      <c r="E691" s="25"/>
      <c r="F691" s="241"/>
      <c r="G691" s="21" t="b">
        <f t="shared" ref="G691:H691" si="599">ISBLANK(M691)</f>
        <v>1</v>
      </c>
      <c r="H691" s="21" t="b">
        <f t="shared" si="599"/>
        <v>1</v>
      </c>
      <c r="I691" s="25"/>
      <c r="J691" s="25"/>
      <c r="K691" s="25"/>
      <c r="L691" s="25"/>
      <c r="M691" s="16"/>
      <c r="N691" s="16"/>
      <c r="O691" s="25"/>
      <c r="P691" s="25"/>
      <c r="Q691" s="25"/>
      <c r="R691" s="25"/>
      <c r="S691" s="25"/>
      <c r="T691" s="25"/>
      <c r="U691" s="25"/>
      <c r="V691" s="25"/>
      <c r="W691" s="25"/>
      <c r="X691" s="25"/>
      <c r="Y691" s="25"/>
      <c r="Z691" s="25"/>
      <c r="AA691" s="25"/>
      <c r="AB691" s="25"/>
    </row>
    <row r="692">
      <c r="A692" s="25"/>
      <c r="B692" s="25"/>
      <c r="C692" s="25"/>
      <c r="D692" s="25"/>
      <c r="E692" s="25"/>
      <c r="F692" s="241"/>
      <c r="G692" s="21" t="b">
        <f t="shared" ref="G692:H692" si="600">ISBLANK(M692)</f>
        <v>1</v>
      </c>
      <c r="H692" s="21" t="b">
        <f t="shared" si="600"/>
        <v>1</v>
      </c>
      <c r="I692" s="25"/>
      <c r="J692" s="25"/>
      <c r="K692" s="25"/>
      <c r="L692" s="25"/>
      <c r="M692" s="16"/>
      <c r="N692" s="16"/>
      <c r="O692" s="25"/>
      <c r="P692" s="25"/>
      <c r="Q692" s="25"/>
      <c r="R692" s="25"/>
      <c r="S692" s="25"/>
      <c r="T692" s="25"/>
      <c r="U692" s="25"/>
      <c r="V692" s="25"/>
      <c r="W692" s="25"/>
      <c r="X692" s="25"/>
      <c r="Y692" s="25"/>
      <c r="Z692" s="25"/>
      <c r="AA692" s="25"/>
      <c r="AB692" s="25"/>
    </row>
    <row r="693">
      <c r="A693" s="25"/>
      <c r="B693" s="25"/>
      <c r="C693" s="25"/>
      <c r="D693" s="25"/>
      <c r="E693" s="25"/>
      <c r="F693" s="241"/>
      <c r="G693" s="21" t="b">
        <f t="shared" ref="G693:H693" si="601">ISBLANK(M693)</f>
        <v>1</v>
      </c>
      <c r="H693" s="21" t="b">
        <f t="shared" si="601"/>
        <v>1</v>
      </c>
      <c r="I693" s="25"/>
      <c r="J693" s="25"/>
      <c r="K693" s="25"/>
      <c r="L693" s="25"/>
      <c r="M693" s="16"/>
      <c r="N693" s="16"/>
      <c r="O693" s="25"/>
      <c r="P693" s="25"/>
      <c r="Q693" s="25"/>
      <c r="R693" s="25"/>
      <c r="S693" s="25"/>
      <c r="T693" s="25"/>
      <c r="U693" s="25"/>
      <c r="V693" s="25"/>
      <c r="W693" s="25"/>
      <c r="X693" s="25"/>
      <c r="Y693" s="25"/>
      <c r="Z693" s="25"/>
      <c r="AA693" s="25"/>
      <c r="AB693" s="25"/>
    </row>
    <row r="694">
      <c r="A694" s="25"/>
      <c r="B694" s="25"/>
      <c r="C694" s="25"/>
      <c r="D694" s="25"/>
      <c r="E694" s="25"/>
      <c r="F694" s="241"/>
      <c r="G694" s="21" t="b">
        <f t="shared" ref="G694:H694" si="602">ISBLANK(M694)</f>
        <v>1</v>
      </c>
      <c r="H694" s="21" t="b">
        <f t="shared" si="602"/>
        <v>1</v>
      </c>
      <c r="I694" s="25"/>
      <c r="J694" s="25"/>
      <c r="K694" s="25"/>
      <c r="L694" s="25"/>
      <c r="M694" s="16"/>
      <c r="N694" s="16"/>
      <c r="O694" s="25"/>
      <c r="P694" s="25"/>
      <c r="Q694" s="25"/>
      <c r="R694" s="25"/>
      <c r="S694" s="25"/>
      <c r="T694" s="25"/>
      <c r="U694" s="25"/>
      <c r="V694" s="25"/>
      <c r="W694" s="25"/>
      <c r="X694" s="25"/>
      <c r="Y694" s="25"/>
      <c r="Z694" s="25"/>
      <c r="AA694" s="25"/>
      <c r="AB694" s="25"/>
    </row>
    <row r="695">
      <c r="A695" s="25"/>
      <c r="B695" s="25"/>
      <c r="C695" s="25"/>
      <c r="D695" s="25"/>
      <c r="E695" s="25"/>
      <c r="F695" s="241"/>
      <c r="G695" s="21" t="b">
        <f t="shared" ref="G695:H695" si="603">ISBLANK(M695)</f>
        <v>1</v>
      </c>
      <c r="H695" s="21" t="b">
        <f t="shared" si="603"/>
        <v>1</v>
      </c>
      <c r="I695" s="25"/>
      <c r="J695" s="25"/>
      <c r="K695" s="25"/>
      <c r="L695" s="25"/>
      <c r="M695" s="16"/>
      <c r="N695" s="16"/>
      <c r="O695" s="25"/>
      <c r="P695" s="25"/>
      <c r="Q695" s="25"/>
      <c r="R695" s="25"/>
      <c r="S695" s="25"/>
      <c r="T695" s="25"/>
      <c r="U695" s="25"/>
      <c r="V695" s="25"/>
      <c r="W695" s="25"/>
      <c r="X695" s="25"/>
      <c r="Y695" s="25"/>
      <c r="Z695" s="25"/>
      <c r="AA695" s="25"/>
      <c r="AB695" s="25"/>
    </row>
    <row r="696">
      <c r="A696" s="25"/>
      <c r="B696" s="25"/>
      <c r="C696" s="25"/>
      <c r="D696" s="25"/>
      <c r="E696" s="25"/>
      <c r="F696" s="241"/>
      <c r="G696" s="21" t="b">
        <f t="shared" ref="G696:H696" si="604">ISBLANK(M696)</f>
        <v>1</v>
      </c>
      <c r="H696" s="21" t="b">
        <f t="shared" si="604"/>
        <v>1</v>
      </c>
      <c r="I696" s="25"/>
      <c r="J696" s="25"/>
      <c r="K696" s="25"/>
      <c r="L696" s="25"/>
      <c r="M696" s="16"/>
      <c r="N696" s="16"/>
      <c r="O696" s="25"/>
      <c r="P696" s="25"/>
      <c r="Q696" s="25"/>
      <c r="R696" s="25"/>
      <c r="S696" s="25"/>
      <c r="T696" s="25"/>
      <c r="U696" s="25"/>
      <c r="V696" s="25"/>
      <c r="W696" s="25"/>
      <c r="X696" s="25"/>
      <c r="Y696" s="25"/>
      <c r="Z696" s="25"/>
      <c r="AA696" s="25"/>
      <c r="AB696" s="25"/>
    </row>
    <row r="697">
      <c r="A697" s="25"/>
      <c r="B697" s="25"/>
      <c r="C697" s="25"/>
      <c r="D697" s="25"/>
      <c r="E697" s="25"/>
      <c r="F697" s="241"/>
      <c r="G697" s="21" t="b">
        <f t="shared" ref="G697:H697" si="605">ISBLANK(M697)</f>
        <v>1</v>
      </c>
      <c r="H697" s="21" t="b">
        <f t="shared" si="605"/>
        <v>1</v>
      </c>
      <c r="I697" s="25"/>
      <c r="J697" s="25"/>
      <c r="K697" s="25"/>
      <c r="L697" s="25"/>
      <c r="M697" s="16"/>
      <c r="N697" s="16"/>
      <c r="O697" s="25"/>
      <c r="P697" s="25"/>
      <c r="Q697" s="25"/>
      <c r="R697" s="25"/>
      <c r="S697" s="25"/>
      <c r="T697" s="25"/>
      <c r="U697" s="25"/>
      <c r="V697" s="25"/>
      <c r="W697" s="25"/>
      <c r="X697" s="25"/>
      <c r="Y697" s="25"/>
      <c r="Z697" s="25"/>
      <c r="AA697" s="25"/>
      <c r="AB697" s="25"/>
    </row>
    <row r="698">
      <c r="A698" s="25"/>
      <c r="B698" s="25"/>
      <c r="C698" s="25"/>
      <c r="D698" s="25"/>
      <c r="E698" s="25"/>
      <c r="F698" s="241"/>
      <c r="G698" s="21" t="b">
        <f t="shared" ref="G698:H698" si="606">ISBLANK(M698)</f>
        <v>1</v>
      </c>
      <c r="H698" s="21" t="b">
        <f t="shared" si="606"/>
        <v>1</v>
      </c>
      <c r="I698" s="25"/>
      <c r="J698" s="25"/>
      <c r="K698" s="25"/>
      <c r="L698" s="25"/>
      <c r="M698" s="16"/>
      <c r="N698" s="16"/>
      <c r="O698" s="25"/>
      <c r="P698" s="25"/>
      <c r="Q698" s="25"/>
      <c r="R698" s="25"/>
      <c r="S698" s="25"/>
      <c r="T698" s="25"/>
      <c r="U698" s="25"/>
      <c r="V698" s="25"/>
      <c r="W698" s="25"/>
      <c r="X698" s="25"/>
      <c r="Y698" s="25"/>
      <c r="Z698" s="25"/>
      <c r="AA698" s="25"/>
      <c r="AB698" s="25"/>
    </row>
    <row r="699">
      <c r="A699" s="25"/>
      <c r="B699" s="25"/>
      <c r="C699" s="25"/>
      <c r="D699" s="25"/>
      <c r="E699" s="25"/>
      <c r="F699" s="241"/>
      <c r="G699" s="21" t="b">
        <f t="shared" ref="G699:H699" si="607">ISBLANK(M699)</f>
        <v>1</v>
      </c>
      <c r="H699" s="21" t="b">
        <f t="shared" si="607"/>
        <v>1</v>
      </c>
      <c r="I699" s="25"/>
      <c r="J699" s="25"/>
      <c r="K699" s="25"/>
      <c r="L699" s="25"/>
      <c r="M699" s="16"/>
      <c r="N699" s="16"/>
      <c r="O699" s="25"/>
      <c r="P699" s="25"/>
      <c r="Q699" s="25"/>
      <c r="R699" s="25"/>
      <c r="S699" s="25"/>
      <c r="T699" s="25"/>
      <c r="U699" s="25"/>
      <c r="V699" s="25"/>
      <c r="W699" s="25"/>
      <c r="X699" s="25"/>
      <c r="Y699" s="25"/>
      <c r="Z699" s="25"/>
      <c r="AA699" s="25"/>
      <c r="AB699" s="25"/>
    </row>
    <row r="700">
      <c r="A700" s="25"/>
      <c r="B700" s="25"/>
      <c r="C700" s="25"/>
      <c r="D700" s="25"/>
      <c r="E700" s="25"/>
      <c r="F700" s="241"/>
      <c r="G700" s="21" t="b">
        <f t="shared" ref="G700:H700" si="608">ISBLANK(M700)</f>
        <v>1</v>
      </c>
      <c r="H700" s="21" t="b">
        <f t="shared" si="608"/>
        <v>1</v>
      </c>
      <c r="I700" s="25"/>
      <c r="J700" s="25"/>
      <c r="K700" s="25"/>
      <c r="L700" s="25"/>
      <c r="M700" s="16"/>
      <c r="N700" s="16"/>
      <c r="O700" s="25"/>
      <c r="P700" s="25"/>
      <c r="Q700" s="25"/>
      <c r="R700" s="25"/>
      <c r="S700" s="25"/>
      <c r="T700" s="25"/>
      <c r="U700" s="25"/>
      <c r="V700" s="25"/>
      <c r="W700" s="25"/>
      <c r="X700" s="25"/>
      <c r="Y700" s="25"/>
      <c r="Z700" s="25"/>
      <c r="AA700" s="25"/>
      <c r="AB700" s="25"/>
    </row>
    <row r="701">
      <c r="A701" s="25"/>
      <c r="B701" s="25"/>
      <c r="C701" s="25"/>
      <c r="D701" s="25"/>
      <c r="E701" s="25"/>
      <c r="F701" s="241"/>
      <c r="G701" s="21" t="b">
        <f t="shared" ref="G701:H701" si="609">ISBLANK(M701)</f>
        <v>1</v>
      </c>
      <c r="H701" s="21" t="b">
        <f t="shared" si="609"/>
        <v>1</v>
      </c>
      <c r="I701" s="25"/>
      <c r="J701" s="25"/>
      <c r="K701" s="25"/>
      <c r="L701" s="25"/>
      <c r="M701" s="16"/>
      <c r="N701" s="16"/>
      <c r="O701" s="25"/>
      <c r="P701" s="25"/>
      <c r="Q701" s="25"/>
      <c r="R701" s="25"/>
      <c r="S701" s="25"/>
      <c r="T701" s="25"/>
      <c r="U701" s="25"/>
      <c r="V701" s="25"/>
      <c r="W701" s="25"/>
      <c r="X701" s="25"/>
      <c r="Y701" s="25"/>
      <c r="Z701" s="25"/>
      <c r="AA701" s="25"/>
      <c r="AB701" s="25"/>
    </row>
    <row r="702">
      <c r="A702" s="25"/>
      <c r="B702" s="25"/>
      <c r="C702" s="25"/>
      <c r="D702" s="25"/>
      <c r="E702" s="25"/>
      <c r="F702" s="241"/>
      <c r="G702" s="21" t="b">
        <f t="shared" ref="G702:H702" si="610">ISBLANK(M702)</f>
        <v>1</v>
      </c>
      <c r="H702" s="21" t="b">
        <f t="shared" si="610"/>
        <v>1</v>
      </c>
      <c r="I702" s="25"/>
      <c r="J702" s="25"/>
      <c r="K702" s="25"/>
      <c r="L702" s="25"/>
      <c r="M702" s="16"/>
      <c r="N702" s="16"/>
      <c r="O702" s="25"/>
      <c r="P702" s="25"/>
      <c r="Q702" s="25"/>
      <c r="R702" s="25"/>
      <c r="S702" s="25"/>
      <c r="T702" s="25"/>
      <c r="U702" s="25"/>
      <c r="V702" s="25"/>
      <c r="W702" s="25"/>
      <c r="X702" s="25"/>
      <c r="Y702" s="25"/>
      <c r="Z702" s="25"/>
      <c r="AA702" s="25"/>
      <c r="AB702" s="25"/>
    </row>
    <row r="703">
      <c r="A703" s="25"/>
      <c r="B703" s="25"/>
      <c r="C703" s="25"/>
      <c r="D703" s="25"/>
      <c r="E703" s="25"/>
      <c r="F703" s="241"/>
      <c r="G703" s="21" t="b">
        <f t="shared" ref="G703:H703" si="611">ISBLANK(M703)</f>
        <v>1</v>
      </c>
      <c r="H703" s="21" t="b">
        <f t="shared" si="611"/>
        <v>1</v>
      </c>
      <c r="I703" s="25"/>
      <c r="J703" s="25"/>
      <c r="K703" s="25"/>
      <c r="L703" s="25"/>
      <c r="M703" s="16"/>
      <c r="N703" s="16"/>
      <c r="O703" s="25"/>
      <c r="P703" s="25"/>
      <c r="Q703" s="25"/>
      <c r="R703" s="25"/>
      <c r="S703" s="25"/>
      <c r="T703" s="25"/>
      <c r="U703" s="25"/>
      <c r="V703" s="25"/>
      <c r="W703" s="25"/>
      <c r="X703" s="25"/>
      <c r="Y703" s="25"/>
      <c r="Z703" s="25"/>
      <c r="AA703" s="25"/>
      <c r="AB703" s="25"/>
    </row>
    <row r="704">
      <c r="A704" s="25"/>
      <c r="B704" s="25"/>
      <c r="C704" s="25"/>
      <c r="D704" s="25"/>
      <c r="E704" s="25"/>
      <c r="F704" s="241"/>
      <c r="G704" s="21" t="b">
        <f t="shared" ref="G704:H704" si="612">ISBLANK(M704)</f>
        <v>1</v>
      </c>
      <c r="H704" s="21" t="b">
        <f t="shared" si="612"/>
        <v>1</v>
      </c>
      <c r="I704" s="25"/>
      <c r="J704" s="25"/>
      <c r="K704" s="25"/>
      <c r="L704" s="25"/>
      <c r="M704" s="16"/>
      <c r="N704" s="16"/>
      <c r="O704" s="25"/>
      <c r="P704" s="25"/>
      <c r="Q704" s="25"/>
      <c r="R704" s="25"/>
      <c r="S704" s="25"/>
      <c r="T704" s="25"/>
      <c r="U704" s="25"/>
      <c r="V704" s="25"/>
      <c r="W704" s="25"/>
      <c r="X704" s="25"/>
      <c r="Y704" s="25"/>
      <c r="Z704" s="25"/>
      <c r="AA704" s="25"/>
      <c r="AB704" s="25"/>
    </row>
    <row r="705">
      <c r="A705" s="25"/>
      <c r="B705" s="25"/>
      <c r="C705" s="25"/>
      <c r="D705" s="25"/>
      <c r="E705" s="25"/>
      <c r="F705" s="241"/>
      <c r="G705" s="21" t="b">
        <f t="shared" ref="G705:H705" si="613">ISBLANK(M705)</f>
        <v>1</v>
      </c>
      <c r="H705" s="21" t="b">
        <f t="shared" si="613"/>
        <v>1</v>
      </c>
      <c r="I705" s="25"/>
      <c r="J705" s="25"/>
      <c r="K705" s="25"/>
      <c r="L705" s="25"/>
      <c r="M705" s="16"/>
      <c r="N705" s="16"/>
      <c r="O705" s="25"/>
      <c r="P705" s="25"/>
      <c r="Q705" s="25"/>
      <c r="R705" s="25"/>
      <c r="S705" s="25"/>
      <c r="T705" s="25"/>
      <c r="U705" s="25"/>
      <c r="V705" s="25"/>
      <c r="W705" s="25"/>
      <c r="X705" s="25"/>
      <c r="Y705" s="25"/>
      <c r="Z705" s="25"/>
      <c r="AA705" s="25"/>
      <c r="AB705" s="25"/>
    </row>
    <row r="706">
      <c r="A706" s="25"/>
      <c r="B706" s="25"/>
      <c r="C706" s="25"/>
      <c r="D706" s="25"/>
      <c r="E706" s="25"/>
      <c r="F706" s="241"/>
      <c r="G706" s="21" t="b">
        <f t="shared" ref="G706:H706" si="614">ISBLANK(M706)</f>
        <v>1</v>
      </c>
      <c r="H706" s="21" t="b">
        <f t="shared" si="614"/>
        <v>1</v>
      </c>
      <c r="I706" s="25"/>
      <c r="J706" s="25"/>
      <c r="K706" s="25"/>
      <c r="L706" s="25"/>
      <c r="M706" s="16"/>
      <c r="N706" s="16"/>
      <c r="O706" s="25"/>
      <c r="P706" s="25"/>
      <c r="Q706" s="25"/>
      <c r="R706" s="25"/>
      <c r="S706" s="25"/>
      <c r="T706" s="25"/>
      <c r="U706" s="25"/>
      <c r="V706" s="25"/>
      <c r="W706" s="25"/>
      <c r="X706" s="25"/>
      <c r="Y706" s="25"/>
      <c r="Z706" s="25"/>
      <c r="AA706" s="25"/>
      <c r="AB706" s="25"/>
    </row>
    <row r="707">
      <c r="A707" s="25"/>
      <c r="B707" s="25"/>
      <c r="C707" s="25"/>
      <c r="D707" s="25"/>
      <c r="E707" s="25"/>
      <c r="F707" s="241"/>
      <c r="G707" s="21" t="b">
        <f t="shared" ref="G707:H707" si="615">ISBLANK(M707)</f>
        <v>1</v>
      </c>
      <c r="H707" s="21" t="b">
        <f t="shared" si="615"/>
        <v>1</v>
      </c>
      <c r="I707" s="25"/>
      <c r="J707" s="25"/>
      <c r="K707" s="25"/>
      <c r="L707" s="25"/>
      <c r="M707" s="16"/>
      <c r="N707" s="16"/>
      <c r="O707" s="25"/>
      <c r="P707" s="25"/>
      <c r="Q707" s="25"/>
      <c r="R707" s="25"/>
      <c r="S707" s="25"/>
      <c r="T707" s="25"/>
      <c r="U707" s="25"/>
      <c r="V707" s="25"/>
      <c r="W707" s="25"/>
      <c r="X707" s="25"/>
      <c r="Y707" s="25"/>
      <c r="Z707" s="25"/>
      <c r="AA707" s="25"/>
      <c r="AB707" s="25"/>
    </row>
    <row r="708">
      <c r="A708" s="25"/>
      <c r="B708" s="25"/>
      <c r="C708" s="25"/>
      <c r="D708" s="25"/>
      <c r="E708" s="25"/>
      <c r="F708" s="241"/>
      <c r="G708" s="21" t="b">
        <f t="shared" ref="G708:H708" si="616">ISBLANK(M708)</f>
        <v>1</v>
      </c>
      <c r="H708" s="21" t="b">
        <f t="shared" si="616"/>
        <v>1</v>
      </c>
      <c r="I708" s="25"/>
      <c r="J708" s="25"/>
      <c r="K708" s="25"/>
      <c r="L708" s="25"/>
      <c r="M708" s="16"/>
      <c r="N708" s="16"/>
      <c r="O708" s="25"/>
      <c r="P708" s="25"/>
      <c r="Q708" s="25"/>
      <c r="R708" s="25"/>
      <c r="S708" s="25"/>
      <c r="T708" s="25"/>
      <c r="U708" s="25"/>
      <c r="V708" s="25"/>
      <c r="W708" s="25"/>
      <c r="X708" s="25"/>
      <c r="Y708" s="25"/>
      <c r="Z708" s="25"/>
      <c r="AA708" s="25"/>
      <c r="AB708" s="25"/>
    </row>
    <row r="709">
      <c r="A709" s="25"/>
      <c r="B709" s="25"/>
      <c r="C709" s="25"/>
      <c r="D709" s="25"/>
      <c r="E709" s="25"/>
      <c r="F709" s="241"/>
      <c r="G709" s="21" t="b">
        <f t="shared" ref="G709:H709" si="617">ISBLANK(M709)</f>
        <v>1</v>
      </c>
      <c r="H709" s="21" t="b">
        <f t="shared" si="617"/>
        <v>1</v>
      </c>
      <c r="I709" s="25"/>
      <c r="J709" s="25"/>
      <c r="K709" s="25"/>
      <c r="L709" s="25"/>
      <c r="M709" s="16"/>
      <c r="N709" s="16"/>
      <c r="O709" s="25"/>
      <c r="P709" s="25"/>
      <c r="Q709" s="25"/>
      <c r="R709" s="25"/>
      <c r="S709" s="25"/>
      <c r="T709" s="25"/>
      <c r="U709" s="25"/>
      <c r="V709" s="25"/>
      <c r="W709" s="25"/>
      <c r="X709" s="25"/>
      <c r="Y709" s="25"/>
      <c r="Z709" s="25"/>
      <c r="AA709" s="25"/>
      <c r="AB709" s="25"/>
    </row>
    <row r="710">
      <c r="A710" s="25"/>
      <c r="B710" s="25"/>
      <c r="C710" s="25"/>
      <c r="D710" s="25"/>
      <c r="E710" s="25"/>
      <c r="F710" s="241"/>
      <c r="G710" s="21" t="b">
        <f t="shared" ref="G710:H710" si="618">ISBLANK(M710)</f>
        <v>1</v>
      </c>
      <c r="H710" s="21" t="b">
        <f t="shared" si="618"/>
        <v>1</v>
      </c>
      <c r="I710" s="25"/>
      <c r="J710" s="25"/>
      <c r="K710" s="25"/>
      <c r="L710" s="25"/>
      <c r="M710" s="16"/>
      <c r="N710" s="16"/>
      <c r="O710" s="25"/>
      <c r="P710" s="25"/>
      <c r="Q710" s="25"/>
      <c r="R710" s="25"/>
      <c r="S710" s="25"/>
      <c r="T710" s="25"/>
      <c r="U710" s="25"/>
      <c r="V710" s="25"/>
      <c r="W710" s="25"/>
      <c r="X710" s="25"/>
      <c r="Y710" s="25"/>
      <c r="Z710" s="25"/>
      <c r="AA710" s="25"/>
      <c r="AB710" s="25"/>
    </row>
    <row r="711">
      <c r="A711" s="25"/>
      <c r="B711" s="25"/>
      <c r="C711" s="25"/>
      <c r="D711" s="25"/>
      <c r="E711" s="25"/>
      <c r="F711" s="241"/>
      <c r="G711" s="21" t="b">
        <f t="shared" ref="G711:H711" si="619">ISBLANK(M711)</f>
        <v>1</v>
      </c>
      <c r="H711" s="21" t="b">
        <f t="shared" si="619"/>
        <v>1</v>
      </c>
      <c r="I711" s="25"/>
      <c r="J711" s="25"/>
      <c r="K711" s="25"/>
      <c r="L711" s="25"/>
      <c r="M711" s="16"/>
      <c r="N711" s="16"/>
      <c r="O711" s="25"/>
      <c r="P711" s="25"/>
      <c r="Q711" s="25"/>
      <c r="R711" s="25"/>
      <c r="S711" s="25"/>
      <c r="T711" s="25"/>
      <c r="U711" s="25"/>
      <c r="V711" s="25"/>
      <c r="W711" s="25"/>
      <c r="X711" s="25"/>
      <c r="Y711" s="25"/>
      <c r="Z711" s="25"/>
      <c r="AA711" s="25"/>
      <c r="AB711" s="25"/>
    </row>
    <row r="712">
      <c r="A712" s="25"/>
      <c r="B712" s="25"/>
      <c r="C712" s="25"/>
      <c r="D712" s="25"/>
      <c r="E712" s="25"/>
      <c r="F712" s="241"/>
      <c r="G712" s="21" t="b">
        <f t="shared" ref="G712:H712" si="620">ISBLANK(M712)</f>
        <v>1</v>
      </c>
      <c r="H712" s="21" t="b">
        <f t="shared" si="620"/>
        <v>1</v>
      </c>
      <c r="I712" s="25"/>
      <c r="J712" s="25"/>
      <c r="K712" s="25"/>
      <c r="L712" s="25"/>
      <c r="M712" s="16"/>
      <c r="N712" s="16"/>
      <c r="O712" s="25"/>
      <c r="P712" s="25"/>
      <c r="Q712" s="25"/>
      <c r="R712" s="25"/>
      <c r="S712" s="25"/>
      <c r="T712" s="25"/>
      <c r="U712" s="25"/>
      <c r="V712" s="25"/>
      <c r="W712" s="25"/>
      <c r="X712" s="25"/>
      <c r="Y712" s="25"/>
      <c r="Z712" s="25"/>
      <c r="AA712" s="25"/>
      <c r="AB712" s="25"/>
    </row>
    <row r="713">
      <c r="A713" s="25"/>
      <c r="B713" s="25"/>
      <c r="C713" s="25"/>
      <c r="D713" s="25"/>
      <c r="E713" s="25"/>
      <c r="F713" s="241"/>
      <c r="G713" s="21" t="b">
        <f t="shared" ref="G713:H713" si="621">ISBLANK(M713)</f>
        <v>1</v>
      </c>
      <c r="H713" s="21" t="b">
        <f t="shared" si="621"/>
        <v>1</v>
      </c>
      <c r="I713" s="25"/>
      <c r="J713" s="25"/>
      <c r="K713" s="25"/>
      <c r="L713" s="25"/>
      <c r="M713" s="16"/>
      <c r="N713" s="16"/>
      <c r="O713" s="25"/>
      <c r="P713" s="25"/>
      <c r="Q713" s="25"/>
      <c r="R713" s="25"/>
      <c r="S713" s="25"/>
      <c r="T713" s="25"/>
      <c r="U713" s="25"/>
      <c r="V713" s="25"/>
      <c r="W713" s="25"/>
      <c r="X713" s="25"/>
      <c r="Y713" s="25"/>
      <c r="Z713" s="25"/>
      <c r="AA713" s="25"/>
      <c r="AB713" s="25"/>
    </row>
    <row r="714">
      <c r="A714" s="25"/>
      <c r="B714" s="25"/>
      <c r="C714" s="25"/>
      <c r="D714" s="25"/>
      <c r="E714" s="25"/>
      <c r="F714" s="241"/>
      <c r="G714" s="21" t="b">
        <f t="shared" ref="G714:H714" si="622">ISBLANK(M714)</f>
        <v>1</v>
      </c>
      <c r="H714" s="21" t="b">
        <f t="shared" si="622"/>
        <v>1</v>
      </c>
      <c r="I714" s="25"/>
      <c r="J714" s="25"/>
      <c r="K714" s="25"/>
      <c r="L714" s="25"/>
      <c r="M714" s="16"/>
      <c r="N714" s="16"/>
      <c r="O714" s="25"/>
      <c r="P714" s="25"/>
      <c r="Q714" s="25"/>
      <c r="R714" s="25"/>
      <c r="S714" s="25"/>
      <c r="T714" s="25"/>
      <c r="U714" s="25"/>
      <c r="V714" s="25"/>
      <c r="W714" s="25"/>
      <c r="X714" s="25"/>
      <c r="Y714" s="25"/>
      <c r="Z714" s="25"/>
      <c r="AA714" s="25"/>
      <c r="AB714" s="25"/>
    </row>
    <row r="715">
      <c r="A715" s="25"/>
      <c r="B715" s="25"/>
      <c r="C715" s="25"/>
      <c r="D715" s="25"/>
      <c r="E715" s="25"/>
      <c r="F715" s="241"/>
      <c r="G715" s="21" t="b">
        <f t="shared" ref="G715:H715" si="623">ISBLANK(M715)</f>
        <v>1</v>
      </c>
      <c r="H715" s="21" t="b">
        <f t="shared" si="623"/>
        <v>1</v>
      </c>
      <c r="I715" s="25"/>
      <c r="J715" s="25"/>
      <c r="K715" s="25"/>
      <c r="L715" s="25"/>
      <c r="M715" s="16"/>
      <c r="N715" s="16"/>
      <c r="O715" s="25"/>
      <c r="P715" s="25"/>
      <c r="Q715" s="25"/>
      <c r="R715" s="25"/>
      <c r="S715" s="25"/>
      <c r="T715" s="25"/>
      <c r="U715" s="25"/>
      <c r="V715" s="25"/>
      <c r="W715" s="25"/>
      <c r="X715" s="25"/>
      <c r="Y715" s="25"/>
      <c r="Z715" s="25"/>
      <c r="AA715" s="25"/>
      <c r="AB715" s="25"/>
    </row>
    <row r="716">
      <c r="A716" s="25"/>
      <c r="B716" s="25"/>
      <c r="C716" s="25"/>
      <c r="D716" s="25"/>
      <c r="E716" s="25"/>
      <c r="F716" s="241"/>
      <c r="G716" s="21" t="b">
        <f t="shared" ref="G716:H716" si="624">ISBLANK(M716)</f>
        <v>1</v>
      </c>
      <c r="H716" s="21" t="b">
        <f t="shared" si="624"/>
        <v>1</v>
      </c>
      <c r="I716" s="25"/>
      <c r="J716" s="25"/>
      <c r="K716" s="25"/>
      <c r="L716" s="25"/>
      <c r="M716" s="16"/>
      <c r="N716" s="16"/>
      <c r="O716" s="25"/>
      <c r="P716" s="25"/>
      <c r="Q716" s="25"/>
      <c r="R716" s="25"/>
      <c r="S716" s="25"/>
      <c r="T716" s="25"/>
      <c r="U716" s="25"/>
      <c r="V716" s="25"/>
      <c r="W716" s="25"/>
      <c r="X716" s="25"/>
      <c r="Y716" s="25"/>
      <c r="Z716" s="25"/>
      <c r="AA716" s="25"/>
      <c r="AB716" s="25"/>
    </row>
    <row r="717">
      <c r="A717" s="25"/>
      <c r="B717" s="25"/>
      <c r="C717" s="25"/>
      <c r="D717" s="25"/>
      <c r="E717" s="25"/>
      <c r="F717" s="241"/>
      <c r="G717" s="21" t="b">
        <f t="shared" ref="G717:H717" si="625">ISBLANK(M717)</f>
        <v>1</v>
      </c>
      <c r="H717" s="21" t="b">
        <f t="shared" si="625"/>
        <v>1</v>
      </c>
      <c r="I717" s="25"/>
      <c r="J717" s="25"/>
      <c r="K717" s="25"/>
      <c r="L717" s="25"/>
      <c r="M717" s="16"/>
      <c r="N717" s="16"/>
      <c r="O717" s="25"/>
      <c r="P717" s="25"/>
      <c r="Q717" s="25"/>
      <c r="R717" s="25"/>
      <c r="S717" s="25"/>
      <c r="T717" s="25"/>
      <c r="U717" s="25"/>
      <c r="V717" s="25"/>
      <c r="W717" s="25"/>
      <c r="X717" s="25"/>
      <c r="Y717" s="25"/>
      <c r="Z717" s="25"/>
      <c r="AA717" s="25"/>
      <c r="AB717" s="25"/>
    </row>
    <row r="718">
      <c r="A718" s="25"/>
      <c r="B718" s="25"/>
      <c r="C718" s="25"/>
      <c r="D718" s="25"/>
      <c r="E718" s="25"/>
      <c r="F718" s="241"/>
      <c r="G718" s="21" t="b">
        <f t="shared" ref="G718:H718" si="626">ISBLANK(M718)</f>
        <v>1</v>
      </c>
      <c r="H718" s="21" t="b">
        <f t="shared" si="626"/>
        <v>1</v>
      </c>
      <c r="I718" s="25"/>
      <c r="J718" s="25"/>
      <c r="K718" s="25"/>
      <c r="L718" s="25"/>
      <c r="M718" s="16"/>
      <c r="N718" s="16"/>
      <c r="O718" s="25"/>
      <c r="P718" s="25"/>
      <c r="Q718" s="25"/>
      <c r="R718" s="25"/>
      <c r="S718" s="25"/>
      <c r="T718" s="25"/>
      <c r="U718" s="25"/>
      <c r="V718" s="25"/>
      <c r="W718" s="25"/>
      <c r="X718" s="25"/>
      <c r="Y718" s="25"/>
      <c r="Z718" s="25"/>
      <c r="AA718" s="25"/>
      <c r="AB718" s="25"/>
    </row>
    <row r="719">
      <c r="A719" s="25"/>
      <c r="B719" s="25"/>
      <c r="C719" s="25"/>
      <c r="D719" s="25"/>
      <c r="E719" s="25"/>
      <c r="F719" s="241"/>
      <c r="G719" s="21" t="b">
        <f t="shared" ref="G719:H719" si="627">ISBLANK(M719)</f>
        <v>1</v>
      </c>
      <c r="H719" s="21" t="b">
        <f t="shared" si="627"/>
        <v>1</v>
      </c>
      <c r="I719" s="25"/>
      <c r="J719" s="25"/>
      <c r="K719" s="25"/>
      <c r="L719" s="25"/>
      <c r="M719" s="16"/>
      <c r="N719" s="16"/>
      <c r="O719" s="25"/>
      <c r="P719" s="25"/>
      <c r="Q719" s="25"/>
      <c r="R719" s="25"/>
      <c r="S719" s="25"/>
      <c r="T719" s="25"/>
      <c r="U719" s="25"/>
      <c r="V719" s="25"/>
      <c r="W719" s="25"/>
      <c r="X719" s="25"/>
      <c r="Y719" s="25"/>
      <c r="Z719" s="25"/>
      <c r="AA719" s="25"/>
      <c r="AB719" s="25"/>
    </row>
    <row r="720">
      <c r="A720" s="25"/>
      <c r="B720" s="25"/>
      <c r="C720" s="25"/>
      <c r="D720" s="25"/>
      <c r="E720" s="25"/>
      <c r="F720" s="241"/>
      <c r="G720" s="21" t="b">
        <f t="shared" ref="G720:H720" si="628">ISBLANK(M720)</f>
        <v>1</v>
      </c>
      <c r="H720" s="21" t="b">
        <f t="shared" si="628"/>
        <v>1</v>
      </c>
      <c r="I720" s="25"/>
      <c r="J720" s="25"/>
      <c r="K720" s="25"/>
      <c r="L720" s="25"/>
      <c r="M720" s="16"/>
      <c r="N720" s="16"/>
      <c r="O720" s="25"/>
      <c r="P720" s="25"/>
      <c r="Q720" s="25"/>
      <c r="R720" s="25"/>
      <c r="S720" s="25"/>
      <c r="T720" s="25"/>
      <c r="U720" s="25"/>
      <c r="V720" s="25"/>
      <c r="W720" s="25"/>
      <c r="X720" s="25"/>
      <c r="Y720" s="25"/>
      <c r="Z720" s="25"/>
      <c r="AA720" s="25"/>
      <c r="AB720" s="25"/>
    </row>
    <row r="721">
      <c r="A721" s="25"/>
      <c r="B721" s="25"/>
      <c r="C721" s="25"/>
      <c r="D721" s="25"/>
      <c r="E721" s="25"/>
      <c r="F721" s="241"/>
      <c r="G721" s="21" t="b">
        <f t="shared" ref="G721:H721" si="629">ISBLANK(M721)</f>
        <v>1</v>
      </c>
      <c r="H721" s="21" t="b">
        <f t="shared" si="629"/>
        <v>1</v>
      </c>
      <c r="I721" s="25"/>
      <c r="J721" s="25"/>
      <c r="K721" s="25"/>
      <c r="L721" s="25"/>
      <c r="M721" s="16"/>
      <c r="N721" s="16"/>
      <c r="O721" s="25"/>
      <c r="P721" s="25"/>
      <c r="Q721" s="25"/>
      <c r="R721" s="25"/>
      <c r="S721" s="25"/>
      <c r="T721" s="25"/>
      <c r="U721" s="25"/>
      <c r="V721" s="25"/>
      <c r="W721" s="25"/>
      <c r="X721" s="25"/>
      <c r="Y721" s="25"/>
      <c r="Z721" s="25"/>
      <c r="AA721" s="25"/>
      <c r="AB721" s="25"/>
    </row>
    <row r="722">
      <c r="A722" s="25"/>
      <c r="B722" s="25"/>
      <c r="C722" s="25"/>
      <c r="D722" s="25"/>
      <c r="E722" s="25"/>
      <c r="F722" s="241"/>
      <c r="G722" s="21" t="b">
        <f t="shared" ref="G722:H722" si="630">ISBLANK(M722)</f>
        <v>1</v>
      </c>
      <c r="H722" s="21" t="b">
        <f t="shared" si="630"/>
        <v>1</v>
      </c>
      <c r="I722" s="25"/>
      <c r="J722" s="25"/>
      <c r="K722" s="25"/>
      <c r="L722" s="25"/>
      <c r="M722" s="16"/>
      <c r="N722" s="16"/>
      <c r="O722" s="25"/>
      <c r="P722" s="25"/>
      <c r="Q722" s="25"/>
      <c r="R722" s="25"/>
      <c r="S722" s="25"/>
      <c r="T722" s="25"/>
      <c r="U722" s="25"/>
      <c r="V722" s="25"/>
      <c r="W722" s="25"/>
      <c r="X722" s="25"/>
      <c r="Y722" s="25"/>
      <c r="Z722" s="25"/>
      <c r="AA722" s="25"/>
      <c r="AB722" s="25"/>
    </row>
    <row r="723">
      <c r="A723" s="25"/>
      <c r="B723" s="25"/>
      <c r="C723" s="25"/>
      <c r="D723" s="25"/>
      <c r="E723" s="25"/>
      <c r="F723" s="241"/>
      <c r="G723" s="21" t="b">
        <f t="shared" ref="G723:H723" si="631">ISBLANK(M723)</f>
        <v>1</v>
      </c>
      <c r="H723" s="21" t="b">
        <f t="shared" si="631"/>
        <v>1</v>
      </c>
      <c r="I723" s="25"/>
      <c r="J723" s="25"/>
      <c r="K723" s="25"/>
      <c r="L723" s="25"/>
      <c r="M723" s="16"/>
      <c r="N723" s="16"/>
      <c r="O723" s="25"/>
      <c r="P723" s="25"/>
      <c r="Q723" s="25"/>
      <c r="R723" s="25"/>
      <c r="S723" s="25"/>
      <c r="T723" s="25"/>
      <c r="U723" s="25"/>
      <c r="V723" s="25"/>
      <c r="W723" s="25"/>
      <c r="X723" s="25"/>
      <c r="Y723" s="25"/>
      <c r="Z723" s="25"/>
      <c r="AA723" s="25"/>
      <c r="AB723" s="25"/>
    </row>
    <row r="724">
      <c r="A724" s="25"/>
      <c r="B724" s="25"/>
      <c r="C724" s="25"/>
      <c r="D724" s="25"/>
      <c r="E724" s="25"/>
      <c r="F724" s="241"/>
      <c r="G724" s="21" t="b">
        <f t="shared" ref="G724:H724" si="632">ISBLANK(M724)</f>
        <v>1</v>
      </c>
      <c r="H724" s="21" t="b">
        <f t="shared" si="632"/>
        <v>1</v>
      </c>
      <c r="I724" s="25"/>
      <c r="J724" s="25"/>
      <c r="K724" s="25"/>
      <c r="L724" s="25"/>
      <c r="M724" s="16"/>
      <c r="N724" s="16"/>
      <c r="O724" s="25"/>
      <c r="P724" s="25"/>
      <c r="Q724" s="25"/>
      <c r="R724" s="25"/>
      <c r="S724" s="25"/>
      <c r="T724" s="25"/>
      <c r="U724" s="25"/>
      <c r="V724" s="25"/>
      <c r="W724" s="25"/>
      <c r="X724" s="25"/>
      <c r="Y724" s="25"/>
      <c r="Z724" s="25"/>
      <c r="AA724" s="25"/>
      <c r="AB724" s="25"/>
    </row>
    <row r="725">
      <c r="A725" s="25"/>
      <c r="B725" s="25"/>
      <c r="C725" s="25"/>
      <c r="D725" s="25"/>
      <c r="E725" s="25"/>
      <c r="F725" s="241"/>
      <c r="G725" s="21" t="b">
        <f t="shared" ref="G725:H725" si="633">ISBLANK(M725)</f>
        <v>1</v>
      </c>
      <c r="H725" s="21" t="b">
        <f t="shared" si="633"/>
        <v>1</v>
      </c>
      <c r="I725" s="25"/>
      <c r="J725" s="25"/>
      <c r="K725" s="25"/>
      <c r="L725" s="25"/>
      <c r="M725" s="16"/>
      <c r="N725" s="16"/>
      <c r="O725" s="25"/>
      <c r="P725" s="25"/>
      <c r="Q725" s="25"/>
      <c r="R725" s="25"/>
      <c r="S725" s="25"/>
      <c r="T725" s="25"/>
      <c r="U725" s="25"/>
      <c r="V725" s="25"/>
      <c r="W725" s="25"/>
      <c r="X725" s="25"/>
      <c r="Y725" s="25"/>
      <c r="Z725" s="25"/>
      <c r="AA725" s="25"/>
      <c r="AB725" s="25"/>
    </row>
    <row r="726">
      <c r="A726" s="25"/>
      <c r="B726" s="25"/>
      <c r="C726" s="25"/>
      <c r="D726" s="25"/>
      <c r="E726" s="25"/>
      <c r="F726" s="241"/>
      <c r="G726" s="21" t="b">
        <f t="shared" ref="G726:H726" si="634">ISBLANK(M726)</f>
        <v>1</v>
      </c>
      <c r="H726" s="21" t="b">
        <f t="shared" si="634"/>
        <v>1</v>
      </c>
      <c r="I726" s="25"/>
      <c r="J726" s="25"/>
      <c r="K726" s="25"/>
      <c r="L726" s="25"/>
      <c r="M726" s="16"/>
      <c r="N726" s="16"/>
      <c r="O726" s="25"/>
      <c r="P726" s="25"/>
      <c r="Q726" s="25"/>
      <c r="R726" s="25"/>
      <c r="S726" s="25"/>
      <c r="T726" s="25"/>
      <c r="U726" s="25"/>
      <c r="V726" s="25"/>
      <c r="W726" s="25"/>
      <c r="X726" s="25"/>
      <c r="Y726" s="25"/>
      <c r="Z726" s="25"/>
      <c r="AA726" s="25"/>
      <c r="AB726" s="25"/>
    </row>
    <row r="727">
      <c r="A727" s="25"/>
      <c r="B727" s="25"/>
      <c r="C727" s="25"/>
      <c r="D727" s="25"/>
      <c r="E727" s="25"/>
      <c r="F727" s="241"/>
      <c r="G727" s="21" t="b">
        <f t="shared" ref="G727:H727" si="635">ISBLANK(M727)</f>
        <v>1</v>
      </c>
      <c r="H727" s="21" t="b">
        <f t="shared" si="635"/>
        <v>1</v>
      </c>
      <c r="I727" s="25"/>
      <c r="J727" s="25"/>
      <c r="K727" s="25"/>
      <c r="L727" s="25"/>
      <c r="M727" s="16"/>
      <c r="N727" s="16"/>
      <c r="O727" s="25"/>
      <c r="P727" s="25"/>
      <c r="Q727" s="25"/>
      <c r="R727" s="25"/>
      <c r="S727" s="25"/>
      <c r="T727" s="25"/>
      <c r="U727" s="25"/>
      <c r="V727" s="25"/>
      <c r="W727" s="25"/>
      <c r="X727" s="25"/>
      <c r="Y727" s="25"/>
      <c r="Z727" s="25"/>
      <c r="AA727" s="25"/>
      <c r="AB727" s="25"/>
    </row>
    <row r="728">
      <c r="A728" s="25"/>
      <c r="B728" s="25"/>
      <c r="C728" s="25"/>
      <c r="D728" s="25"/>
      <c r="E728" s="25"/>
      <c r="F728" s="241"/>
      <c r="G728" s="21" t="b">
        <f t="shared" ref="G728:H728" si="636">ISBLANK(M728)</f>
        <v>1</v>
      </c>
      <c r="H728" s="21" t="b">
        <f t="shared" si="636"/>
        <v>1</v>
      </c>
      <c r="I728" s="25"/>
      <c r="J728" s="25"/>
      <c r="K728" s="25"/>
      <c r="L728" s="25"/>
      <c r="M728" s="16"/>
      <c r="N728" s="16"/>
      <c r="O728" s="25"/>
      <c r="P728" s="25"/>
      <c r="Q728" s="25"/>
      <c r="R728" s="25"/>
      <c r="S728" s="25"/>
      <c r="T728" s="25"/>
      <c r="U728" s="25"/>
      <c r="V728" s="25"/>
      <c r="W728" s="25"/>
      <c r="X728" s="25"/>
      <c r="Y728" s="25"/>
      <c r="Z728" s="25"/>
      <c r="AA728" s="25"/>
      <c r="AB728" s="25"/>
    </row>
    <row r="729">
      <c r="A729" s="25"/>
      <c r="B729" s="25"/>
      <c r="C729" s="25"/>
      <c r="D729" s="25"/>
      <c r="E729" s="25"/>
      <c r="F729" s="241"/>
      <c r="G729" s="21" t="b">
        <f t="shared" ref="G729:H729" si="637">ISBLANK(M729)</f>
        <v>1</v>
      </c>
      <c r="H729" s="21" t="b">
        <f t="shared" si="637"/>
        <v>1</v>
      </c>
      <c r="I729" s="25"/>
      <c r="J729" s="25"/>
      <c r="K729" s="25"/>
      <c r="L729" s="25"/>
      <c r="M729" s="16"/>
      <c r="N729" s="16"/>
      <c r="O729" s="25"/>
      <c r="P729" s="25"/>
      <c r="Q729" s="25"/>
      <c r="R729" s="25"/>
      <c r="S729" s="25"/>
      <c r="T729" s="25"/>
      <c r="U729" s="25"/>
      <c r="V729" s="25"/>
      <c r="W729" s="25"/>
      <c r="X729" s="25"/>
      <c r="Y729" s="25"/>
      <c r="Z729" s="25"/>
      <c r="AA729" s="25"/>
      <c r="AB729" s="25"/>
    </row>
    <row r="730">
      <c r="A730" s="25"/>
      <c r="B730" s="25"/>
      <c r="C730" s="25"/>
      <c r="D730" s="25"/>
      <c r="E730" s="25"/>
      <c r="F730" s="241"/>
      <c r="G730" s="21" t="b">
        <f t="shared" ref="G730:H730" si="638">ISBLANK(M730)</f>
        <v>1</v>
      </c>
      <c r="H730" s="21" t="b">
        <f t="shared" si="638"/>
        <v>1</v>
      </c>
      <c r="I730" s="25"/>
      <c r="J730" s="25"/>
      <c r="K730" s="25"/>
      <c r="L730" s="25"/>
      <c r="M730" s="16"/>
      <c r="N730" s="16"/>
      <c r="O730" s="25"/>
      <c r="P730" s="25"/>
      <c r="Q730" s="25"/>
      <c r="R730" s="25"/>
      <c r="S730" s="25"/>
      <c r="T730" s="25"/>
      <c r="U730" s="25"/>
      <c r="V730" s="25"/>
      <c r="W730" s="25"/>
      <c r="X730" s="25"/>
      <c r="Y730" s="25"/>
      <c r="Z730" s="25"/>
      <c r="AA730" s="25"/>
      <c r="AB730" s="25"/>
    </row>
    <row r="731">
      <c r="A731" s="25"/>
      <c r="B731" s="25"/>
      <c r="C731" s="25"/>
      <c r="D731" s="25"/>
      <c r="E731" s="25"/>
      <c r="F731" s="241"/>
      <c r="G731" s="21" t="b">
        <f t="shared" ref="G731:H731" si="639">ISBLANK(M731)</f>
        <v>1</v>
      </c>
      <c r="H731" s="21" t="b">
        <f t="shared" si="639"/>
        <v>1</v>
      </c>
      <c r="I731" s="25"/>
      <c r="J731" s="25"/>
      <c r="K731" s="25"/>
      <c r="L731" s="25"/>
      <c r="M731" s="16"/>
      <c r="N731" s="16"/>
      <c r="O731" s="25"/>
      <c r="P731" s="25"/>
      <c r="Q731" s="25"/>
      <c r="R731" s="25"/>
      <c r="S731" s="25"/>
      <c r="T731" s="25"/>
      <c r="U731" s="25"/>
      <c r="V731" s="25"/>
      <c r="W731" s="25"/>
      <c r="X731" s="25"/>
      <c r="Y731" s="25"/>
      <c r="Z731" s="25"/>
      <c r="AA731" s="25"/>
      <c r="AB731" s="25"/>
    </row>
    <row r="732">
      <c r="A732" s="25"/>
      <c r="B732" s="25"/>
      <c r="C732" s="25"/>
      <c r="D732" s="25"/>
      <c r="E732" s="25"/>
      <c r="F732" s="241"/>
      <c r="G732" s="21" t="b">
        <f t="shared" ref="G732:H732" si="640">ISBLANK(M732)</f>
        <v>1</v>
      </c>
      <c r="H732" s="21" t="b">
        <f t="shared" si="640"/>
        <v>1</v>
      </c>
      <c r="I732" s="25"/>
      <c r="J732" s="25"/>
      <c r="K732" s="25"/>
      <c r="L732" s="25"/>
      <c r="M732" s="16"/>
      <c r="N732" s="16"/>
      <c r="O732" s="25"/>
      <c r="P732" s="25"/>
      <c r="Q732" s="25"/>
      <c r="R732" s="25"/>
      <c r="S732" s="25"/>
      <c r="T732" s="25"/>
      <c r="U732" s="25"/>
      <c r="V732" s="25"/>
      <c r="W732" s="25"/>
      <c r="X732" s="25"/>
      <c r="Y732" s="25"/>
      <c r="Z732" s="25"/>
      <c r="AA732" s="25"/>
      <c r="AB732" s="25"/>
    </row>
    <row r="733">
      <c r="A733" s="25"/>
      <c r="B733" s="25"/>
      <c r="C733" s="25"/>
      <c r="D733" s="25"/>
      <c r="E733" s="25"/>
      <c r="F733" s="241"/>
      <c r="G733" s="21" t="b">
        <f t="shared" ref="G733:H733" si="641">ISBLANK(M733)</f>
        <v>1</v>
      </c>
      <c r="H733" s="21" t="b">
        <f t="shared" si="641"/>
        <v>1</v>
      </c>
      <c r="I733" s="25"/>
      <c r="J733" s="25"/>
      <c r="K733" s="25"/>
      <c r="L733" s="25"/>
      <c r="M733" s="16"/>
      <c r="N733" s="16"/>
      <c r="O733" s="25"/>
      <c r="P733" s="25"/>
      <c r="Q733" s="25"/>
      <c r="R733" s="25"/>
      <c r="S733" s="25"/>
      <c r="T733" s="25"/>
      <c r="U733" s="25"/>
      <c r="V733" s="25"/>
      <c r="W733" s="25"/>
      <c r="X733" s="25"/>
      <c r="Y733" s="25"/>
      <c r="Z733" s="25"/>
      <c r="AA733" s="25"/>
      <c r="AB733" s="25"/>
    </row>
    <row r="734">
      <c r="A734" s="25"/>
      <c r="B734" s="25"/>
      <c r="C734" s="25"/>
      <c r="D734" s="25"/>
      <c r="E734" s="25"/>
      <c r="F734" s="241"/>
      <c r="G734" s="21" t="b">
        <f t="shared" ref="G734:H734" si="642">ISBLANK(M734)</f>
        <v>1</v>
      </c>
      <c r="H734" s="21" t="b">
        <f t="shared" si="642"/>
        <v>1</v>
      </c>
      <c r="I734" s="25"/>
      <c r="J734" s="25"/>
      <c r="K734" s="25"/>
      <c r="L734" s="25"/>
      <c r="M734" s="16"/>
      <c r="N734" s="16"/>
      <c r="O734" s="25"/>
      <c r="P734" s="25"/>
      <c r="Q734" s="25"/>
      <c r="R734" s="25"/>
      <c r="S734" s="25"/>
      <c r="T734" s="25"/>
      <c r="U734" s="25"/>
      <c r="V734" s="25"/>
      <c r="W734" s="25"/>
      <c r="X734" s="25"/>
      <c r="Y734" s="25"/>
      <c r="Z734" s="25"/>
      <c r="AA734" s="25"/>
      <c r="AB734" s="25"/>
    </row>
    <row r="735">
      <c r="A735" s="25"/>
      <c r="B735" s="25"/>
      <c r="C735" s="25"/>
      <c r="D735" s="25"/>
      <c r="E735" s="25"/>
      <c r="F735" s="241"/>
      <c r="G735" s="21" t="b">
        <f t="shared" ref="G735:H735" si="643">ISBLANK(M735)</f>
        <v>1</v>
      </c>
      <c r="H735" s="21" t="b">
        <f t="shared" si="643"/>
        <v>1</v>
      </c>
      <c r="I735" s="25"/>
      <c r="J735" s="25"/>
      <c r="K735" s="25"/>
      <c r="L735" s="25"/>
      <c r="M735" s="16"/>
      <c r="N735" s="16"/>
      <c r="O735" s="25"/>
      <c r="P735" s="25"/>
      <c r="Q735" s="25"/>
      <c r="R735" s="25"/>
      <c r="S735" s="25"/>
      <c r="T735" s="25"/>
      <c r="U735" s="25"/>
      <c r="V735" s="25"/>
      <c r="W735" s="25"/>
      <c r="X735" s="25"/>
      <c r="Y735" s="25"/>
      <c r="Z735" s="25"/>
      <c r="AA735" s="25"/>
      <c r="AB735" s="25"/>
    </row>
    <row r="736">
      <c r="A736" s="25"/>
      <c r="B736" s="25"/>
      <c r="C736" s="25"/>
      <c r="D736" s="25"/>
      <c r="E736" s="25"/>
      <c r="F736" s="241"/>
      <c r="G736" s="21" t="b">
        <f t="shared" ref="G736:H736" si="644">ISBLANK(M736)</f>
        <v>1</v>
      </c>
      <c r="H736" s="21" t="b">
        <f t="shared" si="644"/>
        <v>1</v>
      </c>
      <c r="I736" s="25"/>
      <c r="J736" s="25"/>
      <c r="K736" s="25"/>
      <c r="L736" s="25"/>
      <c r="M736" s="16"/>
      <c r="N736" s="16"/>
      <c r="O736" s="25"/>
      <c r="P736" s="25"/>
      <c r="Q736" s="25"/>
      <c r="R736" s="25"/>
      <c r="S736" s="25"/>
      <c r="T736" s="25"/>
      <c r="U736" s="25"/>
      <c r="V736" s="25"/>
      <c r="W736" s="25"/>
      <c r="X736" s="25"/>
      <c r="Y736" s="25"/>
      <c r="Z736" s="25"/>
      <c r="AA736" s="25"/>
      <c r="AB736" s="25"/>
    </row>
    <row r="737">
      <c r="A737" s="25"/>
      <c r="B737" s="25"/>
      <c r="C737" s="25"/>
      <c r="D737" s="25"/>
      <c r="E737" s="25"/>
      <c r="F737" s="241"/>
      <c r="G737" s="21" t="b">
        <f t="shared" ref="G737:H737" si="645">ISBLANK(M737)</f>
        <v>1</v>
      </c>
      <c r="H737" s="21" t="b">
        <f t="shared" si="645"/>
        <v>1</v>
      </c>
      <c r="I737" s="25"/>
      <c r="J737" s="25"/>
      <c r="K737" s="25"/>
      <c r="L737" s="25"/>
      <c r="M737" s="16"/>
      <c r="N737" s="16"/>
      <c r="O737" s="25"/>
      <c r="P737" s="25"/>
      <c r="Q737" s="25"/>
      <c r="R737" s="25"/>
      <c r="S737" s="25"/>
      <c r="T737" s="25"/>
      <c r="U737" s="25"/>
      <c r="V737" s="25"/>
      <c r="W737" s="25"/>
      <c r="X737" s="25"/>
      <c r="Y737" s="25"/>
      <c r="Z737" s="25"/>
      <c r="AA737" s="25"/>
      <c r="AB737" s="25"/>
    </row>
    <row r="738">
      <c r="A738" s="25"/>
      <c r="B738" s="25"/>
      <c r="C738" s="25"/>
      <c r="D738" s="25"/>
      <c r="E738" s="25"/>
      <c r="F738" s="241"/>
      <c r="G738" s="21" t="b">
        <f t="shared" ref="G738:H738" si="646">ISBLANK(M738)</f>
        <v>1</v>
      </c>
      <c r="H738" s="21" t="b">
        <f t="shared" si="646"/>
        <v>1</v>
      </c>
      <c r="I738" s="25"/>
      <c r="J738" s="25"/>
      <c r="K738" s="25"/>
      <c r="L738" s="25"/>
      <c r="M738" s="16"/>
      <c r="N738" s="16"/>
      <c r="O738" s="25"/>
      <c r="P738" s="25"/>
      <c r="Q738" s="25"/>
      <c r="R738" s="25"/>
      <c r="S738" s="25"/>
      <c r="T738" s="25"/>
      <c r="U738" s="25"/>
      <c r="V738" s="25"/>
      <c r="W738" s="25"/>
      <c r="X738" s="25"/>
      <c r="Y738" s="25"/>
      <c r="Z738" s="25"/>
      <c r="AA738" s="25"/>
      <c r="AB738" s="25"/>
    </row>
    <row r="739">
      <c r="A739" s="25"/>
      <c r="B739" s="25"/>
      <c r="C739" s="25"/>
      <c r="D739" s="25"/>
      <c r="E739" s="25"/>
      <c r="F739" s="241"/>
      <c r="G739" s="21" t="b">
        <f t="shared" ref="G739:H739" si="647">ISBLANK(M739)</f>
        <v>1</v>
      </c>
      <c r="H739" s="21" t="b">
        <f t="shared" si="647"/>
        <v>1</v>
      </c>
      <c r="I739" s="25"/>
      <c r="J739" s="25"/>
      <c r="K739" s="25"/>
      <c r="L739" s="25"/>
      <c r="M739" s="16"/>
      <c r="N739" s="16"/>
      <c r="O739" s="25"/>
      <c r="P739" s="25"/>
      <c r="Q739" s="25"/>
      <c r="R739" s="25"/>
      <c r="S739" s="25"/>
      <c r="T739" s="25"/>
      <c r="U739" s="25"/>
      <c r="V739" s="25"/>
      <c r="W739" s="25"/>
      <c r="X739" s="25"/>
      <c r="Y739" s="25"/>
      <c r="Z739" s="25"/>
      <c r="AA739" s="25"/>
      <c r="AB739" s="25"/>
    </row>
    <row r="740">
      <c r="A740" s="25"/>
      <c r="B740" s="25"/>
      <c r="C740" s="25"/>
      <c r="D740" s="25"/>
      <c r="E740" s="25"/>
      <c r="F740" s="241"/>
      <c r="G740" s="21" t="b">
        <f t="shared" ref="G740:H740" si="648">ISBLANK(M740)</f>
        <v>1</v>
      </c>
      <c r="H740" s="21" t="b">
        <f t="shared" si="648"/>
        <v>1</v>
      </c>
      <c r="I740" s="25"/>
      <c r="J740" s="25"/>
      <c r="K740" s="25"/>
      <c r="L740" s="25"/>
      <c r="M740" s="16"/>
      <c r="N740" s="16"/>
      <c r="O740" s="25"/>
      <c r="P740" s="25"/>
      <c r="Q740" s="25"/>
      <c r="R740" s="25"/>
      <c r="S740" s="25"/>
      <c r="T740" s="25"/>
      <c r="U740" s="25"/>
      <c r="V740" s="25"/>
      <c r="W740" s="25"/>
      <c r="X740" s="25"/>
      <c r="Y740" s="25"/>
      <c r="Z740" s="25"/>
      <c r="AA740" s="25"/>
      <c r="AB740" s="25"/>
    </row>
    <row r="741">
      <c r="A741" s="25"/>
      <c r="B741" s="25"/>
      <c r="C741" s="25"/>
      <c r="D741" s="25"/>
      <c r="E741" s="25"/>
      <c r="F741" s="241"/>
      <c r="G741" s="21" t="b">
        <f t="shared" ref="G741:H741" si="649">ISBLANK(M741)</f>
        <v>1</v>
      </c>
      <c r="H741" s="21" t="b">
        <f t="shared" si="649"/>
        <v>1</v>
      </c>
      <c r="I741" s="25"/>
      <c r="J741" s="25"/>
      <c r="K741" s="25"/>
      <c r="L741" s="25"/>
      <c r="M741" s="16"/>
      <c r="N741" s="16"/>
      <c r="O741" s="25"/>
      <c r="P741" s="25"/>
      <c r="Q741" s="25"/>
      <c r="R741" s="25"/>
      <c r="S741" s="25"/>
      <c r="T741" s="25"/>
      <c r="U741" s="25"/>
      <c r="V741" s="25"/>
      <c r="W741" s="25"/>
      <c r="X741" s="25"/>
      <c r="Y741" s="25"/>
      <c r="Z741" s="25"/>
      <c r="AA741" s="25"/>
      <c r="AB741" s="25"/>
    </row>
    <row r="742">
      <c r="A742" s="25"/>
      <c r="B742" s="25"/>
      <c r="C742" s="25"/>
      <c r="D742" s="25"/>
      <c r="E742" s="25"/>
      <c r="F742" s="241"/>
      <c r="G742" s="21" t="b">
        <f t="shared" ref="G742:H742" si="650">ISBLANK(M742)</f>
        <v>1</v>
      </c>
      <c r="H742" s="21" t="b">
        <f t="shared" si="650"/>
        <v>1</v>
      </c>
      <c r="I742" s="25"/>
      <c r="J742" s="25"/>
      <c r="K742" s="25"/>
      <c r="L742" s="25"/>
      <c r="M742" s="16"/>
      <c r="N742" s="16"/>
      <c r="O742" s="25"/>
      <c r="P742" s="25"/>
      <c r="Q742" s="25"/>
      <c r="R742" s="25"/>
      <c r="S742" s="25"/>
      <c r="T742" s="25"/>
      <c r="U742" s="25"/>
      <c r="V742" s="25"/>
      <c r="W742" s="25"/>
      <c r="X742" s="25"/>
      <c r="Y742" s="25"/>
      <c r="Z742" s="25"/>
      <c r="AA742" s="25"/>
      <c r="AB742" s="25"/>
    </row>
    <row r="743">
      <c r="A743" s="25"/>
      <c r="B743" s="25"/>
      <c r="C743" s="25"/>
      <c r="D743" s="25"/>
      <c r="E743" s="25"/>
      <c r="F743" s="241"/>
      <c r="G743" s="21" t="b">
        <f t="shared" ref="G743:H743" si="651">ISBLANK(M743)</f>
        <v>1</v>
      </c>
      <c r="H743" s="21" t="b">
        <f t="shared" si="651"/>
        <v>1</v>
      </c>
      <c r="I743" s="25"/>
      <c r="J743" s="25"/>
      <c r="K743" s="25"/>
      <c r="L743" s="25"/>
      <c r="M743" s="16"/>
      <c r="N743" s="16"/>
      <c r="O743" s="25"/>
      <c r="P743" s="25"/>
      <c r="Q743" s="25"/>
      <c r="R743" s="25"/>
      <c r="S743" s="25"/>
      <c r="T743" s="25"/>
      <c r="U743" s="25"/>
      <c r="V743" s="25"/>
      <c r="W743" s="25"/>
      <c r="X743" s="25"/>
      <c r="Y743" s="25"/>
      <c r="Z743" s="25"/>
      <c r="AA743" s="25"/>
      <c r="AB743" s="25"/>
    </row>
    <row r="744">
      <c r="A744" s="25"/>
      <c r="B744" s="25"/>
      <c r="C744" s="25"/>
      <c r="D744" s="25"/>
      <c r="E744" s="25"/>
      <c r="F744" s="241"/>
      <c r="G744" s="21" t="b">
        <f t="shared" ref="G744:H744" si="652">ISBLANK(M744)</f>
        <v>1</v>
      </c>
      <c r="H744" s="21" t="b">
        <f t="shared" si="652"/>
        <v>1</v>
      </c>
      <c r="I744" s="25"/>
      <c r="J744" s="25"/>
      <c r="K744" s="25"/>
      <c r="L744" s="25"/>
      <c r="M744" s="16"/>
      <c r="N744" s="16"/>
      <c r="O744" s="25"/>
      <c r="P744" s="25"/>
      <c r="Q744" s="25"/>
      <c r="R744" s="25"/>
      <c r="S744" s="25"/>
      <c r="T744" s="25"/>
      <c r="U744" s="25"/>
      <c r="V744" s="25"/>
      <c r="W744" s="25"/>
      <c r="X744" s="25"/>
      <c r="Y744" s="25"/>
      <c r="Z744" s="25"/>
      <c r="AA744" s="25"/>
      <c r="AB744" s="25"/>
    </row>
    <row r="745">
      <c r="A745" s="25"/>
      <c r="B745" s="25"/>
      <c r="C745" s="25"/>
      <c r="D745" s="25"/>
      <c r="E745" s="25"/>
      <c r="F745" s="241"/>
      <c r="G745" s="21" t="b">
        <f t="shared" ref="G745:H745" si="653">ISBLANK(M745)</f>
        <v>1</v>
      </c>
      <c r="H745" s="21" t="b">
        <f t="shared" si="653"/>
        <v>1</v>
      </c>
      <c r="I745" s="25"/>
      <c r="J745" s="25"/>
      <c r="K745" s="25"/>
      <c r="L745" s="25"/>
      <c r="M745" s="16"/>
      <c r="N745" s="16"/>
      <c r="O745" s="25"/>
      <c r="P745" s="25"/>
      <c r="Q745" s="25"/>
      <c r="R745" s="25"/>
      <c r="S745" s="25"/>
      <c r="T745" s="25"/>
      <c r="U745" s="25"/>
      <c r="V745" s="25"/>
      <c r="W745" s="25"/>
      <c r="X745" s="25"/>
      <c r="Y745" s="25"/>
      <c r="Z745" s="25"/>
      <c r="AA745" s="25"/>
      <c r="AB745" s="25"/>
    </row>
    <row r="746">
      <c r="A746" s="25"/>
      <c r="B746" s="25"/>
      <c r="C746" s="25"/>
      <c r="D746" s="25"/>
      <c r="E746" s="25"/>
      <c r="F746" s="241"/>
      <c r="G746" s="21" t="b">
        <f t="shared" ref="G746:H746" si="654">ISBLANK(M746)</f>
        <v>1</v>
      </c>
      <c r="H746" s="21" t="b">
        <f t="shared" si="654"/>
        <v>1</v>
      </c>
      <c r="I746" s="25"/>
      <c r="J746" s="25"/>
      <c r="K746" s="25"/>
      <c r="L746" s="25"/>
      <c r="M746" s="16"/>
      <c r="N746" s="16"/>
      <c r="O746" s="25"/>
      <c r="P746" s="25"/>
      <c r="Q746" s="25"/>
      <c r="R746" s="25"/>
      <c r="S746" s="25"/>
      <c r="T746" s="25"/>
      <c r="U746" s="25"/>
      <c r="V746" s="25"/>
      <c r="W746" s="25"/>
      <c r="X746" s="25"/>
      <c r="Y746" s="25"/>
      <c r="Z746" s="25"/>
      <c r="AA746" s="25"/>
      <c r="AB746" s="25"/>
    </row>
    <row r="747">
      <c r="A747" s="25"/>
      <c r="B747" s="25"/>
      <c r="C747" s="25"/>
      <c r="D747" s="25"/>
      <c r="E747" s="25"/>
      <c r="F747" s="241"/>
      <c r="G747" s="21" t="b">
        <f t="shared" ref="G747:H747" si="655">ISBLANK(M747)</f>
        <v>1</v>
      </c>
      <c r="H747" s="21" t="b">
        <f t="shared" si="655"/>
        <v>1</v>
      </c>
      <c r="I747" s="25"/>
      <c r="J747" s="25"/>
      <c r="K747" s="25"/>
      <c r="L747" s="25"/>
      <c r="M747" s="16"/>
      <c r="N747" s="16"/>
      <c r="O747" s="25"/>
      <c r="P747" s="25"/>
      <c r="Q747" s="25"/>
      <c r="R747" s="25"/>
      <c r="S747" s="25"/>
      <c r="T747" s="25"/>
      <c r="U747" s="25"/>
      <c r="V747" s="25"/>
      <c r="W747" s="25"/>
      <c r="X747" s="25"/>
      <c r="Y747" s="25"/>
      <c r="Z747" s="25"/>
      <c r="AA747" s="25"/>
      <c r="AB747" s="25"/>
    </row>
    <row r="748">
      <c r="A748" s="25"/>
      <c r="B748" s="25"/>
      <c r="C748" s="25"/>
      <c r="D748" s="25"/>
      <c r="E748" s="25"/>
      <c r="F748" s="241"/>
      <c r="G748" s="21" t="b">
        <f t="shared" ref="G748:H748" si="656">ISBLANK(M748)</f>
        <v>1</v>
      </c>
      <c r="H748" s="21" t="b">
        <f t="shared" si="656"/>
        <v>1</v>
      </c>
      <c r="I748" s="25"/>
      <c r="J748" s="25"/>
      <c r="K748" s="25"/>
      <c r="L748" s="25"/>
      <c r="M748" s="16"/>
      <c r="N748" s="16"/>
      <c r="O748" s="25"/>
      <c r="P748" s="25"/>
      <c r="Q748" s="25"/>
      <c r="R748" s="25"/>
      <c r="S748" s="25"/>
      <c r="T748" s="25"/>
      <c r="U748" s="25"/>
      <c r="V748" s="25"/>
      <c r="W748" s="25"/>
      <c r="X748" s="25"/>
      <c r="Y748" s="25"/>
      <c r="Z748" s="25"/>
      <c r="AA748" s="25"/>
      <c r="AB748" s="25"/>
    </row>
    <row r="749">
      <c r="A749" s="25"/>
      <c r="B749" s="25"/>
      <c r="C749" s="25"/>
      <c r="D749" s="25"/>
      <c r="E749" s="25"/>
      <c r="F749" s="241"/>
      <c r="G749" s="21" t="b">
        <f t="shared" ref="G749:H749" si="657">ISBLANK(M749)</f>
        <v>1</v>
      </c>
      <c r="H749" s="21" t="b">
        <f t="shared" si="657"/>
        <v>1</v>
      </c>
      <c r="I749" s="25"/>
      <c r="J749" s="25"/>
      <c r="K749" s="25"/>
      <c r="L749" s="25"/>
      <c r="M749" s="16"/>
      <c r="N749" s="16"/>
      <c r="O749" s="25"/>
      <c r="P749" s="25"/>
      <c r="Q749" s="25"/>
      <c r="R749" s="25"/>
      <c r="S749" s="25"/>
      <c r="T749" s="25"/>
      <c r="U749" s="25"/>
      <c r="V749" s="25"/>
      <c r="W749" s="25"/>
      <c r="X749" s="25"/>
      <c r="Y749" s="25"/>
      <c r="Z749" s="25"/>
      <c r="AA749" s="25"/>
      <c r="AB749" s="25"/>
    </row>
    <row r="750">
      <c r="A750" s="25"/>
      <c r="B750" s="25"/>
      <c r="C750" s="25"/>
      <c r="D750" s="25"/>
      <c r="E750" s="25"/>
      <c r="F750" s="241"/>
      <c r="G750" s="21" t="b">
        <f t="shared" ref="G750:H750" si="658">ISBLANK(M750)</f>
        <v>1</v>
      </c>
      <c r="H750" s="21" t="b">
        <f t="shared" si="658"/>
        <v>1</v>
      </c>
      <c r="I750" s="25"/>
      <c r="J750" s="25"/>
      <c r="K750" s="25"/>
      <c r="L750" s="25"/>
      <c r="M750" s="16"/>
      <c r="N750" s="16"/>
      <c r="O750" s="25"/>
      <c r="P750" s="25"/>
      <c r="Q750" s="25"/>
      <c r="R750" s="25"/>
      <c r="S750" s="25"/>
      <c r="T750" s="25"/>
      <c r="U750" s="25"/>
      <c r="V750" s="25"/>
      <c r="W750" s="25"/>
      <c r="X750" s="25"/>
      <c r="Y750" s="25"/>
      <c r="Z750" s="25"/>
      <c r="AA750" s="25"/>
      <c r="AB750" s="25"/>
    </row>
    <row r="751">
      <c r="A751" s="25"/>
      <c r="B751" s="25"/>
      <c r="C751" s="25"/>
      <c r="D751" s="25"/>
      <c r="E751" s="25"/>
      <c r="F751" s="241"/>
      <c r="G751" s="21" t="b">
        <f t="shared" ref="G751:H751" si="659">ISBLANK(M751)</f>
        <v>1</v>
      </c>
      <c r="H751" s="21" t="b">
        <f t="shared" si="659"/>
        <v>1</v>
      </c>
      <c r="I751" s="25"/>
      <c r="J751" s="25"/>
      <c r="K751" s="25"/>
      <c r="L751" s="25"/>
      <c r="M751" s="16"/>
      <c r="N751" s="16"/>
      <c r="O751" s="25"/>
      <c r="P751" s="25"/>
      <c r="Q751" s="25"/>
      <c r="R751" s="25"/>
      <c r="S751" s="25"/>
      <c r="T751" s="25"/>
      <c r="U751" s="25"/>
      <c r="V751" s="25"/>
      <c r="W751" s="25"/>
      <c r="X751" s="25"/>
      <c r="Y751" s="25"/>
      <c r="Z751" s="25"/>
      <c r="AA751" s="25"/>
      <c r="AB751" s="25"/>
    </row>
    <row r="752">
      <c r="A752" s="25"/>
      <c r="B752" s="25"/>
      <c r="C752" s="25"/>
      <c r="D752" s="25"/>
      <c r="E752" s="25"/>
      <c r="F752" s="241"/>
      <c r="G752" s="21" t="b">
        <f t="shared" ref="G752:H752" si="660">ISBLANK(M752)</f>
        <v>1</v>
      </c>
      <c r="H752" s="21" t="b">
        <f t="shared" si="660"/>
        <v>1</v>
      </c>
      <c r="I752" s="25"/>
      <c r="J752" s="25"/>
      <c r="K752" s="25"/>
      <c r="L752" s="25"/>
      <c r="M752" s="16"/>
      <c r="N752" s="16"/>
      <c r="O752" s="25"/>
      <c r="P752" s="25"/>
      <c r="Q752" s="25"/>
      <c r="R752" s="25"/>
      <c r="S752" s="25"/>
      <c r="T752" s="25"/>
      <c r="U752" s="25"/>
      <c r="V752" s="25"/>
      <c r="W752" s="25"/>
      <c r="X752" s="25"/>
      <c r="Y752" s="25"/>
      <c r="Z752" s="25"/>
      <c r="AA752" s="25"/>
      <c r="AB752" s="25"/>
    </row>
    <row r="753">
      <c r="A753" s="25"/>
      <c r="B753" s="25"/>
      <c r="C753" s="25"/>
      <c r="D753" s="25"/>
      <c r="E753" s="25"/>
      <c r="F753" s="241"/>
      <c r="G753" s="21" t="b">
        <f t="shared" ref="G753:H753" si="661">ISBLANK(M753)</f>
        <v>1</v>
      </c>
      <c r="H753" s="21" t="b">
        <f t="shared" si="661"/>
        <v>1</v>
      </c>
      <c r="I753" s="25"/>
      <c r="J753" s="25"/>
      <c r="K753" s="25"/>
      <c r="L753" s="25"/>
      <c r="M753" s="16"/>
      <c r="N753" s="16"/>
      <c r="O753" s="25"/>
      <c r="P753" s="25"/>
      <c r="Q753" s="25"/>
      <c r="R753" s="25"/>
      <c r="S753" s="25"/>
      <c r="T753" s="25"/>
      <c r="U753" s="25"/>
      <c r="V753" s="25"/>
      <c r="W753" s="25"/>
      <c r="X753" s="25"/>
      <c r="Y753" s="25"/>
      <c r="Z753" s="25"/>
      <c r="AA753" s="25"/>
      <c r="AB753" s="25"/>
    </row>
    <row r="754">
      <c r="A754" s="25"/>
      <c r="B754" s="25"/>
      <c r="C754" s="25"/>
      <c r="D754" s="25"/>
      <c r="E754" s="25"/>
      <c r="F754" s="241"/>
      <c r="G754" s="21" t="b">
        <f t="shared" ref="G754:H754" si="662">ISBLANK(M754)</f>
        <v>1</v>
      </c>
      <c r="H754" s="21" t="b">
        <f t="shared" si="662"/>
        <v>1</v>
      </c>
      <c r="I754" s="25"/>
      <c r="J754" s="25"/>
      <c r="K754" s="25"/>
      <c r="L754" s="25"/>
      <c r="M754" s="16"/>
      <c r="N754" s="16"/>
      <c r="O754" s="25"/>
      <c r="P754" s="25"/>
      <c r="Q754" s="25"/>
      <c r="R754" s="25"/>
      <c r="S754" s="25"/>
      <c r="T754" s="25"/>
      <c r="U754" s="25"/>
      <c r="V754" s="25"/>
      <c r="W754" s="25"/>
      <c r="X754" s="25"/>
      <c r="Y754" s="25"/>
      <c r="Z754" s="25"/>
      <c r="AA754" s="25"/>
      <c r="AB754" s="25"/>
    </row>
    <row r="755">
      <c r="A755" s="25"/>
      <c r="B755" s="25"/>
      <c r="C755" s="25"/>
      <c r="D755" s="25"/>
      <c r="E755" s="25"/>
      <c r="F755" s="241"/>
      <c r="G755" s="21" t="b">
        <f t="shared" ref="G755:H755" si="663">ISBLANK(M755)</f>
        <v>1</v>
      </c>
      <c r="H755" s="21" t="b">
        <f t="shared" si="663"/>
        <v>1</v>
      </c>
      <c r="I755" s="25"/>
      <c r="J755" s="25"/>
      <c r="K755" s="25"/>
      <c r="L755" s="25"/>
      <c r="M755" s="16"/>
      <c r="N755" s="16"/>
      <c r="O755" s="25"/>
      <c r="P755" s="25"/>
      <c r="Q755" s="25"/>
      <c r="R755" s="25"/>
      <c r="S755" s="25"/>
      <c r="T755" s="25"/>
      <c r="U755" s="25"/>
      <c r="V755" s="25"/>
      <c r="W755" s="25"/>
      <c r="X755" s="25"/>
      <c r="Y755" s="25"/>
      <c r="Z755" s="25"/>
      <c r="AA755" s="25"/>
      <c r="AB755" s="25"/>
    </row>
    <row r="756">
      <c r="A756" s="25"/>
      <c r="B756" s="25"/>
      <c r="C756" s="25"/>
      <c r="D756" s="25"/>
      <c r="E756" s="25"/>
      <c r="F756" s="241"/>
      <c r="G756" s="21" t="b">
        <f t="shared" ref="G756:H756" si="664">ISBLANK(M756)</f>
        <v>1</v>
      </c>
      <c r="H756" s="21" t="b">
        <f t="shared" si="664"/>
        <v>1</v>
      </c>
      <c r="I756" s="25"/>
      <c r="J756" s="25"/>
      <c r="K756" s="25"/>
      <c r="L756" s="25"/>
      <c r="M756" s="16"/>
      <c r="N756" s="16"/>
      <c r="O756" s="25"/>
      <c r="P756" s="25"/>
      <c r="Q756" s="25"/>
      <c r="R756" s="25"/>
      <c r="S756" s="25"/>
      <c r="T756" s="25"/>
      <c r="U756" s="25"/>
      <c r="V756" s="25"/>
      <c r="W756" s="25"/>
      <c r="X756" s="25"/>
      <c r="Y756" s="25"/>
      <c r="Z756" s="25"/>
      <c r="AA756" s="25"/>
      <c r="AB756" s="25"/>
    </row>
    <row r="757">
      <c r="A757" s="25"/>
      <c r="B757" s="25"/>
      <c r="C757" s="25"/>
      <c r="D757" s="25"/>
      <c r="E757" s="25"/>
      <c r="F757" s="241"/>
      <c r="G757" s="21" t="b">
        <f t="shared" ref="G757:H757" si="665">ISBLANK(M757)</f>
        <v>1</v>
      </c>
      <c r="H757" s="21" t="b">
        <f t="shared" si="665"/>
        <v>1</v>
      </c>
      <c r="I757" s="25"/>
      <c r="J757" s="25"/>
      <c r="K757" s="25"/>
      <c r="L757" s="25"/>
      <c r="M757" s="16"/>
      <c r="N757" s="16"/>
      <c r="O757" s="25"/>
      <c r="P757" s="25"/>
      <c r="Q757" s="25"/>
      <c r="R757" s="25"/>
      <c r="S757" s="25"/>
      <c r="T757" s="25"/>
      <c r="U757" s="25"/>
      <c r="V757" s="25"/>
      <c r="W757" s="25"/>
      <c r="X757" s="25"/>
      <c r="Y757" s="25"/>
      <c r="Z757" s="25"/>
      <c r="AA757" s="25"/>
      <c r="AB757" s="25"/>
    </row>
    <row r="758">
      <c r="A758" s="25"/>
      <c r="B758" s="25"/>
      <c r="C758" s="25"/>
      <c r="D758" s="25"/>
      <c r="E758" s="25"/>
      <c r="F758" s="241"/>
      <c r="G758" s="21" t="b">
        <f t="shared" ref="G758:H758" si="666">ISBLANK(M758)</f>
        <v>1</v>
      </c>
      <c r="H758" s="21" t="b">
        <f t="shared" si="666"/>
        <v>1</v>
      </c>
      <c r="I758" s="25"/>
      <c r="J758" s="25"/>
      <c r="K758" s="25"/>
      <c r="L758" s="25"/>
      <c r="M758" s="16"/>
      <c r="N758" s="16"/>
      <c r="O758" s="25"/>
      <c r="P758" s="25"/>
      <c r="Q758" s="25"/>
      <c r="R758" s="25"/>
      <c r="S758" s="25"/>
      <c r="T758" s="25"/>
      <c r="U758" s="25"/>
      <c r="V758" s="25"/>
      <c r="W758" s="25"/>
      <c r="X758" s="25"/>
      <c r="Y758" s="25"/>
      <c r="Z758" s="25"/>
      <c r="AA758" s="25"/>
      <c r="AB758" s="25"/>
    </row>
    <row r="759">
      <c r="A759" s="25"/>
      <c r="B759" s="25"/>
      <c r="C759" s="25"/>
      <c r="D759" s="25"/>
      <c r="E759" s="25"/>
      <c r="F759" s="241"/>
      <c r="G759" s="21" t="b">
        <f t="shared" ref="G759:H759" si="667">ISBLANK(M759)</f>
        <v>1</v>
      </c>
      <c r="H759" s="21" t="b">
        <f t="shared" si="667"/>
        <v>1</v>
      </c>
      <c r="I759" s="25"/>
      <c r="J759" s="25"/>
      <c r="K759" s="25"/>
      <c r="L759" s="25"/>
      <c r="M759" s="16"/>
      <c r="N759" s="16"/>
      <c r="O759" s="25"/>
      <c r="P759" s="25"/>
      <c r="Q759" s="25"/>
      <c r="R759" s="25"/>
      <c r="S759" s="25"/>
      <c r="T759" s="25"/>
      <c r="U759" s="25"/>
      <c r="V759" s="25"/>
      <c r="W759" s="25"/>
      <c r="X759" s="25"/>
      <c r="Y759" s="25"/>
      <c r="Z759" s="25"/>
      <c r="AA759" s="25"/>
      <c r="AB759" s="25"/>
    </row>
    <row r="760">
      <c r="A760" s="25"/>
      <c r="B760" s="25"/>
      <c r="C760" s="25"/>
      <c r="D760" s="25"/>
      <c r="E760" s="25"/>
      <c r="F760" s="241"/>
      <c r="G760" s="21" t="b">
        <f t="shared" ref="G760:H760" si="668">ISBLANK(M760)</f>
        <v>1</v>
      </c>
      <c r="H760" s="21" t="b">
        <f t="shared" si="668"/>
        <v>1</v>
      </c>
      <c r="I760" s="25"/>
      <c r="J760" s="25"/>
      <c r="K760" s="25"/>
      <c r="L760" s="25"/>
      <c r="M760" s="16"/>
      <c r="N760" s="16"/>
      <c r="O760" s="25"/>
      <c r="P760" s="25"/>
      <c r="Q760" s="25"/>
      <c r="R760" s="25"/>
      <c r="S760" s="25"/>
      <c r="T760" s="25"/>
      <c r="U760" s="25"/>
      <c r="V760" s="25"/>
      <c r="W760" s="25"/>
      <c r="X760" s="25"/>
      <c r="Y760" s="25"/>
      <c r="Z760" s="25"/>
      <c r="AA760" s="25"/>
      <c r="AB760" s="25"/>
    </row>
    <row r="761">
      <c r="A761" s="25"/>
      <c r="B761" s="25"/>
      <c r="C761" s="25"/>
      <c r="D761" s="25"/>
      <c r="E761" s="25"/>
      <c r="F761" s="241"/>
      <c r="G761" s="21" t="b">
        <f t="shared" ref="G761:H761" si="669">ISBLANK(M761)</f>
        <v>1</v>
      </c>
      <c r="H761" s="21" t="b">
        <f t="shared" si="669"/>
        <v>1</v>
      </c>
      <c r="I761" s="25"/>
      <c r="J761" s="25"/>
      <c r="K761" s="25"/>
      <c r="L761" s="25"/>
      <c r="M761" s="16"/>
      <c r="N761" s="16"/>
      <c r="O761" s="25"/>
      <c r="P761" s="25"/>
      <c r="Q761" s="25"/>
      <c r="R761" s="25"/>
      <c r="S761" s="25"/>
      <c r="T761" s="25"/>
      <c r="U761" s="25"/>
      <c r="V761" s="25"/>
      <c r="W761" s="25"/>
      <c r="X761" s="25"/>
      <c r="Y761" s="25"/>
      <c r="Z761" s="25"/>
      <c r="AA761" s="25"/>
      <c r="AB761" s="25"/>
    </row>
    <row r="762">
      <c r="A762" s="25"/>
      <c r="B762" s="25"/>
      <c r="C762" s="25"/>
      <c r="D762" s="25"/>
      <c r="E762" s="25"/>
      <c r="F762" s="241"/>
      <c r="G762" s="21" t="b">
        <f t="shared" ref="G762:H762" si="670">ISBLANK(M762)</f>
        <v>1</v>
      </c>
      <c r="H762" s="21" t="b">
        <f t="shared" si="670"/>
        <v>1</v>
      </c>
      <c r="I762" s="25"/>
      <c r="J762" s="25"/>
      <c r="K762" s="25"/>
      <c r="L762" s="25"/>
      <c r="M762" s="16"/>
      <c r="N762" s="16"/>
      <c r="O762" s="25"/>
      <c r="P762" s="25"/>
      <c r="Q762" s="25"/>
      <c r="R762" s="25"/>
      <c r="S762" s="25"/>
      <c r="T762" s="25"/>
      <c r="U762" s="25"/>
      <c r="V762" s="25"/>
      <c r="W762" s="25"/>
      <c r="X762" s="25"/>
      <c r="Y762" s="25"/>
      <c r="Z762" s="25"/>
      <c r="AA762" s="25"/>
      <c r="AB762" s="25"/>
    </row>
    <row r="763">
      <c r="A763" s="25"/>
      <c r="B763" s="25"/>
      <c r="C763" s="25"/>
      <c r="D763" s="25"/>
      <c r="E763" s="25"/>
      <c r="F763" s="241"/>
      <c r="G763" s="21" t="b">
        <f t="shared" ref="G763:H763" si="671">ISBLANK(M763)</f>
        <v>1</v>
      </c>
      <c r="H763" s="21" t="b">
        <f t="shared" si="671"/>
        <v>1</v>
      </c>
      <c r="I763" s="25"/>
      <c r="J763" s="25"/>
      <c r="K763" s="25"/>
      <c r="L763" s="25"/>
      <c r="M763" s="16"/>
      <c r="N763" s="16"/>
      <c r="O763" s="25"/>
      <c r="P763" s="25"/>
      <c r="Q763" s="25"/>
      <c r="R763" s="25"/>
      <c r="S763" s="25"/>
      <c r="T763" s="25"/>
      <c r="U763" s="25"/>
      <c r="V763" s="25"/>
      <c r="W763" s="25"/>
      <c r="X763" s="25"/>
      <c r="Y763" s="25"/>
      <c r="Z763" s="25"/>
      <c r="AA763" s="25"/>
      <c r="AB763" s="25"/>
    </row>
    <row r="764">
      <c r="A764" s="25"/>
      <c r="B764" s="25"/>
      <c r="C764" s="25"/>
      <c r="D764" s="25"/>
      <c r="E764" s="25"/>
      <c r="F764" s="241"/>
      <c r="G764" s="21" t="b">
        <f t="shared" ref="G764:H764" si="672">ISBLANK(M764)</f>
        <v>1</v>
      </c>
      <c r="H764" s="21" t="b">
        <f t="shared" si="672"/>
        <v>1</v>
      </c>
      <c r="I764" s="25"/>
      <c r="J764" s="25"/>
      <c r="K764" s="25"/>
      <c r="L764" s="25"/>
      <c r="M764" s="16"/>
      <c r="N764" s="16"/>
      <c r="O764" s="25"/>
      <c r="P764" s="25"/>
      <c r="Q764" s="25"/>
      <c r="R764" s="25"/>
      <c r="S764" s="25"/>
      <c r="T764" s="25"/>
      <c r="U764" s="25"/>
      <c r="V764" s="25"/>
      <c r="W764" s="25"/>
      <c r="X764" s="25"/>
      <c r="Y764" s="25"/>
      <c r="Z764" s="25"/>
      <c r="AA764" s="25"/>
      <c r="AB764" s="25"/>
    </row>
    <row r="765">
      <c r="A765" s="25"/>
      <c r="B765" s="25"/>
      <c r="C765" s="25"/>
      <c r="D765" s="25"/>
      <c r="E765" s="25"/>
      <c r="F765" s="241"/>
      <c r="G765" s="21" t="b">
        <f t="shared" ref="G765:H765" si="673">ISBLANK(M765)</f>
        <v>1</v>
      </c>
      <c r="H765" s="21" t="b">
        <f t="shared" si="673"/>
        <v>1</v>
      </c>
      <c r="I765" s="25"/>
      <c r="J765" s="25"/>
      <c r="K765" s="25"/>
      <c r="L765" s="25"/>
      <c r="M765" s="16"/>
      <c r="N765" s="16"/>
      <c r="O765" s="25"/>
      <c r="P765" s="25"/>
      <c r="Q765" s="25"/>
      <c r="R765" s="25"/>
      <c r="S765" s="25"/>
      <c r="T765" s="25"/>
      <c r="U765" s="25"/>
      <c r="V765" s="25"/>
      <c r="W765" s="25"/>
      <c r="X765" s="25"/>
      <c r="Y765" s="25"/>
      <c r="Z765" s="25"/>
      <c r="AA765" s="25"/>
      <c r="AB765" s="25"/>
    </row>
    <row r="766">
      <c r="A766" s="25"/>
      <c r="B766" s="25"/>
      <c r="C766" s="25"/>
      <c r="D766" s="25"/>
      <c r="E766" s="25"/>
      <c r="F766" s="241"/>
      <c r="G766" s="21" t="b">
        <f t="shared" ref="G766:H766" si="674">ISBLANK(M766)</f>
        <v>1</v>
      </c>
      <c r="H766" s="21" t="b">
        <f t="shared" si="674"/>
        <v>1</v>
      </c>
      <c r="I766" s="25"/>
      <c r="J766" s="25"/>
      <c r="K766" s="25"/>
      <c r="L766" s="25"/>
      <c r="M766" s="16"/>
      <c r="N766" s="16"/>
      <c r="O766" s="25"/>
      <c r="P766" s="25"/>
      <c r="Q766" s="25"/>
      <c r="R766" s="25"/>
      <c r="S766" s="25"/>
      <c r="T766" s="25"/>
      <c r="U766" s="25"/>
      <c r="V766" s="25"/>
      <c r="W766" s="25"/>
      <c r="X766" s="25"/>
      <c r="Y766" s="25"/>
      <c r="Z766" s="25"/>
      <c r="AA766" s="25"/>
      <c r="AB766" s="25"/>
    </row>
    <row r="767">
      <c r="A767" s="25"/>
      <c r="B767" s="25"/>
      <c r="C767" s="25"/>
      <c r="D767" s="25"/>
      <c r="E767" s="25"/>
      <c r="F767" s="241"/>
      <c r="G767" s="21" t="b">
        <f t="shared" ref="G767:H767" si="675">ISBLANK(M767)</f>
        <v>1</v>
      </c>
      <c r="H767" s="21" t="b">
        <f t="shared" si="675"/>
        <v>1</v>
      </c>
      <c r="I767" s="25"/>
      <c r="J767" s="25"/>
      <c r="K767" s="25"/>
      <c r="L767" s="25"/>
      <c r="M767" s="16"/>
      <c r="N767" s="16"/>
      <c r="O767" s="25"/>
      <c r="P767" s="25"/>
      <c r="Q767" s="25"/>
      <c r="R767" s="25"/>
      <c r="S767" s="25"/>
      <c r="T767" s="25"/>
      <c r="U767" s="25"/>
      <c r="V767" s="25"/>
      <c r="W767" s="25"/>
      <c r="X767" s="25"/>
      <c r="Y767" s="25"/>
      <c r="Z767" s="25"/>
      <c r="AA767" s="25"/>
      <c r="AB767" s="25"/>
    </row>
    <row r="768">
      <c r="A768" s="25"/>
      <c r="B768" s="25"/>
      <c r="C768" s="25"/>
      <c r="D768" s="25"/>
      <c r="E768" s="25"/>
      <c r="F768" s="241"/>
      <c r="G768" s="21" t="b">
        <f t="shared" ref="G768:H768" si="676">ISBLANK(M768)</f>
        <v>1</v>
      </c>
      <c r="H768" s="21" t="b">
        <f t="shared" si="676"/>
        <v>1</v>
      </c>
      <c r="I768" s="25"/>
      <c r="J768" s="25"/>
      <c r="K768" s="25"/>
      <c r="L768" s="25"/>
      <c r="M768" s="16"/>
      <c r="N768" s="16"/>
      <c r="O768" s="25"/>
      <c r="P768" s="25"/>
      <c r="Q768" s="25"/>
      <c r="R768" s="25"/>
      <c r="S768" s="25"/>
      <c r="T768" s="25"/>
      <c r="U768" s="25"/>
      <c r="V768" s="25"/>
      <c r="W768" s="25"/>
      <c r="X768" s="25"/>
      <c r="Y768" s="25"/>
      <c r="Z768" s="25"/>
      <c r="AA768" s="25"/>
      <c r="AB768" s="25"/>
    </row>
    <row r="769">
      <c r="A769" s="25"/>
      <c r="B769" s="25"/>
      <c r="C769" s="25"/>
      <c r="D769" s="25"/>
      <c r="E769" s="25"/>
      <c r="F769" s="241"/>
      <c r="G769" s="21" t="b">
        <f t="shared" ref="G769:H769" si="677">ISBLANK(M769)</f>
        <v>1</v>
      </c>
      <c r="H769" s="21" t="b">
        <f t="shared" si="677"/>
        <v>1</v>
      </c>
      <c r="I769" s="25"/>
      <c r="J769" s="25"/>
      <c r="K769" s="25"/>
      <c r="L769" s="25"/>
      <c r="M769" s="16"/>
      <c r="N769" s="16"/>
      <c r="O769" s="25"/>
      <c r="P769" s="25"/>
      <c r="Q769" s="25"/>
      <c r="R769" s="25"/>
      <c r="S769" s="25"/>
      <c r="T769" s="25"/>
      <c r="U769" s="25"/>
      <c r="V769" s="25"/>
      <c r="W769" s="25"/>
      <c r="X769" s="25"/>
      <c r="Y769" s="25"/>
      <c r="Z769" s="25"/>
      <c r="AA769" s="25"/>
      <c r="AB769" s="25"/>
    </row>
    <row r="770">
      <c r="A770" s="25"/>
      <c r="B770" s="25"/>
      <c r="C770" s="25"/>
      <c r="D770" s="25"/>
      <c r="E770" s="25"/>
      <c r="F770" s="241"/>
      <c r="G770" s="21" t="b">
        <f t="shared" ref="G770:H770" si="678">ISBLANK(M770)</f>
        <v>1</v>
      </c>
      <c r="H770" s="21" t="b">
        <f t="shared" si="678"/>
        <v>1</v>
      </c>
      <c r="I770" s="25"/>
      <c r="J770" s="25"/>
      <c r="K770" s="25"/>
      <c r="L770" s="25"/>
      <c r="M770" s="16"/>
      <c r="N770" s="16"/>
      <c r="O770" s="25"/>
      <c r="P770" s="25"/>
      <c r="Q770" s="25"/>
      <c r="R770" s="25"/>
      <c r="S770" s="25"/>
      <c r="T770" s="25"/>
      <c r="U770" s="25"/>
      <c r="V770" s="25"/>
      <c r="W770" s="25"/>
      <c r="X770" s="25"/>
      <c r="Y770" s="25"/>
      <c r="Z770" s="25"/>
      <c r="AA770" s="25"/>
      <c r="AB770" s="25"/>
    </row>
    <row r="771">
      <c r="A771" s="25"/>
      <c r="B771" s="25"/>
      <c r="C771" s="25"/>
      <c r="D771" s="25"/>
      <c r="E771" s="25"/>
      <c r="F771" s="241"/>
      <c r="G771" s="21" t="b">
        <f t="shared" ref="G771:H771" si="679">ISBLANK(M771)</f>
        <v>1</v>
      </c>
      <c r="H771" s="21" t="b">
        <f t="shared" si="679"/>
        <v>1</v>
      </c>
      <c r="I771" s="25"/>
      <c r="J771" s="25"/>
      <c r="K771" s="25"/>
      <c r="L771" s="25"/>
      <c r="M771" s="16"/>
      <c r="N771" s="16"/>
      <c r="O771" s="25"/>
      <c r="P771" s="25"/>
      <c r="Q771" s="25"/>
      <c r="R771" s="25"/>
      <c r="S771" s="25"/>
      <c r="T771" s="25"/>
      <c r="U771" s="25"/>
      <c r="V771" s="25"/>
      <c r="W771" s="25"/>
      <c r="X771" s="25"/>
      <c r="Y771" s="25"/>
      <c r="Z771" s="25"/>
      <c r="AA771" s="25"/>
      <c r="AB771" s="25"/>
    </row>
    <row r="772">
      <c r="A772" s="25"/>
      <c r="B772" s="25"/>
      <c r="C772" s="25"/>
      <c r="D772" s="25"/>
      <c r="E772" s="25"/>
      <c r="F772" s="241"/>
      <c r="G772" s="21" t="b">
        <f t="shared" ref="G772:H772" si="680">ISBLANK(M772)</f>
        <v>1</v>
      </c>
      <c r="H772" s="21" t="b">
        <f t="shared" si="680"/>
        <v>1</v>
      </c>
      <c r="I772" s="25"/>
      <c r="J772" s="25"/>
      <c r="K772" s="25"/>
      <c r="L772" s="25"/>
      <c r="M772" s="16"/>
      <c r="N772" s="16"/>
      <c r="O772" s="25"/>
      <c r="P772" s="25"/>
      <c r="Q772" s="25"/>
      <c r="R772" s="25"/>
      <c r="S772" s="25"/>
      <c r="T772" s="25"/>
      <c r="U772" s="25"/>
      <c r="V772" s="25"/>
      <c r="W772" s="25"/>
      <c r="X772" s="25"/>
      <c r="Y772" s="25"/>
      <c r="Z772" s="25"/>
      <c r="AA772" s="25"/>
      <c r="AB772" s="25"/>
    </row>
    <row r="773">
      <c r="A773" s="25"/>
      <c r="B773" s="25"/>
      <c r="C773" s="25"/>
      <c r="D773" s="25"/>
      <c r="E773" s="25"/>
      <c r="F773" s="241"/>
      <c r="G773" s="21" t="b">
        <f t="shared" ref="G773:H773" si="681">ISBLANK(M773)</f>
        <v>1</v>
      </c>
      <c r="H773" s="21" t="b">
        <f t="shared" si="681"/>
        <v>1</v>
      </c>
      <c r="I773" s="25"/>
      <c r="J773" s="25"/>
      <c r="K773" s="25"/>
      <c r="L773" s="25"/>
      <c r="M773" s="16"/>
      <c r="N773" s="16"/>
      <c r="O773" s="25"/>
      <c r="P773" s="25"/>
      <c r="Q773" s="25"/>
      <c r="R773" s="25"/>
      <c r="S773" s="25"/>
      <c r="T773" s="25"/>
      <c r="U773" s="25"/>
      <c r="V773" s="25"/>
      <c r="W773" s="25"/>
      <c r="X773" s="25"/>
      <c r="Y773" s="25"/>
      <c r="Z773" s="25"/>
      <c r="AA773" s="25"/>
      <c r="AB773" s="25"/>
    </row>
    <row r="774">
      <c r="A774" s="25"/>
      <c r="B774" s="25"/>
      <c r="C774" s="25"/>
      <c r="D774" s="25"/>
      <c r="E774" s="25"/>
      <c r="F774" s="241"/>
      <c r="G774" s="21" t="b">
        <f t="shared" ref="G774:H774" si="682">ISBLANK(M774)</f>
        <v>1</v>
      </c>
      <c r="H774" s="21" t="b">
        <f t="shared" si="682"/>
        <v>1</v>
      </c>
      <c r="I774" s="25"/>
      <c r="J774" s="25"/>
      <c r="K774" s="25"/>
      <c r="L774" s="25"/>
      <c r="M774" s="16"/>
      <c r="N774" s="16"/>
      <c r="O774" s="25"/>
      <c r="P774" s="25"/>
      <c r="Q774" s="25"/>
      <c r="R774" s="25"/>
      <c r="S774" s="25"/>
      <c r="T774" s="25"/>
      <c r="U774" s="25"/>
      <c r="V774" s="25"/>
      <c r="W774" s="25"/>
      <c r="X774" s="25"/>
      <c r="Y774" s="25"/>
      <c r="Z774" s="25"/>
      <c r="AA774" s="25"/>
      <c r="AB774" s="25"/>
    </row>
    <row r="775">
      <c r="A775" s="25"/>
      <c r="B775" s="25"/>
      <c r="C775" s="25"/>
      <c r="D775" s="25"/>
      <c r="E775" s="25"/>
      <c r="F775" s="241"/>
      <c r="G775" s="21" t="b">
        <f t="shared" ref="G775:H775" si="683">ISBLANK(M775)</f>
        <v>1</v>
      </c>
      <c r="H775" s="21" t="b">
        <f t="shared" si="683"/>
        <v>1</v>
      </c>
      <c r="I775" s="25"/>
      <c r="J775" s="25"/>
      <c r="K775" s="25"/>
      <c r="L775" s="25"/>
      <c r="M775" s="16"/>
      <c r="N775" s="16"/>
      <c r="O775" s="25"/>
      <c r="P775" s="25"/>
      <c r="Q775" s="25"/>
      <c r="R775" s="25"/>
      <c r="S775" s="25"/>
      <c r="T775" s="25"/>
      <c r="U775" s="25"/>
      <c r="V775" s="25"/>
      <c r="W775" s="25"/>
      <c r="X775" s="25"/>
      <c r="Y775" s="25"/>
      <c r="Z775" s="25"/>
      <c r="AA775" s="25"/>
      <c r="AB775" s="25"/>
    </row>
    <row r="776">
      <c r="A776" s="25"/>
      <c r="B776" s="25"/>
      <c r="C776" s="25"/>
      <c r="D776" s="25"/>
      <c r="E776" s="25"/>
      <c r="F776" s="241"/>
      <c r="G776" s="21" t="b">
        <f t="shared" ref="G776:H776" si="684">ISBLANK(M776)</f>
        <v>1</v>
      </c>
      <c r="H776" s="21" t="b">
        <f t="shared" si="684"/>
        <v>1</v>
      </c>
      <c r="I776" s="25"/>
      <c r="J776" s="25"/>
      <c r="K776" s="25"/>
      <c r="L776" s="25"/>
      <c r="M776" s="16"/>
      <c r="N776" s="16"/>
      <c r="O776" s="25"/>
      <c r="P776" s="25"/>
      <c r="Q776" s="25"/>
      <c r="R776" s="25"/>
      <c r="S776" s="25"/>
      <c r="T776" s="25"/>
      <c r="U776" s="25"/>
      <c r="V776" s="25"/>
      <c r="W776" s="25"/>
      <c r="X776" s="25"/>
      <c r="Y776" s="25"/>
      <c r="Z776" s="25"/>
      <c r="AA776" s="25"/>
      <c r="AB776" s="25"/>
    </row>
    <row r="777">
      <c r="A777" s="25"/>
      <c r="B777" s="25"/>
      <c r="C777" s="25"/>
      <c r="D777" s="25"/>
      <c r="E777" s="25"/>
      <c r="F777" s="241"/>
      <c r="G777" s="21" t="b">
        <f t="shared" ref="G777:H777" si="685">ISBLANK(M777)</f>
        <v>1</v>
      </c>
      <c r="H777" s="21" t="b">
        <f t="shared" si="685"/>
        <v>1</v>
      </c>
      <c r="I777" s="25"/>
      <c r="J777" s="25"/>
      <c r="K777" s="25"/>
      <c r="L777" s="25"/>
      <c r="M777" s="16"/>
      <c r="N777" s="16"/>
      <c r="O777" s="25"/>
      <c r="P777" s="25"/>
      <c r="Q777" s="25"/>
      <c r="R777" s="25"/>
      <c r="S777" s="25"/>
      <c r="T777" s="25"/>
      <c r="U777" s="25"/>
      <c r="V777" s="25"/>
      <c r="W777" s="25"/>
      <c r="X777" s="25"/>
      <c r="Y777" s="25"/>
      <c r="Z777" s="25"/>
      <c r="AA777" s="25"/>
      <c r="AB777" s="25"/>
    </row>
    <row r="778">
      <c r="A778" s="25"/>
      <c r="B778" s="25"/>
      <c r="C778" s="25"/>
      <c r="D778" s="25"/>
      <c r="E778" s="25"/>
      <c r="F778" s="241"/>
      <c r="G778" s="21" t="b">
        <f t="shared" ref="G778:H778" si="686">ISBLANK(M778)</f>
        <v>1</v>
      </c>
      <c r="H778" s="21" t="b">
        <f t="shared" si="686"/>
        <v>1</v>
      </c>
      <c r="I778" s="25"/>
      <c r="J778" s="25"/>
      <c r="K778" s="25"/>
      <c r="L778" s="25"/>
      <c r="M778" s="16"/>
      <c r="N778" s="16"/>
      <c r="O778" s="25"/>
      <c r="P778" s="25"/>
      <c r="Q778" s="25"/>
      <c r="R778" s="25"/>
      <c r="S778" s="25"/>
      <c r="T778" s="25"/>
      <c r="U778" s="25"/>
      <c r="V778" s="25"/>
      <c r="W778" s="25"/>
      <c r="X778" s="25"/>
      <c r="Y778" s="25"/>
      <c r="Z778" s="25"/>
      <c r="AA778" s="25"/>
      <c r="AB778" s="25"/>
    </row>
    <row r="779">
      <c r="A779" s="25"/>
      <c r="B779" s="25"/>
      <c r="C779" s="25"/>
      <c r="D779" s="25"/>
      <c r="E779" s="25"/>
      <c r="F779" s="241"/>
      <c r="G779" s="21" t="b">
        <f t="shared" ref="G779:H779" si="687">ISBLANK(M779)</f>
        <v>1</v>
      </c>
      <c r="H779" s="21" t="b">
        <f t="shared" si="687"/>
        <v>1</v>
      </c>
      <c r="I779" s="25"/>
      <c r="J779" s="25"/>
      <c r="K779" s="25"/>
      <c r="L779" s="25"/>
      <c r="M779" s="16"/>
      <c r="N779" s="16"/>
      <c r="O779" s="25"/>
      <c r="P779" s="25"/>
      <c r="Q779" s="25"/>
      <c r="R779" s="25"/>
      <c r="S779" s="25"/>
      <c r="T779" s="25"/>
      <c r="U779" s="25"/>
      <c r="V779" s="25"/>
      <c r="W779" s="25"/>
      <c r="X779" s="25"/>
      <c r="Y779" s="25"/>
      <c r="Z779" s="25"/>
      <c r="AA779" s="25"/>
      <c r="AB779" s="25"/>
    </row>
    <row r="780">
      <c r="A780" s="25"/>
      <c r="B780" s="25"/>
      <c r="C780" s="25"/>
      <c r="D780" s="25"/>
      <c r="E780" s="25"/>
      <c r="F780" s="241"/>
      <c r="G780" s="21" t="b">
        <f t="shared" ref="G780:H780" si="688">ISBLANK(M780)</f>
        <v>1</v>
      </c>
      <c r="H780" s="21" t="b">
        <f t="shared" si="688"/>
        <v>1</v>
      </c>
      <c r="I780" s="25"/>
      <c r="J780" s="25"/>
      <c r="K780" s="25"/>
      <c r="L780" s="25"/>
      <c r="M780" s="16"/>
      <c r="N780" s="16"/>
      <c r="O780" s="25"/>
      <c r="P780" s="25"/>
      <c r="Q780" s="25"/>
      <c r="R780" s="25"/>
      <c r="S780" s="25"/>
      <c r="T780" s="25"/>
      <c r="U780" s="25"/>
      <c r="V780" s="25"/>
      <c r="W780" s="25"/>
      <c r="X780" s="25"/>
      <c r="Y780" s="25"/>
      <c r="Z780" s="25"/>
      <c r="AA780" s="25"/>
      <c r="AB780" s="25"/>
    </row>
    <row r="781">
      <c r="A781" s="25"/>
      <c r="B781" s="25"/>
      <c r="C781" s="25"/>
      <c r="D781" s="25"/>
      <c r="E781" s="25"/>
      <c r="F781" s="241"/>
      <c r="G781" s="21" t="b">
        <f t="shared" ref="G781:H781" si="689">ISBLANK(M781)</f>
        <v>1</v>
      </c>
      <c r="H781" s="21" t="b">
        <f t="shared" si="689"/>
        <v>1</v>
      </c>
      <c r="I781" s="25"/>
      <c r="J781" s="25"/>
      <c r="K781" s="25"/>
      <c r="L781" s="25"/>
      <c r="M781" s="16"/>
      <c r="N781" s="16"/>
      <c r="O781" s="25"/>
      <c r="P781" s="25"/>
      <c r="Q781" s="25"/>
      <c r="R781" s="25"/>
      <c r="S781" s="25"/>
      <c r="T781" s="25"/>
      <c r="U781" s="25"/>
      <c r="V781" s="25"/>
      <c r="W781" s="25"/>
      <c r="X781" s="25"/>
      <c r="Y781" s="25"/>
      <c r="Z781" s="25"/>
      <c r="AA781" s="25"/>
      <c r="AB781" s="25"/>
    </row>
    <row r="782">
      <c r="A782" s="25"/>
      <c r="B782" s="25"/>
      <c r="C782" s="25"/>
      <c r="D782" s="25"/>
      <c r="E782" s="25"/>
      <c r="F782" s="241"/>
      <c r="G782" s="21" t="b">
        <f t="shared" ref="G782:H782" si="690">ISBLANK(M782)</f>
        <v>1</v>
      </c>
      <c r="H782" s="21" t="b">
        <f t="shared" si="690"/>
        <v>1</v>
      </c>
      <c r="I782" s="25"/>
      <c r="J782" s="25"/>
      <c r="K782" s="25"/>
      <c r="L782" s="25"/>
      <c r="M782" s="16"/>
      <c r="N782" s="16"/>
      <c r="O782" s="25"/>
      <c r="P782" s="25"/>
      <c r="Q782" s="25"/>
      <c r="R782" s="25"/>
      <c r="S782" s="25"/>
      <c r="T782" s="25"/>
      <c r="U782" s="25"/>
      <c r="V782" s="25"/>
      <c r="W782" s="25"/>
      <c r="X782" s="25"/>
      <c r="Y782" s="25"/>
      <c r="Z782" s="25"/>
      <c r="AA782" s="25"/>
      <c r="AB782" s="25"/>
    </row>
    <row r="783">
      <c r="A783" s="25"/>
      <c r="B783" s="25"/>
      <c r="C783" s="25"/>
      <c r="D783" s="25"/>
      <c r="E783" s="25"/>
      <c r="F783" s="241"/>
      <c r="G783" s="21" t="b">
        <f t="shared" ref="G783:H783" si="691">ISBLANK(M783)</f>
        <v>1</v>
      </c>
      <c r="H783" s="21" t="b">
        <f t="shared" si="691"/>
        <v>1</v>
      </c>
      <c r="I783" s="25"/>
      <c r="J783" s="25"/>
      <c r="K783" s="25"/>
      <c r="L783" s="25"/>
      <c r="M783" s="16"/>
      <c r="N783" s="16"/>
      <c r="O783" s="25"/>
      <c r="P783" s="25"/>
      <c r="Q783" s="25"/>
      <c r="R783" s="25"/>
      <c r="S783" s="25"/>
      <c r="T783" s="25"/>
      <c r="U783" s="25"/>
      <c r="V783" s="25"/>
      <c r="W783" s="25"/>
      <c r="X783" s="25"/>
      <c r="Y783" s="25"/>
      <c r="Z783" s="25"/>
      <c r="AA783" s="25"/>
      <c r="AB783" s="25"/>
    </row>
    <row r="784">
      <c r="A784" s="25"/>
      <c r="B784" s="25"/>
      <c r="C784" s="25"/>
      <c r="D784" s="25"/>
      <c r="E784" s="25"/>
      <c r="F784" s="241"/>
      <c r="G784" s="21" t="b">
        <f t="shared" ref="G784:H784" si="692">ISBLANK(M784)</f>
        <v>1</v>
      </c>
      <c r="H784" s="21" t="b">
        <f t="shared" si="692"/>
        <v>1</v>
      </c>
      <c r="I784" s="25"/>
      <c r="J784" s="25"/>
      <c r="K784" s="25"/>
      <c r="L784" s="25"/>
      <c r="M784" s="16"/>
      <c r="N784" s="16"/>
      <c r="O784" s="25"/>
      <c r="P784" s="25"/>
      <c r="Q784" s="25"/>
      <c r="R784" s="25"/>
      <c r="S784" s="25"/>
      <c r="T784" s="25"/>
      <c r="U784" s="25"/>
      <c r="V784" s="25"/>
      <c r="W784" s="25"/>
      <c r="X784" s="25"/>
      <c r="Y784" s="25"/>
      <c r="Z784" s="25"/>
      <c r="AA784" s="25"/>
      <c r="AB784" s="25"/>
    </row>
    <row r="785">
      <c r="A785" s="25"/>
      <c r="B785" s="25"/>
      <c r="C785" s="25"/>
      <c r="D785" s="25"/>
      <c r="E785" s="25"/>
      <c r="F785" s="241"/>
      <c r="G785" s="21" t="b">
        <f t="shared" ref="G785:H785" si="693">ISBLANK(M785)</f>
        <v>1</v>
      </c>
      <c r="H785" s="21" t="b">
        <f t="shared" si="693"/>
        <v>1</v>
      </c>
      <c r="I785" s="25"/>
      <c r="J785" s="25"/>
      <c r="K785" s="25"/>
      <c r="L785" s="25"/>
      <c r="M785" s="16"/>
      <c r="N785" s="16"/>
      <c r="O785" s="25"/>
      <c r="P785" s="25"/>
      <c r="Q785" s="25"/>
      <c r="R785" s="25"/>
      <c r="S785" s="25"/>
      <c r="T785" s="25"/>
      <c r="U785" s="25"/>
      <c r="V785" s="25"/>
      <c r="W785" s="25"/>
      <c r="X785" s="25"/>
      <c r="Y785" s="25"/>
      <c r="Z785" s="25"/>
      <c r="AA785" s="25"/>
      <c r="AB785" s="25"/>
    </row>
    <row r="786">
      <c r="A786" s="25"/>
      <c r="B786" s="25"/>
      <c r="C786" s="25"/>
      <c r="D786" s="25"/>
      <c r="E786" s="25"/>
      <c r="F786" s="241"/>
      <c r="G786" s="21" t="b">
        <f t="shared" ref="G786:H786" si="694">ISBLANK(M786)</f>
        <v>1</v>
      </c>
      <c r="H786" s="21" t="b">
        <f t="shared" si="694"/>
        <v>1</v>
      </c>
      <c r="I786" s="25"/>
      <c r="J786" s="25"/>
      <c r="K786" s="25"/>
      <c r="L786" s="25"/>
      <c r="M786" s="16"/>
      <c r="N786" s="16"/>
      <c r="O786" s="25"/>
      <c r="P786" s="25"/>
      <c r="Q786" s="25"/>
      <c r="R786" s="25"/>
      <c r="S786" s="25"/>
      <c r="T786" s="25"/>
      <c r="U786" s="25"/>
      <c r="V786" s="25"/>
      <c r="W786" s="25"/>
      <c r="X786" s="25"/>
      <c r="Y786" s="25"/>
      <c r="Z786" s="25"/>
      <c r="AA786" s="25"/>
      <c r="AB786" s="25"/>
    </row>
    <row r="787">
      <c r="A787" s="25"/>
      <c r="B787" s="25"/>
      <c r="C787" s="25"/>
      <c r="D787" s="25"/>
      <c r="E787" s="25"/>
      <c r="F787" s="241"/>
      <c r="G787" s="21" t="b">
        <f t="shared" ref="G787:H787" si="695">ISBLANK(M787)</f>
        <v>1</v>
      </c>
      <c r="H787" s="21" t="b">
        <f t="shared" si="695"/>
        <v>1</v>
      </c>
      <c r="I787" s="25"/>
      <c r="J787" s="25"/>
      <c r="K787" s="25"/>
      <c r="L787" s="25"/>
      <c r="M787" s="16"/>
      <c r="N787" s="16"/>
      <c r="O787" s="25"/>
      <c r="P787" s="25"/>
      <c r="Q787" s="25"/>
      <c r="R787" s="25"/>
      <c r="S787" s="25"/>
      <c r="T787" s="25"/>
      <c r="U787" s="25"/>
      <c r="V787" s="25"/>
      <c r="W787" s="25"/>
      <c r="X787" s="25"/>
      <c r="Y787" s="25"/>
      <c r="Z787" s="25"/>
      <c r="AA787" s="25"/>
      <c r="AB787" s="25"/>
    </row>
    <row r="788">
      <c r="A788" s="25"/>
      <c r="B788" s="25"/>
      <c r="C788" s="25"/>
      <c r="D788" s="25"/>
      <c r="E788" s="25"/>
      <c r="F788" s="241"/>
      <c r="G788" s="21" t="b">
        <f t="shared" ref="G788:H788" si="696">ISBLANK(M788)</f>
        <v>1</v>
      </c>
      <c r="H788" s="21" t="b">
        <f t="shared" si="696"/>
        <v>1</v>
      </c>
      <c r="I788" s="25"/>
      <c r="J788" s="25"/>
      <c r="K788" s="25"/>
      <c r="L788" s="25"/>
      <c r="M788" s="16"/>
      <c r="N788" s="16"/>
      <c r="O788" s="25"/>
      <c r="P788" s="25"/>
      <c r="Q788" s="25"/>
      <c r="R788" s="25"/>
      <c r="S788" s="25"/>
      <c r="T788" s="25"/>
      <c r="U788" s="25"/>
      <c r="V788" s="25"/>
      <c r="W788" s="25"/>
      <c r="X788" s="25"/>
      <c r="Y788" s="25"/>
      <c r="Z788" s="25"/>
      <c r="AA788" s="25"/>
      <c r="AB788" s="25"/>
    </row>
    <row r="789">
      <c r="A789" s="25"/>
      <c r="B789" s="25"/>
      <c r="C789" s="25"/>
      <c r="D789" s="25"/>
      <c r="E789" s="25"/>
      <c r="F789" s="241"/>
      <c r="G789" s="21" t="b">
        <f t="shared" ref="G789:H789" si="697">ISBLANK(M789)</f>
        <v>1</v>
      </c>
      <c r="H789" s="21" t="b">
        <f t="shared" si="697"/>
        <v>1</v>
      </c>
      <c r="I789" s="25"/>
      <c r="J789" s="25"/>
      <c r="K789" s="25"/>
      <c r="L789" s="25"/>
      <c r="M789" s="16"/>
      <c r="N789" s="16"/>
      <c r="O789" s="25"/>
      <c r="P789" s="25"/>
      <c r="Q789" s="25"/>
      <c r="R789" s="25"/>
      <c r="S789" s="25"/>
      <c r="T789" s="25"/>
      <c r="U789" s="25"/>
      <c r="V789" s="25"/>
      <c r="W789" s="25"/>
      <c r="X789" s="25"/>
      <c r="Y789" s="25"/>
      <c r="Z789" s="25"/>
      <c r="AA789" s="25"/>
      <c r="AB789" s="25"/>
    </row>
    <row r="790">
      <c r="A790" s="25"/>
      <c r="B790" s="25"/>
      <c r="C790" s="25"/>
      <c r="D790" s="25"/>
      <c r="E790" s="25"/>
      <c r="F790" s="241"/>
      <c r="G790" s="21" t="b">
        <f t="shared" ref="G790:H790" si="698">ISBLANK(M790)</f>
        <v>1</v>
      </c>
      <c r="H790" s="21" t="b">
        <f t="shared" si="698"/>
        <v>1</v>
      </c>
      <c r="I790" s="25"/>
      <c r="J790" s="25"/>
      <c r="K790" s="25"/>
      <c r="L790" s="25"/>
      <c r="M790" s="16"/>
      <c r="N790" s="16"/>
      <c r="O790" s="25"/>
      <c r="P790" s="25"/>
      <c r="Q790" s="25"/>
      <c r="R790" s="25"/>
      <c r="S790" s="25"/>
      <c r="T790" s="25"/>
      <c r="U790" s="25"/>
      <c r="V790" s="25"/>
      <c r="W790" s="25"/>
      <c r="X790" s="25"/>
      <c r="Y790" s="25"/>
      <c r="Z790" s="25"/>
      <c r="AA790" s="25"/>
      <c r="AB790" s="25"/>
    </row>
    <row r="791">
      <c r="A791" s="25"/>
      <c r="B791" s="25"/>
      <c r="C791" s="25"/>
      <c r="D791" s="25"/>
      <c r="E791" s="25"/>
      <c r="F791" s="241"/>
      <c r="G791" s="21" t="b">
        <f t="shared" ref="G791:H791" si="699">ISBLANK(M791)</f>
        <v>1</v>
      </c>
      <c r="H791" s="21" t="b">
        <f t="shared" si="699"/>
        <v>1</v>
      </c>
      <c r="I791" s="25"/>
      <c r="J791" s="25"/>
      <c r="K791" s="25"/>
      <c r="L791" s="25"/>
      <c r="M791" s="16"/>
      <c r="N791" s="16"/>
      <c r="O791" s="25"/>
      <c r="P791" s="25"/>
      <c r="Q791" s="25"/>
      <c r="R791" s="25"/>
      <c r="S791" s="25"/>
      <c r="T791" s="25"/>
      <c r="U791" s="25"/>
      <c r="V791" s="25"/>
      <c r="W791" s="25"/>
      <c r="X791" s="25"/>
      <c r="Y791" s="25"/>
      <c r="Z791" s="25"/>
      <c r="AA791" s="25"/>
      <c r="AB791" s="25"/>
    </row>
    <row r="792">
      <c r="A792" s="25"/>
      <c r="B792" s="25"/>
      <c r="C792" s="25"/>
      <c r="D792" s="25"/>
      <c r="E792" s="25"/>
      <c r="F792" s="241"/>
      <c r="G792" s="21" t="b">
        <f t="shared" ref="G792:H792" si="700">ISBLANK(M792)</f>
        <v>1</v>
      </c>
      <c r="H792" s="21" t="b">
        <f t="shared" si="700"/>
        <v>1</v>
      </c>
      <c r="I792" s="25"/>
      <c r="J792" s="25"/>
      <c r="K792" s="25"/>
      <c r="L792" s="25"/>
      <c r="M792" s="16"/>
      <c r="N792" s="16"/>
      <c r="O792" s="25"/>
      <c r="P792" s="25"/>
      <c r="Q792" s="25"/>
      <c r="R792" s="25"/>
      <c r="S792" s="25"/>
      <c r="T792" s="25"/>
      <c r="U792" s="25"/>
      <c r="V792" s="25"/>
      <c r="W792" s="25"/>
      <c r="X792" s="25"/>
      <c r="Y792" s="25"/>
      <c r="Z792" s="25"/>
      <c r="AA792" s="25"/>
      <c r="AB792" s="25"/>
    </row>
    <row r="793">
      <c r="A793" s="25"/>
      <c r="B793" s="25"/>
      <c r="C793" s="25"/>
      <c r="D793" s="25"/>
      <c r="E793" s="25"/>
      <c r="F793" s="241"/>
      <c r="G793" s="21" t="b">
        <f t="shared" ref="G793:H793" si="701">ISBLANK(M793)</f>
        <v>1</v>
      </c>
      <c r="H793" s="21" t="b">
        <f t="shared" si="701"/>
        <v>1</v>
      </c>
      <c r="I793" s="25"/>
      <c r="J793" s="25"/>
      <c r="K793" s="25"/>
      <c r="L793" s="25"/>
      <c r="M793" s="16"/>
      <c r="N793" s="16"/>
      <c r="O793" s="25"/>
      <c r="P793" s="25"/>
      <c r="Q793" s="25"/>
      <c r="R793" s="25"/>
      <c r="S793" s="25"/>
      <c r="T793" s="25"/>
      <c r="U793" s="25"/>
      <c r="V793" s="25"/>
      <c r="W793" s="25"/>
      <c r="X793" s="25"/>
      <c r="Y793" s="25"/>
      <c r="Z793" s="25"/>
      <c r="AA793" s="25"/>
      <c r="AB793" s="25"/>
    </row>
    <row r="794">
      <c r="A794" s="25"/>
      <c r="B794" s="25"/>
      <c r="C794" s="25"/>
      <c r="D794" s="25"/>
      <c r="E794" s="25"/>
      <c r="F794" s="241"/>
      <c r="G794" s="21" t="b">
        <f t="shared" ref="G794:H794" si="702">ISBLANK(M794)</f>
        <v>1</v>
      </c>
      <c r="H794" s="21" t="b">
        <f t="shared" si="702"/>
        <v>1</v>
      </c>
      <c r="I794" s="25"/>
      <c r="J794" s="25"/>
      <c r="K794" s="25"/>
      <c r="L794" s="25"/>
      <c r="M794" s="16"/>
      <c r="N794" s="16"/>
      <c r="O794" s="25"/>
      <c r="P794" s="25"/>
      <c r="Q794" s="25"/>
      <c r="R794" s="25"/>
      <c r="S794" s="25"/>
      <c r="T794" s="25"/>
      <c r="U794" s="25"/>
      <c r="V794" s="25"/>
      <c r="W794" s="25"/>
      <c r="X794" s="25"/>
      <c r="Y794" s="25"/>
      <c r="Z794" s="25"/>
      <c r="AA794" s="25"/>
      <c r="AB794" s="25"/>
    </row>
    <row r="795">
      <c r="A795" s="25"/>
      <c r="B795" s="25"/>
      <c r="C795" s="25"/>
      <c r="D795" s="25"/>
      <c r="E795" s="25"/>
      <c r="F795" s="241"/>
      <c r="G795" s="21" t="b">
        <f t="shared" ref="G795:H795" si="703">ISBLANK(M795)</f>
        <v>1</v>
      </c>
      <c r="H795" s="21" t="b">
        <f t="shared" si="703"/>
        <v>1</v>
      </c>
      <c r="I795" s="25"/>
      <c r="J795" s="25"/>
      <c r="K795" s="25"/>
      <c r="L795" s="25"/>
      <c r="M795" s="16"/>
      <c r="N795" s="16"/>
      <c r="O795" s="25"/>
      <c r="P795" s="25"/>
      <c r="Q795" s="25"/>
      <c r="R795" s="25"/>
      <c r="S795" s="25"/>
      <c r="T795" s="25"/>
      <c r="U795" s="25"/>
      <c r="V795" s="25"/>
      <c r="W795" s="25"/>
      <c r="X795" s="25"/>
      <c r="Y795" s="25"/>
      <c r="Z795" s="25"/>
      <c r="AA795" s="25"/>
      <c r="AB795" s="25"/>
    </row>
    <row r="796">
      <c r="A796" s="25"/>
      <c r="B796" s="25"/>
      <c r="C796" s="25"/>
      <c r="D796" s="25"/>
      <c r="E796" s="25"/>
      <c r="F796" s="241"/>
      <c r="G796" s="21" t="b">
        <f t="shared" ref="G796:H796" si="704">ISBLANK(M796)</f>
        <v>1</v>
      </c>
      <c r="H796" s="21" t="b">
        <f t="shared" si="704"/>
        <v>1</v>
      </c>
      <c r="I796" s="25"/>
      <c r="J796" s="25"/>
      <c r="K796" s="25"/>
      <c r="L796" s="25"/>
      <c r="M796" s="16"/>
      <c r="N796" s="16"/>
      <c r="O796" s="25"/>
      <c r="P796" s="25"/>
      <c r="Q796" s="25"/>
      <c r="R796" s="25"/>
      <c r="S796" s="25"/>
      <c r="T796" s="25"/>
      <c r="U796" s="25"/>
      <c r="V796" s="25"/>
      <c r="W796" s="25"/>
      <c r="X796" s="25"/>
      <c r="Y796" s="25"/>
      <c r="Z796" s="25"/>
      <c r="AA796" s="25"/>
      <c r="AB796" s="25"/>
    </row>
    <row r="797">
      <c r="A797" s="25"/>
      <c r="B797" s="25"/>
      <c r="C797" s="25"/>
      <c r="D797" s="25"/>
      <c r="E797" s="25"/>
      <c r="F797" s="241"/>
      <c r="G797" s="21" t="b">
        <f t="shared" ref="G797:H797" si="705">ISBLANK(M797)</f>
        <v>1</v>
      </c>
      <c r="H797" s="21" t="b">
        <f t="shared" si="705"/>
        <v>1</v>
      </c>
      <c r="I797" s="25"/>
      <c r="J797" s="25"/>
      <c r="K797" s="25"/>
      <c r="L797" s="25"/>
      <c r="M797" s="16"/>
      <c r="N797" s="16"/>
      <c r="O797" s="25"/>
      <c r="P797" s="25"/>
      <c r="Q797" s="25"/>
      <c r="R797" s="25"/>
      <c r="S797" s="25"/>
      <c r="T797" s="25"/>
      <c r="U797" s="25"/>
      <c r="V797" s="25"/>
      <c r="W797" s="25"/>
      <c r="X797" s="25"/>
      <c r="Y797" s="25"/>
      <c r="Z797" s="25"/>
      <c r="AA797" s="25"/>
      <c r="AB797" s="25"/>
    </row>
    <row r="798">
      <c r="A798" s="25"/>
      <c r="B798" s="25"/>
      <c r="C798" s="25"/>
      <c r="D798" s="25"/>
      <c r="E798" s="25"/>
      <c r="F798" s="241"/>
      <c r="G798" s="21" t="b">
        <f t="shared" ref="G798:H798" si="706">ISBLANK(M798)</f>
        <v>1</v>
      </c>
      <c r="H798" s="21" t="b">
        <f t="shared" si="706"/>
        <v>1</v>
      </c>
      <c r="I798" s="25"/>
      <c r="J798" s="25"/>
      <c r="K798" s="25"/>
      <c r="L798" s="25"/>
      <c r="M798" s="16"/>
      <c r="N798" s="16"/>
      <c r="O798" s="25"/>
      <c r="P798" s="25"/>
      <c r="Q798" s="25"/>
      <c r="R798" s="25"/>
      <c r="S798" s="25"/>
      <c r="T798" s="25"/>
      <c r="U798" s="25"/>
      <c r="V798" s="25"/>
      <c r="W798" s="25"/>
      <c r="X798" s="25"/>
      <c r="Y798" s="25"/>
      <c r="Z798" s="25"/>
      <c r="AA798" s="25"/>
      <c r="AB798" s="25"/>
    </row>
    <row r="799">
      <c r="A799" s="25"/>
      <c r="B799" s="25"/>
      <c r="C799" s="25"/>
      <c r="D799" s="25"/>
      <c r="E799" s="25"/>
      <c r="F799" s="241"/>
      <c r="G799" s="21" t="b">
        <f t="shared" ref="G799:H799" si="707">ISBLANK(M799)</f>
        <v>1</v>
      </c>
      <c r="H799" s="21" t="b">
        <f t="shared" si="707"/>
        <v>1</v>
      </c>
      <c r="I799" s="25"/>
      <c r="J799" s="25"/>
      <c r="K799" s="25"/>
      <c r="L799" s="25"/>
      <c r="M799" s="16"/>
      <c r="N799" s="16"/>
      <c r="O799" s="25"/>
      <c r="P799" s="25"/>
      <c r="Q799" s="25"/>
      <c r="R799" s="25"/>
      <c r="S799" s="25"/>
      <c r="T799" s="25"/>
      <c r="U799" s="25"/>
      <c r="V799" s="25"/>
      <c r="W799" s="25"/>
      <c r="X799" s="25"/>
      <c r="Y799" s="25"/>
      <c r="Z799" s="25"/>
      <c r="AA799" s="25"/>
      <c r="AB799" s="25"/>
    </row>
    <row r="800">
      <c r="A800" s="25"/>
      <c r="B800" s="25"/>
      <c r="C800" s="25"/>
      <c r="D800" s="25"/>
      <c r="E800" s="25"/>
      <c r="F800" s="241"/>
      <c r="G800" s="21" t="b">
        <f t="shared" ref="G800:H800" si="708">ISBLANK(M800)</f>
        <v>1</v>
      </c>
      <c r="H800" s="21" t="b">
        <f t="shared" si="708"/>
        <v>1</v>
      </c>
      <c r="I800" s="25"/>
      <c r="J800" s="25"/>
      <c r="K800" s="25"/>
      <c r="L800" s="25"/>
      <c r="M800" s="16"/>
      <c r="N800" s="16"/>
      <c r="O800" s="25"/>
      <c r="P800" s="25"/>
      <c r="Q800" s="25"/>
      <c r="R800" s="25"/>
      <c r="S800" s="25"/>
      <c r="T800" s="25"/>
      <c r="U800" s="25"/>
      <c r="V800" s="25"/>
      <c r="W800" s="25"/>
      <c r="X800" s="25"/>
      <c r="Y800" s="25"/>
      <c r="Z800" s="25"/>
      <c r="AA800" s="25"/>
      <c r="AB800" s="25"/>
    </row>
    <row r="801">
      <c r="A801" s="25"/>
      <c r="B801" s="25"/>
      <c r="C801" s="25"/>
      <c r="D801" s="25"/>
      <c r="E801" s="25"/>
      <c r="F801" s="241"/>
      <c r="G801" s="21" t="b">
        <f t="shared" ref="G801:H801" si="709">ISBLANK(M801)</f>
        <v>1</v>
      </c>
      <c r="H801" s="21" t="b">
        <f t="shared" si="709"/>
        <v>1</v>
      </c>
      <c r="I801" s="25"/>
      <c r="J801" s="25"/>
      <c r="K801" s="25"/>
      <c r="L801" s="25"/>
      <c r="M801" s="16"/>
      <c r="N801" s="16"/>
      <c r="O801" s="25"/>
      <c r="P801" s="25"/>
      <c r="Q801" s="25"/>
      <c r="R801" s="25"/>
      <c r="S801" s="25"/>
      <c r="T801" s="25"/>
      <c r="U801" s="25"/>
      <c r="V801" s="25"/>
      <c r="W801" s="25"/>
      <c r="X801" s="25"/>
      <c r="Y801" s="25"/>
      <c r="Z801" s="25"/>
      <c r="AA801" s="25"/>
      <c r="AB801" s="25"/>
    </row>
    <row r="802">
      <c r="A802" s="25"/>
      <c r="B802" s="25"/>
      <c r="C802" s="25"/>
      <c r="D802" s="25"/>
      <c r="E802" s="25"/>
      <c r="F802" s="241"/>
      <c r="G802" s="21" t="b">
        <f t="shared" ref="G802:H802" si="710">ISBLANK(M802)</f>
        <v>1</v>
      </c>
      <c r="H802" s="21" t="b">
        <f t="shared" si="710"/>
        <v>1</v>
      </c>
      <c r="I802" s="25"/>
      <c r="J802" s="25"/>
      <c r="K802" s="25"/>
      <c r="L802" s="25"/>
      <c r="M802" s="16"/>
      <c r="N802" s="16"/>
      <c r="O802" s="25"/>
      <c r="P802" s="25"/>
      <c r="Q802" s="25"/>
      <c r="R802" s="25"/>
      <c r="S802" s="25"/>
      <c r="T802" s="25"/>
      <c r="U802" s="25"/>
      <c r="V802" s="25"/>
      <c r="W802" s="25"/>
      <c r="X802" s="25"/>
      <c r="Y802" s="25"/>
      <c r="Z802" s="25"/>
      <c r="AA802" s="25"/>
      <c r="AB802" s="25"/>
    </row>
    <row r="803">
      <c r="A803" s="25"/>
      <c r="B803" s="25"/>
      <c r="C803" s="25"/>
      <c r="D803" s="25"/>
      <c r="E803" s="25"/>
      <c r="F803" s="241"/>
      <c r="G803" s="21" t="b">
        <f t="shared" ref="G803:H803" si="711">ISBLANK(M803)</f>
        <v>1</v>
      </c>
      <c r="H803" s="21" t="b">
        <f t="shared" si="711"/>
        <v>1</v>
      </c>
      <c r="I803" s="25"/>
      <c r="J803" s="25"/>
      <c r="K803" s="25"/>
      <c r="L803" s="25"/>
      <c r="M803" s="16"/>
      <c r="N803" s="16"/>
      <c r="O803" s="25"/>
      <c r="P803" s="25"/>
      <c r="Q803" s="25"/>
      <c r="R803" s="25"/>
      <c r="S803" s="25"/>
      <c r="T803" s="25"/>
      <c r="U803" s="25"/>
      <c r="V803" s="25"/>
      <c r="W803" s="25"/>
      <c r="X803" s="25"/>
      <c r="Y803" s="25"/>
      <c r="Z803" s="25"/>
      <c r="AA803" s="25"/>
      <c r="AB803" s="25"/>
    </row>
    <row r="804">
      <c r="A804" s="25"/>
      <c r="B804" s="25"/>
      <c r="C804" s="25"/>
      <c r="D804" s="25"/>
      <c r="E804" s="25"/>
      <c r="F804" s="241"/>
      <c r="G804" s="21" t="b">
        <f t="shared" ref="G804:H804" si="712">ISBLANK(M804)</f>
        <v>1</v>
      </c>
      <c r="H804" s="21" t="b">
        <f t="shared" si="712"/>
        <v>1</v>
      </c>
      <c r="I804" s="25"/>
      <c r="J804" s="25"/>
      <c r="K804" s="25"/>
      <c r="L804" s="25"/>
      <c r="M804" s="16"/>
      <c r="N804" s="16"/>
      <c r="O804" s="25"/>
      <c r="P804" s="25"/>
      <c r="Q804" s="25"/>
      <c r="R804" s="25"/>
      <c r="S804" s="25"/>
      <c r="T804" s="25"/>
      <c r="U804" s="25"/>
      <c r="V804" s="25"/>
      <c r="W804" s="25"/>
      <c r="X804" s="25"/>
      <c r="Y804" s="25"/>
      <c r="Z804" s="25"/>
      <c r="AA804" s="25"/>
      <c r="AB804" s="25"/>
    </row>
    <row r="805">
      <c r="A805" s="25"/>
      <c r="B805" s="25"/>
      <c r="C805" s="25"/>
      <c r="D805" s="25"/>
      <c r="E805" s="25"/>
      <c r="F805" s="241"/>
      <c r="G805" s="21" t="b">
        <f t="shared" ref="G805:H805" si="713">ISBLANK(M805)</f>
        <v>1</v>
      </c>
      <c r="H805" s="21" t="b">
        <f t="shared" si="713"/>
        <v>1</v>
      </c>
      <c r="I805" s="25"/>
      <c r="J805" s="25"/>
      <c r="K805" s="25"/>
      <c r="L805" s="25"/>
      <c r="M805" s="16"/>
      <c r="N805" s="16"/>
      <c r="O805" s="25"/>
      <c r="P805" s="25"/>
      <c r="Q805" s="25"/>
      <c r="R805" s="25"/>
      <c r="S805" s="25"/>
      <c r="T805" s="25"/>
      <c r="U805" s="25"/>
      <c r="V805" s="25"/>
      <c r="W805" s="25"/>
      <c r="X805" s="25"/>
      <c r="Y805" s="25"/>
      <c r="Z805" s="25"/>
      <c r="AA805" s="25"/>
      <c r="AB805" s="25"/>
    </row>
    <row r="806">
      <c r="A806" s="25"/>
      <c r="B806" s="25"/>
      <c r="C806" s="25"/>
      <c r="D806" s="25"/>
      <c r="E806" s="25"/>
      <c r="F806" s="241"/>
      <c r="G806" s="21" t="b">
        <f t="shared" ref="G806:H806" si="714">ISBLANK(M806)</f>
        <v>1</v>
      </c>
      <c r="H806" s="21" t="b">
        <f t="shared" si="714"/>
        <v>1</v>
      </c>
      <c r="I806" s="25"/>
      <c r="J806" s="25"/>
      <c r="K806" s="25"/>
      <c r="L806" s="25"/>
      <c r="M806" s="16"/>
      <c r="N806" s="16"/>
      <c r="O806" s="25"/>
      <c r="P806" s="25"/>
      <c r="Q806" s="25"/>
      <c r="R806" s="25"/>
      <c r="S806" s="25"/>
      <c r="T806" s="25"/>
      <c r="U806" s="25"/>
      <c r="V806" s="25"/>
      <c r="W806" s="25"/>
      <c r="X806" s="25"/>
      <c r="Y806" s="25"/>
      <c r="Z806" s="25"/>
      <c r="AA806" s="25"/>
      <c r="AB806" s="25"/>
    </row>
    <row r="807">
      <c r="A807" s="25"/>
      <c r="B807" s="25"/>
      <c r="C807" s="25"/>
      <c r="D807" s="25"/>
      <c r="E807" s="25"/>
      <c r="F807" s="241"/>
      <c r="G807" s="21" t="b">
        <f t="shared" ref="G807:H807" si="715">ISBLANK(M807)</f>
        <v>1</v>
      </c>
      <c r="H807" s="21" t="b">
        <f t="shared" si="715"/>
        <v>1</v>
      </c>
      <c r="I807" s="25"/>
      <c r="J807" s="25"/>
      <c r="K807" s="25"/>
      <c r="L807" s="25"/>
      <c r="M807" s="16"/>
      <c r="N807" s="16"/>
      <c r="O807" s="25"/>
      <c r="P807" s="25"/>
      <c r="Q807" s="25"/>
      <c r="R807" s="25"/>
      <c r="S807" s="25"/>
      <c r="T807" s="25"/>
      <c r="U807" s="25"/>
      <c r="V807" s="25"/>
      <c r="W807" s="25"/>
      <c r="X807" s="25"/>
      <c r="Y807" s="25"/>
      <c r="Z807" s="25"/>
      <c r="AA807" s="25"/>
      <c r="AB807" s="25"/>
    </row>
    <row r="808">
      <c r="A808" s="25"/>
      <c r="B808" s="25"/>
      <c r="C808" s="25"/>
      <c r="D808" s="25"/>
      <c r="E808" s="25"/>
      <c r="F808" s="241"/>
      <c r="G808" s="21" t="b">
        <f t="shared" ref="G808:H808" si="716">ISBLANK(M808)</f>
        <v>1</v>
      </c>
      <c r="H808" s="21" t="b">
        <f t="shared" si="716"/>
        <v>1</v>
      </c>
      <c r="I808" s="25"/>
      <c r="J808" s="25"/>
      <c r="K808" s="25"/>
      <c r="L808" s="25"/>
      <c r="M808" s="16"/>
      <c r="N808" s="16"/>
      <c r="O808" s="25"/>
      <c r="P808" s="25"/>
      <c r="Q808" s="25"/>
      <c r="R808" s="25"/>
      <c r="S808" s="25"/>
      <c r="T808" s="25"/>
      <c r="U808" s="25"/>
      <c r="V808" s="25"/>
      <c r="W808" s="25"/>
      <c r="X808" s="25"/>
      <c r="Y808" s="25"/>
      <c r="Z808" s="25"/>
      <c r="AA808" s="25"/>
      <c r="AB808" s="25"/>
    </row>
    <row r="809">
      <c r="A809" s="25"/>
      <c r="B809" s="25"/>
      <c r="C809" s="25"/>
      <c r="D809" s="25"/>
      <c r="E809" s="25"/>
      <c r="F809" s="241"/>
      <c r="G809" s="21" t="b">
        <f t="shared" ref="G809:H809" si="717">ISBLANK(M809)</f>
        <v>1</v>
      </c>
      <c r="H809" s="21" t="b">
        <f t="shared" si="717"/>
        <v>1</v>
      </c>
      <c r="I809" s="25"/>
      <c r="J809" s="25"/>
      <c r="K809" s="25"/>
      <c r="L809" s="25"/>
      <c r="M809" s="16"/>
      <c r="N809" s="16"/>
      <c r="O809" s="25"/>
      <c r="P809" s="25"/>
      <c r="Q809" s="25"/>
      <c r="R809" s="25"/>
      <c r="S809" s="25"/>
      <c r="T809" s="25"/>
      <c r="U809" s="25"/>
      <c r="V809" s="25"/>
      <c r="W809" s="25"/>
      <c r="X809" s="25"/>
      <c r="Y809" s="25"/>
      <c r="Z809" s="25"/>
      <c r="AA809" s="25"/>
      <c r="AB809" s="25"/>
    </row>
    <row r="810">
      <c r="A810" s="25"/>
      <c r="B810" s="25"/>
      <c r="C810" s="25"/>
      <c r="D810" s="25"/>
      <c r="E810" s="25"/>
      <c r="F810" s="241"/>
      <c r="G810" s="21" t="b">
        <f t="shared" ref="G810:H810" si="718">ISBLANK(M810)</f>
        <v>1</v>
      </c>
      <c r="H810" s="21" t="b">
        <f t="shared" si="718"/>
        <v>1</v>
      </c>
      <c r="I810" s="25"/>
      <c r="J810" s="25"/>
      <c r="K810" s="25"/>
      <c r="L810" s="25"/>
      <c r="M810" s="16"/>
      <c r="N810" s="16"/>
      <c r="O810" s="25"/>
      <c r="P810" s="25"/>
      <c r="Q810" s="25"/>
      <c r="R810" s="25"/>
      <c r="S810" s="25"/>
      <c r="T810" s="25"/>
      <c r="U810" s="25"/>
      <c r="V810" s="25"/>
      <c r="W810" s="25"/>
      <c r="X810" s="25"/>
      <c r="Y810" s="25"/>
      <c r="Z810" s="25"/>
      <c r="AA810" s="25"/>
      <c r="AB810" s="25"/>
    </row>
    <row r="811">
      <c r="A811" s="25"/>
      <c r="B811" s="25"/>
      <c r="C811" s="25"/>
      <c r="D811" s="25"/>
      <c r="E811" s="25"/>
      <c r="F811" s="241"/>
      <c r="G811" s="21" t="b">
        <f t="shared" ref="G811:H811" si="719">ISBLANK(M811)</f>
        <v>1</v>
      </c>
      <c r="H811" s="21" t="b">
        <f t="shared" si="719"/>
        <v>1</v>
      </c>
      <c r="I811" s="25"/>
      <c r="J811" s="25"/>
      <c r="K811" s="25"/>
      <c r="L811" s="25"/>
      <c r="M811" s="16"/>
      <c r="N811" s="16"/>
      <c r="O811" s="25"/>
      <c r="P811" s="25"/>
      <c r="Q811" s="25"/>
      <c r="R811" s="25"/>
      <c r="S811" s="25"/>
      <c r="T811" s="25"/>
      <c r="U811" s="25"/>
      <c r="V811" s="25"/>
      <c r="W811" s="25"/>
      <c r="X811" s="25"/>
      <c r="Y811" s="25"/>
      <c r="Z811" s="25"/>
      <c r="AA811" s="25"/>
      <c r="AB811" s="25"/>
    </row>
    <row r="812">
      <c r="A812" s="25"/>
      <c r="B812" s="25"/>
      <c r="C812" s="25"/>
      <c r="D812" s="25"/>
      <c r="E812" s="25"/>
      <c r="F812" s="241"/>
      <c r="G812" s="21" t="b">
        <f t="shared" ref="G812:H812" si="720">ISBLANK(M812)</f>
        <v>1</v>
      </c>
      <c r="H812" s="21" t="b">
        <f t="shared" si="720"/>
        <v>1</v>
      </c>
      <c r="I812" s="25"/>
      <c r="J812" s="25"/>
      <c r="K812" s="25"/>
      <c r="L812" s="25"/>
      <c r="M812" s="16"/>
      <c r="N812" s="16"/>
      <c r="O812" s="25"/>
      <c r="P812" s="25"/>
      <c r="Q812" s="25"/>
      <c r="R812" s="25"/>
      <c r="S812" s="25"/>
      <c r="T812" s="25"/>
      <c r="U812" s="25"/>
      <c r="V812" s="25"/>
      <c r="W812" s="25"/>
      <c r="X812" s="25"/>
      <c r="Y812" s="25"/>
      <c r="Z812" s="25"/>
      <c r="AA812" s="25"/>
      <c r="AB812" s="25"/>
    </row>
    <row r="813">
      <c r="A813" s="25"/>
      <c r="B813" s="25"/>
      <c r="C813" s="25"/>
      <c r="D813" s="25"/>
      <c r="E813" s="25"/>
      <c r="F813" s="241"/>
      <c r="G813" s="21" t="b">
        <f t="shared" ref="G813:H813" si="721">ISBLANK(M813)</f>
        <v>1</v>
      </c>
      <c r="H813" s="21" t="b">
        <f t="shared" si="721"/>
        <v>1</v>
      </c>
      <c r="I813" s="25"/>
      <c r="J813" s="25"/>
      <c r="K813" s="25"/>
      <c r="L813" s="25"/>
      <c r="M813" s="16"/>
      <c r="N813" s="16"/>
      <c r="O813" s="25"/>
      <c r="P813" s="25"/>
      <c r="Q813" s="25"/>
      <c r="R813" s="25"/>
      <c r="S813" s="25"/>
      <c r="T813" s="25"/>
      <c r="U813" s="25"/>
      <c r="V813" s="25"/>
      <c r="W813" s="25"/>
      <c r="X813" s="25"/>
      <c r="Y813" s="25"/>
      <c r="Z813" s="25"/>
      <c r="AA813" s="25"/>
      <c r="AB813" s="25"/>
    </row>
    <row r="814">
      <c r="A814" s="25"/>
      <c r="B814" s="25"/>
      <c r="C814" s="25"/>
      <c r="D814" s="25"/>
      <c r="E814" s="25"/>
      <c r="F814" s="241"/>
      <c r="G814" s="21" t="b">
        <f t="shared" ref="G814:H814" si="722">ISBLANK(M814)</f>
        <v>1</v>
      </c>
      <c r="H814" s="21" t="b">
        <f t="shared" si="722"/>
        <v>1</v>
      </c>
      <c r="I814" s="25"/>
      <c r="J814" s="25"/>
      <c r="K814" s="25"/>
      <c r="L814" s="25"/>
      <c r="M814" s="16"/>
      <c r="N814" s="16"/>
      <c r="O814" s="25"/>
      <c r="P814" s="25"/>
      <c r="Q814" s="25"/>
      <c r="R814" s="25"/>
      <c r="S814" s="25"/>
      <c r="T814" s="25"/>
      <c r="U814" s="25"/>
      <c r="V814" s="25"/>
      <c r="W814" s="25"/>
      <c r="X814" s="25"/>
      <c r="Y814" s="25"/>
      <c r="Z814" s="25"/>
      <c r="AA814" s="25"/>
      <c r="AB814" s="25"/>
    </row>
    <row r="815">
      <c r="A815" s="25"/>
      <c r="B815" s="25"/>
      <c r="C815" s="25"/>
      <c r="D815" s="25"/>
      <c r="E815" s="25"/>
      <c r="F815" s="241"/>
      <c r="G815" s="21" t="b">
        <f t="shared" ref="G815:H815" si="723">ISBLANK(M815)</f>
        <v>1</v>
      </c>
      <c r="H815" s="21" t="b">
        <f t="shared" si="723"/>
        <v>1</v>
      </c>
      <c r="I815" s="25"/>
      <c r="J815" s="25"/>
      <c r="K815" s="25"/>
      <c r="L815" s="25"/>
      <c r="M815" s="16"/>
      <c r="N815" s="16"/>
      <c r="O815" s="25"/>
      <c r="P815" s="25"/>
      <c r="Q815" s="25"/>
      <c r="R815" s="25"/>
      <c r="S815" s="25"/>
      <c r="T815" s="25"/>
      <c r="U815" s="25"/>
      <c r="V815" s="25"/>
      <c r="W815" s="25"/>
      <c r="X815" s="25"/>
      <c r="Y815" s="25"/>
      <c r="Z815" s="25"/>
      <c r="AA815" s="25"/>
      <c r="AB815" s="25"/>
    </row>
    <row r="816">
      <c r="A816" s="25"/>
      <c r="B816" s="25"/>
      <c r="C816" s="25"/>
      <c r="D816" s="25"/>
      <c r="E816" s="25"/>
      <c r="F816" s="241"/>
      <c r="G816" s="21" t="b">
        <f t="shared" ref="G816:H816" si="724">ISBLANK(M816)</f>
        <v>1</v>
      </c>
      <c r="H816" s="21" t="b">
        <f t="shared" si="724"/>
        <v>1</v>
      </c>
      <c r="I816" s="25"/>
      <c r="J816" s="25"/>
      <c r="K816" s="25"/>
      <c r="L816" s="25"/>
      <c r="M816" s="16"/>
      <c r="N816" s="16"/>
      <c r="O816" s="25"/>
      <c r="P816" s="25"/>
      <c r="Q816" s="25"/>
      <c r="R816" s="25"/>
      <c r="S816" s="25"/>
      <c r="T816" s="25"/>
      <c r="U816" s="25"/>
      <c r="V816" s="25"/>
      <c r="W816" s="25"/>
      <c r="X816" s="25"/>
      <c r="Y816" s="25"/>
      <c r="Z816" s="25"/>
      <c r="AA816" s="25"/>
      <c r="AB816" s="25"/>
    </row>
    <row r="817">
      <c r="A817" s="25"/>
      <c r="B817" s="25"/>
      <c r="C817" s="25"/>
      <c r="D817" s="25"/>
      <c r="E817" s="25"/>
      <c r="F817" s="241"/>
      <c r="G817" s="21" t="b">
        <f t="shared" ref="G817:H817" si="725">ISBLANK(M817)</f>
        <v>1</v>
      </c>
      <c r="H817" s="21" t="b">
        <f t="shared" si="725"/>
        <v>1</v>
      </c>
      <c r="I817" s="25"/>
      <c r="J817" s="25"/>
      <c r="K817" s="25"/>
      <c r="L817" s="25"/>
      <c r="M817" s="16"/>
      <c r="N817" s="16"/>
      <c r="O817" s="25"/>
      <c r="P817" s="25"/>
      <c r="Q817" s="25"/>
      <c r="R817" s="25"/>
      <c r="S817" s="25"/>
      <c r="T817" s="25"/>
      <c r="U817" s="25"/>
      <c r="V817" s="25"/>
      <c r="W817" s="25"/>
      <c r="X817" s="25"/>
      <c r="Y817" s="25"/>
      <c r="Z817" s="25"/>
      <c r="AA817" s="25"/>
      <c r="AB817" s="25"/>
    </row>
    <row r="818">
      <c r="A818" s="25"/>
      <c r="B818" s="25"/>
      <c r="C818" s="25"/>
      <c r="D818" s="25"/>
      <c r="E818" s="25"/>
      <c r="F818" s="241"/>
      <c r="G818" s="21" t="b">
        <f t="shared" ref="G818:H818" si="726">ISBLANK(M818)</f>
        <v>1</v>
      </c>
      <c r="H818" s="21" t="b">
        <f t="shared" si="726"/>
        <v>1</v>
      </c>
      <c r="I818" s="25"/>
      <c r="J818" s="25"/>
      <c r="K818" s="25"/>
      <c r="L818" s="25"/>
      <c r="M818" s="16"/>
      <c r="N818" s="16"/>
      <c r="O818" s="25"/>
      <c r="P818" s="25"/>
      <c r="Q818" s="25"/>
      <c r="R818" s="25"/>
      <c r="S818" s="25"/>
      <c r="T818" s="25"/>
      <c r="U818" s="25"/>
      <c r="V818" s="25"/>
      <c r="W818" s="25"/>
      <c r="X818" s="25"/>
      <c r="Y818" s="25"/>
      <c r="Z818" s="25"/>
      <c r="AA818" s="25"/>
      <c r="AB818" s="25"/>
    </row>
    <row r="819">
      <c r="A819" s="25"/>
      <c r="B819" s="25"/>
      <c r="C819" s="25"/>
      <c r="D819" s="25"/>
      <c r="E819" s="25"/>
      <c r="F819" s="241"/>
      <c r="G819" s="21" t="b">
        <f t="shared" ref="G819:H819" si="727">ISBLANK(M819)</f>
        <v>1</v>
      </c>
      <c r="H819" s="21" t="b">
        <f t="shared" si="727"/>
        <v>1</v>
      </c>
      <c r="I819" s="25"/>
      <c r="J819" s="25"/>
      <c r="K819" s="25"/>
      <c r="L819" s="25"/>
      <c r="M819" s="16"/>
      <c r="N819" s="16"/>
      <c r="O819" s="25"/>
      <c r="P819" s="25"/>
      <c r="Q819" s="25"/>
      <c r="R819" s="25"/>
      <c r="S819" s="25"/>
      <c r="T819" s="25"/>
      <c r="U819" s="25"/>
      <c r="V819" s="25"/>
      <c r="W819" s="25"/>
      <c r="X819" s="25"/>
      <c r="Y819" s="25"/>
      <c r="Z819" s="25"/>
      <c r="AA819" s="25"/>
      <c r="AB819" s="25"/>
    </row>
    <row r="820">
      <c r="A820" s="25"/>
      <c r="B820" s="25"/>
      <c r="C820" s="25"/>
      <c r="D820" s="25"/>
      <c r="E820" s="25"/>
      <c r="F820" s="241"/>
      <c r="G820" s="21" t="b">
        <f t="shared" ref="G820:H820" si="728">ISBLANK(M820)</f>
        <v>1</v>
      </c>
      <c r="H820" s="21" t="b">
        <f t="shared" si="728"/>
        <v>1</v>
      </c>
      <c r="I820" s="25"/>
      <c r="J820" s="25"/>
      <c r="K820" s="25"/>
      <c r="L820" s="25"/>
      <c r="M820" s="16"/>
      <c r="N820" s="16"/>
      <c r="O820" s="25"/>
      <c r="P820" s="25"/>
      <c r="Q820" s="25"/>
      <c r="R820" s="25"/>
      <c r="S820" s="25"/>
      <c r="T820" s="25"/>
      <c r="U820" s="25"/>
      <c r="V820" s="25"/>
      <c r="W820" s="25"/>
      <c r="X820" s="25"/>
      <c r="Y820" s="25"/>
      <c r="Z820" s="25"/>
      <c r="AA820" s="25"/>
      <c r="AB820" s="25"/>
    </row>
    <row r="821">
      <c r="A821" s="25"/>
      <c r="B821" s="25"/>
      <c r="C821" s="25"/>
      <c r="D821" s="25"/>
      <c r="E821" s="25"/>
      <c r="F821" s="241"/>
      <c r="G821" s="21" t="b">
        <f t="shared" ref="G821:H821" si="729">ISBLANK(M821)</f>
        <v>1</v>
      </c>
      <c r="H821" s="21" t="b">
        <f t="shared" si="729"/>
        <v>1</v>
      </c>
      <c r="I821" s="25"/>
      <c r="J821" s="25"/>
      <c r="K821" s="25"/>
      <c r="L821" s="25"/>
      <c r="M821" s="16"/>
      <c r="N821" s="16"/>
      <c r="O821" s="25"/>
      <c r="P821" s="25"/>
      <c r="Q821" s="25"/>
      <c r="R821" s="25"/>
      <c r="S821" s="25"/>
      <c r="T821" s="25"/>
      <c r="U821" s="25"/>
      <c r="V821" s="25"/>
      <c r="W821" s="25"/>
      <c r="X821" s="25"/>
      <c r="Y821" s="25"/>
      <c r="Z821" s="25"/>
      <c r="AA821" s="25"/>
      <c r="AB821" s="25"/>
    </row>
    <row r="822">
      <c r="A822" s="25"/>
      <c r="B822" s="25"/>
      <c r="C822" s="25"/>
      <c r="D822" s="25"/>
      <c r="E822" s="25"/>
      <c r="F822" s="241"/>
      <c r="G822" s="21" t="b">
        <f t="shared" ref="G822:H822" si="730">ISBLANK(M822)</f>
        <v>1</v>
      </c>
      <c r="H822" s="21" t="b">
        <f t="shared" si="730"/>
        <v>1</v>
      </c>
      <c r="I822" s="25"/>
      <c r="J822" s="25"/>
      <c r="K822" s="25"/>
      <c r="L822" s="25"/>
      <c r="M822" s="16"/>
      <c r="N822" s="16"/>
      <c r="O822" s="25"/>
      <c r="P822" s="25"/>
      <c r="Q822" s="25"/>
      <c r="R822" s="25"/>
      <c r="S822" s="25"/>
      <c r="T822" s="25"/>
      <c r="U822" s="25"/>
      <c r="V822" s="25"/>
      <c r="W822" s="25"/>
      <c r="X822" s="25"/>
      <c r="Y822" s="25"/>
      <c r="Z822" s="25"/>
      <c r="AA822" s="25"/>
      <c r="AB822" s="25"/>
    </row>
    <row r="823">
      <c r="A823" s="25"/>
      <c r="B823" s="25"/>
      <c r="C823" s="25"/>
      <c r="D823" s="25"/>
      <c r="E823" s="25"/>
      <c r="F823" s="241"/>
      <c r="G823" s="21" t="b">
        <f t="shared" ref="G823:H823" si="731">ISBLANK(M823)</f>
        <v>1</v>
      </c>
      <c r="H823" s="21" t="b">
        <f t="shared" si="731"/>
        <v>1</v>
      </c>
      <c r="I823" s="25"/>
      <c r="J823" s="25"/>
      <c r="K823" s="25"/>
      <c r="L823" s="25"/>
      <c r="M823" s="16"/>
      <c r="N823" s="16"/>
      <c r="O823" s="25"/>
      <c r="P823" s="25"/>
      <c r="Q823" s="25"/>
      <c r="R823" s="25"/>
      <c r="S823" s="25"/>
      <c r="T823" s="25"/>
      <c r="U823" s="25"/>
      <c r="V823" s="25"/>
      <c r="W823" s="25"/>
      <c r="X823" s="25"/>
      <c r="Y823" s="25"/>
      <c r="Z823" s="25"/>
      <c r="AA823" s="25"/>
      <c r="AB823" s="25"/>
    </row>
    <row r="824">
      <c r="A824" s="25"/>
      <c r="B824" s="25"/>
      <c r="C824" s="25"/>
      <c r="D824" s="25"/>
      <c r="E824" s="25"/>
      <c r="F824" s="241"/>
      <c r="G824" s="21" t="b">
        <f t="shared" ref="G824:H824" si="732">ISBLANK(M824)</f>
        <v>1</v>
      </c>
      <c r="H824" s="21" t="b">
        <f t="shared" si="732"/>
        <v>1</v>
      </c>
      <c r="I824" s="25"/>
      <c r="J824" s="25"/>
      <c r="K824" s="25"/>
      <c r="L824" s="25"/>
      <c r="M824" s="16"/>
      <c r="N824" s="16"/>
      <c r="O824" s="25"/>
      <c r="P824" s="25"/>
      <c r="Q824" s="25"/>
      <c r="R824" s="25"/>
      <c r="S824" s="25"/>
      <c r="T824" s="25"/>
      <c r="U824" s="25"/>
      <c r="V824" s="25"/>
      <c r="W824" s="25"/>
      <c r="X824" s="25"/>
      <c r="Y824" s="25"/>
      <c r="Z824" s="25"/>
      <c r="AA824" s="25"/>
      <c r="AB824" s="25"/>
    </row>
    <row r="825">
      <c r="A825" s="25"/>
      <c r="B825" s="25"/>
      <c r="C825" s="25"/>
      <c r="D825" s="25"/>
      <c r="E825" s="25"/>
      <c r="F825" s="241"/>
      <c r="G825" s="21" t="b">
        <f t="shared" ref="G825:H825" si="733">ISBLANK(M825)</f>
        <v>1</v>
      </c>
      <c r="H825" s="21" t="b">
        <f t="shared" si="733"/>
        <v>1</v>
      </c>
      <c r="I825" s="25"/>
      <c r="J825" s="25"/>
      <c r="K825" s="25"/>
      <c r="L825" s="25"/>
      <c r="M825" s="16"/>
      <c r="N825" s="16"/>
      <c r="O825" s="25"/>
      <c r="P825" s="25"/>
      <c r="Q825" s="25"/>
      <c r="R825" s="25"/>
      <c r="S825" s="25"/>
      <c r="T825" s="25"/>
      <c r="U825" s="25"/>
      <c r="V825" s="25"/>
      <c r="W825" s="25"/>
      <c r="X825" s="25"/>
      <c r="Y825" s="25"/>
      <c r="Z825" s="25"/>
      <c r="AA825" s="25"/>
      <c r="AB825" s="25"/>
    </row>
    <row r="826">
      <c r="A826" s="25"/>
      <c r="B826" s="25"/>
      <c r="C826" s="25"/>
      <c r="D826" s="25"/>
      <c r="E826" s="25"/>
      <c r="F826" s="241"/>
      <c r="G826" s="21" t="b">
        <f t="shared" ref="G826:H826" si="734">ISBLANK(M826)</f>
        <v>1</v>
      </c>
      <c r="H826" s="21" t="b">
        <f t="shared" si="734"/>
        <v>1</v>
      </c>
      <c r="I826" s="25"/>
      <c r="J826" s="25"/>
      <c r="K826" s="25"/>
      <c r="L826" s="25"/>
      <c r="M826" s="16"/>
      <c r="N826" s="16"/>
      <c r="O826" s="25"/>
      <c r="P826" s="25"/>
      <c r="Q826" s="25"/>
      <c r="R826" s="25"/>
      <c r="S826" s="25"/>
      <c r="T826" s="25"/>
      <c r="U826" s="25"/>
      <c r="V826" s="25"/>
      <c r="W826" s="25"/>
      <c r="X826" s="25"/>
      <c r="Y826" s="25"/>
      <c r="Z826" s="25"/>
      <c r="AA826" s="25"/>
      <c r="AB826" s="25"/>
    </row>
    <row r="827">
      <c r="A827" s="25"/>
      <c r="B827" s="25"/>
      <c r="C827" s="25"/>
      <c r="D827" s="25"/>
      <c r="E827" s="25"/>
      <c r="F827" s="241"/>
      <c r="G827" s="21" t="b">
        <f t="shared" ref="G827:H827" si="735">ISBLANK(M827)</f>
        <v>1</v>
      </c>
      <c r="H827" s="21" t="b">
        <f t="shared" si="735"/>
        <v>1</v>
      </c>
      <c r="I827" s="25"/>
      <c r="J827" s="25"/>
      <c r="K827" s="25"/>
      <c r="L827" s="25"/>
      <c r="M827" s="16"/>
      <c r="N827" s="16"/>
      <c r="O827" s="25"/>
      <c r="P827" s="25"/>
      <c r="Q827" s="25"/>
      <c r="R827" s="25"/>
      <c r="S827" s="25"/>
      <c r="T827" s="25"/>
      <c r="U827" s="25"/>
      <c r="V827" s="25"/>
      <c r="W827" s="25"/>
      <c r="X827" s="25"/>
      <c r="Y827" s="25"/>
      <c r="Z827" s="25"/>
      <c r="AA827" s="25"/>
      <c r="AB827" s="25"/>
    </row>
    <row r="828">
      <c r="A828" s="25"/>
      <c r="B828" s="25"/>
      <c r="C828" s="25"/>
      <c r="D828" s="25"/>
      <c r="E828" s="25"/>
      <c r="F828" s="241"/>
      <c r="G828" s="21" t="b">
        <f t="shared" ref="G828:H828" si="736">ISBLANK(M828)</f>
        <v>1</v>
      </c>
      <c r="H828" s="21" t="b">
        <f t="shared" si="736"/>
        <v>1</v>
      </c>
      <c r="I828" s="25"/>
      <c r="J828" s="25"/>
      <c r="K828" s="25"/>
      <c r="L828" s="25"/>
      <c r="M828" s="16"/>
      <c r="N828" s="16"/>
      <c r="O828" s="25"/>
      <c r="P828" s="25"/>
      <c r="Q828" s="25"/>
      <c r="R828" s="25"/>
      <c r="S828" s="25"/>
      <c r="T828" s="25"/>
      <c r="U828" s="25"/>
      <c r="V828" s="25"/>
      <c r="W828" s="25"/>
      <c r="X828" s="25"/>
      <c r="Y828" s="25"/>
      <c r="Z828" s="25"/>
      <c r="AA828" s="25"/>
      <c r="AB828" s="25"/>
    </row>
    <row r="829">
      <c r="A829" s="25"/>
      <c r="B829" s="25"/>
      <c r="C829" s="25"/>
      <c r="D829" s="25"/>
      <c r="E829" s="25"/>
      <c r="F829" s="241"/>
      <c r="G829" s="21" t="b">
        <f t="shared" ref="G829:H829" si="737">ISBLANK(M829)</f>
        <v>1</v>
      </c>
      <c r="H829" s="21" t="b">
        <f t="shared" si="737"/>
        <v>1</v>
      </c>
      <c r="I829" s="25"/>
      <c r="J829" s="25"/>
      <c r="K829" s="25"/>
      <c r="L829" s="25"/>
      <c r="M829" s="16"/>
      <c r="N829" s="16"/>
      <c r="O829" s="25"/>
      <c r="P829" s="25"/>
      <c r="Q829" s="25"/>
      <c r="R829" s="25"/>
      <c r="S829" s="25"/>
      <c r="T829" s="25"/>
      <c r="U829" s="25"/>
      <c r="V829" s="25"/>
      <c r="W829" s="25"/>
      <c r="X829" s="25"/>
      <c r="Y829" s="25"/>
      <c r="Z829" s="25"/>
      <c r="AA829" s="25"/>
      <c r="AB829" s="25"/>
    </row>
    <row r="830">
      <c r="A830" s="25"/>
      <c r="B830" s="25"/>
      <c r="C830" s="25"/>
      <c r="D830" s="25"/>
      <c r="E830" s="25"/>
      <c r="F830" s="241"/>
      <c r="G830" s="21" t="b">
        <f t="shared" ref="G830:H830" si="738">ISBLANK(M830)</f>
        <v>1</v>
      </c>
      <c r="H830" s="21" t="b">
        <f t="shared" si="738"/>
        <v>1</v>
      </c>
      <c r="I830" s="25"/>
      <c r="J830" s="25"/>
      <c r="K830" s="25"/>
      <c r="L830" s="25"/>
      <c r="M830" s="16"/>
      <c r="N830" s="16"/>
      <c r="O830" s="25"/>
      <c r="P830" s="25"/>
      <c r="Q830" s="25"/>
      <c r="R830" s="25"/>
      <c r="S830" s="25"/>
      <c r="T830" s="25"/>
      <c r="U830" s="25"/>
      <c r="V830" s="25"/>
      <c r="W830" s="25"/>
      <c r="X830" s="25"/>
      <c r="Y830" s="25"/>
      <c r="Z830" s="25"/>
      <c r="AA830" s="25"/>
      <c r="AB830" s="25"/>
    </row>
    <row r="831">
      <c r="A831" s="25"/>
      <c r="B831" s="25"/>
      <c r="C831" s="25"/>
      <c r="D831" s="25"/>
      <c r="E831" s="25"/>
      <c r="F831" s="241"/>
      <c r="G831" s="21" t="b">
        <f t="shared" ref="G831:H831" si="739">ISBLANK(M831)</f>
        <v>1</v>
      </c>
      <c r="H831" s="21" t="b">
        <f t="shared" si="739"/>
        <v>1</v>
      </c>
      <c r="I831" s="25"/>
      <c r="J831" s="25"/>
      <c r="K831" s="25"/>
      <c r="L831" s="25"/>
      <c r="M831" s="16"/>
      <c r="N831" s="16"/>
      <c r="O831" s="25"/>
      <c r="P831" s="25"/>
      <c r="Q831" s="25"/>
      <c r="R831" s="25"/>
      <c r="S831" s="25"/>
      <c r="T831" s="25"/>
      <c r="U831" s="25"/>
      <c r="V831" s="25"/>
      <c r="W831" s="25"/>
      <c r="X831" s="25"/>
      <c r="Y831" s="25"/>
      <c r="Z831" s="25"/>
      <c r="AA831" s="25"/>
      <c r="AB831" s="25"/>
    </row>
    <row r="832">
      <c r="A832" s="25"/>
      <c r="B832" s="25"/>
      <c r="C832" s="25"/>
      <c r="D832" s="25"/>
      <c r="E832" s="25"/>
      <c r="F832" s="241"/>
      <c r="G832" s="21" t="b">
        <f t="shared" ref="G832:H832" si="740">ISBLANK(M832)</f>
        <v>1</v>
      </c>
      <c r="H832" s="21" t="b">
        <f t="shared" si="740"/>
        <v>1</v>
      </c>
      <c r="I832" s="25"/>
      <c r="J832" s="25"/>
      <c r="K832" s="25"/>
      <c r="L832" s="25"/>
      <c r="M832" s="16"/>
      <c r="N832" s="16"/>
      <c r="O832" s="25"/>
      <c r="P832" s="25"/>
      <c r="Q832" s="25"/>
      <c r="R832" s="25"/>
      <c r="S832" s="25"/>
      <c r="T832" s="25"/>
      <c r="U832" s="25"/>
      <c r="V832" s="25"/>
      <c r="W832" s="25"/>
      <c r="X832" s="25"/>
      <c r="Y832" s="25"/>
      <c r="Z832" s="25"/>
      <c r="AA832" s="25"/>
      <c r="AB832" s="25"/>
    </row>
    <row r="833">
      <c r="A833" s="25"/>
      <c r="B833" s="25"/>
      <c r="C833" s="25"/>
      <c r="D833" s="25"/>
      <c r="E833" s="25"/>
      <c r="F833" s="241"/>
      <c r="G833" s="21" t="b">
        <f t="shared" ref="G833:H833" si="741">ISBLANK(M833)</f>
        <v>1</v>
      </c>
      <c r="H833" s="21" t="b">
        <f t="shared" si="741"/>
        <v>1</v>
      </c>
      <c r="I833" s="25"/>
      <c r="J833" s="25"/>
      <c r="K833" s="25"/>
      <c r="L833" s="25"/>
      <c r="M833" s="16"/>
      <c r="N833" s="16"/>
      <c r="O833" s="25"/>
      <c r="P833" s="25"/>
      <c r="Q833" s="25"/>
      <c r="R833" s="25"/>
      <c r="S833" s="25"/>
      <c r="T833" s="25"/>
      <c r="U833" s="25"/>
      <c r="V833" s="25"/>
      <c r="W833" s="25"/>
      <c r="X833" s="25"/>
      <c r="Y833" s="25"/>
      <c r="Z833" s="25"/>
      <c r="AA833" s="25"/>
      <c r="AB833" s="25"/>
    </row>
    <row r="834">
      <c r="A834" s="25"/>
      <c r="B834" s="25"/>
      <c r="C834" s="25"/>
      <c r="D834" s="25"/>
      <c r="E834" s="25"/>
      <c r="F834" s="241"/>
      <c r="G834" s="21" t="b">
        <f t="shared" ref="G834:H834" si="742">ISBLANK(M834)</f>
        <v>1</v>
      </c>
      <c r="H834" s="21" t="b">
        <f t="shared" si="742"/>
        <v>1</v>
      </c>
      <c r="I834" s="25"/>
      <c r="J834" s="25"/>
      <c r="K834" s="25"/>
      <c r="L834" s="25"/>
      <c r="M834" s="16"/>
      <c r="N834" s="16"/>
      <c r="O834" s="25"/>
      <c r="P834" s="25"/>
      <c r="Q834" s="25"/>
      <c r="R834" s="25"/>
      <c r="S834" s="25"/>
      <c r="T834" s="25"/>
      <c r="U834" s="25"/>
      <c r="V834" s="25"/>
      <c r="W834" s="25"/>
      <c r="X834" s="25"/>
      <c r="Y834" s="25"/>
      <c r="Z834" s="25"/>
      <c r="AA834" s="25"/>
      <c r="AB834" s="25"/>
    </row>
    <row r="835">
      <c r="A835" s="25"/>
      <c r="B835" s="25"/>
      <c r="C835" s="25"/>
      <c r="D835" s="25"/>
      <c r="E835" s="25"/>
      <c r="F835" s="241"/>
      <c r="G835" s="21" t="b">
        <f t="shared" ref="G835:H835" si="743">ISBLANK(M835)</f>
        <v>1</v>
      </c>
      <c r="H835" s="21" t="b">
        <f t="shared" si="743"/>
        <v>1</v>
      </c>
      <c r="I835" s="25"/>
      <c r="J835" s="25"/>
      <c r="K835" s="25"/>
      <c r="L835" s="25"/>
      <c r="M835" s="16"/>
      <c r="N835" s="16"/>
      <c r="O835" s="25"/>
      <c r="P835" s="25"/>
      <c r="Q835" s="25"/>
      <c r="R835" s="25"/>
      <c r="S835" s="25"/>
      <c r="T835" s="25"/>
      <c r="U835" s="25"/>
      <c r="V835" s="25"/>
      <c r="W835" s="25"/>
      <c r="X835" s="25"/>
      <c r="Y835" s="25"/>
      <c r="Z835" s="25"/>
      <c r="AA835" s="25"/>
      <c r="AB835" s="25"/>
    </row>
    <row r="836">
      <c r="A836" s="25"/>
      <c r="B836" s="25"/>
      <c r="C836" s="25"/>
      <c r="D836" s="25"/>
      <c r="E836" s="25"/>
      <c r="F836" s="241"/>
      <c r="G836" s="21" t="b">
        <f t="shared" ref="G836:H836" si="744">ISBLANK(M836)</f>
        <v>1</v>
      </c>
      <c r="H836" s="21" t="b">
        <f t="shared" si="744"/>
        <v>1</v>
      </c>
      <c r="I836" s="25"/>
      <c r="J836" s="25"/>
      <c r="K836" s="25"/>
      <c r="L836" s="25"/>
      <c r="M836" s="16"/>
      <c r="N836" s="16"/>
      <c r="O836" s="25"/>
      <c r="P836" s="25"/>
      <c r="Q836" s="25"/>
      <c r="R836" s="25"/>
      <c r="S836" s="25"/>
      <c r="T836" s="25"/>
      <c r="U836" s="25"/>
      <c r="V836" s="25"/>
      <c r="W836" s="25"/>
      <c r="X836" s="25"/>
      <c r="Y836" s="25"/>
      <c r="Z836" s="25"/>
      <c r="AA836" s="25"/>
      <c r="AB836" s="25"/>
    </row>
    <row r="837">
      <c r="A837" s="25"/>
      <c r="B837" s="25"/>
      <c r="C837" s="25"/>
      <c r="D837" s="25"/>
      <c r="E837" s="25"/>
      <c r="F837" s="241"/>
      <c r="G837" s="21" t="b">
        <f t="shared" ref="G837:H837" si="745">ISBLANK(M837)</f>
        <v>1</v>
      </c>
      <c r="H837" s="21" t="b">
        <f t="shared" si="745"/>
        <v>1</v>
      </c>
      <c r="I837" s="25"/>
      <c r="J837" s="25"/>
      <c r="K837" s="25"/>
      <c r="L837" s="25"/>
      <c r="M837" s="16"/>
      <c r="N837" s="16"/>
      <c r="O837" s="25"/>
      <c r="P837" s="25"/>
      <c r="Q837" s="25"/>
      <c r="R837" s="25"/>
      <c r="S837" s="25"/>
      <c r="T837" s="25"/>
      <c r="U837" s="25"/>
      <c r="V837" s="25"/>
      <c r="W837" s="25"/>
      <c r="X837" s="25"/>
      <c r="Y837" s="25"/>
      <c r="Z837" s="25"/>
      <c r="AA837" s="25"/>
      <c r="AB837" s="25"/>
    </row>
    <row r="838">
      <c r="A838" s="25"/>
      <c r="B838" s="25"/>
      <c r="C838" s="25"/>
      <c r="D838" s="25"/>
      <c r="E838" s="25"/>
      <c r="F838" s="241"/>
      <c r="G838" s="21" t="b">
        <f t="shared" ref="G838:H838" si="746">ISBLANK(M838)</f>
        <v>1</v>
      </c>
      <c r="H838" s="21" t="b">
        <f t="shared" si="746"/>
        <v>1</v>
      </c>
      <c r="I838" s="25"/>
      <c r="J838" s="25"/>
      <c r="K838" s="25"/>
      <c r="L838" s="25"/>
      <c r="M838" s="16"/>
      <c r="N838" s="16"/>
      <c r="O838" s="25"/>
      <c r="P838" s="25"/>
      <c r="Q838" s="25"/>
      <c r="R838" s="25"/>
      <c r="S838" s="25"/>
      <c r="T838" s="25"/>
      <c r="U838" s="25"/>
      <c r="V838" s="25"/>
      <c r="W838" s="25"/>
      <c r="X838" s="25"/>
      <c r="Y838" s="25"/>
      <c r="Z838" s="25"/>
      <c r="AA838" s="25"/>
      <c r="AB838" s="25"/>
    </row>
    <row r="839">
      <c r="A839" s="25"/>
      <c r="B839" s="25"/>
      <c r="C839" s="25"/>
      <c r="D839" s="25"/>
      <c r="E839" s="25"/>
      <c r="F839" s="241"/>
      <c r="G839" s="21" t="b">
        <f t="shared" ref="G839:H839" si="747">ISBLANK(M839)</f>
        <v>1</v>
      </c>
      <c r="H839" s="21" t="b">
        <f t="shared" si="747"/>
        <v>1</v>
      </c>
      <c r="I839" s="25"/>
      <c r="J839" s="25"/>
      <c r="K839" s="25"/>
      <c r="L839" s="25"/>
      <c r="M839" s="16"/>
      <c r="N839" s="16"/>
      <c r="O839" s="25"/>
      <c r="P839" s="25"/>
      <c r="Q839" s="25"/>
      <c r="R839" s="25"/>
      <c r="S839" s="25"/>
      <c r="T839" s="25"/>
      <c r="U839" s="25"/>
      <c r="V839" s="25"/>
      <c r="W839" s="25"/>
      <c r="X839" s="25"/>
      <c r="Y839" s="25"/>
      <c r="Z839" s="25"/>
      <c r="AA839" s="25"/>
      <c r="AB839" s="25"/>
    </row>
    <row r="840">
      <c r="A840" s="25"/>
      <c r="B840" s="25"/>
      <c r="C840" s="25"/>
      <c r="D840" s="25"/>
      <c r="E840" s="25"/>
      <c r="F840" s="241"/>
      <c r="G840" s="21" t="b">
        <f t="shared" ref="G840:H840" si="748">ISBLANK(M840)</f>
        <v>1</v>
      </c>
      <c r="H840" s="21" t="b">
        <f t="shared" si="748"/>
        <v>1</v>
      </c>
      <c r="I840" s="25"/>
      <c r="J840" s="25"/>
      <c r="K840" s="25"/>
      <c r="L840" s="25"/>
      <c r="M840" s="16"/>
      <c r="N840" s="16"/>
      <c r="O840" s="25"/>
      <c r="P840" s="25"/>
      <c r="Q840" s="25"/>
      <c r="R840" s="25"/>
      <c r="S840" s="25"/>
      <c r="T840" s="25"/>
      <c r="U840" s="25"/>
      <c r="V840" s="25"/>
      <c r="W840" s="25"/>
      <c r="X840" s="25"/>
      <c r="Y840" s="25"/>
      <c r="Z840" s="25"/>
      <c r="AA840" s="25"/>
      <c r="AB840" s="25"/>
    </row>
    <row r="841">
      <c r="A841" s="25"/>
      <c r="B841" s="25"/>
      <c r="C841" s="25"/>
      <c r="D841" s="25"/>
      <c r="E841" s="25"/>
      <c r="F841" s="241"/>
      <c r="G841" s="21" t="b">
        <f t="shared" ref="G841:H841" si="749">ISBLANK(M841)</f>
        <v>1</v>
      </c>
      <c r="H841" s="21" t="b">
        <f t="shared" si="749"/>
        <v>1</v>
      </c>
      <c r="I841" s="25"/>
      <c r="J841" s="25"/>
      <c r="K841" s="25"/>
      <c r="L841" s="25"/>
      <c r="M841" s="16"/>
      <c r="N841" s="16"/>
      <c r="O841" s="25"/>
      <c r="P841" s="25"/>
      <c r="Q841" s="25"/>
      <c r="R841" s="25"/>
      <c r="S841" s="25"/>
      <c r="T841" s="25"/>
      <c r="U841" s="25"/>
      <c r="V841" s="25"/>
      <c r="W841" s="25"/>
      <c r="X841" s="25"/>
      <c r="Y841" s="25"/>
      <c r="Z841" s="25"/>
      <c r="AA841" s="25"/>
      <c r="AB841" s="25"/>
    </row>
    <row r="842">
      <c r="A842" s="25"/>
      <c r="B842" s="25"/>
      <c r="C842" s="25"/>
      <c r="D842" s="25"/>
      <c r="E842" s="25"/>
      <c r="F842" s="241"/>
      <c r="G842" s="21" t="b">
        <f t="shared" ref="G842:H842" si="750">ISBLANK(M842)</f>
        <v>1</v>
      </c>
      <c r="H842" s="21" t="b">
        <f t="shared" si="750"/>
        <v>1</v>
      </c>
      <c r="I842" s="25"/>
      <c r="J842" s="25"/>
      <c r="K842" s="25"/>
      <c r="L842" s="25"/>
      <c r="M842" s="16"/>
      <c r="N842" s="16"/>
      <c r="O842" s="25"/>
      <c r="P842" s="25"/>
      <c r="Q842" s="25"/>
      <c r="R842" s="25"/>
      <c r="S842" s="25"/>
      <c r="T842" s="25"/>
      <c r="U842" s="25"/>
      <c r="V842" s="25"/>
      <c r="W842" s="25"/>
      <c r="X842" s="25"/>
      <c r="Y842" s="25"/>
      <c r="Z842" s="25"/>
      <c r="AA842" s="25"/>
      <c r="AB842" s="25"/>
    </row>
    <row r="843">
      <c r="A843" s="25"/>
      <c r="B843" s="25"/>
      <c r="C843" s="25"/>
      <c r="D843" s="25"/>
      <c r="E843" s="25"/>
      <c r="F843" s="241"/>
      <c r="G843" s="21" t="b">
        <f t="shared" ref="G843:H843" si="751">ISBLANK(M843)</f>
        <v>1</v>
      </c>
      <c r="H843" s="21" t="b">
        <f t="shared" si="751"/>
        <v>1</v>
      </c>
      <c r="I843" s="25"/>
      <c r="J843" s="25"/>
      <c r="K843" s="25"/>
      <c r="L843" s="25"/>
      <c r="M843" s="16"/>
      <c r="N843" s="16"/>
      <c r="O843" s="25"/>
      <c r="P843" s="25"/>
      <c r="Q843" s="25"/>
      <c r="R843" s="25"/>
      <c r="S843" s="25"/>
      <c r="T843" s="25"/>
      <c r="U843" s="25"/>
      <c r="V843" s="25"/>
      <c r="W843" s="25"/>
      <c r="X843" s="25"/>
      <c r="Y843" s="25"/>
      <c r="Z843" s="25"/>
      <c r="AA843" s="25"/>
      <c r="AB843" s="25"/>
    </row>
    <row r="844">
      <c r="A844" s="25"/>
      <c r="B844" s="25"/>
      <c r="C844" s="25"/>
      <c r="D844" s="25"/>
      <c r="E844" s="25"/>
      <c r="F844" s="241"/>
      <c r="G844" s="21" t="b">
        <f t="shared" ref="G844:H844" si="752">ISBLANK(M844)</f>
        <v>1</v>
      </c>
      <c r="H844" s="21" t="b">
        <f t="shared" si="752"/>
        <v>1</v>
      </c>
      <c r="I844" s="25"/>
      <c r="J844" s="25"/>
      <c r="K844" s="25"/>
      <c r="L844" s="25"/>
      <c r="M844" s="16"/>
      <c r="N844" s="16"/>
      <c r="O844" s="25"/>
      <c r="P844" s="25"/>
      <c r="Q844" s="25"/>
      <c r="R844" s="25"/>
      <c r="S844" s="25"/>
      <c r="T844" s="25"/>
      <c r="U844" s="25"/>
      <c r="V844" s="25"/>
      <c r="W844" s="25"/>
      <c r="X844" s="25"/>
      <c r="Y844" s="25"/>
      <c r="Z844" s="25"/>
      <c r="AA844" s="25"/>
      <c r="AB844" s="25"/>
    </row>
    <row r="845">
      <c r="A845" s="25"/>
      <c r="B845" s="25"/>
      <c r="C845" s="25"/>
      <c r="D845" s="25"/>
      <c r="E845" s="25"/>
      <c r="F845" s="241"/>
      <c r="G845" s="21" t="b">
        <f t="shared" ref="G845:H845" si="753">ISBLANK(M845)</f>
        <v>1</v>
      </c>
      <c r="H845" s="21" t="b">
        <f t="shared" si="753"/>
        <v>1</v>
      </c>
      <c r="I845" s="25"/>
      <c r="J845" s="25"/>
      <c r="K845" s="25"/>
      <c r="L845" s="25"/>
      <c r="M845" s="16"/>
      <c r="N845" s="16"/>
      <c r="O845" s="25"/>
      <c r="P845" s="25"/>
      <c r="Q845" s="25"/>
      <c r="R845" s="25"/>
      <c r="S845" s="25"/>
      <c r="T845" s="25"/>
      <c r="U845" s="25"/>
      <c r="V845" s="25"/>
      <c r="W845" s="25"/>
      <c r="X845" s="25"/>
      <c r="Y845" s="25"/>
      <c r="Z845" s="25"/>
      <c r="AA845" s="25"/>
      <c r="AB845" s="25"/>
    </row>
    <row r="846">
      <c r="A846" s="25"/>
      <c r="B846" s="25"/>
      <c r="C846" s="25"/>
      <c r="D846" s="25"/>
      <c r="E846" s="25"/>
      <c r="F846" s="241"/>
      <c r="G846" s="21" t="b">
        <f t="shared" ref="G846:H846" si="754">ISBLANK(M846)</f>
        <v>1</v>
      </c>
      <c r="H846" s="21" t="b">
        <f t="shared" si="754"/>
        <v>1</v>
      </c>
      <c r="I846" s="25"/>
      <c r="J846" s="25"/>
      <c r="K846" s="25"/>
      <c r="L846" s="25"/>
      <c r="M846" s="16"/>
      <c r="N846" s="16"/>
      <c r="O846" s="25"/>
      <c r="P846" s="25"/>
      <c r="Q846" s="25"/>
      <c r="R846" s="25"/>
      <c r="S846" s="25"/>
      <c r="T846" s="25"/>
      <c r="U846" s="25"/>
      <c r="V846" s="25"/>
      <c r="W846" s="25"/>
      <c r="X846" s="25"/>
      <c r="Y846" s="25"/>
      <c r="Z846" s="25"/>
      <c r="AA846" s="25"/>
      <c r="AB846" s="25"/>
    </row>
    <row r="847">
      <c r="A847" s="25"/>
      <c r="B847" s="25"/>
      <c r="C847" s="25"/>
      <c r="D847" s="25"/>
      <c r="E847" s="25"/>
      <c r="F847" s="241"/>
      <c r="G847" s="21" t="b">
        <f t="shared" ref="G847:H847" si="755">ISBLANK(M847)</f>
        <v>1</v>
      </c>
      <c r="H847" s="21" t="b">
        <f t="shared" si="755"/>
        <v>1</v>
      </c>
      <c r="I847" s="25"/>
      <c r="J847" s="25"/>
      <c r="K847" s="25"/>
      <c r="L847" s="25"/>
      <c r="M847" s="16"/>
      <c r="N847" s="16"/>
      <c r="O847" s="25"/>
      <c r="P847" s="25"/>
      <c r="Q847" s="25"/>
      <c r="R847" s="25"/>
      <c r="S847" s="25"/>
      <c r="T847" s="25"/>
      <c r="U847" s="25"/>
      <c r="V847" s="25"/>
      <c r="W847" s="25"/>
      <c r="X847" s="25"/>
      <c r="Y847" s="25"/>
      <c r="Z847" s="25"/>
      <c r="AA847" s="25"/>
      <c r="AB847" s="25"/>
    </row>
    <row r="848">
      <c r="A848" s="25"/>
      <c r="B848" s="25"/>
      <c r="C848" s="25"/>
      <c r="D848" s="25"/>
      <c r="E848" s="25"/>
      <c r="F848" s="241"/>
      <c r="G848" s="21" t="b">
        <f t="shared" ref="G848:H848" si="756">ISBLANK(M848)</f>
        <v>1</v>
      </c>
      <c r="H848" s="21" t="b">
        <f t="shared" si="756"/>
        <v>1</v>
      </c>
      <c r="I848" s="25"/>
      <c r="J848" s="25"/>
      <c r="K848" s="25"/>
      <c r="L848" s="25"/>
      <c r="M848" s="16"/>
      <c r="N848" s="16"/>
      <c r="O848" s="25"/>
      <c r="P848" s="25"/>
      <c r="Q848" s="25"/>
      <c r="R848" s="25"/>
      <c r="S848" s="25"/>
      <c r="T848" s="25"/>
      <c r="U848" s="25"/>
      <c r="V848" s="25"/>
      <c r="W848" s="25"/>
      <c r="X848" s="25"/>
      <c r="Y848" s="25"/>
      <c r="Z848" s="25"/>
      <c r="AA848" s="25"/>
      <c r="AB848" s="25"/>
    </row>
    <row r="849">
      <c r="A849" s="25"/>
      <c r="B849" s="25"/>
      <c r="C849" s="25"/>
      <c r="D849" s="25"/>
      <c r="E849" s="25"/>
      <c r="F849" s="241"/>
      <c r="G849" s="21" t="b">
        <f t="shared" ref="G849:H849" si="757">ISBLANK(M849)</f>
        <v>1</v>
      </c>
      <c r="H849" s="21" t="b">
        <f t="shared" si="757"/>
        <v>1</v>
      </c>
      <c r="I849" s="25"/>
      <c r="J849" s="25"/>
      <c r="K849" s="25"/>
      <c r="L849" s="25"/>
      <c r="M849" s="16"/>
      <c r="N849" s="16"/>
      <c r="O849" s="25"/>
      <c r="P849" s="25"/>
      <c r="Q849" s="25"/>
      <c r="R849" s="25"/>
      <c r="S849" s="25"/>
      <c r="T849" s="25"/>
      <c r="U849" s="25"/>
      <c r="V849" s="25"/>
      <c r="W849" s="25"/>
      <c r="X849" s="25"/>
      <c r="Y849" s="25"/>
      <c r="Z849" s="25"/>
      <c r="AA849" s="25"/>
      <c r="AB849" s="25"/>
    </row>
    <row r="850">
      <c r="A850" s="25"/>
      <c r="B850" s="25"/>
      <c r="C850" s="25"/>
      <c r="D850" s="25"/>
      <c r="E850" s="25"/>
      <c r="F850" s="241"/>
      <c r="G850" s="21" t="b">
        <f t="shared" ref="G850:H850" si="758">ISBLANK(M850)</f>
        <v>1</v>
      </c>
      <c r="H850" s="21" t="b">
        <f t="shared" si="758"/>
        <v>1</v>
      </c>
      <c r="I850" s="25"/>
      <c r="J850" s="25"/>
      <c r="K850" s="25"/>
      <c r="L850" s="25"/>
      <c r="M850" s="16"/>
      <c r="N850" s="16"/>
      <c r="O850" s="25"/>
      <c r="P850" s="25"/>
      <c r="Q850" s="25"/>
      <c r="R850" s="25"/>
      <c r="S850" s="25"/>
      <c r="T850" s="25"/>
      <c r="U850" s="25"/>
      <c r="V850" s="25"/>
      <c r="W850" s="25"/>
      <c r="X850" s="25"/>
      <c r="Y850" s="25"/>
      <c r="Z850" s="25"/>
      <c r="AA850" s="25"/>
      <c r="AB850" s="25"/>
    </row>
    <row r="851">
      <c r="A851" s="25"/>
      <c r="B851" s="25"/>
      <c r="C851" s="25"/>
      <c r="D851" s="25"/>
      <c r="E851" s="25"/>
      <c r="F851" s="241"/>
      <c r="G851" s="21" t="b">
        <f t="shared" ref="G851:H851" si="759">ISBLANK(M851)</f>
        <v>1</v>
      </c>
      <c r="H851" s="21" t="b">
        <f t="shared" si="759"/>
        <v>1</v>
      </c>
      <c r="I851" s="25"/>
      <c r="J851" s="25"/>
      <c r="K851" s="25"/>
      <c r="L851" s="25"/>
      <c r="M851" s="16"/>
      <c r="N851" s="16"/>
      <c r="O851" s="25"/>
      <c r="P851" s="25"/>
      <c r="Q851" s="25"/>
      <c r="R851" s="25"/>
      <c r="S851" s="25"/>
      <c r="T851" s="25"/>
      <c r="U851" s="25"/>
      <c r="V851" s="25"/>
      <c r="W851" s="25"/>
      <c r="X851" s="25"/>
      <c r="Y851" s="25"/>
      <c r="Z851" s="25"/>
      <c r="AA851" s="25"/>
      <c r="AB851" s="25"/>
    </row>
    <row r="852">
      <c r="A852" s="25"/>
      <c r="B852" s="25"/>
      <c r="C852" s="25"/>
      <c r="D852" s="25"/>
      <c r="E852" s="25"/>
      <c r="F852" s="241"/>
      <c r="G852" s="21" t="b">
        <f t="shared" ref="G852:H852" si="760">ISBLANK(M852)</f>
        <v>1</v>
      </c>
      <c r="H852" s="21" t="b">
        <f t="shared" si="760"/>
        <v>1</v>
      </c>
      <c r="I852" s="25"/>
      <c r="J852" s="25"/>
      <c r="K852" s="25"/>
      <c r="L852" s="25"/>
      <c r="M852" s="16"/>
      <c r="N852" s="16"/>
      <c r="O852" s="25"/>
      <c r="P852" s="25"/>
      <c r="Q852" s="25"/>
      <c r="R852" s="25"/>
      <c r="S852" s="25"/>
      <c r="T852" s="25"/>
      <c r="U852" s="25"/>
      <c r="V852" s="25"/>
      <c r="W852" s="25"/>
      <c r="X852" s="25"/>
      <c r="Y852" s="25"/>
      <c r="Z852" s="25"/>
      <c r="AA852" s="25"/>
      <c r="AB852" s="25"/>
    </row>
    <row r="853">
      <c r="A853" s="25"/>
      <c r="B853" s="25"/>
      <c r="C853" s="25"/>
      <c r="D853" s="25"/>
      <c r="E853" s="25"/>
      <c r="F853" s="241"/>
      <c r="G853" s="21" t="b">
        <f t="shared" ref="G853:H853" si="761">ISBLANK(M853)</f>
        <v>1</v>
      </c>
      <c r="H853" s="21" t="b">
        <f t="shared" si="761"/>
        <v>1</v>
      </c>
      <c r="I853" s="25"/>
      <c r="J853" s="25"/>
      <c r="K853" s="25"/>
      <c r="L853" s="25"/>
      <c r="M853" s="16"/>
      <c r="N853" s="16"/>
      <c r="O853" s="25"/>
      <c r="P853" s="25"/>
      <c r="Q853" s="25"/>
      <c r="R853" s="25"/>
      <c r="S853" s="25"/>
      <c r="T853" s="25"/>
      <c r="U853" s="25"/>
      <c r="V853" s="25"/>
      <c r="W853" s="25"/>
      <c r="X853" s="25"/>
      <c r="Y853" s="25"/>
      <c r="Z853" s="25"/>
      <c r="AA853" s="25"/>
      <c r="AB853" s="25"/>
    </row>
    <row r="854">
      <c r="A854" s="25"/>
      <c r="B854" s="25"/>
      <c r="C854" s="25"/>
      <c r="D854" s="25"/>
      <c r="E854" s="25"/>
      <c r="F854" s="241"/>
      <c r="G854" s="21" t="b">
        <f t="shared" ref="G854:H854" si="762">ISBLANK(M854)</f>
        <v>1</v>
      </c>
      <c r="H854" s="21" t="b">
        <f t="shared" si="762"/>
        <v>1</v>
      </c>
      <c r="I854" s="25"/>
      <c r="J854" s="25"/>
      <c r="K854" s="25"/>
      <c r="L854" s="25"/>
      <c r="M854" s="16"/>
      <c r="N854" s="16"/>
      <c r="O854" s="25"/>
      <c r="P854" s="25"/>
      <c r="Q854" s="25"/>
      <c r="R854" s="25"/>
      <c r="S854" s="25"/>
      <c r="T854" s="25"/>
      <c r="U854" s="25"/>
      <c r="V854" s="25"/>
      <c r="W854" s="25"/>
      <c r="X854" s="25"/>
      <c r="Y854" s="25"/>
      <c r="Z854" s="25"/>
      <c r="AA854" s="25"/>
      <c r="AB854" s="25"/>
    </row>
    <row r="855">
      <c r="A855" s="25"/>
      <c r="B855" s="25"/>
      <c r="C855" s="25"/>
      <c r="D855" s="25"/>
      <c r="E855" s="25"/>
      <c r="F855" s="241"/>
      <c r="G855" s="21" t="b">
        <f t="shared" ref="G855:H855" si="763">ISBLANK(M855)</f>
        <v>1</v>
      </c>
      <c r="H855" s="21" t="b">
        <f t="shared" si="763"/>
        <v>1</v>
      </c>
      <c r="I855" s="25"/>
      <c r="J855" s="25"/>
      <c r="K855" s="25"/>
      <c r="L855" s="25"/>
      <c r="M855" s="16"/>
      <c r="N855" s="16"/>
      <c r="O855" s="25"/>
      <c r="P855" s="25"/>
      <c r="Q855" s="25"/>
      <c r="R855" s="25"/>
      <c r="S855" s="25"/>
      <c r="T855" s="25"/>
      <c r="U855" s="25"/>
      <c r="V855" s="25"/>
      <c r="W855" s="25"/>
      <c r="X855" s="25"/>
      <c r="Y855" s="25"/>
      <c r="Z855" s="25"/>
      <c r="AA855" s="25"/>
      <c r="AB855" s="25"/>
    </row>
    <row r="856">
      <c r="A856" s="25"/>
      <c r="B856" s="25"/>
      <c r="C856" s="25"/>
      <c r="D856" s="25"/>
      <c r="E856" s="25"/>
      <c r="F856" s="241"/>
      <c r="G856" s="21" t="b">
        <f t="shared" ref="G856:H856" si="764">ISBLANK(M856)</f>
        <v>1</v>
      </c>
      <c r="H856" s="21" t="b">
        <f t="shared" si="764"/>
        <v>1</v>
      </c>
      <c r="I856" s="25"/>
      <c r="J856" s="25"/>
      <c r="K856" s="25"/>
      <c r="L856" s="25"/>
      <c r="M856" s="16"/>
      <c r="N856" s="16"/>
      <c r="O856" s="25"/>
      <c r="P856" s="25"/>
      <c r="Q856" s="25"/>
      <c r="R856" s="25"/>
      <c r="S856" s="25"/>
      <c r="T856" s="25"/>
      <c r="U856" s="25"/>
      <c r="V856" s="25"/>
      <c r="W856" s="25"/>
      <c r="X856" s="25"/>
      <c r="Y856" s="25"/>
      <c r="Z856" s="25"/>
      <c r="AA856" s="25"/>
      <c r="AB856" s="25"/>
    </row>
    <row r="857">
      <c r="A857" s="25"/>
      <c r="B857" s="25"/>
      <c r="C857" s="25"/>
      <c r="D857" s="25"/>
      <c r="E857" s="25"/>
      <c r="F857" s="241"/>
      <c r="G857" s="21" t="b">
        <f t="shared" ref="G857:H857" si="765">ISBLANK(M857)</f>
        <v>1</v>
      </c>
      <c r="H857" s="21" t="b">
        <f t="shared" si="765"/>
        <v>1</v>
      </c>
      <c r="I857" s="25"/>
      <c r="J857" s="25"/>
      <c r="K857" s="25"/>
      <c r="L857" s="25"/>
      <c r="M857" s="16"/>
      <c r="N857" s="16"/>
      <c r="O857" s="25"/>
      <c r="P857" s="25"/>
      <c r="Q857" s="25"/>
      <c r="R857" s="25"/>
      <c r="S857" s="25"/>
      <c r="T857" s="25"/>
      <c r="U857" s="25"/>
      <c r="V857" s="25"/>
      <c r="W857" s="25"/>
      <c r="X857" s="25"/>
      <c r="Y857" s="25"/>
      <c r="Z857" s="25"/>
      <c r="AA857" s="25"/>
      <c r="AB857" s="25"/>
    </row>
    <row r="858">
      <c r="A858" s="25"/>
      <c r="B858" s="25"/>
      <c r="C858" s="25"/>
      <c r="D858" s="25"/>
      <c r="E858" s="25"/>
      <c r="F858" s="241"/>
      <c r="G858" s="21" t="b">
        <f t="shared" ref="G858:H858" si="766">ISBLANK(M858)</f>
        <v>1</v>
      </c>
      <c r="H858" s="21" t="b">
        <f t="shared" si="766"/>
        <v>1</v>
      </c>
      <c r="I858" s="25"/>
      <c r="J858" s="25"/>
      <c r="K858" s="25"/>
      <c r="L858" s="25"/>
      <c r="M858" s="16"/>
      <c r="N858" s="16"/>
      <c r="O858" s="25"/>
      <c r="P858" s="25"/>
      <c r="Q858" s="25"/>
      <c r="R858" s="25"/>
      <c r="S858" s="25"/>
      <c r="T858" s="25"/>
      <c r="U858" s="25"/>
      <c r="V858" s="25"/>
      <c r="W858" s="25"/>
      <c r="X858" s="25"/>
      <c r="Y858" s="25"/>
      <c r="Z858" s="25"/>
      <c r="AA858" s="25"/>
      <c r="AB858" s="25"/>
    </row>
    <row r="859">
      <c r="A859" s="25"/>
      <c r="B859" s="25"/>
      <c r="C859" s="25"/>
      <c r="D859" s="25"/>
      <c r="E859" s="25"/>
      <c r="F859" s="241"/>
      <c r="G859" s="21" t="b">
        <f t="shared" ref="G859:H859" si="767">ISBLANK(M859)</f>
        <v>1</v>
      </c>
      <c r="H859" s="21" t="b">
        <f t="shared" si="767"/>
        <v>1</v>
      </c>
      <c r="I859" s="25"/>
      <c r="J859" s="25"/>
      <c r="K859" s="25"/>
      <c r="L859" s="25"/>
      <c r="M859" s="16"/>
      <c r="N859" s="16"/>
      <c r="O859" s="25"/>
      <c r="P859" s="25"/>
      <c r="Q859" s="25"/>
      <c r="R859" s="25"/>
      <c r="S859" s="25"/>
      <c r="T859" s="25"/>
      <c r="U859" s="25"/>
      <c r="V859" s="25"/>
      <c r="W859" s="25"/>
      <c r="X859" s="25"/>
      <c r="Y859" s="25"/>
      <c r="Z859" s="25"/>
      <c r="AA859" s="25"/>
      <c r="AB859" s="25"/>
    </row>
    <row r="860">
      <c r="A860" s="25"/>
      <c r="B860" s="25"/>
      <c r="C860" s="25"/>
      <c r="D860" s="25"/>
      <c r="E860" s="25"/>
      <c r="F860" s="241"/>
      <c r="G860" s="21" t="b">
        <f t="shared" ref="G860:H860" si="768">ISBLANK(M860)</f>
        <v>1</v>
      </c>
      <c r="H860" s="21" t="b">
        <f t="shared" si="768"/>
        <v>1</v>
      </c>
      <c r="I860" s="25"/>
      <c r="J860" s="25"/>
      <c r="K860" s="25"/>
      <c r="L860" s="25"/>
      <c r="M860" s="16"/>
      <c r="N860" s="16"/>
      <c r="O860" s="25"/>
      <c r="P860" s="25"/>
      <c r="Q860" s="25"/>
      <c r="R860" s="25"/>
      <c r="S860" s="25"/>
      <c r="T860" s="25"/>
      <c r="U860" s="25"/>
      <c r="V860" s="25"/>
      <c r="W860" s="25"/>
      <c r="X860" s="25"/>
      <c r="Y860" s="25"/>
      <c r="Z860" s="25"/>
      <c r="AA860" s="25"/>
      <c r="AB860" s="25"/>
    </row>
    <row r="861">
      <c r="A861" s="25"/>
      <c r="B861" s="25"/>
      <c r="C861" s="25"/>
      <c r="D861" s="25"/>
      <c r="E861" s="25"/>
      <c r="F861" s="241"/>
      <c r="G861" s="21" t="b">
        <f t="shared" ref="G861:H861" si="769">ISBLANK(M861)</f>
        <v>1</v>
      </c>
      <c r="H861" s="21" t="b">
        <f t="shared" si="769"/>
        <v>1</v>
      </c>
      <c r="I861" s="25"/>
      <c r="J861" s="25"/>
      <c r="K861" s="25"/>
      <c r="L861" s="25"/>
      <c r="M861" s="16"/>
      <c r="N861" s="16"/>
      <c r="O861" s="25"/>
      <c r="P861" s="25"/>
      <c r="Q861" s="25"/>
      <c r="R861" s="25"/>
      <c r="S861" s="25"/>
      <c r="T861" s="25"/>
      <c r="U861" s="25"/>
      <c r="V861" s="25"/>
      <c r="W861" s="25"/>
      <c r="X861" s="25"/>
      <c r="Y861" s="25"/>
      <c r="Z861" s="25"/>
      <c r="AA861" s="25"/>
      <c r="AB861" s="25"/>
    </row>
    <row r="862">
      <c r="A862" s="25"/>
      <c r="B862" s="25"/>
      <c r="C862" s="25"/>
      <c r="D862" s="25"/>
      <c r="E862" s="25"/>
      <c r="F862" s="241"/>
      <c r="G862" s="21" t="b">
        <f t="shared" ref="G862:H862" si="770">ISBLANK(M862)</f>
        <v>1</v>
      </c>
      <c r="H862" s="21" t="b">
        <f t="shared" si="770"/>
        <v>1</v>
      </c>
      <c r="I862" s="25"/>
      <c r="J862" s="25"/>
      <c r="K862" s="25"/>
      <c r="L862" s="25"/>
      <c r="M862" s="16"/>
      <c r="N862" s="16"/>
      <c r="O862" s="25"/>
      <c r="P862" s="25"/>
      <c r="Q862" s="25"/>
      <c r="R862" s="25"/>
      <c r="S862" s="25"/>
      <c r="T862" s="25"/>
      <c r="U862" s="25"/>
      <c r="V862" s="25"/>
      <c r="W862" s="25"/>
      <c r="X862" s="25"/>
      <c r="Y862" s="25"/>
      <c r="Z862" s="25"/>
      <c r="AA862" s="25"/>
      <c r="AB862" s="25"/>
    </row>
    <row r="863">
      <c r="A863" s="25"/>
      <c r="B863" s="25"/>
      <c r="C863" s="25"/>
      <c r="D863" s="25"/>
      <c r="E863" s="25"/>
      <c r="F863" s="241"/>
      <c r="G863" s="21" t="b">
        <f t="shared" ref="G863:H863" si="771">ISBLANK(M863)</f>
        <v>1</v>
      </c>
      <c r="H863" s="21" t="b">
        <f t="shared" si="771"/>
        <v>1</v>
      </c>
      <c r="I863" s="25"/>
      <c r="J863" s="25"/>
      <c r="K863" s="25"/>
      <c r="L863" s="25"/>
      <c r="M863" s="16"/>
      <c r="N863" s="16"/>
      <c r="O863" s="25"/>
      <c r="P863" s="25"/>
      <c r="Q863" s="25"/>
      <c r="R863" s="25"/>
      <c r="S863" s="25"/>
      <c r="T863" s="25"/>
      <c r="U863" s="25"/>
      <c r="V863" s="25"/>
      <c r="W863" s="25"/>
      <c r="X863" s="25"/>
      <c r="Y863" s="25"/>
      <c r="Z863" s="25"/>
      <c r="AA863" s="25"/>
      <c r="AB863" s="25"/>
    </row>
    <row r="864">
      <c r="A864" s="25"/>
      <c r="B864" s="25"/>
      <c r="C864" s="25"/>
      <c r="D864" s="25"/>
      <c r="E864" s="25"/>
      <c r="F864" s="241"/>
      <c r="G864" s="21" t="b">
        <f t="shared" ref="G864:H864" si="772">ISBLANK(M864)</f>
        <v>1</v>
      </c>
      <c r="H864" s="21" t="b">
        <f t="shared" si="772"/>
        <v>1</v>
      </c>
      <c r="I864" s="25"/>
      <c r="J864" s="25"/>
      <c r="K864" s="25"/>
      <c r="L864" s="25"/>
      <c r="M864" s="16"/>
      <c r="N864" s="16"/>
      <c r="O864" s="25"/>
      <c r="P864" s="25"/>
      <c r="Q864" s="25"/>
      <c r="R864" s="25"/>
      <c r="S864" s="25"/>
      <c r="T864" s="25"/>
      <c r="U864" s="25"/>
      <c r="V864" s="25"/>
      <c r="W864" s="25"/>
      <c r="X864" s="25"/>
      <c r="Y864" s="25"/>
      <c r="Z864" s="25"/>
      <c r="AA864" s="25"/>
      <c r="AB864" s="25"/>
    </row>
    <row r="865">
      <c r="A865" s="25"/>
      <c r="B865" s="25"/>
      <c r="C865" s="25"/>
      <c r="D865" s="25"/>
      <c r="E865" s="25"/>
      <c r="F865" s="241"/>
      <c r="G865" s="21" t="b">
        <f t="shared" ref="G865:H865" si="773">ISBLANK(M865)</f>
        <v>1</v>
      </c>
      <c r="H865" s="21" t="b">
        <f t="shared" si="773"/>
        <v>1</v>
      </c>
      <c r="I865" s="25"/>
      <c r="J865" s="25"/>
      <c r="K865" s="25"/>
      <c r="L865" s="25"/>
      <c r="M865" s="16"/>
      <c r="N865" s="16"/>
      <c r="O865" s="25"/>
      <c r="P865" s="25"/>
      <c r="Q865" s="25"/>
      <c r="R865" s="25"/>
      <c r="S865" s="25"/>
      <c r="T865" s="25"/>
      <c r="U865" s="25"/>
      <c r="V865" s="25"/>
      <c r="W865" s="25"/>
      <c r="X865" s="25"/>
      <c r="Y865" s="25"/>
      <c r="Z865" s="25"/>
      <c r="AA865" s="25"/>
      <c r="AB865" s="25"/>
    </row>
    <row r="866">
      <c r="A866" s="25"/>
      <c r="B866" s="25"/>
      <c r="C866" s="25"/>
      <c r="D866" s="25"/>
      <c r="E866" s="25"/>
      <c r="F866" s="241"/>
      <c r="G866" s="21" t="b">
        <f t="shared" ref="G866:H866" si="774">ISBLANK(M866)</f>
        <v>1</v>
      </c>
      <c r="H866" s="21" t="b">
        <f t="shared" si="774"/>
        <v>1</v>
      </c>
      <c r="I866" s="25"/>
      <c r="J866" s="25"/>
      <c r="K866" s="25"/>
      <c r="L866" s="25"/>
      <c r="M866" s="16"/>
      <c r="N866" s="16"/>
      <c r="O866" s="25"/>
      <c r="P866" s="25"/>
      <c r="Q866" s="25"/>
      <c r="R866" s="25"/>
      <c r="S866" s="25"/>
      <c r="T866" s="25"/>
      <c r="U866" s="25"/>
      <c r="V866" s="25"/>
      <c r="W866" s="25"/>
      <c r="X866" s="25"/>
      <c r="Y866" s="25"/>
      <c r="Z866" s="25"/>
      <c r="AA866" s="25"/>
      <c r="AB866" s="25"/>
    </row>
    <row r="867">
      <c r="A867" s="25"/>
      <c r="B867" s="25"/>
      <c r="C867" s="25"/>
      <c r="D867" s="25"/>
      <c r="E867" s="25"/>
      <c r="F867" s="241"/>
      <c r="G867" s="21" t="b">
        <f t="shared" ref="G867:H867" si="775">ISBLANK(M867)</f>
        <v>1</v>
      </c>
      <c r="H867" s="21" t="b">
        <f t="shared" si="775"/>
        <v>1</v>
      </c>
      <c r="I867" s="25"/>
      <c r="J867" s="25"/>
      <c r="K867" s="25"/>
      <c r="L867" s="25"/>
      <c r="M867" s="16"/>
      <c r="N867" s="16"/>
      <c r="O867" s="25"/>
      <c r="P867" s="25"/>
      <c r="Q867" s="25"/>
      <c r="R867" s="25"/>
      <c r="S867" s="25"/>
      <c r="T867" s="25"/>
      <c r="U867" s="25"/>
      <c r="V867" s="25"/>
      <c r="W867" s="25"/>
      <c r="X867" s="25"/>
      <c r="Y867" s="25"/>
      <c r="Z867" s="25"/>
      <c r="AA867" s="25"/>
      <c r="AB867" s="25"/>
    </row>
    <row r="868">
      <c r="A868" s="25"/>
      <c r="B868" s="25"/>
      <c r="C868" s="25"/>
      <c r="D868" s="25"/>
      <c r="E868" s="25"/>
      <c r="F868" s="241"/>
      <c r="G868" s="21" t="b">
        <f t="shared" ref="G868:H868" si="776">ISBLANK(M868)</f>
        <v>1</v>
      </c>
      <c r="H868" s="21" t="b">
        <f t="shared" si="776"/>
        <v>1</v>
      </c>
      <c r="I868" s="25"/>
      <c r="J868" s="25"/>
      <c r="K868" s="25"/>
      <c r="L868" s="25"/>
      <c r="M868" s="16"/>
      <c r="N868" s="16"/>
      <c r="O868" s="25"/>
      <c r="P868" s="25"/>
      <c r="Q868" s="25"/>
      <c r="R868" s="25"/>
      <c r="S868" s="25"/>
      <c r="T868" s="25"/>
      <c r="U868" s="25"/>
      <c r="V868" s="25"/>
      <c r="W868" s="25"/>
      <c r="X868" s="25"/>
      <c r="Y868" s="25"/>
      <c r="Z868" s="25"/>
      <c r="AA868" s="25"/>
      <c r="AB868" s="25"/>
    </row>
    <row r="869">
      <c r="A869" s="25"/>
      <c r="B869" s="25"/>
      <c r="C869" s="25"/>
      <c r="D869" s="25"/>
      <c r="E869" s="25"/>
      <c r="F869" s="241"/>
      <c r="G869" s="21" t="b">
        <f t="shared" ref="G869:H869" si="777">ISBLANK(M869)</f>
        <v>1</v>
      </c>
      <c r="H869" s="21" t="b">
        <f t="shared" si="777"/>
        <v>1</v>
      </c>
      <c r="I869" s="25"/>
      <c r="J869" s="25"/>
      <c r="K869" s="25"/>
      <c r="L869" s="25"/>
      <c r="M869" s="16"/>
      <c r="N869" s="16"/>
      <c r="O869" s="25"/>
      <c r="P869" s="25"/>
      <c r="Q869" s="25"/>
      <c r="R869" s="25"/>
      <c r="S869" s="25"/>
      <c r="T869" s="25"/>
      <c r="U869" s="25"/>
      <c r="V869" s="25"/>
      <c r="W869" s="25"/>
      <c r="X869" s="25"/>
      <c r="Y869" s="25"/>
      <c r="Z869" s="25"/>
      <c r="AA869" s="25"/>
      <c r="AB869" s="25"/>
    </row>
    <row r="870">
      <c r="A870" s="25"/>
      <c r="B870" s="25"/>
      <c r="C870" s="25"/>
      <c r="D870" s="25"/>
      <c r="E870" s="25"/>
      <c r="F870" s="241"/>
      <c r="G870" s="21" t="b">
        <f t="shared" ref="G870:H870" si="778">ISBLANK(M870)</f>
        <v>1</v>
      </c>
      <c r="H870" s="21" t="b">
        <f t="shared" si="778"/>
        <v>1</v>
      </c>
      <c r="I870" s="25"/>
      <c r="J870" s="25"/>
      <c r="K870" s="25"/>
      <c r="L870" s="25"/>
      <c r="M870" s="16"/>
      <c r="N870" s="16"/>
      <c r="O870" s="25"/>
      <c r="P870" s="25"/>
      <c r="Q870" s="25"/>
      <c r="R870" s="25"/>
      <c r="S870" s="25"/>
      <c r="T870" s="25"/>
      <c r="U870" s="25"/>
      <c r="V870" s="25"/>
      <c r="W870" s="25"/>
      <c r="X870" s="25"/>
      <c r="Y870" s="25"/>
      <c r="Z870" s="25"/>
      <c r="AA870" s="25"/>
      <c r="AB870" s="25"/>
    </row>
    <row r="871">
      <c r="A871" s="25"/>
      <c r="B871" s="25"/>
      <c r="C871" s="25"/>
      <c r="D871" s="25"/>
      <c r="E871" s="25"/>
      <c r="F871" s="241"/>
      <c r="G871" s="21" t="b">
        <f t="shared" ref="G871:H871" si="779">ISBLANK(M871)</f>
        <v>1</v>
      </c>
      <c r="H871" s="21" t="b">
        <f t="shared" si="779"/>
        <v>1</v>
      </c>
      <c r="I871" s="25"/>
      <c r="J871" s="25"/>
      <c r="K871" s="25"/>
      <c r="L871" s="25"/>
      <c r="M871" s="16"/>
      <c r="N871" s="16"/>
      <c r="O871" s="25"/>
      <c r="P871" s="25"/>
      <c r="Q871" s="25"/>
      <c r="R871" s="25"/>
      <c r="S871" s="25"/>
      <c r="T871" s="25"/>
      <c r="U871" s="25"/>
      <c r="V871" s="25"/>
      <c r="W871" s="25"/>
      <c r="X871" s="25"/>
      <c r="Y871" s="25"/>
      <c r="Z871" s="25"/>
      <c r="AA871" s="25"/>
      <c r="AB871" s="25"/>
    </row>
    <row r="872">
      <c r="A872" s="25"/>
      <c r="B872" s="25"/>
      <c r="C872" s="25"/>
      <c r="D872" s="25"/>
      <c r="E872" s="25"/>
      <c r="F872" s="241"/>
      <c r="G872" s="21" t="b">
        <f t="shared" ref="G872:H872" si="780">ISBLANK(M872)</f>
        <v>1</v>
      </c>
      <c r="H872" s="21" t="b">
        <f t="shared" si="780"/>
        <v>1</v>
      </c>
      <c r="I872" s="25"/>
      <c r="J872" s="25"/>
      <c r="K872" s="25"/>
      <c r="L872" s="25"/>
      <c r="M872" s="16"/>
      <c r="N872" s="16"/>
      <c r="O872" s="25"/>
      <c r="P872" s="25"/>
      <c r="Q872" s="25"/>
      <c r="R872" s="25"/>
      <c r="S872" s="25"/>
      <c r="T872" s="25"/>
      <c r="U872" s="25"/>
      <c r="V872" s="25"/>
      <c r="W872" s="25"/>
      <c r="X872" s="25"/>
      <c r="Y872" s="25"/>
      <c r="Z872" s="25"/>
      <c r="AA872" s="25"/>
      <c r="AB872" s="25"/>
    </row>
    <row r="873">
      <c r="A873" s="25"/>
      <c r="B873" s="25"/>
      <c r="C873" s="25"/>
      <c r="D873" s="25"/>
      <c r="E873" s="25"/>
      <c r="F873" s="241"/>
      <c r="G873" s="21" t="b">
        <f t="shared" ref="G873:H873" si="781">ISBLANK(M873)</f>
        <v>1</v>
      </c>
      <c r="H873" s="21" t="b">
        <f t="shared" si="781"/>
        <v>1</v>
      </c>
      <c r="I873" s="25"/>
      <c r="J873" s="25"/>
      <c r="K873" s="25"/>
      <c r="L873" s="25"/>
      <c r="M873" s="16"/>
      <c r="N873" s="16"/>
      <c r="O873" s="25"/>
      <c r="P873" s="25"/>
      <c r="Q873" s="25"/>
      <c r="R873" s="25"/>
      <c r="S873" s="25"/>
      <c r="T873" s="25"/>
      <c r="U873" s="25"/>
      <c r="V873" s="25"/>
      <c r="W873" s="25"/>
      <c r="X873" s="25"/>
      <c r="Y873" s="25"/>
      <c r="Z873" s="25"/>
      <c r="AA873" s="25"/>
      <c r="AB873" s="25"/>
    </row>
    <row r="874">
      <c r="A874" s="25"/>
      <c r="B874" s="25"/>
      <c r="C874" s="25"/>
      <c r="D874" s="25"/>
      <c r="E874" s="25"/>
      <c r="F874" s="241"/>
      <c r="G874" s="21" t="b">
        <f t="shared" ref="G874:H874" si="782">ISBLANK(M874)</f>
        <v>1</v>
      </c>
      <c r="H874" s="21" t="b">
        <f t="shared" si="782"/>
        <v>1</v>
      </c>
      <c r="I874" s="25"/>
      <c r="J874" s="25"/>
      <c r="K874" s="25"/>
      <c r="L874" s="25"/>
      <c r="M874" s="16"/>
      <c r="N874" s="16"/>
      <c r="O874" s="25"/>
      <c r="P874" s="25"/>
      <c r="Q874" s="25"/>
      <c r="R874" s="25"/>
      <c r="S874" s="25"/>
      <c r="T874" s="25"/>
      <c r="U874" s="25"/>
      <c r="V874" s="25"/>
      <c r="W874" s="25"/>
      <c r="X874" s="25"/>
      <c r="Y874" s="25"/>
      <c r="Z874" s="25"/>
      <c r="AA874" s="25"/>
      <c r="AB874" s="25"/>
    </row>
    <row r="875">
      <c r="A875" s="25"/>
      <c r="B875" s="25"/>
      <c r="C875" s="25"/>
      <c r="D875" s="25"/>
      <c r="E875" s="25"/>
      <c r="F875" s="241"/>
      <c r="G875" s="21" t="b">
        <f t="shared" ref="G875:H875" si="783">ISBLANK(M875)</f>
        <v>1</v>
      </c>
      <c r="H875" s="21" t="b">
        <f t="shared" si="783"/>
        <v>1</v>
      </c>
      <c r="I875" s="25"/>
      <c r="J875" s="25"/>
      <c r="K875" s="25"/>
      <c r="L875" s="25"/>
      <c r="M875" s="16"/>
      <c r="N875" s="16"/>
      <c r="O875" s="25"/>
      <c r="P875" s="25"/>
      <c r="Q875" s="25"/>
      <c r="R875" s="25"/>
      <c r="S875" s="25"/>
      <c r="T875" s="25"/>
      <c r="U875" s="25"/>
      <c r="V875" s="25"/>
      <c r="W875" s="25"/>
      <c r="X875" s="25"/>
      <c r="Y875" s="25"/>
      <c r="Z875" s="25"/>
      <c r="AA875" s="25"/>
      <c r="AB875" s="25"/>
    </row>
    <row r="876">
      <c r="A876" s="25"/>
      <c r="B876" s="25"/>
      <c r="C876" s="25"/>
      <c r="D876" s="25"/>
      <c r="E876" s="25"/>
      <c r="F876" s="241"/>
      <c r="G876" s="21" t="b">
        <f t="shared" ref="G876:H876" si="784">ISBLANK(M876)</f>
        <v>1</v>
      </c>
      <c r="H876" s="21" t="b">
        <f t="shared" si="784"/>
        <v>1</v>
      </c>
      <c r="I876" s="25"/>
      <c r="J876" s="25"/>
      <c r="K876" s="25"/>
      <c r="L876" s="25"/>
      <c r="M876" s="16"/>
      <c r="N876" s="16"/>
      <c r="O876" s="25"/>
      <c r="P876" s="25"/>
      <c r="Q876" s="25"/>
      <c r="R876" s="25"/>
      <c r="S876" s="25"/>
      <c r="T876" s="25"/>
      <c r="U876" s="25"/>
      <c r="V876" s="25"/>
      <c r="W876" s="25"/>
      <c r="X876" s="25"/>
      <c r="Y876" s="25"/>
      <c r="Z876" s="25"/>
      <c r="AA876" s="25"/>
      <c r="AB876" s="25"/>
    </row>
    <row r="877">
      <c r="A877" s="25"/>
      <c r="B877" s="25"/>
      <c r="C877" s="25"/>
      <c r="D877" s="25"/>
      <c r="E877" s="25"/>
      <c r="F877" s="241"/>
      <c r="G877" s="21" t="b">
        <f t="shared" ref="G877:H877" si="785">ISBLANK(M877)</f>
        <v>1</v>
      </c>
      <c r="H877" s="21" t="b">
        <f t="shared" si="785"/>
        <v>1</v>
      </c>
      <c r="I877" s="25"/>
      <c r="J877" s="25"/>
      <c r="K877" s="25"/>
      <c r="L877" s="25"/>
      <c r="M877" s="16"/>
      <c r="N877" s="16"/>
      <c r="O877" s="25"/>
      <c r="P877" s="25"/>
      <c r="Q877" s="25"/>
      <c r="R877" s="25"/>
      <c r="S877" s="25"/>
      <c r="T877" s="25"/>
      <c r="U877" s="25"/>
      <c r="V877" s="25"/>
      <c r="W877" s="25"/>
      <c r="X877" s="25"/>
      <c r="Y877" s="25"/>
      <c r="Z877" s="25"/>
      <c r="AA877" s="25"/>
      <c r="AB877" s="25"/>
    </row>
    <row r="878">
      <c r="A878" s="25"/>
      <c r="B878" s="25"/>
      <c r="C878" s="25"/>
      <c r="D878" s="25"/>
      <c r="E878" s="25"/>
      <c r="F878" s="241"/>
      <c r="G878" s="21" t="b">
        <f t="shared" ref="G878:H878" si="786">ISBLANK(M878)</f>
        <v>1</v>
      </c>
      <c r="H878" s="21" t="b">
        <f t="shared" si="786"/>
        <v>1</v>
      </c>
      <c r="I878" s="25"/>
      <c r="J878" s="25"/>
      <c r="K878" s="25"/>
      <c r="L878" s="25"/>
      <c r="M878" s="16"/>
      <c r="N878" s="16"/>
      <c r="O878" s="25"/>
      <c r="P878" s="25"/>
      <c r="Q878" s="25"/>
      <c r="R878" s="25"/>
      <c r="S878" s="25"/>
      <c r="T878" s="25"/>
      <c r="U878" s="25"/>
      <c r="V878" s="25"/>
      <c r="W878" s="25"/>
      <c r="X878" s="25"/>
      <c r="Y878" s="25"/>
      <c r="Z878" s="25"/>
      <c r="AA878" s="25"/>
      <c r="AB878" s="25"/>
    </row>
    <row r="879">
      <c r="A879" s="25"/>
      <c r="B879" s="25"/>
      <c r="C879" s="25"/>
      <c r="D879" s="25"/>
      <c r="E879" s="25"/>
      <c r="F879" s="241"/>
      <c r="G879" s="21" t="b">
        <f t="shared" ref="G879:H879" si="787">ISBLANK(M879)</f>
        <v>1</v>
      </c>
      <c r="H879" s="21" t="b">
        <f t="shared" si="787"/>
        <v>1</v>
      </c>
      <c r="I879" s="25"/>
      <c r="J879" s="25"/>
      <c r="K879" s="25"/>
      <c r="L879" s="25"/>
      <c r="M879" s="16"/>
      <c r="N879" s="16"/>
      <c r="O879" s="25"/>
      <c r="P879" s="25"/>
      <c r="Q879" s="25"/>
      <c r="R879" s="25"/>
      <c r="S879" s="25"/>
      <c r="T879" s="25"/>
      <c r="U879" s="25"/>
      <c r="V879" s="25"/>
      <c r="W879" s="25"/>
      <c r="X879" s="25"/>
      <c r="Y879" s="25"/>
      <c r="Z879" s="25"/>
      <c r="AA879" s="25"/>
      <c r="AB879" s="25"/>
    </row>
    <row r="880">
      <c r="A880" s="25"/>
      <c r="B880" s="25"/>
      <c r="C880" s="25"/>
      <c r="D880" s="25"/>
      <c r="E880" s="25"/>
      <c r="F880" s="241"/>
      <c r="G880" s="21" t="b">
        <f t="shared" ref="G880:H880" si="788">ISBLANK(M880)</f>
        <v>1</v>
      </c>
      <c r="H880" s="21" t="b">
        <f t="shared" si="788"/>
        <v>1</v>
      </c>
      <c r="I880" s="25"/>
      <c r="J880" s="25"/>
      <c r="K880" s="25"/>
      <c r="L880" s="25"/>
      <c r="M880" s="16"/>
      <c r="N880" s="16"/>
      <c r="O880" s="25"/>
      <c r="P880" s="25"/>
      <c r="Q880" s="25"/>
      <c r="R880" s="25"/>
      <c r="S880" s="25"/>
      <c r="T880" s="25"/>
      <c r="U880" s="25"/>
      <c r="V880" s="25"/>
      <c r="W880" s="25"/>
      <c r="X880" s="25"/>
      <c r="Y880" s="25"/>
      <c r="Z880" s="25"/>
      <c r="AA880" s="25"/>
      <c r="AB880" s="25"/>
    </row>
    <row r="881">
      <c r="A881" s="25"/>
      <c r="B881" s="25"/>
      <c r="C881" s="25"/>
      <c r="D881" s="25"/>
      <c r="E881" s="25"/>
      <c r="F881" s="241"/>
      <c r="G881" s="21" t="b">
        <f t="shared" ref="G881:H881" si="789">ISBLANK(M881)</f>
        <v>1</v>
      </c>
      <c r="H881" s="21" t="b">
        <f t="shared" si="789"/>
        <v>1</v>
      </c>
      <c r="I881" s="25"/>
      <c r="J881" s="25"/>
      <c r="K881" s="25"/>
      <c r="L881" s="25"/>
      <c r="M881" s="16"/>
      <c r="N881" s="16"/>
      <c r="O881" s="25"/>
      <c r="P881" s="25"/>
      <c r="Q881" s="25"/>
      <c r="R881" s="25"/>
      <c r="S881" s="25"/>
      <c r="T881" s="25"/>
      <c r="U881" s="25"/>
      <c r="V881" s="25"/>
      <c r="W881" s="25"/>
      <c r="X881" s="25"/>
      <c r="Y881" s="25"/>
      <c r="Z881" s="25"/>
      <c r="AA881" s="25"/>
      <c r="AB881" s="25"/>
    </row>
    <row r="882">
      <c r="A882" s="25"/>
      <c r="B882" s="25"/>
      <c r="C882" s="25"/>
      <c r="D882" s="25"/>
      <c r="E882" s="25"/>
      <c r="F882" s="241"/>
      <c r="G882" s="21" t="b">
        <f t="shared" ref="G882:H882" si="790">ISBLANK(M882)</f>
        <v>1</v>
      </c>
      <c r="H882" s="21" t="b">
        <f t="shared" si="790"/>
        <v>1</v>
      </c>
      <c r="I882" s="25"/>
      <c r="J882" s="25"/>
      <c r="K882" s="25"/>
      <c r="L882" s="25"/>
      <c r="M882" s="16"/>
      <c r="N882" s="16"/>
      <c r="O882" s="25"/>
      <c r="P882" s="25"/>
      <c r="Q882" s="25"/>
      <c r="R882" s="25"/>
      <c r="S882" s="25"/>
      <c r="T882" s="25"/>
      <c r="U882" s="25"/>
      <c r="V882" s="25"/>
      <c r="W882" s="25"/>
      <c r="X882" s="25"/>
      <c r="Y882" s="25"/>
      <c r="Z882" s="25"/>
      <c r="AA882" s="25"/>
      <c r="AB882" s="25"/>
    </row>
    <row r="883">
      <c r="A883" s="25"/>
      <c r="B883" s="25"/>
      <c r="C883" s="25"/>
      <c r="D883" s="25"/>
      <c r="E883" s="25"/>
      <c r="F883" s="241"/>
      <c r="G883" s="21" t="b">
        <f t="shared" ref="G883:H883" si="791">ISBLANK(M883)</f>
        <v>1</v>
      </c>
      <c r="H883" s="21" t="b">
        <f t="shared" si="791"/>
        <v>1</v>
      </c>
      <c r="I883" s="25"/>
      <c r="J883" s="25"/>
      <c r="K883" s="25"/>
      <c r="L883" s="25"/>
      <c r="M883" s="16"/>
      <c r="N883" s="16"/>
      <c r="O883" s="25"/>
      <c r="P883" s="25"/>
      <c r="Q883" s="25"/>
      <c r="R883" s="25"/>
      <c r="S883" s="25"/>
      <c r="T883" s="25"/>
      <c r="U883" s="25"/>
      <c r="V883" s="25"/>
      <c r="W883" s="25"/>
      <c r="X883" s="25"/>
      <c r="Y883" s="25"/>
      <c r="Z883" s="25"/>
      <c r="AA883" s="25"/>
      <c r="AB883" s="25"/>
    </row>
    <row r="884">
      <c r="A884" s="25"/>
      <c r="B884" s="25"/>
      <c r="C884" s="25"/>
      <c r="D884" s="25"/>
      <c r="E884" s="25"/>
      <c r="F884" s="241"/>
      <c r="G884" s="21" t="b">
        <f t="shared" ref="G884:H884" si="792">ISBLANK(M884)</f>
        <v>1</v>
      </c>
      <c r="H884" s="21" t="b">
        <f t="shared" si="792"/>
        <v>1</v>
      </c>
      <c r="I884" s="25"/>
      <c r="J884" s="25"/>
      <c r="K884" s="25"/>
      <c r="L884" s="25"/>
      <c r="M884" s="16"/>
      <c r="N884" s="16"/>
      <c r="O884" s="25"/>
      <c r="P884" s="25"/>
      <c r="Q884" s="25"/>
      <c r="R884" s="25"/>
      <c r="S884" s="25"/>
      <c r="T884" s="25"/>
      <c r="U884" s="25"/>
      <c r="V884" s="25"/>
      <c r="W884" s="25"/>
      <c r="X884" s="25"/>
      <c r="Y884" s="25"/>
      <c r="Z884" s="25"/>
      <c r="AA884" s="25"/>
      <c r="AB884" s="25"/>
    </row>
    <row r="885">
      <c r="A885" s="25"/>
      <c r="B885" s="25"/>
      <c r="C885" s="25"/>
      <c r="D885" s="25"/>
      <c r="E885" s="25"/>
      <c r="F885" s="241"/>
      <c r="G885" s="21" t="b">
        <f t="shared" ref="G885:H885" si="793">ISBLANK(M885)</f>
        <v>1</v>
      </c>
      <c r="H885" s="21" t="b">
        <f t="shared" si="793"/>
        <v>1</v>
      </c>
      <c r="I885" s="25"/>
      <c r="J885" s="25"/>
      <c r="K885" s="25"/>
      <c r="L885" s="25"/>
      <c r="M885" s="16"/>
      <c r="N885" s="16"/>
      <c r="O885" s="25"/>
      <c r="P885" s="25"/>
      <c r="Q885" s="25"/>
      <c r="R885" s="25"/>
      <c r="S885" s="25"/>
      <c r="T885" s="25"/>
      <c r="U885" s="25"/>
      <c r="V885" s="25"/>
      <c r="W885" s="25"/>
      <c r="X885" s="25"/>
      <c r="Y885" s="25"/>
      <c r="Z885" s="25"/>
      <c r="AA885" s="25"/>
      <c r="AB885" s="25"/>
    </row>
    <row r="886">
      <c r="A886" s="25"/>
      <c r="B886" s="25"/>
      <c r="C886" s="25"/>
      <c r="D886" s="25"/>
      <c r="E886" s="25"/>
      <c r="F886" s="241"/>
      <c r="G886" s="21" t="b">
        <f t="shared" ref="G886:H886" si="794">ISBLANK(M886)</f>
        <v>1</v>
      </c>
      <c r="H886" s="21" t="b">
        <f t="shared" si="794"/>
        <v>1</v>
      </c>
      <c r="I886" s="25"/>
      <c r="J886" s="25"/>
      <c r="K886" s="25"/>
      <c r="L886" s="25"/>
      <c r="M886" s="16"/>
      <c r="N886" s="16"/>
      <c r="O886" s="25"/>
      <c r="P886" s="25"/>
      <c r="Q886" s="25"/>
      <c r="R886" s="25"/>
      <c r="S886" s="25"/>
      <c r="T886" s="25"/>
      <c r="U886" s="25"/>
      <c r="V886" s="25"/>
      <c r="W886" s="25"/>
      <c r="X886" s="25"/>
      <c r="Y886" s="25"/>
      <c r="Z886" s="25"/>
      <c r="AA886" s="25"/>
      <c r="AB886" s="25"/>
    </row>
    <row r="887">
      <c r="A887" s="25"/>
      <c r="B887" s="25"/>
      <c r="C887" s="25"/>
      <c r="D887" s="25"/>
      <c r="E887" s="25"/>
      <c r="F887" s="241"/>
      <c r="G887" s="21" t="b">
        <f t="shared" ref="G887:H887" si="795">ISBLANK(M887)</f>
        <v>1</v>
      </c>
      <c r="H887" s="21" t="b">
        <f t="shared" si="795"/>
        <v>1</v>
      </c>
      <c r="I887" s="25"/>
      <c r="J887" s="25"/>
      <c r="K887" s="25"/>
      <c r="L887" s="25"/>
      <c r="M887" s="16"/>
      <c r="N887" s="16"/>
      <c r="O887" s="25"/>
      <c r="P887" s="25"/>
      <c r="Q887" s="25"/>
      <c r="R887" s="25"/>
      <c r="S887" s="25"/>
      <c r="T887" s="25"/>
      <c r="U887" s="25"/>
      <c r="V887" s="25"/>
      <c r="W887" s="25"/>
      <c r="X887" s="25"/>
      <c r="Y887" s="25"/>
      <c r="Z887" s="25"/>
      <c r="AA887" s="25"/>
      <c r="AB887" s="25"/>
    </row>
    <row r="888">
      <c r="A888" s="25"/>
      <c r="B888" s="25"/>
      <c r="C888" s="25"/>
      <c r="D888" s="25"/>
      <c r="E888" s="25"/>
      <c r="F888" s="241"/>
      <c r="G888" s="21" t="b">
        <f t="shared" ref="G888:H888" si="796">ISBLANK(M888)</f>
        <v>1</v>
      </c>
      <c r="H888" s="21" t="b">
        <f t="shared" si="796"/>
        <v>1</v>
      </c>
      <c r="I888" s="25"/>
      <c r="J888" s="25"/>
      <c r="K888" s="25"/>
      <c r="L888" s="25"/>
      <c r="M888" s="16"/>
      <c r="N888" s="16"/>
      <c r="O888" s="25"/>
      <c r="P888" s="25"/>
      <c r="Q888" s="25"/>
      <c r="R888" s="25"/>
      <c r="S888" s="25"/>
      <c r="T888" s="25"/>
      <c r="U888" s="25"/>
      <c r="V888" s="25"/>
      <c r="W888" s="25"/>
      <c r="X888" s="25"/>
      <c r="Y888" s="25"/>
      <c r="Z888" s="25"/>
      <c r="AA888" s="25"/>
      <c r="AB888" s="25"/>
    </row>
    <row r="889">
      <c r="A889" s="25"/>
      <c r="B889" s="25"/>
      <c r="C889" s="25"/>
      <c r="D889" s="25"/>
      <c r="E889" s="25"/>
      <c r="F889" s="241"/>
      <c r="G889" s="21" t="b">
        <f t="shared" ref="G889:H889" si="797">ISBLANK(M889)</f>
        <v>1</v>
      </c>
      <c r="H889" s="21" t="b">
        <f t="shared" si="797"/>
        <v>1</v>
      </c>
      <c r="I889" s="25"/>
      <c r="J889" s="25"/>
      <c r="K889" s="25"/>
      <c r="L889" s="25"/>
      <c r="M889" s="16"/>
      <c r="N889" s="16"/>
      <c r="O889" s="25"/>
      <c r="P889" s="25"/>
      <c r="Q889" s="25"/>
      <c r="R889" s="25"/>
      <c r="S889" s="25"/>
      <c r="T889" s="25"/>
      <c r="U889" s="25"/>
      <c r="V889" s="25"/>
      <c r="W889" s="25"/>
      <c r="X889" s="25"/>
      <c r="Y889" s="25"/>
      <c r="Z889" s="25"/>
      <c r="AA889" s="25"/>
      <c r="AB889" s="25"/>
    </row>
    <row r="890">
      <c r="A890" s="25"/>
      <c r="B890" s="25"/>
      <c r="C890" s="25"/>
      <c r="D890" s="25"/>
      <c r="E890" s="25"/>
      <c r="F890" s="241"/>
      <c r="G890" s="21" t="b">
        <f t="shared" ref="G890:H890" si="798">ISBLANK(M890)</f>
        <v>1</v>
      </c>
      <c r="H890" s="21" t="b">
        <f t="shared" si="798"/>
        <v>1</v>
      </c>
      <c r="I890" s="25"/>
      <c r="J890" s="25"/>
      <c r="K890" s="25"/>
      <c r="L890" s="25"/>
      <c r="M890" s="16"/>
      <c r="N890" s="16"/>
      <c r="O890" s="25"/>
      <c r="P890" s="25"/>
      <c r="Q890" s="25"/>
      <c r="R890" s="25"/>
      <c r="S890" s="25"/>
      <c r="T890" s="25"/>
      <c r="U890" s="25"/>
      <c r="V890" s="25"/>
      <c r="W890" s="25"/>
      <c r="X890" s="25"/>
      <c r="Y890" s="25"/>
      <c r="Z890" s="25"/>
      <c r="AA890" s="25"/>
      <c r="AB890" s="25"/>
    </row>
    <row r="891">
      <c r="A891" s="25"/>
      <c r="B891" s="25"/>
      <c r="C891" s="25"/>
      <c r="D891" s="25"/>
      <c r="E891" s="25"/>
      <c r="F891" s="241"/>
      <c r="G891" s="21" t="b">
        <f t="shared" ref="G891:H891" si="799">ISBLANK(M891)</f>
        <v>1</v>
      </c>
      <c r="H891" s="21" t="b">
        <f t="shared" si="799"/>
        <v>1</v>
      </c>
      <c r="I891" s="25"/>
      <c r="J891" s="25"/>
      <c r="K891" s="25"/>
      <c r="L891" s="25"/>
      <c r="M891" s="16"/>
      <c r="N891" s="16"/>
      <c r="O891" s="25"/>
      <c r="P891" s="25"/>
      <c r="Q891" s="25"/>
      <c r="R891" s="25"/>
      <c r="S891" s="25"/>
      <c r="T891" s="25"/>
      <c r="U891" s="25"/>
      <c r="V891" s="25"/>
      <c r="W891" s="25"/>
      <c r="X891" s="25"/>
      <c r="Y891" s="25"/>
      <c r="Z891" s="25"/>
      <c r="AA891" s="25"/>
      <c r="AB891" s="25"/>
    </row>
    <row r="892">
      <c r="A892" s="25"/>
      <c r="B892" s="25"/>
      <c r="C892" s="25"/>
      <c r="D892" s="25"/>
      <c r="E892" s="25"/>
      <c r="F892" s="241"/>
      <c r="G892" s="21" t="b">
        <f t="shared" ref="G892:H892" si="800">ISBLANK(M892)</f>
        <v>1</v>
      </c>
      <c r="H892" s="21" t="b">
        <f t="shared" si="800"/>
        <v>1</v>
      </c>
      <c r="I892" s="25"/>
      <c r="J892" s="25"/>
      <c r="K892" s="25"/>
      <c r="L892" s="25"/>
      <c r="M892" s="16"/>
      <c r="N892" s="16"/>
      <c r="O892" s="25"/>
      <c r="P892" s="25"/>
      <c r="Q892" s="25"/>
      <c r="R892" s="25"/>
      <c r="S892" s="25"/>
      <c r="T892" s="25"/>
      <c r="U892" s="25"/>
      <c r="V892" s="25"/>
      <c r="W892" s="25"/>
      <c r="X892" s="25"/>
      <c r="Y892" s="25"/>
      <c r="Z892" s="25"/>
      <c r="AA892" s="25"/>
      <c r="AB892" s="25"/>
    </row>
    <row r="893">
      <c r="A893" s="25"/>
      <c r="B893" s="25"/>
      <c r="C893" s="25"/>
      <c r="D893" s="25"/>
      <c r="E893" s="25"/>
      <c r="F893" s="241"/>
      <c r="G893" s="21" t="b">
        <f t="shared" ref="G893:H893" si="801">ISBLANK(M893)</f>
        <v>1</v>
      </c>
      <c r="H893" s="21" t="b">
        <f t="shared" si="801"/>
        <v>1</v>
      </c>
      <c r="I893" s="25"/>
      <c r="J893" s="25"/>
      <c r="K893" s="25"/>
      <c r="L893" s="25"/>
      <c r="M893" s="16"/>
      <c r="N893" s="16"/>
      <c r="O893" s="25"/>
      <c r="P893" s="25"/>
      <c r="Q893" s="25"/>
      <c r="R893" s="25"/>
      <c r="S893" s="25"/>
      <c r="T893" s="25"/>
      <c r="U893" s="25"/>
      <c r="V893" s="25"/>
      <c r="W893" s="25"/>
      <c r="X893" s="25"/>
      <c r="Y893" s="25"/>
      <c r="Z893" s="25"/>
      <c r="AA893" s="25"/>
      <c r="AB893" s="25"/>
    </row>
    <row r="894">
      <c r="A894" s="25"/>
      <c r="B894" s="25"/>
      <c r="C894" s="25"/>
      <c r="D894" s="25"/>
      <c r="E894" s="25"/>
      <c r="F894" s="241"/>
      <c r="G894" s="21" t="b">
        <f t="shared" ref="G894:H894" si="802">ISBLANK(M894)</f>
        <v>1</v>
      </c>
      <c r="H894" s="21" t="b">
        <f t="shared" si="802"/>
        <v>1</v>
      </c>
      <c r="I894" s="25"/>
      <c r="J894" s="25"/>
      <c r="K894" s="25"/>
      <c r="L894" s="25"/>
      <c r="M894" s="16"/>
      <c r="N894" s="16"/>
      <c r="O894" s="25"/>
      <c r="P894" s="25"/>
      <c r="Q894" s="25"/>
      <c r="R894" s="25"/>
      <c r="S894" s="25"/>
      <c r="T894" s="25"/>
      <c r="U894" s="25"/>
      <c r="V894" s="25"/>
      <c r="W894" s="25"/>
      <c r="X894" s="25"/>
      <c r="Y894" s="25"/>
      <c r="Z894" s="25"/>
      <c r="AA894" s="25"/>
      <c r="AB894" s="25"/>
    </row>
    <row r="895">
      <c r="A895" s="25"/>
      <c r="B895" s="25"/>
      <c r="C895" s="25"/>
      <c r="D895" s="25"/>
      <c r="E895" s="25"/>
      <c r="F895" s="241"/>
      <c r="G895" s="21" t="b">
        <f t="shared" ref="G895:H895" si="803">ISBLANK(M895)</f>
        <v>1</v>
      </c>
      <c r="H895" s="21" t="b">
        <f t="shared" si="803"/>
        <v>1</v>
      </c>
      <c r="I895" s="25"/>
      <c r="J895" s="25"/>
      <c r="K895" s="25"/>
      <c r="L895" s="25"/>
      <c r="M895" s="16"/>
      <c r="N895" s="16"/>
      <c r="O895" s="25"/>
      <c r="P895" s="25"/>
      <c r="Q895" s="25"/>
      <c r="R895" s="25"/>
      <c r="S895" s="25"/>
      <c r="T895" s="25"/>
      <c r="U895" s="25"/>
      <c r="V895" s="25"/>
      <c r="W895" s="25"/>
      <c r="X895" s="25"/>
      <c r="Y895" s="25"/>
      <c r="Z895" s="25"/>
      <c r="AA895" s="25"/>
      <c r="AB895" s="25"/>
    </row>
    <row r="896">
      <c r="A896" s="25"/>
      <c r="B896" s="25"/>
      <c r="C896" s="25"/>
      <c r="D896" s="25"/>
      <c r="E896" s="25"/>
      <c r="F896" s="241"/>
      <c r="G896" s="21" t="b">
        <f t="shared" ref="G896:H896" si="804">ISBLANK(M896)</f>
        <v>1</v>
      </c>
      <c r="H896" s="21" t="b">
        <f t="shared" si="804"/>
        <v>1</v>
      </c>
      <c r="I896" s="25"/>
      <c r="J896" s="25"/>
      <c r="K896" s="25"/>
      <c r="L896" s="25"/>
      <c r="M896" s="16"/>
      <c r="N896" s="16"/>
      <c r="O896" s="25"/>
      <c r="P896" s="25"/>
      <c r="Q896" s="25"/>
      <c r="R896" s="25"/>
      <c r="S896" s="25"/>
      <c r="T896" s="25"/>
      <c r="U896" s="25"/>
      <c r="V896" s="25"/>
      <c r="W896" s="25"/>
      <c r="X896" s="25"/>
      <c r="Y896" s="25"/>
      <c r="Z896" s="25"/>
      <c r="AA896" s="25"/>
      <c r="AB896" s="25"/>
    </row>
    <row r="897">
      <c r="A897" s="25"/>
      <c r="B897" s="25"/>
      <c r="C897" s="25"/>
      <c r="D897" s="25"/>
      <c r="E897" s="25"/>
      <c r="F897" s="241"/>
      <c r="G897" s="21" t="b">
        <f t="shared" ref="G897:H897" si="805">ISBLANK(M897)</f>
        <v>1</v>
      </c>
      <c r="H897" s="21" t="b">
        <f t="shared" si="805"/>
        <v>1</v>
      </c>
      <c r="I897" s="25"/>
      <c r="J897" s="25"/>
      <c r="K897" s="25"/>
      <c r="L897" s="25"/>
      <c r="M897" s="16"/>
      <c r="N897" s="16"/>
      <c r="O897" s="25"/>
      <c r="P897" s="25"/>
      <c r="Q897" s="25"/>
      <c r="R897" s="25"/>
      <c r="S897" s="25"/>
      <c r="T897" s="25"/>
      <c r="U897" s="25"/>
      <c r="V897" s="25"/>
      <c r="W897" s="25"/>
      <c r="X897" s="25"/>
      <c r="Y897" s="25"/>
      <c r="Z897" s="25"/>
      <c r="AA897" s="25"/>
      <c r="AB897" s="25"/>
    </row>
    <row r="898">
      <c r="A898" s="25"/>
      <c r="B898" s="25"/>
      <c r="C898" s="25"/>
      <c r="D898" s="25"/>
      <c r="E898" s="25"/>
      <c r="F898" s="241"/>
      <c r="G898" s="21" t="b">
        <f t="shared" ref="G898:H898" si="806">ISBLANK(M898)</f>
        <v>1</v>
      </c>
      <c r="H898" s="21" t="b">
        <f t="shared" si="806"/>
        <v>1</v>
      </c>
      <c r="I898" s="25"/>
      <c r="J898" s="25"/>
      <c r="K898" s="25"/>
      <c r="L898" s="25"/>
      <c r="M898" s="16"/>
      <c r="N898" s="16"/>
      <c r="O898" s="25"/>
      <c r="P898" s="25"/>
      <c r="Q898" s="25"/>
      <c r="R898" s="25"/>
      <c r="S898" s="25"/>
      <c r="T898" s="25"/>
      <c r="U898" s="25"/>
      <c r="V898" s="25"/>
      <c r="W898" s="25"/>
      <c r="X898" s="25"/>
      <c r="Y898" s="25"/>
      <c r="Z898" s="25"/>
      <c r="AA898" s="25"/>
      <c r="AB898" s="25"/>
    </row>
    <row r="899">
      <c r="A899" s="25"/>
      <c r="B899" s="25"/>
      <c r="C899" s="25"/>
      <c r="D899" s="25"/>
      <c r="E899" s="25"/>
      <c r="F899" s="241"/>
      <c r="G899" s="21" t="b">
        <f t="shared" ref="G899:H899" si="807">ISBLANK(M899)</f>
        <v>1</v>
      </c>
      <c r="H899" s="21" t="b">
        <f t="shared" si="807"/>
        <v>1</v>
      </c>
      <c r="I899" s="25"/>
      <c r="J899" s="25"/>
      <c r="K899" s="25"/>
      <c r="L899" s="25"/>
      <c r="M899" s="16"/>
      <c r="N899" s="16"/>
      <c r="O899" s="25"/>
      <c r="P899" s="25"/>
      <c r="Q899" s="25"/>
      <c r="R899" s="25"/>
      <c r="S899" s="25"/>
      <c r="T899" s="25"/>
      <c r="U899" s="25"/>
      <c r="V899" s="25"/>
      <c r="W899" s="25"/>
      <c r="X899" s="25"/>
      <c r="Y899" s="25"/>
      <c r="Z899" s="25"/>
      <c r="AA899" s="25"/>
      <c r="AB899" s="25"/>
    </row>
    <row r="900">
      <c r="A900" s="25"/>
      <c r="B900" s="25"/>
      <c r="C900" s="25"/>
      <c r="D900" s="25"/>
      <c r="E900" s="25"/>
      <c r="F900" s="241"/>
      <c r="G900" s="21" t="b">
        <f t="shared" ref="G900:H900" si="808">ISBLANK(M900)</f>
        <v>1</v>
      </c>
      <c r="H900" s="21" t="b">
        <f t="shared" si="808"/>
        <v>1</v>
      </c>
      <c r="I900" s="25"/>
      <c r="J900" s="25"/>
      <c r="K900" s="25"/>
      <c r="L900" s="25"/>
      <c r="M900" s="16"/>
      <c r="N900" s="16"/>
      <c r="O900" s="25"/>
      <c r="P900" s="25"/>
      <c r="Q900" s="25"/>
      <c r="R900" s="25"/>
      <c r="S900" s="25"/>
      <c r="T900" s="25"/>
      <c r="U900" s="25"/>
      <c r="V900" s="25"/>
      <c r="W900" s="25"/>
      <c r="X900" s="25"/>
      <c r="Y900" s="25"/>
      <c r="Z900" s="25"/>
      <c r="AA900" s="25"/>
      <c r="AB900" s="25"/>
    </row>
    <row r="901">
      <c r="A901" s="25"/>
      <c r="B901" s="25"/>
      <c r="C901" s="25"/>
      <c r="D901" s="25"/>
      <c r="E901" s="25"/>
      <c r="F901" s="241"/>
      <c r="G901" s="21" t="b">
        <f t="shared" ref="G901:H901" si="809">ISBLANK(M901)</f>
        <v>1</v>
      </c>
      <c r="H901" s="21" t="b">
        <f t="shared" si="809"/>
        <v>1</v>
      </c>
      <c r="I901" s="25"/>
      <c r="J901" s="25"/>
      <c r="K901" s="25"/>
      <c r="L901" s="25"/>
      <c r="M901" s="16"/>
      <c r="N901" s="16"/>
      <c r="O901" s="25"/>
      <c r="P901" s="25"/>
      <c r="Q901" s="25"/>
      <c r="R901" s="25"/>
      <c r="S901" s="25"/>
      <c r="T901" s="25"/>
      <c r="U901" s="25"/>
      <c r="V901" s="25"/>
      <c r="W901" s="25"/>
      <c r="X901" s="25"/>
      <c r="Y901" s="25"/>
      <c r="Z901" s="25"/>
      <c r="AA901" s="25"/>
      <c r="AB901" s="25"/>
    </row>
    <row r="902">
      <c r="A902" s="25"/>
      <c r="B902" s="25"/>
      <c r="C902" s="25"/>
      <c r="D902" s="25"/>
      <c r="E902" s="25"/>
      <c r="F902" s="241"/>
      <c r="G902" s="21" t="b">
        <f t="shared" ref="G902:H902" si="810">ISBLANK(M902)</f>
        <v>1</v>
      </c>
      <c r="H902" s="21" t="b">
        <f t="shared" si="810"/>
        <v>1</v>
      </c>
      <c r="I902" s="25"/>
      <c r="J902" s="25"/>
      <c r="K902" s="25"/>
      <c r="L902" s="25"/>
      <c r="M902" s="16"/>
      <c r="N902" s="16"/>
      <c r="O902" s="25"/>
      <c r="P902" s="25"/>
      <c r="Q902" s="25"/>
      <c r="R902" s="25"/>
      <c r="S902" s="25"/>
      <c r="T902" s="25"/>
      <c r="U902" s="25"/>
      <c r="V902" s="25"/>
      <c r="W902" s="25"/>
      <c r="X902" s="25"/>
      <c r="Y902" s="25"/>
      <c r="Z902" s="25"/>
      <c r="AA902" s="25"/>
      <c r="AB902" s="25"/>
    </row>
    <row r="903">
      <c r="A903" s="25"/>
      <c r="B903" s="25"/>
      <c r="C903" s="25"/>
      <c r="D903" s="25"/>
      <c r="E903" s="25"/>
      <c r="F903" s="241"/>
      <c r="G903" s="21" t="b">
        <f t="shared" ref="G903:H903" si="811">ISBLANK(M903)</f>
        <v>1</v>
      </c>
      <c r="H903" s="21" t="b">
        <f t="shared" si="811"/>
        <v>1</v>
      </c>
      <c r="I903" s="25"/>
      <c r="J903" s="25"/>
      <c r="K903" s="25"/>
      <c r="L903" s="25"/>
      <c r="M903" s="16"/>
      <c r="N903" s="16"/>
      <c r="O903" s="25"/>
      <c r="P903" s="25"/>
      <c r="Q903" s="25"/>
      <c r="R903" s="25"/>
      <c r="S903" s="25"/>
      <c r="T903" s="25"/>
      <c r="U903" s="25"/>
      <c r="V903" s="25"/>
      <c r="W903" s="25"/>
      <c r="X903" s="25"/>
      <c r="Y903" s="25"/>
      <c r="Z903" s="25"/>
      <c r="AA903" s="25"/>
      <c r="AB903" s="25"/>
    </row>
    <row r="904">
      <c r="A904" s="25"/>
      <c r="B904" s="25"/>
      <c r="C904" s="25"/>
      <c r="D904" s="25"/>
      <c r="E904" s="25"/>
      <c r="F904" s="241"/>
      <c r="G904" s="21" t="b">
        <f t="shared" ref="G904:H904" si="812">ISBLANK(M904)</f>
        <v>1</v>
      </c>
      <c r="H904" s="21" t="b">
        <f t="shared" si="812"/>
        <v>1</v>
      </c>
      <c r="I904" s="25"/>
      <c r="J904" s="25"/>
      <c r="K904" s="25"/>
      <c r="L904" s="25"/>
      <c r="M904" s="16"/>
      <c r="N904" s="16"/>
      <c r="O904" s="25"/>
      <c r="P904" s="25"/>
      <c r="Q904" s="25"/>
      <c r="R904" s="25"/>
      <c r="S904" s="25"/>
      <c r="T904" s="25"/>
      <c r="U904" s="25"/>
      <c r="V904" s="25"/>
      <c r="W904" s="25"/>
      <c r="X904" s="25"/>
      <c r="Y904" s="25"/>
      <c r="Z904" s="25"/>
      <c r="AA904" s="25"/>
      <c r="AB904" s="25"/>
    </row>
    <row r="905">
      <c r="A905" s="25"/>
      <c r="B905" s="25"/>
      <c r="C905" s="25"/>
      <c r="D905" s="25"/>
      <c r="E905" s="25"/>
      <c r="F905" s="241"/>
      <c r="G905" s="21" t="b">
        <f t="shared" ref="G905:H905" si="813">ISBLANK(M905)</f>
        <v>1</v>
      </c>
      <c r="H905" s="21" t="b">
        <f t="shared" si="813"/>
        <v>1</v>
      </c>
      <c r="I905" s="25"/>
      <c r="J905" s="25"/>
      <c r="K905" s="25"/>
      <c r="L905" s="25"/>
      <c r="M905" s="16"/>
      <c r="N905" s="16"/>
      <c r="O905" s="25"/>
      <c r="P905" s="25"/>
      <c r="Q905" s="25"/>
      <c r="R905" s="25"/>
      <c r="S905" s="25"/>
      <c r="T905" s="25"/>
      <c r="U905" s="25"/>
      <c r="V905" s="25"/>
      <c r="W905" s="25"/>
      <c r="X905" s="25"/>
      <c r="Y905" s="25"/>
      <c r="Z905" s="25"/>
      <c r="AA905" s="25"/>
      <c r="AB905" s="25"/>
    </row>
    <row r="906">
      <c r="A906" s="25"/>
      <c r="B906" s="25"/>
      <c r="C906" s="25"/>
      <c r="D906" s="25"/>
      <c r="E906" s="25"/>
      <c r="F906" s="241"/>
      <c r="G906" s="21" t="b">
        <f t="shared" ref="G906:H906" si="814">ISBLANK(M906)</f>
        <v>1</v>
      </c>
      <c r="H906" s="21" t="b">
        <f t="shared" si="814"/>
        <v>1</v>
      </c>
      <c r="I906" s="25"/>
      <c r="J906" s="25"/>
      <c r="K906" s="25"/>
      <c r="L906" s="25"/>
      <c r="M906" s="16"/>
      <c r="N906" s="16"/>
      <c r="O906" s="25"/>
      <c r="P906" s="25"/>
      <c r="Q906" s="25"/>
      <c r="R906" s="25"/>
      <c r="S906" s="25"/>
      <c r="T906" s="25"/>
      <c r="U906" s="25"/>
      <c r="V906" s="25"/>
      <c r="W906" s="25"/>
      <c r="X906" s="25"/>
      <c r="Y906" s="25"/>
      <c r="Z906" s="25"/>
      <c r="AA906" s="25"/>
      <c r="AB906" s="25"/>
    </row>
    <row r="907">
      <c r="A907" s="25"/>
      <c r="B907" s="25"/>
      <c r="C907" s="25"/>
      <c r="D907" s="25"/>
      <c r="E907" s="25"/>
      <c r="F907" s="241"/>
      <c r="G907" s="21" t="b">
        <f t="shared" ref="G907:H907" si="815">ISBLANK(M907)</f>
        <v>1</v>
      </c>
      <c r="H907" s="21" t="b">
        <f t="shared" si="815"/>
        <v>1</v>
      </c>
      <c r="I907" s="25"/>
      <c r="J907" s="25"/>
      <c r="K907" s="25"/>
      <c r="L907" s="25"/>
      <c r="M907" s="16"/>
      <c r="N907" s="16"/>
      <c r="O907" s="25"/>
      <c r="P907" s="25"/>
      <c r="Q907" s="25"/>
      <c r="R907" s="25"/>
      <c r="S907" s="25"/>
      <c r="T907" s="25"/>
      <c r="U907" s="25"/>
      <c r="V907" s="25"/>
      <c r="W907" s="25"/>
      <c r="X907" s="25"/>
      <c r="Y907" s="25"/>
      <c r="Z907" s="25"/>
      <c r="AA907" s="25"/>
      <c r="AB907" s="25"/>
    </row>
    <row r="908">
      <c r="A908" s="25"/>
      <c r="B908" s="25"/>
      <c r="C908" s="25"/>
      <c r="D908" s="25"/>
      <c r="E908" s="25"/>
      <c r="F908" s="241"/>
      <c r="G908" s="21" t="b">
        <f t="shared" ref="G908:H908" si="816">ISBLANK(M908)</f>
        <v>1</v>
      </c>
      <c r="H908" s="21" t="b">
        <f t="shared" si="816"/>
        <v>1</v>
      </c>
      <c r="I908" s="25"/>
      <c r="J908" s="25"/>
      <c r="K908" s="25"/>
      <c r="L908" s="25"/>
      <c r="M908" s="16"/>
      <c r="N908" s="16"/>
      <c r="O908" s="25"/>
      <c r="P908" s="25"/>
      <c r="Q908" s="25"/>
      <c r="R908" s="25"/>
      <c r="S908" s="25"/>
      <c r="T908" s="25"/>
      <c r="U908" s="25"/>
      <c r="V908" s="25"/>
      <c r="W908" s="25"/>
      <c r="X908" s="25"/>
      <c r="Y908" s="25"/>
      <c r="Z908" s="25"/>
      <c r="AA908" s="25"/>
      <c r="AB908" s="25"/>
    </row>
    <row r="909">
      <c r="A909" s="25"/>
      <c r="B909" s="25"/>
      <c r="C909" s="25"/>
      <c r="D909" s="25"/>
      <c r="E909" s="25"/>
      <c r="F909" s="241"/>
      <c r="G909" s="21" t="b">
        <f t="shared" ref="G909:H909" si="817">ISBLANK(M909)</f>
        <v>1</v>
      </c>
      <c r="H909" s="21" t="b">
        <f t="shared" si="817"/>
        <v>1</v>
      </c>
      <c r="I909" s="25"/>
      <c r="J909" s="25"/>
      <c r="K909" s="25"/>
      <c r="L909" s="25"/>
      <c r="M909" s="16"/>
      <c r="N909" s="16"/>
      <c r="O909" s="25"/>
      <c r="P909" s="25"/>
      <c r="Q909" s="25"/>
      <c r="R909" s="25"/>
      <c r="S909" s="25"/>
      <c r="T909" s="25"/>
      <c r="U909" s="25"/>
      <c r="V909" s="25"/>
      <c r="W909" s="25"/>
      <c r="X909" s="25"/>
      <c r="Y909" s="25"/>
      <c r="Z909" s="25"/>
      <c r="AA909" s="25"/>
      <c r="AB909" s="25"/>
    </row>
    <row r="910">
      <c r="A910" s="25"/>
      <c r="B910" s="25"/>
      <c r="C910" s="25"/>
      <c r="D910" s="25"/>
      <c r="E910" s="25"/>
      <c r="F910" s="241"/>
      <c r="G910" s="21" t="b">
        <f t="shared" ref="G910:H910" si="818">ISBLANK(M910)</f>
        <v>1</v>
      </c>
      <c r="H910" s="21" t="b">
        <f t="shared" si="818"/>
        <v>1</v>
      </c>
      <c r="I910" s="25"/>
      <c r="J910" s="25"/>
      <c r="K910" s="25"/>
      <c r="L910" s="25"/>
      <c r="M910" s="16"/>
      <c r="N910" s="16"/>
      <c r="O910" s="25"/>
      <c r="P910" s="25"/>
      <c r="Q910" s="25"/>
      <c r="R910" s="25"/>
      <c r="S910" s="25"/>
      <c r="T910" s="25"/>
      <c r="U910" s="25"/>
      <c r="V910" s="25"/>
      <c r="W910" s="25"/>
      <c r="X910" s="25"/>
      <c r="Y910" s="25"/>
      <c r="Z910" s="25"/>
      <c r="AA910" s="25"/>
      <c r="AB910" s="25"/>
    </row>
    <row r="911">
      <c r="A911" s="25"/>
      <c r="B911" s="25"/>
      <c r="C911" s="25"/>
      <c r="D911" s="25"/>
      <c r="E911" s="25"/>
      <c r="F911" s="241"/>
      <c r="G911" s="21" t="b">
        <f t="shared" ref="G911:H911" si="819">ISBLANK(M911)</f>
        <v>1</v>
      </c>
      <c r="H911" s="21" t="b">
        <f t="shared" si="819"/>
        <v>1</v>
      </c>
      <c r="I911" s="25"/>
      <c r="J911" s="25"/>
      <c r="K911" s="25"/>
      <c r="L911" s="25"/>
      <c r="M911" s="16"/>
      <c r="N911" s="16"/>
      <c r="O911" s="25"/>
      <c r="P911" s="25"/>
      <c r="Q911" s="25"/>
      <c r="R911" s="25"/>
      <c r="S911" s="25"/>
      <c r="T911" s="25"/>
      <c r="U911" s="25"/>
      <c r="V911" s="25"/>
      <c r="W911" s="25"/>
      <c r="X911" s="25"/>
      <c r="Y911" s="25"/>
      <c r="Z911" s="25"/>
      <c r="AA911" s="25"/>
      <c r="AB911" s="25"/>
    </row>
    <row r="912">
      <c r="A912" s="25"/>
      <c r="B912" s="25"/>
      <c r="C912" s="25"/>
      <c r="D912" s="25"/>
      <c r="E912" s="25"/>
      <c r="F912" s="241"/>
      <c r="G912" s="21" t="b">
        <f t="shared" ref="G912:H912" si="820">ISBLANK(M912)</f>
        <v>1</v>
      </c>
      <c r="H912" s="21" t="b">
        <f t="shared" si="820"/>
        <v>1</v>
      </c>
      <c r="I912" s="25"/>
      <c r="J912" s="25"/>
      <c r="K912" s="25"/>
      <c r="L912" s="25"/>
      <c r="M912" s="16"/>
      <c r="N912" s="16"/>
      <c r="O912" s="25"/>
      <c r="P912" s="25"/>
      <c r="Q912" s="25"/>
      <c r="R912" s="25"/>
      <c r="S912" s="25"/>
      <c r="T912" s="25"/>
      <c r="U912" s="25"/>
      <c r="V912" s="25"/>
      <c r="W912" s="25"/>
      <c r="X912" s="25"/>
      <c r="Y912" s="25"/>
      <c r="Z912" s="25"/>
      <c r="AA912" s="25"/>
      <c r="AB912" s="25"/>
    </row>
    <row r="913">
      <c r="A913" s="25"/>
      <c r="B913" s="25"/>
      <c r="C913" s="25"/>
      <c r="D913" s="25"/>
      <c r="E913" s="25"/>
      <c r="F913" s="241"/>
      <c r="G913" s="21" t="b">
        <f t="shared" ref="G913:H913" si="821">ISBLANK(M913)</f>
        <v>1</v>
      </c>
      <c r="H913" s="21" t="b">
        <f t="shared" si="821"/>
        <v>1</v>
      </c>
      <c r="I913" s="25"/>
      <c r="J913" s="25"/>
      <c r="K913" s="25"/>
      <c r="L913" s="25"/>
      <c r="M913" s="16"/>
      <c r="N913" s="16"/>
      <c r="O913" s="25"/>
      <c r="P913" s="25"/>
      <c r="Q913" s="25"/>
      <c r="R913" s="25"/>
      <c r="S913" s="25"/>
      <c r="T913" s="25"/>
      <c r="U913" s="25"/>
      <c r="V913" s="25"/>
      <c r="W913" s="25"/>
      <c r="X913" s="25"/>
      <c r="Y913" s="25"/>
      <c r="Z913" s="25"/>
      <c r="AA913" s="25"/>
      <c r="AB913" s="25"/>
    </row>
    <row r="914">
      <c r="A914" s="25"/>
      <c r="B914" s="25"/>
      <c r="C914" s="25"/>
      <c r="D914" s="25"/>
      <c r="E914" s="25"/>
      <c r="F914" s="241"/>
      <c r="G914" s="21" t="b">
        <f t="shared" ref="G914:H914" si="822">ISBLANK(M914)</f>
        <v>1</v>
      </c>
      <c r="H914" s="21" t="b">
        <f t="shared" si="822"/>
        <v>1</v>
      </c>
      <c r="I914" s="25"/>
      <c r="J914" s="25"/>
      <c r="K914" s="25"/>
      <c r="L914" s="25"/>
      <c r="M914" s="16"/>
      <c r="N914" s="16"/>
      <c r="O914" s="25"/>
      <c r="P914" s="25"/>
      <c r="Q914" s="25"/>
      <c r="R914" s="25"/>
      <c r="S914" s="25"/>
      <c r="T914" s="25"/>
      <c r="U914" s="25"/>
      <c r="V914" s="25"/>
      <c r="W914" s="25"/>
      <c r="X914" s="25"/>
      <c r="Y914" s="25"/>
      <c r="Z914" s="25"/>
      <c r="AA914" s="25"/>
      <c r="AB914" s="25"/>
    </row>
    <row r="915">
      <c r="A915" s="25"/>
      <c r="B915" s="25"/>
      <c r="C915" s="25"/>
      <c r="D915" s="25"/>
      <c r="E915" s="25"/>
      <c r="F915" s="241"/>
      <c r="G915" s="21" t="b">
        <f t="shared" ref="G915:H915" si="823">ISBLANK(M915)</f>
        <v>1</v>
      </c>
      <c r="H915" s="21" t="b">
        <f t="shared" si="823"/>
        <v>1</v>
      </c>
      <c r="I915" s="25"/>
      <c r="J915" s="25"/>
      <c r="K915" s="25"/>
      <c r="L915" s="25"/>
      <c r="M915" s="16"/>
      <c r="N915" s="16"/>
      <c r="O915" s="25"/>
      <c r="P915" s="25"/>
      <c r="Q915" s="25"/>
      <c r="R915" s="25"/>
      <c r="S915" s="25"/>
      <c r="T915" s="25"/>
      <c r="U915" s="25"/>
      <c r="V915" s="25"/>
      <c r="W915" s="25"/>
      <c r="X915" s="25"/>
      <c r="Y915" s="25"/>
      <c r="Z915" s="25"/>
      <c r="AA915" s="25"/>
      <c r="AB915" s="25"/>
    </row>
    <row r="916">
      <c r="A916" s="25"/>
      <c r="B916" s="25"/>
      <c r="C916" s="25"/>
      <c r="D916" s="25"/>
      <c r="E916" s="25"/>
      <c r="F916" s="241"/>
      <c r="G916" s="21" t="b">
        <f t="shared" ref="G916:H916" si="824">ISBLANK(M916)</f>
        <v>1</v>
      </c>
      <c r="H916" s="21" t="b">
        <f t="shared" si="824"/>
        <v>1</v>
      </c>
      <c r="I916" s="25"/>
      <c r="J916" s="25"/>
      <c r="K916" s="25"/>
      <c r="L916" s="25"/>
      <c r="M916" s="16"/>
      <c r="N916" s="16"/>
      <c r="O916" s="25"/>
      <c r="P916" s="25"/>
      <c r="Q916" s="25"/>
      <c r="R916" s="25"/>
      <c r="S916" s="25"/>
      <c r="T916" s="25"/>
      <c r="U916" s="25"/>
      <c r="V916" s="25"/>
      <c r="W916" s="25"/>
      <c r="X916" s="25"/>
      <c r="Y916" s="25"/>
      <c r="Z916" s="25"/>
      <c r="AA916" s="25"/>
      <c r="AB916" s="25"/>
    </row>
    <row r="917">
      <c r="A917" s="25"/>
      <c r="B917" s="25"/>
      <c r="C917" s="25"/>
      <c r="D917" s="25"/>
      <c r="E917" s="25"/>
      <c r="F917" s="241"/>
      <c r="G917" s="21" t="b">
        <f t="shared" ref="G917:H917" si="825">ISBLANK(M917)</f>
        <v>1</v>
      </c>
      <c r="H917" s="21" t="b">
        <f t="shared" si="825"/>
        <v>1</v>
      </c>
      <c r="I917" s="25"/>
      <c r="J917" s="25"/>
      <c r="K917" s="25"/>
      <c r="L917" s="25"/>
      <c r="M917" s="16"/>
      <c r="N917" s="16"/>
      <c r="O917" s="25"/>
      <c r="P917" s="25"/>
      <c r="Q917" s="25"/>
      <c r="R917" s="25"/>
      <c r="S917" s="25"/>
      <c r="T917" s="25"/>
      <c r="U917" s="25"/>
      <c r="V917" s="25"/>
      <c r="W917" s="25"/>
      <c r="X917" s="25"/>
      <c r="Y917" s="25"/>
      <c r="Z917" s="25"/>
      <c r="AA917" s="25"/>
      <c r="AB917" s="25"/>
    </row>
    <row r="918">
      <c r="A918" s="25"/>
      <c r="B918" s="25"/>
      <c r="C918" s="25"/>
      <c r="D918" s="25"/>
      <c r="E918" s="25"/>
      <c r="F918" s="241"/>
      <c r="G918" s="21" t="b">
        <f t="shared" ref="G918:H918" si="826">ISBLANK(M918)</f>
        <v>1</v>
      </c>
      <c r="H918" s="21" t="b">
        <f t="shared" si="826"/>
        <v>1</v>
      </c>
      <c r="I918" s="25"/>
      <c r="J918" s="25"/>
      <c r="K918" s="25"/>
      <c r="L918" s="25"/>
      <c r="M918" s="16"/>
      <c r="N918" s="16"/>
      <c r="O918" s="25"/>
      <c r="P918" s="25"/>
      <c r="Q918" s="25"/>
      <c r="R918" s="25"/>
      <c r="S918" s="25"/>
      <c r="T918" s="25"/>
      <c r="U918" s="25"/>
      <c r="V918" s="25"/>
      <c r="W918" s="25"/>
      <c r="X918" s="25"/>
      <c r="Y918" s="25"/>
      <c r="Z918" s="25"/>
      <c r="AA918" s="25"/>
      <c r="AB918" s="25"/>
    </row>
    <row r="919">
      <c r="A919" s="25"/>
      <c r="B919" s="25"/>
      <c r="C919" s="25"/>
      <c r="D919" s="25"/>
      <c r="E919" s="25"/>
      <c r="F919" s="241"/>
      <c r="G919" s="21" t="b">
        <f t="shared" ref="G919:H919" si="827">ISBLANK(M919)</f>
        <v>1</v>
      </c>
      <c r="H919" s="21" t="b">
        <f t="shared" si="827"/>
        <v>1</v>
      </c>
      <c r="I919" s="25"/>
      <c r="J919" s="25"/>
      <c r="K919" s="25"/>
      <c r="L919" s="25"/>
      <c r="M919" s="16"/>
      <c r="N919" s="16"/>
      <c r="O919" s="25"/>
      <c r="P919" s="25"/>
      <c r="Q919" s="25"/>
      <c r="R919" s="25"/>
      <c r="S919" s="25"/>
      <c r="T919" s="25"/>
      <c r="U919" s="25"/>
      <c r="V919" s="25"/>
      <c r="W919" s="25"/>
      <c r="X919" s="25"/>
      <c r="Y919" s="25"/>
      <c r="Z919" s="25"/>
      <c r="AA919" s="25"/>
      <c r="AB919" s="25"/>
    </row>
    <row r="920">
      <c r="A920" s="25"/>
      <c r="B920" s="25"/>
      <c r="C920" s="25"/>
      <c r="D920" s="25"/>
      <c r="E920" s="25"/>
      <c r="F920" s="241"/>
      <c r="G920" s="21" t="b">
        <f t="shared" ref="G920:H920" si="828">ISBLANK(M920)</f>
        <v>1</v>
      </c>
      <c r="H920" s="21" t="b">
        <f t="shared" si="828"/>
        <v>1</v>
      </c>
      <c r="I920" s="25"/>
      <c r="J920" s="25"/>
      <c r="K920" s="25"/>
      <c r="L920" s="25"/>
      <c r="M920" s="16"/>
      <c r="N920" s="16"/>
      <c r="O920" s="25"/>
      <c r="P920" s="25"/>
      <c r="Q920" s="25"/>
      <c r="R920" s="25"/>
      <c r="S920" s="25"/>
      <c r="T920" s="25"/>
      <c r="U920" s="25"/>
      <c r="V920" s="25"/>
      <c r="W920" s="25"/>
      <c r="X920" s="25"/>
      <c r="Y920" s="25"/>
      <c r="Z920" s="25"/>
      <c r="AA920" s="25"/>
      <c r="AB920" s="25"/>
    </row>
    <row r="921">
      <c r="A921" s="25"/>
      <c r="B921" s="25"/>
      <c r="C921" s="25"/>
      <c r="D921" s="25"/>
      <c r="E921" s="25"/>
      <c r="F921" s="241"/>
      <c r="G921" s="21" t="b">
        <f t="shared" ref="G921:H921" si="829">ISBLANK(M921)</f>
        <v>1</v>
      </c>
      <c r="H921" s="21" t="b">
        <f t="shared" si="829"/>
        <v>1</v>
      </c>
      <c r="I921" s="25"/>
      <c r="J921" s="25"/>
      <c r="K921" s="25"/>
      <c r="L921" s="25"/>
      <c r="M921" s="16"/>
      <c r="N921" s="16"/>
      <c r="O921" s="25"/>
      <c r="P921" s="25"/>
      <c r="Q921" s="25"/>
      <c r="R921" s="25"/>
      <c r="S921" s="25"/>
      <c r="T921" s="25"/>
      <c r="U921" s="25"/>
      <c r="V921" s="25"/>
      <c r="W921" s="25"/>
      <c r="X921" s="25"/>
      <c r="Y921" s="25"/>
      <c r="Z921" s="25"/>
      <c r="AA921" s="25"/>
      <c r="AB921" s="25"/>
    </row>
    <row r="922">
      <c r="A922" s="25"/>
      <c r="B922" s="25"/>
      <c r="C922" s="25"/>
      <c r="D922" s="25"/>
      <c r="E922" s="25"/>
      <c r="F922" s="241"/>
      <c r="G922" s="21" t="b">
        <f t="shared" ref="G922:H922" si="830">ISBLANK(M922)</f>
        <v>1</v>
      </c>
      <c r="H922" s="21" t="b">
        <f t="shared" si="830"/>
        <v>1</v>
      </c>
      <c r="I922" s="25"/>
      <c r="J922" s="25"/>
      <c r="K922" s="25"/>
      <c r="L922" s="25"/>
      <c r="M922" s="16"/>
      <c r="N922" s="16"/>
      <c r="O922" s="25"/>
      <c r="P922" s="25"/>
      <c r="Q922" s="25"/>
      <c r="R922" s="25"/>
      <c r="S922" s="25"/>
      <c r="T922" s="25"/>
      <c r="U922" s="25"/>
      <c r="V922" s="25"/>
      <c r="W922" s="25"/>
      <c r="X922" s="25"/>
      <c r="Y922" s="25"/>
      <c r="Z922" s="25"/>
      <c r="AA922" s="25"/>
      <c r="AB922" s="25"/>
    </row>
    <row r="923">
      <c r="A923" s="25"/>
      <c r="B923" s="25"/>
      <c r="C923" s="25"/>
      <c r="D923" s="25"/>
      <c r="E923" s="25"/>
      <c r="F923" s="241"/>
      <c r="G923" s="21" t="b">
        <f t="shared" ref="G923:H923" si="831">ISBLANK(M923)</f>
        <v>1</v>
      </c>
      <c r="H923" s="21" t="b">
        <f t="shared" si="831"/>
        <v>1</v>
      </c>
      <c r="I923" s="25"/>
      <c r="J923" s="25"/>
      <c r="K923" s="25"/>
      <c r="L923" s="25"/>
      <c r="M923" s="16"/>
      <c r="N923" s="16"/>
      <c r="O923" s="25"/>
      <c r="P923" s="25"/>
      <c r="Q923" s="25"/>
      <c r="R923" s="25"/>
      <c r="S923" s="25"/>
      <c r="T923" s="25"/>
      <c r="U923" s="25"/>
      <c r="V923" s="25"/>
      <c r="W923" s="25"/>
      <c r="X923" s="25"/>
      <c r="Y923" s="25"/>
      <c r="Z923" s="25"/>
      <c r="AA923" s="25"/>
      <c r="AB923" s="25"/>
    </row>
    <row r="924">
      <c r="A924" s="25"/>
      <c r="B924" s="25"/>
      <c r="C924" s="25"/>
      <c r="D924" s="25"/>
      <c r="E924" s="25"/>
      <c r="F924" s="241"/>
      <c r="G924" s="21" t="b">
        <f t="shared" ref="G924:H924" si="832">ISBLANK(M924)</f>
        <v>1</v>
      </c>
      <c r="H924" s="21" t="b">
        <f t="shared" si="832"/>
        <v>1</v>
      </c>
      <c r="I924" s="25"/>
      <c r="J924" s="25"/>
      <c r="K924" s="25"/>
      <c r="L924" s="25"/>
      <c r="M924" s="16"/>
      <c r="N924" s="16"/>
      <c r="O924" s="25"/>
      <c r="P924" s="25"/>
      <c r="Q924" s="25"/>
      <c r="R924" s="25"/>
      <c r="S924" s="25"/>
      <c r="T924" s="25"/>
      <c r="U924" s="25"/>
      <c r="V924" s="25"/>
      <c r="W924" s="25"/>
      <c r="X924" s="25"/>
      <c r="Y924" s="25"/>
      <c r="Z924" s="25"/>
      <c r="AA924" s="25"/>
      <c r="AB924" s="25"/>
    </row>
    <row r="925">
      <c r="A925" s="25"/>
      <c r="B925" s="25"/>
      <c r="C925" s="25"/>
      <c r="D925" s="25"/>
      <c r="E925" s="25"/>
      <c r="F925" s="241"/>
      <c r="G925" s="21" t="b">
        <f t="shared" ref="G925:H925" si="833">ISBLANK(M925)</f>
        <v>1</v>
      </c>
      <c r="H925" s="21" t="b">
        <f t="shared" si="833"/>
        <v>1</v>
      </c>
      <c r="I925" s="25"/>
      <c r="J925" s="25"/>
      <c r="K925" s="25"/>
      <c r="L925" s="25"/>
      <c r="M925" s="16"/>
      <c r="N925" s="16"/>
      <c r="O925" s="25"/>
      <c r="P925" s="25"/>
      <c r="Q925" s="25"/>
      <c r="R925" s="25"/>
      <c r="S925" s="25"/>
      <c r="T925" s="25"/>
      <c r="U925" s="25"/>
      <c r="V925" s="25"/>
      <c r="W925" s="25"/>
      <c r="X925" s="25"/>
      <c r="Y925" s="25"/>
      <c r="Z925" s="25"/>
      <c r="AA925" s="25"/>
      <c r="AB925" s="25"/>
    </row>
    <row r="926">
      <c r="A926" s="25"/>
      <c r="B926" s="25"/>
      <c r="C926" s="25"/>
      <c r="D926" s="25"/>
      <c r="E926" s="25"/>
      <c r="F926" s="241"/>
      <c r="G926" s="21" t="b">
        <f t="shared" ref="G926:H926" si="834">ISBLANK(M926)</f>
        <v>1</v>
      </c>
      <c r="H926" s="21" t="b">
        <f t="shared" si="834"/>
        <v>1</v>
      </c>
      <c r="I926" s="25"/>
      <c r="J926" s="25"/>
      <c r="K926" s="25"/>
      <c r="L926" s="25"/>
      <c r="M926" s="16"/>
      <c r="N926" s="16"/>
      <c r="O926" s="25"/>
      <c r="P926" s="25"/>
      <c r="Q926" s="25"/>
      <c r="R926" s="25"/>
      <c r="S926" s="25"/>
      <c r="T926" s="25"/>
      <c r="U926" s="25"/>
      <c r="V926" s="25"/>
      <c r="W926" s="25"/>
      <c r="X926" s="25"/>
      <c r="Y926" s="25"/>
      <c r="Z926" s="25"/>
      <c r="AA926" s="25"/>
      <c r="AB926" s="25"/>
    </row>
    <row r="927">
      <c r="A927" s="25"/>
      <c r="B927" s="25"/>
      <c r="C927" s="25"/>
      <c r="D927" s="25"/>
      <c r="E927" s="25"/>
      <c r="F927" s="241"/>
      <c r="G927" s="21" t="b">
        <f t="shared" ref="G927:H927" si="835">ISBLANK(M927)</f>
        <v>1</v>
      </c>
      <c r="H927" s="21" t="b">
        <f t="shared" si="835"/>
        <v>1</v>
      </c>
      <c r="I927" s="25"/>
      <c r="J927" s="25"/>
      <c r="K927" s="25"/>
      <c r="L927" s="25"/>
      <c r="M927" s="16"/>
      <c r="N927" s="16"/>
      <c r="O927" s="25"/>
      <c r="P927" s="25"/>
      <c r="Q927" s="25"/>
      <c r="R927" s="25"/>
      <c r="S927" s="25"/>
      <c r="T927" s="25"/>
      <c r="U927" s="25"/>
      <c r="V927" s="25"/>
      <c r="W927" s="25"/>
      <c r="X927" s="25"/>
      <c r="Y927" s="25"/>
      <c r="Z927" s="25"/>
      <c r="AA927" s="25"/>
      <c r="AB927" s="25"/>
    </row>
    <row r="928">
      <c r="A928" s="25"/>
      <c r="B928" s="25"/>
      <c r="C928" s="25"/>
      <c r="D928" s="25"/>
      <c r="E928" s="25"/>
      <c r="F928" s="241"/>
      <c r="G928" s="21" t="b">
        <f t="shared" ref="G928:H928" si="836">ISBLANK(M928)</f>
        <v>1</v>
      </c>
      <c r="H928" s="21" t="b">
        <f t="shared" si="836"/>
        <v>1</v>
      </c>
      <c r="I928" s="25"/>
      <c r="J928" s="25"/>
      <c r="K928" s="25"/>
      <c r="L928" s="25"/>
      <c r="M928" s="16"/>
      <c r="N928" s="16"/>
      <c r="O928" s="25"/>
      <c r="P928" s="25"/>
      <c r="Q928" s="25"/>
      <c r="R928" s="25"/>
      <c r="S928" s="25"/>
      <c r="T928" s="25"/>
      <c r="U928" s="25"/>
      <c r="V928" s="25"/>
      <c r="W928" s="25"/>
      <c r="X928" s="25"/>
      <c r="Y928" s="25"/>
      <c r="Z928" s="25"/>
      <c r="AA928" s="25"/>
      <c r="AB928" s="25"/>
    </row>
    <row r="929">
      <c r="A929" s="25"/>
      <c r="B929" s="25"/>
      <c r="C929" s="25"/>
      <c r="D929" s="25"/>
      <c r="E929" s="25"/>
      <c r="F929" s="241"/>
      <c r="G929" s="21" t="b">
        <f t="shared" ref="G929:H929" si="837">ISBLANK(M929)</f>
        <v>1</v>
      </c>
      <c r="H929" s="21" t="b">
        <f t="shared" si="837"/>
        <v>1</v>
      </c>
      <c r="I929" s="25"/>
      <c r="J929" s="25"/>
      <c r="K929" s="25"/>
      <c r="L929" s="25"/>
      <c r="M929" s="16"/>
      <c r="N929" s="16"/>
      <c r="O929" s="25"/>
      <c r="P929" s="25"/>
      <c r="Q929" s="25"/>
      <c r="R929" s="25"/>
      <c r="S929" s="25"/>
      <c r="T929" s="25"/>
      <c r="U929" s="25"/>
      <c r="V929" s="25"/>
      <c r="W929" s="25"/>
      <c r="X929" s="25"/>
      <c r="Y929" s="25"/>
      <c r="Z929" s="25"/>
      <c r="AA929" s="25"/>
      <c r="AB929" s="25"/>
    </row>
    <row r="930">
      <c r="A930" s="25"/>
      <c r="B930" s="25"/>
      <c r="C930" s="25"/>
      <c r="D930" s="25"/>
      <c r="E930" s="25"/>
      <c r="F930" s="241"/>
      <c r="G930" s="21" t="b">
        <f t="shared" ref="G930:H930" si="838">ISBLANK(M930)</f>
        <v>1</v>
      </c>
      <c r="H930" s="21" t="b">
        <f t="shared" si="838"/>
        <v>1</v>
      </c>
      <c r="I930" s="25"/>
      <c r="J930" s="25"/>
      <c r="K930" s="25"/>
      <c r="L930" s="25"/>
      <c r="M930" s="16"/>
      <c r="N930" s="16"/>
      <c r="O930" s="25"/>
      <c r="P930" s="25"/>
      <c r="Q930" s="25"/>
      <c r="R930" s="25"/>
      <c r="S930" s="25"/>
      <c r="T930" s="25"/>
      <c r="U930" s="25"/>
      <c r="V930" s="25"/>
      <c r="W930" s="25"/>
      <c r="X930" s="25"/>
      <c r="Y930" s="25"/>
      <c r="Z930" s="25"/>
      <c r="AA930" s="25"/>
      <c r="AB930" s="25"/>
    </row>
    <row r="931">
      <c r="A931" s="25"/>
      <c r="B931" s="25"/>
      <c r="C931" s="25"/>
      <c r="D931" s="25"/>
      <c r="E931" s="25"/>
      <c r="F931" s="241"/>
      <c r="G931" s="21" t="b">
        <f t="shared" ref="G931:H931" si="839">ISBLANK(M931)</f>
        <v>1</v>
      </c>
      <c r="H931" s="21" t="b">
        <f t="shared" si="839"/>
        <v>1</v>
      </c>
      <c r="I931" s="25"/>
      <c r="J931" s="25"/>
      <c r="K931" s="25"/>
      <c r="L931" s="25"/>
      <c r="M931" s="16"/>
      <c r="N931" s="16"/>
      <c r="O931" s="25"/>
      <c r="P931" s="25"/>
      <c r="Q931" s="25"/>
      <c r="R931" s="25"/>
      <c r="S931" s="25"/>
      <c r="T931" s="25"/>
      <c r="U931" s="25"/>
      <c r="V931" s="25"/>
      <c r="W931" s="25"/>
      <c r="X931" s="25"/>
      <c r="Y931" s="25"/>
      <c r="Z931" s="25"/>
      <c r="AA931" s="25"/>
      <c r="AB931" s="25"/>
    </row>
    <row r="932">
      <c r="A932" s="25"/>
      <c r="B932" s="25"/>
      <c r="C932" s="25"/>
      <c r="D932" s="25"/>
      <c r="E932" s="25"/>
      <c r="F932" s="241"/>
      <c r="G932" s="21" t="b">
        <f t="shared" ref="G932:H932" si="840">ISBLANK(M932)</f>
        <v>1</v>
      </c>
      <c r="H932" s="21" t="b">
        <f t="shared" si="840"/>
        <v>1</v>
      </c>
      <c r="I932" s="25"/>
      <c r="J932" s="25"/>
      <c r="K932" s="25"/>
      <c r="L932" s="25"/>
      <c r="M932" s="16"/>
      <c r="N932" s="16"/>
      <c r="O932" s="25"/>
      <c r="P932" s="25"/>
      <c r="Q932" s="25"/>
      <c r="R932" s="25"/>
      <c r="S932" s="25"/>
      <c r="T932" s="25"/>
      <c r="U932" s="25"/>
      <c r="V932" s="25"/>
      <c r="W932" s="25"/>
      <c r="X932" s="25"/>
      <c r="Y932" s="25"/>
      <c r="Z932" s="25"/>
      <c r="AA932" s="25"/>
      <c r="AB932" s="25"/>
    </row>
    <row r="933">
      <c r="A933" s="25"/>
      <c r="B933" s="25"/>
      <c r="C933" s="25"/>
      <c r="D933" s="25"/>
      <c r="E933" s="25"/>
      <c r="F933" s="241"/>
      <c r="G933" s="21" t="b">
        <f t="shared" ref="G933:H933" si="841">ISBLANK(M933)</f>
        <v>1</v>
      </c>
      <c r="H933" s="21" t="b">
        <f t="shared" si="841"/>
        <v>1</v>
      </c>
      <c r="I933" s="25"/>
      <c r="J933" s="25"/>
      <c r="K933" s="25"/>
      <c r="L933" s="25"/>
      <c r="M933" s="16"/>
      <c r="N933" s="16"/>
      <c r="O933" s="25"/>
      <c r="P933" s="25"/>
      <c r="Q933" s="25"/>
      <c r="R933" s="25"/>
      <c r="S933" s="25"/>
      <c r="T933" s="25"/>
      <c r="U933" s="25"/>
      <c r="V933" s="25"/>
      <c r="W933" s="25"/>
      <c r="X933" s="25"/>
      <c r="Y933" s="25"/>
      <c r="Z933" s="25"/>
      <c r="AA933" s="25"/>
      <c r="AB933" s="25"/>
    </row>
    <row r="934">
      <c r="A934" s="25"/>
      <c r="B934" s="25"/>
      <c r="C934" s="25"/>
      <c r="D934" s="25"/>
      <c r="E934" s="25"/>
      <c r="F934" s="241"/>
      <c r="G934" s="21" t="b">
        <f t="shared" ref="G934:H934" si="842">ISBLANK(M934)</f>
        <v>1</v>
      </c>
      <c r="H934" s="21" t="b">
        <f t="shared" si="842"/>
        <v>1</v>
      </c>
      <c r="I934" s="25"/>
      <c r="J934" s="25"/>
      <c r="K934" s="25"/>
      <c r="L934" s="25"/>
      <c r="M934" s="16"/>
      <c r="N934" s="16"/>
      <c r="O934" s="25"/>
      <c r="P934" s="25"/>
      <c r="Q934" s="25"/>
      <c r="R934" s="25"/>
      <c r="S934" s="25"/>
      <c r="T934" s="25"/>
      <c r="U934" s="25"/>
      <c r="V934" s="25"/>
      <c r="W934" s="25"/>
      <c r="X934" s="25"/>
      <c r="Y934" s="25"/>
      <c r="Z934" s="25"/>
      <c r="AA934" s="25"/>
      <c r="AB934" s="25"/>
    </row>
    <row r="935">
      <c r="A935" s="25"/>
      <c r="B935" s="25"/>
      <c r="C935" s="25"/>
      <c r="D935" s="25"/>
      <c r="E935" s="25"/>
      <c r="F935" s="241"/>
      <c r="G935" s="21" t="b">
        <f t="shared" ref="G935:H935" si="843">ISBLANK(M935)</f>
        <v>1</v>
      </c>
      <c r="H935" s="21" t="b">
        <f t="shared" si="843"/>
        <v>1</v>
      </c>
      <c r="I935" s="25"/>
      <c r="J935" s="25"/>
      <c r="K935" s="25"/>
      <c r="L935" s="25"/>
      <c r="M935" s="16"/>
      <c r="N935" s="16"/>
      <c r="O935" s="25"/>
      <c r="P935" s="25"/>
      <c r="Q935" s="25"/>
      <c r="R935" s="25"/>
      <c r="S935" s="25"/>
      <c r="T935" s="25"/>
      <c r="U935" s="25"/>
      <c r="V935" s="25"/>
      <c r="W935" s="25"/>
      <c r="X935" s="25"/>
      <c r="Y935" s="25"/>
      <c r="Z935" s="25"/>
      <c r="AA935" s="25"/>
      <c r="AB935" s="25"/>
    </row>
    <row r="936">
      <c r="A936" s="25"/>
      <c r="B936" s="25"/>
      <c r="C936" s="25"/>
      <c r="D936" s="25"/>
      <c r="E936" s="25"/>
      <c r="F936" s="241"/>
      <c r="G936" s="21" t="b">
        <f t="shared" ref="G936:H936" si="844">ISBLANK(M936)</f>
        <v>1</v>
      </c>
      <c r="H936" s="21" t="b">
        <f t="shared" si="844"/>
        <v>1</v>
      </c>
      <c r="I936" s="25"/>
      <c r="J936" s="25"/>
      <c r="K936" s="25"/>
      <c r="L936" s="25"/>
      <c r="M936" s="16"/>
      <c r="N936" s="16"/>
      <c r="O936" s="25"/>
      <c r="P936" s="25"/>
      <c r="Q936" s="25"/>
      <c r="R936" s="25"/>
      <c r="S936" s="25"/>
      <c r="T936" s="25"/>
      <c r="U936" s="25"/>
      <c r="V936" s="25"/>
      <c r="W936" s="25"/>
      <c r="X936" s="25"/>
      <c r="Y936" s="25"/>
      <c r="Z936" s="25"/>
      <c r="AA936" s="25"/>
      <c r="AB936" s="25"/>
    </row>
    <row r="937">
      <c r="A937" s="25"/>
      <c r="B937" s="25"/>
      <c r="C937" s="25"/>
      <c r="D937" s="25"/>
      <c r="E937" s="25"/>
      <c r="F937" s="241"/>
      <c r="G937" s="21" t="b">
        <f t="shared" ref="G937:H937" si="845">ISBLANK(M937)</f>
        <v>1</v>
      </c>
      <c r="H937" s="21" t="b">
        <f t="shared" si="845"/>
        <v>1</v>
      </c>
      <c r="I937" s="25"/>
      <c r="J937" s="25"/>
      <c r="K937" s="25"/>
      <c r="L937" s="25"/>
      <c r="M937" s="16"/>
      <c r="N937" s="16"/>
      <c r="O937" s="25"/>
      <c r="P937" s="25"/>
      <c r="Q937" s="25"/>
      <c r="R937" s="25"/>
      <c r="S937" s="25"/>
      <c r="T937" s="25"/>
      <c r="U937" s="25"/>
      <c r="V937" s="25"/>
      <c r="W937" s="25"/>
      <c r="X937" s="25"/>
      <c r="Y937" s="25"/>
      <c r="Z937" s="25"/>
      <c r="AA937" s="25"/>
      <c r="AB937" s="25"/>
    </row>
    <row r="938">
      <c r="A938" s="25"/>
      <c r="B938" s="25"/>
      <c r="C938" s="25"/>
      <c r="D938" s="25"/>
      <c r="E938" s="25"/>
      <c r="F938" s="241"/>
      <c r="G938" s="21" t="b">
        <f t="shared" ref="G938:H938" si="846">ISBLANK(M938)</f>
        <v>1</v>
      </c>
      <c r="H938" s="21" t="b">
        <f t="shared" si="846"/>
        <v>1</v>
      </c>
      <c r="I938" s="25"/>
      <c r="J938" s="25"/>
      <c r="K938" s="25"/>
      <c r="L938" s="25"/>
      <c r="M938" s="16"/>
      <c r="N938" s="16"/>
      <c r="O938" s="25"/>
      <c r="P938" s="25"/>
      <c r="Q938" s="25"/>
      <c r="R938" s="25"/>
      <c r="S938" s="25"/>
      <c r="T938" s="25"/>
      <c r="U938" s="25"/>
      <c r="V938" s="25"/>
      <c r="W938" s="25"/>
      <c r="X938" s="25"/>
      <c r="Y938" s="25"/>
      <c r="Z938" s="25"/>
      <c r="AA938" s="25"/>
      <c r="AB938" s="25"/>
    </row>
    <row r="939">
      <c r="A939" s="25"/>
      <c r="B939" s="25"/>
      <c r="C939" s="25"/>
      <c r="D939" s="25"/>
      <c r="E939" s="25"/>
      <c r="F939" s="241"/>
      <c r="G939" s="21" t="b">
        <f t="shared" ref="G939:H939" si="847">ISBLANK(M939)</f>
        <v>1</v>
      </c>
      <c r="H939" s="21" t="b">
        <f t="shared" si="847"/>
        <v>1</v>
      </c>
      <c r="I939" s="25"/>
      <c r="J939" s="25"/>
      <c r="K939" s="25"/>
      <c r="L939" s="25"/>
      <c r="M939" s="16"/>
      <c r="N939" s="16"/>
      <c r="O939" s="25"/>
      <c r="P939" s="25"/>
      <c r="Q939" s="25"/>
      <c r="R939" s="25"/>
      <c r="S939" s="25"/>
      <c r="T939" s="25"/>
      <c r="U939" s="25"/>
      <c r="V939" s="25"/>
      <c r="W939" s="25"/>
      <c r="X939" s="25"/>
      <c r="Y939" s="25"/>
      <c r="Z939" s="25"/>
      <c r="AA939" s="25"/>
      <c r="AB939" s="25"/>
    </row>
    <row r="940">
      <c r="A940" s="25"/>
      <c r="B940" s="25"/>
      <c r="C940" s="25"/>
      <c r="D940" s="25"/>
      <c r="E940" s="25"/>
      <c r="F940" s="241"/>
      <c r="G940" s="21" t="b">
        <f t="shared" ref="G940:H940" si="848">ISBLANK(M940)</f>
        <v>1</v>
      </c>
      <c r="H940" s="21" t="b">
        <f t="shared" si="848"/>
        <v>1</v>
      </c>
      <c r="I940" s="25"/>
      <c r="J940" s="25"/>
      <c r="K940" s="25"/>
      <c r="L940" s="25"/>
      <c r="M940" s="16"/>
      <c r="N940" s="16"/>
      <c r="O940" s="25"/>
      <c r="P940" s="25"/>
      <c r="Q940" s="25"/>
      <c r="R940" s="25"/>
      <c r="S940" s="25"/>
      <c r="T940" s="25"/>
      <c r="U940" s="25"/>
      <c r="V940" s="25"/>
      <c r="W940" s="25"/>
      <c r="X940" s="25"/>
      <c r="Y940" s="25"/>
      <c r="Z940" s="25"/>
      <c r="AA940" s="25"/>
      <c r="AB940" s="25"/>
    </row>
    <row r="941">
      <c r="A941" s="25"/>
      <c r="B941" s="25"/>
      <c r="C941" s="25"/>
      <c r="D941" s="25"/>
      <c r="E941" s="25"/>
      <c r="F941" s="241"/>
      <c r="G941" s="21" t="b">
        <f t="shared" ref="G941:H941" si="849">ISBLANK(M941)</f>
        <v>1</v>
      </c>
      <c r="H941" s="21" t="b">
        <f t="shared" si="849"/>
        <v>1</v>
      </c>
      <c r="I941" s="25"/>
      <c r="J941" s="25"/>
      <c r="K941" s="25"/>
      <c r="L941" s="25"/>
      <c r="M941" s="16"/>
      <c r="N941" s="16"/>
      <c r="O941" s="25"/>
      <c r="P941" s="25"/>
      <c r="Q941" s="25"/>
      <c r="R941" s="25"/>
      <c r="S941" s="25"/>
      <c r="T941" s="25"/>
      <c r="U941" s="25"/>
      <c r="V941" s="25"/>
      <c r="W941" s="25"/>
      <c r="X941" s="25"/>
      <c r="Y941" s="25"/>
      <c r="Z941" s="25"/>
      <c r="AA941" s="25"/>
      <c r="AB941" s="25"/>
    </row>
    <row r="942">
      <c r="A942" s="25"/>
      <c r="B942" s="25"/>
      <c r="C942" s="25"/>
      <c r="D942" s="25"/>
      <c r="E942" s="25"/>
      <c r="F942" s="241"/>
      <c r="G942" s="21" t="b">
        <f t="shared" ref="G942:H942" si="850">ISBLANK(M942)</f>
        <v>1</v>
      </c>
      <c r="H942" s="21" t="b">
        <f t="shared" si="850"/>
        <v>1</v>
      </c>
      <c r="I942" s="25"/>
      <c r="J942" s="25"/>
      <c r="K942" s="25"/>
      <c r="L942" s="25"/>
      <c r="M942" s="16"/>
      <c r="N942" s="16"/>
      <c r="O942" s="25"/>
      <c r="P942" s="25"/>
      <c r="Q942" s="25"/>
      <c r="R942" s="25"/>
      <c r="S942" s="25"/>
      <c r="T942" s="25"/>
      <c r="U942" s="25"/>
      <c r="V942" s="25"/>
      <c r="W942" s="25"/>
      <c r="X942" s="25"/>
      <c r="Y942" s="25"/>
      <c r="Z942" s="25"/>
      <c r="AA942" s="25"/>
      <c r="AB942" s="25"/>
    </row>
    <row r="943">
      <c r="A943" s="25"/>
      <c r="B943" s="25"/>
      <c r="C943" s="25"/>
      <c r="D943" s="25"/>
      <c r="E943" s="25"/>
      <c r="F943" s="241"/>
      <c r="G943" s="21" t="b">
        <f t="shared" ref="G943:H943" si="851">ISBLANK(M943)</f>
        <v>1</v>
      </c>
      <c r="H943" s="21" t="b">
        <f t="shared" si="851"/>
        <v>1</v>
      </c>
      <c r="I943" s="25"/>
      <c r="J943" s="25"/>
      <c r="K943" s="25"/>
      <c r="L943" s="25"/>
      <c r="M943" s="16"/>
      <c r="N943" s="16"/>
      <c r="O943" s="25"/>
      <c r="P943" s="25"/>
      <c r="Q943" s="25"/>
      <c r="R943" s="25"/>
      <c r="S943" s="25"/>
      <c r="T943" s="25"/>
      <c r="U943" s="25"/>
      <c r="V943" s="25"/>
      <c r="W943" s="25"/>
      <c r="X943" s="25"/>
      <c r="Y943" s="25"/>
      <c r="Z943" s="25"/>
      <c r="AA943" s="25"/>
      <c r="AB943" s="25"/>
    </row>
    <row r="944">
      <c r="A944" s="25"/>
      <c r="B944" s="25"/>
      <c r="C944" s="25"/>
      <c r="D944" s="25"/>
      <c r="E944" s="25"/>
      <c r="F944" s="241"/>
      <c r="G944" s="21" t="b">
        <f t="shared" ref="G944:H944" si="852">ISBLANK(M944)</f>
        <v>1</v>
      </c>
      <c r="H944" s="21" t="b">
        <f t="shared" si="852"/>
        <v>1</v>
      </c>
      <c r="I944" s="25"/>
      <c r="J944" s="25"/>
      <c r="K944" s="25"/>
      <c r="L944" s="25"/>
      <c r="M944" s="16"/>
      <c r="N944" s="16"/>
      <c r="O944" s="25"/>
      <c r="P944" s="25"/>
      <c r="Q944" s="25"/>
      <c r="R944" s="25"/>
      <c r="S944" s="25"/>
      <c r="T944" s="25"/>
      <c r="U944" s="25"/>
      <c r="V944" s="25"/>
      <c r="W944" s="25"/>
      <c r="X944" s="25"/>
      <c r="Y944" s="25"/>
      <c r="Z944" s="25"/>
      <c r="AA944" s="25"/>
      <c r="AB944" s="25"/>
    </row>
    <row r="945">
      <c r="A945" s="25"/>
      <c r="B945" s="25"/>
      <c r="C945" s="25"/>
      <c r="D945" s="25"/>
      <c r="E945" s="25"/>
      <c r="F945" s="241"/>
      <c r="G945" s="21" t="b">
        <f t="shared" ref="G945:H945" si="853">ISBLANK(M945)</f>
        <v>1</v>
      </c>
      <c r="H945" s="21" t="b">
        <f t="shared" si="853"/>
        <v>1</v>
      </c>
      <c r="I945" s="25"/>
      <c r="J945" s="25"/>
      <c r="K945" s="25"/>
      <c r="L945" s="25"/>
      <c r="M945" s="16"/>
      <c r="N945" s="16"/>
      <c r="O945" s="25"/>
      <c r="P945" s="25"/>
      <c r="Q945" s="25"/>
      <c r="R945" s="25"/>
      <c r="S945" s="25"/>
      <c r="T945" s="25"/>
      <c r="U945" s="25"/>
      <c r="V945" s="25"/>
      <c r="W945" s="25"/>
      <c r="X945" s="25"/>
      <c r="Y945" s="25"/>
      <c r="Z945" s="25"/>
      <c r="AA945" s="25"/>
      <c r="AB945" s="25"/>
    </row>
    <row r="946">
      <c r="A946" s="25"/>
      <c r="B946" s="25"/>
      <c r="C946" s="25"/>
      <c r="D946" s="25"/>
      <c r="E946" s="25"/>
      <c r="F946" s="241"/>
      <c r="G946" s="21" t="b">
        <f t="shared" ref="G946:H946" si="854">ISBLANK(M946)</f>
        <v>1</v>
      </c>
      <c r="H946" s="21" t="b">
        <f t="shared" si="854"/>
        <v>1</v>
      </c>
      <c r="I946" s="25"/>
      <c r="J946" s="25"/>
      <c r="K946" s="25"/>
      <c r="L946" s="25"/>
      <c r="M946" s="16"/>
      <c r="N946" s="16"/>
      <c r="O946" s="25"/>
      <c r="P946" s="25"/>
      <c r="Q946" s="25"/>
      <c r="R946" s="25"/>
      <c r="S946" s="25"/>
      <c r="T946" s="25"/>
      <c r="U946" s="25"/>
      <c r="V946" s="25"/>
      <c r="W946" s="25"/>
      <c r="X946" s="25"/>
      <c r="Y946" s="25"/>
      <c r="Z946" s="25"/>
      <c r="AA946" s="25"/>
      <c r="AB946" s="25"/>
    </row>
    <row r="947">
      <c r="A947" s="25"/>
      <c r="B947" s="25"/>
      <c r="C947" s="25"/>
      <c r="D947" s="25"/>
      <c r="E947" s="25"/>
      <c r="F947" s="241"/>
      <c r="G947" s="21" t="b">
        <f t="shared" ref="G947:H947" si="855">ISBLANK(M947)</f>
        <v>1</v>
      </c>
      <c r="H947" s="21" t="b">
        <f t="shared" si="855"/>
        <v>1</v>
      </c>
      <c r="I947" s="25"/>
      <c r="J947" s="25"/>
      <c r="K947" s="25"/>
      <c r="L947" s="25"/>
      <c r="M947" s="16"/>
      <c r="N947" s="16"/>
      <c r="O947" s="25"/>
      <c r="P947" s="25"/>
      <c r="Q947" s="25"/>
      <c r="R947" s="25"/>
      <c r="S947" s="25"/>
      <c r="T947" s="25"/>
      <c r="U947" s="25"/>
      <c r="V947" s="25"/>
      <c r="W947" s="25"/>
      <c r="X947" s="25"/>
      <c r="Y947" s="25"/>
      <c r="Z947" s="25"/>
      <c r="AA947" s="25"/>
      <c r="AB947" s="25"/>
    </row>
    <row r="948">
      <c r="A948" s="25"/>
      <c r="B948" s="25"/>
      <c r="C948" s="25"/>
      <c r="D948" s="25"/>
      <c r="E948" s="25"/>
      <c r="F948" s="241"/>
      <c r="G948" s="21" t="b">
        <f t="shared" ref="G948:H948" si="856">ISBLANK(M948)</f>
        <v>1</v>
      </c>
      <c r="H948" s="21" t="b">
        <f t="shared" si="856"/>
        <v>1</v>
      </c>
      <c r="I948" s="25"/>
      <c r="J948" s="25"/>
      <c r="K948" s="25"/>
      <c r="L948" s="25"/>
      <c r="M948" s="16"/>
      <c r="N948" s="16"/>
      <c r="O948" s="25"/>
      <c r="P948" s="25"/>
      <c r="Q948" s="25"/>
      <c r="R948" s="25"/>
      <c r="S948" s="25"/>
      <c r="T948" s="25"/>
      <c r="U948" s="25"/>
      <c r="V948" s="25"/>
      <c r="W948" s="25"/>
      <c r="X948" s="25"/>
      <c r="Y948" s="25"/>
      <c r="Z948" s="25"/>
      <c r="AA948" s="25"/>
      <c r="AB948" s="25"/>
    </row>
    <row r="949">
      <c r="A949" s="25"/>
      <c r="B949" s="25"/>
      <c r="C949" s="25"/>
      <c r="D949" s="25"/>
      <c r="E949" s="25"/>
      <c r="F949" s="241"/>
      <c r="G949" s="21" t="b">
        <f t="shared" ref="G949:H949" si="857">ISBLANK(M949)</f>
        <v>1</v>
      </c>
      <c r="H949" s="21" t="b">
        <f t="shared" si="857"/>
        <v>1</v>
      </c>
      <c r="I949" s="25"/>
      <c r="J949" s="25"/>
      <c r="K949" s="25"/>
      <c r="L949" s="25"/>
      <c r="M949" s="16"/>
      <c r="N949" s="16"/>
      <c r="O949" s="25"/>
      <c r="P949" s="25"/>
      <c r="Q949" s="25"/>
      <c r="R949" s="25"/>
      <c r="S949" s="25"/>
      <c r="T949" s="25"/>
      <c r="U949" s="25"/>
      <c r="V949" s="25"/>
      <c r="W949" s="25"/>
      <c r="X949" s="25"/>
      <c r="Y949" s="25"/>
      <c r="Z949" s="25"/>
      <c r="AA949" s="25"/>
      <c r="AB949" s="25"/>
    </row>
    <row r="950">
      <c r="A950" s="25"/>
      <c r="B950" s="25"/>
      <c r="C950" s="25"/>
      <c r="D950" s="25"/>
      <c r="E950" s="25"/>
      <c r="F950" s="241"/>
      <c r="G950" s="21" t="b">
        <f t="shared" ref="G950:H950" si="858">ISBLANK(M950)</f>
        <v>1</v>
      </c>
      <c r="H950" s="21" t="b">
        <f t="shared" si="858"/>
        <v>1</v>
      </c>
      <c r="I950" s="25"/>
      <c r="J950" s="25"/>
      <c r="K950" s="25"/>
      <c r="L950" s="25"/>
      <c r="M950" s="16"/>
      <c r="N950" s="16"/>
      <c r="O950" s="25"/>
      <c r="P950" s="25"/>
      <c r="Q950" s="25"/>
      <c r="R950" s="25"/>
      <c r="S950" s="25"/>
      <c r="T950" s="25"/>
      <c r="U950" s="25"/>
      <c r="V950" s="25"/>
      <c r="W950" s="25"/>
      <c r="X950" s="25"/>
      <c r="Y950" s="25"/>
      <c r="Z950" s="25"/>
      <c r="AA950" s="25"/>
      <c r="AB950" s="25"/>
    </row>
    <row r="951">
      <c r="A951" s="25"/>
      <c r="B951" s="25"/>
      <c r="C951" s="25"/>
      <c r="D951" s="25"/>
      <c r="E951" s="25"/>
      <c r="F951" s="241"/>
      <c r="G951" s="21" t="b">
        <f t="shared" ref="G951:H951" si="859">ISBLANK(M951)</f>
        <v>1</v>
      </c>
      <c r="H951" s="21" t="b">
        <f t="shared" si="859"/>
        <v>1</v>
      </c>
      <c r="I951" s="25"/>
      <c r="J951" s="25"/>
      <c r="K951" s="25"/>
      <c r="L951" s="25"/>
      <c r="M951" s="16"/>
      <c r="N951" s="16"/>
      <c r="O951" s="25"/>
      <c r="P951" s="25"/>
      <c r="Q951" s="25"/>
      <c r="R951" s="25"/>
      <c r="S951" s="25"/>
      <c r="T951" s="25"/>
      <c r="U951" s="25"/>
      <c r="V951" s="25"/>
      <c r="W951" s="25"/>
      <c r="X951" s="25"/>
      <c r="Y951" s="25"/>
      <c r="Z951" s="25"/>
      <c r="AA951" s="25"/>
      <c r="AB951" s="25"/>
    </row>
  </sheetData>
  <autoFilter ref="$A$1:$AB$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hidden="1" min="2" max="18" width="14.43"/>
    <col hidden="1" min="23" max="30" width="14.43"/>
    <col customWidth="1" hidden="1" min="31" max="33" width="27.0"/>
  </cols>
  <sheetData>
    <row r="1">
      <c r="A1" t="str">
        <f>IFERROR(__xludf.DUMMYFUNCTION("importrange(""1uKmEoz6CJ30uxhq0p3iiltPQgYZKxWARClhrrgcHL_I"",""Copy of Live Inventory View_Consolidated for sales!A:W"")"),"#REF!")</f>
        <v>#REF!</v>
      </c>
      <c r="L1" t="str">
        <f>IFERROR(__xludf.DUMMYFUNCTION("""COMPUTED_VALUE""")," ")</f>
        <v> </v>
      </c>
      <c r="O1" s="242">
        <f>IFERROR(__xludf.DUMMYFUNCTION("""COMPUTED_VALUE"""),0.05)</f>
        <v>0.05</v>
      </c>
    </row>
    <row r="3">
      <c r="Q3" t="str">
        <f>IFERROR(__xludf.DUMMYFUNCTION("""COMPUTED_VALUE"""),"
")</f>
        <v>
</v>
      </c>
      <c r="R3" t="str">
        <f>IFERROR(__xludf.DUMMYFUNCTION("""COMPUTED_VALUE"""),"
")</f>
        <v>
</v>
      </c>
    </row>
    <row r="4">
      <c r="A4" s="243" t="str">
        <f>IFERROR(__xludf.DUMMYFUNCTION("""COMPUTED_VALUE"""),"Registered Address - First Floor, Plot No. 72, Gulmohar Marg, M block, DLF Phase 2,Near DLF Square Building, Gurgaon - 122002.")</f>
        <v>Registered Address - First Floor, Plot No. 72, Gulmohar Marg, M block, DLF Phase 2,Near DLF Square Building, Gurgaon - 122002.</v>
      </c>
    </row>
    <row r="5">
      <c r="A5" s="243" t="str">
        <f>IFERROR(__xludf.DUMMYFUNCTION("""COMPUTED_VALUE"""),"For Sales Enquiries, contact us at -")</f>
        <v>For Sales Enquiries, contact us at -</v>
      </c>
      <c r="K5" t="str">
        <f>IFERROR(__xludf.DUMMYFUNCTION("""COMPUTED_VALUE""")," ")</f>
        <v> </v>
      </c>
    </row>
    <row r="6">
      <c r="A6" t="str">
        <f>IFERROR(__xludf.DUMMYFUNCTION("""COMPUTED_VALUE"""),"For Punjab, Rajasthan, J&amp;K")</f>
        <v>For Punjab, Rajasthan, J&amp;K</v>
      </c>
      <c r="C6" s="243" t="str">
        <f>IFERROR(__xludf.DUMMYFUNCTION("""COMPUTED_VALUE"""),"For Haryana, UP, Uttarakhand")</f>
        <v>For Haryana, UP, Uttarakhand</v>
      </c>
      <c r="G6" s="243" t="str">
        <f>IFERROR(__xludf.DUMMYFUNCTION("""COMPUTED_VALUE"""),"For Delhi NCR")</f>
        <v>For Delhi NCR</v>
      </c>
    </row>
    <row r="7">
      <c r="A7" s="243" t="str">
        <f>IFERROR(__xludf.DUMMYFUNCTION("""COMPUTED_VALUE"""),"Abhishek Kumar - 9971912274")</f>
        <v>Abhishek Kumar - 9971912274</v>
      </c>
      <c r="C7" s="243" t="str">
        <f>IFERROR(__xludf.DUMMYFUNCTION("""COMPUTED_VALUE"""),"Ravi Dwivedi - 9889999180")</f>
        <v>Ravi Dwivedi - 9889999180</v>
      </c>
      <c r="G7" s="243" t="str">
        <f>IFERROR(__xludf.DUMMYFUNCTION("""COMPUTED_VALUE"""),"Abhishek Kumar - 9971912274")</f>
        <v>Abhishek Kumar - 9971912274</v>
      </c>
    </row>
    <row r="8">
      <c r="A8" s="243" t="str">
        <f>IFERROR(__xludf.DUMMYFUNCTION("""COMPUTED_VALUE"""),"Sunny - 9310221745")</f>
        <v>Sunny - 9310221745</v>
      </c>
      <c r="C8" s="243" t="str">
        <f>IFERROR(__xludf.DUMMYFUNCTION("""COMPUTED_VALUE"""),"Radha Nandan - 9015125009")</f>
        <v>Radha Nandan - 9015125009</v>
      </c>
      <c r="G8" s="243" t="str">
        <f>IFERROR(__xludf.DUMMYFUNCTION("""COMPUTED_VALUE"""),"Md. Shahzad - 9643856755")</f>
        <v>Md. Shahzad - 9643856755</v>
      </c>
    </row>
    <row r="9">
      <c r="A9" s="243" t="str">
        <f>IFERROR(__xludf.DUMMYFUNCTION("""COMPUTED_VALUE"""),"Niket Ranjan - 9097271037")</f>
        <v>Niket Ranjan - 9097271037</v>
      </c>
      <c r="C9" s="243" t="str">
        <f>IFERROR(__xludf.DUMMYFUNCTION("""COMPUTED_VALUE"""),"Sanjeev Dogra - 9761282868")</f>
        <v>Sanjeev Dogra - 9761282868</v>
      </c>
      <c r="U9" t="str">
        <f>IFERROR(__xludf.DUMMYFUNCTION("""COMPUTED_VALUE"""),"Applicable on purchase of 1 or 2 units")</f>
        <v>Applicable on purchase of 1 or 2 units</v>
      </c>
      <c r="AE9" s="244" t="s">
        <v>1057</v>
      </c>
      <c r="AF9" s="245">
        <f>now()</f>
        <v>44511.01382</v>
      </c>
      <c r="AG9" s="2"/>
    </row>
    <row r="10">
      <c r="U10" t="str">
        <f>IFERROR(__xludf.DUMMYFUNCTION("""COMPUTED_VALUE"""),"This price should go on website")</f>
        <v>This price should go on website</v>
      </c>
      <c r="AE10" s="246" t="s">
        <v>1058</v>
      </c>
      <c r="AF10" s="246" t="s">
        <v>1059</v>
      </c>
      <c r="AG10" s="246" t="s">
        <v>1060</v>
      </c>
    </row>
    <row r="11">
      <c r="A11" s="247"/>
      <c r="B11" s="247" t="str">
        <f>IFERROR(__xludf.DUMMYFUNCTION("""COMPUTED_VALUE"""),"Device Quality Grade")</f>
        <v>Device Quality Grade</v>
      </c>
      <c r="C11" s="247"/>
      <c r="D11" s="247"/>
      <c r="E11" s="247"/>
      <c r="F11" s="247"/>
      <c r="G11" s="247"/>
      <c r="H11" s="247"/>
      <c r="I11" s="247"/>
      <c r="J11" s="247"/>
      <c r="K11" s="247"/>
      <c r="L11" s="247" t="str">
        <f>IFERROR(__xludf.DUMMYFUNCTION("""COMPUTED_VALUE"""),"Unit pricing wrt quality grade")</f>
        <v>Unit pricing wrt quality grade</v>
      </c>
      <c r="M11" s="247"/>
      <c r="N11" s="247"/>
      <c r="O11" s="247"/>
      <c r="P11" s="247"/>
      <c r="Q11" s="247"/>
      <c r="R11" s="247"/>
      <c r="S11" s="247"/>
      <c r="T11" s="247"/>
      <c r="U11" s="247" t="str">
        <f>IFERROR(__xludf.DUMMYFUNCTION("""COMPUTED_VALUE"""),"Customer Pricing")</f>
        <v>Customer Pricing</v>
      </c>
      <c r="V11" s="247"/>
      <c r="W11" s="247"/>
      <c r="X11" s="247"/>
      <c r="Y11" s="247"/>
      <c r="Z11" s="247"/>
      <c r="AA11" s="248" t="s">
        <v>1061</v>
      </c>
      <c r="AE11" s="249">
        <f>sum(AE13:AE2511)</f>
        <v>1998</v>
      </c>
      <c r="AF11" s="249">
        <f t="shared" ref="AF11:AG11" si="1">sumif($AE$14:$AE$1001,1,AF14:AF1001)</f>
        <v>3</v>
      </c>
      <c r="AG11" s="249">
        <f t="shared" si="1"/>
        <v>30</v>
      </c>
      <c r="AH11" s="247"/>
    </row>
    <row r="12">
      <c r="A12" s="247"/>
      <c r="B12" s="247" t="str">
        <f>IFERROR(__xludf.DUMMYFUNCTION("""COMPUTED_VALUE"""),"A+")</f>
        <v>A+</v>
      </c>
      <c r="C12" s="247" t="str">
        <f>IFERROR(__xludf.DUMMYFUNCTION("""COMPUTED_VALUE"""),"A")</f>
        <v>A</v>
      </c>
      <c r="D12" s="247" t="str">
        <f>IFERROR(__xludf.DUMMYFUNCTION("""COMPUTED_VALUE"""),"B")</f>
        <v>B</v>
      </c>
      <c r="E12" s="247" t="str">
        <f>IFERROR(__xludf.DUMMYFUNCTION("""COMPUTED_VALUE"""),"B-")</f>
        <v>B-</v>
      </c>
      <c r="F12" s="247" t="str">
        <f>IFERROR(__xludf.DUMMYFUNCTION("""COMPUTED_VALUE"""),"C")</f>
        <v>C</v>
      </c>
      <c r="G12" s="247" t="str">
        <f>IFERROR(__xludf.DUMMYFUNCTION("""COMPUTED_VALUE"""),"D")</f>
        <v>D</v>
      </c>
      <c r="H12" s="247" t="str">
        <f>IFERROR(__xludf.DUMMYFUNCTION("""COMPUTED_VALUE"""),"E")</f>
        <v>E</v>
      </c>
      <c r="I12" s="247" t="str">
        <f>IFERROR(__xludf.DUMMYFUNCTION("""COMPUTED_VALUE"""),"F")</f>
        <v>F</v>
      </c>
      <c r="J12" s="247" t="str">
        <f>IFERROR(__xludf.DUMMYFUNCTION("""COMPUTED_VALUE"""),"Total")</f>
        <v>Total</v>
      </c>
      <c r="K12" s="247"/>
      <c r="L12" s="247" t="str">
        <f>IFERROR(__xludf.DUMMYFUNCTION("""COMPUTED_VALUE"""),"A+")</f>
        <v>A+</v>
      </c>
      <c r="M12" s="247" t="str">
        <f>IFERROR(__xludf.DUMMYFUNCTION("""COMPUTED_VALUE"""),"A")</f>
        <v>A</v>
      </c>
      <c r="N12" s="247" t="str">
        <f>IFERROR(__xludf.DUMMYFUNCTION("""COMPUTED_VALUE"""),"B")</f>
        <v>B</v>
      </c>
      <c r="O12" s="247" t="str">
        <f>IFERROR(__xludf.DUMMYFUNCTION("""COMPUTED_VALUE"""),"B-")</f>
        <v>B-</v>
      </c>
      <c r="P12" s="247" t="str">
        <f>IFERROR(__xludf.DUMMYFUNCTION("""COMPUTED_VALUE"""),"C")</f>
        <v>C</v>
      </c>
      <c r="Q12" s="247" t="str">
        <f>IFERROR(__xludf.DUMMYFUNCTION("""COMPUTED_VALUE"""),"D")</f>
        <v>D</v>
      </c>
      <c r="R12" s="247" t="str">
        <f>IFERROR(__xludf.DUMMYFUNCTION("""COMPUTED_VALUE"""),"E")</f>
        <v>E</v>
      </c>
      <c r="S12" s="247" t="str">
        <f>IFERROR(__xludf.DUMMYFUNCTION("""COMPUTED_VALUE"""),"F")</f>
        <v>F</v>
      </c>
      <c r="T12" s="247"/>
      <c r="U12" s="247" t="str">
        <f>IFERROR(__xludf.DUMMYFUNCTION("""COMPUTED_VALUE"""),"A+")</f>
        <v>A+</v>
      </c>
      <c r="V12" s="247" t="str">
        <f>IFERROR(__xludf.DUMMYFUNCTION("""COMPUTED_VALUE"""),"A")</f>
        <v>A</v>
      </c>
      <c r="W12" s="247" t="str">
        <f>IFERROR(__xludf.DUMMYFUNCTION("""COMPUTED_VALUE"""),"B")</f>
        <v>B</v>
      </c>
      <c r="X12" s="248" t="s">
        <v>9</v>
      </c>
      <c r="Y12" s="248" t="s">
        <v>8</v>
      </c>
      <c r="Z12" s="248" t="s">
        <v>10</v>
      </c>
      <c r="AA12" s="248" t="s">
        <v>1062</v>
      </c>
      <c r="AB12" s="248" t="s">
        <v>1063</v>
      </c>
      <c r="AC12" s="248" t="s">
        <v>1064</v>
      </c>
      <c r="AD12" s="247"/>
      <c r="AE12" s="248" t="s">
        <v>1065</v>
      </c>
      <c r="AF12" s="248" t="s">
        <v>1066</v>
      </c>
      <c r="AG12" s="248" t="s">
        <v>1067</v>
      </c>
      <c r="AH12" s="247"/>
    </row>
    <row r="13">
      <c r="A13" t="str">
        <f>IFERROR(__xludf.DUMMYFUNCTION("""COMPUTED_VALUE"""),"Total")</f>
        <v>Total</v>
      </c>
      <c r="B13">
        <f>IFERROR(__xludf.DUMMYFUNCTION("""COMPUTED_VALUE"""),2.0)</f>
        <v>2</v>
      </c>
      <c r="C13">
        <f>IFERROR(__xludf.DUMMYFUNCTION("""COMPUTED_VALUE"""),61.0)</f>
        <v>61</v>
      </c>
      <c r="D13">
        <f>IFERROR(__xludf.DUMMYFUNCTION("""COMPUTED_VALUE"""),111.0)</f>
        <v>111</v>
      </c>
      <c r="E13">
        <f>IFERROR(__xludf.DUMMYFUNCTION("""COMPUTED_VALUE"""),100.0)</f>
        <v>100</v>
      </c>
      <c r="F13">
        <f>IFERROR(__xludf.DUMMYFUNCTION("""COMPUTED_VALUE"""),227.0)</f>
        <v>227</v>
      </c>
      <c r="G13">
        <f>IFERROR(__xludf.DUMMYFUNCTION("""COMPUTED_VALUE"""),309.0)</f>
        <v>309</v>
      </c>
      <c r="H13">
        <f>IFERROR(__xludf.DUMMYFUNCTION("""COMPUTED_VALUE"""),80.0)</f>
        <v>80</v>
      </c>
      <c r="I13">
        <f>IFERROR(__xludf.DUMMYFUNCTION("""COMPUTED_VALUE"""),4650.0)</f>
        <v>4650</v>
      </c>
      <c r="J13">
        <f>IFERROR(__xludf.DUMMYFUNCTION("""COMPUTED_VALUE"""),5540.0)</f>
        <v>5540</v>
      </c>
    </row>
    <row r="14">
      <c r="B14" t="str">
        <f>IFERROR(__xludf.DUMMYFUNCTION("""COMPUTED_VALUE"""),"")</f>
        <v/>
      </c>
      <c r="C14" t="str">
        <f>IFERROR(__xludf.DUMMYFUNCTION("""COMPUTED_VALUE"""),"")</f>
        <v/>
      </c>
      <c r="D14" t="str">
        <f>IFERROR(__xludf.DUMMYFUNCTION("""COMPUTED_VALUE"""),"")</f>
        <v/>
      </c>
      <c r="E14" t="str">
        <f>IFERROR(__xludf.DUMMYFUNCTION("""COMPUTED_VALUE"""),"")</f>
        <v/>
      </c>
      <c r="F14" t="str">
        <f>IFERROR(__xludf.DUMMYFUNCTION("""COMPUTED_VALUE"""),"")</f>
        <v/>
      </c>
      <c r="G14" t="str">
        <f>IFERROR(__xludf.DUMMYFUNCTION("""COMPUTED_VALUE"""),"")</f>
        <v/>
      </c>
      <c r="H14" t="str">
        <f>IFERROR(__xludf.DUMMYFUNCTION("""COMPUTED_VALUE"""),"")</f>
        <v/>
      </c>
      <c r="I14" t="str">
        <f>IFERROR(__xludf.DUMMYFUNCTION("""COMPUTED_VALUE"""),"")</f>
        <v/>
      </c>
      <c r="J14">
        <f>IFERROR(__xludf.DUMMYFUNCTION("""COMPUTED_VALUE"""),0.0)</f>
        <v>0</v>
      </c>
      <c r="L14" s="250" t="str">
        <f>IFERROR(__xludf.DUMMYFUNCTION("""COMPUTED_VALUE"""),"")</f>
        <v/>
      </c>
      <c r="M14" s="250" t="str">
        <f>IFERROR(__xludf.DUMMYFUNCTION("""COMPUTED_VALUE"""),"")</f>
        <v/>
      </c>
      <c r="N14" s="250" t="str">
        <f>IFERROR(__xludf.DUMMYFUNCTION("""COMPUTED_VALUE"""),"")</f>
        <v/>
      </c>
      <c r="O14" s="250" t="str">
        <f>IFERROR(__xludf.DUMMYFUNCTION("""COMPUTED_VALUE"""),"")</f>
        <v/>
      </c>
      <c r="P14" s="250" t="str">
        <f>IFERROR(__xludf.DUMMYFUNCTION("""COMPUTED_VALUE"""),"")</f>
        <v/>
      </c>
      <c r="Q14" s="250" t="str">
        <f>IFERROR(__xludf.DUMMYFUNCTION("""COMPUTED_VALUE"""),"")</f>
        <v/>
      </c>
      <c r="R14" s="250" t="str">
        <f>IFERROR(__xludf.DUMMYFUNCTION("""COMPUTED_VALUE"""),"")</f>
        <v/>
      </c>
      <c r="U14" s="250" t="str">
        <f>IFERROR(__xludf.DUMMYFUNCTION("""COMPUTED_VALUE"""),"#N/A")</f>
        <v>#N/A</v>
      </c>
      <c r="V14" s="250" t="str">
        <f>IFERROR(__xludf.DUMMYFUNCTION("""COMPUTED_VALUE"""),"#N/A")</f>
        <v>#N/A</v>
      </c>
      <c r="W14" s="250" t="str">
        <f>IFERROR(__xludf.DUMMYFUNCTION("""COMPUTED_VALUE"""),"#N/A")</f>
        <v>#N/A</v>
      </c>
      <c r="X14" t="b">
        <f>ISBLANK(B14)</f>
        <v>0</v>
      </c>
      <c r="Y14" t="b">
        <f t="shared" ref="Y14:Z14" si="2">ISBLANK(L14)</f>
        <v>0</v>
      </c>
      <c r="Z14" t="b">
        <f t="shared" si="2"/>
        <v>0</v>
      </c>
      <c r="AA14">
        <f t="shared" ref="AA14:AC14" si="3">IF(X14=FALSE,1,0)</f>
        <v>1</v>
      </c>
      <c r="AB14">
        <f t="shared" si="3"/>
        <v>1</v>
      </c>
      <c r="AC14">
        <f t="shared" si="3"/>
        <v>1</v>
      </c>
      <c r="AD14">
        <f t="shared" ref="AD14:AD2511" si="6">AA14+AB14+AC14</f>
        <v>3</v>
      </c>
      <c r="AE14">
        <f t="shared" ref="AE14:AE2511" si="7">IF(AD14&gt;0,1,0)</f>
        <v>1</v>
      </c>
      <c r="AF14">
        <f>if(iferror(vlookup($A14,'Description Database'!$E$2:$H$951,3,0),0)=TRUE,1,0)</f>
        <v>0</v>
      </c>
      <c r="AG14">
        <f>if(iferror(vlookup($A14,'Description Database'!$E$2:$H$951,4,0),0)=TRUE,1,0)</f>
        <v>0</v>
      </c>
    </row>
    <row r="15">
      <c r="B15" t="str">
        <f>IFERROR(__xludf.DUMMYFUNCTION("""COMPUTED_VALUE"""),"")</f>
        <v/>
      </c>
      <c r="C15" t="str">
        <f>IFERROR(__xludf.DUMMYFUNCTION("""COMPUTED_VALUE"""),"")</f>
        <v/>
      </c>
      <c r="D15" t="str">
        <f>IFERROR(__xludf.DUMMYFUNCTION("""COMPUTED_VALUE"""),"")</f>
        <v/>
      </c>
      <c r="E15" t="str">
        <f>IFERROR(__xludf.DUMMYFUNCTION("""COMPUTED_VALUE"""),"")</f>
        <v/>
      </c>
      <c r="F15" t="str">
        <f>IFERROR(__xludf.DUMMYFUNCTION("""COMPUTED_VALUE"""),"")</f>
        <v/>
      </c>
      <c r="G15" t="str">
        <f>IFERROR(__xludf.DUMMYFUNCTION("""COMPUTED_VALUE"""),"")</f>
        <v/>
      </c>
      <c r="H15" t="str">
        <f>IFERROR(__xludf.DUMMYFUNCTION("""COMPUTED_VALUE"""),"")</f>
        <v/>
      </c>
      <c r="I15" t="str">
        <f>IFERROR(__xludf.DUMMYFUNCTION("""COMPUTED_VALUE"""),"")</f>
        <v/>
      </c>
      <c r="J15">
        <f>IFERROR(__xludf.DUMMYFUNCTION("""COMPUTED_VALUE"""),0.0)</f>
        <v>0</v>
      </c>
      <c r="L15" s="250" t="str">
        <f>IFERROR(__xludf.DUMMYFUNCTION("""COMPUTED_VALUE"""),"")</f>
        <v/>
      </c>
      <c r="M15" s="250" t="str">
        <f>IFERROR(__xludf.DUMMYFUNCTION("""COMPUTED_VALUE"""),"")</f>
        <v/>
      </c>
      <c r="N15" s="250" t="str">
        <f>IFERROR(__xludf.DUMMYFUNCTION("""COMPUTED_VALUE"""),"")</f>
        <v/>
      </c>
      <c r="O15" s="250" t="str">
        <f>IFERROR(__xludf.DUMMYFUNCTION("""COMPUTED_VALUE"""),"")</f>
        <v/>
      </c>
      <c r="P15" s="250" t="str">
        <f>IFERROR(__xludf.DUMMYFUNCTION("""COMPUTED_VALUE"""),"")</f>
        <v/>
      </c>
      <c r="Q15" s="250" t="str">
        <f>IFERROR(__xludf.DUMMYFUNCTION("""COMPUTED_VALUE"""),"")</f>
        <v/>
      </c>
      <c r="R15" s="250" t="str">
        <f>IFERROR(__xludf.DUMMYFUNCTION("""COMPUTED_VALUE"""),"")</f>
        <v/>
      </c>
      <c r="U15" s="250" t="str">
        <f>IFERROR(__xludf.DUMMYFUNCTION("""COMPUTED_VALUE"""),"#N/A")</f>
        <v>#N/A</v>
      </c>
      <c r="V15" s="250" t="str">
        <f>IFERROR(__xludf.DUMMYFUNCTION("""COMPUTED_VALUE"""),"#N/A")</f>
        <v>#N/A</v>
      </c>
      <c r="W15" s="250" t="str">
        <f>IFERROR(__xludf.DUMMYFUNCTION("""COMPUTED_VALUE""")," ")</f>
        <v> </v>
      </c>
      <c r="X15" t="b">
        <f t="shared" ref="X15:Z15" si="4">ISBLANK(K15)</f>
        <v>1</v>
      </c>
      <c r="Y15" t="b">
        <f t="shared" si="4"/>
        <v>0</v>
      </c>
      <c r="Z15" t="b">
        <f t="shared" si="4"/>
        <v>0</v>
      </c>
      <c r="AA15">
        <f t="shared" ref="AA15:AC15" si="5">IF(X15=FALSE,1,0)</f>
        <v>0</v>
      </c>
      <c r="AB15">
        <f t="shared" si="5"/>
        <v>1</v>
      </c>
      <c r="AC15">
        <f t="shared" si="5"/>
        <v>1</v>
      </c>
      <c r="AD15">
        <f t="shared" si="6"/>
        <v>2</v>
      </c>
      <c r="AE15">
        <f t="shared" si="7"/>
        <v>1</v>
      </c>
      <c r="AF15">
        <f>if(iferror(vlookup($A15,'Description Database'!$E$2:$H$951,3,0),0)=TRUE,1,0)</f>
        <v>0</v>
      </c>
      <c r="AG15">
        <f>if(iferror(vlookup($A15,'Description Database'!$E$2:$H$951,4,0),0)=TRUE,1,0)</f>
        <v>0</v>
      </c>
    </row>
    <row r="16">
      <c r="B16" t="str">
        <f>IFERROR(__xludf.DUMMYFUNCTION("""COMPUTED_VALUE"""),"")</f>
        <v/>
      </c>
      <c r="C16" t="str">
        <f>IFERROR(__xludf.DUMMYFUNCTION("""COMPUTED_VALUE"""),"")</f>
        <v/>
      </c>
      <c r="D16" t="str">
        <f>IFERROR(__xludf.DUMMYFUNCTION("""COMPUTED_VALUE"""),"")</f>
        <v/>
      </c>
      <c r="E16" t="str">
        <f>IFERROR(__xludf.DUMMYFUNCTION("""COMPUTED_VALUE"""),"")</f>
        <v/>
      </c>
      <c r="F16" t="str">
        <f>IFERROR(__xludf.DUMMYFUNCTION("""COMPUTED_VALUE"""),"")</f>
        <v/>
      </c>
      <c r="G16" t="str">
        <f>IFERROR(__xludf.DUMMYFUNCTION("""COMPUTED_VALUE"""),"")</f>
        <v/>
      </c>
      <c r="H16" t="str">
        <f>IFERROR(__xludf.DUMMYFUNCTION("""COMPUTED_VALUE"""),"")</f>
        <v/>
      </c>
      <c r="I16" t="str">
        <f>IFERROR(__xludf.DUMMYFUNCTION("""COMPUTED_VALUE"""),"")</f>
        <v/>
      </c>
      <c r="J16">
        <f>IFERROR(__xludf.DUMMYFUNCTION("""COMPUTED_VALUE"""),0.0)</f>
        <v>0</v>
      </c>
      <c r="L16" s="250" t="str">
        <f>IFERROR(__xludf.DUMMYFUNCTION("""COMPUTED_VALUE"""),"")</f>
        <v/>
      </c>
      <c r="M16" s="250" t="str">
        <f>IFERROR(__xludf.DUMMYFUNCTION("""COMPUTED_VALUE"""),"")</f>
        <v/>
      </c>
      <c r="N16" s="250" t="str">
        <f>IFERROR(__xludf.DUMMYFUNCTION("""COMPUTED_VALUE"""),"")</f>
        <v/>
      </c>
      <c r="O16" s="250" t="str">
        <f>IFERROR(__xludf.DUMMYFUNCTION("""COMPUTED_VALUE"""),"")</f>
        <v/>
      </c>
      <c r="P16" s="250" t="str">
        <f>IFERROR(__xludf.DUMMYFUNCTION("""COMPUTED_VALUE"""),"")</f>
        <v/>
      </c>
      <c r="Q16" s="250" t="str">
        <f>IFERROR(__xludf.DUMMYFUNCTION("""COMPUTED_VALUE"""),"")</f>
        <v/>
      </c>
      <c r="R16" s="250" t="str">
        <f>IFERROR(__xludf.DUMMYFUNCTION("""COMPUTED_VALUE"""),"")</f>
        <v/>
      </c>
      <c r="U16" s="250" t="str">
        <f>IFERROR(__xludf.DUMMYFUNCTION("""COMPUTED_VALUE"""),"#N/A")</f>
        <v>#N/A</v>
      </c>
      <c r="V16" s="250" t="str">
        <f>IFERROR(__xludf.DUMMYFUNCTION("""COMPUTED_VALUE"""),"#N/A")</f>
        <v>#N/A</v>
      </c>
      <c r="W16" s="250" t="str">
        <f>IFERROR(__xludf.DUMMYFUNCTION("""COMPUTED_VALUE"""),"#N/A")</f>
        <v>#N/A</v>
      </c>
      <c r="X16" t="b">
        <f t="shared" ref="X16:Z16" si="8">ISBLANK(K16)</f>
        <v>1</v>
      </c>
      <c r="Y16" t="b">
        <f t="shared" si="8"/>
        <v>0</v>
      </c>
      <c r="Z16" t="b">
        <f t="shared" si="8"/>
        <v>0</v>
      </c>
      <c r="AA16">
        <f t="shared" ref="AA16:AC16" si="9">IF(X16=FALSE,1,0)</f>
        <v>0</v>
      </c>
      <c r="AB16">
        <f t="shared" si="9"/>
        <v>1</v>
      </c>
      <c r="AC16">
        <f t="shared" si="9"/>
        <v>1</v>
      </c>
      <c r="AD16">
        <f t="shared" si="6"/>
        <v>2</v>
      </c>
      <c r="AE16">
        <f t="shared" si="7"/>
        <v>1</v>
      </c>
      <c r="AF16">
        <f>if(iferror(vlookup($A16,'Description Database'!$E$2:$H$951,3,0),0)=TRUE,1,0)</f>
        <v>0</v>
      </c>
      <c r="AG16">
        <f>if(iferror(vlookup($A16,'Description Database'!$E$2:$H$951,4,0),0)=TRUE,1,0)</f>
        <v>0</v>
      </c>
    </row>
    <row r="17">
      <c r="B17" t="str">
        <f>IFERROR(__xludf.DUMMYFUNCTION("""COMPUTED_VALUE"""),"")</f>
        <v/>
      </c>
      <c r="C17" t="str">
        <f>IFERROR(__xludf.DUMMYFUNCTION("""COMPUTED_VALUE"""),"")</f>
        <v/>
      </c>
      <c r="D17" t="str">
        <f>IFERROR(__xludf.DUMMYFUNCTION("""COMPUTED_VALUE"""),"")</f>
        <v/>
      </c>
      <c r="E17" t="str">
        <f>IFERROR(__xludf.DUMMYFUNCTION("""COMPUTED_VALUE"""),"")</f>
        <v/>
      </c>
      <c r="F17" t="str">
        <f>IFERROR(__xludf.DUMMYFUNCTION("""COMPUTED_VALUE"""),"")</f>
        <v/>
      </c>
      <c r="G17" t="str">
        <f>IFERROR(__xludf.DUMMYFUNCTION("""COMPUTED_VALUE"""),"")</f>
        <v/>
      </c>
      <c r="H17" t="str">
        <f>IFERROR(__xludf.DUMMYFUNCTION("""COMPUTED_VALUE"""),"")</f>
        <v/>
      </c>
      <c r="I17" t="str">
        <f>IFERROR(__xludf.DUMMYFUNCTION("""COMPUTED_VALUE"""),"")</f>
        <v/>
      </c>
      <c r="J17">
        <f>IFERROR(__xludf.DUMMYFUNCTION("""COMPUTED_VALUE"""),0.0)</f>
        <v>0</v>
      </c>
      <c r="L17" s="250" t="str">
        <f>IFERROR(__xludf.DUMMYFUNCTION("""COMPUTED_VALUE"""),"")</f>
        <v/>
      </c>
      <c r="M17" s="250" t="str">
        <f>IFERROR(__xludf.DUMMYFUNCTION("""COMPUTED_VALUE"""),"")</f>
        <v/>
      </c>
      <c r="N17" s="250" t="str">
        <f>IFERROR(__xludf.DUMMYFUNCTION("""COMPUTED_VALUE"""),"")</f>
        <v/>
      </c>
      <c r="O17" s="250" t="str">
        <f>IFERROR(__xludf.DUMMYFUNCTION("""COMPUTED_VALUE"""),"")</f>
        <v/>
      </c>
      <c r="P17" s="250" t="str">
        <f>IFERROR(__xludf.DUMMYFUNCTION("""COMPUTED_VALUE"""),"")</f>
        <v/>
      </c>
      <c r="Q17" s="250" t="str">
        <f>IFERROR(__xludf.DUMMYFUNCTION("""COMPUTED_VALUE"""),"")</f>
        <v/>
      </c>
      <c r="R17" s="250" t="str">
        <f>IFERROR(__xludf.DUMMYFUNCTION("""COMPUTED_VALUE"""),"")</f>
        <v/>
      </c>
      <c r="U17" s="250" t="str">
        <f>IFERROR(__xludf.DUMMYFUNCTION("""COMPUTED_VALUE"""),"#N/A")</f>
        <v>#N/A</v>
      </c>
      <c r="V17" s="250" t="str">
        <f>IFERROR(__xludf.DUMMYFUNCTION("""COMPUTED_VALUE"""),"#N/A")</f>
        <v>#N/A</v>
      </c>
      <c r="W17" s="250" t="str">
        <f>IFERROR(__xludf.DUMMYFUNCTION("""COMPUTED_VALUE"""),"#N/A")</f>
        <v>#N/A</v>
      </c>
      <c r="X17" t="b">
        <f t="shared" ref="X17:Z17" si="10">ISBLANK(K17)</f>
        <v>1</v>
      </c>
      <c r="Y17" t="b">
        <f t="shared" si="10"/>
        <v>0</v>
      </c>
      <c r="Z17" t="b">
        <f t="shared" si="10"/>
        <v>0</v>
      </c>
      <c r="AA17">
        <f t="shared" ref="AA17:AC17" si="11">IF(X17=FALSE,1,0)</f>
        <v>0</v>
      </c>
      <c r="AB17">
        <f t="shared" si="11"/>
        <v>1</v>
      </c>
      <c r="AC17">
        <f t="shared" si="11"/>
        <v>1</v>
      </c>
      <c r="AD17">
        <f t="shared" si="6"/>
        <v>2</v>
      </c>
      <c r="AE17">
        <f t="shared" si="7"/>
        <v>1</v>
      </c>
      <c r="AF17">
        <f>if(iferror(vlookup($A17,'Description Database'!$E$2:$H$951,3,0),0)=TRUE,1,0)</f>
        <v>0</v>
      </c>
      <c r="AG17">
        <f>if(iferror(vlookup($A17,'Description Database'!$E$2:$H$951,4,0),0)=TRUE,1,0)</f>
        <v>0</v>
      </c>
    </row>
    <row r="18">
      <c r="B18" t="str">
        <f>IFERROR(__xludf.DUMMYFUNCTION("""COMPUTED_VALUE"""),"")</f>
        <v/>
      </c>
      <c r="C18" t="str">
        <f>IFERROR(__xludf.DUMMYFUNCTION("""COMPUTED_VALUE"""),"")</f>
        <v/>
      </c>
      <c r="D18" t="str">
        <f>IFERROR(__xludf.DUMMYFUNCTION("""COMPUTED_VALUE"""),"")</f>
        <v/>
      </c>
      <c r="E18" t="str">
        <f>IFERROR(__xludf.DUMMYFUNCTION("""COMPUTED_VALUE"""),"")</f>
        <v/>
      </c>
      <c r="F18" t="str">
        <f>IFERROR(__xludf.DUMMYFUNCTION("""COMPUTED_VALUE"""),"")</f>
        <v/>
      </c>
      <c r="G18" t="str">
        <f>IFERROR(__xludf.DUMMYFUNCTION("""COMPUTED_VALUE"""),"")</f>
        <v/>
      </c>
      <c r="H18" t="str">
        <f>IFERROR(__xludf.DUMMYFUNCTION("""COMPUTED_VALUE"""),"")</f>
        <v/>
      </c>
      <c r="I18" t="str">
        <f>IFERROR(__xludf.DUMMYFUNCTION("""COMPUTED_VALUE"""),"")</f>
        <v/>
      </c>
      <c r="J18">
        <f>IFERROR(__xludf.DUMMYFUNCTION("""COMPUTED_VALUE"""),0.0)</f>
        <v>0</v>
      </c>
      <c r="L18" s="250" t="str">
        <f>IFERROR(__xludf.DUMMYFUNCTION("""COMPUTED_VALUE"""),"")</f>
        <v/>
      </c>
      <c r="M18" s="250" t="str">
        <f>IFERROR(__xludf.DUMMYFUNCTION("""COMPUTED_VALUE"""),"")</f>
        <v/>
      </c>
      <c r="N18" s="250" t="str">
        <f>IFERROR(__xludf.DUMMYFUNCTION("""COMPUTED_VALUE"""),"")</f>
        <v/>
      </c>
      <c r="O18" s="250" t="str">
        <f>IFERROR(__xludf.DUMMYFUNCTION("""COMPUTED_VALUE"""),"")</f>
        <v/>
      </c>
      <c r="P18" s="250" t="str">
        <f>IFERROR(__xludf.DUMMYFUNCTION("""COMPUTED_VALUE"""),"")</f>
        <v/>
      </c>
      <c r="Q18" s="250" t="str">
        <f>IFERROR(__xludf.DUMMYFUNCTION("""COMPUTED_VALUE"""),"")</f>
        <v/>
      </c>
      <c r="R18" s="250" t="str">
        <f>IFERROR(__xludf.DUMMYFUNCTION("""COMPUTED_VALUE"""),"")</f>
        <v/>
      </c>
      <c r="U18" s="250" t="str">
        <f>IFERROR(__xludf.DUMMYFUNCTION("""COMPUTED_VALUE"""),"#N/A")</f>
        <v>#N/A</v>
      </c>
      <c r="V18" s="250" t="str">
        <f>IFERROR(__xludf.DUMMYFUNCTION("""COMPUTED_VALUE"""),"#N/A")</f>
        <v>#N/A</v>
      </c>
      <c r="W18" s="250" t="str">
        <f>IFERROR(__xludf.DUMMYFUNCTION("""COMPUTED_VALUE"""),"#N/A")</f>
        <v>#N/A</v>
      </c>
      <c r="X18" t="b">
        <f t="shared" ref="X18:Z18" si="12">ISBLANK(K18)</f>
        <v>1</v>
      </c>
      <c r="Y18" t="b">
        <f t="shared" si="12"/>
        <v>0</v>
      </c>
      <c r="Z18" t="b">
        <f t="shared" si="12"/>
        <v>0</v>
      </c>
      <c r="AA18">
        <f t="shared" ref="AA18:AC18" si="13">IF(X18=FALSE,1,0)</f>
        <v>0</v>
      </c>
      <c r="AB18">
        <f t="shared" si="13"/>
        <v>1</v>
      </c>
      <c r="AC18">
        <f t="shared" si="13"/>
        <v>1</v>
      </c>
      <c r="AD18">
        <f t="shared" si="6"/>
        <v>2</v>
      </c>
      <c r="AE18">
        <f t="shared" si="7"/>
        <v>1</v>
      </c>
      <c r="AF18">
        <f>if(iferror(vlookup($A18,'Description Database'!$E$2:$H$951,3,0),0)=TRUE,1,0)</f>
        <v>0</v>
      </c>
      <c r="AG18">
        <f>if(iferror(vlookup($A18,'Description Database'!$E$2:$H$951,4,0),0)=TRUE,1,0)</f>
        <v>0</v>
      </c>
    </row>
    <row r="19">
      <c r="B19" t="str">
        <f>IFERROR(__xludf.DUMMYFUNCTION("""COMPUTED_VALUE"""),"")</f>
        <v/>
      </c>
      <c r="C19" t="str">
        <f>IFERROR(__xludf.DUMMYFUNCTION("""COMPUTED_VALUE"""),"")</f>
        <v/>
      </c>
      <c r="D19" t="str">
        <f>IFERROR(__xludf.DUMMYFUNCTION("""COMPUTED_VALUE"""),"")</f>
        <v/>
      </c>
      <c r="E19" t="str">
        <f>IFERROR(__xludf.DUMMYFUNCTION("""COMPUTED_VALUE"""),"")</f>
        <v/>
      </c>
      <c r="F19" t="str">
        <f>IFERROR(__xludf.DUMMYFUNCTION("""COMPUTED_VALUE"""),"")</f>
        <v/>
      </c>
      <c r="G19" t="str">
        <f>IFERROR(__xludf.DUMMYFUNCTION("""COMPUTED_VALUE"""),"")</f>
        <v/>
      </c>
      <c r="H19" t="str">
        <f>IFERROR(__xludf.DUMMYFUNCTION("""COMPUTED_VALUE"""),"")</f>
        <v/>
      </c>
      <c r="I19" t="str">
        <f>IFERROR(__xludf.DUMMYFUNCTION("""COMPUTED_VALUE"""),"")</f>
        <v/>
      </c>
      <c r="J19">
        <f>IFERROR(__xludf.DUMMYFUNCTION("""COMPUTED_VALUE"""),0.0)</f>
        <v>0</v>
      </c>
      <c r="L19" s="250" t="str">
        <f>IFERROR(__xludf.DUMMYFUNCTION("""COMPUTED_VALUE"""),"")</f>
        <v/>
      </c>
      <c r="M19" s="250" t="str">
        <f>IFERROR(__xludf.DUMMYFUNCTION("""COMPUTED_VALUE"""),"")</f>
        <v/>
      </c>
      <c r="N19" s="250" t="str">
        <f>IFERROR(__xludf.DUMMYFUNCTION("""COMPUTED_VALUE"""),"")</f>
        <v/>
      </c>
      <c r="O19" s="250" t="str">
        <f>IFERROR(__xludf.DUMMYFUNCTION("""COMPUTED_VALUE"""),"")</f>
        <v/>
      </c>
      <c r="P19" s="250" t="str">
        <f>IFERROR(__xludf.DUMMYFUNCTION("""COMPUTED_VALUE"""),"")</f>
        <v/>
      </c>
      <c r="Q19" s="250" t="str">
        <f>IFERROR(__xludf.DUMMYFUNCTION("""COMPUTED_VALUE"""),"")</f>
        <v/>
      </c>
      <c r="R19" s="250" t="str">
        <f>IFERROR(__xludf.DUMMYFUNCTION("""COMPUTED_VALUE"""),"")</f>
        <v/>
      </c>
      <c r="U19" s="250" t="str">
        <f>IFERROR(__xludf.DUMMYFUNCTION("""COMPUTED_VALUE"""),"#N/A")</f>
        <v>#N/A</v>
      </c>
      <c r="V19" s="250" t="str">
        <f>IFERROR(__xludf.DUMMYFUNCTION("""COMPUTED_VALUE"""),"#N/A")</f>
        <v>#N/A</v>
      </c>
      <c r="W19" s="250" t="str">
        <f>IFERROR(__xludf.DUMMYFUNCTION("""COMPUTED_VALUE"""),"#N/A")</f>
        <v>#N/A</v>
      </c>
      <c r="X19" t="b">
        <f t="shared" ref="X19:Z19" si="14">ISBLANK(K19)</f>
        <v>1</v>
      </c>
      <c r="Y19" t="b">
        <f t="shared" si="14"/>
        <v>0</v>
      </c>
      <c r="Z19" t="b">
        <f t="shared" si="14"/>
        <v>0</v>
      </c>
      <c r="AA19">
        <f t="shared" ref="AA19:AC19" si="15">IF(X19=FALSE,1,0)</f>
        <v>0</v>
      </c>
      <c r="AB19">
        <f t="shared" si="15"/>
        <v>1</v>
      </c>
      <c r="AC19">
        <f t="shared" si="15"/>
        <v>1</v>
      </c>
      <c r="AD19">
        <f t="shared" si="6"/>
        <v>2</v>
      </c>
      <c r="AE19">
        <f t="shared" si="7"/>
        <v>1</v>
      </c>
      <c r="AF19">
        <f>if(iferror(vlookup($A19,'Description Database'!$E$2:$H$951,3,0),0)=TRUE,1,0)</f>
        <v>0</v>
      </c>
      <c r="AG19">
        <f>if(iferror(vlookup($A19,'Description Database'!$E$2:$H$951,4,0),0)=TRUE,1,0)</f>
        <v>0</v>
      </c>
    </row>
    <row r="20">
      <c r="B20" t="str">
        <f>IFERROR(__xludf.DUMMYFUNCTION("""COMPUTED_VALUE"""),"")</f>
        <v/>
      </c>
      <c r="C20" t="str">
        <f>IFERROR(__xludf.DUMMYFUNCTION("""COMPUTED_VALUE"""),"")</f>
        <v/>
      </c>
      <c r="D20" t="str">
        <f>IFERROR(__xludf.DUMMYFUNCTION("""COMPUTED_VALUE"""),"")</f>
        <v/>
      </c>
      <c r="E20" t="str">
        <f>IFERROR(__xludf.DUMMYFUNCTION("""COMPUTED_VALUE"""),"")</f>
        <v/>
      </c>
      <c r="F20" t="str">
        <f>IFERROR(__xludf.DUMMYFUNCTION("""COMPUTED_VALUE"""),"")</f>
        <v/>
      </c>
      <c r="G20" t="str">
        <f>IFERROR(__xludf.DUMMYFUNCTION("""COMPUTED_VALUE"""),"")</f>
        <v/>
      </c>
      <c r="H20" t="str">
        <f>IFERROR(__xludf.DUMMYFUNCTION("""COMPUTED_VALUE"""),"")</f>
        <v/>
      </c>
      <c r="I20" t="str">
        <f>IFERROR(__xludf.DUMMYFUNCTION("""COMPUTED_VALUE"""),"")</f>
        <v/>
      </c>
      <c r="J20">
        <f>IFERROR(__xludf.DUMMYFUNCTION("""COMPUTED_VALUE"""),0.0)</f>
        <v>0</v>
      </c>
      <c r="L20" s="250" t="str">
        <f>IFERROR(__xludf.DUMMYFUNCTION("""COMPUTED_VALUE"""),"")</f>
        <v/>
      </c>
      <c r="M20" s="250" t="str">
        <f>IFERROR(__xludf.DUMMYFUNCTION("""COMPUTED_VALUE"""),"")</f>
        <v/>
      </c>
      <c r="N20" s="250" t="str">
        <f>IFERROR(__xludf.DUMMYFUNCTION("""COMPUTED_VALUE"""),"")</f>
        <v/>
      </c>
      <c r="O20" s="250" t="str">
        <f>IFERROR(__xludf.DUMMYFUNCTION("""COMPUTED_VALUE"""),"")</f>
        <v/>
      </c>
      <c r="P20" s="250" t="str">
        <f>IFERROR(__xludf.DUMMYFUNCTION("""COMPUTED_VALUE"""),"")</f>
        <v/>
      </c>
      <c r="Q20" s="250" t="str">
        <f>IFERROR(__xludf.DUMMYFUNCTION("""COMPUTED_VALUE"""),"")</f>
        <v/>
      </c>
      <c r="R20" s="250" t="str">
        <f>IFERROR(__xludf.DUMMYFUNCTION("""COMPUTED_VALUE"""),"")</f>
        <v/>
      </c>
      <c r="U20" s="250" t="str">
        <f>IFERROR(__xludf.DUMMYFUNCTION("""COMPUTED_VALUE"""),"#N/A")</f>
        <v>#N/A</v>
      </c>
      <c r="V20" s="250" t="str">
        <f>IFERROR(__xludf.DUMMYFUNCTION("""COMPUTED_VALUE"""),"#N/A")</f>
        <v>#N/A</v>
      </c>
      <c r="W20" s="250" t="str">
        <f>IFERROR(__xludf.DUMMYFUNCTION("""COMPUTED_VALUE"""),"#N/A")</f>
        <v>#N/A</v>
      </c>
      <c r="X20" t="b">
        <f t="shared" ref="X20:Z20" si="16">ISBLANK(K20)</f>
        <v>1</v>
      </c>
      <c r="Y20" t="b">
        <f t="shared" si="16"/>
        <v>0</v>
      </c>
      <c r="Z20" t="b">
        <f t="shared" si="16"/>
        <v>0</v>
      </c>
      <c r="AA20">
        <f t="shared" ref="AA20:AC20" si="17">IF(X20=FALSE,1,0)</f>
        <v>0</v>
      </c>
      <c r="AB20">
        <f t="shared" si="17"/>
        <v>1</v>
      </c>
      <c r="AC20">
        <f t="shared" si="17"/>
        <v>1</v>
      </c>
      <c r="AD20">
        <f t="shared" si="6"/>
        <v>2</v>
      </c>
      <c r="AE20">
        <f t="shared" si="7"/>
        <v>1</v>
      </c>
      <c r="AF20">
        <f>if(iferror(vlookup($A20,'Description Database'!$E$2:$H$951,3,0),0)=TRUE,1,0)</f>
        <v>0</v>
      </c>
      <c r="AG20">
        <f>if(iferror(vlookup($A20,'Description Database'!$E$2:$H$951,4,0),0)=TRUE,1,0)</f>
        <v>0</v>
      </c>
    </row>
    <row r="21">
      <c r="B21" t="str">
        <f>IFERROR(__xludf.DUMMYFUNCTION("""COMPUTED_VALUE"""),"")</f>
        <v/>
      </c>
      <c r="C21" t="str">
        <f>IFERROR(__xludf.DUMMYFUNCTION("""COMPUTED_VALUE"""),"")</f>
        <v/>
      </c>
      <c r="D21" t="str">
        <f>IFERROR(__xludf.DUMMYFUNCTION("""COMPUTED_VALUE"""),"")</f>
        <v/>
      </c>
      <c r="E21" t="str">
        <f>IFERROR(__xludf.DUMMYFUNCTION("""COMPUTED_VALUE"""),"")</f>
        <v/>
      </c>
      <c r="F21" t="str">
        <f>IFERROR(__xludf.DUMMYFUNCTION("""COMPUTED_VALUE"""),"")</f>
        <v/>
      </c>
      <c r="G21" t="str">
        <f>IFERROR(__xludf.DUMMYFUNCTION("""COMPUTED_VALUE"""),"")</f>
        <v/>
      </c>
      <c r="H21" t="str">
        <f>IFERROR(__xludf.DUMMYFUNCTION("""COMPUTED_VALUE"""),"")</f>
        <v/>
      </c>
      <c r="I21" t="str">
        <f>IFERROR(__xludf.DUMMYFUNCTION("""COMPUTED_VALUE"""),"")</f>
        <v/>
      </c>
      <c r="J21">
        <f>IFERROR(__xludf.DUMMYFUNCTION("""COMPUTED_VALUE"""),0.0)</f>
        <v>0</v>
      </c>
      <c r="L21" s="250" t="str">
        <f>IFERROR(__xludf.DUMMYFUNCTION("""COMPUTED_VALUE"""),"")</f>
        <v/>
      </c>
      <c r="M21" s="250" t="str">
        <f>IFERROR(__xludf.DUMMYFUNCTION("""COMPUTED_VALUE"""),"")</f>
        <v/>
      </c>
      <c r="N21" s="250" t="str">
        <f>IFERROR(__xludf.DUMMYFUNCTION("""COMPUTED_VALUE"""),"")</f>
        <v/>
      </c>
      <c r="O21" s="250" t="str">
        <f>IFERROR(__xludf.DUMMYFUNCTION("""COMPUTED_VALUE"""),"")</f>
        <v/>
      </c>
      <c r="P21" s="250" t="str">
        <f>IFERROR(__xludf.DUMMYFUNCTION("""COMPUTED_VALUE"""),"")</f>
        <v/>
      </c>
      <c r="Q21" s="250" t="str">
        <f>IFERROR(__xludf.DUMMYFUNCTION("""COMPUTED_VALUE"""),"")</f>
        <v/>
      </c>
      <c r="R21" s="250" t="str">
        <f>IFERROR(__xludf.DUMMYFUNCTION("""COMPUTED_VALUE"""),"")</f>
        <v/>
      </c>
      <c r="U21" s="250" t="str">
        <f>IFERROR(__xludf.DUMMYFUNCTION("""COMPUTED_VALUE"""),"#N/A")</f>
        <v>#N/A</v>
      </c>
      <c r="V21" s="250" t="str">
        <f>IFERROR(__xludf.DUMMYFUNCTION("""COMPUTED_VALUE"""),"#N/A")</f>
        <v>#N/A</v>
      </c>
      <c r="W21" s="250" t="str">
        <f>IFERROR(__xludf.DUMMYFUNCTION("""COMPUTED_VALUE"""),"#N/A")</f>
        <v>#N/A</v>
      </c>
      <c r="X21" t="b">
        <f t="shared" ref="X21:Z21" si="18">ISBLANK(K21)</f>
        <v>1</v>
      </c>
      <c r="Y21" t="b">
        <f t="shared" si="18"/>
        <v>0</v>
      </c>
      <c r="Z21" t="b">
        <f t="shared" si="18"/>
        <v>0</v>
      </c>
      <c r="AA21">
        <f t="shared" ref="AA21:AC21" si="19">IF(X21=FALSE,1,0)</f>
        <v>0</v>
      </c>
      <c r="AB21">
        <f t="shared" si="19"/>
        <v>1</v>
      </c>
      <c r="AC21">
        <f t="shared" si="19"/>
        <v>1</v>
      </c>
      <c r="AD21">
        <f t="shared" si="6"/>
        <v>2</v>
      </c>
      <c r="AE21">
        <f t="shared" si="7"/>
        <v>1</v>
      </c>
      <c r="AF21">
        <f>if(iferror(vlookup($A21,'Description Database'!$E$2:$H$951,3,0),0)=TRUE,1,0)</f>
        <v>0</v>
      </c>
      <c r="AG21">
        <f>if(iferror(vlookup($A21,'Description Database'!$E$2:$H$951,4,0),0)=TRUE,1,0)</f>
        <v>0</v>
      </c>
    </row>
    <row r="22">
      <c r="B22" t="str">
        <f>IFERROR(__xludf.DUMMYFUNCTION("""COMPUTED_VALUE"""),"")</f>
        <v/>
      </c>
      <c r="C22" t="str">
        <f>IFERROR(__xludf.DUMMYFUNCTION("""COMPUTED_VALUE"""),"")</f>
        <v/>
      </c>
      <c r="D22" t="str">
        <f>IFERROR(__xludf.DUMMYFUNCTION("""COMPUTED_VALUE"""),"")</f>
        <v/>
      </c>
      <c r="E22" t="str">
        <f>IFERROR(__xludf.DUMMYFUNCTION("""COMPUTED_VALUE"""),"")</f>
        <v/>
      </c>
      <c r="F22" t="str">
        <f>IFERROR(__xludf.DUMMYFUNCTION("""COMPUTED_VALUE"""),"")</f>
        <v/>
      </c>
      <c r="G22" t="str">
        <f>IFERROR(__xludf.DUMMYFUNCTION("""COMPUTED_VALUE"""),"")</f>
        <v/>
      </c>
      <c r="H22" t="str">
        <f>IFERROR(__xludf.DUMMYFUNCTION("""COMPUTED_VALUE"""),"")</f>
        <v/>
      </c>
      <c r="I22" t="str">
        <f>IFERROR(__xludf.DUMMYFUNCTION("""COMPUTED_VALUE"""),"")</f>
        <v/>
      </c>
      <c r="J22">
        <f>IFERROR(__xludf.DUMMYFUNCTION("""COMPUTED_VALUE"""),0.0)</f>
        <v>0</v>
      </c>
      <c r="L22" s="250" t="str">
        <f>IFERROR(__xludf.DUMMYFUNCTION("""COMPUTED_VALUE"""),"")</f>
        <v/>
      </c>
      <c r="M22" s="250" t="str">
        <f>IFERROR(__xludf.DUMMYFUNCTION("""COMPUTED_VALUE"""),"")</f>
        <v/>
      </c>
      <c r="N22" s="250" t="str">
        <f>IFERROR(__xludf.DUMMYFUNCTION("""COMPUTED_VALUE"""),"")</f>
        <v/>
      </c>
      <c r="O22" s="250" t="str">
        <f>IFERROR(__xludf.DUMMYFUNCTION("""COMPUTED_VALUE"""),"")</f>
        <v/>
      </c>
      <c r="P22" s="250" t="str">
        <f>IFERROR(__xludf.DUMMYFUNCTION("""COMPUTED_VALUE"""),"")</f>
        <v/>
      </c>
      <c r="Q22" s="250" t="str">
        <f>IFERROR(__xludf.DUMMYFUNCTION("""COMPUTED_VALUE"""),"")</f>
        <v/>
      </c>
      <c r="R22" s="250" t="str">
        <f>IFERROR(__xludf.DUMMYFUNCTION("""COMPUTED_VALUE"""),"")</f>
        <v/>
      </c>
      <c r="U22" s="250" t="str">
        <f>IFERROR(__xludf.DUMMYFUNCTION("""COMPUTED_VALUE"""),"#N/A")</f>
        <v>#N/A</v>
      </c>
      <c r="V22" s="250" t="str">
        <f>IFERROR(__xludf.DUMMYFUNCTION("""COMPUTED_VALUE"""),"#N/A")</f>
        <v>#N/A</v>
      </c>
      <c r="W22" s="250" t="str">
        <f>IFERROR(__xludf.DUMMYFUNCTION("""COMPUTED_VALUE"""),"#N/A")</f>
        <v>#N/A</v>
      </c>
      <c r="X22" t="b">
        <f t="shared" ref="X22:Z22" si="20">ISBLANK(K22)</f>
        <v>1</v>
      </c>
      <c r="Y22" t="b">
        <f t="shared" si="20"/>
        <v>0</v>
      </c>
      <c r="Z22" t="b">
        <f t="shared" si="20"/>
        <v>0</v>
      </c>
      <c r="AA22">
        <f t="shared" ref="AA22:AC22" si="21">IF(X22=FALSE,1,0)</f>
        <v>0</v>
      </c>
      <c r="AB22">
        <f t="shared" si="21"/>
        <v>1</v>
      </c>
      <c r="AC22">
        <f t="shared" si="21"/>
        <v>1</v>
      </c>
      <c r="AD22">
        <f t="shared" si="6"/>
        <v>2</v>
      </c>
      <c r="AE22">
        <f t="shared" si="7"/>
        <v>1</v>
      </c>
      <c r="AF22">
        <f>if(iferror(vlookup($A22,'Description Database'!$E$2:$H$951,3,0),0)=TRUE,1,0)</f>
        <v>0</v>
      </c>
      <c r="AG22">
        <f>if(iferror(vlookup($A22,'Description Database'!$E$2:$H$951,4,0),0)=TRUE,1,0)</f>
        <v>0</v>
      </c>
    </row>
    <row r="23">
      <c r="B23" t="str">
        <f>IFERROR(__xludf.DUMMYFUNCTION("""COMPUTED_VALUE"""),"")</f>
        <v/>
      </c>
      <c r="C23" t="str">
        <f>IFERROR(__xludf.DUMMYFUNCTION("""COMPUTED_VALUE"""),"")</f>
        <v/>
      </c>
      <c r="D23" t="str">
        <f>IFERROR(__xludf.DUMMYFUNCTION("""COMPUTED_VALUE"""),"")</f>
        <v/>
      </c>
      <c r="E23" t="str">
        <f>IFERROR(__xludf.DUMMYFUNCTION("""COMPUTED_VALUE"""),"")</f>
        <v/>
      </c>
      <c r="F23" t="str">
        <f>IFERROR(__xludf.DUMMYFUNCTION("""COMPUTED_VALUE"""),"")</f>
        <v/>
      </c>
      <c r="G23" t="str">
        <f>IFERROR(__xludf.DUMMYFUNCTION("""COMPUTED_VALUE"""),"")</f>
        <v/>
      </c>
      <c r="H23" t="str">
        <f>IFERROR(__xludf.DUMMYFUNCTION("""COMPUTED_VALUE"""),"")</f>
        <v/>
      </c>
      <c r="I23" t="str">
        <f>IFERROR(__xludf.DUMMYFUNCTION("""COMPUTED_VALUE"""),"")</f>
        <v/>
      </c>
      <c r="J23">
        <f>IFERROR(__xludf.DUMMYFUNCTION("""COMPUTED_VALUE"""),0.0)</f>
        <v>0</v>
      </c>
      <c r="L23" s="250" t="str">
        <f>IFERROR(__xludf.DUMMYFUNCTION("""COMPUTED_VALUE"""),"")</f>
        <v/>
      </c>
      <c r="M23" s="250" t="str">
        <f>IFERROR(__xludf.DUMMYFUNCTION("""COMPUTED_VALUE"""),"")</f>
        <v/>
      </c>
      <c r="N23" s="250" t="str">
        <f>IFERROR(__xludf.DUMMYFUNCTION("""COMPUTED_VALUE"""),"")</f>
        <v/>
      </c>
      <c r="O23" s="250" t="str">
        <f>IFERROR(__xludf.DUMMYFUNCTION("""COMPUTED_VALUE"""),"")</f>
        <v/>
      </c>
      <c r="P23" s="250" t="str">
        <f>IFERROR(__xludf.DUMMYFUNCTION("""COMPUTED_VALUE"""),"")</f>
        <v/>
      </c>
      <c r="Q23" s="250" t="str">
        <f>IFERROR(__xludf.DUMMYFUNCTION("""COMPUTED_VALUE"""),"")</f>
        <v/>
      </c>
      <c r="R23" s="250" t="str">
        <f>IFERROR(__xludf.DUMMYFUNCTION("""COMPUTED_VALUE"""),"")</f>
        <v/>
      </c>
      <c r="U23" s="250" t="str">
        <f>IFERROR(__xludf.DUMMYFUNCTION("""COMPUTED_VALUE"""),"#N/A")</f>
        <v>#N/A</v>
      </c>
      <c r="V23" s="250" t="str">
        <f>IFERROR(__xludf.DUMMYFUNCTION("""COMPUTED_VALUE"""),"#N/A")</f>
        <v>#N/A</v>
      </c>
      <c r="W23" s="250" t="str">
        <f>IFERROR(__xludf.DUMMYFUNCTION("""COMPUTED_VALUE"""),"#N/A")</f>
        <v>#N/A</v>
      </c>
      <c r="X23" t="b">
        <f t="shared" ref="X23:Z23" si="22">ISBLANK(K23)</f>
        <v>1</v>
      </c>
      <c r="Y23" t="b">
        <f t="shared" si="22"/>
        <v>0</v>
      </c>
      <c r="Z23" t="b">
        <f t="shared" si="22"/>
        <v>0</v>
      </c>
      <c r="AA23">
        <f t="shared" ref="AA23:AC23" si="23">IF(X23=FALSE,1,0)</f>
        <v>0</v>
      </c>
      <c r="AB23">
        <f t="shared" si="23"/>
        <v>1</v>
      </c>
      <c r="AC23">
        <f t="shared" si="23"/>
        <v>1</v>
      </c>
      <c r="AD23">
        <f t="shared" si="6"/>
        <v>2</v>
      </c>
      <c r="AE23">
        <f t="shared" si="7"/>
        <v>1</v>
      </c>
      <c r="AF23">
        <f>if(iferror(vlookup($A23,'Description Database'!$E$2:$H$951,3,0),0)=TRUE,1,0)</f>
        <v>0</v>
      </c>
      <c r="AG23">
        <f>if(iferror(vlookup($A23,'Description Database'!$E$2:$H$951,4,0),0)=TRUE,1,0)</f>
        <v>0</v>
      </c>
    </row>
    <row r="24">
      <c r="B24" t="str">
        <f>IFERROR(__xludf.DUMMYFUNCTION("""COMPUTED_VALUE"""),"")</f>
        <v/>
      </c>
      <c r="C24" t="str">
        <f>IFERROR(__xludf.DUMMYFUNCTION("""COMPUTED_VALUE"""),"")</f>
        <v/>
      </c>
      <c r="D24" t="str">
        <f>IFERROR(__xludf.DUMMYFUNCTION("""COMPUTED_VALUE"""),"")</f>
        <v/>
      </c>
      <c r="E24" t="str">
        <f>IFERROR(__xludf.DUMMYFUNCTION("""COMPUTED_VALUE"""),"")</f>
        <v/>
      </c>
      <c r="F24" t="str">
        <f>IFERROR(__xludf.DUMMYFUNCTION("""COMPUTED_VALUE"""),"")</f>
        <v/>
      </c>
      <c r="G24" t="str">
        <f>IFERROR(__xludf.DUMMYFUNCTION("""COMPUTED_VALUE"""),"")</f>
        <v/>
      </c>
      <c r="H24" t="str">
        <f>IFERROR(__xludf.DUMMYFUNCTION("""COMPUTED_VALUE"""),"")</f>
        <v/>
      </c>
      <c r="I24" t="str">
        <f>IFERROR(__xludf.DUMMYFUNCTION("""COMPUTED_VALUE"""),"")</f>
        <v/>
      </c>
      <c r="J24">
        <f>IFERROR(__xludf.DUMMYFUNCTION("""COMPUTED_VALUE"""),0.0)</f>
        <v>0</v>
      </c>
      <c r="L24" s="250" t="str">
        <f>IFERROR(__xludf.DUMMYFUNCTION("""COMPUTED_VALUE"""),"")</f>
        <v/>
      </c>
      <c r="M24" s="250" t="str">
        <f>IFERROR(__xludf.DUMMYFUNCTION("""COMPUTED_VALUE"""),"")</f>
        <v/>
      </c>
      <c r="N24" s="250" t="str">
        <f>IFERROR(__xludf.DUMMYFUNCTION("""COMPUTED_VALUE"""),"")</f>
        <v/>
      </c>
      <c r="O24" s="250" t="str">
        <f>IFERROR(__xludf.DUMMYFUNCTION("""COMPUTED_VALUE"""),"")</f>
        <v/>
      </c>
      <c r="P24" s="250" t="str">
        <f>IFERROR(__xludf.DUMMYFUNCTION("""COMPUTED_VALUE"""),"")</f>
        <v/>
      </c>
      <c r="Q24" s="250" t="str">
        <f>IFERROR(__xludf.DUMMYFUNCTION("""COMPUTED_VALUE"""),"")</f>
        <v/>
      </c>
      <c r="R24" s="250" t="str">
        <f>IFERROR(__xludf.DUMMYFUNCTION("""COMPUTED_VALUE"""),"")</f>
        <v/>
      </c>
      <c r="U24" s="250" t="str">
        <f>IFERROR(__xludf.DUMMYFUNCTION("""COMPUTED_VALUE"""),"#N/A")</f>
        <v>#N/A</v>
      </c>
      <c r="V24" s="250" t="str">
        <f>IFERROR(__xludf.DUMMYFUNCTION("""COMPUTED_VALUE"""),"#N/A")</f>
        <v>#N/A</v>
      </c>
      <c r="W24" s="250" t="str">
        <f>IFERROR(__xludf.DUMMYFUNCTION("""COMPUTED_VALUE"""),"#N/A")</f>
        <v>#N/A</v>
      </c>
      <c r="X24" t="b">
        <f t="shared" ref="X24:Z24" si="24">ISBLANK(K24)</f>
        <v>1</v>
      </c>
      <c r="Y24" t="b">
        <f t="shared" si="24"/>
        <v>0</v>
      </c>
      <c r="Z24" t="b">
        <f t="shared" si="24"/>
        <v>0</v>
      </c>
      <c r="AA24">
        <f t="shared" ref="AA24:AC24" si="25">IF(X24=FALSE,1,0)</f>
        <v>0</v>
      </c>
      <c r="AB24">
        <f t="shared" si="25"/>
        <v>1</v>
      </c>
      <c r="AC24">
        <f t="shared" si="25"/>
        <v>1</v>
      </c>
      <c r="AD24">
        <f t="shared" si="6"/>
        <v>2</v>
      </c>
      <c r="AE24">
        <f t="shared" si="7"/>
        <v>1</v>
      </c>
      <c r="AF24">
        <f>if(iferror(vlookup($A24,'Description Database'!$E$2:$H$951,3,0),0)=TRUE,1,0)</f>
        <v>0</v>
      </c>
      <c r="AG24">
        <f>if(iferror(vlookup($A24,'Description Database'!$E$2:$H$951,4,0),0)=TRUE,1,0)</f>
        <v>0</v>
      </c>
    </row>
    <row r="25">
      <c r="B25" t="str">
        <f>IFERROR(__xludf.DUMMYFUNCTION("""COMPUTED_VALUE"""),"")</f>
        <v/>
      </c>
      <c r="C25" t="str">
        <f>IFERROR(__xludf.DUMMYFUNCTION("""COMPUTED_VALUE"""),"")</f>
        <v/>
      </c>
      <c r="D25" t="str">
        <f>IFERROR(__xludf.DUMMYFUNCTION("""COMPUTED_VALUE"""),"")</f>
        <v/>
      </c>
      <c r="E25" t="str">
        <f>IFERROR(__xludf.DUMMYFUNCTION("""COMPUTED_VALUE"""),"")</f>
        <v/>
      </c>
      <c r="F25" t="str">
        <f>IFERROR(__xludf.DUMMYFUNCTION("""COMPUTED_VALUE"""),"")</f>
        <v/>
      </c>
      <c r="G25" t="str">
        <f>IFERROR(__xludf.DUMMYFUNCTION("""COMPUTED_VALUE"""),"")</f>
        <v/>
      </c>
      <c r="H25" t="str">
        <f>IFERROR(__xludf.DUMMYFUNCTION("""COMPUTED_VALUE"""),"")</f>
        <v/>
      </c>
      <c r="I25" t="str">
        <f>IFERROR(__xludf.DUMMYFUNCTION("""COMPUTED_VALUE"""),"")</f>
        <v/>
      </c>
      <c r="J25">
        <f>IFERROR(__xludf.DUMMYFUNCTION("""COMPUTED_VALUE"""),0.0)</f>
        <v>0</v>
      </c>
      <c r="L25" s="250" t="str">
        <f>IFERROR(__xludf.DUMMYFUNCTION("""COMPUTED_VALUE"""),"")</f>
        <v/>
      </c>
      <c r="M25" s="250" t="str">
        <f>IFERROR(__xludf.DUMMYFUNCTION("""COMPUTED_VALUE"""),"")</f>
        <v/>
      </c>
      <c r="N25" s="250" t="str">
        <f>IFERROR(__xludf.DUMMYFUNCTION("""COMPUTED_VALUE"""),"")</f>
        <v/>
      </c>
      <c r="O25" s="250" t="str">
        <f>IFERROR(__xludf.DUMMYFUNCTION("""COMPUTED_VALUE"""),"")</f>
        <v/>
      </c>
      <c r="P25" s="250" t="str">
        <f>IFERROR(__xludf.DUMMYFUNCTION("""COMPUTED_VALUE"""),"")</f>
        <v/>
      </c>
      <c r="Q25" s="250" t="str">
        <f>IFERROR(__xludf.DUMMYFUNCTION("""COMPUTED_VALUE"""),"")</f>
        <v/>
      </c>
      <c r="R25" s="250" t="str">
        <f>IFERROR(__xludf.DUMMYFUNCTION("""COMPUTED_VALUE"""),"")</f>
        <v/>
      </c>
      <c r="U25" s="250" t="str">
        <f>IFERROR(__xludf.DUMMYFUNCTION("""COMPUTED_VALUE"""),"#N/A")</f>
        <v>#N/A</v>
      </c>
      <c r="V25" s="250" t="str">
        <f>IFERROR(__xludf.DUMMYFUNCTION("""COMPUTED_VALUE"""),"#N/A")</f>
        <v>#N/A</v>
      </c>
      <c r="W25" s="250" t="str">
        <f>IFERROR(__xludf.DUMMYFUNCTION("""COMPUTED_VALUE"""),"#N/A")</f>
        <v>#N/A</v>
      </c>
      <c r="X25" t="b">
        <f t="shared" ref="X25:Z25" si="26">ISBLANK(K25)</f>
        <v>1</v>
      </c>
      <c r="Y25" t="b">
        <f t="shared" si="26"/>
        <v>0</v>
      </c>
      <c r="Z25" t="b">
        <f t="shared" si="26"/>
        <v>0</v>
      </c>
      <c r="AA25">
        <f t="shared" ref="AA25:AC25" si="27">IF(X25=FALSE,1,0)</f>
        <v>0</v>
      </c>
      <c r="AB25">
        <f t="shared" si="27"/>
        <v>1</v>
      </c>
      <c r="AC25">
        <f t="shared" si="27"/>
        <v>1</v>
      </c>
      <c r="AD25">
        <f t="shared" si="6"/>
        <v>2</v>
      </c>
      <c r="AE25">
        <f t="shared" si="7"/>
        <v>1</v>
      </c>
      <c r="AF25">
        <f>if(iferror(vlookup($A25,'Description Database'!$E$2:$H$951,3,0),0)=TRUE,1,0)</f>
        <v>0</v>
      </c>
      <c r="AG25">
        <f>if(iferror(vlookup($A25,'Description Database'!$E$2:$H$951,4,0),0)=TRUE,1,0)</f>
        <v>0</v>
      </c>
    </row>
    <row r="26">
      <c r="A26" t="str">
        <f>IFERROR(__xludf.DUMMYFUNCTION("""COMPUTED_VALUE"""),"Xiaomi Redmi Note 5 (3 GB/32 GB)")</f>
        <v>Xiaomi Redmi Note 5 (3 GB/32 GB)</v>
      </c>
      <c r="B26" t="str">
        <f>IFERROR(__xludf.DUMMYFUNCTION("""COMPUTED_VALUE"""),"")</f>
        <v/>
      </c>
      <c r="C26">
        <f>IFERROR(__xludf.DUMMYFUNCTION("""COMPUTED_VALUE"""),2.0)</f>
        <v>2</v>
      </c>
      <c r="D26" t="str">
        <f>IFERROR(__xludf.DUMMYFUNCTION("""COMPUTED_VALUE"""),"")</f>
        <v/>
      </c>
      <c r="E26" t="str">
        <f>IFERROR(__xludf.DUMMYFUNCTION("""COMPUTED_VALUE"""),"")</f>
        <v/>
      </c>
      <c r="F26" t="str">
        <f>IFERROR(__xludf.DUMMYFUNCTION("""COMPUTED_VALUE"""),"")</f>
        <v/>
      </c>
      <c r="G26" t="str">
        <f>IFERROR(__xludf.DUMMYFUNCTION("""COMPUTED_VALUE"""),"")</f>
        <v/>
      </c>
      <c r="H26">
        <f>IFERROR(__xludf.DUMMYFUNCTION("""COMPUTED_VALUE"""),2.0)</f>
        <v>2</v>
      </c>
      <c r="I26">
        <f>IFERROR(__xludf.DUMMYFUNCTION("""COMPUTED_VALUE"""),21.0)</f>
        <v>21</v>
      </c>
      <c r="J26">
        <f>IFERROR(__xludf.DUMMYFUNCTION("""COMPUTED_VALUE"""),25.0)</f>
        <v>25</v>
      </c>
      <c r="L26" s="250" t="str">
        <f>IFERROR(__xludf.DUMMYFUNCTION("""COMPUTED_VALUE"""),"")</f>
        <v/>
      </c>
      <c r="M26" s="250">
        <f>IFERROR(__xludf.DUMMYFUNCTION("""COMPUTED_VALUE"""),5039.0)</f>
        <v>5039</v>
      </c>
      <c r="N26" s="250" t="str">
        <f>IFERROR(__xludf.DUMMYFUNCTION("""COMPUTED_VALUE"""),"")</f>
        <v/>
      </c>
      <c r="O26" s="250" t="str">
        <f>IFERROR(__xludf.DUMMYFUNCTION("""COMPUTED_VALUE"""),"")</f>
        <v/>
      </c>
      <c r="P26" s="250" t="str">
        <f>IFERROR(__xludf.DUMMYFUNCTION("""COMPUTED_VALUE"""),"")</f>
        <v/>
      </c>
      <c r="Q26" s="250" t="str">
        <f>IFERROR(__xludf.DUMMYFUNCTION("""COMPUTED_VALUE"""),"")</f>
        <v/>
      </c>
      <c r="R26" s="250">
        <f>IFERROR(__xludf.DUMMYFUNCTION("""COMPUTED_VALUE"""),1999.0)</f>
        <v>1999</v>
      </c>
      <c r="V26" s="250">
        <f>IFERROR(__xludf.DUMMYFUNCTION("""COMPUTED_VALUE"""),5549.0)</f>
        <v>5549</v>
      </c>
      <c r="W26" s="250">
        <f>IFERROR(__xludf.DUMMYFUNCTION("""COMPUTED_VALUE"""),5069.0)</f>
        <v>5069</v>
      </c>
      <c r="X26" t="b">
        <f t="shared" ref="X26:Z26" si="28">ISBLANK(K26)</f>
        <v>1</v>
      </c>
      <c r="Y26" t="b">
        <f t="shared" si="28"/>
        <v>0</v>
      </c>
      <c r="Z26" t="b">
        <f t="shared" si="28"/>
        <v>0</v>
      </c>
      <c r="AA26">
        <f t="shared" ref="AA26:AC26" si="29">IF(X26=FALSE,1,0)</f>
        <v>0</v>
      </c>
      <c r="AB26">
        <f t="shared" si="29"/>
        <v>1</v>
      </c>
      <c r="AC26">
        <f t="shared" si="29"/>
        <v>1</v>
      </c>
      <c r="AD26">
        <f t="shared" si="6"/>
        <v>2</v>
      </c>
      <c r="AE26">
        <f t="shared" si="7"/>
        <v>1</v>
      </c>
      <c r="AF26">
        <f>if(iferror(vlookup($A26,'Description Database'!$E$2:$H$951,3,0),0)=TRUE,1,0)</f>
        <v>0</v>
      </c>
      <c r="AG26">
        <f>if(iferror(vlookup($A26,'Description Database'!$E$2:$H$951,4,0),0)=TRUE,1,0)</f>
        <v>0</v>
      </c>
    </row>
    <row r="27">
      <c r="A27" t="str">
        <f>IFERROR(__xludf.DUMMYFUNCTION("""COMPUTED_VALUE"""),"Xiaomi Mi A1 (4 GB/64 GB)")</f>
        <v>Xiaomi Mi A1 (4 GB/64 GB)</v>
      </c>
      <c r="B27" t="str">
        <f>IFERROR(__xludf.DUMMYFUNCTION("""COMPUTED_VALUE"""),"")</f>
        <v/>
      </c>
      <c r="C27">
        <f>IFERROR(__xludf.DUMMYFUNCTION("""COMPUTED_VALUE"""),1.0)</f>
        <v>1</v>
      </c>
      <c r="D27">
        <f>IFERROR(__xludf.DUMMYFUNCTION("""COMPUTED_VALUE"""),1.0)</f>
        <v>1</v>
      </c>
      <c r="E27">
        <f>IFERROR(__xludf.DUMMYFUNCTION("""COMPUTED_VALUE"""),1.0)</f>
        <v>1</v>
      </c>
      <c r="F27" t="str">
        <f>IFERROR(__xludf.DUMMYFUNCTION("""COMPUTED_VALUE"""),"")</f>
        <v/>
      </c>
      <c r="G27">
        <f>IFERROR(__xludf.DUMMYFUNCTION("""COMPUTED_VALUE"""),3.0)</f>
        <v>3</v>
      </c>
      <c r="H27" t="str">
        <f>IFERROR(__xludf.DUMMYFUNCTION("""COMPUTED_VALUE"""),"")</f>
        <v/>
      </c>
      <c r="I27">
        <f>IFERROR(__xludf.DUMMYFUNCTION("""COMPUTED_VALUE"""),18.0)</f>
        <v>18</v>
      </c>
      <c r="J27">
        <f>IFERROR(__xludf.DUMMYFUNCTION("""COMPUTED_VALUE"""),24.0)</f>
        <v>24</v>
      </c>
      <c r="L27" s="250" t="str">
        <f>IFERROR(__xludf.DUMMYFUNCTION("""COMPUTED_VALUE"""),"")</f>
        <v/>
      </c>
      <c r="M27" s="250">
        <f>IFERROR(__xludf.DUMMYFUNCTION("""COMPUTED_VALUE"""),5169.0)</f>
        <v>5169</v>
      </c>
      <c r="N27" s="250">
        <f>IFERROR(__xludf.DUMMYFUNCTION("""COMPUTED_VALUE"""),4719.0)</f>
        <v>4719</v>
      </c>
      <c r="O27" s="250">
        <f>IFERROR(__xludf.DUMMYFUNCTION("""COMPUTED_VALUE"""),4294.0)</f>
        <v>4294</v>
      </c>
      <c r="P27" s="250" t="str">
        <f>IFERROR(__xludf.DUMMYFUNCTION("""COMPUTED_VALUE"""),"")</f>
        <v/>
      </c>
      <c r="Q27" s="250">
        <f>IFERROR(__xludf.DUMMYFUNCTION("""COMPUTED_VALUE"""),2809.0)</f>
        <v>2809</v>
      </c>
      <c r="R27" s="250" t="str">
        <f>IFERROR(__xludf.DUMMYFUNCTION("""COMPUTED_VALUE"""),"")</f>
        <v/>
      </c>
      <c r="U27" s="250">
        <f>IFERROR(__xludf.DUMMYFUNCTION("""COMPUTED_VALUE"""),5979.0)</f>
        <v>5979</v>
      </c>
      <c r="V27" s="250">
        <f>IFERROR(__xludf.DUMMYFUNCTION("""COMPUTED_VALUE"""),5689.0)</f>
        <v>5689</v>
      </c>
      <c r="W27" s="250">
        <f>IFERROR(__xludf.DUMMYFUNCTION("""COMPUTED_VALUE"""),5199.0)</f>
        <v>5199</v>
      </c>
      <c r="X27" t="b">
        <f t="shared" ref="X27:Z27" si="30">ISBLANK(K27)</f>
        <v>1</v>
      </c>
      <c r="Y27" t="b">
        <f t="shared" si="30"/>
        <v>0</v>
      </c>
      <c r="Z27" t="b">
        <f t="shared" si="30"/>
        <v>0</v>
      </c>
      <c r="AA27">
        <f t="shared" ref="AA27:AC27" si="31">IF(X27=FALSE,1,0)</f>
        <v>0</v>
      </c>
      <c r="AB27">
        <f t="shared" si="31"/>
        <v>1</v>
      </c>
      <c r="AC27">
        <f t="shared" si="31"/>
        <v>1</v>
      </c>
      <c r="AD27">
        <f t="shared" si="6"/>
        <v>2</v>
      </c>
      <c r="AE27">
        <f t="shared" si="7"/>
        <v>1</v>
      </c>
      <c r="AF27">
        <f>if(iferror(vlookup($A27,'Description Database'!$E$2:$H$951,3,0),0)=TRUE,1,0)</f>
        <v>0</v>
      </c>
      <c r="AG27">
        <f>if(iferror(vlookup($A27,'Description Database'!$E$2:$H$951,4,0),0)=TRUE,1,0)</f>
        <v>0</v>
      </c>
    </row>
    <row r="28">
      <c r="A28" t="str">
        <f>IFERROR(__xludf.DUMMYFUNCTION("""COMPUTED_VALUE"""),"Xiaomi POCO F1 (6 GB/64 GB)")</f>
        <v>Xiaomi POCO F1 (6 GB/64 GB)</v>
      </c>
      <c r="B28" t="str">
        <f>IFERROR(__xludf.DUMMYFUNCTION("""COMPUTED_VALUE"""),"")</f>
        <v/>
      </c>
      <c r="C28" t="str">
        <f>IFERROR(__xludf.DUMMYFUNCTION("""COMPUTED_VALUE"""),"")</f>
        <v/>
      </c>
      <c r="D28" t="str">
        <f>IFERROR(__xludf.DUMMYFUNCTION("""COMPUTED_VALUE"""),"")</f>
        <v/>
      </c>
      <c r="E28" t="str">
        <f>IFERROR(__xludf.DUMMYFUNCTION("""COMPUTED_VALUE"""),"")</f>
        <v/>
      </c>
      <c r="F28" t="str">
        <f>IFERROR(__xludf.DUMMYFUNCTION("""COMPUTED_VALUE"""),"")</f>
        <v/>
      </c>
      <c r="G28">
        <f>IFERROR(__xludf.DUMMYFUNCTION("""COMPUTED_VALUE"""),1.0)</f>
        <v>1</v>
      </c>
      <c r="H28" t="str">
        <f>IFERROR(__xludf.DUMMYFUNCTION("""COMPUTED_VALUE"""),"")</f>
        <v/>
      </c>
      <c r="I28">
        <f>IFERROR(__xludf.DUMMYFUNCTION("""COMPUTED_VALUE"""),7.0)</f>
        <v>7</v>
      </c>
      <c r="J28">
        <f>IFERROR(__xludf.DUMMYFUNCTION("""COMPUTED_VALUE"""),8.0)</f>
        <v>8</v>
      </c>
      <c r="L28" s="250" t="str">
        <f>IFERROR(__xludf.DUMMYFUNCTION("""COMPUTED_VALUE"""),"")</f>
        <v/>
      </c>
      <c r="M28" s="250" t="str">
        <f>IFERROR(__xludf.DUMMYFUNCTION("""COMPUTED_VALUE"""),"")</f>
        <v/>
      </c>
      <c r="N28" s="250" t="str">
        <f>IFERROR(__xludf.DUMMYFUNCTION("""COMPUTED_VALUE"""),"")</f>
        <v/>
      </c>
      <c r="O28" s="250" t="str">
        <f>IFERROR(__xludf.DUMMYFUNCTION("""COMPUTED_VALUE"""),"")</f>
        <v/>
      </c>
      <c r="P28" s="250" t="str">
        <f>IFERROR(__xludf.DUMMYFUNCTION("""COMPUTED_VALUE"""),"")</f>
        <v/>
      </c>
      <c r="Q28" s="250">
        <f>IFERROR(__xludf.DUMMYFUNCTION("""COMPUTED_VALUE"""),4579.0)</f>
        <v>4579</v>
      </c>
      <c r="R28" s="250" t="str">
        <f>IFERROR(__xludf.DUMMYFUNCTION("""COMPUTED_VALUE"""),"")</f>
        <v/>
      </c>
      <c r="U28" s="250">
        <f>IFERROR(__xludf.DUMMYFUNCTION("""COMPUTED_VALUE"""),9179.0)</f>
        <v>9179</v>
      </c>
      <c r="V28" s="250">
        <f>IFERROR(__xludf.DUMMYFUNCTION("""COMPUTED_VALUE"""),8739.0)</f>
        <v>8739</v>
      </c>
      <c r="W28" s="250">
        <f>IFERROR(__xludf.DUMMYFUNCTION("""COMPUTED_VALUE"""),7869.0)</f>
        <v>7869</v>
      </c>
      <c r="X28" t="b">
        <f t="shared" ref="X28:Z28" si="32">ISBLANK(K28)</f>
        <v>1</v>
      </c>
      <c r="Y28" t="b">
        <f t="shared" si="32"/>
        <v>0</v>
      </c>
      <c r="Z28" t="b">
        <f t="shared" si="32"/>
        <v>0</v>
      </c>
      <c r="AA28">
        <f t="shared" ref="AA28:AC28" si="33">IF(X28=FALSE,1,0)</f>
        <v>0</v>
      </c>
      <c r="AB28">
        <f t="shared" si="33"/>
        <v>1</v>
      </c>
      <c r="AC28">
        <f t="shared" si="33"/>
        <v>1</v>
      </c>
      <c r="AD28">
        <f t="shared" si="6"/>
        <v>2</v>
      </c>
      <c r="AE28">
        <f t="shared" si="7"/>
        <v>1</v>
      </c>
      <c r="AF28">
        <f>if(iferror(vlookup($A28,'Description Database'!$E$2:$H$951,3,0),0)=TRUE,1,0)</f>
        <v>0</v>
      </c>
      <c r="AG28">
        <f>if(iferror(vlookup($A28,'Description Database'!$E$2:$H$951,4,0),0)=TRUE,1,0)</f>
        <v>1</v>
      </c>
    </row>
    <row r="29">
      <c r="A29" t="str">
        <f>IFERROR(__xludf.DUMMYFUNCTION("""COMPUTED_VALUE"""),"Xiaomi Redmi Note 4 (2 GB/32 GB)")</f>
        <v>Xiaomi Redmi Note 4 (2 GB/32 GB)</v>
      </c>
      <c r="B29" t="str">
        <f>IFERROR(__xludf.DUMMYFUNCTION("""COMPUTED_VALUE"""),"")</f>
        <v/>
      </c>
      <c r="C29" t="str">
        <f>IFERROR(__xludf.DUMMYFUNCTION("""COMPUTED_VALUE"""),"")</f>
        <v/>
      </c>
      <c r="D29" t="str">
        <f>IFERROR(__xludf.DUMMYFUNCTION("""COMPUTED_VALUE"""),"")</f>
        <v/>
      </c>
      <c r="E29" t="str">
        <f>IFERROR(__xludf.DUMMYFUNCTION("""COMPUTED_VALUE"""),"")</f>
        <v/>
      </c>
      <c r="F29" t="str">
        <f>IFERROR(__xludf.DUMMYFUNCTION("""COMPUTED_VALUE"""),"")</f>
        <v/>
      </c>
      <c r="G29" t="str">
        <f>IFERROR(__xludf.DUMMYFUNCTION("""COMPUTED_VALUE"""),"")</f>
        <v/>
      </c>
      <c r="H29" t="str">
        <f>IFERROR(__xludf.DUMMYFUNCTION("""COMPUTED_VALUE"""),"")</f>
        <v/>
      </c>
      <c r="I29">
        <f>IFERROR(__xludf.DUMMYFUNCTION("""COMPUTED_VALUE"""),35.0)</f>
        <v>35</v>
      </c>
      <c r="J29">
        <f>IFERROR(__xludf.DUMMYFUNCTION("""COMPUTED_VALUE"""),35.0)</f>
        <v>35</v>
      </c>
      <c r="L29" s="250" t="str">
        <f>IFERROR(__xludf.DUMMYFUNCTION("""COMPUTED_VALUE"""),"")</f>
        <v/>
      </c>
      <c r="M29" s="250" t="str">
        <f>IFERROR(__xludf.DUMMYFUNCTION("""COMPUTED_VALUE"""),"")</f>
        <v/>
      </c>
      <c r="N29" s="250" t="str">
        <f>IFERROR(__xludf.DUMMYFUNCTION("""COMPUTED_VALUE"""),"")</f>
        <v/>
      </c>
      <c r="O29" s="250" t="str">
        <f>IFERROR(__xludf.DUMMYFUNCTION("""COMPUTED_VALUE"""),"")</f>
        <v/>
      </c>
      <c r="P29" s="250" t="str">
        <f>IFERROR(__xludf.DUMMYFUNCTION("""COMPUTED_VALUE"""),"")</f>
        <v/>
      </c>
      <c r="Q29" s="250" t="str">
        <f>IFERROR(__xludf.DUMMYFUNCTION("""COMPUTED_VALUE"""),"")</f>
        <v/>
      </c>
      <c r="R29" s="250" t="str">
        <f>IFERROR(__xludf.DUMMYFUNCTION("""COMPUTED_VALUE"""),"")</f>
        <v/>
      </c>
      <c r="U29" s="250">
        <f>IFERROR(__xludf.DUMMYFUNCTION("""COMPUTED_VALUE"""),4519.0)</f>
        <v>4519</v>
      </c>
      <c r="V29" s="250">
        <f>IFERROR(__xludf.DUMMYFUNCTION("""COMPUTED_VALUE"""),4299.0)</f>
        <v>4299</v>
      </c>
      <c r="W29" s="250">
        <f>IFERROR(__xludf.DUMMYFUNCTION("""COMPUTED_VALUE"""),3879.0)</f>
        <v>3879</v>
      </c>
      <c r="X29" t="b">
        <f t="shared" ref="X29:Z29" si="34">ISBLANK(K29)</f>
        <v>1</v>
      </c>
      <c r="Y29" t="b">
        <f t="shared" si="34"/>
        <v>0</v>
      </c>
      <c r="Z29" t="b">
        <f t="shared" si="34"/>
        <v>0</v>
      </c>
      <c r="AA29">
        <f t="shared" ref="AA29:AC29" si="35">IF(X29=FALSE,1,0)</f>
        <v>0</v>
      </c>
      <c r="AB29">
        <f t="shared" si="35"/>
        <v>1</v>
      </c>
      <c r="AC29">
        <f t="shared" si="35"/>
        <v>1</v>
      </c>
      <c r="AD29">
        <f t="shared" si="6"/>
        <v>2</v>
      </c>
      <c r="AE29">
        <f t="shared" si="7"/>
        <v>1</v>
      </c>
      <c r="AF29">
        <f>if(iferror(vlookup($A29,'Description Database'!$E$2:$H$951,3,0),0)=TRUE,1,0)</f>
        <v>0</v>
      </c>
      <c r="AG29">
        <f>if(iferror(vlookup($A29,'Description Database'!$E$2:$H$951,4,0),0)=TRUE,1,0)</f>
        <v>0</v>
      </c>
    </row>
    <row r="30">
      <c r="A30" t="str">
        <f>IFERROR(__xludf.DUMMYFUNCTION("""COMPUTED_VALUE"""),"Xiaomi Redmi Note 6 Pro (4 GB/64 GB)")</f>
        <v>Xiaomi Redmi Note 6 Pro (4 GB/64 GB)</v>
      </c>
      <c r="B30" t="str">
        <f>IFERROR(__xludf.DUMMYFUNCTION("""COMPUTED_VALUE"""),"")</f>
        <v/>
      </c>
      <c r="C30">
        <f>IFERROR(__xludf.DUMMYFUNCTION("""COMPUTED_VALUE"""),4.0)</f>
        <v>4</v>
      </c>
      <c r="D30" t="str">
        <f>IFERROR(__xludf.DUMMYFUNCTION("""COMPUTED_VALUE"""),"")</f>
        <v/>
      </c>
      <c r="E30" t="str">
        <f>IFERROR(__xludf.DUMMYFUNCTION("""COMPUTED_VALUE"""),"")</f>
        <v/>
      </c>
      <c r="F30">
        <f>IFERROR(__xludf.DUMMYFUNCTION("""COMPUTED_VALUE"""),1.0)</f>
        <v>1</v>
      </c>
      <c r="G30">
        <f>IFERROR(__xludf.DUMMYFUNCTION("""COMPUTED_VALUE"""),2.0)</f>
        <v>2</v>
      </c>
      <c r="H30" t="str">
        <f>IFERROR(__xludf.DUMMYFUNCTION("""COMPUTED_VALUE"""),"")</f>
        <v/>
      </c>
      <c r="I30">
        <f>IFERROR(__xludf.DUMMYFUNCTION("""COMPUTED_VALUE"""),4.0)</f>
        <v>4</v>
      </c>
      <c r="J30">
        <f>IFERROR(__xludf.DUMMYFUNCTION("""COMPUTED_VALUE"""),11.0)</f>
        <v>11</v>
      </c>
      <c r="L30" s="250" t="str">
        <f>IFERROR(__xludf.DUMMYFUNCTION("""COMPUTED_VALUE"""),"")</f>
        <v/>
      </c>
      <c r="M30" s="250">
        <f>IFERROR(__xludf.DUMMYFUNCTION("""COMPUTED_VALUE"""),6559.0)</f>
        <v>6559</v>
      </c>
      <c r="N30" s="250" t="str">
        <f>IFERROR(__xludf.DUMMYFUNCTION("""COMPUTED_VALUE"""),"")</f>
        <v/>
      </c>
      <c r="O30" s="250" t="str">
        <f>IFERROR(__xludf.DUMMYFUNCTION("""COMPUTED_VALUE"""),"")</f>
        <v/>
      </c>
      <c r="P30" s="250">
        <f>IFERROR(__xludf.DUMMYFUNCTION("""COMPUTED_VALUE"""),4919.0)</f>
        <v>4919</v>
      </c>
      <c r="Q30" s="250">
        <f>IFERROR(__xludf.DUMMYFUNCTION("""COMPUTED_VALUE"""),3779.0)</f>
        <v>3779</v>
      </c>
      <c r="R30" s="250" t="str">
        <f>IFERROR(__xludf.DUMMYFUNCTION("""COMPUTED_VALUE"""),"")</f>
        <v/>
      </c>
      <c r="U30" s="250">
        <f>IFERROR(__xludf.DUMMYFUNCTION("""COMPUTED_VALUE"""),7579.0)</f>
        <v>7579</v>
      </c>
      <c r="V30" s="250">
        <f>IFERROR(__xludf.DUMMYFUNCTION("""COMPUTED_VALUE"""),7219.0)</f>
        <v>7219</v>
      </c>
      <c r="W30" s="250">
        <f>IFERROR(__xludf.DUMMYFUNCTION("""COMPUTED_VALUE"""),6589.0)</f>
        <v>6589</v>
      </c>
      <c r="X30" t="b">
        <f t="shared" ref="X30:Z30" si="36">ISBLANK(K30)</f>
        <v>1</v>
      </c>
      <c r="Y30" t="b">
        <f t="shared" si="36"/>
        <v>0</v>
      </c>
      <c r="Z30" t="b">
        <f t="shared" si="36"/>
        <v>0</v>
      </c>
      <c r="AA30">
        <f t="shared" ref="AA30:AC30" si="37">IF(X30=FALSE,1,0)</f>
        <v>0</v>
      </c>
      <c r="AB30">
        <f t="shared" si="37"/>
        <v>1</v>
      </c>
      <c r="AC30">
        <f t="shared" si="37"/>
        <v>1</v>
      </c>
      <c r="AD30">
        <f t="shared" si="6"/>
        <v>2</v>
      </c>
      <c r="AE30">
        <f t="shared" si="7"/>
        <v>1</v>
      </c>
      <c r="AF30">
        <f>if(iferror(vlookup($A30,'Description Database'!$E$2:$H$951,3,0),0)=TRUE,1,0)</f>
        <v>0</v>
      </c>
      <c r="AG30">
        <f>if(iferror(vlookup($A30,'Description Database'!$E$2:$H$951,4,0),0)=TRUE,1,0)</f>
        <v>0</v>
      </c>
    </row>
    <row r="31">
      <c r="A31" t="str">
        <f>IFERROR(__xludf.DUMMYFUNCTION("""COMPUTED_VALUE"""),"Oneplus 3T (6 GB/64 GB)")</f>
        <v>Oneplus 3T (6 GB/64 GB)</v>
      </c>
      <c r="B31" t="str">
        <f>IFERROR(__xludf.DUMMYFUNCTION("""COMPUTED_VALUE"""),"")</f>
        <v/>
      </c>
      <c r="C31" t="str">
        <f>IFERROR(__xludf.DUMMYFUNCTION("""COMPUTED_VALUE"""),"")</f>
        <v/>
      </c>
      <c r="D31" t="str">
        <f>IFERROR(__xludf.DUMMYFUNCTION("""COMPUTED_VALUE"""),"")</f>
        <v/>
      </c>
      <c r="E31">
        <f>IFERROR(__xludf.DUMMYFUNCTION("""COMPUTED_VALUE"""),1.0)</f>
        <v>1</v>
      </c>
      <c r="F31" t="str">
        <f>IFERROR(__xludf.DUMMYFUNCTION("""COMPUTED_VALUE"""),"")</f>
        <v/>
      </c>
      <c r="G31">
        <f>IFERROR(__xludf.DUMMYFUNCTION("""COMPUTED_VALUE"""),7.0)</f>
        <v>7</v>
      </c>
      <c r="H31" t="str">
        <f>IFERROR(__xludf.DUMMYFUNCTION("""COMPUTED_VALUE"""),"")</f>
        <v/>
      </c>
      <c r="I31">
        <f>IFERROR(__xludf.DUMMYFUNCTION("""COMPUTED_VALUE"""),11.0)</f>
        <v>11</v>
      </c>
      <c r="J31">
        <f>IFERROR(__xludf.DUMMYFUNCTION("""COMPUTED_VALUE"""),19.0)</f>
        <v>19</v>
      </c>
      <c r="L31" s="250" t="str">
        <f>IFERROR(__xludf.DUMMYFUNCTION("""COMPUTED_VALUE"""),"")</f>
        <v/>
      </c>
      <c r="M31" s="250" t="str">
        <f>IFERROR(__xludf.DUMMYFUNCTION("""COMPUTED_VALUE"""),"")</f>
        <v/>
      </c>
      <c r="N31" s="250" t="str">
        <f>IFERROR(__xludf.DUMMYFUNCTION("""COMPUTED_VALUE"""),"")</f>
        <v/>
      </c>
      <c r="O31" s="250">
        <f>IFERROR(__xludf.DUMMYFUNCTION("""COMPUTED_VALUE"""),5164.0)</f>
        <v>5164</v>
      </c>
      <c r="P31" s="250" t="str">
        <f>IFERROR(__xludf.DUMMYFUNCTION("""COMPUTED_VALUE"""),"")</f>
        <v/>
      </c>
      <c r="Q31" s="250">
        <f>IFERROR(__xludf.DUMMYFUNCTION("""COMPUTED_VALUE"""),3669.0)</f>
        <v>3669</v>
      </c>
      <c r="R31" s="250" t="str">
        <f>IFERROR(__xludf.DUMMYFUNCTION("""COMPUTED_VALUE"""),"")</f>
        <v/>
      </c>
      <c r="U31" s="250">
        <f>IFERROR(__xludf.DUMMYFUNCTION("""COMPUTED_VALUE"""),7239.0)</f>
        <v>7239</v>
      </c>
      <c r="V31" s="250">
        <f>IFERROR(__xludf.DUMMYFUNCTION("""COMPUTED_VALUE"""),6889.0)</f>
        <v>6889</v>
      </c>
      <c r="W31" s="250">
        <f>IFERROR(__xludf.DUMMYFUNCTION("""COMPUTED_VALUE"""),6199.0)</f>
        <v>6199</v>
      </c>
      <c r="X31" t="b">
        <f t="shared" ref="X31:Z31" si="38">ISBLANK(K31)</f>
        <v>1</v>
      </c>
      <c r="Y31" t="b">
        <f t="shared" si="38"/>
        <v>0</v>
      </c>
      <c r="Z31" t="b">
        <f t="shared" si="38"/>
        <v>0</v>
      </c>
      <c r="AA31">
        <f t="shared" ref="AA31:AC31" si="39">IF(X31=FALSE,1,0)</f>
        <v>0</v>
      </c>
      <c r="AB31">
        <f t="shared" si="39"/>
        <v>1</v>
      </c>
      <c r="AC31">
        <f t="shared" si="39"/>
        <v>1</v>
      </c>
      <c r="AD31">
        <f t="shared" si="6"/>
        <v>2</v>
      </c>
      <c r="AE31">
        <f t="shared" si="7"/>
        <v>1</v>
      </c>
      <c r="AF31">
        <f>if(iferror(vlookup($A31,'Description Database'!$E$2:$H$951,3,0),0)=TRUE,1,0)</f>
        <v>0</v>
      </c>
      <c r="AG31">
        <f>if(iferror(vlookup($A31,'Description Database'!$E$2:$H$951,4,0),0)=TRUE,1,0)</f>
        <v>0</v>
      </c>
    </row>
    <row r="32">
      <c r="A32" t="str">
        <f>IFERROR(__xludf.DUMMYFUNCTION("""COMPUTED_VALUE"""),"Oppo A3s (3 GB/32 GB)")</f>
        <v>Oppo A3s (3 GB/32 GB)</v>
      </c>
      <c r="B32" t="str">
        <f>IFERROR(__xludf.DUMMYFUNCTION("""COMPUTED_VALUE"""),"")</f>
        <v/>
      </c>
      <c r="C32" t="str">
        <f>IFERROR(__xludf.DUMMYFUNCTION("""COMPUTED_VALUE"""),"")</f>
        <v/>
      </c>
      <c r="D32" t="str">
        <f>IFERROR(__xludf.DUMMYFUNCTION("""COMPUTED_VALUE"""),"")</f>
        <v/>
      </c>
      <c r="E32" t="str">
        <f>IFERROR(__xludf.DUMMYFUNCTION("""COMPUTED_VALUE"""),"")</f>
        <v/>
      </c>
      <c r="F32" t="str">
        <f>IFERROR(__xludf.DUMMYFUNCTION("""COMPUTED_VALUE"""),"")</f>
        <v/>
      </c>
      <c r="G32" t="str">
        <f>IFERROR(__xludf.DUMMYFUNCTION("""COMPUTED_VALUE"""),"")</f>
        <v/>
      </c>
      <c r="H32" t="str">
        <f>IFERROR(__xludf.DUMMYFUNCTION("""COMPUTED_VALUE"""),"")</f>
        <v/>
      </c>
      <c r="I32" t="str">
        <f>IFERROR(__xludf.DUMMYFUNCTION("""COMPUTED_VALUE"""),"")</f>
        <v/>
      </c>
      <c r="J32">
        <f>IFERROR(__xludf.DUMMYFUNCTION("""COMPUTED_VALUE"""),0.0)</f>
        <v>0</v>
      </c>
      <c r="L32" s="250" t="str">
        <f>IFERROR(__xludf.DUMMYFUNCTION("""COMPUTED_VALUE"""),"")</f>
        <v/>
      </c>
      <c r="M32" s="250" t="str">
        <f>IFERROR(__xludf.DUMMYFUNCTION("""COMPUTED_VALUE"""),"")</f>
        <v/>
      </c>
      <c r="N32" s="250" t="str">
        <f>IFERROR(__xludf.DUMMYFUNCTION("""COMPUTED_VALUE"""),"")</f>
        <v/>
      </c>
      <c r="O32" s="250" t="str">
        <f>IFERROR(__xludf.DUMMYFUNCTION("""COMPUTED_VALUE"""),"")</f>
        <v/>
      </c>
      <c r="P32" s="250" t="str">
        <f>IFERROR(__xludf.DUMMYFUNCTION("""COMPUTED_VALUE"""),"")</f>
        <v/>
      </c>
      <c r="Q32" s="250" t="str">
        <f>IFERROR(__xludf.DUMMYFUNCTION("""COMPUTED_VALUE"""),"")</f>
        <v/>
      </c>
      <c r="R32" s="250" t="str">
        <f>IFERROR(__xludf.DUMMYFUNCTION("""COMPUTED_VALUE"""),"")</f>
        <v/>
      </c>
      <c r="U32" s="250">
        <f>IFERROR(__xludf.DUMMYFUNCTION("""COMPUTED_VALUE"""),6539.0)</f>
        <v>6539</v>
      </c>
      <c r="V32" s="250">
        <f>IFERROR(__xludf.DUMMYFUNCTION("""COMPUTED_VALUE"""),6219.0)</f>
        <v>6219</v>
      </c>
      <c r="W32" s="250">
        <f>IFERROR(__xludf.DUMMYFUNCTION("""COMPUTED_VALUE"""),5689.0)</f>
        <v>5689</v>
      </c>
      <c r="X32" t="b">
        <f t="shared" ref="X32:Z32" si="40">ISBLANK(K32)</f>
        <v>1</v>
      </c>
      <c r="Y32" t="b">
        <f t="shared" si="40"/>
        <v>0</v>
      </c>
      <c r="Z32" t="b">
        <f t="shared" si="40"/>
        <v>0</v>
      </c>
      <c r="AA32">
        <f t="shared" ref="AA32:AC32" si="41">IF(X32=FALSE,1,0)</f>
        <v>0</v>
      </c>
      <c r="AB32">
        <f t="shared" si="41"/>
        <v>1</v>
      </c>
      <c r="AC32">
        <f t="shared" si="41"/>
        <v>1</v>
      </c>
      <c r="AD32">
        <f t="shared" si="6"/>
        <v>2</v>
      </c>
      <c r="AE32">
        <f t="shared" si="7"/>
        <v>1</v>
      </c>
      <c r="AF32">
        <f>if(iferror(vlookup($A32,'Description Database'!$E$2:$H$951,3,0),0)=TRUE,1,0)</f>
        <v>0</v>
      </c>
      <c r="AG32">
        <f>if(iferror(vlookup($A32,'Description Database'!$E$2:$H$951,4,0),0)=TRUE,1,0)</f>
        <v>0</v>
      </c>
    </row>
    <row r="33">
      <c r="A33" t="str">
        <f>IFERROR(__xludf.DUMMYFUNCTION("""COMPUTED_VALUE"""),"Apple iPhone 5s (1 GB/16 GB)")</f>
        <v>Apple iPhone 5s (1 GB/16 GB)</v>
      </c>
      <c r="B33" t="str">
        <f>IFERROR(__xludf.DUMMYFUNCTION("""COMPUTED_VALUE"""),"")</f>
        <v/>
      </c>
      <c r="C33" t="str">
        <f>IFERROR(__xludf.DUMMYFUNCTION("""COMPUTED_VALUE"""),"")</f>
        <v/>
      </c>
      <c r="D33" t="str">
        <f>IFERROR(__xludf.DUMMYFUNCTION("""COMPUTED_VALUE"""),"")</f>
        <v/>
      </c>
      <c r="E33">
        <f>IFERROR(__xludf.DUMMYFUNCTION("""COMPUTED_VALUE"""),2.0)</f>
        <v>2</v>
      </c>
      <c r="F33" t="str">
        <f>IFERROR(__xludf.DUMMYFUNCTION("""COMPUTED_VALUE"""),"")</f>
        <v/>
      </c>
      <c r="G33">
        <f>IFERROR(__xludf.DUMMYFUNCTION("""COMPUTED_VALUE"""),1.0)</f>
        <v>1</v>
      </c>
      <c r="H33" t="str">
        <f>IFERROR(__xludf.DUMMYFUNCTION("""COMPUTED_VALUE"""),"")</f>
        <v/>
      </c>
      <c r="I33">
        <f>IFERROR(__xludf.DUMMYFUNCTION("""COMPUTED_VALUE"""),11.0)</f>
        <v>11</v>
      </c>
      <c r="J33">
        <f>IFERROR(__xludf.DUMMYFUNCTION("""COMPUTED_VALUE"""),14.0)</f>
        <v>14</v>
      </c>
      <c r="L33" s="250" t="str">
        <f>IFERROR(__xludf.DUMMYFUNCTION("""COMPUTED_VALUE"""),"")</f>
        <v/>
      </c>
      <c r="M33" s="250" t="str">
        <f>IFERROR(__xludf.DUMMYFUNCTION("""COMPUTED_VALUE"""),"")</f>
        <v/>
      </c>
      <c r="N33" s="250" t="str">
        <f>IFERROR(__xludf.DUMMYFUNCTION("""COMPUTED_VALUE"""),"")</f>
        <v/>
      </c>
      <c r="O33" s="250">
        <f>IFERROR(__xludf.DUMMYFUNCTION("""COMPUTED_VALUE"""),3634.0)</f>
        <v>3634</v>
      </c>
      <c r="P33" s="250" t="str">
        <f>IFERROR(__xludf.DUMMYFUNCTION("""COMPUTED_VALUE"""),"")</f>
        <v/>
      </c>
      <c r="Q33" s="250">
        <f>IFERROR(__xludf.DUMMYFUNCTION("""COMPUTED_VALUE"""),2519.0)</f>
        <v>2519</v>
      </c>
      <c r="R33" s="250" t="str">
        <f>IFERROR(__xludf.DUMMYFUNCTION("""COMPUTED_VALUE"""),"")</f>
        <v/>
      </c>
      <c r="U33" s="250">
        <f>IFERROR(__xludf.DUMMYFUNCTION("""COMPUTED_VALUE"""),5089.0)</f>
        <v>5089</v>
      </c>
      <c r="V33" s="250">
        <f>IFERROR(__xludf.DUMMYFUNCTION("""COMPUTED_VALUE"""),4839.0)</f>
        <v>4839</v>
      </c>
      <c r="W33" s="250">
        <f>IFERROR(__xludf.DUMMYFUNCTION("""COMPUTED_VALUE"""),4359.0)</f>
        <v>4359</v>
      </c>
      <c r="X33" t="b">
        <f t="shared" ref="X33:Z33" si="42">ISBLANK(K33)</f>
        <v>1</v>
      </c>
      <c r="Y33" t="b">
        <f t="shared" si="42"/>
        <v>0</v>
      </c>
      <c r="Z33" t="b">
        <f t="shared" si="42"/>
        <v>0</v>
      </c>
      <c r="AA33">
        <f t="shared" ref="AA33:AC33" si="43">IF(X33=FALSE,1,0)</f>
        <v>0</v>
      </c>
      <c r="AB33">
        <f t="shared" si="43"/>
        <v>1</v>
      </c>
      <c r="AC33">
        <f t="shared" si="43"/>
        <v>1</v>
      </c>
      <c r="AD33">
        <f t="shared" si="6"/>
        <v>2</v>
      </c>
      <c r="AE33">
        <f t="shared" si="7"/>
        <v>1</v>
      </c>
      <c r="AF33">
        <f>if(iferror(vlookup($A33,'Description Database'!$E$2:$H$951,3,0),0)=TRUE,1,0)</f>
        <v>0</v>
      </c>
      <c r="AG33">
        <f>if(iferror(vlookup($A33,'Description Database'!$E$2:$H$951,4,0),0)=TRUE,1,0)</f>
        <v>0</v>
      </c>
    </row>
    <row r="34">
      <c r="A34" t="str">
        <f>IFERROR(__xludf.DUMMYFUNCTION("""COMPUTED_VALUE"""),"Xiaomi Redmi Note 5 (4 GB/64 GB)")</f>
        <v>Xiaomi Redmi Note 5 (4 GB/64 GB)</v>
      </c>
      <c r="B34" t="str">
        <f>IFERROR(__xludf.DUMMYFUNCTION("""COMPUTED_VALUE"""),"")</f>
        <v/>
      </c>
      <c r="C34" t="str">
        <f>IFERROR(__xludf.DUMMYFUNCTION("""COMPUTED_VALUE"""),"")</f>
        <v/>
      </c>
      <c r="D34" t="str">
        <f>IFERROR(__xludf.DUMMYFUNCTION("""COMPUTED_VALUE"""),"")</f>
        <v/>
      </c>
      <c r="E34" t="str">
        <f>IFERROR(__xludf.DUMMYFUNCTION("""COMPUTED_VALUE"""),"")</f>
        <v/>
      </c>
      <c r="F34" t="str">
        <f>IFERROR(__xludf.DUMMYFUNCTION("""COMPUTED_VALUE"""),"")</f>
        <v/>
      </c>
      <c r="G34">
        <f>IFERROR(__xludf.DUMMYFUNCTION("""COMPUTED_VALUE"""),1.0)</f>
        <v>1</v>
      </c>
      <c r="H34" t="str">
        <f>IFERROR(__xludf.DUMMYFUNCTION("""COMPUTED_VALUE"""),"")</f>
        <v/>
      </c>
      <c r="I34">
        <f>IFERROR(__xludf.DUMMYFUNCTION("""COMPUTED_VALUE"""),23.0)</f>
        <v>23</v>
      </c>
      <c r="J34">
        <f>IFERROR(__xludf.DUMMYFUNCTION("""COMPUTED_VALUE"""),24.0)</f>
        <v>24</v>
      </c>
      <c r="L34" s="250" t="str">
        <f>IFERROR(__xludf.DUMMYFUNCTION("""COMPUTED_VALUE"""),"")</f>
        <v/>
      </c>
      <c r="M34" s="250" t="str">
        <f>IFERROR(__xludf.DUMMYFUNCTION("""COMPUTED_VALUE"""),"")</f>
        <v/>
      </c>
      <c r="N34" s="250" t="str">
        <f>IFERROR(__xludf.DUMMYFUNCTION("""COMPUTED_VALUE"""),"")</f>
        <v/>
      </c>
      <c r="O34" s="250" t="str">
        <f>IFERROR(__xludf.DUMMYFUNCTION("""COMPUTED_VALUE"""),"")</f>
        <v/>
      </c>
      <c r="P34" s="250" t="str">
        <f>IFERROR(__xludf.DUMMYFUNCTION("""COMPUTED_VALUE"""),"")</f>
        <v/>
      </c>
      <c r="Q34" s="250">
        <f>IFERROR(__xludf.DUMMYFUNCTION("""COMPUTED_VALUE"""),3289.0)</f>
        <v>3289</v>
      </c>
      <c r="R34" s="250" t="str">
        <f>IFERROR(__xludf.DUMMYFUNCTION("""COMPUTED_VALUE"""),"")</f>
        <v/>
      </c>
      <c r="U34" s="250">
        <f>IFERROR(__xludf.DUMMYFUNCTION("""COMPUTED_VALUE"""),6789.0)</f>
        <v>6789</v>
      </c>
      <c r="V34" s="250">
        <f>IFERROR(__xludf.DUMMYFUNCTION("""COMPUTED_VALUE"""),6459.0)</f>
        <v>6459</v>
      </c>
      <c r="W34" s="250">
        <f>IFERROR(__xludf.DUMMYFUNCTION("""COMPUTED_VALUE"""),5909.0)</f>
        <v>5909</v>
      </c>
      <c r="X34" t="b">
        <f t="shared" ref="X34:Z34" si="44">ISBLANK(K34)</f>
        <v>1</v>
      </c>
      <c r="Y34" t="b">
        <f t="shared" si="44"/>
        <v>0</v>
      </c>
      <c r="Z34" t="b">
        <f t="shared" si="44"/>
        <v>0</v>
      </c>
      <c r="AA34">
        <f t="shared" ref="AA34:AC34" si="45">IF(X34=FALSE,1,0)</f>
        <v>0</v>
      </c>
      <c r="AB34">
        <f t="shared" si="45"/>
        <v>1</v>
      </c>
      <c r="AC34">
        <f t="shared" si="45"/>
        <v>1</v>
      </c>
      <c r="AD34">
        <f t="shared" si="6"/>
        <v>2</v>
      </c>
      <c r="AE34">
        <f t="shared" si="7"/>
        <v>1</v>
      </c>
      <c r="AF34">
        <f>if(iferror(vlookup($A34,'Description Database'!$E$2:$H$951,3,0),0)=TRUE,1,0)</f>
        <v>0</v>
      </c>
      <c r="AG34">
        <f>if(iferror(vlookup($A34,'Description Database'!$E$2:$H$951,4,0),0)=TRUE,1,0)</f>
        <v>0</v>
      </c>
    </row>
    <row r="35">
      <c r="A35" t="str">
        <f>IFERROR(__xludf.DUMMYFUNCTION("""COMPUTED_VALUE"""),"Xiaomi Redmi Note 4 (3 GB/32 GB)")</f>
        <v>Xiaomi Redmi Note 4 (3 GB/32 GB)</v>
      </c>
      <c r="B35" t="str">
        <f>IFERROR(__xludf.DUMMYFUNCTION("""COMPUTED_VALUE"""),"")</f>
        <v/>
      </c>
      <c r="C35">
        <f>IFERROR(__xludf.DUMMYFUNCTION("""COMPUTED_VALUE"""),1.0)</f>
        <v>1</v>
      </c>
      <c r="D35" t="str">
        <f>IFERROR(__xludf.DUMMYFUNCTION("""COMPUTED_VALUE"""),"")</f>
        <v/>
      </c>
      <c r="E35">
        <f>IFERROR(__xludf.DUMMYFUNCTION("""COMPUTED_VALUE"""),1.0)</f>
        <v>1</v>
      </c>
      <c r="F35" t="str">
        <f>IFERROR(__xludf.DUMMYFUNCTION("""COMPUTED_VALUE"""),"")</f>
        <v/>
      </c>
      <c r="G35" t="str">
        <f>IFERROR(__xludf.DUMMYFUNCTION("""COMPUTED_VALUE"""),"")</f>
        <v/>
      </c>
      <c r="H35">
        <f>IFERROR(__xludf.DUMMYFUNCTION("""COMPUTED_VALUE"""),3.0)</f>
        <v>3</v>
      </c>
      <c r="I35">
        <f>IFERROR(__xludf.DUMMYFUNCTION("""COMPUTED_VALUE"""),113.0)</f>
        <v>113</v>
      </c>
      <c r="J35">
        <f>IFERROR(__xludf.DUMMYFUNCTION("""COMPUTED_VALUE"""),118.0)</f>
        <v>118</v>
      </c>
      <c r="L35" s="250" t="str">
        <f>IFERROR(__xludf.DUMMYFUNCTION("""COMPUTED_VALUE"""),"")</f>
        <v/>
      </c>
      <c r="M35" s="250">
        <f>IFERROR(__xludf.DUMMYFUNCTION("""COMPUTED_VALUE"""),4189.0)</f>
        <v>4189</v>
      </c>
      <c r="N35" s="250" t="str">
        <f>IFERROR(__xludf.DUMMYFUNCTION("""COMPUTED_VALUE"""),"")</f>
        <v/>
      </c>
      <c r="O35" s="250">
        <f>IFERROR(__xludf.DUMMYFUNCTION("""COMPUTED_VALUE"""),3489.0)</f>
        <v>3489</v>
      </c>
      <c r="P35" s="250" t="str">
        <f>IFERROR(__xludf.DUMMYFUNCTION("""COMPUTED_VALUE"""),"")</f>
        <v/>
      </c>
      <c r="Q35" s="250" t="str">
        <f>IFERROR(__xludf.DUMMYFUNCTION("""COMPUTED_VALUE"""),"")</f>
        <v/>
      </c>
      <c r="R35" s="250">
        <f>IFERROR(__xludf.DUMMYFUNCTION("""COMPUTED_VALUE"""),1629.0)</f>
        <v>1629</v>
      </c>
      <c r="U35" s="250">
        <f>IFERROR(__xludf.DUMMYFUNCTION("""COMPUTED_VALUE"""),4839.0)</f>
        <v>4839</v>
      </c>
      <c r="V35" s="250">
        <f>IFERROR(__xludf.DUMMYFUNCTION("""COMPUTED_VALUE"""),4609.0)</f>
        <v>4609</v>
      </c>
      <c r="W35" s="250">
        <f>IFERROR(__xludf.DUMMYFUNCTION("""COMPUTED_VALUE"""),4209.0)</f>
        <v>4209</v>
      </c>
      <c r="X35" t="b">
        <f t="shared" ref="X35:Z35" si="46">ISBLANK(K35)</f>
        <v>1</v>
      </c>
      <c r="Y35" t="b">
        <f t="shared" si="46"/>
        <v>0</v>
      </c>
      <c r="Z35" t="b">
        <f t="shared" si="46"/>
        <v>0</v>
      </c>
      <c r="AA35">
        <f t="shared" ref="AA35:AC35" si="47">IF(X35=FALSE,1,0)</f>
        <v>0</v>
      </c>
      <c r="AB35">
        <f t="shared" si="47"/>
        <v>1</v>
      </c>
      <c r="AC35">
        <f t="shared" si="47"/>
        <v>1</v>
      </c>
      <c r="AD35">
        <f t="shared" si="6"/>
        <v>2</v>
      </c>
      <c r="AE35">
        <f t="shared" si="7"/>
        <v>1</v>
      </c>
      <c r="AF35">
        <f>if(iferror(vlookup($A35,'Description Database'!$E$2:$H$951,3,0),0)=TRUE,1,0)</f>
        <v>0</v>
      </c>
      <c r="AG35">
        <f>if(iferror(vlookup($A35,'Description Database'!$E$2:$H$951,4,0),0)=TRUE,1,0)</f>
        <v>0</v>
      </c>
    </row>
    <row r="36">
      <c r="A36" t="str">
        <f>IFERROR(__xludf.DUMMYFUNCTION("""COMPUTED_VALUE"""),"Xiaomi Redmi Note 5 Pro (4 GB/64 GB)")</f>
        <v>Xiaomi Redmi Note 5 Pro (4 GB/64 GB)</v>
      </c>
      <c r="B36" t="str">
        <f>IFERROR(__xludf.DUMMYFUNCTION("""COMPUTED_VALUE"""),"")</f>
        <v/>
      </c>
      <c r="C36" t="str">
        <f>IFERROR(__xludf.DUMMYFUNCTION("""COMPUTED_VALUE"""),"")</f>
        <v/>
      </c>
      <c r="D36">
        <f>IFERROR(__xludf.DUMMYFUNCTION("""COMPUTED_VALUE"""),2.0)</f>
        <v>2</v>
      </c>
      <c r="E36">
        <f>IFERROR(__xludf.DUMMYFUNCTION("""COMPUTED_VALUE"""),2.0)</f>
        <v>2</v>
      </c>
      <c r="F36">
        <f>IFERROR(__xludf.DUMMYFUNCTION("""COMPUTED_VALUE"""),1.0)</f>
        <v>1</v>
      </c>
      <c r="G36">
        <f>IFERROR(__xludf.DUMMYFUNCTION("""COMPUTED_VALUE"""),1.0)</f>
        <v>1</v>
      </c>
      <c r="H36" t="str">
        <f>IFERROR(__xludf.DUMMYFUNCTION("""COMPUTED_VALUE"""),"")</f>
        <v/>
      </c>
      <c r="I36">
        <f>IFERROR(__xludf.DUMMYFUNCTION("""COMPUTED_VALUE"""),84.0)</f>
        <v>84</v>
      </c>
      <c r="J36">
        <f>IFERROR(__xludf.DUMMYFUNCTION("""COMPUTED_VALUE"""),90.0)</f>
        <v>90</v>
      </c>
      <c r="L36" s="250" t="str">
        <f>IFERROR(__xludf.DUMMYFUNCTION("""COMPUTED_VALUE"""),"")</f>
        <v/>
      </c>
      <c r="M36" s="250" t="str">
        <f>IFERROR(__xludf.DUMMYFUNCTION("""COMPUTED_VALUE"""),"")</f>
        <v/>
      </c>
      <c r="N36" s="250">
        <f>IFERROR(__xludf.DUMMYFUNCTION("""COMPUTED_VALUE"""),5789.0)</f>
        <v>5789</v>
      </c>
      <c r="O36" s="250">
        <f>IFERROR(__xludf.DUMMYFUNCTION("""COMPUTED_VALUE"""),5289.0)</f>
        <v>5289</v>
      </c>
      <c r="P36" s="250">
        <f>IFERROR(__xludf.DUMMYFUNCTION("""COMPUTED_VALUE"""),4789.0)</f>
        <v>4789</v>
      </c>
      <c r="Q36" s="250">
        <f>IFERROR(__xludf.DUMMYFUNCTION("""COMPUTED_VALUE"""),3509.0)</f>
        <v>3509</v>
      </c>
      <c r="R36" s="250" t="str">
        <f>IFERROR(__xludf.DUMMYFUNCTION("""COMPUTED_VALUE"""),"")</f>
        <v/>
      </c>
      <c r="U36" s="250">
        <f>IFERROR(__xludf.DUMMYFUNCTION("""COMPUTED_VALUE"""),7339.0)</f>
        <v>7339</v>
      </c>
      <c r="V36" s="250">
        <f>IFERROR(__xludf.DUMMYFUNCTION("""COMPUTED_VALUE"""),6989.0)</f>
        <v>6989</v>
      </c>
      <c r="W36" s="250">
        <f>IFERROR(__xludf.DUMMYFUNCTION("""COMPUTED_VALUE"""),6369.0)</f>
        <v>6369</v>
      </c>
      <c r="X36" t="b">
        <f t="shared" ref="X36:Z36" si="48">ISBLANK(K36)</f>
        <v>1</v>
      </c>
      <c r="Y36" t="b">
        <f t="shared" si="48"/>
        <v>0</v>
      </c>
      <c r="Z36" t="b">
        <f t="shared" si="48"/>
        <v>0</v>
      </c>
      <c r="AA36">
        <f t="shared" ref="AA36:AC36" si="49">IF(X36=FALSE,1,0)</f>
        <v>0</v>
      </c>
      <c r="AB36">
        <f t="shared" si="49"/>
        <v>1</v>
      </c>
      <c r="AC36">
        <f t="shared" si="49"/>
        <v>1</v>
      </c>
      <c r="AD36">
        <f t="shared" si="6"/>
        <v>2</v>
      </c>
      <c r="AE36">
        <f t="shared" si="7"/>
        <v>1</v>
      </c>
      <c r="AF36">
        <f>if(iferror(vlookup($A36,'Description Database'!$E$2:$H$951,3,0),0)=TRUE,1,0)</f>
        <v>0</v>
      </c>
      <c r="AG36">
        <f>if(iferror(vlookup($A36,'Description Database'!$E$2:$H$951,4,0),0)=TRUE,1,0)</f>
        <v>0</v>
      </c>
    </row>
    <row r="37">
      <c r="A37" t="str">
        <f>IFERROR(__xludf.DUMMYFUNCTION("""COMPUTED_VALUE"""),"Xiaomi Redmi 4 (2 GB/16 GB)")</f>
        <v>Xiaomi Redmi 4 (2 GB/16 GB)</v>
      </c>
      <c r="B37" t="str">
        <f>IFERROR(__xludf.DUMMYFUNCTION("""COMPUTED_VALUE"""),"")</f>
        <v/>
      </c>
      <c r="C37" t="str">
        <f>IFERROR(__xludf.DUMMYFUNCTION("""COMPUTED_VALUE"""),"")</f>
        <v/>
      </c>
      <c r="D37">
        <f>IFERROR(__xludf.DUMMYFUNCTION("""COMPUTED_VALUE"""),5.0)</f>
        <v>5</v>
      </c>
      <c r="E37">
        <f>IFERROR(__xludf.DUMMYFUNCTION("""COMPUTED_VALUE"""),4.0)</f>
        <v>4</v>
      </c>
      <c r="F37" t="str">
        <f>IFERROR(__xludf.DUMMYFUNCTION("""COMPUTED_VALUE"""),"")</f>
        <v/>
      </c>
      <c r="G37">
        <f>IFERROR(__xludf.DUMMYFUNCTION("""COMPUTED_VALUE"""),2.0)</f>
        <v>2</v>
      </c>
      <c r="H37">
        <f>IFERROR(__xludf.DUMMYFUNCTION("""COMPUTED_VALUE"""),2.0)</f>
        <v>2</v>
      </c>
      <c r="I37">
        <f>IFERROR(__xludf.DUMMYFUNCTION("""COMPUTED_VALUE"""),66.0)</f>
        <v>66</v>
      </c>
      <c r="J37">
        <f>IFERROR(__xludf.DUMMYFUNCTION("""COMPUTED_VALUE"""),79.0)</f>
        <v>79</v>
      </c>
      <c r="L37" s="250" t="str">
        <f>IFERROR(__xludf.DUMMYFUNCTION("""COMPUTED_VALUE"""),"")</f>
        <v/>
      </c>
      <c r="M37" s="250" t="str">
        <f>IFERROR(__xludf.DUMMYFUNCTION("""COMPUTED_VALUE"""),"")</f>
        <v/>
      </c>
      <c r="N37" s="250">
        <f>IFERROR(__xludf.DUMMYFUNCTION("""COMPUTED_VALUE"""),3219.0)</f>
        <v>3219</v>
      </c>
      <c r="O37" s="250">
        <f>IFERROR(__xludf.DUMMYFUNCTION("""COMPUTED_VALUE"""),2929.0)</f>
        <v>2929</v>
      </c>
      <c r="P37" s="250" t="str">
        <f>IFERROR(__xludf.DUMMYFUNCTION("""COMPUTED_VALUE"""),"")</f>
        <v/>
      </c>
      <c r="Q37" s="250">
        <f>IFERROR(__xludf.DUMMYFUNCTION("""COMPUTED_VALUE"""),1889.0)</f>
        <v>1889</v>
      </c>
      <c r="R37" s="250">
        <f>IFERROR(__xludf.DUMMYFUNCTION("""COMPUTED_VALUE"""),1399.0)</f>
        <v>1399</v>
      </c>
      <c r="U37" s="250">
        <f>IFERROR(__xludf.DUMMYFUNCTION("""COMPUTED_VALUE"""),4079.0)</f>
        <v>4079</v>
      </c>
      <c r="V37" s="250">
        <f>IFERROR(__xludf.DUMMYFUNCTION("""COMPUTED_VALUE"""),3889.0)</f>
        <v>3889</v>
      </c>
      <c r="W37" s="250">
        <f>IFERROR(__xludf.DUMMYFUNCTION("""COMPUTED_VALUE"""),3549.0)</f>
        <v>3549</v>
      </c>
      <c r="X37" t="b">
        <f t="shared" ref="X37:Z37" si="50">ISBLANK(K37)</f>
        <v>1</v>
      </c>
      <c r="Y37" t="b">
        <f t="shared" si="50"/>
        <v>0</v>
      </c>
      <c r="Z37" t="b">
        <f t="shared" si="50"/>
        <v>0</v>
      </c>
      <c r="AA37">
        <f t="shared" ref="AA37:AC37" si="51">IF(X37=FALSE,1,0)</f>
        <v>0</v>
      </c>
      <c r="AB37">
        <f t="shared" si="51"/>
        <v>1</v>
      </c>
      <c r="AC37">
        <f t="shared" si="51"/>
        <v>1</v>
      </c>
      <c r="AD37">
        <f t="shared" si="6"/>
        <v>2</v>
      </c>
      <c r="AE37">
        <f t="shared" si="7"/>
        <v>1</v>
      </c>
      <c r="AF37">
        <f>if(iferror(vlookup($A37,'Description Database'!$E$2:$H$951,3,0),0)=TRUE,1,0)</f>
        <v>0</v>
      </c>
      <c r="AG37">
        <f>if(iferror(vlookup($A37,'Description Database'!$E$2:$H$951,4,0),0)=TRUE,1,0)</f>
        <v>0</v>
      </c>
    </row>
    <row r="38">
      <c r="A38" t="str">
        <f>IFERROR(__xludf.DUMMYFUNCTION("""COMPUTED_VALUE"""),"Apple iPhone 7 (2 GB/32 GB)")</f>
        <v>Apple iPhone 7 (2 GB/32 GB)</v>
      </c>
      <c r="B38" t="str">
        <f>IFERROR(__xludf.DUMMYFUNCTION("""COMPUTED_VALUE"""),"")</f>
        <v/>
      </c>
      <c r="C38">
        <f>IFERROR(__xludf.DUMMYFUNCTION("""COMPUTED_VALUE"""),6.0)</f>
        <v>6</v>
      </c>
      <c r="D38">
        <f>IFERROR(__xludf.DUMMYFUNCTION("""COMPUTED_VALUE"""),10.0)</f>
        <v>10</v>
      </c>
      <c r="E38">
        <f>IFERROR(__xludf.DUMMYFUNCTION("""COMPUTED_VALUE"""),9.0)</f>
        <v>9</v>
      </c>
      <c r="F38">
        <f>IFERROR(__xludf.DUMMYFUNCTION("""COMPUTED_VALUE"""),9.0)</f>
        <v>9</v>
      </c>
      <c r="G38">
        <f>IFERROR(__xludf.DUMMYFUNCTION("""COMPUTED_VALUE"""),6.0)</f>
        <v>6</v>
      </c>
      <c r="H38">
        <f>IFERROR(__xludf.DUMMYFUNCTION("""COMPUTED_VALUE"""),3.0)</f>
        <v>3</v>
      </c>
      <c r="I38" t="str">
        <f>IFERROR(__xludf.DUMMYFUNCTION("""COMPUTED_VALUE"""),"")</f>
        <v/>
      </c>
      <c r="J38">
        <f>IFERROR(__xludf.DUMMYFUNCTION("""COMPUTED_VALUE"""),43.0)</f>
        <v>43</v>
      </c>
      <c r="L38" s="250" t="str">
        <f>IFERROR(__xludf.DUMMYFUNCTION("""COMPUTED_VALUE"""),"")</f>
        <v/>
      </c>
      <c r="M38" s="250">
        <f>IFERROR(__xludf.DUMMYFUNCTION("""COMPUTED_VALUE"""),10039.0)</f>
        <v>10039</v>
      </c>
      <c r="N38" s="250">
        <f>IFERROR(__xludf.DUMMYFUNCTION("""COMPUTED_VALUE"""),9179.0)</f>
        <v>9179</v>
      </c>
      <c r="O38" s="250">
        <f>IFERROR(__xludf.DUMMYFUNCTION("""COMPUTED_VALUE"""),8379.0)</f>
        <v>8379</v>
      </c>
      <c r="P38" s="250">
        <f>IFERROR(__xludf.DUMMYFUNCTION("""COMPUTED_VALUE"""),7579.0)</f>
        <v>7579</v>
      </c>
      <c r="Q38" s="250">
        <f>IFERROR(__xludf.DUMMYFUNCTION("""COMPUTED_VALUE"""),5759.0)</f>
        <v>5759</v>
      </c>
      <c r="R38" s="250">
        <f>IFERROR(__xludf.DUMMYFUNCTION("""COMPUTED_VALUE"""),4009.0)</f>
        <v>4009</v>
      </c>
      <c r="U38" s="250">
        <f>IFERROR(__xludf.DUMMYFUNCTION("""COMPUTED_VALUE"""),11609.0)</f>
        <v>11609</v>
      </c>
      <c r="V38" s="250">
        <f>IFERROR(__xludf.DUMMYFUNCTION("""COMPUTED_VALUE"""),11049.0)</f>
        <v>11049</v>
      </c>
      <c r="W38" s="250">
        <f>IFERROR(__xludf.DUMMYFUNCTION("""COMPUTED_VALUE"""),10099.0)</f>
        <v>10099</v>
      </c>
      <c r="X38" t="b">
        <f t="shared" ref="X38:Z38" si="52">ISBLANK(K38)</f>
        <v>1</v>
      </c>
      <c r="Y38" t="b">
        <f t="shared" si="52"/>
        <v>0</v>
      </c>
      <c r="Z38" t="b">
        <f t="shared" si="52"/>
        <v>0</v>
      </c>
      <c r="AA38">
        <f t="shared" ref="AA38:AC38" si="53">IF(X38=FALSE,1,0)</f>
        <v>0</v>
      </c>
      <c r="AB38">
        <f t="shared" si="53"/>
        <v>1</v>
      </c>
      <c r="AC38">
        <f t="shared" si="53"/>
        <v>1</v>
      </c>
      <c r="AD38">
        <f t="shared" si="6"/>
        <v>2</v>
      </c>
      <c r="AE38">
        <f t="shared" si="7"/>
        <v>1</v>
      </c>
      <c r="AF38">
        <f>if(iferror(vlookup($A38,'Description Database'!$E$2:$H$951,3,0),0)=TRUE,1,0)</f>
        <v>0</v>
      </c>
      <c r="AG38">
        <f>if(iferror(vlookup($A38,'Description Database'!$E$2:$H$951,4,0),0)=TRUE,1,0)</f>
        <v>0</v>
      </c>
    </row>
    <row r="39">
      <c r="A39" t="str">
        <f>IFERROR(__xludf.DUMMYFUNCTION("""COMPUTED_VALUE"""),"Apple iPhone 5s (1 GB/32 GB)")</f>
        <v>Apple iPhone 5s (1 GB/32 GB)</v>
      </c>
      <c r="B39" t="str">
        <f>IFERROR(__xludf.DUMMYFUNCTION("""COMPUTED_VALUE"""),"")</f>
        <v/>
      </c>
      <c r="C39" t="str">
        <f>IFERROR(__xludf.DUMMYFUNCTION("""COMPUTED_VALUE"""),"")</f>
        <v/>
      </c>
      <c r="D39" t="str">
        <f>IFERROR(__xludf.DUMMYFUNCTION("""COMPUTED_VALUE"""),"")</f>
        <v/>
      </c>
      <c r="E39" t="str">
        <f>IFERROR(__xludf.DUMMYFUNCTION("""COMPUTED_VALUE"""),"")</f>
        <v/>
      </c>
      <c r="F39" t="str">
        <f>IFERROR(__xludf.DUMMYFUNCTION("""COMPUTED_VALUE"""),"")</f>
        <v/>
      </c>
      <c r="G39" t="str">
        <f>IFERROR(__xludf.DUMMYFUNCTION("""COMPUTED_VALUE"""),"")</f>
        <v/>
      </c>
      <c r="H39" t="str">
        <f>IFERROR(__xludf.DUMMYFUNCTION("""COMPUTED_VALUE"""),"")</f>
        <v/>
      </c>
      <c r="I39">
        <f>IFERROR(__xludf.DUMMYFUNCTION("""COMPUTED_VALUE"""),1.0)</f>
        <v>1</v>
      </c>
      <c r="J39">
        <f>IFERROR(__xludf.DUMMYFUNCTION("""COMPUTED_VALUE"""),1.0)</f>
        <v>1</v>
      </c>
      <c r="L39" s="250" t="str">
        <f>IFERROR(__xludf.DUMMYFUNCTION("""COMPUTED_VALUE"""),"")</f>
        <v/>
      </c>
      <c r="M39" s="250" t="str">
        <f>IFERROR(__xludf.DUMMYFUNCTION("""COMPUTED_VALUE"""),"")</f>
        <v/>
      </c>
      <c r="N39" s="250" t="str">
        <f>IFERROR(__xludf.DUMMYFUNCTION("""COMPUTED_VALUE"""),"")</f>
        <v/>
      </c>
      <c r="O39" s="250" t="str">
        <f>IFERROR(__xludf.DUMMYFUNCTION("""COMPUTED_VALUE"""),"")</f>
        <v/>
      </c>
      <c r="P39" s="250" t="str">
        <f>IFERROR(__xludf.DUMMYFUNCTION("""COMPUTED_VALUE"""),"")</f>
        <v/>
      </c>
      <c r="Q39" s="250" t="str">
        <f>IFERROR(__xludf.DUMMYFUNCTION("""COMPUTED_VALUE"""),"")</f>
        <v/>
      </c>
      <c r="R39" s="250" t="str">
        <f>IFERROR(__xludf.DUMMYFUNCTION("""COMPUTED_VALUE"""),"")</f>
        <v/>
      </c>
      <c r="U39" s="250">
        <f>IFERROR(__xludf.DUMMYFUNCTION("""COMPUTED_VALUE"""),5179.0)</f>
        <v>5179</v>
      </c>
      <c r="V39" s="250">
        <f>IFERROR(__xludf.DUMMYFUNCTION("""COMPUTED_VALUE"""),4929.0)</f>
        <v>4929</v>
      </c>
      <c r="W39" s="250">
        <f>IFERROR(__xludf.DUMMYFUNCTION("""COMPUTED_VALUE"""),4439.0)</f>
        <v>4439</v>
      </c>
      <c r="X39" t="b">
        <f t="shared" ref="X39:Z39" si="54">ISBLANK(K39)</f>
        <v>1</v>
      </c>
      <c r="Y39" t="b">
        <f t="shared" si="54"/>
        <v>0</v>
      </c>
      <c r="Z39" t="b">
        <f t="shared" si="54"/>
        <v>0</v>
      </c>
      <c r="AA39">
        <f t="shared" ref="AA39:AC39" si="55">IF(X39=FALSE,1,0)</f>
        <v>0</v>
      </c>
      <c r="AB39">
        <f t="shared" si="55"/>
        <v>1</v>
      </c>
      <c r="AC39">
        <f t="shared" si="55"/>
        <v>1</v>
      </c>
      <c r="AD39">
        <f t="shared" si="6"/>
        <v>2</v>
      </c>
      <c r="AE39">
        <f t="shared" si="7"/>
        <v>1</v>
      </c>
      <c r="AF39">
        <f>if(iferror(vlookup($A39,'Description Database'!$E$2:$H$951,3,0),0)=TRUE,1,0)</f>
        <v>0</v>
      </c>
      <c r="AG39">
        <f>if(iferror(vlookup($A39,'Description Database'!$E$2:$H$951,4,0),0)=TRUE,1,0)</f>
        <v>0</v>
      </c>
    </row>
    <row r="40">
      <c r="A40" t="str">
        <f>IFERROR(__xludf.DUMMYFUNCTION("""COMPUTED_VALUE"""),"Apple iPhone 7 (2 GB/128 GB)")</f>
        <v>Apple iPhone 7 (2 GB/128 GB)</v>
      </c>
      <c r="B40" t="str">
        <f>IFERROR(__xludf.DUMMYFUNCTION("""COMPUTED_VALUE"""),"")</f>
        <v/>
      </c>
      <c r="C40">
        <f>IFERROR(__xludf.DUMMYFUNCTION("""COMPUTED_VALUE"""),1.0)</f>
        <v>1</v>
      </c>
      <c r="D40">
        <f>IFERROR(__xludf.DUMMYFUNCTION("""COMPUTED_VALUE"""),1.0)</f>
        <v>1</v>
      </c>
      <c r="E40">
        <f>IFERROR(__xludf.DUMMYFUNCTION("""COMPUTED_VALUE"""),1.0)</f>
        <v>1</v>
      </c>
      <c r="F40">
        <f>IFERROR(__xludf.DUMMYFUNCTION("""COMPUTED_VALUE"""),6.0)</f>
        <v>6</v>
      </c>
      <c r="G40" t="str">
        <f>IFERROR(__xludf.DUMMYFUNCTION("""COMPUTED_VALUE"""),"")</f>
        <v/>
      </c>
      <c r="H40">
        <f>IFERROR(__xludf.DUMMYFUNCTION("""COMPUTED_VALUE"""),1.0)</f>
        <v>1</v>
      </c>
      <c r="I40" t="str">
        <f>IFERROR(__xludf.DUMMYFUNCTION("""COMPUTED_VALUE"""),"")</f>
        <v/>
      </c>
      <c r="J40">
        <f>IFERROR(__xludf.DUMMYFUNCTION("""COMPUTED_VALUE"""),10.0)</f>
        <v>10</v>
      </c>
      <c r="L40" s="250" t="str">
        <f>IFERROR(__xludf.DUMMYFUNCTION("""COMPUTED_VALUE"""),"")</f>
        <v/>
      </c>
      <c r="M40" s="250">
        <f>IFERROR(__xludf.DUMMYFUNCTION("""COMPUTED_VALUE"""),11789.0)</f>
        <v>11789</v>
      </c>
      <c r="N40" s="250">
        <f>IFERROR(__xludf.DUMMYFUNCTION("""COMPUTED_VALUE"""),10769.0)</f>
        <v>10769</v>
      </c>
      <c r="O40" s="250">
        <f>IFERROR(__xludf.DUMMYFUNCTION("""COMPUTED_VALUE"""),9834.0)</f>
        <v>9834</v>
      </c>
      <c r="P40" s="250">
        <f>IFERROR(__xludf.DUMMYFUNCTION("""COMPUTED_VALUE"""),8899.0)</f>
        <v>8899</v>
      </c>
      <c r="Q40" s="250" t="str">
        <f>IFERROR(__xludf.DUMMYFUNCTION("""COMPUTED_VALUE"""),"")</f>
        <v/>
      </c>
      <c r="R40" s="250">
        <f>IFERROR(__xludf.DUMMYFUNCTION("""COMPUTED_VALUE"""),4669.0)</f>
        <v>4669</v>
      </c>
      <c r="U40" s="250">
        <f>IFERROR(__xludf.DUMMYFUNCTION("""COMPUTED_VALUE"""),13619.0)</f>
        <v>13619</v>
      </c>
      <c r="V40" s="250">
        <f>IFERROR(__xludf.DUMMYFUNCTION("""COMPUTED_VALUE"""),12969.0)</f>
        <v>12969</v>
      </c>
      <c r="W40" s="250">
        <f>IFERROR(__xludf.DUMMYFUNCTION("""COMPUTED_VALUE"""),11849.0)</f>
        <v>11849</v>
      </c>
      <c r="X40" t="b">
        <f t="shared" ref="X40:Z40" si="56">ISBLANK(K40)</f>
        <v>1</v>
      </c>
      <c r="Y40" t="b">
        <f t="shared" si="56"/>
        <v>0</v>
      </c>
      <c r="Z40" t="b">
        <f t="shared" si="56"/>
        <v>0</v>
      </c>
      <c r="AA40">
        <f t="shared" ref="AA40:AC40" si="57">IF(X40=FALSE,1,0)</f>
        <v>0</v>
      </c>
      <c r="AB40">
        <f t="shared" si="57"/>
        <v>1</v>
      </c>
      <c r="AC40">
        <f t="shared" si="57"/>
        <v>1</v>
      </c>
      <c r="AD40">
        <f t="shared" si="6"/>
        <v>2</v>
      </c>
      <c r="AE40">
        <f t="shared" si="7"/>
        <v>1</v>
      </c>
      <c r="AF40">
        <f>if(iferror(vlookup($A40,'Description Database'!$E$2:$H$951,3,0),0)=TRUE,1,0)</f>
        <v>0</v>
      </c>
      <c r="AG40">
        <f>if(iferror(vlookup($A40,'Description Database'!$E$2:$H$951,4,0),0)=TRUE,1,0)</f>
        <v>0</v>
      </c>
    </row>
    <row r="41">
      <c r="A41" t="str">
        <f>IFERROR(__xludf.DUMMYFUNCTION("""COMPUTED_VALUE"""),"Honor 9N (3 GB/32 GB)")</f>
        <v>Honor 9N (3 GB/32 GB)</v>
      </c>
      <c r="B41" t="str">
        <f>IFERROR(__xludf.DUMMYFUNCTION("""COMPUTED_VALUE"""),"")</f>
        <v/>
      </c>
      <c r="C41" t="str">
        <f>IFERROR(__xludf.DUMMYFUNCTION("""COMPUTED_VALUE"""),"")</f>
        <v/>
      </c>
      <c r="D41" t="str">
        <f>IFERROR(__xludf.DUMMYFUNCTION("""COMPUTED_VALUE"""),"")</f>
        <v/>
      </c>
      <c r="E41" t="str">
        <f>IFERROR(__xludf.DUMMYFUNCTION("""COMPUTED_VALUE"""),"")</f>
        <v/>
      </c>
      <c r="F41" t="str">
        <f>IFERROR(__xludf.DUMMYFUNCTION("""COMPUTED_VALUE"""),"")</f>
        <v/>
      </c>
      <c r="G41" t="str">
        <f>IFERROR(__xludf.DUMMYFUNCTION("""COMPUTED_VALUE"""),"")</f>
        <v/>
      </c>
      <c r="H41" t="str">
        <f>IFERROR(__xludf.DUMMYFUNCTION("""COMPUTED_VALUE"""),"")</f>
        <v/>
      </c>
      <c r="I41">
        <f>IFERROR(__xludf.DUMMYFUNCTION("""COMPUTED_VALUE"""),1.0)</f>
        <v>1</v>
      </c>
      <c r="J41">
        <f>IFERROR(__xludf.DUMMYFUNCTION("""COMPUTED_VALUE"""),1.0)</f>
        <v>1</v>
      </c>
      <c r="L41" s="250" t="str">
        <f>IFERROR(__xludf.DUMMYFUNCTION("""COMPUTED_VALUE"""),"")</f>
        <v/>
      </c>
      <c r="M41" s="250" t="str">
        <f>IFERROR(__xludf.DUMMYFUNCTION("""COMPUTED_VALUE"""),"")</f>
        <v/>
      </c>
      <c r="N41" s="250" t="str">
        <f>IFERROR(__xludf.DUMMYFUNCTION("""COMPUTED_VALUE"""),"")</f>
        <v/>
      </c>
      <c r="O41" s="250" t="str">
        <f>IFERROR(__xludf.DUMMYFUNCTION("""COMPUTED_VALUE"""),"")</f>
        <v/>
      </c>
      <c r="P41" s="250" t="str">
        <f>IFERROR(__xludf.DUMMYFUNCTION("""COMPUTED_VALUE"""),"")</f>
        <v/>
      </c>
      <c r="Q41" s="250" t="str">
        <f>IFERROR(__xludf.DUMMYFUNCTION("""COMPUTED_VALUE"""),"")</f>
        <v/>
      </c>
      <c r="R41" s="250" t="str">
        <f>IFERROR(__xludf.DUMMYFUNCTION("""COMPUTED_VALUE"""),"")</f>
        <v/>
      </c>
      <c r="U41" s="250">
        <f>IFERROR(__xludf.DUMMYFUNCTION("""COMPUTED_VALUE"""),5949.0)</f>
        <v>5949</v>
      </c>
      <c r="V41" s="250">
        <f>IFERROR(__xludf.DUMMYFUNCTION("""COMPUTED_VALUE"""),5669.0)</f>
        <v>5669</v>
      </c>
      <c r="W41" s="250">
        <f>IFERROR(__xludf.DUMMYFUNCTION("""COMPUTED_VALUE"""),5099.0)</f>
        <v>5099</v>
      </c>
      <c r="X41" t="b">
        <f t="shared" ref="X41:Z41" si="58">ISBLANK(K41)</f>
        <v>1</v>
      </c>
      <c r="Y41" t="b">
        <f t="shared" si="58"/>
        <v>0</v>
      </c>
      <c r="Z41" t="b">
        <f t="shared" si="58"/>
        <v>0</v>
      </c>
      <c r="AA41">
        <f t="shared" ref="AA41:AC41" si="59">IF(X41=FALSE,1,0)</f>
        <v>0</v>
      </c>
      <c r="AB41">
        <f t="shared" si="59"/>
        <v>1</v>
      </c>
      <c r="AC41">
        <f t="shared" si="59"/>
        <v>1</v>
      </c>
      <c r="AD41">
        <f t="shared" si="6"/>
        <v>2</v>
      </c>
      <c r="AE41">
        <f t="shared" si="7"/>
        <v>1</v>
      </c>
      <c r="AF41">
        <f>if(iferror(vlookup($A41,'Description Database'!$E$2:$H$951,3,0),0)=TRUE,1,0)</f>
        <v>0</v>
      </c>
      <c r="AG41">
        <f>if(iferror(vlookup($A41,'Description Database'!$E$2:$H$951,4,0),0)=TRUE,1,0)</f>
        <v>0</v>
      </c>
    </row>
    <row r="42">
      <c r="A42" t="str">
        <f>IFERROR(__xludf.DUMMYFUNCTION("""COMPUTED_VALUE"""),"Xiaomi Redmi Note 4 (4 GB/64 GB)")</f>
        <v>Xiaomi Redmi Note 4 (4 GB/64 GB)</v>
      </c>
      <c r="B42" t="str">
        <f>IFERROR(__xludf.DUMMYFUNCTION("""COMPUTED_VALUE"""),"")</f>
        <v/>
      </c>
      <c r="C42" t="str">
        <f>IFERROR(__xludf.DUMMYFUNCTION("""COMPUTED_VALUE"""),"")</f>
        <v/>
      </c>
      <c r="D42" t="str">
        <f>IFERROR(__xludf.DUMMYFUNCTION("""COMPUTED_VALUE"""),"")</f>
        <v/>
      </c>
      <c r="E42">
        <f>IFERROR(__xludf.DUMMYFUNCTION("""COMPUTED_VALUE"""),1.0)</f>
        <v>1</v>
      </c>
      <c r="F42">
        <f>IFERROR(__xludf.DUMMYFUNCTION("""COMPUTED_VALUE"""),1.0)</f>
        <v>1</v>
      </c>
      <c r="G42" t="str">
        <f>IFERROR(__xludf.DUMMYFUNCTION("""COMPUTED_VALUE"""),"")</f>
        <v/>
      </c>
      <c r="H42">
        <f>IFERROR(__xludf.DUMMYFUNCTION("""COMPUTED_VALUE"""),1.0)</f>
        <v>1</v>
      </c>
      <c r="I42">
        <f>IFERROR(__xludf.DUMMYFUNCTION("""COMPUTED_VALUE"""),77.0)</f>
        <v>77</v>
      </c>
      <c r="J42">
        <f>IFERROR(__xludf.DUMMYFUNCTION("""COMPUTED_VALUE"""),80.0)</f>
        <v>80</v>
      </c>
      <c r="L42" s="250" t="str">
        <f>IFERROR(__xludf.DUMMYFUNCTION("""COMPUTED_VALUE"""),"")</f>
        <v/>
      </c>
      <c r="M42" s="250" t="str">
        <f>IFERROR(__xludf.DUMMYFUNCTION("""COMPUTED_VALUE"""),"")</f>
        <v/>
      </c>
      <c r="N42" s="250" t="str">
        <f>IFERROR(__xludf.DUMMYFUNCTION("""COMPUTED_VALUE"""),"")</f>
        <v/>
      </c>
      <c r="O42" s="250">
        <f>IFERROR(__xludf.DUMMYFUNCTION("""COMPUTED_VALUE"""),3839.0)</f>
        <v>3839</v>
      </c>
      <c r="P42" s="250">
        <f>IFERROR(__xludf.DUMMYFUNCTION("""COMPUTED_VALUE"""),3469.0)</f>
        <v>3469</v>
      </c>
      <c r="Q42" s="250" t="str">
        <f>IFERROR(__xludf.DUMMYFUNCTION("""COMPUTED_VALUE"""),"")</f>
        <v/>
      </c>
      <c r="R42" s="250">
        <f>IFERROR(__xludf.DUMMYFUNCTION("""COMPUTED_VALUE"""),1819.0)</f>
        <v>1819</v>
      </c>
      <c r="U42" s="250">
        <f>IFERROR(__xludf.DUMMYFUNCTION("""COMPUTED_VALUE"""),5319.0)</f>
        <v>5319</v>
      </c>
      <c r="V42" s="250">
        <f>IFERROR(__xludf.DUMMYFUNCTION("""COMPUTED_VALUE"""),5059.0)</f>
        <v>5059</v>
      </c>
      <c r="W42" s="250">
        <f>IFERROR(__xludf.DUMMYFUNCTION("""COMPUTED_VALUE"""),4629.0)</f>
        <v>4629</v>
      </c>
      <c r="X42" t="b">
        <f t="shared" ref="X42:Z42" si="60">ISBLANK(K42)</f>
        <v>1</v>
      </c>
      <c r="Y42" t="b">
        <f t="shared" si="60"/>
        <v>0</v>
      </c>
      <c r="Z42" t="b">
        <f t="shared" si="60"/>
        <v>0</v>
      </c>
      <c r="AA42">
        <f t="shared" ref="AA42:AC42" si="61">IF(X42=FALSE,1,0)</f>
        <v>0</v>
      </c>
      <c r="AB42">
        <f t="shared" si="61"/>
        <v>1</v>
      </c>
      <c r="AC42">
        <f t="shared" si="61"/>
        <v>1</v>
      </c>
      <c r="AD42">
        <f t="shared" si="6"/>
        <v>2</v>
      </c>
      <c r="AE42">
        <f t="shared" si="7"/>
        <v>1</v>
      </c>
      <c r="AF42">
        <f>if(iferror(vlookup($A42,'Description Database'!$E$2:$H$951,3,0),0)=TRUE,1,0)</f>
        <v>0</v>
      </c>
      <c r="AG42">
        <f>if(iferror(vlookup($A42,'Description Database'!$E$2:$H$951,4,0),0)=TRUE,1,0)</f>
        <v>0</v>
      </c>
    </row>
    <row r="43">
      <c r="A43" t="str">
        <f>IFERROR(__xludf.DUMMYFUNCTION("""COMPUTED_VALUE"""),"Honor 9N (4 GB/64 GB)")</f>
        <v>Honor 9N (4 GB/64 GB)</v>
      </c>
      <c r="B43" t="str">
        <f>IFERROR(__xludf.DUMMYFUNCTION("""COMPUTED_VALUE"""),"")</f>
        <v/>
      </c>
      <c r="C43" t="str">
        <f>IFERROR(__xludf.DUMMYFUNCTION("""COMPUTED_VALUE"""),"")</f>
        <v/>
      </c>
      <c r="D43" t="str">
        <f>IFERROR(__xludf.DUMMYFUNCTION("""COMPUTED_VALUE"""),"")</f>
        <v/>
      </c>
      <c r="E43" t="str">
        <f>IFERROR(__xludf.DUMMYFUNCTION("""COMPUTED_VALUE"""),"")</f>
        <v/>
      </c>
      <c r="F43" t="str">
        <f>IFERROR(__xludf.DUMMYFUNCTION("""COMPUTED_VALUE"""),"")</f>
        <v/>
      </c>
      <c r="G43" t="str">
        <f>IFERROR(__xludf.DUMMYFUNCTION("""COMPUTED_VALUE"""),"")</f>
        <v/>
      </c>
      <c r="H43" t="str">
        <f>IFERROR(__xludf.DUMMYFUNCTION("""COMPUTED_VALUE"""),"")</f>
        <v/>
      </c>
      <c r="I43">
        <f>IFERROR(__xludf.DUMMYFUNCTION("""COMPUTED_VALUE"""),2.0)</f>
        <v>2</v>
      </c>
      <c r="J43">
        <f>IFERROR(__xludf.DUMMYFUNCTION("""COMPUTED_VALUE"""),2.0)</f>
        <v>2</v>
      </c>
      <c r="L43" s="250" t="str">
        <f>IFERROR(__xludf.DUMMYFUNCTION("""COMPUTED_VALUE"""),"")</f>
        <v/>
      </c>
      <c r="M43" s="250" t="str">
        <f>IFERROR(__xludf.DUMMYFUNCTION("""COMPUTED_VALUE"""),"")</f>
        <v/>
      </c>
      <c r="N43" s="250" t="str">
        <f>IFERROR(__xludf.DUMMYFUNCTION("""COMPUTED_VALUE"""),"")</f>
        <v/>
      </c>
      <c r="O43" s="250" t="str">
        <f>IFERROR(__xludf.DUMMYFUNCTION("""COMPUTED_VALUE"""),"")</f>
        <v/>
      </c>
      <c r="P43" s="250" t="str">
        <f>IFERROR(__xludf.DUMMYFUNCTION("""COMPUTED_VALUE"""),"")</f>
        <v/>
      </c>
      <c r="Q43" s="250" t="str">
        <f>IFERROR(__xludf.DUMMYFUNCTION("""COMPUTED_VALUE"""),"")</f>
        <v/>
      </c>
      <c r="R43" s="250" t="str">
        <f>IFERROR(__xludf.DUMMYFUNCTION("""COMPUTED_VALUE"""),"")</f>
        <v/>
      </c>
      <c r="U43" s="250">
        <f>IFERROR(__xludf.DUMMYFUNCTION("""COMPUTED_VALUE"""),6419.0)</f>
        <v>6419</v>
      </c>
      <c r="V43" s="250">
        <f>IFERROR(__xludf.DUMMYFUNCTION("""COMPUTED_VALUE"""),6109.0)</f>
        <v>6109</v>
      </c>
      <c r="W43" s="250">
        <f>IFERROR(__xludf.DUMMYFUNCTION("""COMPUTED_VALUE"""),5489.0)</f>
        <v>5489</v>
      </c>
      <c r="X43" t="b">
        <f t="shared" ref="X43:Z43" si="62">ISBLANK(K43)</f>
        <v>1</v>
      </c>
      <c r="Y43" t="b">
        <f t="shared" si="62"/>
        <v>0</v>
      </c>
      <c r="Z43" t="b">
        <f t="shared" si="62"/>
        <v>0</v>
      </c>
      <c r="AA43">
        <f t="shared" ref="AA43:AC43" si="63">IF(X43=FALSE,1,0)</f>
        <v>0</v>
      </c>
      <c r="AB43">
        <f t="shared" si="63"/>
        <v>1</v>
      </c>
      <c r="AC43">
        <f t="shared" si="63"/>
        <v>1</v>
      </c>
      <c r="AD43">
        <f t="shared" si="6"/>
        <v>2</v>
      </c>
      <c r="AE43">
        <f t="shared" si="7"/>
        <v>1</v>
      </c>
      <c r="AF43">
        <f>if(iferror(vlookup($A43,'Description Database'!$E$2:$H$951,3,0),0)=TRUE,1,0)</f>
        <v>0</v>
      </c>
      <c r="AG43">
        <f>if(iferror(vlookup($A43,'Description Database'!$E$2:$H$951,4,0),0)=TRUE,1,0)</f>
        <v>0</v>
      </c>
    </row>
    <row r="44">
      <c r="A44" t="str">
        <f>IFERROR(__xludf.DUMMYFUNCTION("""COMPUTED_VALUE"""),"Oneplus 3 (6 GB/64 GB)")</f>
        <v>Oneplus 3 (6 GB/64 GB)</v>
      </c>
      <c r="B44" t="str">
        <f>IFERROR(__xludf.DUMMYFUNCTION("""COMPUTED_VALUE"""),"")</f>
        <v/>
      </c>
      <c r="C44" t="str">
        <f>IFERROR(__xludf.DUMMYFUNCTION("""COMPUTED_VALUE"""),"")</f>
        <v/>
      </c>
      <c r="D44" t="str">
        <f>IFERROR(__xludf.DUMMYFUNCTION("""COMPUTED_VALUE"""),"")</f>
        <v/>
      </c>
      <c r="E44" t="str">
        <f>IFERROR(__xludf.DUMMYFUNCTION("""COMPUTED_VALUE"""),"")</f>
        <v/>
      </c>
      <c r="F44" t="str">
        <f>IFERROR(__xludf.DUMMYFUNCTION("""COMPUTED_VALUE"""),"")</f>
        <v/>
      </c>
      <c r="G44">
        <f>IFERROR(__xludf.DUMMYFUNCTION("""COMPUTED_VALUE"""),6.0)</f>
        <v>6</v>
      </c>
      <c r="H44" t="str">
        <f>IFERROR(__xludf.DUMMYFUNCTION("""COMPUTED_VALUE"""),"")</f>
        <v/>
      </c>
      <c r="I44">
        <f>IFERROR(__xludf.DUMMYFUNCTION("""COMPUTED_VALUE"""),12.0)</f>
        <v>12</v>
      </c>
      <c r="J44">
        <f>IFERROR(__xludf.DUMMYFUNCTION("""COMPUTED_VALUE"""),18.0)</f>
        <v>18</v>
      </c>
      <c r="L44" s="250" t="str">
        <f>IFERROR(__xludf.DUMMYFUNCTION("""COMPUTED_VALUE"""),"")</f>
        <v/>
      </c>
      <c r="M44" s="250" t="str">
        <f>IFERROR(__xludf.DUMMYFUNCTION("""COMPUTED_VALUE"""),"")</f>
        <v/>
      </c>
      <c r="N44" s="250" t="str">
        <f>IFERROR(__xludf.DUMMYFUNCTION("""COMPUTED_VALUE"""),"")</f>
        <v/>
      </c>
      <c r="O44" s="250" t="str">
        <f>IFERROR(__xludf.DUMMYFUNCTION("""COMPUTED_VALUE"""),"")</f>
        <v/>
      </c>
      <c r="P44" s="250" t="str">
        <f>IFERROR(__xludf.DUMMYFUNCTION("""COMPUTED_VALUE"""),"")</f>
        <v/>
      </c>
      <c r="Q44" s="250">
        <f>IFERROR(__xludf.DUMMYFUNCTION("""COMPUTED_VALUE"""),3179.0)</f>
        <v>3179</v>
      </c>
      <c r="R44" s="250" t="str">
        <f>IFERROR(__xludf.DUMMYFUNCTION("""COMPUTED_VALUE"""),"")</f>
        <v/>
      </c>
      <c r="U44" s="250">
        <f>IFERROR(__xludf.DUMMYFUNCTION("""COMPUTED_VALUE"""),6409.0)</f>
        <v>6409</v>
      </c>
      <c r="V44" s="250">
        <f>IFERROR(__xludf.DUMMYFUNCTION("""COMPUTED_VALUE"""),6099.0)</f>
        <v>6099</v>
      </c>
      <c r="W44" s="250">
        <f>IFERROR(__xludf.DUMMYFUNCTION("""COMPUTED_VALUE"""),5479.0)</f>
        <v>5479</v>
      </c>
      <c r="X44" t="b">
        <f t="shared" ref="X44:Z44" si="64">ISBLANK(K44)</f>
        <v>1</v>
      </c>
      <c r="Y44" t="b">
        <f t="shared" si="64"/>
        <v>0</v>
      </c>
      <c r="Z44" t="b">
        <f t="shared" si="64"/>
        <v>0</v>
      </c>
      <c r="AA44">
        <f t="shared" ref="AA44:AC44" si="65">IF(X44=FALSE,1,0)</f>
        <v>0</v>
      </c>
      <c r="AB44">
        <f t="shared" si="65"/>
        <v>1</v>
      </c>
      <c r="AC44">
        <f t="shared" si="65"/>
        <v>1</v>
      </c>
      <c r="AD44">
        <f t="shared" si="6"/>
        <v>2</v>
      </c>
      <c r="AE44">
        <f t="shared" si="7"/>
        <v>1</v>
      </c>
      <c r="AF44">
        <f>if(iferror(vlookup($A44,'Description Database'!$E$2:$H$951,3,0),0)=TRUE,1,0)</f>
        <v>0</v>
      </c>
      <c r="AG44">
        <f>if(iferror(vlookup($A44,'Description Database'!$E$2:$H$951,4,0),0)=TRUE,1,0)</f>
        <v>0</v>
      </c>
    </row>
    <row r="45">
      <c r="A45" t="str">
        <f>IFERROR(__xludf.DUMMYFUNCTION("""COMPUTED_VALUE"""),"Honor 7A (3 GB/32 GB)")</f>
        <v>Honor 7A (3 GB/32 GB)</v>
      </c>
      <c r="B45" t="str">
        <f>IFERROR(__xludf.DUMMYFUNCTION("""COMPUTED_VALUE"""),"")</f>
        <v/>
      </c>
      <c r="C45" t="str">
        <f>IFERROR(__xludf.DUMMYFUNCTION("""COMPUTED_VALUE"""),"")</f>
        <v/>
      </c>
      <c r="D45" t="str">
        <f>IFERROR(__xludf.DUMMYFUNCTION("""COMPUTED_VALUE"""),"")</f>
        <v/>
      </c>
      <c r="E45" t="str">
        <f>IFERROR(__xludf.DUMMYFUNCTION("""COMPUTED_VALUE"""),"")</f>
        <v/>
      </c>
      <c r="F45" t="str">
        <f>IFERROR(__xludf.DUMMYFUNCTION("""COMPUTED_VALUE"""),"")</f>
        <v/>
      </c>
      <c r="G45" t="str">
        <f>IFERROR(__xludf.DUMMYFUNCTION("""COMPUTED_VALUE"""),"")</f>
        <v/>
      </c>
      <c r="H45" t="str">
        <f>IFERROR(__xludf.DUMMYFUNCTION("""COMPUTED_VALUE"""),"")</f>
        <v/>
      </c>
      <c r="I45">
        <f>IFERROR(__xludf.DUMMYFUNCTION("""COMPUTED_VALUE"""),5.0)</f>
        <v>5</v>
      </c>
      <c r="J45">
        <f>IFERROR(__xludf.DUMMYFUNCTION("""COMPUTED_VALUE"""),5.0)</f>
        <v>5</v>
      </c>
      <c r="L45" s="250" t="str">
        <f>IFERROR(__xludf.DUMMYFUNCTION("""COMPUTED_VALUE"""),"")</f>
        <v/>
      </c>
      <c r="M45" s="250" t="str">
        <f>IFERROR(__xludf.DUMMYFUNCTION("""COMPUTED_VALUE"""),"")</f>
        <v/>
      </c>
      <c r="N45" s="250" t="str">
        <f>IFERROR(__xludf.DUMMYFUNCTION("""COMPUTED_VALUE"""),"")</f>
        <v/>
      </c>
      <c r="O45" s="250" t="str">
        <f>IFERROR(__xludf.DUMMYFUNCTION("""COMPUTED_VALUE"""),"")</f>
        <v/>
      </c>
      <c r="P45" s="250" t="str">
        <f>IFERROR(__xludf.DUMMYFUNCTION("""COMPUTED_VALUE"""),"")</f>
        <v/>
      </c>
      <c r="Q45" s="250" t="str">
        <f>IFERROR(__xludf.DUMMYFUNCTION("""COMPUTED_VALUE"""),"")</f>
        <v/>
      </c>
      <c r="R45" s="250" t="str">
        <f>IFERROR(__xludf.DUMMYFUNCTION("""COMPUTED_VALUE"""),"")</f>
        <v/>
      </c>
      <c r="U45" s="250">
        <f>IFERROR(__xludf.DUMMYFUNCTION("""COMPUTED_VALUE"""),5309.0)</f>
        <v>5309</v>
      </c>
      <c r="V45" s="250">
        <f>IFERROR(__xludf.DUMMYFUNCTION("""COMPUTED_VALUE"""),5049.0)</f>
        <v>5049</v>
      </c>
      <c r="W45" s="250">
        <f>IFERROR(__xludf.DUMMYFUNCTION("""COMPUTED_VALUE"""),4549.0)</f>
        <v>4549</v>
      </c>
      <c r="X45" t="b">
        <f t="shared" ref="X45:Z45" si="66">ISBLANK(K45)</f>
        <v>1</v>
      </c>
      <c r="Y45" t="b">
        <f t="shared" si="66"/>
        <v>0</v>
      </c>
      <c r="Z45" t="b">
        <f t="shared" si="66"/>
        <v>0</v>
      </c>
      <c r="AA45">
        <f t="shared" ref="AA45:AC45" si="67">IF(X45=FALSE,1,0)</f>
        <v>0</v>
      </c>
      <c r="AB45">
        <f t="shared" si="67"/>
        <v>1</v>
      </c>
      <c r="AC45">
        <f t="shared" si="67"/>
        <v>1</v>
      </c>
      <c r="AD45">
        <f t="shared" si="6"/>
        <v>2</v>
      </c>
      <c r="AE45">
        <f t="shared" si="7"/>
        <v>1</v>
      </c>
      <c r="AF45">
        <f>if(iferror(vlookup($A45,'Description Database'!$E$2:$H$951,3,0),0)=TRUE,1,0)</f>
        <v>0</v>
      </c>
      <c r="AG45">
        <f>if(iferror(vlookup($A45,'Description Database'!$E$2:$H$951,4,0),0)=TRUE,1,0)</f>
        <v>0</v>
      </c>
    </row>
    <row r="46">
      <c r="A46" t="str">
        <f>IFERROR(__xludf.DUMMYFUNCTION("""COMPUTED_VALUE"""),"Xiaomi Redmi 5 (2 GB/16 GB)")</f>
        <v>Xiaomi Redmi 5 (2 GB/16 GB)</v>
      </c>
      <c r="B46" t="str">
        <f>IFERROR(__xludf.DUMMYFUNCTION("""COMPUTED_VALUE"""),"")</f>
        <v/>
      </c>
      <c r="C46" t="str">
        <f>IFERROR(__xludf.DUMMYFUNCTION("""COMPUTED_VALUE"""),"")</f>
        <v/>
      </c>
      <c r="D46">
        <f>IFERROR(__xludf.DUMMYFUNCTION("""COMPUTED_VALUE"""),3.0)</f>
        <v>3</v>
      </c>
      <c r="E46">
        <f>IFERROR(__xludf.DUMMYFUNCTION("""COMPUTED_VALUE"""),4.0)</f>
        <v>4</v>
      </c>
      <c r="F46" t="str">
        <f>IFERROR(__xludf.DUMMYFUNCTION("""COMPUTED_VALUE"""),"")</f>
        <v/>
      </c>
      <c r="G46">
        <f>IFERROR(__xludf.DUMMYFUNCTION("""COMPUTED_VALUE"""),2.0)</f>
        <v>2</v>
      </c>
      <c r="H46">
        <f>IFERROR(__xludf.DUMMYFUNCTION("""COMPUTED_VALUE"""),2.0)</f>
        <v>2</v>
      </c>
      <c r="I46">
        <f>IFERROR(__xludf.DUMMYFUNCTION("""COMPUTED_VALUE"""),13.0)</f>
        <v>13</v>
      </c>
      <c r="J46">
        <f>IFERROR(__xludf.DUMMYFUNCTION("""COMPUTED_VALUE"""),24.0)</f>
        <v>24</v>
      </c>
      <c r="L46" s="250" t="str">
        <f>IFERROR(__xludf.DUMMYFUNCTION("""COMPUTED_VALUE"""),"")</f>
        <v/>
      </c>
      <c r="M46" s="250" t="str">
        <f>IFERROR(__xludf.DUMMYFUNCTION("""COMPUTED_VALUE"""),"")</f>
        <v/>
      </c>
      <c r="N46" s="250">
        <f>IFERROR(__xludf.DUMMYFUNCTION("""COMPUTED_VALUE"""),3989.0)</f>
        <v>3989</v>
      </c>
      <c r="O46" s="250">
        <f>IFERROR(__xludf.DUMMYFUNCTION("""COMPUTED_VALUE"""),3634.0)</f>
        <v>3634</v>
      </c>
      <c r="P46" s="250" t="str">
        <f>IFERROR(__xludf.DUMMYFUNCTION("""COMPUTED_VALUE"""),"")</f>
        <v/>
      </c>
      <c r="Q46" s="250">
        <f>IFERROR(__xludf.DUMMYFUNCTION("""COMPUTED_VALUE"""),2439.0)</f>
        <v>2439</v>
      </c>
      <c r="R46" s="250">
        <f>IFERROR(__xludf.DUMMYFUNCTION("""COMPUTED_VALUE"""),1719.0)</f>
        <v>1719</v>
      </c>
      <c r="U46" s="250">
        <f>IFERROR(__xludf.DUMMYFUNCTION("""COMPUTED_VALUE"""),5049.0)</f>
        <v>5049</v>
      </c>
      <c r="V46" s="250">
        <f>IFERROR(__xludf.DUMMYFUNCTION("""COMPUTED_VALUE"""),4809.0)</f>
        <v>4809</v>
      </c>
      <c r="W46" s="250">
        <f>IFERROR(__xludf.DUMMYFUNCTION("""COMPUTED_VALUE"""),4389.0)</f>
        <v>4389</v>
      </c>
      <c r="X46" t="b">
        <f t="shared" ref="X46:Z46" si="68">ISBLANK(K46)</f>
        <v>1</v>
      </c>
      <c r="Y46" t="b">
        <f t="shared" si="68"/>
        <v>0</v>
      </c>
      <c r="Z46" t="b">
        <f t="shared" si="68"/>
        <v>0</v>
      </c>
      <c r="AA46">
        <f t="shared" ref="AA46:AC46" si="69">IF(X46=FALSE,1,0)</f>
        <v>0</v>
      </c>
      <c r="AB46">
        <f t="shared" si="69"/>
        <v>1</v>
      </c>
      <c r="AC46">
        <f t="shared" si="69"/>
        <v>1</v>
      </c>
      <c r="AD46">
        <f t="shared" si="6"/>
        <v>2</v>
      </c>
      <c r="AE46">
        <f t="shared" si="7"/>
        <v>1</v>
      </c>
      <c r="AF46">
        <f>if(iferror(vlookup($A46,'Description Database'!$E$2:$H$951,3,0),0)=TRUE,1,0)</f>
        <v>0</v>
      </c>
      <c r="AG46">
        <f>if(iferror(vlookup($A46,'Description Database'!$E$2:$H$951,4,0),0)=TRUE,1,0)</f>
        <v>1</v>
      </c>
    </row>
    <row r="47">
      <c r="A47" t="str">
        <f>IFERROR(__xludf.DUMMYFUNCTION("""COMPUTED_VALUE"""),"Apple iPhone 6 (1 GB/16 GB)")</f>
        <v>Apple iPhone 6 (1 GB/16 GB)</v>
      </c>
      <c r="B47" t="str">
        <f>IFERROR(__xludf.DUMMYFUNCTION("""COMPUTED_VALUE"""),"")</f>
        <v/>
      </c>
      <c r="C47" t="str">
        <f>IFERROR(__xludf.DUMMYFUNCTION("""COMPUTED_VALUE"""),"")</f>
        <v/>
      </c>
      <c r="D47">
        <f>IFERROR(__xludf.DUMMYFUNCTION("""COMPUTED_VALUE"""),1.0)</f>
        <v>1</v>
      </c>
      <c r="E47">
        <f>IFERROR(__xludf.DUMMYFUNCTION("""COMPUTED_VALUE"""),1.0)</f>
        <v>1</v>
      </c>
      <c r="F47">
        <f>IFERROR(__xludf.DUMMYFUNCTION("""COMPUTED_VALUE"""),1.0)</f>
        <v>1</v>
      </c>
      <c r="G47">
        <f>IFERROR(__xludf.DUMMYFUNCTION("""COMPUTED_VALUE"""),1.0)</f>
        <v>1</v>
      </c>
      <c r="H47" t="str">
        <f>IFERROR(__xludf.DUMMYFUNCTION("""COMPUTED_VALUE"""),"")</f>
        <v/>
      </c>
      <c r="I47">
        <f>IFERROR(__xludf.DUMMYFUNCTION("""COMPUTED_VALUE"""),5.0)</f>
        <v>5</v>
      </c>
      <c r="J47">
        <f>IFERROR(__xludf.DUMMYFUNCTION("""COMPUTED_VALUE"""),9.0)</f>
        <v>9</v>
      </c>
      <c r="L47" s="250" t="str">
        <f>IFERROR(__xludf.DUMMYFUNCTION("""COMPUTED_VALUE"""),"")</f>
        <v/>
      </c>
      <c r="M47" s="250" t="str">
        <f>IFERROR(__xludf.DUMMYFUNCTION("""COMPUTED_VALUE"""),"")</f>
        <v/>
      </c>
      <c r="N47" s="250">
        <f>IFERROR(__xludf.DUMMYFUNCTION("""COMPUTED_VALUE"""),5639.0)</f>
        <v>5639</v>
      </c>
      <c r="O47" s="250">
        <f>IFERROR(__xludf.DUMMYFUNCTION("""COMPUTED_VALUE"""),5179.0)</f>
        <v>5179</v>
      </c>
      <c r="P47" s="250">
        <f>IFERROR(__xludf.DUMMYFUNCTION("""COMPUTED_VALUE"""),4719.0)</f>
        <v>4719</v>
      </c>
      <c r="Q47" s="250">
        <f>IFERROR(__xludf.DUMMYFUNCTION("""COMPUTED_VALUE"""),3599.0)</f>
        <v>3599</v>
      </c>
      <c r="R47" s="250" t="str">
        <f>IFERROR(__xludf.DUMMYFUNCTION("""COMPUTED_VALUE"""),"")</f>
        <v/>
      </c>
      <c r="U47" s="250">
        <f>IFERROR(__xludf.DUMMYFUNCTION("""COMPUTED_VALUE"""),7239.0)</f>
        <v>7239</v>
      </c>
      <c r="V47" s="250">
        <f>IFERROR(__xludf.DUMMYFUNCTION("""COMPUTED_VALUE"""),6889.0)</f>
        <v>6889</v>
      </c>
      <c r="W47" s="250">
        <f>IFERROR(__xludf.DUMMYFUNCTION("""COMPUTED_VALUE"""),6209.0)</f>
        <v>6209</v>
      </c>
      <c r="X47" t="b">
        <f t="shared" ref="X47:Z47" si="70">ISBLANK(K47)</f>
        <v>1</v>
      </c>
      <c r="Y47" t="b">
        <f t="shared" si="70"/>
        <v>0</v>
      </c>
      <c r="Z47" t="b">
        <f t="shared" si="70"/>
        <v>0</v>
      </c>
      <c r="AA47">
        <f t="shared" ref="AA47:AC47" si="71">IF(X47=FALSE,1,0)</f>
        <v>0</v>
      </c>
      <c r="AB47">
        <f t="shared" si="71"/>
        <v>1</v>
      </c>
      <c r="AC47">
        <f t="shared" si="71"/>
        <v>1</v>
      </c>
      <c r="AD47">
        <f t="shared" si="6"/>
        <v>2</v>
      </c>
      <c r="AE47">
        <f t="shared" si="7"/>
        <v>1</v>
      </c>
      <c r="AF47">
        <f>if(iferror(vlookup($A47,'Description Database'!$E$2:$H$951,3,0),0)=TRUE,1,0)</f>
        <v>0</v>
      </c>
      <c r="AG47">
        <f>if(iferror(vlookup($A47,'Description Database'!$E$2:$H$951,4,0),0)=TRUE,1,0)</f>
        <v>0</v>
      </c>
    </row>
    <row r="48">
      <c r="A48" t="str">
        <f>IFERROR(__xludf.DUMMYFUNCTION("""COMPUTED_VALUE"""),"Vivo V7 (4 GB/32 GB)")</f>
        <v>Vivo V7 (4 GB/32 GB)</v>
      </c>
      <c r="B48" t="str">
        <f>IFERROR(__xludf.DUMMYFUNCTION("""COMPUTED_VALUE"""),"")</f>
        <v/>
      </c>
      <c r="C48" t="str">
        <f>IFERROR(__xludf.DUMMYFUNCTION("""COMPUTED_VALUE"""),"")</f>
        <v/>
      </c>
      <c r="D48">
        <f>IFERROR(__xludf.DUMMYFUNCTION("""COMPUTED_VALUE"""),1.0)</f>
        <v>1</v>
      </c>
      <c r="E48" t="str">
        <f>IFERROR(__xludf.DUMMYFUNCTION("""COMPUTED_VALUE"""),"")</f>
        <v/>
      </c>
      <c r="F48">
        <f>IFERROR(__xludf.DUMMYFUNCTION("""COMPUTED_VALUE"""),1.0)</f>
        <v>1</v>
      </c>
      <c r="G48">
        <f>IFERROR(__xludf.DUMMYFUNCTION("""COMPUTED_VALUE"""),1.0)</f>
        <v>1</v>
      </c>
      <c r="H48" t="str">
        <f>IFERROR(__xludf.DUMMYFUNCTION("""COMPUTED_VALUE"""),"")</f>
        <v/>
      </c>
      <c r="I48">
        <f>IFERROR(__xludf.DUMMYFUNCTION("""COMPUTED_VALUE"""),6.0)</f>
        <v>6</v>
      </c>
      <c r="J48">
        <f>IFERROR(__xludf.DUMMYFUNCTION("""COMPUTED_VALUE"""),9.0)</f>
        <v>9</v>
      </c>
      <c r="L48" s="250" t="str">
        <f>IFERROR(__xludf.DUMMYFUNCTION("""COMPUTED_VALUE"""),"")</f>
        <v/>
      </c>
      <c r="M48" s="250" t="str">
        <f>IFERROR(__xludf.DUMMYFUNCTION("""COMPUTED_VALUE"""),"")</f>
        <v/>
      </c>
      <c r="N48" s="250">
        <f>IFERROR(__xludf.DUMMYFUNCTION("""COMPUTED_VALUE"""),5079.0)</f>
        <v>5079</v>
      </c>
      <c r="O48" s="250" t="str">
        <f>IFERROR(__xludf.DUMMYFUNCTION("""COMPUTED_VALUE"""),"")</f>
        <v/>
      </c>
      <c r="P48" s="250">
        <f>IFERROR(__xludf.DUMMYFUNCTION("""COMPUTED_VALUE"""),4189.0)</f>
        <v>4189</v>
      </c>
      <c r="Q48" s="250">
        <f>IFERROR(__xludf.DUMMYFUNCTION("""COMPUTED_VALUE"""),2959.0)</f>
        <v>2959</v>
      </c>
      <c r="R48" s="250" t="str">
        <f>IFERROR(__xludf.DUMMYFUNCTION("""COMPUTED_VALUE"""),"")</f>
        <v/>
      </c>
      <c r="U48" s="250">
        <f>IFERROR(__xludf.DUMMYFUNCTION("""COMPUTED_VALUE"""),6419.0)</f>
        <v>6419</v>
      </c>
      <c r="V48" s="250">
        <f>IFERROR(__xludf.DUMMYFUNCTION("""COMPUTED_VALUE"""),6109.0)</f>
        <v>6109</v>
      </c>
      <c r="W48" s="250">
        <f>IFERROR(__xludf.DUMMYFUNCTION("""COMPUTED_VALUE"""),5589.0)</f>
        <v>5589</v>
      </c>
      <c r="X48" t="b">
        <f t="shared" ref="X48:Z48" si="72">ISBLANK(K48)</f>
        <v>1</v>
      </c>
      <c r="Y48" t="b">
        <f t="shared" si="72"/>
        <v>0</v>
      </c>
      <c r="Z48" t="b">
        <f t="shared" si="72"/>
        <v>0</v>
      </c>
      <c r="AA48">
        <f t="shared" ref="AA48:AC48" si="73">IF(X48=FALSE,1,0)</f>
        <v>0</v>
      </c>
      <c r="AB48">
        <f t="shared" si="73"/>
        <v>1</v>
      </c>
      <c r="AC48">
        <f t="shared" si="73"/>
        <v>1</v>
      </c>
      <c r="AD48">
        <f t="shared" si="6"/>
        <v>2</v>
      </c>
      <c r="AE48">
        <f t="shared" si="7"/>
        <v>1</v>
      </c>
      <c r="AF48">
        <f>if(iferror(vlookup($A48,'Description Database'!$E$2:$H$951,3,0),0)=TRUE,1,0)</f>
        <v>0</v>
      </c>
      <c r="AG48">
        <f>if(iferror(vlookup($A48,'Description Database'!$E$2:$H$951,4,0),0)=TRUE,1,0)</f>
        <v>1</v>
      </c>
    </row>
    <row r="49">
      <c r="A49" t="str">
        <f>IFERROR(__xludf.DUMMYFUNCTION("""COMPUTED_VALUE"""),"Apple iPhone 6 (1 GB/32 GB)")</f>
        <v>Apple iPhone 6 (1 GB/32 GB)</v>
      </c>
      <c r="B49" t="str">
        <f>IFERROR(__xludf.DUMMYFUNCTION("""COMPUTED_VALUE"""),"")</f>
        <v/>
      </c>
      <c r="C49">
        <f>IFERROR(__xludf.DUMMYFUNCTION("""COMPUTED_VALUE"""),4.0)</f>
        <v>4</v>
      </c>
      <c r="D49">
        <f>IFERROR(__xludf.DUMMYFUNCTION("""COMPUTED_VALUE"""),1.0)</f>
        <v>1</v>
      </c>
      <c r="E49">
        <f>IFERROR(__xludf.DUMMYFUNCTION("""COMPUTED_VALUE"""),4.0)</f>
        <v>4</v>
      </c>
      <c r="F49">
        <f>IFERROR(__xludf.DUMMYFUNCTION("""COMPUTED_VALUE"""),1.0)</f>
        <v>1</v>
      </c>
      <c r="G49">
        <f>IFERROR(__xludf.DUMMYFUNCTION("""COMPUTED_VALUE"""),2.0)</f>
        <v>2</v>
      </c>
      <c r="H49" t="str">
        <f>IFERROR(__xludf.DUMMYFUNCTION("""COMPUTED_VALUE"""),"")</f>
        <v/>
      </c>
      <c r="I49">
        <f>IFERROR(__xludf.DUMMYFUNCTION("""COMPUTED_VALUE"""),1.0)</f>
        <v>1</v>
      </c>
      <c r="J49">
        <f>IFERROR(__xludf.DUMMYFUNCTION("""COMPUTED_VALUE"""),13.0)</f>
        <v>13</v>
      </c>
      <c r="L49" s="250" t="str">
        <f>IFERROR(__xludf.DUMMYFUNCTION("""COMPUTED_VALUE"""),"")</f>
        <v/>
      </c>
      <c r="M49" s="250">
        <f>IFERROR(__xludf.DUMMYFUNCTION("""COMPUTED_VALUE"""),7049.0)</f>
        <v>7049</v>
      </c>
      <c r="N49" s="250">
        <f>IFERROR(__xludf.DUMMYFUNCTION("""COMPUTED_VALUE"""),6349.0)</f>
        <v>6349</v>
      </c>
      <c r="O49" s="250">
        <f>IFERROR(__xludf.DUMMYFUNCTION("""COMPUTED_VALUE"""),5819.0)</f>
        <v>5819</v>
      </c>
      <c r="P49" s="250">
        <f>IFERROR(__xludf.DUMMYFUNCTION("""COMPUTED_VALUE"""),5289.0)</f>
        <v>5289</v>
      </c>
      <c r="Q49" s="250">
        <f>IFERROR(__xludf.DUMMYFUNCTION("""COMPUTED_VALUE"""),4059.0)</f>
        <v>4059</v>
      </c>
      <c r="R49" s="250" t="str">
        <f>IFERROR(__xludf.DUMMYFUNCTION("""COMPUTED_VALUE"""),"")</f>
        <v/>
      </c>
      <c r="U49" s="250">
        <f>IFERROR(__xludf.DUMMYFUNCTION("""COMPUTED_VALUE"""),8149.0)</f>
        <v>8149</v>
      </c>
      <c r="V49" s="250">
        <f>IFERROR(__xludf.DUMMYFUNCTION("""COMPUTED_VALUE"""),7759.0)</f>
        <v>7759</v>
      </c>
      <c r="W49" s="250">
        <f>IFERROR(__xludf.DUMMYFUNCTION("""COMPUTED_VALUE"""),6989.0)</f>
        <v>6989</v>
      </c>
      <c r="X49" t="b">
        <f t="shared" ref="X49:Z49" si="74">ISBLANK(K49)</f>
        <v>1</v>
      </c>
      <c r="Y49" t="b">
        <f t="shared" si="74"/>
        <v>0</v>
      </c>
      <c r="Z49" t="b">
        <f t="shared" si="74"/>
        <v>0</v>
      </c>
      <c r="AA49">
        <f t="shared" ref="AA49:AC49" si="75">IF(X49=FALSE,1,0)</f>
        <v>0</v>
      </c>
      <c r="AB49">
        <f t="shared" si="75"/>
        <v>1</v>
      </c>
      <c r="AC49">
        <f t="shared" si="75"/>
        <v>1</v>
      </c>
      <c r="AD49">
        <f t="shared" si="6"/>
        <v>2</v>
      </c>
      <c r="AE49">
        <f t="shared" si="7"/>
        <v>1</v>
      </c>
      <c r="AF49">
        <f>if(iferror(vlookup($A49,'Description Database'!$E$2:$H$951,3,0),0)=TRUE,1,0)</f>
        <v>0</v>
      </c>
      <c r="AG49">
        <f>if(iferror(vlookup($A49,'Description Database'!$E$2:$H$951,4,0),0)=TRUE,1,0)</f>
        <v>0</v>
      </c>
    </row>
    <row r="50">
      <c r="A50" t="str">
        <f>IFERROR(__xludf.DUMMYFUNCTION("""COMPUTED_VALUE"""),"Apple iPhone 6 (1 GB/64 GB)")</f>
        <v>Apple iPhone 6 (1 GB/64 GB)</v>
      </c>
      <c r="B50" t="str">
        <f>IFERROR(__xludf.DUMMYFUNCTION("""COMPUTED_VALUE"""),"")</f>
        <v/>
      </c>
      <c r="C50" t="str">
        <f>IFERROR(__xludf.DUMMYFUNCTION("""COMPUTED_VALUE"""),"")</f>
        <v/>
      </c>
      <c r="D50" t="str">
        <f>IFERROR(__xludf.DUMMYFUNCTION("""COMPUTED_VALUE"""),"")</f>
        <v/>
      </c>
      <c r="E50">
        <f>IFERROR(__xludf.DUMMYFUNCTION("""COMPUTED_VALUE"""),1.0)</f>
        <v>1</v>
      </c>
      <c r="F50" t="str">
        <f>IFERROR(__xludf.DUMMYFUNCTION("""COMPUTED_VALUE"""),"")</f>
        <v/>
      </c>
      <c r="G50" t="str">
        <f>IFERROR(__xludf.DUMMYFUNCTION("""COMPUTED_VALUE"""),"")</f>
        <v/>
      </c>
      <c r="H50">
        <f>IFERROR(__xludf.DUMMYFUNCTION("""COMPUTED_VALUE"""),3.0)</f>
        <v>3</v>
      </c>
      <c r="I50">
        <f>IFERROR(__xludf.DUMMYFUNCTION("""COMPUTED_VALUE"""),1.0)</f>
        <v>1</v>
      </c>
      <c r="J50">
        <f>IFERROR(__xludf.DUMMYFUNCTION("""COMPUTED_VALUE"""),5.0)</f>
        <v>5</v>
      </c>
      <c r="L50" s="250" t="str">
        <f>IFERROR(__xludf.DUMMYFUNCTION("""COMPUTED_VALUE"""),"")</f>
        <v/>
      </c>
      <c r="M50" s="250" t="str">
        <f>IFERROR(__xludf.DUMMYFUNCTION("""COMPUTED_VALUE"""),"")</f>
        <v/>
      </c>
      <c r="N50" s="250" t="str">
        <f>IFERROR(__xludf.DUMMYFUNCTION("""COMPUTED_VALUE"""),"")</f>
        <v/>
      </c>
      <c r="O50" s="250">
        <f>IFERROR(__xludf.DUMMYFUNCTION("""COMPUTED_VALUE"""),6164.0)</f>
        <v>6164</v>
      </c>
      <c r="P50" s="250" t="str">
        <f>IFERROR(__xludf.DUMMYFUNCTION("""COMPUTED_VALUE"""),"")</f>
        <v/>
      </c>
      <c r="Q50" s="250" t="str">
        <f>IFERROR(__xludf.DUMMYFUNCTION("""COMPUTED_VALUE"""),"")</f>
        <v/>
      </c>
      <c r="R50" s="250">
        <f>IFERROR(__xludf.DUMMYFUNCTION("""COMPUTED_VALUE"""),2969.0)</f>
        <v>2969</v>
      </c>
      <c r="U50" s="250">
        <f>IFERROR(__xludf.DUMMYFUNCTION("""COMPUTED_VALUE"""),8639.0)</f>
        <v>8639</v>
      </c>
      <c r="V50" s="250">
        <f>IFERROR(__xludf.DUMMYFUNCTION("""COMPUTED_VALUE"""),8219.0)</f>
        <v>8219</v>
      </c>
      <c r="W50" s="250">
        <f>IFERROR(__xludf.DUMMYFUNCTION("""COMPUTED_VALUE"""),7399.0)</f>
        <v>7399</v>
      </c>
      <c r="X50" t="b">
        <f t="shared" ref="X50:Z50" si="76">ISBLANK(K50)</f>
        <v>1</v>
      </c>
      <c r="Y50" t="b">
        <f t="shared" si="76"/>
        <v>0</v>
      </c>
      <c r="Z50" t="b">
        <f t="shared" si="76"/>
        <v>0</v>
      </c>
      <c r="AA50">
        <f t="shared" ref="AA50:AC50" si="77">IF(X50=FALSE,1,0)</f>
        <v>0</v>
      </c>
      <c r="AB50">
        <f t="shared" si="77"/>
        <v>1</v>
      </c>
      <c r="AC50">
        <f t="shared" si="77"/>
        <v>1</v>
      </c>
      <c r="AD50">
        <f t="shared" si="6"/>
        <v>2</v>
      </c>
      <c r="AE50">
        <f t="shared" si="7"/>
        <v>1</v>
      </c>
      <c r="AF50">
        <f>if(iferror(vlookup($A50,'Description Database'!$E$2:$H$951,3,0),0)=TRUE,1,0)</f>
        <v>0</v>
      </c>
      <c r="AG50">
        <f>if(iferror(vlookup($A50,'Description Database'!$E$2:$H$951,4,0),0)=TRUE,1,0)</f>
        <v>0</v>
      </c>
    </row>
    <row r="51">
      <c r="A51" t="str">
        <f>IFERROR(__xludf.DUMMYFUNCTION("""COMPUTED_VALUE"""),"Apple iPhone 5s (1 GB/64 GB)")</f>
        <v>Apple iPhone 5s (1 GB/64 GB)</v>
      </c>
      <c r="B51" t="str">
        <f>IFERROR(__xludf.DUMMYFUNCTION("""COMPUTED_VALUE"""),"")</f>
        <v/>
      </c>
      <c r="C51" t="str">
        <f>IFERROR(__xludf.DUMMYFUNCTION("""COMPUTED_VALUE"""),"")</f>
        <v/>
      </c>
      <c r="D51" t="str">
        <f>IFERROR(__xludf.DUMMYFUNCTION("""COMPUTED_VALUE"""),"")</f>
        <v/>
      </c>
      <c r="E51" t="str">
        <f>IFERROR(__xludf.DUMMYFUNCTION("""COMPUTED_VALUE"""),"")</f>
        <v/>
      </c>
      <c r="F51" t="str">
        <f>IFERROR(__xludf.DUMMYFUNCTION("""COMPUTED_VALUE"""),"")</f>
        <v/>
      </c>
      <c r="G51" t="str">
        <f>IFERROR(__xludf.DUMMYFUNCTION("""COMPUTED_VALUE"""),"")</f>
        <v/>
      </c>
      <c r="H51" t="str">
        <f>IFERROR(__xludf.DUMMYFUNCTION("""COMPUTED_VALUE"""),"")</f>
        <v/>
      </c>
      <c r="I51">
        <f>IFERROR(__xludf.DUMMYFUNCTION("""COMPUTED_VALUE"""),1.0)</f>
        <v>1</v>
      </c>
      <c r="J51">
        <f>IFERROR(__xludf.DUMMYFUNCTION("""COMPUTED_VALUE"""),1.0)</f>
        <v>1</v>
      </c>
      <c r="L51" s="250" t="str">
        <f>IFERROR(__xludf.DUMMYFUNCTION("""COMPUTED_VALUE"""),"")</f>
        <v/>
      </c>
      <c r="M51" s="250" t="str">
        <f>IFERROR(__xludf.DUMMYFUNCTION("""COMPUTED_VALUE"""),"")</f>
        <v/>
      </c>
      <c r="N51" s="250" t="str">
        <f>IFERROR(__xludf.DUMMYFUNCTION("""COMPUTED_VALUE"""),"")</f>
        <v/>
      </c>
      <c r="O51" s="250" t="str">
        <f>IFERROR(__xludf.DUMMYFUNCTION("""COMPUTED_VALUE"""),"")</f>
        <v/>
      </c>
      <c r="P51" s="250" t="str">
        <f>IFERROR(__xludf.DUMMYFUNCTION("""COMPUTED_VALUE"""),"")</f>
        <v/>
      </c>
      <c r="Q51" s="250" t="str">
        <f>IFERROR(__xludf.DUMMYFUNCTION("""COMPUTED_VALUE"""),"")</f>
        <v/>
      </c>
      <c r="R51" s="250" t="str">
        <f>IFERROR(__xludf.DUMMYFUNCTION("""COMPUTED_VALUE"""),"")</f>
        <v/>
      </c>
      <c r="U51" s="250">
        <f>IFERROR(__xludf.DUMMYFUNCTION("""COMPUTED_VALUE"""),5589.0)</f>
        <v>5589</v>
      </c>
      <c r="V51" s="250">
        <f>IFERROR(__xludf.DUMMYFUNCTION("""COMPUTED_VALUE"""),5319.0)</f>
        <v>5319</v>
      </c>
      <c r="W51" s="250">
        <f>IFERROR(__xludf.DUMMYFUNCTION("""COMPUTED_VALUE"""),4789.0)</f>
        <v>4789</v>
      </c>
      <c r="X51" t="b">
        <f t="shared" ref="X51:Z51" si="78">ISBLANK(K51)</f>
        <v>1</v>
      </c>
      <c r="Y51" t="b">
        <f t="shared" si="78"/>
        <v>0</v>
      </c>
      <c r="Z51" t="b">
        <f t="shared" si="78"/>
        <v>0</v>
      </c>
      <c r="AA51">
        <f t="shared" ref="AA51:AC51" si="79">IF(X51=FALSE,1,0)</f>
        <v>0</v>
      </c>
      <c r="AB51">
        <f t="shared" si="79"/>
        <v>1</v>
      </c>
      <c r="AC51">
        <f t="shared" si="79"/>
        <v>1</v>
      </c>
      <c r="AD51">
        <f t="shared" si="6"/>
        <v>2</v>
      </c>
      <c r="AE51">
        <f t="shared" si="7"/>
        <v>1</v>
      </c>
      <c r="AF51">
        <f>if(iferror(vlookup($A51,'Description Database'!$E$2:$H$951,3,0),0)=TRUE,1,0)</f>
        <v>0</v>
      </c>
      <c r="AG51">
        <f>if(iferror(vlookup($A51,'Description Database'!$E$2:$H$951,4,0),0)=TRUE,1,0)</f>
        <v>0</v>
      </c>
    </row>
    <row r="52">
      <c r="A52" t="str">
        <f>IFERROR(__xludf.DUMMYFUNCTION("""COMPUTED_VALUE"""),"Xiaomi Redmi Note 5 Pro (6 GB/64 GB)")</f>
        <v>Xiaomi Redmi Note 5 Pro (6 GB/64 GB)</v>
      </c>
      <c r="B52" t="str">
        <f>IFERROR(__xludf.DUMMYFUNCTION("""COMPUTED_VALUE"""),"")</f>
        <v/>
      </c>
      <c r="C52">
        <f>IFERROR(__xludf.DUMMYFUNCTION("""COMPUTED_VALUE"""),1.0)</f>
        <v>1</v>
      </c>
      <c r="D52" t="str">
        <f>IFERROR(__xludf.DUMMYFUNCTION("""COMPUTED_VALUE"""),"")</f>
        <v/>
      </c>
      <c r="E52">
        <f>IFERROR(__xludf.DUMMYFUNCTION("""COMPUTED_VALUE"""),1.0)</f>
        <v>1</v>
      </c>
      <c r="F52" t="str">
        <f>IFERROR(__xludf.DUMMYFUNCTION("""COMPUTED_VALUE"""),"")</f>
        <v/>
      </c>
      <c r="G52" t="str">
        <f>IFERROR(__xludf.DUMMYFUNCTION("""COMPUTED_VALUE"""),"")</f>
        <v/>
      </c>
      <c r="H52" t="str">
        <f>IFERROR(__xludf.DUMMYFUNCTION("""COMPUTED_VALUE"""),"")</f>
        <v/>
      </c>
      <c r="I52">
        <f>IFERROR(__xludf.DUMMYFUNCTION("""COMPUTED_VALUE"""),3.0)</f>
        <v>3</v>
      </c>
      <c r="J52">
        <f>IFERROR(__xludf.DUMMYFUNCTION("""COMPUTED_VALUE"""),5.0)</f>
        <v>5</v>
      </c>
      <c r="L52" s="250" t="str">
        <f>IFERROR(__xludf.DUMMYFUNCTION("""COMPUTED_VALUE"""),"")</f>
        <v/>
      </c>
      <c r="M52" s="250">
        <f>IFERROR(__xludf.DUMMYFUNCTION("""COMPUTED_VALUE"""),6889.0)</f>
        <v>6889</v>
      </c>
      <c r="N52" s="250" t="str">
        <f>IFERROR(__xludf.DUMMYFUNCTION("""COMPUTED_VALUE"""),"")</f>
        <v/>
      </c>
      <c r="O52" s="250">
        <f>IFERROR(__xludf.DUMMYFUNCTION("""COMPUTED_VALUE"""),5739.0)</f>
        <v>5739</v>
      </c>
      <c r="P52" s="250" t="str">
        <f>IFERROR(__xludf.DUMMYFUNCTION("""COMPUTED_VALUE"""),"")</f>
        <v/>
      </c>
      <c r="Q52" s="250" t="str">
        <f>IFERROR(__xludf.DUMMYFUNCTION("""COMPUTED_VALUE"""),"")</f>
        <v/>
      </c>
      <c r="R52" s="250" t="str">
        <f>IFERROR(__xludf.DUMMYFUNCTION("""COMPUTED_VALUE"""),"")</f>
        <v/>
      </c>
      <c r="U52" s="250">
        <f>IFERROR(__xludf.DUMMYFUNCTION("""COMPUTED_VALUE"""),7969.0)</f>
        <v>7969</v>
      </c>
      <c r="V52" s="250">
        <f>IFERROR(__xludf.DUMMYFUNCTION("""COMPUTED_VALUE"""),7579.0)</f>
        <v>7579</v>
      </c>
      <c r="W52" s="250">
        <f>IFERROR(__xludf.DUMMYFUNCTION("""COMPUTED_VALUE"""),6929.0)</f>
        <v>6929</v>
      </c>
      <c r="X52" t="b">
        <f t="shared" ref="X52:Z52" si="80">ISBLANK(K52)</f>
        <v>1</v>
      </c>
      <c r="Y52" t="b">
        <f t="shared" si="80"/>
        <v>0</v>
      </c>
      <c r="Z52" t="b">
        <f t="shared" si="80"/>
        <v>0</v>
      </c>
      <c r="AA52">
        <f t="shared" ref="AA52:AC52" si="81">IF(X52=FALSE,1,0)</f>
        <v>0</v>
      </c>
      <c r="AB52">
        <f t="shared" si="81"/>
        <v>1</v>
      </c>
      <c r="AC52">
        <f t="shared" si="81"/>
        <v>1</v>
      </c>
      <c r="AD52">
        <f t="shared" si="6"/>
        <v>2</v>
      </c>
      <c r="AE52">
        <f t="shared" si="7"/>
        <v>1</v>
      </c>
      <c r="AF52">
        <f>if(iferror(vlookup($A52,'Description Database'!$E$2:$H$951,3,0),0)=TRUE,1,0)</f>
        <v>0</v>
      </c>
      <c r="AG52">
        <f>if(iferror(vlookup($A52,'Description Database'!$E$2:$H$951,4,0),0)=TRUE,1,0)</f>
        <v>0</v>
      </c>
    </row>
    <row r="53">
      <c r="A53" t="str">
        <f>IFERROR(__xludf.DUMMYFUNCTION("""COMPUTED_VALUE"""),"Xiaomi POCO F1 (6 GB/128 GB)")</f>
        <v>Xiaomi POCO F1 (6 GB/128 GB)</v>
      </c>
      <c r="B53" t="str">
        <f>IFERROR(__xludf.DUMMYFUNCTION("""COMPUTED_VALUE"""),"")</f>
        <v/>
      </c>
      <c r="C53" t="str">
        <f>IFERROR(__xludf.DUMMYFUNCTION("""COMPUTED_VALUE"""),"")</f>
        <v/>
      </c>
      <c r="D53" t="str">
        <f>IFERROR(__xludf.DUMMYFUNCTION("""COMPUTED_VALUE"""),"")</f>
        <v/>
      </c>
      <c r="E53" t="str">
        <f>IFERROR(__xludf.DUMMYFUNCTION("""COMPUTED_VALUE"""),"")</f>
        <v/>
      </c>
      <c r="F53" t="str">
        <f>IFERROR(__xludf.DUMMYFUNCTION("""COMPUTED_VALUE"""),"")</f>
        <v/>
      </c>
      <c r="G53" t="str">
        <f>IFERROR(__xludf.DUMMYFUNCTION("""COMPUTED_VALUE"""),"")</f>
        <v/>
      </c>
      <c r="H53" t="str">
        <f>IFERROR(__xludf.DUMMYFUNCTION("""COMPUTED_VALUE"""),"")</f>
        <v/>
      </c>
      <c r="I53">
        <f>IFERROR(__xludf.DUMMYFUNCTION("""COMPUTED_VALUE"""),7.0)</f>
        <v>7</v>
      </c>
      <c r="J53">
        <f>IFERROR(__xludf.DUMMYFUNCTION("""COMPUTED_VALUE"""),7.0)</f>
        <v>7</v>
      </c>
      <c r="L53" s="250" t="str">
        <f>IFERROR(__xludf.DUMMYFUNCTION("""COMPUTED_VALUE"""),"")</f>
        <v/>
      </c>
      <c r="M53" s="250" t="str">
        <f>IFERROR(__xludf.DUMMYFUNCTION("""COMPUTED_VALUE"""),"")</f>
        <v/>
      </c>
      <c r="N53" s="250" t="str">
        <f>IFERROR(__xludf.DUMMYFUNCTION("""COMPUTED_VALUE"""),"")</f>
        <v/>
      </c>
      <c r="O53" s="250" t="str">
        <f>IFERROR(__xludf.DUMMYFUNCTION("""COMPUTED_VALUE"""),"")</f>
        <v/>
      </c>
      <c r="P53" s="250" t="str">
        <f>IFERROR(__xludf.DUMMYFUNCTION("""COMPUTED_VALUE"""),"")</f>
        <v/>
      </c>
      <c r="Q53" s="250" t="str">
        <f>IFERROR(__xludf.DUMMYFUNCTION("""COMPUTED_VALUE"""),"")</f>
        <v/>
      </c>
      <c r="R53" s="250" t="str">
        <f>IFERROR(__xludf.DUMMYFUNCTION("""COMPUTED_VALUE"""),"")</f>
        <v/>
      </c>
      <c r="U53" s="250">
        <f>IFERROR(__xludf.DUMMYFUNCTION("""COMPUTED_VALUE"""),10599.0)</f>
        <v>10599</v>
      </c>
      <c r="V53" s="250">
        <f>IFERROR(__xludf.DUMMYFUNCTION("""COMPUTED_VALUE"""),10089.0)</f>
        <v>10089</v>
      </c>
      <c r="W53" s="250">
        <f>IFERROR(__xludf.DUMMYFUNCTION("""COMPUTED_VALUE"""),9079.0)</f>
        <v>9079</v>
      </c>
      <c r="X53" t="b">
        <f t="shared" ref="X53:Z53" si="82">ISBLANK(K53)</f>
        <v>1</v>
      </c>
      <c r="Y53" t="b">
        <f t="shared" si="82"/>
        <v>0</v>
      </c>
      <c r="Z53" t="b">
        <f t="shared" si="82"/>
        <v>0</v>
      </c>
      <c r="AA53">
        <f t="shared" ref="AA53:AC53" si="83">IF(X53=FALSE,1,0)</f>
        <v>0</v>
      </c>
      <c r="AB53">
        <f t="shared" si="83"/>
        <v>1</v>
      </c>
      <c r="AC53">
        <f t="shared" si="83"/>
        <v>1</v>
      </c>
      <c r="AD53">
        <f t="shared" si="6"/>
        <v>2</v>
      </c>
      <c r="AE53">
        <f t="shared" si="7"/>
        <v>1</v>
      </c>
      <c r="AF53">
        <f>if(iferror(vlookup($A53,'Description Database'!$E$2:$H$951,3,0),0)=TRUE,1,0)</f>
        <v>0</v>
      </c>
      <c r="AG53">
        <f>if(iferror(vlookup($A53,'Description Database'!$E$2:$H$951,4,0),0)=TRUE,1,0)</f>
        <v>0</v>
      </c>
    </row>
    <row r="54">
      <c r="A54" t="str">
        <f>IFERROR(__xludf.DUMMYFUNCTION("""COMPUTED_VALUE"""),"Xiaomi Redmi 5A (2 GB/16 GB)")</f>
        <v>Xiaomi Redmi 5A (2 GB/16 GB)</v>
      </c>
      <c r="B54" t="str">
        <f>IFERROR(__xludf.DUMMYFUNCTION("""COMPUTED_VALUE"""),"")</f>
        <v/>
      </c>
      <c r="C54">
        <f>IFERROR(__xludf.DUMMYFUNCTION("""COMPUTED_VALUE"""),9.0)</f>
        <v>9</v>
      </c>
      <c r="D54">
        <f>IFERROR(__xludf.DUMMYFUNCTION("""COMPUTED_VALUE"""),7.0)</f>
        <v>7</v>
      </c>
      <c r="E54">
        <f>IFERROR(__xludf.DUMMYFUNCTION("""COMPUTED_VALUE"""),10.0)</f>
        <v>10</v>
      </c>
      <c r="F54" t="str">
        <f>IFERROR(__xludf.DUMMYFUNCTION("""COMPUTED_VALUE"""),"")</f>
        <v/>
      </c>
      <c r="G54">
        <f>IFERROR(__xludf.DUMMYFUNCTION("""COMPUTED_VALUE"""),3.0)</f>
        <v>3</v>
      </c>
      <c r="H54">
        <f>IFERROR(__xludf.DUMMYFUNCTION("""COMPUTED_VALUE"""),2.0)</f>
        <v>2</v>
      </c>
      <c r="I54">
        <f>IFERROR(__xludf.DUMMYFUNCTION("""COMPUTED_VALUE"""),31.0)</f>
        <v>31</v>
      </c>
      <c r="J54">
        <f>IFERROR(__xludf.DUMMYFUNCTION("""COMPUTED_VALUE"""),62.0)</f>
        <v>62</v>
      </c>
      <c r="L54" s="250" t="str">
        <f>IFERROR(__xludf.DUMMYFUNCTION("""COMPUTED_VALUE"""),"")</f>
        <v/>
      </c>
      <c r="M54" s="250">
        <f>IFERROR(__xludf.DUMMYFUNCTION("""COMPUTED_VALUE"""),3479.0)</f>
        <v>3479</v>
      </c>
      <c r="N54" s="250">
        <f>IFERROR(__xludf.DUMMYFUNCTION("""COMPUTED_VALUE"""),3179.0)</f>
        <v>3179</v>
      </c>
      <c r="O54" s="250">
        <f>IFERROR(__xludf.DUMMYFUNCTION("""COMPUTED_VALUE"""),2899.0)</f>
        <v>2899</v>
      </c>
      <c r="P54" s="250" t="str">
        <f>IFERROR(__xludf.DUMMYFUNCTION("""COMPUTED_VALUE"""),"")</f>
        <v/>
      </c>
      <c r="Q54" s="250">
        <f>IFERROR(__xludf.DUMMYFUNCTION("""COMPUTED_VALUE"""),1919.0)</f>
        <v>1919</v>
      </c>
      <c r="R54" s="250">
        <f>IFERROR(__xludf.DUMMYFUNCTION("""COMPUTED_VALUE"""),1379.0)</f>
        <v>1379</v>
      </c>
      <c r="U54" s="250">
        <f>IFERROR(__xludf.DUMMYFUNCTION("""COMPUTED_VALUE"""),4029.0)</f>
        <v>4029</v>
      </c>
      <c r="V54" s="250">
        <f>IFERROR(__xludf.DUMMYFUNCTION("""COMPUTED_VALUE"""),3829.0)</f>
        <v>3829</v>
      </c>
      <c r="W54" s="250">
        <f>IFERROR(__xludf.DUMMYFUNCTION("""COMPUTED_VALUE"""),3499.0)</f>
        <v>3499</v>
      </c>
      <c r="X54" t="b">
        <f t="shared" ref="X54:Z54" si="84">ISBLANK(K54)</f>
        <v>1</v>
      </c>
      <c r="Y54" t="b">
        <f t="shared" si="84"/>
        <v>0</v>
      </c>
      <c r="Z54" t="b">
        <f t="shared" si="84"/>
        <v>0</v>
      </c>
      <c r="AA54">
        <f t="shared" ref="AA54:AC54" si="85">IF(X54=FALSE,1,0)</f>
        <v>0</v>
      </c>
      <c r="AB54">
        <f t="shared" si="85"/>
        <v>1</v>
      </c>
      <c r="AC54">
        <f t="shared" si="85"/>
        <v>1</v>
      </c>
      <c r="AD54">
        <f t="shared" si="6"/>
        <v>2</v>
      </c>
      <c r="AE54">
        <f t="shared" si="7"/>
        <v>1</v>
      </c>
      <c r="AF54">
        <f>if(iferror(vlookup($A54,'Description Database'!$E$2:$H$951,3,0),0)=TRUE,1,0)</f>
        <v>0</v>
      </c>
      <c r="AG54">
        <f>if(iferror(vlookup($A54,'Description Database'!$E$2:$H$951,4,0),0)=TRUE,1,0)</f>
        <v>0</v>
      </c>
    </row>
    <row r="55">
      <c r="A55" t="str">
        <f>IFERROR(__xludf.DUMMYFUNCTION("""COMPUTED_VALUE"""),"Xiaomi Redmi 4 (4 GB/64 GB)")</f>
        <v>Xiaomi Redmi 4 (4 GB/64 GB)</v>
      </c>
      <c r="B55" t="str">
        <f>IFERROR(__xludf.DUMMYFUNCTION("""COMPUTED_VALUE"""),"")</f>
        <v/>
      </c>
      <c r="C55" t="str">
        <f>IFERROR(__xludf.DUMMYFUNCTION("""COMPUTED_VALUE"""),"")</f>
        <v/>
      </c>
      <c r="D55" t="str">
        <f>IFERROR(__xludf.DUMMYFUNCTION("""COMPUTED_VALUE"""),"")</f>
        <v/>
      </c>
      <c r="E55" t="str">
        <f>IFERROR(__xludf.DUMMYFUNCTION("""COMPUTED_VALUE"""),"")</f>
        <v/>
      </c>
      <c r="F55" t="str">
        <f>IFERROR(__xludf.DUMMYFUNCTION("""COMPUTED_VALUE"""),"")</f>
        <v/>
      </c>
      <c r="G55" t="str">
        <f>IFERROR(__xludf.DUMMYFUNCTION("""COMPUTED_VALUE"""),"")</f>
        <v/>
      </c>
      <c r="H55">
        <f>IFERROR(__xludf.DUMMYFUNCTION("""COMPUTED_VALUE"""),1.0)</f>
        <v>1</v>
      </c>
      <c r="I55">
        <f>IFERROR(__xludf.DUMMYFUNCTION("""COMPUTED_VALUE"""),7.0)</f>
        <v>7</v>
      </c>
      <c r="J55">
        <f>IFERROR(__xludf.DUMMYFUNCTION("""COMPUTED_VALUE"""),8.0)</f>
        <v>8</v>
      </c>
      <c r="L55" s="250" t="str">
        <f>IFERROR(__xludf.DUMMYFUNCTION("""COMPUTED_VALUE"""),"")</f>
        <v/>
      </c>
      <c r="M55" s="250" t="str">
        <f>IFERROR(__xludf.DUMMYFUNCTION("""COMPUTED_VALUE"""),"")</f>
        <v/>
      </c>
      <c r="N55" s="250" t="str">
        <f>IFERROR(__xludf.DUMMYFUNCTION("""COMPUTED_VALUE"""),"")</f>
        <v/>
      </c>
      <c r="O55" s="250" t="str">
        <f>IFERROR(__xludf.DUMMYFUNCTION("""COMPUTED_VALUE"""),"")</f>
        <v/>
      </c>
      <c r="P55" s="250" t="str">
        <f>IFERROR(__xludf.DUMMYFUNCTION("""COMPUTED_VALUE"""),"")</f>
        <v/>
      </c>
      <c r="Q55" s="250" t="str">
        <f>IFERROR(__xludf.DUMMYFUNCTION("""COMPUTED_VALUE"""),"")</f>
        <v/>
      </c>
      <c r="R55" s="250">
        <f>IFERROR(__xludf.DUMMYFUNCTION("""COMPUTED_VALUE"""),1679.0)</f>
        <v>1679</v>
      </c>
      <c r="U55" s="250">
        <f>IFERROR(__xludf.DUMMYFUNCTION("""COMPUTED_VALUE"""),4879.0)</f>
        <v>4879</v>
      </c>
      <c r="V55" s="250">
        <f>IFERROR(__xludf.DUMMYFUNCTION("""COMPUTED_VALUE"""),4649.0)</f>
        <v>4649</v>
      </c>
      <c r="W55" s="250">
        <f>IFERROR(__xludf.DUMMYFUNCTION("""COMPUTED_VALUE"""),4169.0)</f>
        <v>4169</v>
      </c>
      <c r="X55" t="b">
        <f t="shared" ref="X55:Z55" si="86">ISBLANK(K55)</f>
        <v>1</v>
      </c>
      <c r="Y55" t="b">
        <f t="shared" si="86"/>
        <v>0</v>
      </c>
      <c r="Z55" t="b">
        <f t="shared" si="86"/>
        <v>0</v>
      </c>
      <c r="AA55">
        <f t="shared" ref="AA55:AC55" si="87">IF(X55=FALSE,1,0)</f>
        <v>0</v>
      </c>
      <c r="AB55">
        <f t="shared" si="87"/>
        <v>1</v>
      </c>
      <c r="AC55">
        <f t="shared" si="87"/>
        <v>1</v>
      </c>
      <c r="AD55">
        <f t="shared" si="6"/>
        <v>2</v>
      </c>
      <c r="AE55">
        <f t="shared" si="7"/>
        <v>1</v>
      </c>
      <c r="AF55">
        <f>if(iferror(vlookup($A55,'Description Database'!$E$2:$H$951,3,0),0)=TRUE,1,0)</f>
        <v>0</v>
      </c>
      <c r="AG55">
        <f>if(iferror(vlookup($A55,'Description Database'!$E$2:$H$951,4,0),0)=TRUE,1,0)</f>
        <v>1</v>
      </c>
    </row>
    <row r="56">
      <c r="A56" t="str">
        <f>IFERROR(__xludf.DUMMYFUNCTION("""COMPUTED_VALUE"""),"Apple iPhone 6S (2 GB/16 GB)")</f>
        <v>Apple iPhone 6S (2 GB/16 GB)</v>
      </c>
      <c r="B56" t="str">
        <f>IFERROR(__xludf.DUMMYFUNCTION("""COMPUTED_VALUE"""),"")</f>
        <v/>
      </c>
      <c r="C56" t="str">
        <f>IFERROR(__xludf.DUMMYFUNCTION("""COMPUTED_VALUE"""),"")</f>
        <v/>
      </c>
      <c r="D56" t="str">
        <f>IFERROR(__xludf.DUMMYFUNCTION("""COMPUTED_VALUE"""),"")</f>
        <v/>
      </c>
      <c r="E56">
        <f>IFERROR(__xludf.DUMMYFUNCTION("""COMPUTED_VALUE"""),1.0)</f>
        <v>1</v>
      </c>
      <c r="F56" t="str">
        <f>IFERROR(__xludf.DUMMYFUNCTION("""COMPUTED_VALUE"""),"")</f>
        <v/>
      </c>
      <c r="G56" t="str">
        <f>IFERROR(__xludf.DUMMYFUNCTION("""COMPUTED_VALUE"""),"")</f>
        <v/>
      </c>
      <c r="H56" t="str">
        <f>IFERROR(__xludf.DUMMYFUNCTION("""COMPUTED_VALUE"""),"")</f>
        <v/>
      </c>
      <c r="I56" t="str">
        <f>IFERROR(__xludf.DUMMYFUNCTION("""COMPUTED_VALUE"""),"")</f>
        <v/>
      </c>
      <c r="J56">
        <f>IFERROR(__xludf.DUMMYFUNCTION("""COMPUTED_VALUE"""),1.0)</f>
        <v>1</v>
      </c>
      <c r="L56" s="250" t="str">
        <f>IFERROR(__xludf.DUMMYFUNCTION("""COMPUTED_VALUE"""),"")</f>
        <v/>
      </c>
      <c r="M56" s="250" t="str">
        <f>IFERROR(__xludf.DUMMYFUNCTION("""COMPUTED_VALUE"""),"")</f>
        <v/>
      </c>
      <c r="N56" s="250" t="str">
        <f>IFERROR(__xludf.DUMMYFUNCTION("""COMPUTED_VALUE"""),"")</f>
        <v/>
      </c>
      <c r="O56" s="250">
        <f>IFERROR(__xludf.DUMMYFUNCTION("""COMPUTED_VALUE"""),5549.0)</f>
        <v>5549</v>
      </c>
      <c r="P56" s="250" t="str">
        <f>IFERROR(__xludf.DUMMYFUNCTION("""COMPUTED_VALUE"""),"")</f>
        <v/>
      </c>
      <c r="Q56" s="250" t="str">
        <f>IFERROR(__xludf.DUMMYFUNCTION("""COMPUTED_VALUE"""),"")</f>
        <v/>
      </c>
      <c r="R56" s="250" t="str">
        <f>IFERROR(__xludf.DUMMYFUNCTION("""COMPUTED_VALUE"""),"")</f>
        <v/>
      </c>
      <c r="U56" s="250">
        <f>IFERROR(__xludf.DUMMYFUNCTION("""COMPUTED_VALUE"""),7769.0)</f>
        <v>7769</v>
      </c>
      <c r="V56" s="250">
        <f>IFERROR(__xludf.DUMMYFUNCTION("""COMPUTED_VALUE"""),7399.0)</f>
        <v>7399</v>
      </c>
      <c r="W56" s="250">
        <f>IFERROR(__xludf.DUMMYFUNCTION("""COMPUTED_VALUE"""),6659.0)</f>
        <v>6659</v>
      </c>
      <c r="X56" t="b">
        <f t="shared" ref="X56:Z56" si="88">ISBLANK(K56)</f>
        <v>1</v>
      </c>
      <c r="Y56" t="b">
        <f t="shared" si="88"/>
        <v>0</v>
      </c>
      <c r="Z56" t="b">
        <f t="shared" si="88"/>
        <v>0</v>
      </c>
      <c r="AA56">
        <f t="shared" ref="AA56:AC56" si="89">IF(X56=FALSE,1,0)</f>
        <v>0</v>
      </c>
      <c r="AB56">
        <f t="shared" si="89"/>
        <v>1</v>
      </c>
      <c r="AC56">
        <f t="shared" si="89"/>
        <v>1</v>
      </c>
      <c r="AD56">
        <f t="shared" si="6"/>
        <v>2</v>
      </c>
      <c r="AE56">
        <f t="shared" si="7"/>
        <v>1</v>
      </c>
      <c r="AF56">
        <f>if(iferror(vlookup($A56,'Description Database'!$E$2:$H$951,3,0),0)=TRUE,1,0)</f>
        <v>0</v>
      </c>
      <c r="AG56">
        <f>if(iferror(vlookup($A56,'Description Database'!$E$2:$H$951,4,0),0)=TRUE,1,0)</f>
        <v>0</v>
      </c>
    </row>
    <row r="57">
      <c r="A57" t="str">
        <f>IFERROR(__xludf.DUMMYFUNCTION("""COMPUTED_VALUE"""),"Honor 9 Lite (3 GB/32 GB)")</f>
        <v>Honor 9 Lite (3 GB/32 GB)</v>
      </c>
      <c r="B57" t="str">
        <f>IFERROR(__xludf.DUMMYFUNCTION("""COMPUTED_VALUE"""),"")</f>
        <v/>
      </c>
      <c r="C57" t="str">
        <f>IFERROR(__xludf.DUMMYFUNCTION("""COMPUTED_VALUE"""),"")</f>
        <v/>
      </c>
      <c r="D57" t="str">
        <f>IFERROR(__xludf.DUMMYFUNCTION("""COMPUTED_VALUE"""),"")</f>
        <v/>
      </c>
      <c r="E57" t="str">
        <f>IFERROR(__xludf.DUMMYFUNCTION("""COMPUTED_VALUE"""),"")</f>
        <v/>
      </c>
      <c r="F57">
        <f>IFERROR(__xludf.DUMMYFUNCTION("""COMPUTED_VALUE"""),1.0)</f>
        <v>1</v>
      </c>
      <c r="G57" t="str">
        <f>IFERROR(__xludf.DUMMYFUNCTION("""COMPUTED_VALUE"""),"")</f>
        <v/>
      </c>
      <c r="H57">
        <f>IFERROR(__xludf.DUMMYFUNCTION("""COMPUTED_VALUE"""),1.0)</f>
        <v>1</v>
      </c>
      <c r="I57">
        <f>IFERROR(__xludf.DUMMYFUNCTION("""COMPUTED_VALUE"""),12.0)</f>
        <v>12</v>
      </c>
      <c r="J57">
        <f>IFERROR(__xludf.DUMMYFUNCTION("""COMPUTED_VALUE"""),14.0)</f>
        <v>14</v>
      </c>
      <c r="L57" s="250" t="str">
        <f>IFERROR(__xludf.DUMMYFUNCTION("""COMPUTED_VALUE"""),"")</f>
        <v/>
      </c>
      <c r="M57" s="250" t="str">
        <f>IFERROR(__xludf.DUMMYFUNCTION("""COMPUTED_VALUE"""),"")</f>
        <v/>
      </c>
      <c r="N57" s="250" t="str">
        <f>IFERROR(__xludf.DUMMYFUNCTION("""COMPUTED_VALUE"""),"")</f>
        <v/>
      </c>
      <c r="O57" s="250" t="str">
        <f>IFERROR(__xludf.DUMMYFUNCTION("""COMPUTED_VALUE"""),"")</f>
        <v/>
      </c>
      <c r="P57" s="250">
        <f>IFERROR(__xludf.DUMMYFUNCTION("""COMPUTED_VALUE"""),3569.0)</f>
        <v>3569</v>
      </c>
      <c r="Q57" s="250" t="str">
        <f>IFERROR(__xludf.DUMMYFUNCTION("""COMPUTED_VALUE"""),"")</f>
        <v/>
      </c>
      <c r="R57" s="250">
        <f>IFERROR(__xludf.DUMMYFUNCTION("""COMPUTED_VALUE"""),1889.0)</f>
        <v>1889</v>
      </c>
      <c r="U57" s="250">
        <f>IFERROR(__xludf.DUMMYFUNCTION("""COMPUTED_VALUE"""),5479.0)</f>
        <v>5479</v>
      </c>
      <c r="V57" s="250">
        <f>IFERROR(__xludf.DUMMYFUNCTION("""COMPUTED_VALUE"""),5219.0)</f>
        <v>5219</v>
      </c>
      <c r="W57" s="250">
        <f>IFERROR(__xludf.DUMMYFUNCTION("""COMPUTED_VALUE"""),4699.0)</f>
        <v>4699</v>
      </c>
      <c r="X57" t="b">
        <f t="shared" ref="X57:Z57" si="90">ISBLANK(K57)</f>
        <v>1</v>
      </c>
      <c r="Y57" t="b">
        <f t="shared" si="90"/>
        <v>0</v>
      </c>
      <c r="Z57" t="b">
        <f t="shared" si="90"/>
        <v>0</v>
      </c>
      <c r="AA57">
        <f t="shared" ref="AA57:AC57" si="91">IF(X57=FALSE,1,0)</f>
        <v>0</v>
      </c>
      <c r="AB57">
        <f t="shared" si="91"/>
        <v>1</v>
      </c>
      <c r="AC57">
        <f t="shared" si="91"/>
        <v>1</v>
      </c>
      <c r="AD57">
        <f t="shared" si="6"/>
        <v>2</v>
      </c>
      <c r="AE57">
        <f t="shared" si="7"/>
        <v>1</v>
      </c>
      <c r="AF57">
        <f>if(iferror(vlookup($A57,'Description Database'!$E$2:$H$951,3,0),0)=TRUE,1,0)</f>
        <v>0</v>
      </c>
      <c r="AG57">
        <f>if(iferror(vlookup($A57,'Description Database'!$E$2:$H$951,4,0),0)=TRUE,1,0)</f>
        <v>0</v>
      </c>
    </row>
    <row r="58">
      <c r="A58" t="str">
        <f>IFERROR(__xludf.DUMMYFUNCTION("""COMPUTED_VALUE"""),"Xiaomi Redmi Y1 (3 GB/32 GB)")</f>
        <v>Xiaomi Redmi Y1 (3 GB/32 GB)</v>
      </c>
      <c r="B58" t="str">
        <f>IFERROR(__xludf.DUMMYFUNCTION("""COMPUTED_VALUE"""),"")</f>
        <v/>
      </c>
      <c r="C58" t="str">
        <f>IFERROR(__xludf.DUMMYFUNCTION("""COMPUTED_VALUE"""),"")</f>
        <v/>
      </c>
      <c r="D58">
        <f>IFERROR(__xludf.DUMMYFUNCTION("""COMPUTED_VALUE"""),6.0)</f>
        <v>6</v>
      </c>
      <c r="E58">
        <f>IFERROR(__xludf.DUMMYFUNCTION("""COMPUTED_VALUE"""),3.0)</f>
        <v>3</v>
      </c>
      <c r="F58">
        <f>IFERROR(__xludf.DUMMYFUNCTION("""COMPUTED_VALUE"""),6.0)</f>
        <v>6</v>
      </c>
      <c r="G58">
        <f>IFERROR(__xludf.DUMMYFUNCTION("""COMPUTED_VALUE"""),2.0)</f>
        <v>2</v>
      </c>
      <c r="H58">
        <f>IFERROR(__xludf.DUMMYFUNCTION("""COMPUTED_VALUE"""),2.0)</f>
        <v>2</v>
      </c>
      <c r="I58">
        <f>IFERROR(__xludf.DUMMYFUNCTION("""COMPUTED_VALUE"""),36.0)</f>
        <v>36</v>
      </c>
      <c r="J58">
        <f>IFERROR(__xludf.DUMMYFUNCTION("""COMPUTED_VALUE"""),55.0)</f>
        <v>55</v>
      </c>
      <c r="L58" s="250" t="str">
        <f>IFERROR(__xludf.DUMMYFUNCTION("""COMPUTED_VALUE"""),"")</f>
        <v/>
      </c>
      <c r="M58" s="250" t="str">
        <f>IFERROR(__xludf.DUMMYFUNCTION("""COMPUTED_VALUE"""),"")</f>
        <v/>
      </c>
      <c r="N58" s="250">
        <f>IFERROR(__xludf.DUMMYFUNCTION("""COMPUTED_VALUE"""),4239.0)</f>
        <v>4239</v>
      </c>
      <c r="O58" s="250">
        <f>IFERROR(__xludf.DUMMYFUNCTION("""COMPUTED_VALUE"""),3859.0)</f>
        <v>3859</v>
      </c>
      <c r="P58" s="250">
        <f>IFERROR(__xludf.DUMMYFUNCTION("""COMPUTED_VALUE"""),3479.0)</f>
        <v>3479</v>
      </c>
      <c r="Q58" s="250">
        <f>IFERROR(__xludf.DUMMYFUNCTION("""COMPUTED_VALUE"""),2419.0)</f>
        <v>2419</v>
      </c>
      <c r="R58" s="250">
        <f>IFERROR(__xludf.DUMMYFUNCTION("""COMPUTED_VALUE"""),1839.0)</f>
        <v>1839</v>
      </c>
      <c r="U58" s="250">
        <f>IFERROR(__xludf.DUMMYFUNCTION("""COMPUTED_VALUE"""),5369.0)</f>
        <v>5369</v>
      </c>
      <c r="V58" s="250">
        <f>IFERROR(__xludf.DUMMYFUNCTION("""COMPUTED_VALUE"""),5109.0)</f>
        <v>5109</v>
      </c>
      <c r="W58" s="250">
        <f>IFERROR(__xludf.DUMMYFUNCTION("""COMPUTED_VALUE"""),4669.0)</f>
        <v>4669</v>
      </c>
      <c r="X58" t="b">
        <f t="shared" ref="X58:Z58" si="92">ISBLANK(K58)</f>
        <v>1</v>
      </c>
      <c r="Y58" t="b">
        <f t="shared" si="92"/>
        <v>0</v>
      </c>
      <c r="Z58" t="b">
        <f t="shared" si="92"/>
        <v>0</v>
      </c>
      <c r="AA58">
        <f t="shared" ref="AA58:AC58" si="93">IF(X58=FALSE,1,0)</f>
        <v>0</v>
      </c>
      <c r="AB58">
        <f t="shared" si="93"/>
        <v>1</v>
      </c>
      <c r="AC58">
        <f t="shared" si="93"/>
        <v>1</v>
      </c>
      <c r="AD58">
        <f t="shared" si="6"/>
        <v>2</v>
      </c>
      <c r="AE58">
        <f t="shared" si="7"/>
        <v>1</v>
      </c>
      <c r="AF58">
        <f>if(iferror(vlookup($A58,'Description Database'!$E$2:$H$951,3,0),0)=TRUE,1,0)</f>
        <v>0</v>
      </c>
      <c r="AG58">
        <f>if(iferror(vlookup($A58,'Description Database'!$E$2:$H$951,4,0),0)=TRUE,1,0)</f>
        <v>1</v>
      </c>
    </row>
    <row r="59">
      <c r="A59" t="str">
        <f>IFERROR(__xludf.DUMMYFUNCTION("""COMPUTED_VALUE"""),"Apple iPhone 7 Plus (3 GB/128 GB)")</f>
        <v>Apple iPhone 7 Plus (3 GB/128 GB)</v>
      </c>
      <c r="B59" t="str">
        <f>IFERROR(__xludf.DUMMYFUNCTION("""COMPUTED_VALUE"""),"")</f>
        <v/>
      </c>
      <c r="C59" t="str">
        <f>IFERROR(__xludf.DUMMYFUNCTION("""COMPUTED_VALUE"""),"")</f>
        <v/>
      </c>
      <c r="D59" t="str">
        <f>IFERROR(__xludf.DUMMYFUNCTION("""COMPUTED_VALUE"""),"")</f>
        <v/>
      </c>
      <c r="E59">
        <f>IFERROR(__xludf.DUMMYFUNCTION("""COMPUTED_VALUE"""),2.0)</f>
        <v>2</v>
      </c>
      <c r="F59">
        <f>IFERROR(__xludf.DUMMYFUNCTION("""COMPUTED_VALUE"""),1.0)</f>
        <v>1</v>
      </c>
      <c r="G59">
        <f>IFERROR(__xludf.DUMMYFUNCTION("""COMPUTED_VALUE"""),1.0)</f>
        <v>1</v>
      </c>
      <c r="H59">
        <f>IFERROR(__xludf.DUMMYFUNCTION("""COMPUTED_VALUE"""),2.0)</f>
        <v>2</v>
      </c>
      <c r="I59">
        <f>IFERROR(__xludf.DUMMYFUNCTION("""COMPUTED_VALUE"""),1.0)</f>
        <v>1</v>
      </c>
      <c r="J59">
        <f>IFERROR(__xludf.DUMMYFUNCTION("""COMPUTED_VALUE"""),7.0)</f>
        <v>7</v>
      </c>
      <c r="L59" s="250" t="str">
        <f>IFERROR(__xludf.DUMMYFUNCTION("""COMPUTED_VALUE"""),"")</f>
        <v/>
      </c>
      <c r="M59" s="250" t="str">
        <f>IFERROR(__xludf.DUMMYFUNCTION("""COMPUTED_VALUE"""),"")</f>
        <v/>
      </c>
      <c r="N59" s="250" t="str">
        <f>IFERROR(__xludf.DUMMYFUNCTION("""COMPUTED_VALUE"""),"")</f>
        <v/>
      </c>
      <c r="O59" s="250">
        <f>IFERROR(__xludf.DUMMYFUNCTION("""COMPUTED_VALUE"""),14079.0)</f>
        <v>14079</v>
      </c>
      <c r="P59" s="250">
        <f>IFERROR(__xludf.DUMMYFUNCTION("""COMPUTED_VALUE"""),12799.0)</f>
        <v>12799</v>
      </c>
      <c r="Q59" s="250">
        <f>IFERROR(__xludf.DUMMYFUNCTION("""COMPUTED_VALUE"""),9799.0)</f>
        <v>9799</v>
      </c>
      <c r="R59" s="250">
        <f>IFERROR(__xludf.DUMMYFUNCTION("""COMPUTED_VALUE"""),6759.0)</f>
        <v>6759</v>
      </c>
      <c r="U59" s="250">
        <f>IFERROR(__xludf.DUMMYFUNCTION("""COMPUTED_VALUE"""),19719.0)</f>
        <v>19719</v>
      </c>
      <c r="V59" s="250">
        <f>IFERROR(__xludf.DUMMYFUNCTION("""COMPUTED_VALUE"""),18769.0)</f>
        <v>18769</v>
      </c>
      <c r="W59" s="250">
        <f>IFERROR(__xludf.DUMMYFUNCTION("""COMPUTED_VALUE"""),16899.0)</f>
        <v>16899</v>
      </c>
      <c r="X59" t="b">
        <f t="shared" ref="X59:Z59" si="94">ISBLANK(K59)</f>
        <v>1</v>
      </c>
      <c r="Y59" t="b">
        <f t="shared" si="94"/>
        <v>0</v>
      </c>
      <c r="Z59" t="b">
        <f t="shared" si="94"/>
        <v>0</v>
      </c>
      <c r="AA59">
        <f t="shared" ref="AA59:AC59" si="95">IF(X59=FALSE,1,0)</f>
        <v>0</v>
      </c>
      <c r="AB59">
        <f t="shared" si="95"/>
        <v>1</v>
      </c>
      <c r="AC59">
        <f t="shared" si="95"/>
        <v>1</v>
      </c>
      <c r="AD59">
        <f t="shared" si="6"/>
        <v>2</v>
      </c>
      <c r="AE59">
        <f t="shared" si="7"/>
        <v>1</v>
      </c>
      <c r="AF59">
        <f>if(iferror(vlookup($A59,'Description Database'!$E$2:$H$951,3,0),0)=TRUE,1,0)</f>
        <v>0</v>
      </c>
      <c r="AG59">
        <f>if(iferror(vlookup($A59,'Description Database'!$E$2:$H$951,4,0),0)=TRUE,1,0)</f>
        <v>0</v>
      </c>
    </row>
    <row r="60">
      <c r="A60" t="str">
        <f>IFERROR(__xludf.DUMMYFUNCTION("""COMPUTED_VALUE"""),"Samsung Galaxy Note 8 (6 GB/64 GB)")</f>
        <v>Samsung Galaxy Note 8 (6 GB/64 GB)</v>
      </c>
      <c r="B60" t="str">
        <f>IFERROR(__xludf.DUMMYFUNCTION("""COMPUTED_VALUE"""),"")</f>
        <v/>
      </c>
      <c r="C60" t="str">
        <f>IFERROR(__xludf.DUMMYFUNCTION("""COMPUTED_VALUE"""),"")</f>
        <v/>
      </c>
      <c r="D60" t="str">
        <f>IFERROR(__xludf.DUMMYFUNCTION("""COMPUTED_VALUE"""),"")</f>
        <v/>
      </c>
      <c r="E60" t="str">
        <f>IFERROR(__xludf.DUMMYFUNCTION("""COMPUTED_VALUE"""),"")</f>
        <v/>
      </c>
      <c r="F60">
        <f>IFERROR(__xludf.DUMMYFUNCTION("""COMPUTED_VALUE"""),1.0)</f>
        <v>1</v>
      </c>
      <c r="G60">
        <f>IFERROR(__xludf.DUMMYFUNCTION("""COMPUTED_VALUE"""),4.0)</f>
        <v>4</v>
      </c>
      <c r="H60" t="str">
        <f>IFERROR(__xludf.DUMMYFUNCTION("""COMPUTED_VALUE"""),"")</f>
        <v/>
      </c>
      <c r="I60">
        <f>IFERROR(__xludf.DUMMYFUNCTION("""COMPUTED_VALUE"""),1.0)</f>
        <v>1</v>
      </c>
      <c r="J60">
        <f>IFERROR(__xludf.DUMMYFUNCTION("""COMPUTED_VALUE"""),6.0)</f>
        <v>6</v>
      </c>
      <c r="L60" s="250" t="str">
        <f>IFERROR(__xludf.DUMMYFUNCTION("""COMPUTED_VALUE"""),"")</f>
        <v/>
      </c>
      <c r="M60" s="250" t="str">
        <f>IFERROR(__xludf.DUMMYFUNCTION("""COMPUTED_VALUE"""),"")</f>
        <v/>
      </c>
      <c r="N60" s="250" t="str">
        <f>IFERROR(__xludf.DUMMYFUNCTION("""COMPUTED_VALUE"""),"")</f>
        <v/>
      </c>
      <c r="O60" s="250" t="str">
        <f>IFERROR(__xludf.DUMMYFUNCTION("""COMPUTED_VALUE"""),"")</f>
        <v/>
      </c>
      <c r="P60" s="250">
        <f>IFERROR(__xludf.DUMMYFUNCTION("""COMPUTED_VALUE"""),10149.0)</f>
        <v>10149</v>
      </c>
      <c r="Q60" s="250">
        <f>IFERROR(__xludf.DUMMYFUNCTION("""COMPUTED_VALUE"""),5759.0)</f>
        <v>5759</v>
      </c>
      <c r="R60" s="250" t="str">
        <f>IFERROR(__xludf.DUMMYFUNCTION("""COMPUTED_VALUE"""),"")</f>
        <v/>
      </c>
      <c r="U60" s="250">
        <f>IFERROR(__xludf.DUMMYFUNCTION("""COMPUTED_VALUE"""),15629.0)</f>
        <v>15629</v>
      </c>
      <c r="V60" s="250">
        <f>IFERROR(__xludf.DUMMYFUNCTION("""COMPUTED_VALUE"""),14889.0)</f>
        <v>14889</v>
      </c>
      <c r="W60" s="250">
        <f>IFERROR(__xludf.DUMMYFUNCTION("""COMPUTED_VALUE"""),13399.0)</f>
        <v>13399</v>
      </c>
      <c r="X60" t="b">
        <f t="shared" ref="X60:Z60" si="96">ISBLANK(K60)</f>
        <v>1</v>
      </c>
      <c r="Y60" t="b">
        <f t="shared" si="96"/>
        <v>0</v>
      </c>
      <c r="Z60" t="b">
        <f t="shared" si="96"/>
        <v>0</v>
      </c>
      <c r="AA60">
        <f t="shared" ref="AA60:AC60" si="97">IF(X60=FALSE,1,0)</f>
        <v>0</v>
      </c>
      <c r="AB60">
        <f t="shared" si="97"/>
        <v>1</v>
      </c>
      <c r="AC60">
        <f t="shared" si="97"/>
        <v>1</v>
      </c>
      <c r="AD60">
        <f t="shared" si="6"/>
        <v>2</v>
      </c>
      <c r="AE60">
        <f t="shared" si="7"/>
        <v>1</v>
      </c>
      <c r="AF60">
        <f>if(iferror(vlookup($A60,'Description Database'!$E$2:$H$951,3,0),0)=TRUE,1,0)</f>
        <v>0</v>
      </c>
      <c r="AG60">
        <f>if(iferror(vlookup($A60,'Description Database'!$E$2:$H$951,4,0),0)=TRUE,1,0)</f>
        <v>0</v>
      </c>
    </row>
    <row r="61">
      <c r="A61" t="str">
        <f>IFERROR(__xludf.DUMMYFUNCTION("""COMPUTED_VALUE"""),"Samsung Galaxy S9 Plus (6 GB/64 GB)")</f>
        <v>Samsung Galaxy S9 Plus (6 GB/64 GB)</v>
      </c>
      <c r="B61" t="str">
        <f>IFERROR(__xludf.DUMMYFUNCTION("""COMPUTED_VALUE"""),"")</f>
        <v/>
      </c>
      <c r="C61" t="str">
        <f>IFERROR(__xludf.DUMMYFUNCTION("""COMPUTED_VALUE"""),"")</f>
        <v/>
      </c>
      <c r="D61" t="str">
        <f>IFERROR(__xludf.DUMMYFUNCTION("""COMPUTED_VALUE"""),"")</f>
        <v/>
      </c>
      <c r="E61" t="str">
        <f>IFERROR(__xludf.DUMMYFUNCTION("""COMPUTED_VALUE"""),"")</f>
        <v/>
      </c>
      <c r="F61">
        <f>IFERROR(__xludf.DUMMYFUNCTION("""COMPUTED_VALUE"""),1.0)</f>
        <v>1</v>
      </c>
      <c r="G61" t="str">
        <f>IFERROR(__xludf.DUMMYFUNCTION("""COMPUTED_VALUE"""),"")</f>
        <v/>
      </c>
      <c r="H61">
        <f>IFERROR(__xludf.DUMMYFUNCTION("""COMPUTED_VALUE"""),2.0)</f>
        <v>2</v>
      </c>
      <c r="I61" t="str">
        <f>IFERROR(__xludf.DUMMYFUNCTION("""COMPUTED_VALUE"""),"")</f>
        <v/>
      </c>
      <c r="J61">
        <f>IFERROR(__xludf.DUMMYFUNCTION("""COMPUTED_VALUE"""),3.0)</f>
        <v>3</v>
      </c>
      <c r="L61" s="250" t="str">
        <f>IFERROR(__xludf.DUMMYFUNCTION("""COMPUTED_VALUE"""),"")</f>
        <v/>
      </c>
      <c r="M61" s="250" t="str">
        <f>IFERROR(__xludf.DUMMYFUNCTION("""COMPUTED_VALUE"""),"")</f>
        <v/>
      </c>
      <c r="N61" s="250" t="str">
        <f>IFERROR(__xludf.DUMMYFUNCTION("""COMPUTED_VALUE"""),"")</f>
        <v/>
      </c>
      <c r="O61" s="250" t="str">
        <f>IFERROR(__xludf.DUMMYFUNCTION("""COMPUTED_VALUE"""),"")</f>
        <v/>
      </c>
      <c r="P61" s="250">
        <f>IFERROR(__xludf.DUMMYFUNCTION("""COMPUTED_VALUE"""),10189.0)</f>
        <v>10189</v>
      </c>
      <c r="Q61" s="250" t="str">
        <f>IFERROR(__xludf.DUMMYFUNCTION("""COMPUTED_VALUE"""),"")</f>
        <v/>
      </c>
      <c r="R61" s="250">
        <f>IFERROR(__xludf.DUMMYFUNCTION("""COMPUTED_VALUE"""),4549.0)</f>
        <v>4549</v>
      </c>
      <c r="U61" s="250">
        <f>IFERROR(__xludf.DUMMYFUNCTION("""COMPUTED_VALUE"""),15689.0)</f>
        <v>15689</v>
      </c>
      <c r="V61" s="250">
        <f>IFERROR(__xludf.DUMMYFUNCTION("""COMPUTED_VALUE"""),14939.0)</f>
        <v>14939</v>
      </c>
      <c r="W61" s="250">
        <f>IFERROR(__xludf.DUMMYFUNCTION("""COMPUTED_VALUE"""),13459.0)</f>
        <v>13459</v>
      </c>
      <c r="X61" t="b">
        <f t="shared" ref="X61:Z61" si="98">ISBLANK(K61)</f>
        <v>1</v>
      </c>
      <c r="Y61" t="b">
        <f t="shared" si="98"/>
        <v>0</v>
      </c>
      <c r="Z61" t="b">
        <f t="shared" si="98"/>
        <v>0</v>
      </c>
      <c r="AA61">
        <f t="shared" ref="AA61:AC61" si="99">IF(X61=FALSE,1,0)</f>
        <v>0</v>
      </c>
      <c r="AB61">
        <f t="shared" si="99"/>
        <v>1</v>
      </c>
      <c r="AC61">
        <f t="shared" si="99"/>
        <v>1</v>
      </c>
      <c r="AD61">
        <f t="shared" si="6"/>
        <v>2</v>
      </c>
      <c r="AE61">
        <f t="shared" si="7"/>
        <v>1</v>
      </c>
      <c r="AF61">
        <f>if(iferror(vlookup($A61,'Description Database'!$E$2:$H$951,3,0),0)=TRUE,1,0)</f>
        <v>0</v>
      </c>
      <c r="AG61">
        <f>if(iferror(vlookup($A61,'Description Database'!$E$2:$H$951,4,0),0)=TRUE,1,0)</f>
        <v>0</v>
      </c>
    </row>
    <row r="62">
      <c r="A62" t="str">
        <f>IFERROR(__xludf.DUMMYFUNCTION("""COMPUTED_VALUE"""),"Apple iPhone 6S Plus (2 GB/64 GB)")</f>
        <v>Apple iPhone 6S Plus (2 GB/64 GB)</v>
      </c>
      <c r="B62" t="str">
        <f>IFERROR(__xludf.DUMMYFUNCTION("""COMPUTED_VALUE"""),"")</f>
        <v/>
      </c>
      <c r="C62" t="str">
        <f>IFERROR(__xludf.DUMMYFUNCTION("""COMPUTED_VALUE"""),"")</f>
        <v/>
      </c>
      <c r="D62" t="str">
        <f>IFERROR(__xludf.DUMMYFUNCTION("""COMPUTED_VALUE"""),"")</f>
        <v/>
      </c>
      <c r="E62">
        <f>IFERROR(__xludf.DUMMYFUNCTION("""COMPUTED_VALUE"""),1.0)</f>
        <v>1</v>
      </c>
      <c r="F62" t="str">
        <f>IFERROR(__xludf.DUMMYFUNCTION("""COMPUTED_VALUE"""),"")</f>
        <v/>
      </c>
      <c r="G62" t="str">
        <f>IFERROR(__xludf.DUMMYFUNCTION("""COMPUTED_VALUE"""),"")</f>
        <v/>
      </c>
      <c r="H62" t="str">
        <f>IFERROR(__xludf.DUMMYFUNCTION("""COMPUTED_VALUE"""),"")</f>
        <v/>
      </c>
      <c r="I62" t="str">
        <f>IFERROR(__xludf.DUMMYFUNCTION("""COMPUTED_VALUE"""),"")</f>
        <v/>
      </c>
      <c r="J62">
        <f>IFERROR(__xludf.DUMMYFUNCTION("""COMPUTED_VALUE"""),1.0)</f>
        <v>1</v>
      </c>
      <c r="L62" s="250" t="str">
        <f>IFERROR(__xludf.DUMMYFUNCTION("""COMPUTED_VALUE"""),"")</f>
        <v/>
      </c>
      <c r="M62" s="250" t="str">
        <f>IFERROR(__xludf.DUMMYFUNCTION("""COMPUTED_VALUE"""),"")</f>
        <v/>
      </c>
      <c r="N62" s="250" t="str">
        <f>IFERROR(__xludf.DUMMYFUNCTION("""COMPUTED_VALUE"""),"")</f>
        <v/>
      </c>
      <c r="O62" s="250">
        <f>IFERROR(__xludf.DUMMYFUNCTION("""COMPUTED_VALUE"""),8324.0)</f>
        <v>8324</v>
      </c>
      <c r="P62" s="250" t="str">
        <f>IFERROR(__xludf.DUMMYFUNCTION("""COMPUTED_VALUE"""),"")</f>
        <v/>
      </c>
      <c r="Q62" s="250" t="str">
        <f>IFERROR(__xludf.DUMMYFUNCTION("""COMPUTED_VALUE"""),"")</f>
        <v/>
      </c>
      <c r="R62" s="250" t="str">
        <f>IFERROR(__xludf.DUMMYFUNCTION("""COMPUTED_VALUE"""),"")</f>
        <v/>
      </c>
      <c r="U62" s="250">
        <f>IFERROR(__xludf.DUMMYFUNCTION("""COMPUTED_VALUE"""),11659.0)</f>
        <v>11659</v>
      </c>
      <c r="V62" s="250">
        <f>IFERROR(__xludf.DUMMYFUNCTION("""COMPUTED_VALUE"""),11099.0)</f>
        <v>11099</v>
      </c>
      <c r="W62" s="250">
        <f>IFERROR(__xludf.DUMMYFUNCTION("""COMPUTED_VALUE"""),9989.0)</f>
        <v>9989</v>
      </c>
      <c r="X62" t="b">
        <f t="shared" ref="X62:Z62" si="100">ISBLANK(K62)</f>
        <v>1</v>
      </c>
      <c r="Y62" t="b">
        <f t="shared" si="100"/>
        <v>0</v>
      </c>
      <c r="Z62" t="b">
        <f t="shared" si="100"/>
        <v>0</v>
      </c>
      <c r="AA62">
        <f t="shared" ref="AA62:AC62" si="101">IF(X62=FALSE,1,0)</f>
        <v>0</v>
      </c>
      <c r="AB62">
        <f t="shared" si="101"/>
        <v>1</v>
      </c>
      <c r="AC62">
        <f t="shared" si="101"/>
        <v>1</v>
      </c>
      <c r="AD62">
        <f t="shared" si="6"/>
        <v>2</v>
      </c>
      <c r="AE62">
        <f t="shared" si="7"/>
        <v>1</v>
      </c>
      <c r="AF62">
        <f>if(iferror(vlookup($A62,'Description Database'!$E$2:$H$951,3,0),0)=TRUE,1,0)</f>
        <v>0</v>
      </c>
      <c r="AG62">
        <f>if(iferror(vlookup($A62,'Description Database'!$E$2:$H$951,4,0),0)=TRUE,1,0)</f>
        <v>0</v>
      </c>
    </row>
    <row r="63">
      <c r="A63" t="str">
        <f>IFERROR(__xludf.DUMMYFUNCTION("""COMPUTED_VALUE"""),"Apple iPhone XS (4 GB/64 GB)")</f>
        <v>Apple iPhone XS (4 GB/64 GB)</v>
      </c>
      <c r="B63" t="str">
        <f>IFERROR(__xludf.DUMMYFUNCTION("""COMPUTED_VALUE"""),"")</f>
        <v/>
      </c>
      <c r="C63" t="str">
        <f>IFERROR(__xludf.DUMMYFUNCTION("""COMPUTED_VALUE"""),"")</f>
        <v/>
      </c>
      <c r="D63" t="str">
        <f>IFERROR(__xludf.DUMMYFUNCTION("""COMPUTED_VALUE"""),"")</f>
        <v/>
      </c>
      <c r="E63" t="str">
        <f>IFERROR(__xludf.DUMMYFUNCTION("""COMPUTED_VALUE"""),"")</f>
        <v/>
      </c>
      <c r="F63" t="str">
        <f>IFERROR(__xludf.DUMMYFUNCTION("""COMPUTED_VALUE"""),"")</f>
        <v/>
      </c>
      <c r="G63">
        <f>IFERROR(__xludf.DUMMYFUNCTION("""COMPUTED_VALUE"""),1.0)</f>
        <v>1</v>
      </c>
      <c r="H63" t="str">
        <f>IFERROR(__xludf.DUMMYFUNCTION("""COMPUTED_VALUE"""),"")</f>
        <v/>
      </c>
      <c r="I63" t="str">
        <f>IFERROR(__xludf.DUMMYFUNCTION("""COMPUTED_VALUE"""),"")</f>
        <v/>
      </c>
      <c r="J63">
        <f>IFERROR(__xludf.DUMMYFUNCTION("""COMPUTED_VALUE"""),1.0)</f>
        <v>1</v>
      </c>
      <c r="L63" s="250" t="str">
        <f>IFERROR(__xludf.DUMMYFUNCTION("""COMPUTED_VALUE"""),"")</f>
        <v/>
      </c>
      <c r="M63" s="250" t="str">
        <f>IFERROR(__xludf.DUMMYFUNCTION("""COMPUTED_VALUE"""),"")</f>
        <v/>
      </c>
      <c r="N63" s="250" t="str">
        <f>IFERROR(__xludf.DUMMYFUNCTION("""COMPUTED_VALUE"""),"")</f>
        <v/>
      </c>
      <c r="O63" s="250" t="str">
        <f>IFERROR(__xludf.DUMMYFUNCTION("""COMPUTED_VALUE"""),"")</f>
        <v/>
      </c>
      <c r="P63" s="250" t="str">
        <f>IFERROR(__xludf.DUMMYFUNCTION("""COMPUTED_VALUE"""),"")</f>
        <v/>
      </c>
      <c r="Q63" s="250">
        <f>IFERROR(__xludf.DUMMYFUNCTION("""COMPUTED_VALUE"""),15949.0)</f>
        <v>15949</v>
      </c>
      <c r="R63" s="250" t="str">
        <f>IFERROR(__xludf.DUMMYFUNCTION("""COMPUTED_VALUE"""),"")</f>
        <v/>
      </c>
      <c r="U63" s="250">
        <f>IFERROR(__xludf.DUMMYFUNCTION("""COMPUTED_VALUE"""),32089.0)</f>
        <v>32089</v>
      </c>
      <c r="V63" s="250">
        <f>IFERROR(__xludf.DUMMYFUNCTION("""COMPUTED_VALUE"""),30559.0)</f>
        <v>30559</v>
      </c>
      <c r="W63" s="250">
        <f>IFERROR(__xludf.DUMMYFUNCTION("""COMPUTED_VALUE"""),27499.0)</f>
        <v>27499</v>
      </c>
      <c r="X63" t="b">
        <f t="shared" ref="X63:Z63" si="102">ISBLANK(K63)</f>
        <v>1</v>
      </c>
      <c r="Y63" t="b">
        <f t="shared" si="102"/>
        <v>0</v>
      </c>
      <c r="Z63" t="b">
        <f t="shared" si="102"/>
        <v>0</v>
      </c>
      <c r="AA63">
        <f t="shared" ref="AA63:AC63" si="103">IF(X63=FALSE,1,0)</f>
        <v>0</v>
      </c>
      <c r="AB63">
        <f t="shared" si="103"/>
        <v>1</v>
      </c>
      <c r="AC63">
        <f t="shared" si="103"/>
        <v>1</v>
      </c>
      <c r="AD63">
        <f t="shared" si="6"/>
        <v>2</v>
      </c>
      <c r="AE63">
        <f t="shared" si="7"/>
        <v>1</v>
      </c>
      <c r="AF63">
        <f>if(iferror(vlookup($A63,'Description Database'!$E$2:$H$951,3,0),0)=TRUE,1,0)</f>
        <v>0</v>
      </c>
      <c r="AG63">
        <f>if(iferror(vlookup($A63,'Description Database'!$E$2:$H$951,4,0),0)=TRUE,1,0)</f>
        <v>0</v>
      </c>
    </row>
    <row r="64">
      <c r="A64" t="str">
        <f>IFERROR(__xludf.DUMMYFUNCTION("""COMPUTED_VALUE"""),"Oppo A5S (2 GB/32 GB)")</f>
        <v>Oppo A5S (2 GB/32 GB)</v>
      </c>
      <c r="B64" t="str">
        <f>IFERROR(__xludf.DUMMYFUNCTION("""COMPUTED_VALUE"""),"")</f>
        <v/>
      </c>
      <c r="C64" t="str">
        <f>IFERROR(__xludf.DUMMYFUNCTION("""COMPUTED_VALUE"""),"")</f>
        <v/>
      </c>
      <c r="D64" t="str">
        <f>IFERROR(__xludf.DUMMYFUNCTION("""COMPUTED_VALUE"""),"")</f>
        <v/>
      </c>
      <c r="E64" t="str">
        <f>IFERROR(__xludf.DUMMYFUNCTION("""COMPUTED_VALUE"""),"")</f>
        <v/>
      </c>
      <c r="F64" t="str">
        <f>IFERROR(__xludf.DUMMYFUNCTION("""COMPUTED_VALUE"""),"")</f>
        <v/>
      </c>
      <c r="G64" t="str">
        <f>IFERROR(__xludf.DUMMYFUNCTION("""COMPUTED_VALUE"""),"")</f>
        <v/>
      </c>
      <c r="H64" t="str">
        <f>IFERROR(__xludf.DUMMYFUNCTION("""COMPUTED_VALUE"""),"")</f>
        <v/>
      </c>
      <c r="I64">
        <f>IFERROR(__xludf.DUMMYFUNCTION("""COMPUTED_VALUE"""),2.0)</f>
        <v>2</v>
      </c>
      <c r="J64">
        <f>IFERROR(__xludf.DUMMYFUNCTION("""COMPUTED_VALUE"""),2.0)</f>
        <v>2</v>
      </c>
      <c r="L64" s="250" t="str">
        <f>IFERROR(__xludf.DUMMYFUNCTION("""COMPUTED_VALUE"""),"")</f>
        <v/>
      </c>
      <c r="M64" s="250" t="str">
        <f>IFERROR(__xludf.DUMMYFUNCTION("""COMPUTED_VALUE"""),"")</f>
        <v/>
      </c>
      <c r="N64" s="250" t="str">
        <f>IFERROR(__xludf.DUMMYFUNCTION("""COMPUTED_VALUE"""),"")</f>
        <v/>
      </c>
      <c r="O64" s="250" t="str">
        <f>IFERROR(__xludf.DUMMYFUNCTION("""COMPUTED_VALUE"""),"")</f>
        <v/>
      </c>
      <c r="P64" s="250" t="str">
        <f>IFERROR(__xludf.DUMMYFUNCTION("""COMPUTED_VALUE"""),"")</f>
        <v/>
      </c>
      <c r="Q64" s="250" t="str">
        <f>IFERROR(__xludf.DUMMYFUNCTION("""COMPUTED_VALUE"""),"")</f>
        <v/>
      </c>
      <c r="R64" s="250" t="str">
        <f>IFERROR(__xludf.DUMMYFUNCTION("""COMPUTED_VALUE"""),"")</f>
        <v/>
      </c>
      <c r="U64" s="250">
        <f>IFERROR(__xludf.DUMMYFUNCTION("""COMPUTED_VALUE"""),6649.0)</f>
        <v>6649</v>
      </c>
      <c r="V64" s="250">
        <f>IFERROR(__xludf.DUMMYFUNCTION("""COMPUTED_VALUE"""),6329.0)</f>
        <v>6329</v>
      </c>
      <c r="W64" s="250">
        <f>IFERROR(__xludf.DUMMYFUNCTION("""COMPUTED_VALUE"""),5789.0)</f>
        <v>5789</v>
      </c>
      <c r="X64" t="b">
        <f t="shared" ref="X64:Z64" si="104">ISBLANK(K64)</f>
        <v>1</v>
      </c>
      <c r="Y64" t="b">
        <f t="shared" si="104"/>
        <v>0</v>
      </c>
      <c r="Z64" t="b">
        <f t="shared" si="104"/>
        <v>0</v>
      </c>
      <c r="AA64">
        <f t="shared" ref="AA64:AC64" si="105">IF(X64=FALSE,1,0)</f>
        <v>0</v>
      </c>
      <c r="AB64">
        <f t="shared" si="105"/>
        <v>1</v>
      </c>
      <c r="AC64">
        <f t="shared" si="105"/>
        <v>1</v>
      </c>
      <c r="AD64">
        <f t="shared" si="6"/>
        <v>2</v>
      </c>
      <c r="AE64">
        <f t="shared" si="7"/>
        <v>1</v>
      </c>
      <c r="AF64">
        <f>if(iferror(vlookup($A64,'Description Database'!$E$2:$H$951,3,0),0)=TRUE,1,0)</f>
        <v>0</v>
      </c>
      <c r="AG64">
        <f>if(iferror(vlookup($A64,'Description Database'!$E$2:$H$951,4,0),0)=TRUE,1,0)</f>
        <v>0</v>
      </c>
    </row>
    <row r="65">
      <c r="A65" t="str">
        <f>IFERROR(__xludf.DUMMYFUNCTION("""COMPUTED_VALUE"""),"OnePlus 6T (6 GB/128 GB)")</f>
        <v>OnePlus 6T (6 GB/128 GB)</v>
      </c>
      <c r="B65" t="str">
        <f>IFERROR(__xludf.DUMMYFUNCTION("""COMPUTED_VALUE"""),"")</f>
        <v/>
      </c>
      <c r="C65">
        <f>IFERROR(__xludf.DUMMYFUNCTION("""COMPUTED_VALUE"""),2.0)</f>
        <v>2</v>
      </c>
      <c r="D65">
        <f>IFERROR(__xludf.DUMMYFUNCTION("""COMPUTED_VALUE"""),1.0)</f>
        <v>1</v>
      </c>
      <c r="E65">
        <f>IFERROR(__xludf.DUMMYFUNCTION("""COMPUTED_VALUE"""),2.0)</f>
        <v>2</v>
      </c>
      <c r="F65">
        <f>IFERROR(__xludf.DUMMYFUNCTION("""COMPUTED_VALUE"""),4.0)</f>
        <v>4</v>
      </c>
      <c r="G65">
        <f>IFERROR(__xludf.DUMMYFUNCTION("""COMPUTED_VALUE"""),1.0)</f>
        <v>1</v>
      </c>
      <c r="H65" t="str">
        <f>IFERROR(__xludf.DUMMYFUNCTION("""COMPUTED_VALUE"""),"")</f>
        <v/>
      </c>
      <c r="I65" t="str">
        <f>IFERROR(__xludf.DUMMYFUNCTION("""COMPUTED_VALUE"""),"")</f>
        <v/>
      </c>
      <c r="J65">
        <f>IFERROR(__xludf.DUMMYFUNCTION("""COMPUTED_VALUE"""),10.0)</f>
        <v>10</v>
      </c>
      <c r="L65" s="250" t="str">
        <f>IFERROR(__xludf.DUMMYFUNCTION("""COMPUTED_VALUE"""),"")</f>
        <v/>
      </c>
      <c r="M65" s="250">
        <f>IFERROR(__xludf.DUMMYFUNCTION("""COMPUTED_VALUE"""),14289.0)</f>
        <v>14289</v>
      </c>
      <c r="N65" s="250">
        <f>IFERROR(__xludf.DUMMYFUNCTION("""COMPUTED_VALUE"""),12859.0)</f>
        <v>12859</v>
      </c>
      <c r="O65" s="250">
        <f>IFERROR(__xludf.DUMMYFUNCTION("""COMPUTED_VALUE"""),11794.0)</f>
        <v>11794</v>
      </c>
      <c r="P65" s="250">
        <f>IFERROR(__xludf.DUMMYFUNCTION("""COMPUTED_VALUE"""),10729.0)</f>
        <v>10729</v>
      </c>
      <c r="Q65" s="250">
        <f>IFERROR(__xludf.DUMMYFUNCTION("""COMPUTED_VALUE"""),7929.0)</f>
        <v>7929</v>
      </c>
      <c r="R65" s="250" t="str">
        <f>IFERROR(__xludf.DUMMYFUNCTION("""COMPUTED_VALUE"""),"")</f>
        <v/>
      </c>
      <c r="U65" s="250">
        <f>IFERROR(__xludf.DUMMYFUNCTION("""COMPUTED_VALUE"""),16509.0)</f>
        <v>16509</v>
      </c>
      <c r="V65" s="250">
        <f>IFERROR(__xludf.DUMMYFUNCTION("""COMPUTED_VALUE"""),15719.0)</f>
        <v>15719</v>
      </c>
      <c r="W65" s="250">
        <f>IFERROR(__xludf.DUMMYFUNCTION("""COMPUTED_VALUE"""),14149.0)</f>
        <v>14149</v>
      </c>
      <c r="X65" t="b">
        <f t="shared" ref="X65:Z65" si="106">ISBLANK(K65)</f>
        <v>1</v>
      </c>
      <c r="Y65" t="b">
        <f t="shared" si="106"/>
        <v>0</v>
      </c>
      <c r="Z65" t="b">
        <f t="shared" si="106"/>
        <v>0</v>
      </c>
      <c r="AA65">
        <f t="shared" ref="AA65:AC65" si="107">IF(X65=FALSE,1,0)</f>
        <v>0</v>
      </c>
      <c r="AB65">
        <f t="shared" si="107"/>
        <v>1</v>
      </c>
      <c r="AC65">
        <f t="shared" si="107"/>
        <v>1</v>
      </c>
      <c r="AD65">
        <f t="shared" si="6"/>
        <v>2</v>
      </c>
      <c r="AE65">
        <f t="shared" si="7"/>
        <v>1</v>
      </c>
      <c r="AF65">
        <f>if(iferror(vlookup($A65,'Description Database'!$E$2:$H$951,3,0),0)=TRUE,1,0)</f>
        <v>0</v>
      </c>
      <c r="AG65">
        <f>if(iferror(vlookup($A65,'Description Database'!$E$2:$H$951,4,0),0)=TRUE,1,0)</f>
        <v>0</v>
      </c>
    </row>
    <row r="66">
      <c r="A66" t="str">
        <f>IFERROR(__xludf.DUMMYFUNCTION("""COMPUTED_VALUE"""),"Oneplus 7T PRO (12 GB/256 GB)")</f>
        <v>Oneplus 7T PRO (12 GB/256 GB)</v>
      </c>
      <c r="B66" t="str">
        <f>IFERROR(__xludf.DUMMYFUNCTION("""COMPUTED_VALUE"""),"")</f>
        <v/>
      </c>
      <c r="C66" t="str">
        <f>IFERROR(__xludf.DUMMYFUNCTION("""COMPUTED_VALUE"""),"")</f>
        <v/>
      </c>
      <c r="D66" t="str">
        <f>IFERROR(__xludf.DUMMYFUNCTION("""COMPUTED_VALUE"""),"")</f>
        <v/>
      </c>
      <c r="E66" t="str">
        <f>IFERROR(__xludf.DUMMYFUNCTION("""COMPUTED_VALUE"""),"")</f>
        <v/>
      </c>
      <c r="F66" t="str">
        <f>IFERROR(__xludf.DUMMYFUNCTION("""COMPUTED_VALUE"""),"")</f>
        <v/>
      </c>
      <c r="G66" t="str">
        <f>IFERROR(__xludf.DUMMYFUNCTION("""COMPUTED_VALUE"""),"")</f>
        <v/>
      </c>
      <c r="H66" t="str">
        <f>IFERROR(__xludf.DUMMYFUNCTION("""COMPUTED_VALUE"""),"")</f>
        <v/>
      </c>
      <c r="I66" t="str">
        <f>IFERROR(__xludf.DUMMYFUNCTION("""COMPUTED_VALUE"""),"")</f>
        <v/>
      </c>
      <c r="J66">
        <f>IFERROR(__xludf.DUMMYFUNCTION("""COMPUTED_VALUE"""),0.0)</f>
        <v>0</v>
      </c>
      <c r="L66" s="250" t="str">
        <f>IFERROR(__xludf.DUMMYFUNCTION("""COMPUTED_VALUE"""),"")</f>
        <v/>
      </c>
      <c r="M66" s="250" t="str">
        <f>IFERROR(__xludf.DUMMYFUNCTION("""COMPUTED_VALUE"""),"")</f>
        <v/>
      </c>
      <c r="N66" s="250" t="str">
        <f>IFERROR(__xludf.DUMMYFUNCTION("""COMPUTED_VALUE"""),"")</f>
        <v/>
      </c>
      <c r="O66" s="250" t="str">
        <f>IFERROR(__xludf.DUMMYFUNCTION("""COMPUTED_VALUE"""),"")</f>
        <v/>
      </c>
      <c r="P66" s="250" t="str">
        <f>IFERROR(__xludf.DUMMYFUNCTION("""COMPUTED_VALUE"""),"")</f>
        <v/>
      </c>
      <c r="Q66" s="250" t="str">
        <f>IFERROR(__xludf.DUMMYFUNCTION("""COMPUTED_VALUE"""),"")</f>
        <v/>
      </c>
      <c r="R66" s="250" t="str">
        <f>IFERROR(__xludf.DUMMYFUNCTION("""COMPUTED_VALUE"""),"")</f>
        <v/>
      </c>
      <c r="U66" s="250">
        <f>IFERROR(__xludf.DUMMYFUNCTION("""COMPUTED_VALUE"""),33709.0)</f>
        <v>33709</v>
      </c>
      <c r="V66" s="250">
        <f>IFERROR(__xludf.DUMMYFUNCTION("""COMPUTED_VALUE"""),32099.0)</f>
        <v>32099</v>
      </c>
      <c r="W66" s="250">
        <f>IFERROR(__xludf.DUMMYFUNCTION("""COMPUTED_VALUE"""),28889.0)</f>
        <v>28889</v>
      </c>
      <c r="X66" t="b">
        <f t="shared" ref="X66:Z66" si="108">ISBLANK(K66)</f>
        <v>1</v>
      </c>
      <c r="Y66" t="b">
        <f t="shared" si="108"/>
        <v>0</v>
      </c>
      <c r="Z66" t="b">
        <f t="shared" si="108"/>
        <v>0</v>
      </c>
      <c r="AA66">
        <f t="shared" ref="AA66:AC66" si="109">IF(X66=FALSE,1,0)</f>
        <v>0</v>
      </c>
      <c r="AB66">
        <f t="shared" si="109"/>
        <v>1</v>
      </c>
      <c r="AC66">
        <f t="shared" si="109"/>
        <v>1</v>
      </c>
      <c r="AD66">
        <f t="shared" si="6"/>
        <v>2</v>
      </c>
      <c r="AE66">
        <f t="shared" si="7"/>
        <v>1</v>
      </c>
      <c r="AF66">
        <f>if(iferror(vlookup($A66,'Description Database'!$E$2:$H$951,3,0),0)=TRUE,1,0)</f>
        <v>0</v>
      </c>
      <c r="AG66">
        <f>if(iferror(vlookup($A66,'Description Database'!$E$2:$H$951,4,0),0)=TRUE,1,0)</f>
        <v>0</v>
      </c>
    </row>
    <row r="67">
      <c r="A67" t="str">
        <f>IFERROR(__xludf.DUMMYFUNCTION("""COMPUTED_VALUE"""),"Samsung Galaxy A51 (6 GB/128 GB)")</f>
        <v>Samsung Galaxy A51 (6 GB/128 GB)</v>
      </c>
      <c r="B67" t="str">
        <f>IFERROR(__xludf.DUMMYFUNCTION("""COMPUTED_VALUE"""),"")</f>
        <v/>
      </c>
      <c r="C67" t="str">
        <f>IFERROR(__xludf.DUMMYFUNCTION("""COMPUTED_VALUE"""),"")</f>
        <v/>
      </c>
      <c r="D67">
        <f>IFERROR(__xludf.DUMMYFUNCTION("""COMPUTED_VALUE"""),1.0)</f>
        <v>1</v>
      </c>
      <c r="E67" t="str">
        <f>IFERROR(__xludf.DUMMYFUNCTION("""COMPUTED_VALUE"""),"")</f>
        <v/>
      </c>
      <c r="F67" t="str">
        <f>IFERROR(__xludf.DUMMYFUNCTION("""COMPUTED_VALUE"""),"")</f>
        <v/>
      </c>
      <c r="G67" t="str">
        <f>IFERROR(__xludf.DUMMYFUNCTION("""COMPUTED_VALUE"""),"")</f>
        <v/>
      </c>
      <c r="H67" t="str">
        <f>IFERROR(__xludf.DUMMYFUNCTION("""COMPUTED_VALUE"""),"")</f>
        <v/>
      </c>
      <c r="I67" t="str">
        <f>IFERROR(__xludf.DUMMYFUNCTION("""COMPUTED_VALUE"""),"")</f>
        <v/>
      </c>
      <c r="J67">
        <f>IFERROR(__xludf.DUMMYFUNCTION("""COMPUTED_VALUE"""),1.0)</f>
        <v>1</v>
      </c>
      <c r="L67" s="250" t="str">
        <f>IFERROR(__xludf.DUMMYFUNCTION("""COMPUTED_VALUE"""),"")</f>
        <v/>
      </c>
      <c r="M67" s="250" t="str">
        <f>IFERROR(__xludf.DUMMYFUNCTION("""COMPUTED_VALUE"""),"")</f>
        <v/>
      </c>
      <c r="N67" s="250">
        <f>IFERROR(__xludf.DUMMYFUNCTION("""COMPUTED_VALUE"""),10589.0)</f>
        <v>10589</v>
      </c>
      <c r="O67" s="250" t="str">
        <f>IFERROR(__xludf.DUMMYFUNCTION("""COMPUTED_VALUE"""),"")</f>
        <v/>
      </c>
      <c r="P67" s="250" t="str">
        <f>IFERROR(__xludf.DUMMYFUNCTION("""COMPUTED_VALUE"""),"")</f>
        <v/>
      </c>
      <c r="Q67" s="250" t="str">
        <f>IFERROR(__xludf.DUMMYFUNCTION("""COMPUTED_VALUE"""),"")</f>
        <v/>
      </c>
      <c r="R67" s="250" t="str">
        <f>IFERROR(__xludf.DUMMYFUNCTION("""COMPUTED_VALUE"""),"")</f>
        <v/>
      </c>
      <c r="U67" s="250">
        <f>IFERROR(__xludf.DUMMYFUNCTION("""COMPUTED_VALUE"""),13599.0)</f>
        <v>13599</v>
      </c>
      <c r="V67" s="250">
        <f>IFERROR(__xludf.DUMMYFUNCTION("""COMPUTED_VALUE"""),12949.0)</f>
        <v>12949</v>
      </c>
      <c r="W67" s="250">
        <f>IFERROR(__xludf.DUMMYFUNCTION("""COMPUTED_VALUE"""),11649.0)</f>
        <v>11649</v>
      </c>
      <c r="X67" t="b">
        <f t="shared" ref="X67:Z67" si="110">ISBLANK(K67)</f>
        <v>1</v>
      </c>
      <c r="Y67" t="b">
        <f t="shared" si="110"/>
        <v>0</v>
      </c>
      <c r="Z67" t="b">
        <f t="shared" si="110"/>
        <v>0</v>
      </c>
      <c r="AA67">
        <f t="shared" ref="AA67:AC67" si="111">IF(X67=FALSE,1,0)</f>
        <v>0</v>
      </c>
      <c r="AB67">
        <f t="shared" si="111"/>
        <v>1</v>
      </c>
      <c r="AC67">
        <f t="shared" si="111"/>
        <v>1</v>
      </c>
      <c r="AD67">
        <f t="shared" si="6"/>
        <v>2</v>
      </c>
      <c r="AE67">
        <f t="shared" si="7"/>
        <v>1</v>
      </c>
      <c r="AF67">
        <f>if(iferror(vlookup($A67,'Description Database'!$E$2:$H$951,3,0),0)=TRUE,1,0)</f>
        <v>0</v>
      </c>
      <c r="AG67">
        <f>if(iferror(vlookup($A67,'Description Database'!$E$2:$H$951,4,0),0)=TRUE,1,0)</f>
        <v>0</v>
      </c>
    </row>
    <row r="68">
      <c r="A68" t="str">
        <f>IFERROR(__xludf.DUMMYFUNCTION("""COMPUTED_VALUE"""),"Vivo S1 (4 GB/128 GB)")</f>
        <v>Vivo S1 (4 GB/128 GB)</v>
      </c>
      <c r="B68" t="str">
        <f>IFERROR(__xludf.DUMMYFUNCTION("""COMPUTED_VALUE"""),"")</f>
        <v/>
      </c>
      <c r="C68" t="str">
        <f>IFERROR(__xludf.DUMMYFUNCTION("""COMPUTED_VALUE"""),"")</f>
        <v/>
      </c>
      <c r="D68" t="str">
        <f>IFERROR(__xludf.DUMMYFUNCTION("""COMPUTED_VALUE"""),"")</f>
        <v/>
      </c>
      <c r="E68" t="str">
        <f>IFERROR(__xludf.DUMMYFUNCTION("""COMPUTED_VALUE"""),"")</f>
        <v/>
      </c>
      <c r="F68">
        <f>IFERROR(__xludf.DUMMYFUNCTION("""COMPUTED_VALUE"""),1.0)</f>
        <v>1</v>
      </c>
      <c r="G68">
        <f>IFERROR(__xludf.DUMMYFUNCTION("""COMPUTED_VALUE"""),1.0)</f>
        <v>1</v>
      </c>
      <c r="H68" t="str">
        <f>IFERROR(__xludf.DUMMYFUNCTION("""COMPUTED_VALUE"""),"")</f>
        <v/>
      </c>
      <c r="I68">
        <f>IFERROR(__xludf.DUMMYFUNCTION("""COMPUTED_VALUE"""),1.0)</f>
        <v>1</v>
      </c>
      <c r="J68">
        <f>IFERROR(__xludf.DUMMYFUNCTION("""COMPUTED_VALUE"""),3.0)</f>
        <v>3</v>
      </c>
      <c r="L68" s="250" t="str">
        <f>IFERROR(__xludf.DUMMYFUNCTION("""COMPUTED_VALUE"""),"")</f>
        <v/>
      </c>
      <c r="M68" s="250" t="str">
        <f>IFERROR(__xludf.DUMMYFUNCTION("""COMPUTED_VALUE"""),"")</f>
        <v/>
      </c>
      <c r="N68" s="250" t="str">
        <f>IFERROR(__xludf.DUMMYFUNCTION("""COMPUTED_VALUE"""),"")</f>
        <v/>
      </c>
      <c r="O68" s="250" t="str">
        <f>IFERROR(__xludf.DUMMYFUNCTION("""COMPUTED_VALUE"""),"")</f>
        <v/>
      </c>
      <c r="P68" s="250">
        <f>IFERROR(__xludf.DUMMYFUNCTION("""COMPUTED_VALUE"""),7489.0)</f>
        <v>7489</v>
      </c>
      <c r="Q68" s="250">
        <f>IFERROR(__xludf.DUMMYFUNCTION("""COMPUTED_VALUE"""),5299.0)</f>
        <v>5299</v>
      </c>
      <c r="R68" s="250" t="str">
        <f>IFERROR(__xludf.DUMMYFUNCTION("""COMPUTED_VALUE"""),"")</f>
        <v/>
      </c>
      <c r="U68" s="250">
        <f>IFERROR(__xludf.DUMMYFUNCTION("""COMPUTED_VALUE"""),11539.0)</f>
        <v>11539</v>
      </c>
      <c r="V68" s="250">
        <f>IFERROR(__xludf.DUMMYFUNCTION("""COMPUTED_VALUE"""),10989.0)</f>
        <v>10989</v>
      </c>
      <c r="W68" s="250">
        <f>IFERROR(__xludf.DUMMYFUNCTION("""COMPUTED_VALUE"""),10049.0)</f>
        <v>10049</v>
      </c>
      <c r="X68" t="b">
        <f t="shared" ref="X68:Z68" si="112">ISBLANK(K68)</f>
        <v>1</v>
      </c>
      <c r="Y68" t="b">
        <f t="shared" si="112"/>
        <v>0</v>
      </c>
      <c r="Z68" t="b">
        <f t="shared" si="112"/>
        <v>0</v>
      </c>
      <c r="AA68">
        <f t="shared" ref="AA68:AC68" si="113">IF(X68=FALSE,1,0)</f>
        <v>0</v>
      </c>
      <c r="AB68">
        <f t="shared" si="113"/>
        <v>1</v>
      </c>
      <c r="AC68">
        <f t="shared" si="113"/>
        <v>1</v>
      </c>
      <c r="AD68">
        <f t="shared" si="6"/>
        <v>2</v>
      </c>
      <c r="AE68">
        <f t="shared" si="7"/>
        <v>1</v>
      </c>
      <c r="AF68">
        <f>if(iferror(vlookup($A68,'Description Database'!$E$2:$H$951,3,0),0)=TRUE,1,0)</f>
        <v>0</v>
      </c>
      <c r="AG68">
        <f>if(iferror(vlookup($A68,'Description Database'!$E$2:$H$951,4,0),0)=TRUE,1,0)</f>
        <v>0</v>
      </c>
    </row>
    <row r="69">
      <c r="A69" t="str">
        <f>IFERROR(__xludf.DUMMYFUNCTION("""COMPUTED_VALUE"""),"Apple iPhone XR (3 GB/128 GB)")</f>
        <v>Apple iPhone XR (3 GB/128 GB)</v>
      </c>
      <c r="B69" t="str">
        <f>IFERROR(__xludf.DUMMYFUNCTION("""COMPUTED_VALUE"""),"")</f>
        <v/>
      </c>
      <c r="C69" t="str">
        <f>IFERROR(__xludf.DUMMYFUNCTION("""COMPUTED_VALUE"""),"")</f>
        <v/>
      </c>
      <c r="D69" t="str">
        <f>IFERROR(__xludf.DUMMYFUNCTION("""COMPUTED_VALUE"""),"")</f>
        <v/>
      </c>
      <c r="E69">
        <f>IFERROR(__xludf.DUMMYFUNCTION("""COMPUTED_VALUE"""),1.0)</f>
        <v>1</v>
      </c>
      <c r="F69" t="str">
        <f>IFERROR(__xludf.DUMMYFUNCTION("""COMPUTED_VALUE"""),"")</f>
        <v/>
      </c>
      <c r="G69" t="str">
        <f>IFERROR(__xludf.DUMMYFUNCTION("""COMPUTED_VALUE"""),"")</f>
        <v/>
      </c>
      <c r="H69" t="str">
        <f>IFERROR(__xludf.DUMMYFUNCTION("""COMPUTED_VALUE"""),"")</f>
        <v/>
      </c>
      <c r="I69" t="str">
        <f>IFERROR(__xludf.DUMMYFUNCTION("""COMPUTED_VALUE"""),"")</f>
        <v/>
      </c>
      <c r="J69">
        <f>IFERROR(__xludf.DUMMYFUNCTION("""COMPUTED_VALUE"""),1.0)</f>
        <v>1</v>
      </c>
      <c r="L69" s="250" t="str">
        <f>IFERROR(__xludf.DUMMYFUNCTION("""COMPUTED_VALUE"""),"")</f>
        <v/>
      </c>
      <c r="M69" s="250" t="str">
        <f>IFERROR(__xludf.DUMMYFUNCTION("""COMPUTED_VALUE"""),"")</f>
        <v/>
      </c>
      <c r="N69" s="250" t="str">
        <f>IFERROR(__xludf.DUMMYFUNCTION("""COMPUTED_VALUE"""),"")</f>
        <v/>
      </c>
      <c r="O69" s="250">
        <f>IFERROR(__xludf.DUMMYFUNCTION("""COMPUTED_VALUE"""),21929.0)</f>
        <v>21929</v>
      </c>
      <c r="P69" s="250" t="str">
        <f>IFERROR(__xludf.DUMMYFUNCTION("""COMPUTED_VALUE"""),"")</f>
        <v/>
      </c>
      <c r="Q69" s="250" t="str">
        <f>IFERROR(__xludf.DUMMYFUNCTION("""COMPUTED_VALUE"""),"")</f>
        <v/>
      </c>
      <c r="R69" s="250" t="str">
        <f>IFERROR(__xludf.DUMMYFUNCTION("""COMPUTED_VALUE"""),"")</f>
        <v/>
      </c>
      <c r="U69" s="250">
        <f>IFERROR(__xludf.DUMMYFUNCTION("""COMPUTED_VALUE"""),30459.0)</f>
        <v>30459</v>
      </c>
      <c r="V69" s="250">
        <f>IFERROR(__xludf.DUMMYFUNCTION("""COMPUTED_VALUE"""),29009.0)</f>
        <v>29009</v>
      </c>
      <c r="W69" s="250">
        <f>IFERROR(__xludf.DUMMYFUNCTION("""COMPUTED_VALUE"""),26489.0)</f>
        <v>26489</v>
      </c>
      <c r="X69" t="b">
        <f t="shared" ref="X69:Z69" si="114">ISBLANK(K69)</f>
        <v>1</v>
      </c>
      <c r="Y69" t="b">
        <f t="shared" si="114"/>
        <v>0</v>
      </c>
      <c r="Z69" t="b">
        <f t="shared" si="114"/>
        <v>0</v>
      </c>
      <c r="AA69">
        <f t="shared" ref="AA69:AC69" si="115">IF(X69=FALSE,1,0)</f>
        <v>0</v>
      </c>
      <c r="AB69">
        <f t="shared" si="115"/>
        <v>1</v>
      </c>
      <c r="AC69">
        <f t="shared" si="115"/>
        <v>1</v>
      </c>
      <c r="AD69">
        <f t="shared" si="6"/>
        <v>2</v>
      </c>
      <c r="AE69">
        <f t="shared" si="7"/>
        <v>1</v>
      </c>
      <c r="AF69">
        <f>if(iferror(vlookup($A69,'Description Database'!$E$2:$H$951,3,0),0)=TRUE,1,0)</f>
        <v>0</v>
      </c>
      <c r="AG69">
        <f>if(iferror(vlookup($A69,'Description Database'!$E$2:$H$951,4,0),0)=TRUE,1,0)</f>
        <v>0</v>
      </c>
    </row>
    <row r="70">
      <c r="A70" t="str">
        <f>IFERROR(__xludf.DUMMYFUNCTION("""COMPUTED_VALUE"""),"Apple iPhone X (3 GB/64 GB)")</f>
        <v>Apple iPhone X (3 GB/64 GB)</v>
      </c>
      <c r="B70" t="str">
        <f>IFERROR(__xludf.DUMMYFUNCTION("""COMPUTED_VALUE"""),"")</f>
        <v/>
      </c>
      <c r="C70" t="str">
        <f>IFERROR(__xludf.DUMMYFUNCTION("""COMPUTED_VALUE"""),"")</f>
        <v/>
      </c>
      <c r="D70" t="str">
        <f>IFERROR(__xludf.DUMMYFUNCTION("""COMPUTED_VALUE"""),"")</f>
        <v/>
      </c>
      <c r="E70" t="str">
        <f>IFERROR(__xludf.DUMMYFUNCTION("""COMPUTED_VALUE"""),"")</f>
        <v/>
      </c>
      <c r="F70">
        <f>IFERROR(__xludf.DUMMYFUNCTION("""COMPUTED_VALUE"""),2.0)</f>
        <v>2</v>
      </c>
      <c r="G70">
        <f>IFERROR(__xludf.DUMMYFUNCTION("""COMPUTED_VALUE"""),3.0)</f>
        <v>3</v>
      </c>
      <c r="H70">
        <f>IFERROR(__xludf.DUMMYFUNCTION("""COMPUTED_VALUE"""),1.0)</f>
        <v>1</v>
      </c>
      <c r="I70" t="str">
        <f>IFERROR(__xludf.DUMMYFUNCTION("""COMPUTED_VALUE"""),"")</f>
        <v/>
      </c>
      <c r="J70">
        <f>IFERROR(__xludf.DUMMYFUNCTION("""COMPUTED_VALUE"""),6.0)</f>
        <v>6</v>
      </c>
      <c r="L70" s="250" t="str">
        <f>IFERROR(__xludf.DUMMYFUNCTION("""COMPUTED_VALUE"""),"")</f>
        <v/>
      </c>
      <c r="M70" s="250" t="str">
        <f>IFERROR(__xludf.DUMMYFUNCTION("""COMPUTED_VALUE"""),"")</f>
        <v/>
      </c>
      <c r="N70" s="250" t="str">
        <f>IFERROR(__xludf.DUMMYFUNCTION("""COMPUTED_VALUE"""),"")</f>
        <v/>
      </c>
      <c r="O70" s="250" t="str">
        <f>IFERROR(__xludf.DUMMYFUNCTION("""COMPUTED_VALUE"""),"")</f>
        <v/>
      </c>
      <c r="P70" s="250">
        <f>IFERROR(__xludf.DUMMYFUNCTION("""COMPUTED_VALUE"""),18199.0)</f>
        <v>18199</v>
      </c>
      <c r="Q70" s="250">
        <f>IFERROR(__xludf.DUMMYFUNCTION("""COMPUTED_VALUE"""),13859.0)</f>
        <v>13859</v>
      </c>
      <c r="R70" s="250">
        <f>IFERROR(__xludf.DUMMYFUNCTION("""COMPUTED_VALUE"""),9559.0)</f>
        <v>9559</v>
      </c>
      <c r="U70" s="250">
        <f>IFERROR(__xludf.DUMMYFUNCTION("""COMPUTED_VALUE"""),27879.0)</f>
        <v>27879</v>
      </c>
      <c r="V70" s="250">
        <f>IFERROR(__xludf.DUMMYFUNCTION("""COMPUTED_VALUE"""),26549.0)</f>
        <v>26549</v>
      </c>
      <c r="W70" s="250">
        <f>IFERROR(__xludf.DUMMYFUNCTION("""COMPUTED_VALUE"""),24249.0)</f>
        <v>24249</v>
      </c>
      <c r="X70" t="b">
        <f t="shared" ref="X70:Z70" si="116">ISBLANK(K70)</f>
        <v>1</v>
      </c>
      <c r="Y70" t="b">
        <f t="shared" si="116"/>
        <v>0</v>
      </c>
      <c r="Z70" t="b">
        <f t="shared" si="116"/>
        <v>0</v>
      </c>
      <c r="AA70">
        <f t="shared" ref="AA70:AC70" si="117">IF(X70=FALSE,1,0)</f>
        <v>0</v>
      </c>
      <c r="AB70">
        <f t="shared" si="117"/>
        <v>1</v>
      </c>
      <c r="AC70">
        <f t="shared" si="117"/>
        <v>1</v>
      </c>
      <c r="AD70">
        <f t="shared" si="6"/>
        <v>2</v>
      </c>
      <c r="AE70">
        <f t="shared" si="7"/>
        <v>1</v>
      </c>
      <c r="AF70">
        <f>if(iferror(vlookup($A70,'Description Database'!$E$2:$H$951,3,0),0)=TRUE,1,0)</f>
        <v>0</v>
      </c>
      <c r="AG70">
        <f>if(iferror(vlookup($A70,'Description Database'!$E$2:$H$951,4,0),0)=TRUE,1,0)</f>
        <v>0</v>
      </c>
    </row>
    <row r="71">
      <c r="A71" t="str">
        <f>IFERROR(__xludf.DUMMYFUNCTION("""COMPUTED_VALUE"""),"Samsung Galaxy S9 (4 GB/64 GB)")</f>
        <v>Samsung Galaxy S9 (4 GB/64 GB)</v>
      </c>
      <c r="B71" t="str">
        <f>IFERROR(__xludf.DUMMYFUNCTION("""COMPUTED_VALUE"""),"")</f>
        <v/>
      </c>
      <c r="C71" t="str">
        <f>IFERROR(__xludf.DUMMYFUNCTION("""COMPUTED_VALUE"""),"")</f>
        <v/>
      </c>
      <c r="D71" t="str">
        <f>IFERROR(__xludf.DUMMYFUNCTION("""COMPUTED_VALUE"""),"")</f>
        <v/>
      </c>
      <c r="E71" t="str">
        <f>IFERROR(__xludf.DUMMYFUNCTION("""COMPUTED_VALUE"""),"")</f>
        <v/>
      </c>
      <c r="F71">
        <f>IFERROR(__xludf.DUMMYFUNCTION("""COMPUTED_VALUE"""),1.0)</f>
        <v>1</v>
      </c>
      <c r="G71">
        <f>IFERROR(__xludf.DUMMYFUNCTION("""COMPUTED_VALUE"""),2.0)</f>
        <v>2</v>
      </c>
      <c r="H71" t="str">
        <f>IFERROR(__xludf.DUMMYFUNCTION("""COMPUTED_VALUE"""),"")</f>
        <v/>
      </c>
      <c r="I71" t="str">
        <f>IFERROR(__xludf.DUMMYFUNCTION("""COMPUTED_VALUE"""),"")</f>
        <v/>
      </c>
      <c r="J71">
        <f>IFERROR(__xludf.DUMMYFUNCTION("""COMPUTED_VALUE"""),3.0)</f>
        <v>3</v>
      </c>
      <c r="L71" s="250" t="str">
        <f>IFERROR(__xludf.DUMMYFUNCTION("""COMPUTED_VALUE"""),"")</f>
        <v/>
      </c>
      <c r="M71" s="250" t="str">
        <f>IFERROR(__xludf.DUMMYFUNCTION("""COMPUTED_VALUE"""),"")</f>
        <v/>
      </c>
      <c r="N71" s="250" t="str">
        <f>IFERROR(__xludf.DUMMYFUNCTION("""COMPUTED_VALUE"""),"")</f>
        <v/>
      </c>
      <c r="O71" s="250" t="str">
        <f>IFERROR(__xludf.DUMMYFUNCTION("""COMPUTED_VALUE"""),"")</f>
        <v/>
      </c>
      <c r="P71" s="250">
        <f>IFERROR(__xludf.DUMMYFUNCTION("""COMPUTED_VALUE"""),8729.0)</f>
        <v>8729</v>
      </c>
      <c r="Q71" s="250">
        <f>IFERROR(__xludf.DUMMYFUNCTION("""COMPUTED_VALUE"""),4929.0)</f>
        <v>4929</v>
      </c>
      <c r="R71" s="250" t="str">
        <f>IFERROR(__xludf.DUMMYFUNCTION("""COMPUTED_VALUE"""),"")</f>
        <v/>
      </c>
      <c r="U71" s="250">
        <f>IFERROR(__xludf.DUMMYFUNCTION("""COMPUTED_VALUE"""),13459.0)</f>
        <v>13459</v>
      </c>
      <c r="V71" s="250">
        <f>IFERROR(__xludf.DUMMYFUNCTION("""COMPUTED_VALUE"""),12809.0)</f>
        <v>12809</v>
      </c>
      <c r="W71" s="250">
        <f>IFERROR(__xludf.DUMMYFUNCTION("""COMPUTED_VALUE"""),11529.0)</f>
        <v>11529</v>
      </c>
      <c r="X71" t="b">
        <f t="shared" ref="X71:Z71" si="118">ISBLANK(K71)</f>
        <v>1</v>
      </c>
      <c r="Y71" t="b">
        <f t="shared" si="118"/>
        <v>0</v>
      </c>
      <c r="Z71" t="b">
        <f t="shared" si="118"/>
        <v>0</v>
      </c>
      <c r="AA71">
        <f t="shared" ref="AA71:AC71" si="119">IF(X71=FALSE,1,0)</f>
        <v>0</v>
      </c>
      <c r="AB71">
        <f t="shared" si="119"/>
        <v>1</v>
      </c>
      <c r="AC71">
        <f t="shared" si="119"/>
        <v>1</v>
      </c>
      <c r="AD71">
        <f t="shared" si="6"/>
        <v>2</v>
      </c>
      <c r="AE71">
        <f t="shared" si="7"/>
        <v>1</v>
      </c>
      <c r="AF71">
        <f>if(iferror(vlookup($A71,'Description Database'!$E$2:$H$951,3,0),0)=TRUE,1,0)</f>
        <v>0</v>
      </c>
      <c r="AG71">
        <f>if(iferror(vlookup($A71,'Description Database'!$E$2:$H$951,4,0),0)=TRUE,1,0)</f>
        <v>1</v>
      </c>
    </row>
    <row r="72">
      <c r="A72" t="str">
        <f>IFERROR(__xludf.DUMMYFUNCTION("""COMPUTED_VALUE"""),"Samsung Galaxy S8 (4 GB/64 GB)")</f>
        <v>Samsung Galaxy S8 (4 GB/64 GB)</v>
      </c>
      <c r="B72" t="str">
        <f>IFERROR(__xludf.DUMMYFUNCTION("""COMPUTED_VALUE"""),"")</f>
        <v/>
      </c>
      <c r="C72" t="str">
        <f>IFERROR(__xludf.DUMMYFUNCTION("""COMPUTED_VALUE"""),"")</f>
        <v/>
      </c>
      <c r="D72" t="str">
        <f>IFERROR(__xludf.DUMMYFUNCTION("""COMPUTED_VALUE"""),"")</f>
        <v/>
      </c>
      <c r="E72" t="str">
        <f>IFERROR(__xludf.DUMMYFUNCTION("""COMPUTED_VALUE"""),"")</f>
        <v/>
      </c>
      <c r="F72">
        <f>IFERROR(__xludf.DUMMYFUNCTION("""COMPUTED_VALUE"""),2.0)</f>
        <v>2</v>
      </c>
      <c r="G72">
        <f>IFERROR(__xludf.DUMMYFUNCTION("""COMPUTED_VALUE"""),3.0)</f>
        <v>3</v>
      </c>
      <c r="H72" t="str">
        <f>IFERROR(__xludf.DUMMYFUNCTION("""COMPUTED_VALUE"""),"")</f>
        <v/>
      </c>
      <c r="I72">
        <f>IFERROR(__xludf.DUMMYFUNCTION("""COMPUTED_VALUE"""),5.0)</f>
        <v>5</v>
      </c>
      <c r="J72">
        <f>IFERROR(__xludf.DUMMYFUNCTION("""COMPUTED_VALUE"""),10.0)</f>
        <v>10</v>
      </c>
      <c r="L72" s="250" t="str">
        <f>IFERROR(__xludf.DUMMYFUNCTION("""COMPUTED_VALUE"""),"")</f>
        <v/>
      </c>
      <c r="M72" s="250" t="str">
        <f>IFERROR(__xludf.DUMMYFUNCTION("""COMPUTED_VALUE"""),"")</f>
        <v/>
      </c>
      <c r="N72" s="250" t="str">
        <f>IFERROR(__xludf.DUMMYFUNCTION("""COMPUTED_VALUE"""),"")</f>
        <v/>
      </c>
      <c r="O72" s="250" t="str">
        <f>IFERROR(__xludf.DUMMYFUNCTION("""COMPUTED_VALUE"""),"")</f>
        <v/>
      </c>
      <c r="P72" s="250">
        <f>IFERROR(__xludf.DUMMYFUNCTION("""COMPUTED_VALUE"""),7959.0)</f>
        <v>7959</v>
      </c>
      <c r="Q72" s="250">
        <f>IFERROR(__xludf.DUMMYFUNCTION("""COMPUTED_VALUE"""),2519.0)</f>
        <v>2519</v>
      </c>
      <c r="R72" s="250" t="str">
        <f>IFERROR(__xludf.DUMMYFUNCTION("""COMPUTED_VALUE"""),"")</f>
        <v/>
      </c>
      <c r="U72" s="250">
        <f>IFERROR(__xludf.DUMMYFUNCTION("""COMPUTED_VALUE"""),12259.0)</f>
        <v>12259</v>
      </c>
      <c r="V72" s="250">
        <f>IFERROR(__xludf.DUMMYFUNCTION("""COMPUTED_VALUE"""),11669.0)</f>
        <v>11669</v>
      </c>
      <c r="W72" s="250">
        <f>IFERROR(__xludf.DUMMYFUNCTION("""COMPUTED_VALUE"""),10509.0)</f>
        <v>10509</v>
      </c>
      <c r="X72" t="b">
        <f t="shared" ref="X72:Z72" si="120">ISBLANK(K72)</f>
        <v>1</v>
      </c>
      <c r="Y72" t="b">
        <f t="shared" si="120"/>
        <v>0</v>
      </c>
      <c r="Z72" t="b">
        <f t="shared" si="120"/>
        <v>0</v>
      </c>
      <c r="AA72">
        <f t="shared" ref="AA72:AC72" si="121">IF(X72=FALSE,1,0)</f>
        <v>0</v>
      </c>
      <c r="AB72">
        <f t="shared" si="121"/>
        <v>1</v>
      </c>
      <c r="AC72">
        <f t="shared" si="121"/>
        <v>1</v>
      </c>
      <c r="AD72">
        <f t="shared" si="6"/>
        <v>2</v>
      </c>
      <c r="AE72">
        <f t="shared" si="7"/>
        <v>1</v>
      </c>
      <c r="AF72">
        <f>if(iferror(vlookup($A72,'Description Database'!$E$2:$H$951,3,0),0)=TRUE,1,0)</f>
        <v>0</v>
      </c>
      <c r="AG72">
        <f>if(iferror(vlookup($A72,'Description Database'!$E$2:$H$951,4,0),0)=TRUE,1,0)</f>
        <v>0</v>
      </c>
    </row>
    <row r="73">
      <c r="A73" t="str">
        <f>IFERROR(__xludf.DUMMYFUNCTION("""COMPUTED_VALUE"""),"Apple iPhone 6S (2 GB/64 GB)")</f>
        <v>Apple iPhone 6S (2 GB/64 GB)</v>
      </c>
      <c r="B73" t="str">
        <f>IFERROR(__xludf.DUMMYFUNCTION("""COMPUTED_VALUE"""),"")</f>
        <v/>
      </c>
      <c r="C73" t="str">
        <f>IFERROR(__xludf.DUMMYFUNCTION("""COMPUTED_VALUE"""),"")</f>
        <v/>
      </c>
      <c r="D73" t="str">
        <f>IFERROR(__xludf.DUMMYFUNCTION("""COMPUTED_VALUE"""),"")</f>
        <v/>
      </c>
      <c r="E73" t="str">
        <f>IFERROR(__xludf.DUMMYFUNCTION("""COMPUTED_VALUE"""),"")</f>
        <v/>
      </c>
      <c r="F73" t="str">
        <f>IFERROR(__xludf.DUMMYFUNCTION("""COMPUTED_VALUE"""),"")</f>
        <v/>
      </c>
      <c r="G73">
        <f>IFERROR(__xludf.DUMMYFUNCTION("""COMPUTED_VALUE"""),1.0)</f>
        <v>1</v>
      </c>
      <c r="H73">
        <f>IFERROR(__xludf.DUMMYFUNCTION("""COMPUTED_VALUE"""),3.0)</f>
        <v>3</v>
      </c>
      <c r="I73" t="str">
        <f>IFERROR(__xludf.DUMMYFUNCTION("""COMPUTED_VALUE"""),"")</f>
        <v/>
      </c>
      <c r="J73">
        <f>IFERROR(__xludf.DUMMYFUNCTION("""COMPUTED_VALUE"""),4.0)</f>
        <v>4</v>
      </c>
      <c r="L73" s="250" t="str">
        <f>IFERROR(__xludf.DUMMYFUNCTION("""COMPUTED_VALUE"""),"")</f>
        <v/>
      </c>
      <c r="M73" s="250" t="str">
        <f>IFERROR(__xludf.DUMMYFUNCTION("""COMPUTED_VALUE"""),"")</f>
        <v/>
      </c>
      <c r="N73" s="250" t="str">
        <f>IFERROR(__xludf.DUMMYFUNCTION("""COMPUTED_VALUE"""),"")</f>
        <v/>
      </c>
      <c r="O73" s="250" t="str">
        <f>IFERROR(__xludf.DUMMYFUNCTION("""COMPUTED_VALUE"""),"")</f>
        <v/>
      </c>
      <c r="P73" s="250" t="str">
        <f>IFERROR(__xludf.DUMMYFUNCTION("""COMPUTED_VALUE"""),"")</f>
        <v/>
      </c>
      <c r="Q73" s="250">
        <f>IFERROR(__xludf.DUMMYFUNCTION("""COMPUTED_VALUE"""),5049.0)</f>
        <v>5049</v>
      </c>
      <c r="R73" s="250">
        <f>IFERROR(__xludf.DUMMYFUNCTION("""COMPUTED_VALUE"""),3479.0)</f>
        <v>3479</v>
      </c>
      <c r="U73" s="250">
        <f>IFERROR(__xludf.DUMMYFUNCTION("""COMPUTED_VALUE"""),10149.0)</f>
        <v>10149</v>
      </c>
      <c r="V73" s="250">
        <f>IFERROR(__xludf.DUMMYFUNCTION("""COMPUTED_VALUE"""),9659.0)</f>
        <v>9659</v>
      </c>
      <c r="W73" s="250">
        <f>IFERROR(__xludf.DUMMYFUNCTION("""COMPUTED_VALUE"""),8829.0)</f>
        <v>8829</v>
      </c>
      <c r="X73" t="b">
        <f t="shared" ref="X73:Z73" si="122">ISBLANK(K73)</f>
        <v>1</v>
      </c>
      <c r="Y73" t="b">
        <f t="shared" si="122"/>
        <v>0</v>
      </c>
      <c r="Z73" t="b">
        <f t="shared" si="122"/>
        <v>0</v>
      </c>
      <c r="AA73">
        <f t="shared" ref="AA73:AC73" si="123">IF(X73=FALSE,1,0)</f>
        <v>0</v>
      </c>
      <c r="AB73">
        <f t="shared" si="123"/>
        <v>1</v>
      </c>
      <c r="AC73">
        <f t="shared" si="123"/>
        <v>1</v>
      </c>
      <c r="AD73">
        <f t="shared" si="6"/>
        <v>2</v>
      </c>
      <c r="AE73">
        <f t="shared" si="7"/>
        <v>1</v>
      </c>
      <c r="AF73">
        <f>if(iferror(vlookup($A73,'Description Database'!$E$2:$H$951,3,0),0)=TRUE,1,0)</f>
        <v>1</v>
      </c>
      <c r="AG73">
        <f>if(iferror(vlookup($A73,'Description Database'!$E$2:$H$951,4,0),0)=TRUE,1,0)</f>
        <v>0</v>
      </c>
    </row>
    <row r="74">
      <c r="A74" t="str">
        <f>IFERROR(__xludf.DUMMYFUNCTION("""COMPUTED_VALUE"""),"Oppo F7 (4 GB/64 GB)")</f>
        <v>Oppo F7 (4 GB/64 GB)</v>
      </c>
      <c r="B74" t="str">
        <f>IFERROR(__xludf.DUMMYFUNCTION("""COMPUTED_VALUE"""),"")</f>
        <v/>
      </c>
      <c r="C74" t="str">
        <f>IFERROR(__xludf.DUMMYFUNCTION("""COMPUTED_VALUE"""),"")</f>
        <v/>
      </c>
      <c r="D74" t="str">
        <f>IFERROR(__xludf.DUMMYFUNCTION("""COMPUTED_VALUE"""),"")</f>
        <v/>
      </c>
      <c r="E74" t="str">
        <f>IFERROR(__xludf.DUMMYFUNCTION("""COMPUTED_VALUE"""),"")</f>
        <v/>
      </c>
      <c r="F74" t="str">
        <f>IFERROR(__xludf.DUMMYFUNCTION("""COMPUTED_VALUE"""),"")</f>
        <v/>
      </c>
      <c r="G74">
        <f>IFERROR(__xludf.DUMMYFUNCTION("""COMPUTED_VALUE"""),2.0)</f>
        <v>2</v>
      </c>
      <c r="H74" t="str">
        <f>IFERROR(__xludf.DUMMYFUNCTION("""COMPUTED_VALUE"""),"")</f>
        <v/>
      </c>
      <c r="I74">
        <f>IFERROR(__xludf.DUMMYFUNCTION("""COMPUTED_VALUE"""),4.0)</f>
        <v>4</v>
      </c>
      <c r="J74">
        <f>IFERROR(__xludf.DUMMYFUNCTION("""COMPUTED_VALUE"""),6.0)</f>
        <v>6</v>
      </c>
      <c r="L74" s="250" t="str">
        <f>IFERROR(__xludf.DUMMYFUNCTION("""COMPUTED_VALUE"""),"")</f>
        <v/>
      </c>
      <c r="M74" s="250" t="str">
        <f>IFERROR(__xludf.DUMMYFUNCTION("""COMPUTED_VALUE"""),"")</f>
        <v/>
      </c>
      <c r="N74" s="250" t="str">
        <f>IFERROR(__xludf.DUMMYFUNCTION("""COMPUTED_VALUE"""),"")</f>
        <v/>
      </c>
      <c r="O74" s="250" t="str">
        <f>IFERROR(__xludf.DUMMYFUNCTION("""COMPUTED_VALUE"""),"")</f>
        <v/>
      </c>
      <c r="P74" s="250" t="str">
        <f>IFERROR(__xludf.DUMMYFUNCTION("""COMPUTED_VALUE"""),"")</f>
        <v/>
      </c>
      <c r="Q74" s="250">
        <f>IFERROR(__xludf.DUMMYFUNCTION("""COMPUTED_VALUE"""),3859.0)</f>
        <v>3859</v>
      </c>
      <c r="R74" s="250" t="str">
        <f>IFERROR(__xludf.DUMMYFUNCTION("""COMPUTED_VALUE"""),"")</f>
        <v/>
      </c>
      <c r="U74" s="250">
        <f>IFERROR(__xludf.DUMMYFUNCTION("""COMPUTED_VALUE"""),7929.0)</f>
        <v>7929</v>
      </c>
      <c r="V74" s="250">
        <f>IFERROR(__xludf.DUMMYFUNCTION("""COMPUTED_VALUE"""),7549.0)</f>
        <v>7549</v>
      </c>
      <c r="W74" s="250">
        <f>IFERROR(__xludf.DUMMYFUNCTION("""COMPUTED_VALUE"""),6899.0)</f>
        <v>6899</v>
      </c>
      <c r="X74" t="b">
        <f t="shared" ref="X74:Z74" si="124">ISBLANK(K74)</f>
        <v>1</v>
      </c>
      <c r="Y74" t="b">
        <f t="shared" si="124"/>
        <v>0</v>
      </c>
      <c r="Z74" t="b">
        <f t="shared" si="124"/>
        <v>0</v>
      </c>
      <c r="AA74">
        <f t="shared" ref="AA74:AC74" si="125">IF(X74=FALSE,1,0)</f>
        <v>0</v>
      </c>
      <c r="AB74">
        <f t="shared" si="125"/>
        <v>1</v>
      </c>
      <c r="AC74">
        <f t="shared" si="125"/>
        <v>1</v>
      </c>
      <c r="AD74">
        <f t="shared" si="6"/>
        <v>2</v>
      </c>
      <c r="AE74">
        <f t="shared" si="7"/>
        <v>1</v>
      </c>
      <c r="AF74">
        <f>if(iferror(vlookup($A74,'Description Database'!$E$2:$H$951,3,0),0)=TRUE,1,0)</f>
        <v>0</v>
      </c>
      <c r="AG74">
        <f>if(iferror(vlookup($A74,'Description Database'!$E$2:$H$951,4,0),0)=TRUE,1,0)</f>
        <v>0</v>
      </c>
    </row>
    <row r="75">
      <c r="A75" t="str">
        <f>IFERROR(__xludf.DUMMYFUNCTION("""COMPUTED_VALUE"""),"Xiaomi Redmi 8 (4 GB/64 GB)")</f>
        <v>Xiaomi Redmi 8 (4 GB/64 GB)</v>
      </c>
      <c r="B75" t="str">
        <f>IFERROR(__xludf.DUMMYFUNCTION("""COMPUTED_VALUE"""),"")</f>
        <v/>
      </c>
      <c r="C75" t="str">
        <f>IFERROR(__xludf.DUMMYFUNCTION("""COMPUTED_VALUE"""),"")</f>
        <v/>
      </c>
      <c r="D75" t="str">
        <f>IFERROR(__xludf.DUMMYFUNCTION("""COMPUTED_VALUE"""),"")</f>
        <v/>
      </c>
      <c r="E75" t="str">
        <f>IFERROR(__xludf.DUMMYFUNCTION("""COMPUTED_VALUE"""),"")</f>
        <v/>
      </c>
      <c r="F75">
        <f>IFERROR(__xludf.DUMMYFUNCTION("""COMPUTED_VALUE"""),1.0)</f>
        <v>1</v>
      </c>
      <c r="G75" t="str">
        <f>IFERROR(__xludf.DUMMYFUNCTION("""COMPUTED_VALUE"""),"")</f>
        <v/>
      </c>
      <c r="H75" t="str">
        <f>IFERROR(__xludf.DUMMYFUNCTION("""COMPUTED_VALUE"""),"")</f>
        <v/>
      </c>
      <c r="I75">
        <f>IFERROR(__xludf.DUMMYFUNCTION("""COMPUTED_VALUE"""),4.0)</f>
        <v>4</v>
      </c>
      <c r="J75">
        <f>IFERROR(__xludf.DUMMYFUNCTION("""COMPUTED_VALUE"""),5.0)</f>
        <v>5</v>
      </c>
      <c r="L75" s="250" t="str">
        <f>IFERROR(__xludf.DUMMYFUNCTION("""COMPUTED_VALUE"""),"")</f>
        <v/>
      </c>
      <c r="M75" s="250" t="str">
        <f>IFERROR(__xludf.DUMMYFUNCTION("""COMPUTED_VALUE"""),"")</f>
        <v/>
      </c>
      <c r="N75" s="250" t="str">
        <f>IFERROR(__xludf.DUMMYFUNCTION("""COMPUTED_VALUE"""),"")</f>
        <v/>
      </c>
      <c r="O75" s="250" t="str">
        <f>IFERROR(__xludf.DUMMYFUNCTION("""COMPUTED_VALUE"""),"")</f>
        <v/>
      </c>
      <c r="P75" s="250">
        <f>IFERROR(__xludf.DUMMYFUNCTION("""COMPUTED_VALUE"""),4849.0)</f>
        <v>4849</v>
      </c>
      <c r="Q75" s="250" t="str">
        <f>IFERROR(__xludf.DUMMYFUNCTION("""COMPUTED_VALUE"""),"")</f>
        <v/>
      </c>
      <c r="R75" s="250" t="str">
        <f>IFERROR(__xludf.DUMMYFUNCTION("""COMPUTED_VALUE"""),"")</f>
        <v/>
      </c>
      <c r="U75" s="250">
        <f>IFERROR(__xludf.DUMMYFUNCTION("""COMPUTED_VALUE"""),7479.0)</f>
        <v>7479</v>
      </c>
      <c r="V75" s="250">
        <f>IFERROR(__xludf.DUMMYFUNCTION("""COMPUTED_VALUE"""),7119.0)</f>
        <v>7119</v>
      </c>
      <c r="W75" s="250">
        <f>IFERROR(__xludf.DUMMYFUNCTION("""COMPUTED_VALUE"""),6409.0)</f>
        <v>6409</v>
      </c>
      <c r="X75" t="b">
        <f t="shared" ref="X75:Z75" si="126">ISBLANK(K75)</f>
        <v>1</v>
      </c>
      <c r="Y75" t="b">
        <f t="shared" si="126"/>
        <v>0</v>
      </c>
      <c r="Z75" t="b">
        <f t="shared" si="126"/>
        <v>0</v>
      </c>
      <c r="AA75">
        <f t="shared" ref="AA75:AC75" si="127">IF(X75=FALSE,1,0)</f>
        <v>0</v>
      </c>
      <c r="AB75">
        <f t="shared" si="127"/>
        <v>1</v>
      </c>
      <c r="AC75">
        <f t="shared" si="127"/>
        <v>1</v>
      </c>
      <c r="AD75">
        <f t="shared" si="6"/>
        <v>2</v>
      </c>
      <c r="AE75">
        <f t="shared" si="7"/>
        <v>1</v>
      </c>
      <c r="AF75">
        <f>if(iferror(vlookup($A75,'Description Database'!$E$2:$H$951,3,0),0)=TRUE,1,0)</f>
        <v>0</v>
      </c>
      <c r="AG75">
        <f>if(iferror(vlookup($A75,'Description Database'!$E$2:$H$951,4,0),0)=TRUE,1,0)</f>
        <v>1</v>
      </c>
    </row>
    <row r="76">
      <c r="A76" t="str">
        <f>IFERROR(__xludf.DUMMYFUNCTION("""COMPUTED_VALUE"""),"Oppo F3 Plus (6 GB/64 GB)")</f>
        <v>Oppo F3 Plus (6 GB/64 GB)</v>
      </c>
      <c r="B76" t="str">
        <f>IFERROR(__xludf.DUMMYFUNCTION("""COMPUTED_VALUE"""),"")</f>
        <v/>
      </c>
      <c r="C76" t="str">
        <f>IFERROR(__xludf.DUMMYFUNCTION("""COMPUTED_VALUE"""),"")</f>
        <v/>
      </c>
      <c r="D76" t="str">
        <f>IFERROR(__xludf.DUMMYFUNCTION("""COMPUTED_VALUE"""),"")</f>
        <v/>
      </c>
      <c r="E76" t="str">
        <f>IFERROR(__xludf.DUMMYFUNCTION("""COMPUTED_VALUE"""),"")</f>
        <v/>
      </c>
      <c r="F76" t="str">
        <f>IFERROR(__xludf.DUMMYFUNCTION("""COMPUTED_VALUE"""),"")</f>
        <v/>
      </c>
      <c r="G76" t="str">
        <f>IFERROR(__xludf.DUMMYFUNCTION("""COMPUTED_VALUE"""),"")</f>
        <v/>
      </c>
      <c r="H76" t="str">
        <f>IFERROR(__xludf.DUMMYFUNCTION("""COMPUTED_VALUE"""),"")</f>
        <v/>
      </c>
      <c r="I76">
        <f>IFERROR(__xludf.DUMMYFUNCTION("""COMPUTED_VALUE"""),3.0)</f>
        <v>3</v>
      </c>
      <c r="J76">
        <f>IFERROR(__xludf.DUMMYFUNCTION("""COMPUTED_VALUE"""),3.0)</f>
        <v>3</v>
      </c>
      <c r="L76" s="250" t="str">
        <f>IFERROR(__xludf.DUMMYFUNCTION("""COMPUTED_VALUE"""),"")</f>
        <v/>
      </c>
      <c r="M76" s="250" t="str">
        <f>IFERROR(__xludf.DUMMYFUNCTION("""COMPUTED_VALUE"""),"")</f>
        <v/>
      </c>
      <c r="N76" s="250" t="str">
        <f>IFERROR(__xludf.DUMMYFUNCTION("""COMPUTED_VALUE"""),"")</f>
        <v/>
      </c>
      <c r="O76" s="250" t="str">
        <f>IFERROR(__xludf.DUMMYFUNCTION("""COMPUTED_VALUE"""),"")</f>
        <v/>
      </c>
      <c r="P76" s="250" t="str">
        <f>IFERROR(__xludf.DUMMYFUNCTION("""COMPUTED_VALUE"""),"")</f>
        <v/>
      </c>
      <c r="Q76" s="250" t="str">
        <f>IFERROR(__xludf.DUMMYFUNCTION("""COMPUTED_VALUE"""),"")</f>
        <v/>
      </c>
      <c r="R76" s="250" t="str">
        <f>IFERROR(__xludf.DUMMYFUNCTION("""COMPUTED_VALUE"""),"")</f>
        <v/>
      </c>
      <c r="U76" s="250">
        <f>IFERROR(__xludf.DUMMYFUNCTION("""COMPUTED_VALUE"""),6799.0)</f>
        <v>6799</v>
      </c>
      <c r="V76" s="250">
        <f>IFERROR(__xludf.DUMMYFUNCTION("""COMPUTED_VALUE"""),6469.0)</f>
        <v>6469</v>
      </c>
      <c r="W76" s="250">
        <f>IFERROR(__xludf.DUMMYFUNCTION("""COMPUTED_VALUE"""),5829.0)</f>
        <v>5829</v>
      </c>
      <c r="X76" t="b">
        <f t="shared" ref="X76:Z76" si="128">ISBLANK(K76)</f>
        <v>1</v>
      </c>
      <c r="Y76" t="b">
        <f t="shared" si="128"/>
        <v>0</v>
      </c>
      <c r="Z76" t="b">
        <f t="shared" si="128"/>
        <v>0</v>
      </c>
      <c r="AA76">
        <f t="shared" ref="AA76:AC76" si="129">IF(X76=FALSE,1,0)</f>
        <v>0</v>
      </c>
      <c r="AB76">
        <f t="shared" si="129"/>
        <v>1</v>
      </c>
      <c r="AC76">
        <f t="shared" si="129"/>
        <v>1</v>
      </c>
      <c r="AD76">
        <f t="shared" si="6"/>
        <v>2</v>
      </c>
      <c r="AE76">
        <f t="shared" si="7"/>
        <v>1</v>
      </c>
      <c r="AF76">
        <f>if(iferror(vlookup($A76,'Description Database'!$E$2:$H$951,3,0),0)=TRUE,1,0)</f>
        <v>0</v>
      </c>
      <c r="AG76">
        <f>if(iferror(vlookup($A76,'Description Database'!$E$2:$H$951,4,0),0)=TRUE,1,0)</f>
        <v>0</v>
      </c>
    </row>
    <row r="77">
      <c r="A77" t="str">
        <f>IFERROR(__xludf.DUMMYFUNCTION("""COMPUTED_VALUE"""),"Apple iPhone 6S (2 GB/32 GB)")</f>
        <v>Apple iPhone 6S (2 GB/32 GB)</v>
      </c>
      <c r="B77" t="str">
        <f>IFERROR(__xludf.DUMMYFUNCTION("""COMPUTED_VALUE"""),"")</f>
        <v/>
      </c>
      <c r="C77">
        <f>IFERROR(__xludf.DUMMYFUNCTION("""COMPUTED_VALUE"""),1.0)</f>
        <v>1</v>
      </c>
      <c r="D77" t="str">
        <f>IFERROR(__xludf.DUMMYFUNCTION("""COMPUTED_VALUE"""),"")</f>
        <v/>
      </c>
      <c r="E77">
        <f>IFERROR(__xludf.DUMMYFUNCTION("""COMPUTED_VALUE"""),1.0)</f>
        <v>1</v>
      </c>
      <c r="F77" t="str">
        <f>IFERROR(__xludf.DUMMYFUNCTION("""COMPUTED_VALUE"""),"")</f>
        <v/>
      </c>
      <c r="G77" t="str">
        <f>IFERROR(__xludf.DUMMYFUNCTION("""COMPUTED_VALUE"""),"")</f>
        <v/>
      </c>
      <c r="H77">
        <f>IFERROR(__xludf.DUMMYFUNCTION("""COMPUTED_VALUE"""),2.0)</f>
        <v>2</v>
      </c>
      <c r="I77">
        <f>IFERROR(__xludf.DUMMYFUNCTION("""COMPUTED_VALUE"""),3.0)</f>
        <v>3</v>
      </c>
      <c r="J77">
        <f>IFERROR(__xludf.DUMMYFUNCTION("""COMPUTED_VALUE"""),7.0)</f>
        <v>7</v>
      </c>
      <c r="L77" s="250" t="str">
        <f>IFERROR(__xludf.DUMMYFUNCTION("""COMPUTED_VALUE"""),"")</f>
        <v/>
      </c>
      <c r="M77" s="250">
        <f>IFERROR(__xludf.DUMMYFUNCTION("""COMPUTED_VALUE"""),8069.0)</f>
        <v>8069</v>
      </c>
      <c r="N77" s="250" t="str">
        <f>IFERROR(__xludf.DUMMYFUNCTION("""COMPUTED_VALUE"""),"")</f>
        <v/>
      </c>
      <c r="O77" s="250">
        <f>IFERROR(__xludf.DUMMYFUNCTION("""COMPUTED_VALUE"""),6739.0)</f>
        <v>6739</v>
      </c>
      <c r="P77" s="250" t="str">
        <f>IFERROR(__xludf.DUMMYFUNCTION("""COMPUTED_VALUE"""),"")</f>
        <v/>
      </c>
      <c r="Q77" s="250" t="str">
        <f>IFERROR(__xludf.DUMMYFUNCTION("""COMPUTED_VALUE"""),"")</f>
        <v/>
      </c>
      <c r="R77" s="250">
        <f>IFERROR(__xludf.DUMMYFUNCTION("""COMPUTED_VALUE"""),3189.0)</f>
        <v>3189</v>
      </c>
      <c r="U77" s="250">
        <f>IFERROR(__xludf.DUMMYFUNCTION("""COMPUTED_VALUE"""),9329.0)</f>
        <v>9329</v>
      </c>
      <c r="V77" s="250">
        <f>IFERROR(__xludf.DUMMYFUNCTION("""COMPUTED_VALUE"""),8879.0)</f>
        <v>8879</v>
      </c>
      <c r="W77" s="250">
        <f>IFERROR(__xludf.DUMMYFUNCTION("""COMPUTED_VALUE"""),8119.0)</f>
        <v>8119</v>
      </c>
      <c r="X77" t="b">
        <f t="shared" ref="X77:Z77" si="130">ISBLANK(K77)</f>
        <v>1</v>
      </c>
      <c r="Y77" t="b">
        <f t="shared" si="130"/>
        <v>0</v>
      </c>
      <c r="Z77" t="b">
        <f t="shared" si="130"/>
        <v>0</v>
      </c>
      <c r="AA77">
        <f t="shared" ref="AA77:AC77" si="131">IF(X77=FALSE,1,0)</f>
        <v>0</v>
      </c>
      <c r="AB77">
        <f t="shared" si="131"/>
        <v>1</v>
      </c>
      <c r="AC77">
        <f t="shared" si="131"/>
        <v>1</v>
      </c>
      <c r="AD77">
        <f t="shared" si="6"/>
        <v>2</v>
      </c>
      <c r="AE77">
        <f t="shared" si="7"/>
        <v>1</v>
      </c>
      <c r="AF77">
        <f>if(iferror(vlookup($A77,'Description Database'!$E$2:$H$951,3,0),0)=TRUE,1,0)</f>
        <v>0</v>
      </c>
      <c r="AG77">
        <f>if(iferror(vlookup($A77,'Description Database'!$E$2:$H$951,4,0),0)=TRUE,1,0)</f>
        <v>0</v>
      </c>
    </row>
    <row r="78">
      <c r="A78" t="str">
        <f>IFERROR(__xludf.DUMMYFUNCTION("""COMPUTED_VALUE"""),"Oppo F11 Pro (6 GB/128 GB)")</f>
        <v>Oppo F11 Pro (6 GB/128 GB)</v>
      </c>
      <c r="B78" t="str">
        <f>IFERROR(__xludf.DUMMYFUNCTION("""COMPUTED_VALUE"""),"")</f>
        <v/>
      </c>
      <c r="C78" t="str">
        <f>IFERROR(__xludf.DUMMYFUNCTION("""COMPUTED_VALUE"""),"")</f>
        <v/>
      </c>
      <c r="D78" t="str">
        <f>IFERROR(__xludf.DUMMYFUNCTION("""COMPUTED_VALUE"""),"")</f>
        <v/>
      </c>
      <c r="E78" t="str">
        <f>IFERROR(__xludf.DUMMYFUNCTION("""COMPUTED_VALUE"""),"")</f>
        <v/>
      </c>
      <c r="F78">
        <f>IFERROR(__xludf.DUMMYFUNCTION("""COMPUTED_VALUE"""),1.0)</f>
        <v>1</v>
      </c>
      <c r="G78" t="str">
        <f>IFERROR(__xludf.DUMMYFUNCTION("""COMPUTED_VALUE"""),"")</f>
        <v/>
      </c>
      <c r="H78" t="str">
        <f>IFERROR(__xludf.DUMMYFUNCTION("""COMPUTED_VALUE"""),"")</f>
        <v/>
      </c>
      <c r="I78">
        <f>IFERROR(__xludf.DUMMYFUNCTION("""COMPUTED_VALUE"""),1.0)</f>
        <v>1</v>
      </c>
      <c r="J78">
        <f>IFERROR(__xludf.DUMMYFUNCTION("""COMPUTED_VALUE"""),2.0)</f>
        <v>2</v>
      </c>
      <c r="L78" s="250" t="str">
        <f>IFERROR(__xludf.DUMMYFUNCTION("""COMPUTED_VALUE"""),"")</f>
        <v/>
      </c>
      <c r="M78" s="250" t="str">
        <f>IFERROR(__xludf.DUMMYFUNCTION("""COMPUTED_VALUE"""),"")</f>
        <v/>
      </c>
      <c r="N78" s="250" t="str">
        <f>IFERROR(__xludf.DUMMYFUNCTION("""COMPUTED_VALUE"""),"")</f>
        <v/>
      </c>
      <c r="O78" s="250" t="str">
        <f>IFERROR(__xludf.DUMMYFUNCTION("""COMPUTED_VALUE"""),"")</f>
        <v/>
      </c>
      <c r="P78" s="250">
        <f>IFERROR(__xludf.DUMMYFUNCTION("""COMPUTED_VALUE"""),7479.0)</f>
        <v>7479</v>
      </c>
      <c r="Q78" s="250" t="str">
        <f>IFERROR(__xludf.DUMMYFUNCTION("""COMPUTED_VALUE"""),"")</f>
        <v/>
      </c>
      <c r="R78" s="250" t="str">
        <f>IFERROR(__xludf.DUMMYFUNCTION("""COMPUTED_VALUE"""),"")</f>
        <v/>
      </c>
      <c r="U78" s="250">
        <f>IFERROR(__xludf.DUMMYFUNCTION("""COMPUTED_VALUE"""),11509.0)</f>
        <v>11509</v>
      </c>
      <c r="V78" s="250">
        <f>IFERROR(__xludf.DUMMYFUNCTION("""COMPUTED_VALUE"""),10959.0)</f>
        <v>10959</v>
      </c>
      <c r="W78" s="250">
        <f>IFERROR(__xludf.DUMMYFUNCTION("""COMPUTED_VALUE"""),9859.0)</f>
        <v>9859</v>
      </c>
      <c r="X78" t="b">
        <f t="shared" ref="X78:Z78" si="132">ISBLANK(K78)</f>
        <v>1</v>
      </c>
      <c r="Y78" t="b">
        <f t="shared" si="132"/>
        <v>0</v>
      </c>
      <c r="Z78" t="b">
        <f t="shared" si="132"/>
        <v>0</v>
      </c>
      <c r="AA78">
        <f t="shared" ref="AA78:AC78" si="133">IF(X78=FALSE,1,0)</f>
        <v>0</v>
      </c>
      <c r="AB78">
        <f t="shared" si="133"/>
        <v>1</v>
      </c>
      <c r="AC78">
        <f t="shared" si="133"/>
        <v>1</v>
      </c>
      <c r="AD78">
        <f t="shared" si="6"/>
        <v>2</v>
      </c>
      <c r="AE78">
        <f t="shared" si="7"/>
        <v>1</v>
      </c>
      <c r="AF78">
        <f>if(iferror(vlookup($A78,'Description Database'!$E$2:$H$951,3,0),0)=TRUE,1,0)</f>
        <v>0</v>
      </c>
      <c r="AG78">
        <f>if(iferror(vlookup($A78,'Description Database'!$E$2:$H$951,4,0),0)=TRUE,1,0)</f>
        <v>0</v>
      </c>
    </row>
    <row r="79">
      <c r="A79" t="str">
        <f>IFERROR(__xludf.DUMMYFUNCTION("""COMPUTED_VALUE"""),"Samsung Galaxy J5 2017 (2 GB/32 GB)")</f>
        <v>Samsung Galaxy J5 2017 (2 GB/32 GB)</v>
      </c>
      <c r="B79" t="str">
        <f>IFERROR(__xludf.DUMMYFUNCTION("""COMPUTED_VALUE"""),"")</f>
        <v/>
      </c>
      <c r="C79" t="str">
        <f>IFERROR(__xludf.DUMMYFUNCTION("""COMPUTED_VALUE"""),"")</f>
        <v/>
      </c>
      <c r="D79" t="str">
        <f>IFERROR(__xludf.DUMMYFUNCTION("""COMPUTED_VALUE"""),"")</f>
        <v/>
      </c>
      <c r="E79" t="str">
        <f>IFERROR(__xludf.DUMMYFUNCTION("""COMPUTED_VALUE"""),"")</f>
        <v/>
      </c>
      <c r="F79" t="str">
        <f>IFERROR(__xludf.DUMMYFUNCTION("""COMPUTED_VALUE"""),"")</f>
        <v/>
      </c>
      <c r="G79" t="str">
        <f>IFERROR(__xludf.DUMMYFUNCTION("""COMPUTED_VALUE"""),"")</f>
        <v/>
      </c>
      <c r="H79" t="str">
        <f>IFERROR(__xludf.DUMMYFUNCTION("""COMPUTED_VALUE"""),"")</f>
        <v/>
      </c>
      <c r="I79" t="str">
        <f>IFERROR(__xludf.DUMMYFUNCTION("""COMPUTED_VALUE"""),"")</f>
        <v/>
      </c>
      <c r="J79">
        <f>IFERROR(__xludf.DUMMYFUNCTION("""COMPUTED_VALUE"""),0.0)</f>
        <v>0</v>
      </c>
      <c r="L79" s="250" t="str">
        <f>IFERROR(__xludf.DUMMYFUNCTION("""COMPUTED_VALUE"""),"")</f>
        <v/>
      </c>
      <c r="M79" s="250" t="str">
        <f>IFERROR(__xludf.DUMMYFUNCTION("""COMPUTED_VALUE"""),"")</f>
        <v/>
      </c>
      <c r="N79" s="250" t="str">
        <f>IFERROR(__xludf.DUMMYFUNCTION("""COMPUTED_VALUE"""),"")</f>
        <v/>
      </c>
      <c r="O79" s="250" t="str">
        <f>IFERROR(__xludf.DUMMYFUNCTION("""COMPUTED_VALUE"""),"")</f>
        <v/>
      </c>
      <c r="P79" s="250" t="str">
        <f>IFERROR(__xludf.DUMMYFUNCTION("""COMPUTED_VALUE"""),"")</f>
        <v/>
      </c>
      <c r="Q79" s="250" t="str">
        <f>IFERROR(__xludf.DUMMYFUNCTION("""COMPUTED_VALUE"""),"")</f>
        <v/>
      </c>
      <c r="R79" s="250" t="str">
        <f>IFERROR(__xludf.DUMMYFUNCTION("""COMPUTED_VALUE"""),"")</f>
        <v/>
      </c>
      <c r="U79" s="250">
        <f>IFERROR(__xludf.DUMMYFUNCTION("""COMPUTED_VALUE"""),5459.0)</f>
        <v>5459</v>
      </c>
      <c r="V79" s="250">
        <f>IFERROR(__xludf.DUMMYFUNCTION("""COMPUTED_VALUE"""),5199.0)</f>
        <v>5199</v>
      </c>
      <c r="W79" s="250">
        <f>IFERROR(__xludf.DUMMYFUNCTION("""COMPUTED_VALUE"""),4679.0)</f>
        <v>4679</v>
      </c>
      <c r="X79" t="b">
        <f t="shared" ref="X79:Z79" si="134">ISBLANK(K79)</f>
        <v>1</v>
      </c>
      <c r="Y79" t="b">
        <f t="shared" si="134"/>
        <v>0</v>
      </c>
      <c r="Z79" t="b">
        <f t="shared" si="134"/>
        <v>0</v>
      </c>
      <c r="AA79">
        <f t="shared" ref="AA79:AC79" si="135">IF(X79=FALSE,1,0)</f>
        <v>0</v>
      </c>
      <c r="AB79">
        <f t="shared" si="135"/>
        <v>1</v>
      </c>
      <c r="AC79">
        <f t="shared" si="135"/>
        <v>1</v>
      </c>
      <c r="AD79">
        <f t="shared" si="6"/>
        <v>2</v>
      </c>
      <c r="AE79">
        <f t="shared" si="7"/>
        <v>1</v>
      </c>
      <c r="AF79">
        <f>if(iferror(vlookup($A79,'Description Database'!$E$2:$H$951,3,0),0)=TRUE,1,0)</f>
        <v>0</v>
      </c>
      <c r="AG79">
        <f>if(iferror(vlookup($A79,'Description Database'!$E$2:$H$951,4,0),0)=TRUE,1,0)</f>
        <v>1</v>
      </c>
    </row>
    <row r="80">
      <c r="A80" t="str">
        <f>IFERROR(__xludf.DUMMYFUNCTION("""COMPUTED_VALUE"""),"Xiaomi Redmi 3S (2 GB/16 GB)")</f>
        <v>Xiaomi Redmi 3S (2 GB/16 GB)</v>
      </c>
      <c r="B80" t="str">
        <f>IFERROR(__xludf.DUMMYFUNCTION("""COMPUTED_VALUE"""),"")</f>
        <v/>
      </c>
      <c r="C80" t="str">
        <f>IFERROR(__xludf.DUMMYFUNCTION("""COMPUTED_VALUE"""),"")</f>
        <v/>
      </c>
      <c r="D80" t="str">
        <f>IFERROR(__xludf.DUMMYFUNCTION("""COMPUTED_VALUE"""),"")</f>
        <v/>
      </c>
      <c r="E80" t="str">
        <f>IFERROR(__xludf.DUMMYFUNCTION("""COMPUTED_VALUE"""),"")</f>
        <v/>
      </c>
      <c r="F80">
        <f>IFERROR(__xludf.DUMMYFUNCTION("""COMPUTED_VALUE"""),4.0)</f>
        <v>4</v>
      </c>
      <c r="G80">
        <f>IFERROR(__xludf.DUMMYFUNCTION("""COMPUTED_VALUE"""),1.0)</f>
        <v>1</v>
      </c>
      <c r="H80" t="str">
        <f>IFERROR(__xludf.DUMMYFUNCTION("""COMPUTED_VALUE"""),"")</f>
        <v/>
      </c>
      <c r="I80">
        <f>IFERROR(__xludf.DUMMYFUNCTION("""COMPUTED_VALUE"""),37.0)</f>
        <v>37</v>
      </c>
      <c r="J80">
        <f>IFERROR(__xludf.DUMMYFUNCTION("""COMPUTED_VALUE"""),42.0)</f>
        <v>42</v>
      </c>
      <c r="L80" s="250" t="str">
        <f>IFERROR(__xludf.DUMMYFUNCTION("""COMPUTED_VALUE"""),"")</f>
        <v/>
      </c>
      <c r="M80" s="250" t="str">
        <f>IFERROR(__xludf.DUMMYFUNCTION("""COMPUTED_VALUE"""),"")</f>
        <v/>
      </c>
      <c r="N80" s="250" t="str">
        <f>IFERROR(__xludf.DUMMYFUNCTION("""COMPUTED_VALUE"""),"")</f>
        <v/>
      </c>
      <c r="O80" s="250" t="str">
        <f>IFERROR(__xludf.DUMMYFUNCTION("""COMPUTED_VALUE"""),"")</f>
        <v/>
      </c>
      <c r="P80" s="250">
        <f>IFERROR(__xludf.DUMMYFUNCTION("""COMPUTED_VALUE"""),2509.0)</f>
        <v>2509</v>
      </c>
      <c r="Q80" s="250">
        <f>IFERROR(__xludf.DUMMYFUNCTION("""COMPUTED_VALUE"""),1779.0)</f>
        <v>1779</v>
      </c>
      <c r="R80" s="250" t="str">
        <f>IFERROR(__xludf.DUMMYFUNCTION("""COMPUTED_VALUE"""),"")</f>
        <v/>
      </c>
      <c r="U80" s="250">
        <f>IFERROR(__xludf.DUMMYFUNCTION("""COMPUTED_VALUE"""),3879.0)</f>
        <v>3879</v>
      </c>
      <c r="V80" s="250">
        <f>IFERROR(__xludf.DUMMYFUNCTION("""COMPUTED_VALUE"""),3689.0)</f>
        <v>3689</v>
      </c>
      <c r="W80" s="250">
        <f>IFERROR(__xludf.DUMMYFUNCTION("""COMPUTED_VALUE"""),3379.0)</f>
        <v>3379</v>
      </c>
      <c r="X80" t="b">
        <f t="shared" ref="X80:Z80" si="136">ISBLANK(K80)</f>
        <v>1</v>
      </c>
      <c r="Y80" t="b">
        <f t="shared" si="136"/>
        <v>0</v>
      </c>
      <c r="Z80" t="b">
        <f t="shared" si="136"/>
        <v>0</v>
      </c>
      <c r="AA80">
        <f t="shared" ref="AA80:AC80" si="137">IF(X80=FALSE,1,0)</f>
        <v>0</v>
      </c>
      <c r="AB80">
        <f t="shared" si="137"/>
        <v>1</v>
      </c>
      <c r="AC80">
        <f t="shared" si="137"/>
        <v>1</v>
      </c>
      <c r="AD80">
        <f t="shared" si="6"/>
        <v>2</v>
      </c>
      <c r="AE80">
        <f t="shared" si="7"/>
        <v>1</v>
      </c>
      <c r="AF80">
        <f>if(iferror(vlookup($A80,'Description Database'!$E$2:$H$951,3,0),0)=TRUE,1,0)</f>
        <v>0</v>
      </c>
      <c r="AG80">
        <f>if(iferror(vlookup($A80,'Description Database'!$E$2:$H$951,4,0),0)=TRUE,1,0)</f>
        <v>0</v>
      </c>
    </row>
    <row r="81">
      <c r="A81" t="str">
        <f>IFERROR(__xludf.DUMMYFUNCTION("""COMPUTED_VALUE"""),"Xiaomi Redmi 5 (3 GB/32 GB)")</f>
        <v>Xiaomi Redmi 5 (3 GB/32 GB)</v>
      </c>
      <c r="B81" t="str">
        <f>IFERROR(__xludf.DUMMYFUNCTION("""COMPUTED_VALUE"""),"")</f>
        <v/>
      </c>
      <c r="C81" t="str">
        <f>IFERROR(__xludf.DUMMYFUNCTION("""COMPUTED_VALUE"""),"")</f>
        <v/>
      </c>
      <c r="D81" t="str">
        <f>IFERROR(__xludf.DUMMYFUNCTION("""COMPUTED_VALUE"""),"")</f>
        <v/>
      </c>
      <c r="E81">
        <f>IFERROR(__xludf.DUMMYFUNCTION("""COMPUTED_VALUE"""),1.0)</f>
        <v>1</v>
      </c>
      <c r="F81" t="str">
        <f>IFERROR(__xludf.DUMMYFUNCTION("""COMPUTED_VALUE"""),"")</f>
        <v/>
      </c>
      <c r="G81">
        <f>IFERROR(__xludf.DUMMYFUNCTION("""COMPUTED_VALUE"""),1.0)</f>
        <v>1</v>
      </c>
      <c r="H81">
        <f>IFERROR(__xludf.DUMMYFUNCTION("""COMPUTED_VALUE"""),1.0)</f>
        <v>1</v>
      </c>
      <c r="I81">
        <f>IFERROR(__xludf.DUMMYFUNCTION("""COMPUTED_VALUE"""),14.0)</f>
        <v>14</v>
      </c>
      <c r="J81">
        <f>IFERROR(__xludf.DUMMYFUNCTION("""COMPUTED_VALUE"""),17.0)</f>
        <v>17</v>
      </c>
      <c r="L81" s="250" t="str">
        <f>IFERROR(__xludf.DUMMYFUNCTION("""COMPUTED_VALUE"""),"")</f>
        <v/>
      </c>
      <c r="M81" s="250" t="str">
        <f>IFERROR(__xludf.DUMMYFUNCTION("""COMPUTED_VALUE"""),"")</f>
        <v/>
      </c>
      <c r="N81" s="250" t="str">
        <f>IFERROR(__xludf.DUMMYFUNCTION("""COMPUTED_VALUE"""),"")</f>
        <v/>
      </c>
      <c r="O81" s="250">
        <f>IFERROR(__xludf.DUMMYFUNCTION("""COMPUTED_VALUE"""),3814.0)</f>
        <v>3814</v>
      </c>
      <c r="P81" s="250" t="str">
        <f>IFERROR(__xludf.DUMMYFUNCTION("""COMPUTED_VALUE"""),"")</f>
        <v/>
      </c>
      <c r="Q81" s="250">
        <f>IFERROR(__xludf.DUMMYFUNCTION("""COMPUTED_VALUE"""),2669.0)</f>
        <v>2669</v>
      </c>
      <c r="R81" s="250">
        <f>IFERROR(__xludf.DUMMYFUNCTION("""COMPUTED_VALUE"""),1799.0)</f>
        <v>1799</v>
      </c>
      <c r="U81" s="250">
        <f>IFERROR(__xludf.DUMMYFUNCTION("""COMPUTED_VALUE"""),5279.0)</f>
        <v>5279</v>
      </c>
      <c r="V81" s="250">
        <f>IFERROR(__xludf.DUMMYFUNCTION("""COMPUTED_VALUE"""),5029.0)</f>
        <v>5029</v>
      </c>
      <c r="W81" s="250">
        <f>IFERROR(__xludf.DUMMYFUNCTION("""COMPUTED_VALUE"""),4599.0)</f>
        <v>4599</v>
      </c>
      <c r="X81" t="b">
        <f t="shared" ref="X81:Z81" si="138">ISBLANK(K81)</f>
        <v>1</v>
      </c>
      <c r="Y81" t="b">
        <f t="shared" si="138"/>
        <v>0</v>
      </c>
      <c r="Z81" t="b">
        <f t="shared" si="138"/>
        <v>0</v>
      </c>
      <c r="AA81">
        <f t="shared" ref="AA81:AC81" si="139">IF(X81=FALSE,1,0)</f>
        <v>0</v>
      </c>
      <c r="AB81">
        <f t="shared" si="139"/>
        <v>1</v>
      </c>
      <c r="AC81">
        <f t="shared" si="139"/>
        <v>1</v>
      </c>
      <c r="AD81">
        <f t="shared" si="6"/>
        <v>2</v>
      </c>
      <c r="AE81">
        <f t="shared" si="7"/>
        <v>1</v>
      </c>
      <c r="AF81">
        <f>if(iferror(vlookup($A81,'Description Database'!$E$2:$H$951,3,0),0)=TRUE,1,0)</f>
        <v>0</v>
      </c>
      <c r="AG81">
        <f>if(iferror(vlookup($A81,'Description Database'!$E$2:$H$951,4,0),0)=TRUE,1,0)</f>
        <v>0</v>
      </c>
    </row>
    <row r="82">
      <c r="A82" t="str">
        <f>IFERROR(__xludf.DUMMYFUNCTION("""COMPUTED_VALUE"""),"Xiaomi Redmi 4 (3 GB/32 GB)")</f>
        <v>Xiaomi Redmi 4 (3 GB/32 GB)</v>
      </c>
      <c r="B82" t="str">
        <f>IFERROR(__xludf.DUMMYFUNCTION("""COMPUTED_VALUE"""),"")</f>
        <v/>
      </c>
      <c r="C82" t="str">
        <f>IFERROR(__xludf.DUMMYFUNCTION("""COMPUTED_VALUE"""),"")</f>
        <v/>
      </c>
      <c r="D82">
        <f>IFERROR(__xludf.DUMMYFUNCTION("""COMPUTED_VALUE"""),3.0)</f>
        <v>3</v>
      </c>
      <c r="E82">
        <f>IFERROR(__xludf.DUMMYFUNCTION("""COMPUTED_VALUE"""),2.0)</f>
        <v>2</v>
      </c>
      <c r="F82" t="str">
        <f>IFERROR(__xludf.DUMMYFUNCTION("""COMPUTED_VALUE"""),"")</f>
        <v/>
      </c>
      <c r="G82" t="str">
        <f>IFERROR(__xludf.DUMMYFUNCTION("""COMPUTED_VALUE"""),"")</f>
        <v/>
      </c>
      <c r="H82" t="str">
        <f>IFERROR(__xludf.DUMMYFUNCTION("""COMPUTED_VALUE"""),"")</f>
        <v/>
      </c>
      <c r="I82">
        <f>IFERROR(__xludf.DUMMYFUNCTION("""COMPUTED_VALUE"""),41.0)</f>
        <v>41</v>
      </c>
      <c r="J82">
        <f>IFERROR(__xludf.DUMMYFUNCTION("""COMPUTED_VALUE"""),46.0)</f>
        <v>46</v>
      </c>
      <c r="L82" s="250" t="str">
        <f>IFERROR(__xludf.DUMMYFUNCTION("""COMPUTED_VALUE"""),"")</f>
        <v/>
      </c>
      <c r="M82" s="250" t="str">
        <f>IFERROR(__xludf.DUMMYFUNCTION("""COMPUTED_VALUE"""),"")</f>
        <v/>
      </c>
      <c r="N82" s="250">
        <f>IFERROR(__xludf.DUMMYFUNCTION("""COMPUTED_VALUE"""),3379.0)</f>
        <v>3379</v>
      </c>
      <c r="O82" s="250">
        <f>IFERROR(__xludf.DUMMYFUNCTION("""COMPUTED_VALUE"""),3074.0)</f>
        <v>3074</v>
      </c>
      <c r="P82" s="250" t="str">
        <f>IFERROR(__xludf.DUMMYFUNCTION("""COMPUTED_VALUE"""),"")</f>
        <v/>
      </c>
      <c r="Q82" s="250" t="str">
        <f>IFERROR(__xludf.DUMMYFUNCTION("""COMPUTED_VALUE"""),"")</f>
        <v/>
      </c>
      <c r="R82" s="250" t="str">
        <f>IFERROR(__xludf.DUMMYFUNCTION("""COMPUTED_VALUE"""),"")</f>
        <v/>
      </c>
      <c r="U82" s="250">
        <f>IFERROR(__xludf.DUMMYFUNCTION("""COMPUTED_VALUE"""),4269.0)</f>
        <v>4269</v>
      </c>
      <c r="V82" s="250">
        <f>IFERROR(__xludf.DUMMYFUNCTION("""COMPUTED_VALUE"""),4059.0)</f>
        <v>4059</v>
      </c>
      <c r="W82" s="250">
        <f>IFERROR(__xludf.DUMMYFUNCTION("""COMPUTED_VALUE"""),3719.0)</f>
        <v>3719</v>
      </c>
      <c r="X82" t="b">
        <f t="shared" ref="X82:Z82" si="140">ISBLANK(K82)</f>
        <v>1</v>
      </c>
      <c r="Y82" t="b">
        <f t="shared" si="140"/>
        <v>0</v>
      </c>
      <c r="Z82" t="b">
        <f t="shared" si="140"/>
        <v>0</v>
      </c>
      <c r="AA82">
        <f t="shared" ref="AA82:AC82" si="141">IF(X82=FALSE,1,0)</f>
        <v>0</v>
      </c>
      <c r="AB82">
        <f t="shared" si="141"/>
        <v>1</v>
      </c>
      <c r="AC82">
        <f t="shared" si="141"/>
        <v>1</v>
      </c>
      <c r="AD82">
        <f t="shared" si="6"/>
        <v>2</v>
      </c>
      <c r="AE82">
        <f t="shared" si="7"/>
        <v>1</v>
      </c>
      <c r="AF82">
        <f>if(iferror(vlookup($A82,'Description Database'!$E$2:$H$951,3,0),0)=TRUE,1,0)</f>
        <v>0</v>
      </c>
      <c r="AG82">
        <f>if(iferror(vlookup($A82,'Description Database'!$E$2:$H$951,4,0),0)=TRUE,1,0)</f>
        <v>0</v>
      </c>
    </row>
    <row r="83">
      <c r="A83" t="str">
        <f>IFERROR(__xludf.DUMMYFUNCTION("""COMPUTED_VALUE"""),"Realme 2 Pro (4 GB/64 GB)")</f>
        <v>Realme 2 Pro (4 GB/64 GB)</v>
      </c>
      <c r="B83" t="str">
        <f>IFERROR(__xludf.DUMMYFUNCTION("""COMPUTED_VALUE"""),"")</f>
        <v/>
      </c>
      <c r="C83" t="str">
        <f>IFERROR(__xludf.DUMMYFUNCTION("""COMPUTED_VALUE"""),"")</f>
        <v/>
      </c>
      <c r="D83">
        <f>IFERROR(__xludf.DUMMYFUNCTION("""COMPUTED_VALUE"""),4.0)</f>
        <v>4</v>
      </c>
      <c r="E83" t="str">
        <f>IFERROR(__xludf.DUMMYFUNCTION("""COMPUTED_VALUE"""),"")</f>
        <v/>
      </c>
      <c r="F83">
        <f>IFERROR(__xludf.DUMMYFUNCTION("""COMPUTED_VALUE"""),3.0)</f>
        <v>3</v>
      </c>
      <c r="G83">
        <f>IFERROR(__xludf.DUMMYFUNCTION("""COMPUTED_VALUE"""),4.0)</f>
        <v>4</v>
      </c>
      <c r="H83" t="str">
        <f>IFERROR(__xludf.DUMMYFUNCTION("""COMPUTED_VALUE"""),"")</f>
        <v/>
      </c>
      <c r="I83">
        <f>IFERROR(__xludf.DUMMYFUNCTION("""COMPUTED_VALUE"""),6.0)</f>
        <v>6</v>
      </c>
      <c r="J83">
        <f>IFERROR(__xludf.DUMMYFUNCTION("""COMPUTED_VALUE"""),17.0)</f>
        <v>17</v>
      </c>
      <c r="L83" s="250" t="str">
        <f>IFERROR(__xludf.DUMMYFUNCTION("""COMPUTED_VALUE"""),"")</f>
        <v/>
      </c>
      <c r="M83" s="250" t="str">
        <f>IFERROR(__xludf.DUMMYFUNCTION("""COMPUTED_VALUE"""),"")</f>
        <v/>
      </c>
      <c r="N83" s="250">
        <f>IFERROR(__xludf.DUMMYFUNCTION("""COMPUTED_VALUE"""),6089.0)</f>
        <v>6089</v>
      </c>
      <c r="O83" s="250" t="str">
        <f>IFERROR(__xludf.DUMMYFUNCTION("""COMPUTED_VALUE"""),"")</f>
        <v/>
      </c>
      <c r="P83" s="250">
        <f>IFERROR(__xludf.DUMMYFUNCTION("""COMPUTED_VALUE"""),4999.0)</f>
        <v>4999</v>
      </c>
      <c r="Q83" s="250">
        <f>IFERROR(__xludf.DUMMYFUNCTION("""COMPUTED_VALUE"""),3529.0)</f>
        <v>3529</v>
      </c>
      <c r="R83" s="250" t="str">
        <f>IFERROR(__xludf.DUMMYFUNCTION("""COMPUTED_VALUE"""),"")</f>
        <v/>
      </c>
      <c r="U83" s="250">
        <f>IFERROR(__xludf.DUMMYFUNCTION("""COMPUTED_VALUE"""),7699.0)</f>
        <v>7699</v>
      </c>
      <c r="V83" s="250">
        <f>IFERROR(__xludf.DUMMYFUNCTION("""COMPUTED_VALUE"""),7329.0)</f>
        <v>7329</v>
      </c>
      <c r="W83" s="250">
        <f>IFERROR(__xludf.DUMMYFUNCTION("""COMPUTED_VALUE"""),6699.0)</f>
        <v>6699</v>
      </c>
      <c r="X83" t="b">
        <f t="shared" ref="X83:Z83" si="142">ISBLANK(K83)</f>
        <v>1</v>
      </c>
      <c r="Y83" t="b">
        <f t="shared" si="142"/>
        <v>0</v>
      </c>
      <c r="Z83" t="b">
        <f t="shared" si="142"/>
        <v>0</v>
      </c>
      <c r="AA83">
        <f t="shared" ref="AA83:AC83" si="143">IF(X83=FALSE,1,0)</f>
        <v>0</v>
      </c>
      <c r="AB83">
        <f t="shared" si="143"/>
        <v>1</v>
      </c>
      <c r="AC83">
        <f t="shared" si="143"/>
        <v>1</v>
      </c>
      <c r="AD83">
        <f t="shared" si="6"/>
        <v>2</v>
      </c>
      <c r="AE83">
        <f t="shared" si="7"/>
        <v>1</v>
      </c>
      <c r="AF83">
        <f>if(iferror(vlookup($A83,'Description Database'!$E$2:$H$951,3,0),0)=TRUE,1,0)</f>
        <v>0</v>
      </c>
      <c r="AG83">
        <f>if(iferror(vlookup($A83,'Description Database'!$E$2:$H$951,4,0),0)=TRUE,1,0)</f>
        <v>0</v>
      </c>
    </row>
    <row r="84">
      <c r="A84" t="str">
        <f>IFERROR(__xludf.DUMMYFUNCTION("""COMPUTED_VALUE"""),"Realme 2 (3GB/32 GB)")</f>
        <v>Realme 2 (3GB/32 GB)</v>
      </c>
      <c r="B84" t="str">
        <f>IFERROR(__xludf.DUMMYFUNCTION("""COMPUTED_VALUE"""),"")</f>
        <v/>
      </c>
      <c r="C84" t="str">
        <f>IFERROR(__xludf.DUMMYFUNCTION("""COMPUTED_VALUE"""),"")</f>
        <v/>
      </c>
      <c r="D84" t="str">
        <f>IFERROR(__xludf.DUMMYFUNCTION("""COMPUTED_VALUE"""),"")</f>
        <v/>
      </c>
      <c r="E84" t="str">
        <f>IFERROR(__xludf.DUMMYFUNCTION("""COMPUTED_VALUE"""),"")</f>
        <v/>
      </c>
      <c r="F84">
        <f>IFERROR(__xludf.DUMMYFUNCTION("""COMPUTED_VALUE"""),1.0)</f>
        <v>1</v>
      </c>
      <c r="G84" t="str">
        <f>IFERROR(__xludf.DUMMYFUNCTION("""COMPUTED_VALUE"""),"")</f>
        <v/>
      </c>
      <c r="H84" t="str">
        <f>IFERROR(__xludf.DUMMYFUNCTION("""COMPUTED_VALUE"""),"")</f>
        <v/>
      </c>
      <c r="I84">
        <f>IFERROR(__xludf.DUMMYFUNCTION("""COMPUTED_VALUE"""),9.0)</f>
        <v>9</v>
      </c>
      <c r="J84">
        <f>IFERROR(__xludf.DUMMYFUNCTION("""COMPUTED_VALUE"""),10.0)</f>
        <v>10</v>
      </c>
      <c r="L84" s="250" t="str">
        <f>IFERROR(__xludf.DUMMYFUNCTION("""COMPUTED_VALUE"""),"")</f>
        <v/>
      </c>
      <c r="M84" s="250" t="str">
        <f>IFERROR(__xludf.DUMMYFUNCTION("""COMPUTED_VALUE"""),"")</f>
        <v/>
      </c>
      <c r="N84" s="250" t="str">
        <f>IFERROR(__xludf.DUMMYFUNCTION("""COMPUTED_VALUE"""),"")</f>
        <v/>
      </c>
      <c r="O84" s="250" t="str">
        <f>IFERROR(__xludf.DUMMYFUNCTION("""COMPUTED_VALUE"""),"")</f>
        <v/>
      </c>
      <c r="P84" s="250">
        <f>IFERROR(__xludf.DUMMYFUNCTION("""COMPUTED_VALUE"""),4319.0)</f>
        <v>4319</v>
      </c>
      <c r="Q84" s="250" t="str">
        <f>IFERROR(__xludf.DUMMYFUNCTION("""COMPUTED_VALUE"""),"")</f>
        <v/>
      </c>
      <c r="R84" s="250" t="str">
        <f>IFERROR(__xludf.DUMMYFUNCTION("""COMPUTED_VALUE"""),"")</f>
        <v/>
      </c>
      <c r="U84" s="250">
        <f>IFERROR(__xludf.DUMMYFUNCTION("""COMPUTED_VALUE"""),6659.0)</f>
        <v>6659</v>
      </c>
      <c r="V84" s="250">
        <f>IFERROR(__xludf.DUMMYFUNCTION("""COMPUTED_VALUE"""),6339.0)</f>
        <v>6339</v>
      </c>
      <c r="W84" s="250">
        <f>IFERROR(__xludf.DUMMYFUNCTION("""COMPUTED_VALUE"""),5699.0)</f>
        <v>5699</v>
      </c>
      <c r="X84" t="b">
        <f t="shared" ref="X84:Z84" si="144">ISBLANK(K84)</f>
        <v>1</v>
      </c>
      <c r="Y84" t="b">
        <f t="shared" si="144"/>
        <v>0</v>
      </c>
      <c r="Z84" t="b">
        <f t="shared" si="144"/>
        <v>0</v>
      </c>
      <c r="AA84">
        <f t="shared" ref="AA84:AC84" si="145">IF(X84=FALSE,1,0)</f>
        <v>0</v>
      </c>
      <c r="AB84">
        <f t="shared" si="145"/>
        <v>1</v>
      </c>
      <c r="AC84">
        <f t="shared" si="145"/>
        <v>1</v>
      </c>
      <c r="AD84">
        <f t="shared" si="6"/>
        <v>2</v>
      </c>
      <c r="AE84">
        <f t="shared" si="7"/>
        <v>1</v>
      </c>
      <c r="AF84">
        <f>if(iferror(vlookup($A84,'Description Database'!$E$2:$H$951,3,0),0)=TRUE,1,0)</f>
        <v>0</v>
      </c>
      <c r="AG84">
        <f>if(iferror(vlookup($A84,'Description Database'!$E$2:$H$951,4,0),0)=TRUE,1,0)</f>
        <v>0</v>
      </c>
    </row>
    <row r="85">
      <c r="A85" t="str">
        <f>IFERROR(__xludf.DUMMYFUNCTION("""COMPUTED_VALUE"""),"Samsung Galaxy Note 10 Lite (8 GB/128 GB)")</f>
        <v>Samsung Galaxy Note 10 Lite (8 GB/128 GB)</v>
      </c>
      <c r="B85" t="str">
        <f>IFERROR(__xludf.DUMMYFUNCTION("""COMPUTED_VALUE"""),"")</f>
        <v/>
      </c>
      <c r="C85" t="str">
        <f>IFERROR(__xludf.DUMMYFUNCTION("""COMPUTED_VALUE"""),"")</f>
        <v/>
      </c>
      <c r="D85">
        <f>IFERROR(__xludf.DUMMYFUNCTION("""COMPUTED_VALUE"""),1.0)</f>
        <v>1</v>
      </c>
      <c r="E85" t="str">
        <f>IFERROR(__xludf.DUMMYFUNCTION("""COMPUTED_VALUE"""),"")</f>
        <v/>
      </c>
      <c r="F85">
        <f>IFERROR(__xludf.DUMMYFUNCTION("""COMPUTED_VALUE"""),1.0)</f>
        <v>1</v>
      </c>
      <c r="G85" t="str">
        <f>IFERROR(__xludf.DUMMYFUNCTION("""COMPUTED_VALUE"""),"")</f>
        <v/>
      </c>
      <c r="H85" t="str">
        <f>IFERROR(__xludf.DUMMYFUNCTION("""COMPUTED_VALUE"""),"")</f>
        <v/>
      </c>
      <c r="I85" t="str">
        <f>IFERROR(__xludf.DUMMYFUNCTION("""COMPUTED_VALUE"""),"")</f>
        <v/>
      </c>
      <c r="J85">
        <f>IFERROR(__xludf.DUMMYFUNCTION("""COMPUTED_VALUE"""),2.0)</f>
        <v>2</v>
      </c>
      <c r="L85" s="250" t="str">
        <f>IFERROR(__xludf.DUMMYFUNCTION("""COMPUTED_VALUE"""),"")</f>
        <v/>
      </c>
      <c r="M85" s="250" t="str">
        <f>IFERROR(__xludf.DUMMYFUNCTION("""COMPUTED_VALUE"""),"")</f>
        <v/>
      </c>
      <c r="N85" s="250">
        <f>IFERROR(__xludf.DUMMYFUNCTION("""COMPUTED_VALUE"""),17689.0)</f>
        <v>17689</v>
      </c>
      <c r="O85" s="250" t="str">
        <f>IFERROR(__xludf.DUMMYFUNCTION("""COMPUTED_VALUE"""),"")</f>
        <v/>
      </c>
      <c r="P85" s="250">
        <f>IFERROR(__xludf.DUMMYFUNCTION("""COMPUTED_VALUE"""),14749.0)</f>
        <v>14749</v>
      </c>
      <c r="Q85" s="250" t="str">
        <f>IFERROR(__xludf.DUMMYFUNCTION("""COMPUTED_VALUE"""),"")</f>
        <v/>
      </c>
      <c r="R85" s="250" t="str">
        <f>IFERROR(__xludf.DUMMYFUNCTION("""COMPUTED_VALUE"""),"")</f>
        <v/>
      </c>
      <c r="U85" s="250">
        <f>IFERROR(__xludf.DUMMYFUNCTION("""COMPUTED_VALUE"""),22709.0)</f>
        <v>22709</v>
      </c>
      <c r="V85" s="250">
        <f>IFERROR(__xludf.DUMMYFUNCTION("""COMPUTED_VALUE"""),21619.0)</f>
        <v>21619</v>
      </c>
      <c r="W85" s="250">
        <f>IFERROR(__xludf.DUMMYFUNCTION("""COMPUTED_VALUE"""),19459.0)</f>
        <v>19459</v>
      </c>
      <c r="X85" t="b">
        <f t="shared" ref="X85:Z85" si="146">ISBLANK(K85)</f>
        <v>1</v>
      </c>
      <c r="Y85" t="b">
        <f t="shared" si="146"/>
        <v>0</v>
      </c>
      <c r="Z85" t="b">
        <f t="shared" si="146"/>
        <v>0</v>
      </c>
      <c r="AA85">
        <f t="shared" ref="AA85:AC85" si="147">IF(X85=FALSE,1,0)</f>
        <v>0</v>
      </c>
      <c r="AB85">
        <f t="shared" si="147"/>
        <v>1</v>
      </c>
      <c r="AC85">
        <f t="shared" si="147"/>
        <v>1</v>
      </c>
      <c r="AD85">
        <f t="shared" si="6"/>
        <v>2</v>
      </c>
      <c r="AE85">
        <f t="shared" si="7"/>
        <v>1</v>
      </c>
      <c r="AF85">
        <f>if(iferror(vlookup($A85,'Description Database'!$E$2:$H$951,3,0),0)=TRUE,1,0)</f>
        <v>0</v>
      </c>
      <c r="AG85">
        <f>if(iferror(vlookup($A85,'Description Database'!$E$2:$H$951,4,0),0)=TRUE,1,0)</f>
        <v>1</v>
      </c>
    </row>
    <row r="86">
      <c r="A86" t="str">
        <f>IFERROR(__xludf.DUMMYFUNCTION("""COMPUTED_VALUE"""),"Samsung Galaxy A50 (6 GB/128 GB)")</f>
        <v>Samsung Galaxy A50 (6 GB/128 GB)</v>
      </c>
      <c r="B86" t="str">
        <f>IFERROR(__xludf.DUMMYFUNCTION("""COMPUTED_VALUE"""),"")</f>
        <v/>
      </c>
      <c r="C86" t="str">
        <f>IFERROR(__xludf.DUMMYFUNCTION("""COMPUTED_VALUE"""),"")</f>
        <v/>
      </c>
      <c r="D86" t="str">
        <f>IFERROR(__xludf.DUMMYFUNCTION("""COMPUTED_VALUE"""),"")</f>
        <v/>
      </c>
      <c r="E86" t="str">
        <f>IFERROR(__xludf.DUMMYFUNCTION("""COMPUTED_VALUE"""),"")</f>
        <v/>
      </c>
      <c r="F86" t="str">
        <f>IFERROR(__xludf.DUMMYFUNCTION("""COMPUTED_VALUE"""),"")</f>
        <v/>
      </c>
      <c r="G86" t="str">
        <f>IFERROR(__xludf.DUMMYFUNCTION("""COMPUTED_VALUE"""),"")</f>
        <v/>
      </c>
      <c r="H86" t="str">
        <f>IFERROR(__xludf.DUMMYFUNCTION("""COMPUTED_VALUE"""),"")</f>
        <v/>
      </c>
      <c r="I86">
        <f>IFERROR(__xludf.DUMMYFUNCTION("""COMPUTED_VALUE"""),1.0)</f>
        <v>1</v>
      </c>
      <c r="J86">
        <f>IFERROR(__xludf.DUMMYFUNCTION("""COMPUTED_VALUE"""),1.0)</f>
        <v>1</v>
      </c>
      <c r="L86" s="250" t="str">
        <f>IFERROR(__xludf.DUMMYFUNCTION("""COMPUTED_VALUE"""),"")</f>
        <v/>
      </c>
      <c r="M86" s="250" t="str">
        <f>IFERROR(__xludf.DUMMYFUNCTION("""COMPUTED_VALUE"""),"")</f>
        <v/>
      </c>
      <c r="N86" s="250" t="str">
        <f>IFERROR(__xludf.DUMMYFUNCTION("""COMPUTED_VALUE"""),"")</f>
        <v/>
      </c>
      <c r="O86" s="250" t="str">
        <f>IFERROR(__xludf.DUMMYFUNCTION("""COMPUTED_VALUE"""),"")</f>
        <v/>
      </c>
      <c r="P86" s="250" t="str">
        <f>IFERROR(__xludf.DUMMYFUNCTION("""COMPUTED_VALUE"""),"")</f>
        <v/>
      </c>
      <c r="Q86" s="250" t="str">
        <f>IFERROR(__xludf.DUMMYFUNCTION("""COMPUTED_VALUE"""),"")</f>
        <v/>
      </c>
      <c r="R86" s="250" t="str">
        <f>IFERROR(__xludf.DUMMYFUNCTION("""COMPUTED_VALUE"""),"")</f>
        <v/>
      </c>
      <c r="U86" s="250">
        <f>IFERROR(__xludf.DUMMYFUNCTION("""COMPUTED_VALUE"""),10719.0)</f>
        <v>10719</v>
      </c>
      <c r="V86" s="250">
        <f>IFERROR(__xludf.DUMMYFUNCTION("""COMPUTED_VALUE"""),10199.0)</f>
        <v>10199</v>
      </c>
      <c r="W86" s="250">
        <f>IFERROR(__xludf.DUMMYFUNCTION("""COMPUTED_VALUE"""),9179.0)</f>
        <v>9179</v>
      </c>
      <c r="X86" t="b">
        <f t="shared" ref="X86:Z86" si="148">ISBLANK(K86)</f>
        <v>1</v>
      </c>
      <c r="Y86" t="b">
        <f t="shared" si="148"/>
        <v>0</v>
      </c>
      <c r="Z86" t="b">
        <f t="shared" si="148"/>
        <v>0</v>
      </c>
      <c r="AA86">
        <f t="shared" ref="AA86:AC86" si="149">IF(X86=FALSE,1,0)</f>
        <v>0</v>
      </c>
      <c r="AB86">
        <f t="shared" si="149"/>
        <v>1</v>
      </c>
      <c r="AC86">
        <f t="shared" si="149"/>
        <v>1</v>
      </c>
      <c r="AD86">
        <f t="shared" si="6"/>
        <v>2</v>
      </c>
      <c r="AE86">
        <f t="shared" si="7"/>
        <v>1</v>
      </c>
      <c r="AF86">
        <f>if(iferror(vlookup($A86,'Description Database'!$E$2:$H$951,3,0),0)=TRUE,1,0)</f>
        <v>0</v>
      </c>
      <c r="AG86">
        <f>if(iferror(vlookup($A86,'Description Database'!$E$2:$H$951,4,0),0)=TRUE,1,0)</f>
        <v>1</v>
      </c>
    </row>
    <row r="87">
      <c r="A87" t="str">
        <f>IFERROR(__xludf.DUMMYFUNCTION("""COMPUTED_VALUE"""),"Vivo Y81i(2 GB /16GB)")</f>
        <v>Vivo Y81i(2 GB /16GB)</v>
      </c>
      <c r="B87" t="str">
        <f>IFERROR(__xludf.DUMMYFUNCTION("""COMPUTED_VALUE"""),"")</f>
        <v/>
      </c>
      <c r="C87" t="str">
        <f>IFERROR(__xludf.DUMMYFUNCTION("""COMPUTED_VALUE"""),"")</f>
        <v/>
      </c>
      <c r="D87" t="str">
        <f>IFERROR(__xludf.DUMMYFUNCTION("""COMPUTED_VALUE"""),"")</f>
        <v/>
      </c>
      <c r="E87" t="str">
        <f>IFERROR(__xludf.DUMMYFUNCTION("""COMPUTED_VALUE"""),"")</f>
        <v/>
      </c>
      <c r="F87" t="str">
        <f>IFERROR(__xludf.DUMMYFUNCTION("""COMPUTED_VALUE"""),"")</f>
        <v/>
      </c>
      <c r="G87" t="str">
        <f>IFERROR(__xludf.DUMMYFUNCTION("""COMPUTED_VALUE"""),"")</f>
        <v/>
      </c>
      <c r="H87" t="str">
        <f>IFERROR(__xludf.DUMMYFUNCTION("""COMPUTED_VALUE"""),"")</f>
        <v/>
      </c>
      <c r="I87" t="str">
        <f>IFERROR(__xludf.DUMMYFUNCTION("""COMPUTED_VALUE"""),"")</f>
        <v/>
      </c>
      <c r="J87">
        <f>IFERROR(__xludf.DUMMYFUNCTION("""COMPUTED_VALUE"""),0.0)</f>
        <v>0</v>
      </c>
      <c r="L87" s="250" t="str">
        <f>IFERROR(__xludf.DUMMYFUNCTION("""COMPUTED_VALUE"""),"")</f>
        <v/>
      </c>
      <c r="M87" s="250" t="str">
        <f>IFERROR(__xludf.DUMMYFUNCTION("""COMPUTED_VALUE"""),"")</f>
        <v/>
      </c>
      <c r="N87" s="250" t="str">
        <f>IFERROR(__xludf.DUMMYFUNCTION("""COMPUTED_VALUE"""),"")</f>
        <v/>
      </c>
      <c r="O87" s="250" t="str">
        <f>IFERROR(__xludf.DUMMYFUNCTION("""COMPUTED_VALUE"""),"")</f>
        <v/>
      </c>
      <c r="P87" s="250" t="str">
        <f>IFERROR(__xludf.DUMMYFUNCTION("""COMPUTED_VALUE"""),"")</f>
        <v/>
      </c>
      <c r="Q87" s="250" t="str">
        <f>IFERROR(__xludf.DUMMYFUNCTION("""COMPUTED_VALUE"""),"")</f>
        <v/>
      </c>
      <c r="R87" s="250" t="str">
        <f>IFERROR(__xludf.DUMMYFUNCTION("""COMPUTED_VALUE"""),"")</f>
        <v/>
      </c>
      <c r="U87" s="250" t="str">
        <f>IFERROR(__xludf.DUMMYFUNCTION("""COMPUTED_VALUE"""),"#N/A")</f>
        <v>#N/A</v>
      </c>
      <c r="V87" s="250" t="str">
        <f>IFERROR(__xludf.DUMMYFUNCTION("""COMPUTED_VALUE"""),"#N/A")</f>
        <v>#N/A</v>
      </c>
      <c r="W87" s="250" t="str">
        <f>IFERROR(__xludf.DUMMYFUNCTION("""COMPUTED_VALUE"""),"#N/A")</f>
        <v>#N/A</v>
      </c>
      <c r="X87" t="b">
        <f t="shared" ref="X87:Z87" si="150">ISBLANK(K87)</f>
        <v>1</v>
      </c>
      <c r="Y87" t="b">
        <f t="shared" si="150"/>
        <v>0</v>
      </c>
      <c r="Z87" t="b">
        <f t="shared" si="150"/>
        <v>0</v>
      </c>
      <c r="AA87">
        <f t="shared" ref="AA87:AC87" si="151">IF(X87=FALSE,1,0)</f>
        <v>0</v>
      </c>
      <c r="AB87">
        <f t="shared" si="151"/>
        <v>1</v>
      </c>
      <c r="AC87">
        <f t="shared" si="151"/>
        <v>1</v>
      </c>
      <c r="AD87">
        <f t="shared" si="6"/>
        <v>2</v>
      </c>
      <c r="AE87">
        <f t="shared" si="7"/>
        <v>1</v>
      </c>
      <c r="AF87">
        <f>if(iferror(vlookup($A87,'Description Database'!$E$2:$H$951,3,0),0)=TRUE,1,0)</f>
        <v>0</v>
      </c>
      <c r="AG87">
        <f>if(iferror(vlookup($A87,'Description Database'!$E$2:$H$951,4,0),0)=TRUE,1,0)</f>
        <v>0</v>
      </c>
    </row>
    <row r="88">
      <c r="A88" t="str">
        <f>IFERROR(__xludf.DUMMYFUNCTION("""COMPUTED_VALUE"""),"Apple iPhone 7 Plus (3 GB/256 GB)")</f>
        <v>Apple iPhone 7 Plus (3 GB/256 GB)</v>
      </c>
      <c r="B88" t="str">
        <f>IFERROR(__xludf.DUMMYFUNCTION("""COMPUTED_VALUE"""),"")</f>
        <v/>
      </c>
      <c r="C88" t="str">
        <f>IFERROR(__xludf.DUMMYFUNCTION("""COMPUTED_VALUE"""),"")</f>
        <v/>
      </c>
      <c r="D88" t="str">
        <f>IFERROR(__xludf.DUMMYFUNCTION("""COMPUTED_VALUE"""),"")</f>
        <v/>
      </c>
      <c r="E88" t="str">
        <f>IFERROR(__xludf.DUMMYFUNCTION("""COMPUTED_VALUE"""),"")</f>
        <v/>
      </c>
      <c r="F88" t="str">
        <f>IFERROR(__xludf.DUMMYFUNCTION("""COMPUTED_VALUE"""),"")</f>
        <v/>
      </c>
      <c r="G88" t="str">
        <f>IFERROR(__xludf.DUMMYFUNCTION("""COMPUTED_VALUE"""),"")</f>
        <v/>
      </c>
      <c r="H88" t="str">
        <f>IFERROR(__xludf.DUMMYFUNCTION("""COMPUTED_VALUE"""),"")</f>
        <v/>
      </c>
      <c r="I88" t="str">
        <f>IFERROR(__xludf.DUMMYFUNCTION("""COMPUTED_VALUE"""),"")</f>
        <v/>
      </c>
      <c r="J88">
        <f>IFERROR(__xludf.DUMMYFUNCTION("""COMPUTED_VALUE"""),0.0)</f>
        <v>0</v>
      </c>
      <c r="L88" s="250" t="str">
        <f>IFERROR(__xludf.DUMMYFUNCTION("""COMPUTED_VALUE"""),"")</f>
        <v/>
      </c>
      <c r="M88" s="250" t="str">
        <f>IFERROR(__xludf.DUMMYFUNCTION("""COMPUTED_VALUE"""),"")</f>
        <v/>
      </c>
      <c r="N88" s="250" t="str">
        <f>IFERROR(__xludf.DUMMYFUNCTION("""COMPUTED_VALUE"""),"")</f>
        <v/>
      </c>
      <c r="O88" s="250" t="str">
        <f>IFERROR(__xludf.DUMMYFUNCTION("""COMPUTED_VALUE"""),"")</f>
        <v/>
      </c>
      <c r="P88" s="250" t="str">
        <f>IFERROR(__xludf.DUMMYFUNCTION("""COMPUTED_VALUE"""),"")</f>
        <v/>
      </c>
      <c r="Q88" s="250" t="str">
        <f>IFERROR(__xludf.DUMMYFUNCTION("""COMPUTED_VALUE"""),"")</f>
        <v/>
      </c>
      <c r="R88" s="250" t="str">
        <f>IFERROR(__xludf.DUMMYFUNCTION("""COMPUTED_VALUE"""),"")</f>
        <v/>
      </c>
      <c r="U88" s="250">
        <f>IFERROR(__xludf.DUMMYFUNCTION("""COMPUTED_VALUE"""),20419.0)</f>
        <v>20419</v>
      </c>
      <c r="V88" s="250">
        <f>IFERROR(__xludf.DUMMYFUNCTION("""COMPUTED_VALUE"""),19439.0)</f>
        <v>19439</v>
      </c>
      <c r="W88" s="250">
        <f>IFERROR(__xludf.DUMMYFUNCTION("""COMPUTED_VALUE"""),17489.0)</f>
        <v>17489</v>
      </c>
      <c r="X88" t="b">
        <f t="shared" ref="X88:Z88" si="152">ISBLANK(K88)</f>
        <v>1</v>
      </c>
      <c r="Y88" t="b">
        <f t="shared" si="152"/>
        <v>0</v>
      </c>
      <c r="Z88" t="b">
        <f t="shared" si="152"/>
        <v>0</v>
      </c>
      <c r="AA88">
        <f t="shared" ref="AA88:AC88" si="153">IF(X88=FALSE,1,0)</f>
        <v>0</v>
      </c>
      <c r="AB88">
        <f t="shared" si="153"/>
        <v>1</v>
      </c>
      <c r="AC88">
        <f t="shared" si="153"/>
        <v>1</v>
      </c>
      <c r="AD88">
        <f t="shared" si="6"/>
        <v>2</v>
      </c>
      <c r="AE88">
        <f t="shared" si="7"/>
        <v>1</v>
      </c>
      <c r="AF88">
        <f>if(iferror(vlookup($A88,'Description Database'!$E$2:$H$951,3,0),0)=TRUE,1,0)</f>
        <v>0</v>
      </c>
      <c r="AG88">
        <f>if(iferror(vlookup($A88,'Description Database'!$E$2:$H$951,4,0),0)=TRUE,1,0)</f>
        <v>0</v>
      </c>
    </row>
    <row r="89">
      <c r="A89" t="str">
        <f>IFERROR(__xludf.DUMMYFUNCTION("""COMPUTED_VALUE"""),"Xiaomi REDMI 6A (2 GB/16 GB)")</f>
        <v>Xiaomi REDMI 6A (2 GB/16 GB)</v>
      </c>
      <c r="B89" t="str">
        <f>IFERROR(__xludf.DUMMYFUNCTION("""COMPUTED_VALUE"""),"")</f>
        <v/>
      </c>
      <c r="C89">
        <f>IFERROR(__xludf.DUMMYFUNCTION("""COMPUTED_VALUE"""),2.0)</f>
        <v>2</v>
      </c>
      <c r="D89" t="str">
        <f>IFERROR(__xludf.DUMMYFUNCTION("""COMPUTED_VALUE"""),"")</f>
        <v/>
      </c>
      <c r="E89" t="str">
        <f>IFERROR(__xludf.DUMMYFUNCTION("""COMPUTED_VALUE"""),"")</f>
        <v/>
      </c>
      <c r="F89">
        <f>IFERROR(__xludf.DUMMYFUNCTION("""COMPUTED_VALUE"""),1.0)</f>
        <v>1</v>
      </c>
      <c r="G89" t="str">
        <f>IFERROR(__xludf.DUMMYFUNCTION("""COMPUTED_VALUE"""),"")</f>
        <v/>
      </c>
      <c r="H89">
        <f>IFERROR(__xludf.DUMMYFUNCTION("""COMPUTED_VALUE"""),1.0)</f>
        <v>1</v>
      </c>
      <c r="I89">
        <f>IFERROR(__xludf.DUMMYFUNCTION("""COMPUTED_VALUE"""),22.0)</f>
        <v>22</v>
      </c>
      <c r="J89">
        <f>IFERROR(__xludf.DUMMYFUNCTION("""COMPUTED_VALUE"""),26.0)</f>
        <v>26</v>
      </c>
      <c r="L89" s="250" t="str">
        <f>IFERROR(__xludf.DUMMYFUNCTION("""COMPUTED_VALUE"""),"")</f>
        <v/>
      </c>
      <c r="M89" s="250">
        <f>IFERROR(__xludf.DUMMYFUNCTION("""COMPUTED_VALUE"""),4019.0)</f>
        <v>4019</v>
      </c>
      <c r="N89" s="250" t="str">
        <f>IFERROR(__xludf.DUMMYFUNCTION("""COMPUTED_VALUE"""),"")</f>
        <v/>
      </c>
      <c r="O89" s="250" t="str">
        <f>IFERROR(__xludf.DUMMYFUNCTION("""COMPUTED_VALUE"""),"")</f>
        <v/>
      </c>
      <c r="P89" s="250">
        <f>IFERROR(__xludf.DUMMYFUNCTION("""COMPUTED_VALUE"""),3029.0)</f>
        <v>3029</v>
      </c>
      <c r="Q89" s="250" t="str">
        <f>IFERROR(__xludf.DUMMYFUNCTION("""COMPUTED_VALUE"""),"")</f>
        <v/>
      </c>
      <c r="R89" s="250">
        <f>IFERROR(__xludf.DUMMYFUNCTION("""COMPUTED_VALUE"""),1599.0)</f>
        <v>1599</v>
      </c>
      <c r="U89" s="250">
        <f>IFERROR(__xludf.DUMMYFUNCTION("""COMPUTED_VALUE"""),4649.0)</f>
        <v>4649</v>
      </c>
      <c r="V89" s="250">
        <f>IFERROR(__xludf.DUMMYFUNCTION("""COMPUTED_VALUE"""),4429.0)</f>
        <v>4429</v>
      </c>
      <c r="W89" s="250">
        <f>IFERROR(__xludf.DUMMYFUNCTION("""COMPUTED_VALUE"""),4039.0)</f>
        <v>4039</v>
      </c>
      <c r="X89" t="b">
        <f t="shared" ref="X89:Z89" si="154">ISBLANK(K89)</f>
        <v>1</v>
      </c>
      <c r="Y89" t="b">
        <f t="shared" si="154"/>
        <v>0</v>
      </c>
      <c r="Z89" t="b">
        <f t="shared" si="154"/>
        <v>0</v>
      </c>
      <c r="AA89">
        <f t="shared" ref="AA89:AC89" si="155">IF(X89=FALSE,1,0)</f>
        <v>0</v>
      </c>
      <c r="AB89">
        <f t="shared" si="155"/>
        <v>1</v>
      </c>
      <c r="AC89">
        <f t="shared" si="155"/>
        <v>1</v>
      </c>
      <c r="AD89">
        <f t="shared" si="6"/>
        <v>2</v>
      </c>
      <c r="AE89">
        <f t="shared" si="7"/>
        <v>1</v>
      </c>
      <c r="AF89">
        <f>if(iferror(vlookup($A89,'Description Database'!$E$2:$H$951,3,0),0)=TRUE,1,0)</f>
        <v>0</v>
      </c>
      <c r="AG89">
        <f>if(iferror(vlookup($A89,'Description Database'!$E$2:$H$951,4,0),0)=TRUE,1,0)</f>
        <v>0</v>
      </c>
    </row>
    <row r="90">
      <c r="A90" t="str">
        <f>IFERROR(__xludf.DUMMYFUNCTION("""COMPUTED_VALUE"""),"Xiaomi REDMI NOTE 6 PRO (6 GB/64 GB)")</f>
        <v>Xiaomi REDMI NOTE 6 PRO (6 GB/64 GB)</v>
      </c>
      <c r="B90" t="str">
        <f>IFERROR(__xludf.DUMMYFUNCTION("""COMPUTED_VALUE"""),"")</f>
        <v/>
      </c>
      <c r="C90" t="str">
        <f>IFERROR(__xludf.DUMMYFUNCTION("""COMPUTED_VALUE"""),"")</f>
        <v/>
      </c>
      <c r="D90">
        <f>IFERROR(__xludf.DUMMYFUNCTION("""COMPUTED_VALUE"""),1.0)</f>
        <v>1</v>
      </c>
      <c r="E90" t="str">
        <f>IFERROR(__xludf.DUMMYFUNCTION("""COMPUTED_VALUE"""),"")</f>
        <v/>
      </c>
      <c r="F90" t="str">
        <f>IFERROR(__xludf.DUMMYFUNCTION("""COMPUTED_VALUE"""),"")</f>
        <v/>
      </c>
      <c r="G90" t="str">
        <f>IFERROR(__xludf.DUMMYFUNCTION("""COMPUTED_VALUE"""),"")</f>
        <v/>
      </c>
      <c r="H90" t="str">
        <f>IFERROR(__xludf.DUMMYFUNCTION("""COMPUTED_VALUE"""),"")</f>
        <v/>
      </c>
      <c r="I90">
        <f>IFERROR(__xludf.DUMMYFUNCTION("""COMPUTED_VALUE"""),1.0)</f>
        <v>1</v>
      </c>
      <c r="J90">
        <f>IFERROR(__xludf.DUMMYFUNCTION("""COMPUTED_VALUE"""),2.0)</f>
        <v>2</v>
      </c>
      <c r="L90" s="250" t="str">
        <f>IFERROR(__xludf.DUMMYFUNCTION("""COMPUTED_VALUE"""),"")</f>
        <v/>
      </c>
      <c r="M90" s="250" t="str">
        <f>IFERROR(__xludf.DUMMYFUNCTION("""COMPUTED_VALUE"""),"")</f>
        <v/>
      </c>
      <c r="N90" s="250">
        <f>IFERROR(__xludf.DUMMYFUNCTION("""COMPUTED_VALUE"""),6509.0)</f>
        <v>6509</v>
      </c>
      <c r="O90" s="250" t="str">
        <f>IFERROR(__xludf.DUMMYFUNCTION("""COMPUTED_VALUE"""),"")</f>
        <v/>
      </c>
      <c r="P90" s="250" t="str">
        <f>IFERROR(__xludf.DUMMYFUNCTION("""COMPUTED_VALUE"""),"")</f>
        <v/>
      </c>
      <c r="Q90" s="250" t="str">
        <f>IFERROR(__xludf.DUMMYFUNCTION("""COMPUTED_VALUE"""),"")</f>
        <v/>
      </c>
      <c r="R90" s="250" t="str">
        <f>IFERROR(__xludf.DUMMYFUNCTION("""COMPUTED_VALUE"""),"")</f>
        <v/>
      </c>
      <c r="U90" s="250">
        <f>IFERROR(__xludf.DUMMYFUNCTION("""COMPUTED_VALUE"""),8239.0)</f>
        <v>8239</v>
      </c>
      <c r="V90" s="250">
        <f>IFERROR(__xludf.DUMMYFUNCTION("""COMPUTED_VALUE"""),7849.0)</f>
        <v>7849</v>
      </c>
      <c r="W90" s="250">
        <f>IFERROR(__xludf.DUMMYFUNCTION("""COMPUTED_VALUE"""),7159.0)</f>
        <v>7159</v>
      </c>
      <c r="X90" t="b">
        <f t="shared" ref="X90:Z90" si="156">ISBLANK(K90)</f>
        <v>1</v>
      </c>
      <c r="Y90" t="b">
        <f t="shared" si="156"/>
        <v>0</v>
      </c>
      <c r="Z90" t="b">
        <f t="shared" si="156"/>
        <v>0</v>
      </c>
      <c r="AA90">
        <f t="shared" ref="AA90:AC90" si="157">IF(X90=FALSE,1,0)</f>
        <v>0</v>
      </c>
      <c r="AB90">
        <f t="shared" si="157"/>
        <v>1</v>
      </c>
      <c r="AC90">
        <f t="shared" si="157"/>
        <v>1</v>
      </c>
      <c r="AD90">
        <f t="shared" si="6"/>
        <v>2</v>
      </c>
      <c r="AE90">
        <f t="shared" si="7"/>
        <v>1</v>
      </c>
      <c r="AF90">
        <f>if(iferror(vlookup($A90,'Description Database'!$E$2:$H$951,3,0),0)=TRUE,1,0)</f>
        <v>0</v>
      </c>
      <c r="AG90">
        <f>if(iferror(vlookup($A90,'Description Database'!$E$2:$H$951,4,0),0)=TRUE,1,0)</f>
        <v>0</v>
      </c>
    </row>
    <row r="91">
      <c r="A91" t="str">
        <f>IFERROR(__xludf.DUMMYFUNCTION("""COMPUTED_VALUE"""),"OnePlus 6 (6 GB/64 GB)")</f>
        <v>OnePlus 6 (6 GB/64 GB)</v>
      </c>
      <c r="B91" t="str">
        <f>IFERROR(__xludf.DUMMYFUNCTION("""COMPUTED_VALUE"""),"")</f>
        <v/>
      </c>
      <c r="C91">
        <f>IFERROR(__xludf.DUMMYFUNCTION("""COMPUTED_VALUE"""),2.0)</f>
        <v>2</v>
      </c>
      <c r="D91">
        <f>IFERROR(__xludf.DUMMYFUNCTION("""COMPUTED_VALUE"""),1.0)</f>
        <v>1</v>
      </c>
      <c r="E91" t="str">
        <f>IFERROR(__xludf.DUMMYFUNCTION("""COMPUTED_VALUE"""),"")</f>
        <v/>
      </c>
      <c r="F91">
        <f>IFERROR(__xludf.DUMMYFUNCTION("""COMPUTED_VALUE"""),1.0)</f>
        <v>1</v>
      </c>
      <c r="G91">
        <f>IFERROR(__xludf.DUMMYFUNCTION("""COMPUTED_VALUE"""),1.0)</f>
        <v>1</v>
      </c>
      <c r="H91">
        <f>IFERROR(__xludf.DUMMYFUNCTION("""COMPUTED_VALUE"""),1.0)</f>
        <v>1</v>
      </c>
      <c r="I91">
        <f>IFERROR(__xludf.DUMMYFUNCTION("""COMPUTED_VALUE"""),2.0)</f>
        <v>2</v>
      </c>
      <c r="J91">
        <f>IFERROR(__xludf.DUMMYFUNCTION("""COMPUTED_VALUE"""),8.0)</f>
        <v>8</v>
      </c>
      <c r="L91" s="250" t="str">
        <f>IFERROR(__xludf.DUMMYFUNCTION("""COMPUTED_VALUE"""),"")</f>
        <v/>
      </c>
      <c r="M91" s="250">
        <f>IFERROR(__xludf.DUMMYFUNCTION("""COMPUTED_VALUE"""),11029.0)</f>
        <v>11029</v>
      </c>
      <c r="N91" s="250">
        <f>IFERROR(__xludf.DUMMYFUNCTION("""COMPUTED_VALUE"""),9929.0)</f>
        <v>9929</v>
      </c>
      <c r="O91" s="250" t="str">
        <f>IFERROR(__xludf.DUMMYFUNCTION("""COMPUTED_VALUE"""),"")</f>
        <v/>
      </c>
      <c r="P91" s="250">
        <f>IFERROR(__xludf.DUMMYFUNCTION("""COMPUTED_VALUE"""),8329.0)</f>
        <v>8329</v>
      </c>
      <c r="Q91" s="250">
        <f>IFERROR(__xludf.DUMMYFUNCTION("""COMPUTED_VALUE"""),6469.0)</f>
        <v>6469</v>
      </c>
      <c r="R91" s="250">
        <f>IFERROR(__xludf.DUMMYFUNCTION("""COMPUTED_VALUE"""),4419.0)</f>
        <v>4419</v>
      </c>
      <c r="U91" s="250">
        <f>IFERROR(__xludf.DUMMYFUNCTION("""COMPUTED_VALUE"""),12749.0)</f>
        <v>12749</v>
      </c>
      <c r="V91" s="250">
        <f>IFERROR(__xludf.DUMMYFUNCTION("""COMPUTED_VALUE"""),12139.0)</f>
        <v>12139</v>
      </c>
      <c r="W91" s="250">
        <f>IFERROR(__xludf.DUMMYFUNCTION("""COMPUTED_VALUE"""),10929.0)</f>
        <v>10929</v>
      </c>
      <c r="X91" t="b">
        <f t="shared" ref="X91:Z91" si="158">ISBLANK(K91)</f>
        <v>1</v>
      </c>
      <c r="Y91" t="b">
        <f t="shared" si="158"/>
        <v>0</v>
      </c>
      <c r="Z91" t="b">
        <f t="shared" si="158"/>
        <v>0</v>
      </c>
      <c r="AA91">
        <f t="shared" ref="AA91:AC91" si="159">IF(X91=FALSE,1,0)</f>
        <v>0</v>
      </c>
      <c r="AB91">
        <f t="shared" si="159"/>
        <v>1</v>
      </c>
      <c r="AC91">
        <f t="shared" si="159"/>
        <v>1</v>
      </c>
      <c r="AD91">
        <f t="shared" si="6"/>
        <v>2</v>
      </c>
      <c r="AE91">
        <f t="shared" si="7"/>
        <v>1</v>
      </c>
      <c r="AF91">
        <f>if(iferror(vlookup($A91,'Description Database'!$E$2:$H$951,3,0),0)=TRUE,1,0)</f>
        <v>0</v>
      </c>
      <c r="AG91">
        <f>if(iferror(vlookup($A91,'Description Database'!$E$2:$H$951,4,0),0)=TRUE,1,0)</f>
        <v>0</v>
      </c>
    </row>
    <row r="92">
      <c r="A92" t="str">
        <f>IFERROR(__xludf.DUMMYFUNCTION("""COMPUTED_VALUE"""),"OnePlus 5T (8 GB/128 GB)")</f>
        <v>OnePlus 5T (8 GB/128 GB)</v>
      </c>
      <c r="B92" t="str">
        <f>IFERROR(__xludf.DUMMYFUNCTION("""COMPUTED_VALUE"""),"")</f>
        <v/>
      </c>
      <c r="C92" t="str">
        <f>IFERROR(__xludf.DUMMYFUNCTION("""COMPUTED_VALUE"""),"")</f>
        <v/>
      </c>
      <c r="D92">
        <f>IFERROR(__xludf.DUMMYFUNCTION("""COMPUTED_VALUE"""),1.0)</f>
        <v>1</v>
      </c>
      <c r="E92" t="str">
        <f>IFERROR(__xludf.DUMMYFUNCTION("""COMPUTED_VALUE"""),"")</f>
        <v/>
      </c>
      <c r="F92">
        <f>IFERROR(__xludf.DUMMYFUNCTION("""COMPUTED_VALUE"""),2.0)</f>
        <v>2</v>
      </c>
      <c r="G92">
        <f>IFERROR(__xludf.DUMMYFUNCTION("""COMPUTED_VALUE"""),1.0)</f>
        <v>1</v>
      </c>
      <c r="H92" t="str">
        <f>IFERROR(__xludf.DUMMYFUNCTION("""COMPUTED_VALUE"""),"")</f>
        <v/>
      </c>
      <c r="I92">
        <f>IFERROR(__xludf.DUMMYFUNCTION("""COMPUTED_VALUE"""),2.0)</f>
        <v>2</v>
      </c>
      <c r="J92">
        <f>IFERROR(__xludf.DUMMYFUNCTION("""COMPUTED_VALUE"""),6.0)</f>
        <v>6</v>
      </c>
      <c r="L92" s="250" t="str">
        <f>IFERROR(__xludf.DUMMYFUNCTION("""COMPUTED_VALUE"""),"")</f>
        <v/>
      </c>
      <c r="M92" s="250" t="str">
        <f>IFERROR(__xludf.DUMMYFUNCTION("""COMPUTED_VALUE"""),"")</f>
        <v/>
      </c>
      <c r="N92" s="250">
        <f>IFERROR(__xludf.DUMMYFUNCTION("""COMPUTED_VALUE"""),9549.0)</f>
        <v>9549</v>
      </c>
      <c r="O92" s="250" t="str">
        <f>IFERROR(__xludf.DUMMYFUNCTION("""COMPUTED_VALUE"""),"")</f>
        <v/>
      </c>
      <c r="P92" s="250">
        <f>IFERROR(__xludf.DUMMYFUNCTION("""COMPUTED_VALUE"""),7959.0)</f>
        <v>7959</v>
      </c>
      <c r="Q92" s="250">
        <f>IFERROR(__xludf.DUMMYFUNCTION("""COMPUTED_VALUE"""),6229.0)</f>
        <v>6229</v>
      </c>
      <c r="R92" s="250" t="str">
        <f>IFERROR(__xludf.DUMMYFUNCTION("""COMPUTED_VALUE"""),"")</f>
        <v/>
      </c>
      <c r="U92" s="250">
        <f>IFERROR(__xludf.DUMMYFUNCTION("""COMPUTED_VALUE"""),12259.0)</f>
        <v>12259</v>
      </c>
      <c r="V92" s="250">
        <f>IFERROR(__xludf.DUMMYFUNCTION("""COMPUTED_VALUE"""),11669.0)</f>
        <v>11669</v>
      </c>
      <c r="W92" s="250">
        <f>IFERROR(__xludf.DUMMYFUNCTION("""COMPUTED_VALUE"""),10509.0)</f>
        <v>10509</v>
      </c>
      <c r="X92" t="b">
        <f t="shared" ref="X92:Z92" si="160">ISBLANK(K92)</f>
        <v>1</v>
      </c>
      <c r="Y92" t="b">
        <f t="shared" si="160"/>
        <v>0</v>
      </c>
      <c r="Z92" t="b">
        <f t="shared" si="160"/>
        <v>0</v>
      </c>
      <c r="AA92">
        <f t="shared" ref="AA92:AC92" si="161">IF(X92=FALSE,1,0)</f>
        <v>0</v>
      </c>
      <c r="AB92">
        <f t="shared" si="161"/>
        <v>1</v>
      </c>
      <c r="AC92">
        <f t="shared" si="161"/>
        <v>1</v>
      </c>
      <c r="AD92">
        <f t="shared" si="6"/>
        <v>2</v>
      </c>
      <c r="AE92">
        <f t="shared" si="7"/>
        <v>1</v>
      </c>
      <c r="AF92">
        <f>if(iferror(vlookup($A92,'Description Database'!$E$2:$H$951,3,0),0)=TRUE,1,0)</f>
        <v>0</v>
      </c>
      <c r="AG92">
        <f>if(iferror(vlookup($A92,'Description Database'!$E$2:$H$951,4,0),0)=TRUE,1,0)</f>
        <v>0</v>
      </c>
    </row>
    <row r="93">
      <c r="A93" t="str">
        <f>IFERROR(__xludf.DUMMYFUNCTION("""COMPUTED_VALUE"""),"Vivo V11 Pro (6 GB/64 GB)")</f>
        <v>Vivo V11 Pro (6 GB/64 GB)</v>
      </c>
      <c r="B93" t="str">
        <f>IFERROR(__xludf.DUMMYFUNCTION("""COMPUTED_VALUE"""),"")</f>
        <v/>
      </c>
      <c r="C93" t="str">
        <f>IFERROR(__xludf.DUMMYFUNCTION("""COMPUTED_VALUE"""),"")</f>
        <v/>
      </c>
      <c r="D93" t="str">
        <f>IFERROR(__xludf.DUMMYFUNCTION("""COMPUTED_VALUE"""),"")</f>
        <v/>
      </c>
      <c r="E93" t="str">
        <f>IFERROR(__xludf.DUMMYFUNCTION("""COMPUTED_VALUE"""),"")</f>
        <v/>
      </c>
      <c r="F93">
        <f>IFERROR(__xludf.DUMMYFUNCTION("""COMPUTED_VALUE"""),9.0)</f>
        <v>9</v>
      </c>
      <c r="G93">
        <f>IFERROR(__xludf.DUMMYFUNCTION("""COMPUTED_VALUE"""),7.0)</f>
        <v>7</v>
      </c>
      <c r="H93">
        <f>IFERROR(__xludf.DUMMYFUNCTION("""COMPUTED_VALUE"""),1.0)</f>
        <v>1</v>
      </c>
      <c r="I93" t="str">
        <f>IFERROR(__xludf.DUMMYFUNCTION("""COMPUTED_VALUE"""),"")</f>
        <v/>
      </c>
      <c r="J93">
        <f>IFERROR(__xludf.DUMMYFUNCTION("""COMPUTED_VALUE"""),17.0)</f>
        <v>17</v>
      </c>
      <c r="L93" s="250" t="str">
        <f>IFERROR(__xludf.DUMMYFUNCTION("""COMPUTED_VALUE"""),"")</f>
        <v/>
      </c>
      <c r="M93" s="250" t="str">
        <f>IFERROR(__xludf.DUMMYFUNCTION("""COMPUTED_VALUE"""),"")</f>
        <v/>
      </c>
      <c r="N93" s="250" t="str">
        <f>IFERROR(__xludf.DUMMYFUNCTION("""COMPUTED_VALUE"""),"")</f>
        <v/>
      </c>
      <c r="O93" s="250" t="str">
        <f>IFERROR(__xludf.DUMMYFUNCTION("""COMPUTED_VALUE"""),"")</f>
        <v/>
      </c>
      <c r="P93" s="250">
        <f>IFERROR(__xludf.DUMMYFUNCTION("""COMPUTED_VALUE"""),6439.0)</f>
        <v>6439</v>
      </c>
      <c r="Q93" s="250">
        <f>IFERROR(__xludf.DUMMYFUNCTION("""COMPUTED_VALUE"""),3889.0)</f>
        <v>3889</v>
      </c>
      <c r="R93" s="250">
        <f>IFERROR(__xludf.DUMMYFUNCTION("""COMPUTED_VALUE"""),3399.0)</f>
        <v>3399</v>
      </c>
      <c r="U93" s="250">
        <f>IFERROR(__xludf.DUMMYFUNCTION("""COMPUTED_VALUE"""),9909.0)</f>
        <v>9909</v>
      </c>
      <c r="V93" s="250">
        <f>IFERROR(__xludf.DUMMYFUNCTION("""COMPUTED_VALUE"""),9439.0)</f>
        <v>9439</v>
      </c>
      <c r="W93" s="250">
        <f>IFERROR(__xludf.DUMMYFUNCTION("""COMPUTED_VALUE"""),8509.0)</f>
        <v>8509</v>
      </c>
      <c r="X93" t="b">
        <f t="shared" ref="X93:Z93" si="162">ISBLANK(K93)</f>
        <v>1</v>
      </c>
      <c r="Y93" t="b">
        <f t="shared" si="162"/>
        <v>0</v>
      </c>
      <c r="Z93" t="b">
        <f t="shared" si="162"/>
        <v>0</v>
      </c>
      <c r="AA93">
        <f t="shared" ref="AA93:AC93" si="163">IF(X93=FALSE,1,0)</f>
        <v>0</v>
      </c>
      <c r="AB93">
        <f t="shared" si="163"/>
        <v>1</v>
      </c>
      <c r="AC93">
        <f t="shared" si="163"/>
        <v>1</v>
      </c>
      <c r="AD93">
        <f t="shared" si="6"/>
        <v>2</v>
      </c>
      <c r="AE93">
        <f t="shared" si="7"/>
        <v>1</v>
      </c>
      <c r="AF93">
        <f>if(iferror(vlookup($A93,'Description Database'!$E$2:$H$951,3,0),0)=TRUE,1,0)</f>
        <v>0</v>
      </c>
      <c r="AG93">
        <f>if(iferror(vlookup($A93,'Description Database'!$E$2:$H$951,4,0),0)=TRUE,1,0)</f>
        <v>0</v>
      </c>
    </row>
    <row r="94">
      <c r="A94" t="str">
        <f>IFERROR(__xludf.DUMMYFUNCTION("""COMPUTED_VALUE"""),"Realme C1 (2 GB/16 GB)")</f>
        <v>Realme C1 (2 GB/16 GB)</v>
      </c>
      <c r="B94" t="str">
        <f>IFERROR(__xludf.DUMMYFUNCTION("""COMPUTED_VALUE"""),"")</f>
        <v/>
      </c>
      <c r="C94" t="str">
        <f>IFERROR(__xludf.DUMMYFUNCTION("""COMPUTED_VALUE"""),"")</f>
        <v/>
      </c>
      <c r="D94" t="str">
        <f>IFERROR(__xludf.DUMMYFUNCTION("""COMPUTED_VALUE"""),"")</f>
        <v/>
      </c>
      <c r="E94" t="str">
        <f>IFERROR(__xludf.DUMMYFUNCTION("""COMPUTED_VALUE"""),"")</f>
        <v/>
      </c>
      <c r="F94">
        <f>IFERROR(__xludf.DUMMYFUNCTION("""COMPUTED_VALUE"""),1.0)</f>
        <v>1</v>
      </c>
      <c r="G94">
        <f>IFERROR(__xludf.DUMMYFUNCTION("""COMPUTED_VALUE"""),1.0)</f>
        <v>1</v>
      </c>
      <c r="H94" t="str">
        <f>IFERROR(__xludf.DUMMYFUNCTION("""COMPUTED_VALUE"""),"")</f>
        <v/>
      </c>
      <c r="I94">
        <f>IFERROR(__xludf.DUMMYFUNCTION("""COMPUTED_VALUE"""),5.0)</f>
        <v>5</v>
      </c>
      <c r="J94">
        <f>IFERROR(__xludf.DUMMYFUNCTION("""COMPUTED_VALUE"""),7.0)</f>
        <v>7</v>
      </c>
      <c r="L94" s="250" t="str">
        <f>IFERROR(__xludf.DUMMYFUNCTION("""COMPUTED_VALUE"""),"")</f>
        <v/>
      </c>
      <c r="M94" s="250" t="str">
        <f>IFERROR(__xludf.DUMMYFUNCTION("""COMPUTED_VALUE"""),"")</f>
        <v/>
      </c>
      <c r="N94" s="250" t="str">
        <f>IFERROR(__xludf.DUMMYFUNCTION("""COMPUTED_VALUE"""),"")</f>
        <v/>
      </c>
      <c r="O94" s="250" t="str">
        <f>IFERROR(__xludf.DUMMYFUNCTION("""COMPUTED_VALUE"""),"")</f>
        <v/>
      </c>
      <c r="P94" s="250">
        <f>IFERROR(__xludf.DUMMYFUNCTION("""COMPUTED_VALUE"""),3559.0)</f>
        <v>3559</v>
      </c>
      <c r="Q94" s="250">
        <f>IFERROR(__xludf.DUMMYFUNCTION("""COMPUTED_VALUE"""),2749.0)</f>
        <v>2749</v>
      </c>
      <c r="R94" s="250" t="str">
        <f>IFERROR(__xludf.DUMMYFUNCTION("""COMPUTED_VALUE"""),"")</f>
        <v/>
      </c>
      <c r="U94" s="250">
        <f>IFERROR(__xludf.DUMMYFUNCTION("""COMPUTED_VALUE"""),5479.0)</f>
        <v>5479</v>
      </c>
      <c r="V94" s="250">
        <f>IFERROR(__xludf.DUMMYFUNCTION("""COMPUTED_VALUE"""),5219.0)</f>
        <v>5219</v>
      </c>
      <c r="W94" s="250">
        <f>IFERROR(__xludf.DUMMYFUNCTION("""COMPUTED_VALUE"""),4779.0)</f>
        <v>4779</v>
      </c>
      <c r="X94" t="b">
        <f t="shared" ref="X94:Z94" si="164">ISBLANK(K94)</f>
        <v>1</v>
      </c>
      <c r="Y94" t="b">
        <f t="shared" si="164"/>
        <v>0</v>
      </c>
      <c r="Z94" t="b">
        <f t="shared" si="164"/>
        <v>0</v>
      </c>
      <c r="AA94">
        <f t="shared" ref="AA94:AC94" si="165">IF(X94=FALSE,1,0)</f>
        <v>0</v>
      </c>
      <c r="AB94">
        <f t="shared" si="165"/>
        <v>1</v>
      </c>
      <c r="AC94">
        <f t="shared" si="165"/>
        <v>1</v>
      </c>
      <c r="AD94">
        <f t="shared" si="6"/>
        <v>2</v>
      </c>
      <c r="AE94">
        <f t="shared" si="7"/>
        <v>1</v>
      </c>
      <c r="AF94">
        <f>if(iferror(vlookup($A94,'Description Database'!$E$2:$H$951,3,0),0)=TRUE,1,0)</f>
        <v>0</v>
      </c>
      <c r="AG94">
        <f>if(iferror(vlookup($A94,'Description Database'!$E$2:$H$951,4,0),0)=TRUE,1,0)</f>
        <v>0</v>
      </c>
    </row>
    <row r="95">
      <c r="A95" t="str">
        <f>IFERROR(__xludf.DUMMYFUNCTION("""COMPUTED_VALUE"""),"Vivo Y66 (3 GB/32 GB)")</f>
        <v>Vivo Y66 (3 GB/32 GB)</v>
      </c>
      <c r="B95" t="str">
        <f>IFERROR(__xludf.DUMMYFUNCTION("""COMPUTED_VALUE"""),"")</f>
        <v/>
      </c>
      <c r="C95" t="str">
        <f>IFERROR(__xludf.DUMMYFUNCTION("""COMPUTED_VALUE"""),"")</f>
        <v/>
      </c>
      <c r="D95" t="str">
        <f>IFERROR(__xludf.DUMMYFUNCTION("""COMPUTED_VALUE"""),"")</f>
        <v/>
      </c>
      <c r="E95" t="str">
        <f>IFERROR(__xludf.DUMMYFUNCTION("""COMPUTED_VALUE"""),"")</f>
        <v/>
      </c>
      <c r="F95" t="str">
        <f>IFERROR(__xludf.DUMMYFUNCTION("""COMPUTED_VALUE"""),"")</f>
        <v/>
      </c>
      <c r="G95" t="str">
        <f>IFERROR(__xludf.DUMMYFUNCTION("""COMPUTED_VALUE"""),"")</f>
        <v/>
      </c>
      <c r="H95" t="str">
        <f>IFERROR(__xludf.DUMMYFUNCTION("""COMPUTED_VALUE"""),"")</f>
        <v/>
      </c>
      <c r="I95">
        <f>IFERROR(__xludf.DUMMYFUNCTION("""COMPUTED_VALUE"""),4.0)</f>
        <v>4</v>
      </c>
      <c r="J95">
        <f>IFERROR(__xludf.DUMMYFUNCTION("""COMPUTED_VALUE"""),4.0)</f>
        <v>4</v>
      </c>
      <c r="L95" s="250" t="str">
        <f>IFERROR(__xludf.DUMMYFUNCTION("""COMPUTED_VALUE"""),"")</f>
        <v/>
      </c>
      <c r="M95" s="250" t="str">
        <f>IFERROR(__xludf.DUMMYFUNCTION("""COMPUTED_VALUE"""),"")</f>
        <v/>
      </c>
      <c r="N95" s="250" t="str">
        <f>IFERROR(__xludf.DUMMYFUNCTION("""COMPUTED_VALUE"""),"")</f>
        <v/>
      </c>
      <c r="O95" s="250" t="str">
        <f>IFERROR(__xludf.DUMMYFUNCTION("""COMPUTED_VALUE"""),"")</f>
        <v/>
      </c>
      <c r="P95" s="250" t="str">
        <f>IFERROR(__xludf.DUMMYFUNCTION("""COMPUTED_VALUE"""),"")</f>
        <v/>
      </c>
      <c r="Q95" s="250" t="str">
        <f>IFERROR(__xludf.DUMMYFUNCTION("""COMPUTED_VALUE"""),"")</f>
        <v/>
      </c>
      <c r="R95" s="250" t="str">
        <f>IFERROR(__xludf.DUMMYFUNCTION("""COMPUTED_VALUE"""),"")</f>
        <v/>
      </c>
      <c r="U95" s="250">
        <f>IFERROR(__xludf.DUMMYFUNCTION("""COMPUTED_VALUE"""),5359.0)</f>
        <v>5359</v>
      </c>
      <c r="V95" s="250">
        <f>IFERROR(__xludf.DUMMYFUNCTION("""COMPUTED_VALUE"""),5099.0)</f>
        <v>5099</v>
      </c>
      <c r="W95" s="250">
        <f>IFERROR(__xludf.DUMMYFUNCTION("""COMPUTED_VALUE"""),4589.0)</f>
        <v>4589</v>
      </c>
      <c r="X95" t="b">
        <f t="shared" ref="X95:Z95" si="166">ISBLANK(K95)</f>
        <v>1</v>
      </c>
      <c r="Y95" t="b">
        <f t="shared" si="166"/>
        <v>0</v>
      </c>
      <c r="Z95" t="b">
        <f t="shared" si="166"/>
        <v>0</v>
      </c>
      <c r="AA95">
        <f t="shared" ref="AA95:AC95" si="167">IF(X95=FALSE,1,0)</f>
        <v>0</v>
      </c>
      <c r="AB95">
        <f t="shared" si="167"/>
        <v>1</v>
      </c>
      <c r="AC95">
        <f t="shared" si="167"/>
        <v>1</v>
      </c>
      <c r="AD95">
        <f t="shared" si="6"/>
        <v>2</v>
      </c>
      <c r="AE95">
        <f t="shared" si="7"/>
        <v>1</v>
      </c>
      <c r="AF95">
        <f>if(iferror(vlookup($A95,'Description Database'!$E$2:$H$951,3,0),0)=TRUE,1,0)</f>
        <v>0</v>
      </c>
      <c r="AG95">
        <f>if(iferror(vlookup($A95,'Description Database'!$E$2:$H$951,4,0),0)=TRUE,1,0)</f>
        <v>0</v>
      </c>
    </row>
    <row r="96">
      <c r="A96" t="str">
        <f>IFERROR(__xludf.DUMMYFUNCTION("""COMPUTED_VALUE"""),"Honor 9 Lite (4 GB/64 GB)")</f>
        <v>Honor 9 Lite (4 GB/64 GB)</v>
      </c>
      <c r="B96" t="str">
        <f>IFERROR(__xludf.DUMMYFUNCTION("""COMPUTED_VALUE"""),"")</f>
        <v/>
      </c>
      <c r="C96" t="str">
        <f>IFERROR(__xludf.DUMMYFUNCTION("""COMPUTED_VALUE"""),"")</f>
        <v/>
      </c>
      <c r="D96" t="str">
        <f>IFERROR(__xludf.DUMMYFUNCTION("""COMPUTED_VALUE"""),"")</f>
        <v/>
      </c>
      <c r="E96" t="str">
        <f>IFERROR(__xludf.DUMMYFUNCTION("""COMPUTED_VALUE"""),"")</f>
        <v/>
      </c>
      <c r="F96" t="str">
        <f>IFERROR(__xludf.DUMMYFUNCTION("""COMPUTED_VALUE"""),"")</f>
        <v/>
      </c>
      <c r="G96" t="str">
        <f>IFERROR(__xludf.DUMMYFUNCTION("""COMPUTED_VALUE"""),"")</f>
        <v/>
      </c>
      <c r="H96" t="str">
        <f>IFERROR(__xludf.DUMMYFUNCTION("""COMPUTED_VALUE"""),"")</f>
        <v/>
      </c>
      <c r="I96">
        <f>IFERROR(__xludf.DUMMYFUNCTION("""COMPUTED_VALUE"""),1.0)</f>
        <v>1</v>
      </c>
      <c r="J96">
        <f>IFERROR(__xludf.DUMMYFUNCTION("""COMPUTED_VALUE"""),1.0)</f>
        <v>1</v>
      </c>
      <c r="L96" s="250" t="str">
        <f>IFERROR(__xludf.DUMMYFUNCTION("""COMPUTED_VALUE"""),"")</f>
        <v/>
      </c>
      <c r="M96" s="250" t="str">
        <f>IFERROR(__xludf.DUMMYFUNCTION("""COMPUTED_VALUE"""),"")</f>
        <v/>
      </c>
      <c r="N96" s="250" t="str">
        <f>IFERROR(__xludf.DUMMYFUNCTION("""COMPUTED_VALUE"""),"")</f>
        <v/>
      </c>
      <c r="O96" s="250" t="str">
        <f>IFERROR(__xludf.DUMMYFUNCTION("""COMPUTED_VALUE"""),"")</f>
        <v/>
      </c>
      <c r="P96" s="250" t="str">
        <f>IFERROR(__xludf.DUMMYFUNCTION("""COMPUTED_VALUE"""),"")</f>
        <v/>
      </c>
      <c r="Q96" s="250" t="str">
        <f>IFERROR(__xludf.DUMMYFUNCTION("""COMPUTED_VALUE"""),"")</f>
        <v/>
      </c>
      <c r="R96" s="250" t="str">
        <f>IFERROR(__xludf.DUMMYFUNCTION("""COMPUTED_VALUE"""),"")</f>
        <v/>
      </c>
      <c r="U96" s="250">
        <f>IFERROR(__xludf.DUMMYFUNCTION("""COMPUTED_VALUE"""),5829.0)</f>
        <v>5829</v>
      </c>
      <c r="V96" s="250">
        <f>IFERROR(__xludf.DUMMYFUNCTION("""COMPUTED_VALUE"""),5549.0)</f>
        <v>5549</v>
      </c>
      <c r="W96" s="250">
        <f>IFERROR(__xludf.DUMMYFUNCTION("""COMPUTED_VALUE"""),4989.0)</f>
        <v>4989</v>
      </c>
      <c r="X96" t="b">
        <f t="shared" ref="X96:Z96" si="168">ISBLANK(K96)</f>
        <v>1</v>
      </c>
      <c r="Y96" t="b">
        <f t="shared" si="168"/>
        <v>0</v>
      </c>
      <c r="Z96" t="b">
        <f t="shared" si="168"/>
        <v>0</v>
      </c>
      <c r="AA96">
        <f t="shared" ref="AA96:AC96" si="169">IF(X96=FALSE,1,0)</f>
        <v>0</v>
      </c>
      <c r="AB96">
        <f t="shared" si="169"/>
        <v>1</v>
      </c>
      <c r="AC96">
        <f t="shared" si="169"/>
        <v>1</v>
      </c>
      <c r="AD96">
        <f t="shared" si="6"/>
        <v>2</v>
      </c>
      <c r="AE96">
        <f t="shared" si="7"/>
        <v>1</v>
      </c>
      <c r="AF96">
        <f>if(iferror(vlookup($A96,'Description Database'!$E$2:$H$951,3,0),0)=TRUE,1,0)</f>
        <v>0</v>
      </c>
      <c r="AG96">
        <f>if(iferror(vlookup($A96,'Description Database'!$E$2:$H$951,4,0),0)=TRUE,1,0)</f>
        <v>0</v>
      </c>
    </row>
    <row r="97">
      <c r="A97" t="str">
        <f>IFERROR(__xludf.DUMMYFUNCTION("""COMPUTED_VALUE"""),"OnePlus 5 (6 GB/64 GB)")</f>
        <v>OnePlus 5 (6 GB/64 GB)</v>
      </c>
      <c r="B97" t="str">
        <f>IFERROR(__xludf.DUMMYFUNCTION("""COMPUTED_VALUE"""),"")</f>
        <v/>
      </c>
      <c r="C97" t="str">
        <f>IFERROR(__xludf.DUMMYFUNCTION("""COMPUTED_VALUE"""),"")</f>
        <v/>
      </c>
      <c r="D97" t="str">
        <f>IFERROR(__xludf.DUMMYFUNCTION("""COMPUTED_VALUE"""),"")</f>
        <v/>
      </c>
      <c r="E97" t="str">
        <f>IFERROR(__xludf.DUMMYFUNCTION("""COMPUTED_VALUE"""),"")</f>
        <v/>
      </c>
      <c r="F97" t="str">
        <f>IFERROR(__xludf.DUMMYFUNCTION("""COMPUTED_VALUE"""),"")</f>
        <v/>
      </c>
      <c r="G97" t="str">
        <f>IFERROR(__xludf.DUMMYFUNCTION("""COMPUTED_VALUE"""),"")</f>
        <v/>
      </c>
      <c r="H97" t="str">
        <f>IFERROR(__xludf.DUMMYFUNCTION("""COMPUTED_VALUE"""),"")</f>
        <v/>
      </c>
      <c r="I97">
        <f>IFERROR(__xludf.DUMMYFUNCTION("""COMPUTED_VALUE"""),3.0)</f>
        <v>3</v>
      </c>
      <c r="J97">
        <f>IFERROR(__xludf.DUMMYFUNCTION("""COMPUTED_VALUE"""),3.0)</f>
        <v>3</v>
      </c>
      <c r="L97" s="250" t="str">
        <f>IFERROR(__xludf.DUMMYFUNCTION("""COMPUTED_VALUE"""),"")</f>
        <v/>
      </c>
      <c r="M97" s="250" t="str">
        <f>IFERROR(__xludf.DUMMYFUNCTION("""COMPUTED_VALUE"""),"")</f>
        <v/>
      </c>
      <c r="N97" s="250" t="str">
        <f>IFERROR(__xludf.DUMMYFUNCTION("""COMPUTED_VALUE"""),"")</f>
        <v/>
      </c>
      <c r="O97" s="250" t="str">
        <f>IFERROR(__xludf.DUMMYFUNCTION("""COMPUTED_VALUE"""),"")</f>
        <v/>
      </c>
      <c r="P97" s="250" t="str">
        <f>IFERROR(__xludf.DUMMYFUNCTION("""COMPUTED_VALUE"""),"")</f>
        <v/>
      </c>
      <c r="Q97" s="250" t="str">
        <f>IFERROR(__xludf.DUMMYFUNCTION("""COMPUTED_VALUE"""),"")</f>
        <v/>
      </c>
      <c r="R97" s="250" t="str">
        <f>IFERROR(__xludf.DUMMYFUNCTION("""COMPUTED_VALUE"""),"")</f>
        <v/>
      </c>
      <c r="U97" s="250">
        <f>IFERROR(__xludf.DUMMYFUNCTION("""COMPUTED_VALUE"""),9329.0)</f>
        <v>9329</v>
      </c>
      <c r="V97" s="250">
        <f>IFERROR(__xludf.DUMMYFUNCTION("""COMPUTED_VALUE"""),8879.0)</f>
        <v>8879</v>
      </c>
      <c r="W97" s="250">
        <f>IFERROR(__xludf.DUMMYFUNCTION("""COMPUTED_VALUE"""),8119.0)</f>
        <v>8119</v>
      </c>
      <c r="X97" t="b">
        <f t="shared" ref="X97:Z97" si="170">ISBLANK(K97)</f>
        <v>1</v>
      </c>
      <c r="Y97" t="b">
        <f t="shared" si="170"/>
        <v>0</v>
      </c>
      <c r="Z97" t="b">
        <f t="shared" si="170"/>
        <v>0</v>
      </c>
      <c r="AA97">
        <f t="shared" ref="AA97:AC97" si="171">IF(X97=FALSE,1,0)</f>
        <v>0</v>
      </c>
      <c r="AB97">
        <f t="shared" si="171"/>
        <v>1</v>
      </c>
      <c r="AC97">
        <f t="shared" si="171"/>
        <v>1</v>
      </c>
      <c r="AD97">
        <f t="shared" si="6"/>
        <v>2</v>
      </c>
      <c r="AE97">
        <f t="shared" si="7"/>
        <v>1</v>
      </c>
      <c r="AF97">
        <f>if(iferror(vlookup($A97,'Description Database'!$E$2:$H$951,3,0),0)=TRUE,1,0)</f>
        <v>0</v>
      </c>
      <c r="AG97">
        <f>if(iferror(vlookup($A97,'Description Database'!$E$2:$H$951,4,0),0)=TRUE,1,0)</f>
        <v>0</v>
      </c>
    </row>
    <row r="98">
      <c r="A98" t="str">
        <f>IFERROR(__xludf.DUMMYFUNCTION("""COMPUTED_VALUE"""),"Oppo A57 (3 GB/32 GB)")</f>
        <v>Oppo A57 (3 GB/32 GB)</v>
      </c>
      <c r="B98" t="str">
        <f>IFERROR(__xludf.DUMMYFUNCTION("""COMPUTED_VALUE"""),"")</f>
        <v/>
      </c>
      <c r="C98" t="str">
        <f>IFERROR(__xludf.DUMMYFUNCTION("""COMPUTED_VALUE"""),"")</f>
        <v/>
      </c>
      <c r="D98">
        <f>IFERROR(__xludf.DUMMYFUNCTION("""COMPUTED_VALUE"""),7.0)</f>
        <v>7</v>
      </c>
      <c r="E98">
        <f>IFERROR(__xludf.DUMMYFUNCTION("""COMPUTED_VALUE"""),5.0)</f>
        <v>5</v>
      </c>
      <c r="F98">
        <f>IFERROR(__xludf.DUMMYFUNCTION("""COMPUTED_VALUE"""),2.0)</f>
        <v>2</v>
      </c>
      <c r="G98">
        <f>IFERROR(__xludf.DUMMYFUNCTION("""COMPUTED_VALUE"""),1.0)</f>
        <v>1</v>
      </c>
      <c r="H98" t="str">
        <f>IFERROR(__xludf.DUMMYFUNCTION("""COMPUTED_VALUE"""),"")</f>
        <v/>
      </c>
      <c r="I98">
        <f>IFERROR(__xludf.DUMMYFUNCTION("""COMPUTED_VALUE"""),19.0)</f>
        <v>19</v>
      </c>
      <c r="J98">
        <f>IFERROR(__xludf.DUMMYFUNCTION("""COMPUTED_VALUE"""),34.0)</f>
        <v>34</v>
      </c>
      <c r="L98" s="250" t="str">
        <f>IFERROR(__xludf.DUMMYFUNCTION("""COMPUTED_VALUE"""),"")</f>
        <v/>
      </c>
      <c r="M98" s="250" t="str">
        <f>IFERROR(__xludf.DUMMYFUNCTION("""COMPUTED_VALUE"""),"")</f>
        <v/>
      </c>
      <c r="N98" s="250">
        <f>IFERROR(__xludf.DUMMYFUNCTION("""COMPUTED_VALUE"""),4079.0)</f>
        <v>4079</v>
      </c>
      <c r="O98" s="250">
        <f>IFERROR(__xludf.DUMMYFUNCTION("""COMPUTED_VALUE"""),3744.0)</f>
        <v>3744</v>
      </c>
      <c r="P98" s="250">
        <f>IFERROR(__xludf.DUMMYFUNCTION("""COMPUTED_VALUE"""),3409.0)</f>
        <v>3409</v>
      </c>
      <c r="Q98" s="250">
        <f>IFERROR(__xludf.DUMMYFUNCTION("""COMPUTED_VALUE"""),2499.0)</f>
        <v>2499</v>
      </c>
      <c r="R98" s="250" t="str">
        <f>IFERROR(__xludf.DUMMYFUNCTION("""COMPUTED_VALUE"""),"")</f>
        <v/>
      </c>
      <c r="U98" s="250">
        <f>IFERROR(__xludf.DUMMYFUNCTION("""COMPUTED_VALUE"""),5239.0)</f>
        <v>5239</v>
      </c>
      <c r="V98" s="250">
        <f>IFERROR(__xludf.DUMMYFUNCTION("""COMPUTED_VALUE"""),4989.0)</f>
        <v>4989</v>
      </c>
      <c r="W98" s="250">
        <f>IFERROR(__xludf.DUMMYFUNCTION("""COMPUTED_VALUE"""),4489.0)</f>
        <v>4489</v>
      </c>
      <c r="X98" t="b">
        <f t="shared" ref="X98:Z98" si="172">ISBLANK(K98)</f>
        <v>1</v>
      </c>
      <c r="Y98" t="b">
        <f t="shared" si="172"/>
        <v>0</v>
      </c>
      <c r="Z98" t="b">
        <f t="shared" si="172"/>
        <v>0</v>
      </c>
      <c r="AA98">
        <f t="shared" ref="AA98:AC98" si="173">IF(X98=FALSE,1,0)</f>
        <v>0</v>
      </c>
      <c r="AB98">
        <f t="shared" si="173"/>
        <v>1</v>
      </c>
      <c r="AC98">
        <f t="shared" si="173"/>
        <v>1</v>
      </c>
      <c r="AD98">
        <f t="shared" si="6"/>
        <v>2</v>
      </c>
      <c r="AE98">
        <f t="shared" si="7"/>
        <v>1</v>
      </c>
      <c r="AF98">
        <f>if(iferror(vlookup($A98,'Description Database'!$E$2:$H$951,3,0),0)=TRUE,1,0)</f>
        <v>0</v>
      </c>
      <c r="AG98">
        <f>if(iferror(vlookup($A98,'Description Database'!$E$2:$H$951,4,0),0)=TRUE,1,0)</f>
        <v>0</v>
      </c>
    </row>
    <row r="99">
      <c r="A99" t="str">
        <f>IFERROR(__xludf.DUMMYFUNCTION("""COMPUTED_VALUE"""),"Vivo Y15 2019 (4 GB/64 GB)")</f>
        <v>Vivo Y15 2019 (4 GB/64 GB)</v>
      </c>
      <c r="B99" t="str">
        <f>IFERROR(__xludf.DUMMYFUNCTION("""COMPUTED_VALUE"""),"")</f>
        <v/>
      </c>
      <c r="C99" t="str">
        <f>IFERROR(__xludf.DUMMYFUNCTION("""COMPUTED_VALUE"""),"")</f>
        <v/>
      </c>
      <c r="D99" t="str">
        <f>IFERROR(__xludf.DUMMYFUNCTION("""COMPUTED_VALUE"""),"")</f>
        <v/>
      </c>
      <c r="E99" t="str">
        <f>IFERROR(__xludf.DUMMYFUNCTION("""COMPUTED_VALUE"""),"")</f>
        <v/>
      </c>
      <c r="F99" t="str">
        <f>IFERROR(__xludf.DUMMYFUNCTION("""COMPUTED_VALUE"""),"")</f>
        <v/>
      </c>
      <c r="G99" t="str">
        <f>IFERROR(__xludf.DUMMYFUNCTION("""COMPUTED_VALUE"""),"")</f>
        <v/>
      </c>
      <c r="H99" t="str">
        <f>IFERROR(__xludf.DUMMYFUNCTION("""COMPUTED_VALUE"""),"")</f>
        <v/>
      </c>
      <c r="I99" t="str">
        <f>IFERROR(__xludf.DUMMYFUNCTION("""COMPUTED_VALUE"""),"")</f>
        <v/>
      </c>
      <c r="J99">
        <f>IFERROR(__xludf.DUMMYFUNCTION("""COMPUTED_VALUE"""),0.0)</f>
        <v>0</v>
      </c>
      <c r="L99" s="250" t="str">
        <f>IFERROR(__xludf.DUMMYFUNCTION("""COMPUTED_VALUE"""),"")</f>
        <v/>
      </c>
      <c r="M99" s="250" t="str">
        <f>IFERROR(__xludf.DUMMYFUNCTION("""COMPUTED_VALUE"""),"")</f>
        <v/>
      </c>
      <c r="N99" s="250" t="str">
        <f>IFERROR(__xludf.DUMMYFUNCTION("""COMPUTED_VALUE"""),"")</f>
        <v/>
      </c>
      <c r="O99" s="250" t="str">
        <f>IFERROR(__xludf.DUMMYFUNCTION("""COMPUTED_VALUE"""),"")</f>
        <v/>
      </c>
      <c r="P99" s="250" t="str">
        <f>IFERROR(__xludf.DUMMYFUNCTION("""COMPUTED_VALUE"""),"")</f>
        <v/>
      </c>
      <c r="Q99" s="250" t="str">
        <f>IFERROR(__xludf.DUMMYFUNCTION("""COMPUTED_VALUE"""),"")</f>
        <v/>
      </c>
      <c r="R99" s="250" t="str">
        <f>IFERROR(__xludf.DUMMYFUNCTION("""COMPUTED_VALUE"""),"")</f>
        <v/>
      </c>
      <c r="U99" s="250">
        <f>IFERROR(__xludf.DUMMYFUNCTION("""COMPUTED_VALUE"""),9489.0)</f>
        <v>9489</v>
      </c>
      <c r="V99" s="250">
        <f>IFERROR(__xludf.DUMMYFUNCTION("""COMPUTED_VALUE"""),9029.0)</f>
        <v>9029</v>
      </c>
      <c r="W99" s="250">
        <f>IFERROR(__xludf.DUMMYFUNCTION("""COMPUTED_VALUE"""),8249.0)</f>
        <v>8249</v>
      </c>
      <c r="X99" t="b">
        <f t="shared" ref="X99:Z99" si="174">ISBLANK(K99)</f>
        <v>1</v>
      </c>
      <c r="Y99" t="b">
        <f t="shared" si="174"/>
        <v>0</v>
      </c>
      <c r="Z99" t="b">
        <f t="shared" si="174"/>
        <v>0</v>
      </c>
      <c r="AA99">
        <f t="shared" ref="AA99:AC99" si="175">IF(X99=FALSE,1,0)</f>
        <v>0</v>
      </c>
      <c r="AB99">
        <f t="shared" si="175"/>
        <v>1</v>
      </c>
      <c r="AC99">
        <f t="shared" si="175"/>
        <v>1</v>
      </c>
      <c r="AD99">
        <f t="shared" si="6"/>
        <v>2</v>
      </c>
      <c r="AE99">
        <f t="shared" si="7"/>
        <v>1</v>
      </c>
      <c r="AF99">
        <f>if(iferror(vlookup($A99,'Description Database'!$E$2:$H$951,3,0),0)=TRUE,1,0)</f>
        <v>0</v>
      </c>
      <c r="AG99">
        <f>if(iferror(vlookup($A99,'Description Database'!$E$2:$H$951,4,0),0)=TRUE,1,0)</f>
        <v>0</v>
      </c>
    </row>
    <row r="100">
      <c r="A100" t="str">
        <f>IFERROR(__xludf.DUMMYFUNCTION("""COMPUTED_VALUE"""),"Realme 2 (4 GB/64 GB)")</f>
        <v>Realme 2 (4 GB/64 GB)</v>
      </c>
      <c r="B100" t="str">
        <f>IFERROR(__xludf.DUMMYFUNCTION("""COMPUTED_VALUE"""),"")</f>
        <v/>
      </c>
      <c r="C100" t="str">
        <f>IFERROR(__xludf.DUMMYFUNCTION("""COMPUTED_VALUE"""),"")</f>
        <v/>
      </c>
      <c r="D100" t="str">
        <f>IFERROR(__xludf.DUMMYFUNCTION("""COMPUTED_VALUE"""),"")</f>
        <v/>
      </c>
      <c r="E100" t="str">
        <f>IFERROR(__xludf.DUMMYFUNCTION("""COMPUTED_VALUE"""),"")</f>
        <v/>
      </c>
      <c r="F100" t="str">
        <f>IFERROR(__xludf.DUMMYFUNCTION("""COMPUTED_VALUE"""),"")</f>
        <v/>
      </c>
      <c r="G100" t="str">
        <f>IFERROR(__xludf.DUMMYFUNCTION("""COMPUTED_VALUE"""),"")</f>
        <v/>
      </c>
      <c r="H100" t="str">
        <f>IFERROR(__xludf.DUMMYFUNCTION("""COMPUTED_VALUE"""),"")</f>
        <v/>
      </c>
      <c r="I100">
        <f>IFERROR(__xludf.DUMMYFUNCTION("""COMPUTED_VALUE"""),2.0)</f>
        <v>2</v>
      </c>
      <c r="J100">
        <f>IFERROR(__xludf.DUMMYFUNCTION("""COMPUTED_VALUE"""),2.0)</f>
        <v>2</v>
      </c>
      <c r="L100" s="250" t="str">
        <f>IFERROR(__xludf.DUMMYFUNCTION("""COMPUTED_VALUE"""),"")</f>
        <v/>
      </c>
      <c r="M100" s="250" t="str">
        <f>IFERROR(__xludf.DUMMYFUNCTION("""COMPUTED_VALUE"""),"")</f>
        <v/>
      </c>
      <c r="N100" s="250" t="str">
        <f>IFERROR(__xludf.DUMMYFUNCTION("""COMPUTED_VALUE"""),"")</f>
        <v/>
      </c>
      <c r="O100" s="250" t="str">
        <f>IFERROR(__xludf.DUMMYFUNCTION("""COMPUTED_VALUE"""),"")</f>
        <v/>
      </c>
      <c r="P100" s="250" t="str">
        <f>IFERROR(__xludf.DUMMYFUNCTION("""COMPUTED_VALUE"""),"")</f>
        <v/>
      </c>
      <c r="Q100" s="250" t="str">
        <f>IFERROR(__xludf.DUMMYFUNCTION("""COMPUTED_VALUE"""),"")</f>
        <v/>
      </c>
      <c r="R100" s="250" t="str">
        <f>IFERROR(__xludf.DUMMYFUNCTION("""COMPUTED_VALUE"""),"")</f>
        <v/>
      </c>
      <c r="U100" s="250">
        <f>IFERROR(__xludf.DUMMYFUNCTION("""COMPUTED_VALUE"""),7399.0)</f>
        <v>7399</v>
      </c>
      <c r="V100" s="250">
        <f>IFERROR(__xludf.DUMMYFUNCTION("""COMPUTED_VALUE"""),7039.0)</f>
        <v>7039</v>
      </c>
      <c r="W100" s="250">
        <f>IFERROR(__xludf.DUMMYFUNCTION("""COMPUTED_VALUE"""),6439.0)</f>
        <v>6439</v>
      </c>
      <c r="X100" t="b">
        <f t="shared" ref="X100:Z100" si="176">ISBLANK(K100)</f>
        <v>1</v>
      </c>
      <c r="Y100" t="b">
        <f t="shared" si="176"/>
        <v>0</v>
      </c>
      <c r="Z100" t="b">
        <f t="shared" si="176"/>
        <v>0</v>
      </c>
      <c r="AA100">
        <f t="shared" ref="AA100:AC100" si="177">IF(X100=FALSE,1,0)</f>
        <v>0</v>
      </c>
      <c r="AB100">
        <f t="shared" si="177"/>
        <v>1</v>
      </c>
      <c r="AC100">
        <f t="shared" si="177"/>
        <v>1</v>
      </c>
      <c r="AD100">
        <f t="shared" si="6"/>
        <v>2</v>
      </c>
      <c r="AE100">
        <f t="shared" si="7"/>
        <v>1</v>
      </c>
      <c r="AF100">
        <f>if(iferror(vlookup($A100,'Description Database'!$E$2:$H$951,3,0),0)=TRUE,1,0)</f>
        <v>0</v>
      </c>
      <c r="AG100">
        <f>if(iferror(vlookup($A100,'Description Database'!$E$2:$H$951,4,0),0)=TRUE,1,0)</f>
        <v>0</v>
      </c>
    </row>
    <row r="101">
      <c r="A101" t="str">
        <f>IFERROR(__xludf.DUMMYFUNCTION("""COMPUTED_VALUE"""),"Vivo V9 (4 GB/64 GB)")</f>
        <v>Vivo V9 (4 GB/64 GB)</v>
      </c>
      <c r="B101" t="str">
        <f>IFERROR(__xludf.DUMMYFUNCTION("""COMPUTED_VALUE"""),"")</f>
        <v/>
      </c>
      <c r="C101" t="str">
        <f>IFERROR(__xludf.DUMMYFUNCTION("""COMPUTED_VALUE"""),"")</f>
        <v/>
      </c>
      <c r="D101">
        <f>IFERROR(__xludf.DUMMYFUNCTION("""COMPUTED_VALUE"""),1.0)</f>
        <v>1</v>
      </c>
      <c r="E101" t="str">
        <f>IFERROR(__xludf.DUMMYFUNCTION("""COMPUTED_VALUE"""),"")</f>
        <v/>
      </c>
      <c r="F101">
        <f>IFERROR(__xludf.DUMMYFUNCTION("""COMPUTED_VALUE"""),5.0)</f>
        <v>5</v>
      </c>
      <c r="G101" t="str">
        <f>IFERROR(__xludf.DUMMYFUNCTION("""COMPUTED_VALUE"""),"")</f>
        <v/>
      </c>
      <c r="H101" t="str">
        <f>IFERROR(__xludf.DUMMYFUNCTION("""COMPUTED_VALUE"""),"")</f>
        <v/>
      </c>
      <c r="I101">
        <f>IFERROR(__xludf.DUMMYFUNCTION("""COMPUTED_VALUE"""),5.0)</f>
        <v>5</v>
      </c>
      <c r="J101">
        <f>IFERROR(__xludf.DUMMYFUNCTION("""COMPUTED_VALUE"""),11.0)</f>
        <v>11</v>
      </c>
      <c r="L101" s="250" t="str">
        <f>IFERROR(__xludf.DUMMYFUNCTION("""COMPUTED_VALUE"""),"")</f>
        <v/>
      </c>
      <c r="M101" s="250" t="str">
        <f>IFERROR(__xludf.DUMMYFUNCTION("""COMPUTED_VALUE"""),"")</f>
        <v/>
      </c>
      <c r="N101" s="250">
        <f>IFERROR(__xludf.DUMMYFUNCTION("""COMPUTED_VALUE"""),5809.0)</f>
        <v>5809</v>
      </c>
      <c r="O101" s="250" t="str">
        <f>IFERROR(__xludf.DUMMYFUNCTION("""COMPUTED_VALUE"""),"")</f>
        <v/>
      </c>
      <c r="P101" s="250">
        <f>IFERROR(__xludf.DUMMYFUNCTION("""COMPUTED_VALUE"""),4719.0)</f>
        <v>4719</v>
      </c>
      <c r="Q101" s="250" t="str">
        <f>IFERROR(__xludf.DUMMYFUNCTION("""COMPUTED_VALUE"""),"")</f>
        <v/>
      </c>
      <c r="R101" s="250" t="str">
        <f>IFERROR(__xludf.DUMMYFUNCTION("""COMPUTED_VALUE"""),"")</f>
        <v/>
      </c>
      <c r="U101" s="250">
        <f>IFERROR(__xludf.DUMMYFUNCTION("""COMPUTED_VALUE"""),7349.0)</f>
        <v>7349</v>
      </c>
      <c r="V101" s="250">
        <f>IFERROR(__xludf.DUMMYFUNCTION("""COMPUTED_VALUE"""),6999.0)</f>
        <v>6999</v>
      </c>
      <c r="W101" s="250">
        <f>IFERROR(__xludf.DUMMYFUNCTION("""COMPUTED_VALUE"""),6389.0)</f>
        <v>6389</v>
      </c>
      <c r="X101" t="b">
        <f t="shared" ref="X101:Z101" si="178">ISBLANK(K101)</f>
        <v>1</v>
      </c>
      <c r="Y101" t="b">
        <f t="shared" si="178"/>
        <v>0</v>
      </c>
      <c r="Z101" t="b">
        <f t="shared" si="178"/>
        <v>0</v>
      </c>
      <c r="AA101">
        <f t="shared" ref="AA101:AC101" si="179">IF(X101=FALSE,1,0)</f>
        <v>0</v>
      </c>
      <c r="AB101">
        <f t="shared" si="179"/>
        <v>1</v>
      </c>
      <c r="AC101">
        <f t="shared" si="179"/>
        <v>1</v>
      </c>
      <c r="AD101">
        <f t="shared" si="6"/>
        <v>2</v>
      </c>
      <c r="AE101">
        <f t="shared" si="7"/>
        <v>1</v>
      </c>
      <c r="AF101">
        <f>if(iferror(vlookup($A101,'Description Database'!$E$2:$H$951,3,0),0)=TRUE,1,0)</f>
        <v>0</v>
      </c>
      <c r="AG101">
        <f>if(iferror(vlookup($A101,'Description Database'!$E$2:$H$951,4,0),0)=TRUE,1,0)</f>
        <v>0</v>
      </c>
    </row>
    <row r="102">
      <c r="A102" t="str">
        <f>IFERROR(__xludf.DUMMYFUNCTION("""COMPUTED_VALUE"""),"Apple iPhone 6 Plus (1 GB/16 GB)")</f>
        <v>Apple iPhone 6 Plus (1 GB/16 GB)</v>
      </c>
      <c r="B102" t="str">
        <f>IFERROR(__xludf.DUMMYFUNCTION("""COMPUTED_VALUE"""),"")</f>
        <v/>
      </c>
      <c r="C102" t="str">
        <f>IFERROR(__xludf.DUMMYFUNCTION("""COMPUTED_VALUE"""),"")</f>
        <v/>
      </c>
      <c r="D102" t="str">
        <f>IFERROR(__xludf.DUMMYFUNCTION("""COMPUTED_VALUE"""),"")</f>
        <v/>
      </c>
      <c r="E102">
        <f>IFERROR(__xludf.DUMMYFUNCTION("""COMPUTED_VALUE"""),1.0)</f>
        <v>1</v>
      </c>
      <c r="F102" t="str">
        <f>IFERROR(__xludf.DUMMYFUNCTION("""COMPUTED_VALUE"""),"")</f>
        <v/>
      </c>
      <c r="G102" t="str">
        <f>IFERROR(__xludf.DUMMYFUNCTION("""COMPUTED_VALUE"""),"")</f>
        <v/>
      </c>
      <c r="H102" t="str">
        <f>IFERROR(__xludf.DUMMYFUNCTION("""COMPUTED_VALUE"""),"")</f>
        <v/>
      </c>
      <c r="I102">
        <f>IFERROR(__xludf.DUMMYFUNCTION("""COMPUTED_VALUE"""),1.0)</f>
        <v>1</v>
      </c>
      <c r="J102">
        <f>IFERROR(__xludf.DUMMYFUNCTION("""COMPUTED_VALUE"""),2.0)</f>
        <v>2</v>
      </c>
      <c r="L102" s="250" t="str">
        <f>IFERROR(__xludf.DUMMYFUNCTION("""COMPUTED_VALUE"""),"")</f>
        <v/>
      </c>
      <c r="M102" s="250" t="str">
        <f>IFERROR(__xludf.DUMMYFUNCTION("""COMPUTED_VALUE"""),"")</f>
        <v/>
      </c>
      <c r="N102" s="250" t="str">
        <f>IFERROR(__xludf.DUMMYFUNCTION("""COMPUTED_VALUE"""),"")</f>
        <v/>
      </c>
      <c r="O102" s="250">
        <f>IFERROR(__xludf.DUMMYFUNCTION("""COMPUTED_VALUE"""),6299.0)</f>
        <v>6299</v>
      </c>
      <c r="P102" s="250" t="str">
        <f>IFERROR(__xludf.DUMMYFUNCTION("""COMPUTED_VALUE"""),"")</f>
        <v/>
      </c>
      <c r="Q102" s="250" t="str">
        <f>IFERROR(__xludf.DUMMYFUNCTION("""COMPUTED_VALUE"""),"")</f>
        <v/>
      </c>
      <c r="R102" s="250" t="str">
        <f>IFERROR(__xludf.DUMMYFUNCTION("""COMPUTED_VALUE"""),"")</f>
        <v/>
      </c>
      <c r="U102" s="250">
        <f>IFERROR(__xludf.DUMMYFUNCTION("""COMPUTED_VALUE"""),8829.0)</f>
        <v>8829</v>
      </c>
      <c r="V102" s="250">
        <f>IFERROR(__xludf.DUMMYFUNCTION("""COMPUTED_VALUE"""),8399.0)</f>
        <v>8399</v>
      </c>
      <c r="W102" s="250">
        <f>IFERROR(__xludf.DUMMYFUNCTION("""COMPUTED_VALUE"""),7559.0)</f>
        <v>7559</v>
      </c>
      <c r="X102" t="b">
        <f t="shared" ref="X102:Z102" si="180">ISBLANK(K102)</f>
        <v>1</v>
      </c>
      <c r="Y102" t="b">
        <f t="shared" si="180"/>
        <v>0</v>
      </c>
      <c r="Z102" t="b">
        <f t="shared" si="180"/>
        <v>0</v>
      </c>
      <c r="AA102">
        <f t="shared" ref="AA102:AC102" si="181">IF(X102=FALSE,1,0)</f>
        <v>0</v>
      </c>
      <c r="AB102">
        <f t="shared" si="181"/>
        <v>1</v>
      </c>
      <c r="AC102">
        <f t="shared" si="181"/>
        <v>1</v>
      </c>
      <c r="AD102">
        <f t="shared" si="6"/>
        <v>2</v>
      </c>
      <c r="AE102">
        <f t="shared" si="7"/>
        <v>1</v>
      </c>
      <c r="AF102">
        <f>if(iferror(vlookup($A102,'Description Database'!$E$2:$H$951,3,0),0)=TRUE,1,0)</f>
        <v>0</v>
      </c>
      <c r="AG102">
        <f>if(iferror(vlookup($A102,'Description Database'!$E$2:$H$951,4,0),0)=TRUE,1,0)</f>
        <v>0</v>
      </c>
    </row>
    <row r="103">
      <c r="A103" t="str">
        <f>IFERROR(__xludf.DUMMYFUNCTION("""COMPUTED_VALUE"""),"Xiaomi Mi A2 (6 GB/128 GB)")</f>
        <v>Xiaomi Mi A2 (6 GB/128 GB)</v>
      </c>
      <c r="B103" t="str">
        <f>IFERROR(__xludf.DUMMYFUNCTION("""COMPUTED_VALUE"""),"")</f>
        <v/>
      </c>
      <c r="C103" t="str">
        <f>IFERROR(__xludf.DUMMYFUNCTION("""COMPUTED_VALUE"""),"")</f>
        <v/>
      </c>
      <c r="D103" t="str">
        <f>IFERROR(__xludf.DUMMYFUNCTION("""COMPUTED_VALUE"""),"")</f>
        <v/>
      </c>
      <c r="E103" t="str">
        <f>IFERROR(__xludf.DUMMYFUNCTION("""COMPUTED_VALUE"""),"")</f>
        <v/>
      </c>
      <c r="F103" t="str">
        <f>IFERROR(__xludf.DUMMYFUNCTION("""COMPUTED_VALUE"""),"")</f>
        <v/>
      </c>
      <c r="G103" t="str">
        <f>IFERROR(__xludf.DUMMYFUNCTION("""COMPUTED_VALUE"""),"")</f>
        <v/>
      </c>
      <c r="H103" t="str">
        <f>IFERROR(__xludf.DUMMYFUNCTION("""COMPUTED_VALUE"""),"")</f>
        <v/>
      </c>
      <c r="I103">
        <f>IFERROR(__xludf.DUMMYFUNCTION("""COMPUTED_VALUE"""),1.0)</f>
        <v>1</v>
      </c>
      <c r="J103">
        <f>IFERROR(__xludf.DUMMYFUNCTION("""COMPUTED_VALUE"""),1.0)</f>
        <v>1</v>
      </c>
      <c r="L103" s="250" t="str">
        <f>IFERROR(__xludf.DUMMYFUNCTION("""COMPUTED_VALUE"""),"")</f>
        <v/>
      </c>
      <c r="M103" s="250" t="str">
        <f>IFERROR(__xludf.DUMMYFUNCTION("""COMPUTED_VALUE"""),"")</f>
        <v/>
      </c>
      <c r="N103" s="250" t="str">
        <f>IFERROR(__xludf.DUMMYFUNCTION("""COMPUTED_VALUE"""),"")</f>
        <v/>
      </c>
      <c r="O103" s="250" t="str">
        <f>IFERROR(__xludf.DUMMYFUNCTION("""COMPUTED_VALUE"""),"")</f>
        <v/>
      </c>
      <c r="P103" s="250" t="str">
        <f>IFERROR(__xludf.DUMMYFUNCTION("""COMPUTED_VALUE"""),"")</f>
        <v/>
      </c>
      <c r="Q103" s="250" t="str">
        <f>IFERROR(__xludf.DUMMYFUNCTION("""COMPUTED_VALUE"""),"")</f>
        <v/>
      </c>
      <c r="R103" s="250" t="str">
        <f>IFERROR(__xludf.DUMMYFUNCTION("""COMPUTED_VALUE"""),"")</f>
        <v/>
      </c>
      <c r="U103" s="250">
        <f>IFERROR(__xludf.DUMMYFUNCTION("""COMPUTED_VALUE"""),7699.0)</f>
        <v>7699</v>
      </c>
      <c r="V103" s="250">
        <f>IFERROR(__xludf.DUMMYFUNCTION("""COMPUTED_VALUE"""),7329.0)</f>
        <v>7329</v>
      </c>
      <c r="W103" s="250">
        <f>IFERROR(__xludf.DUMMYFUNCTION("""COMPUTED_VALUE"""),6699.0)</f>
        <v>6699</v>
      </c>
      <c r="X103" t="b">
        <f t="shared" ref="X103:Z103" si="182">ISBLANK(K103)</f>
        <v>1</v>
      </c>
      <c r="Y103" t="b">
        <f t="shared" si="182"/>
        <v>0</v>
      </c>
      <c r="Z103" t="b">
        <f t="shared" si="182"/>
        <v>0</v>
      </c>
      <c r="AA103">
        <f t="shared" ref="AA103:AC103" si="183">IF(X103=FALSE,1,0)</f>
        <v>0</v>
      </c>
      <c r="AB103">
        <f t="shared" si="183"/>
        <v>1</v>
      </c>
      <c r="AC103">
        <f t="shared" si="183"/>
        <v>1</v>
      </c>
      <c r="AD103">
        <f t="shared" si="6"/>
        <v>2</v>
      </c>
      <c r="AE103">
        <f t="shared" si="7"/>
        <v>1</v>
      </c>
      <c r="AF103">
        <f>if(iferror(vlookup($A103,'Description Database'!$E$2:$H$951,3,0),0)=TRUE,1,0)</f>
        <v>0</v>
      </c>
      <c r="AG103">
        <f>if(iferror(vlookup($A103,'Description Database'!$E$2:$H$951,4,0),0)=TRUE,1,0)</f>
        <v>0</v>
      </c>
    </row>
    <row r="104">
      <c r="A104" t="str">
        <f>IFERROR(__xludf.DUMMYFUNCTION("""COMPUTED_VALUE"""),"Samsung Galaxy A70 (6 GB/128 GB)")</f>
        <v>Samsung Galaxy A70 (6 GB/128 GB)</v>
      </c>
      <c r="B104" t="str">
        <f>IFERROR(__xludf.DUMMYFUNCTION("""COMPUTED_VALUE"""),"")</f>
        <v/>
      </c>
      <c r="C104" t="str">
        <f>IFERROR(__xludf.DUMMYFUNCTION("""COMPUTED_VALUE"""),"")</f>
        <v/>
      </c>
      <c r="D104" t="str">
        <f>IFERROR(__xludf.DUMMYFUNCTION("""COMPUTED_VALUE"""),"")</f>
        <v/>
      </c>
      <c r="E104" t="str">
        <f>IFERROR(__xludf.DUMMYFUNCTION("""COMPUTED_VALUE"""),"")</f>
        <v/>
      </c>
      <c r="F104">
        <f>IFERROR(__xludf.DUMMYFUNCTION("""COMPUTED_VALUE"""),1.0)</f>
        <v>1</v>
      </c>
      <c r="G104" t="str">
        <f>IFERROR(__xludf.DUMMYFUNCTION("""COMPUTED_VALUE"""),"")</f>
        <v/>
      </c>
      <c r="H104" t="str">
        <f>IFERROR(__xludf.DUMMYFUNCTION("""COMPUTED_VALUE"""),"")</f>
        <v/>
      </c>
      <c r="I104">
        <f>IFERROR(__xludf.DUMMYFUNCTION("""COMPUTED_VALUE"""),1.0)</f>
        <v>1</v>
      </c>
      <c r="J104">
        <f>IFERROR(__xludf.DUMMYFUNCTION("""COMPUTED_VALUE"""),2.0)</f>
        <v>2</v>
      </c>
      <c r="L104" s="250" t="str">
        <f>IFERROR(__xludf.DUMMYFUNCTION("""COMPUTED_VALUE"""),"")</f>
        <v/>
      </c>
      <c r="M104" s="250" t="str">
        <f>IFERROR(__xludf.DUMMYFUNCTION("""COMPUTED_VALUE"""),"")</f>
        <v/>
      </c>
      <c r="N104" s="250" t="str">
        <f>IFERROR(__xludf.DUMMYFUNCTION("""COMPUTED_VALUE"""),"")</f>
        <v/>
      </c>
      <c r="O104" s="250" t="str">
        <f>IFERROR(__xludf.DUMMYFUNCTION("""COMPUTED_VALUE"""),"")</f>
        <v/>
      </c>
      <c r="P104" s="250">
        <f>IFERROR(__xludf.DUMMYFUNCTION("""COMPUTED_VALUE"""),6809.0)</f>
        <v>6809</v>
      </c>
      <c r="Q104" s="250" t="str">
        <f>IFERROR(__xludf.DUMMYFUNCTION("""COMPUTED_VALUE"""),"")</f>
        <v/>
      </c>
      <c r="R104" s="250" t="str">
        <f>IFERROR(__xludf.DUMMYFUNCTION("""COMPUTED_VALUE"""),"")</f>
        <v/>
      </c>
      <c r="U104" s="250">
        <f>IFERROR(__xludf.DUMMYFUNCTION("""COMPUTED_VALUE"""),10499.0)</f>
        <v>10499</v>
      </c>
      <c r="V104" s="250">
        <f>IFERROR(__xludf.DUMMYFUNCTION("""COMPUTED_VALUE"""),9989.0)</f>
        <v>9989</v>
      </c>
      <c r="W104" s="250">
        <f>IFERROR(__xludf.DUMMYFUNCTION("""COMPUTED_VALUE"""),8999.0)</f>
        <v>8999</v>
      </c>
      <c r="X104" t="b">
        <f t="shared" ref="X104:Z104" si="184">ISBLANK(K104)</f>
        <v>1</v>
      </c>
      <c r="Y104" t="b">
        <f t="shared" si="184"/>
        <v>0</v>
      </c>
      <c r="Z104" t="b">
        <f t="shared" si="184"/>
        <v>0</v>
      </c>
      <c r="AA104">
        <f t="shared" ref="AA104:AC104" si="185">IF(X104=FALSE,1,0)</f>
        <v>0</v>
      </c>
      <c r="AB104">
        <f t="shared" si="185"/>
        <v>1</v>
      </c>
      <c r="AC104">
        <f t="shared" si="185"/>
        <v>1</v>
      </c>
      <c r="AD104">
        <f t="shared" si="6"/>
        <v>2</v>
      </c>
      <c r="AE104">
        <f t="shared" si="7"/>
        <v>1</v>
      </c>
      <c r="AF104">
        <f>if(iferror(vlookup($A104,'Description Database'!$E$2:$H$951,3,0),0)=TRUE,1,0)</f>
        <v>0</v>
      </c>
      <c r="AG104">
        <f>if(iferror(vlookup($A104,'Description Database'!$E$2:$H$951,4,0),0)=TRUE,1,0)</f>
        <v>1</v>
      </c>
    </row>
    <row r="105">
      <c r="A105" t="str">
        <f>IFERROR(__xludf.DUMMYFUNCTION("""COMPUTED_VALUE"""),"Apple iPhone 8 (2 GB/64 GB)")</f>
        <v>Apple iPhone 8 (2 GB/64 GB)</v>
      </c>
      <c r="B105" t="str">
        <f>IFERROR(__xludf.DUMMYFUNCTION("""COMPUTED_VALUE"""),"")</f>
        <v/>
      </c>
      <c r="C105" t="str">
        <f>IFERROR(__xludf.DUMMYFUNCTION("""COMPUTED_VALUE"""),"")</f>
        <v/>
      </c>
      <c r="D105">
        <f>IFERROR(__xludf.DUMMYFUNCTION("""COMPUTED_VALUE"""),1.0)</f>
        <v>1</v>
      </c>
      <c r="E105" t="str">
        <f>IFERROR(__xludf.DUMMYFUNCTION("""COMPUTED_VALUE"""),"")</f>
        <v/>
      </c>
      <c r="F105">
        <f>IFERROR(__xludf.DUMMYFUNCTION("""COMPUTED_VALUE"""),1.0)</f>
        <v>1</v>
      </c>
      <c r="G105" t="str">
        <f>IFERROR(__xludf.DUMMYFUNCTION("""COMPUTED_VALUE"""),"")</f>
        <v/>
      </c>
      <c r="H105" t="str">
        <f>IFERROR(__xludf.DUMMYFUNCTION("""COMPUTED_VALUE"""),"")</f>
        <v/>
      </c>
      <c r="I105" t="str">
        <f>IFERROR(__xludf.DUMMYFUNCTION("""COMPUTED_VALUE"""),"")</f>
        <v/>
      </c>
      <c r="J105">
        <f>IFERROR(__xludf.DUMMYFUNCTION("""COMPUTED_VALUE"""),2.0)</f>
        <v>2</v>
      </c>
      <c r="L105" s="250" t="str">
        <f>IFERROR(__xludf.DUMMYFUNCTION("""COMPUTED_VALUE"""),"")</f>
        <v/>
      </c>
      <c r="M105" s="250" t="str">
        <f>IFERROR(__xludf.DUMMYFUNCTION("""COMPUTED_VALUE"""),"")</f>
        <v/>
      </c>
      <c r="N105" s="250">
        <f>IFERROR(__xludf.DUMMYFUNCTION("""COMPUTED_VALUE"""),14079.0)</f>
        <v>14079</v>
      </c>
      <c r="O105" s="250" t="str">
        <f>IFERROR(__xludf.DUMMYFUNCTION("""COMPUTED_VALUE"""),"")</f>
        <v/>
      </c>
      <c r="P105" s="250">
        <f>IFERROR(__xludf.DUMMYFUNCTION("""COMPUTED_VALUE"""),11749.0)</f>
        <v>11749</v>
      </c>
      <c r="Q105" s="250" t="str">
        <f>IFERROR(__xludf.DUMMYFUNCTION("""COMPUTED_VALUE"""),"")</f>
        <v/>
      </c>
      <c r="R105" s="250" t="str">
        <f>IFERROR(__xludf.DUMMYFUNCTION("""COMPUTED_VALUE"""),"")</f>
        <v/>
      </c>
      <c r="U105" s="250">
        <f>IFERROR(__xludf.DUMMYFUNCTION("""COMPUTED_VALUE"""),18089.0)</f>
        <v>18089</v>
      </c>
      <c r="V105" s="250">
        <f>IFERROR(__xludf.DUMMYFUNCTION("""COMPUTED_VALUE"""),17219.0)</f>
        <v>17219</v>
      </c>
      <c r="W105" s="250">
        <f>IFERROR(__xludf.DUMMYFUNCTION("""COMPUTED_VALUE"""),15489.0)</f>
        <v>15489</v>
      </c>
      <c r="X105" t="b">
        <f t="shared" ref="X105:Z105" si="186">ISBLANK(K105)</f>
        <v>1</v>
      </c>
      <c r="Y105" t="b">
        <f t="shared" si="186"/>
        <v>0</v>
      </c>
      <c r="Z105" t="b">
        <f t="shared" si="186"/>
        <v>0</v>
      </c>
      <c r="AA105">
        <f t="shared" ref="AA105:AC105" si="187">IF(X105=FALSE,1,0)</f>
        <v>0</v>
      </c>
      <c r="AB105">
        <f t="shared" si="187"/>
        <v>1</v>
      </c>
      <c r="AC105">
        <f t="shared" si="187"/>
        <v>1</v>
      </c>
      <c r="AD105">
        <f t="shared" si="6"/>
        <v>2</v>
      </c>
      <c r="AE105">
        <f t="shared" si="7"/>
        <v>1</v>
      </c>
      <c r="AF105">
        <f>if(iferror(vlookup($A105,'Description Database'!$E$2:$H$951,3,0),0)=TRUE,1,0)</f>
        <v>0</v>
      </c>
      <c r="AG105">
        <f>if(iferror(vlookup($A105,'Description Database'!$E$2:$H$951,4,0),0)=TRUE,1,0)</f>
        <v>0</v>
      </c>
    </row>
    <row r="106">
      <c r="A106" t="str">
        <f>IFERROR(__xludf.DUMMYFUNCTION("""COMPUTED_VALUE"""),"Samsung Galaxy S9 Plus (6 GB/128 GB)")</f>
        <v>Samsung Galaxy S9 Plus (6 GB/128 GB)</v>
      </c>
      <c r="B106" t="str">
        <f>IFERROR(__xludf.DUMMYFUNCTION("""COMPUTED_VALUE"""),"")</f>
        <v/>
      </c>
      <c r="C106" t="str">
        <f>IFERROR(__xludf.DUMMYFUNCTION("""COMPUTED_VALUE"""),"")</f>
        <v/>
      </c>
      <c r="D106" t="str">
        <f>IFERROR(__xludf.DUMMYFUNCTION("""COMPUTED_VALUE"""),"")</f>
        <v/>
      </c>
      <c r="E106" t="str">
        <f>IFERROR(__xludf.DUMMYFUNCTION("""COMPUTED_VALUE"""),"")</f>
        <v/>
      </c>
      <c r="F106">
        <f>IFERROR(__xludf.DUMMYFUNCTION("""COMPUTED_VALUE"""),1.0)</f>
        <v>1</v>
      </c>
      <c r="G106" t="str">
        <f>IFERROR(__xludf.DUMMYFUNCTION("""COMPUTED_VALUE"""),"")</f>
        <v/>
      </c>
      <c r="H106" t="str">
        <f>IFERROR(__xludf.DUMMYFUNCTION("""COMPUTED_VALUE"""),"")</f>
        <v/>
      </c>
      <c r="I106" t="str">
        <f>IFERROR(__xludf.DUMMYFUNCTION("""COMPUTED_VALUE"""),"")</f>
        <v/>
      </c>
      <c r="J106">
        <f>IFERROR(__xludf.DUMMYFUNCTION("""COMPUTED_VALUE"""),1.0)</f>
        <v>1</v>
      </c>
      <c r="L106" s="250" t="str">
        <f>IFERROR(__xludf.DUMMYFUNCTION("""COMPUTED_VALUE"""),"")</f>
        <v/>
      </c>
      <c r="M106" s="250" t="str">
        <f>IFERROR(__xludf.DUMMYFUNCTION("""COMPUTED_VALUE"""),"")</f>
        <v/>
      </c>
      <c r="N106" s="250" t="str">
        <f>IFERROR(__xludf.DUMMYFUNCTION("""COMPUTED_VALUE"""),"")</f>
        <v/>
      </c>
      <c r="O106" s="250" t="str">
        <f>IFERROR(__xludf.DUMMYFUNCTION("""COMPUTED_VALUE"""),"")</f>
        <v/>
      </c>
      <c r="P106" s="250">
        <f>IFERROR(__xludf.DUMMYFUNCTION("""COMPUTED_VALUE"""),11289.0)</f>
        <v>11289</v>
      </c>
      <c r="Q106" s="250" t="str">
        <f>IFERROR(__xludf.DUMMYFUNCTION("""COMPUTED_VALUE"""),"")</f>
        <v/>
      </c>
      <c r="R106" s="250" t="str">
        <f>IFERROR(__xludf.DUMMYFUNCTION("""COMPUTED_VALUE"""),"")</f>
        <v/>
      </c>
      <c r="U106" s="250">
        <f>IFERROR(__xludf.DUMMYFUNCTION("""COMPUTED_VALUE"""),17379.0)</f>
        <v>17379</v>
      </c>
      <c r="V106" s="250">
        <f>IFERROR(__xludf.DUMMYFUNCTION("""COMPUTED_VALUE"""),16549.0)</f>
        <v>16549</v>
      </c>
      <c r="W106" s="250">
        <f>IFERROR(__xludf.DUMMYFUNCTION("""COMPUTED_VALUE"""),14899.0)</f>
        <v>14899</v>
      </c>
      <c r="X106" t="b">
        <f t="shared" ref="X106:Z106" si="188">ISBLANK(K106)</f>
        <v>1</v>
      </c>
      <c r="Y106" t="b">
        <f t="shared" si="188"/>
        <v>0</v>
      </c>
      <c r="Z106" t="b">
        <f t="shared" si="188"/>
        <v>0</v>
      </c>
      <c r="AA106">
        <f t="shared" ref="AA106:AC106" si="189">IF(X106=FALSE,1,0)</f>
        <v>0</v>
      </c>
      <c r="AB106">
        <f t="shared" si="189"/>
        <v>1</v>
      </c>
      <c r="AC106">
        <f t="shared" si="189"/>
        <v>1</v>
      </c>
      <c r="AD106">
        <f t="shared" si="6"/>
        <v>2</v>
      </c>
      <c r="AE106">
        <f t="shared" si="7"/>
        <v>1</v>
      </c>
      <c r="AF106">
        <f>if(iferror(vlookup($A106,'Description Database'!$E$2:$H$951,3,0),0)=TRUE,1,0)</f>
        <v>0</v>
      </c>
      <c r="AG106">
        <f>if(iferror(vlookup($A106,'Description Database'!$E$2:$H$951,4,0),0)=TRUE,1,0)</f>
        <v>1</v>
      </c>
    </row>
    <row r="107">
      <c r="A107" t="str">
        <f>IFERROR(__xludf.DUMMYFUNCTION("""COMPUTED_VALUE"""),"Apple iPhone XR (3 GB/64 GB)")</f>
        <v>Apple iPhone XR (3 GB/64 GB)</v>
      </c>
      <c r="B107" t="str">
        <f>IFERROR(__xludf.DUMMYFUNCTION("""COMPUTED_VALUE"""),"")</f>
        <v/>
      </c>
      <c r="C107" t="str">
        <f>IFERROR(__xludf.DUMMYFUNCTION("""COMPUTED_VALUE"""),"")</f>
        <v/>
      </c>
      <c r="D107" t="str">
        <f>IFERROR(__xludf.DUMMYFUNCTION("""COMPUTED_VALUE"""),"")</f>
        <v/>
      </c>
      <c r="E107" t="str">
        <f>IFERROR(__xludf.DUMMYFUNCTION("""COMPUTED_VALUE"""),"")</f>
        <v/>
      </c>
      <c r="F107" t="str">
        <f>IFERROR(__xludf.DUMMYFUNCTION("""COMPUTED_VALUE"""),"")</f>
        <v/>
      </c>
      <c r="G107" t="str">
        <f>IFERROR(__xludf.DUMMYFUNCTION("""COMPUTED_VALUE"""),"")</f>
        <v/>
      </c>
      <c r="H107" t="str">
        <f>IFERROR(__xludf.DUMMYFUNCTION("""COMPUTED_VALUE"""),"")</f>
        <v/>
      </c>
      <c r="I107" t="str">
        <f>IFERROR(__xludf.DUMMYFUNCTION("""COMPUTED_VALUE"""),"")</f>
        <v/>
      </c>
      <c r="J107">
        <f>IFERROR(__xludf.DUMMYFUNCTION("""COMPUTED_VALUE"""),0.0)</f>
        <v>0</v>
      </c>
      <c r="L107" s="250" t="str">
        <f>IFERROR(__xludf.DUMMYFUNCTION("""COMPUTED_VALUE"""),"")</f>
        <v/>
      </c>
      <c r="M107" s="250" t="str">
        <f>IFERROR(__xludf.DUMMYFUNCTION("""COMPUTED_VALUE"""),"")</f>
        <v/>
      </c>
      <c r="N107" s="250" t="str">
        <f>IFERROR(__xludf.DUMMYFUNCTION("""COMPUTED_VALUE"""),"")</f>
        <v/>
      </c>
      <c r="O107" s="250" t="str">
        <f>IFERROR(__xludf.DUMMYFUNCTION("""COMPUTED_VALUE"""),"")</f>
        <v/>
      </c>
      <c r="P107" s="250" t="str">
        <f>IFERROR(__xludf.DUMMYFUNCTION("""COMPUTED_VALUE"""),"")</f>
        <v/>
      </c>
      <c r="Q107" s="250" t="str">
        <f>IFERROR(__xludf.DUMMYFUNCTION("""COMPUTED_VALUE"""),"")</f>
        <v/>
      </c>
      <c r="R107" s="250" t="str">
        <f>IFERROR(__xludf.DUMMYFUNCTION("""COMPUTED_VALUE"""),"")</f>
        <v/>
      </c>
      <c r="U107" s="250">
        <f>IFERROR(__xludf.DUMMYFUNCTION("""COMPUTED_VALUE"""),27419.0)</f>
        <v>27419</v>
      </c>
      <c r="V107" s="250">
        <f>IFERROR(__xludf.DUMMYFUNCTION("""COMPUTED_VALUE"""),26109.0)</f>
        <v>26109</v>
      </c>
      <c r="W107" s="250">
        <f>IFERROR(__xludf.DUMMYFUNCTION("""COMPUTED_VALUE"""),23849.0)</f>
        <v>23849</v>
      </c>
      <c r="X107" t="b">
        <f t="shared" ref="X107:Z107" si="190">ISBLANK(K107)</f>
        <v>1</v>
      </c>
      <c r="Y107" t="b">
        <f t="shared" si="190"/>
        <v>0</v>
      </c>
      <c r="Z107" t="b">
        <f t="shared" si="190"/>
        <v>0</v>
      </c>
      <c r="AA107">
        <f t="shared" ref="AA107:AC107" si="191">IF(X107=FALSE,1,0)</f>
        <v>0</v>
      </c>
      <c r="AB107">
        <f t="shared" si="191"/>
        <v>1</v>
      </c>
      <c r="AC107">
        <f t="shared" si="191"/>
        <v>1</v>
      </c>
      <c r="AD107">
        <f t="shared" si="6"/>
        <v>2</v>
      </c>
      <c r="AE107">
        <f t="shared" si="7"/>
        <v>1</v>
      </c>
      <c r="AF107">
        <f>if(iferror(vlookup($A107,'Description Database'!$E$2:$H$951,3,0),0)=TRUE,1,0)</f>
        <v>0</v>
      </c>
      <c r="AG107">
        <f>if(iferror(vlookup($A107,'Description Database'!$E$2:$H$951,4,0),0)=TRUE,1,0)</f>
        <v>0</v>
      </c>
    </row>
    <row r="108">
      <c r="A108" t="str">
        <f>IFERROR(__xludf.DUMMYFUNCTION("""COMPUTED_VALUE"""),"OnePlus 7 Pro (8 GB/256 GB)")</f>
        <v>OnePlus 7 Pro (8 GB/256 GB)</v>
      </c>
      <c r="B108" t="str">
        <f>IFERROR(__xludf.DUMMYFUNCTION("""COMPUTED_VALUE"""),"")</f>
        <v/>
      </c>
      <c r="C108" t="str">
        <f>IFERROR(__xludf.DUMMYFUNCTION("""COMPUTED_VALUE"""),"")</f>
        <v/>
      </c>
      <c r="D108" t="str">
        <f>IFERROR(__xludf.DUMMYFUNCTION("""COMPUTED_VALUE"""),"")</f>
        <v/>
      </c>
      <c r="E108">
        <f>IFERROR(__xludf.DUMMYFUNCTION("""COMPUTED_VALUE"""),2.0)</f>
        <v>2</v>
      </c>
      <c r="F108" t="str">
        <f>IFERROR(__xludf.DUMMYFUNCTION("""COMPUTED_VALUE"""),"")</f>
        <v/>
      </c>
      <c r="G108">
        <f>IFERROR(__xludf.DUMMYFUNCTION("""COMPUTED_VALUE"""),1.0)</f>
        <v>1</v>
      </c>
      <c r="H108" t="str">
        <f>IFERROR(__xludf.DUMMYFUNCTION("""COMPUTED_VALUE"""),"")</f>
        <v/>
      </c>
      <c r="I108" t="str">
        <f>IFERROR(__xludf.DUMMYFUNCTION("""COMPUTED_VALUE"""),"")</f>
        <v/>
      </c>
      <c r="J108">
        <f>IFERROR(__xludf.DUMMYFUNCTION("""COMPUTED_VALUE"""),3.0)</f>
        <v>3</v>
      </c>
      <c r="L108" s="250" t="str">
        <f>IFERROR(__xludf.DUMMYFUNCTION("""COMPUTED_VALUE"""),"")</f>
        <v/>
      </c>
      <c r="M108" s="250" t="str">
        <f>IFERROR(__xludf.DUMMYFUNCTION("""COMPUTED_VALUE"""),"")</f>
        <v/>
      </c>
      <c r="N108" s="250" t="str">
        <f>IFERROR(__xludf.DUMMYFUNCTION("""COMPUTED_VALUE"""),"")</f>
        <v/>
      </c>
      <c r="O108" s="250">
        <f>IFERROR(__xludf.DUMMYFUNCTION("""COMPUTED_VALUE"""),20354.0)</f>
        <v>20354</v>
      </c>
      <c r="P108" s="250" t="str">
        <f>IFERROR(__xludf.DUMMYFUNCTION("""COMPUTED_VALUE"""),"")</f>
        <v/>
      </c>
      <c r="Q108" s="250">
        <f>IFERROR(__xludf.DUMMYFUNCTION("""COMPUTED_VALUE"""),14169.0)</f>
        <v>14169</v>
      </c>
      <c r="R108" s="250" t="str">
        <f>IFERROR(__xludf.DUMMYFUNCTION("""COMPUTED_VALUE"""),"")</f>
        <v/>
      </c>
      <c r="U108" s="250">
        <f>IFERROR(__xludf.DUMMYFUNCTION("""COMPUTED_VALUE"""),28519.0)</f>
        <v>28519</v>
      </c>
      <c r="V108" s="250">
        <f>IFERROR(__xludf.DUMMYFUNCTION("""COMPUTED_VALUE"""),27149.0)</f>
        <v>27149</v>
      </c>
      <c r="W108" s="250">
        <f>IFERROR(__xludf.DUMMYFUNCTION("""COMPUTED_VALUE"""),24429.0)</f>
        <v>24429</v>
      </c>
      <c r="X108" t="b">
        <f t="shared" ref="X108:Z108" si="192">ISBLANK(K108)</f>
        <v>1</v>
      </c>
      <c r="Y108" t="b">
        <f t="shared" si="192"/>
        <v>0</v>
      </c>
      <c r="Z108" t="b">
        <f t="shared" si="192"/>
        <v>0</v>
      </c>
      <c r="AA108">
        <f t="shared" ref="AA108:AC108" si="193">IF(X108=FALSE,1,0)</f>
        <v>0</v>
      </c>
      <c r="AB108">
        <f t="shared" si="193"/>
        <v>1</v>
      </c>
      <c r="AC108">
        <f t="shared" si="193"/>
        <v>1</v>
      </c>
      <c r="AD108">
        <f t="shared" si="6"/>
        <v>2</v>
      </c>
      <c r="AE108">
        <f t="shared" si="7"/>
        <v>1</v>
      </c>
      <c r="AF108">
        <f>if(iferror(vlookup($A108,'Description Database'!$E$2:$H$951,3,0),0)=TRUE,1,0)</f>
        <v>0</v>
      </c>
      <c r="AG108">
        <f>if(iferror(vlookup($A108,'Description Database'!$E$2:$H$951,4,0),0)=TRUE,1,0)</f>
        <v>0</v>
      </c>
    </row>
    <row r="109">
      <c r="A109" t="str">
        <f>IFERROR(__xludf.DUMMYFUNCTION("""COMPUTED_VALUE"""),"Oppo A71 (3 GB/16 GB)")</f>
        <v>Oppo A71 (3 GB/16 GB)</v>
      </c>
      <c r="B109" t="str">
        <f>IFERROR(__xludf.DUMMYFUNCTION("""COMPUTED_VALUE"""),"")</f>
        <v/>
      </c>
      <c r="C109" t="str">
        <f>IFERROR(__xludf.DUMMYFUNCTION("""COMPUTED_VALUE"""),"")</f>
        <v/>
      </c>
      <c r="D109" t="str">
        <f>IFERROR(__xludf.DUMMYFUNCTION("""COMPUTED_VALUE"""),"")</f>
        <v/>
      </c>
      <c r="E109" t="str">
        <f>IFERROR(__xludf.DUMMYFUNCTION("""COMPUTED_VALUE"""),"")</f>
        <v/>
      </c>
      <c r="F109" t="str">
        <f>IFERROR(__xludf.DUMMYFUNCTION("""COMPUTED_VALUE"""),"")</f>
        <v/>
      </c>
      <c r="G109" t="str">
        <f>IFERROR(__xludf.DUMMYFUNCTION("""COMPUTED_VALUE"""),"")</f>
        <v/>
      </c>
      <c r="H109" t="str">
        <f>IFERROR(__xludf.DUMMYFUNCTION("""COMPUTED_VALUE"""),"")</f>
        <v/>
      </c>
      <c r="I109">
        <f>IFERROR(__xludf.DUMMYFUNCTION("""COMPUTED_VALUE"""),5.0)</f>
        <v>5</v>
      </c>
      <c r="J109">
        <f>IFERROR(__xludf.DUMMYFUNCTION("""COMPUTED_VALUE"""),5.0)</f>
        <v>5</v>
      </c>
      <c r="L109" s="250" t="str">
        <f>IFERROR(__xludf.DUMMYFUNCTION("""COMPUTED_VALUE"""),"")</f>
        <v/>
      </c>
      <c r="M109" s="250" t="str">
        <f>IFERROR(__xludf.DUMMYFUNCTION("""COMPUTED_VALUE"""),"")</f>
        <v/>
      </c>
      <c r="N109" s="250" t="str">
        <f>IFERROR(__xludf.DUMMYFUNCTION("""COMPUTED_VALUE"""),"")</f>
        <v/>
      </c>
      <c r="O109" s="250" t="str">
        <f>IFERROR(__xludf.DUMMYFUNCTION("""COMPUTED_VALUE"""),"")</f>
        <v/>
      </c>
      <c r="P109" s="250" t="str">
        <f>IFERROR(__xludf.DUMMYFUNCTION("""COMPUTED_VALUE"""),"")</f>
        <v/>
      </c>
      <c r="Q109" s="250" t="str">
        <f>IFERROR(__xludf.DUMMYFUNCTION("""COMPUTED_VALUE"""),"")</f>
        <v/>
      </c>
      <c r="R109" s="250" t="str">
        <f>IFERROR(__xludf.DUMMYFUNCTION("""COMPUTED_VALUE"""),"")</f>
        <v/>
      </c>
      <c r="U109" s="250">
        <f>IFERROR(__xludf.DUMMYFUNCTION("""COMPUTED_VALUE"""),4819.0)</f>
        <v>4819</v>
      </c>
      <c r="V109" s="250">
        <f>IFERROR(__xludf.DUMMYFUNCTION("""COMPUTED_VALUE"""),4589.0)</f>
        <v>4589</v>
      </c>
      <c r="W109" s="250">
        <f>IFERROR(__xludf.DUMMYFUNCTION("""COMPUTED_VALUE"""),4129.0)</f>
        <v>4129</v>
      </c>
      <c r="X109" t="b">
        <f t="shared" ref="X109:Z109" si="194">ISBLANK(K109)</f>
        <v>1</v>
      </c>
      <c r="Y109" t="b">
        <f t="shared" si="194"/>
        <v>0</v>
      </c>
      <c r="Z109" t="b">
        <f t="shared" si="194"/>
        <v>0</v>
      </c>
      <c r="AA109">
        <f t="shared" ref="AA109:AC109" si="195">IF(X109=FALSE,1,0)</f>
        <v>0</v>
      </c>
      <c r="AB109">
        <f t="shared" si="195"/>
        <v>1</v>
      </c>
      <c r="AC109">
        <f t="shared" si="195"/>
        <v>1</v>
      </c>
      <c r="AD109">
        <f t="shared" si="6"/>
        <v>2</v>
      </c>
      <c r="AE109">
        <f t="shared" si="7"/>
        <v>1</v>
      </c>
      <c r="AF109">
        <f>if(iferror(vlookup($A109,'Description Database'!$E$2:$H$951,3,0),0)=TRUE,1,0)</f>
        <v>0</v>
      </c>
      <c r="AG109">
        <f>if(iferror(vlookup($A109,'Description Database'!$E$2:$H$951,4,0),0)=TRUE,1,0)</f>
        <v>0</v>
      </c>
    </row>
    <row r="110">
      <c r="A110" t="str">
        <f>IFERROR(__xludf.DUMMYFUNCTION("""COMPUTED_VALUE"""),"Oppo A83 (4 GB/64 GB)")</f>
        <v>Oppo A83 (4 GB/64 GB)</v>
      </c>
      <c r="B110" t="str">
        <f>IFERROR(__xludf.DUMMYFUNCTION("""COMPUTED_VALUE"""),"")</f>
        <v/>
      </c>
      <c r="C110" t="str">
        <f>IFERROR(__xludf.DUMMYFUNCTION("""COMPUTED_VALUE"""),"")</f>
        <v/>
      </c>
      <c r="D110" t="str">
        <f>IFERROR(__xludf.DUMMYFUNCTION("""COMPUTED_VALUE"""),"")</f>
        <v/>
      </c>
      <c r="E110" t="str">
        <f>IFERROR(__xludf.DUMMYFUNCTION("""COMPUTED_VALUE"""),"")</f>
        <v/>
      </c>
      <c r="F110" t="str">
        <f>IFERROR(__xludf.DUMMYFUNCTION("""COMPUTED_VALUE"""),"")</f>
        <v/>
      </c>
      <c r="G110" t="str">
        <f>IFERROR(__xludf.DUMMYFUNCTION("""COMPUTED_VALUE"""),"")</f>
        <v/>
      </c>
      <c r="H110" t="str">
        <f>IFERROR(__xludf.DUMMYFUNCTION("""COMPUTED_VALUE"""),"")</f>
        <v/>
      </c>
      <c r="I110" t="str">
        <f>IFERROR(__xludf.DUMMYFUNCTION("""COMPUTED_VALUE"""),"")</f>
        <v/>
      </c>
      <c r="J110">
        <f>IFERROR(__xludf.DUMMYFUNCTION("""COMPUTED_VALUE"""),0.0)</f>
        <v>0</v>
      </c>
      <c r="L110" s="250" t="str">
        <f>IFERROR(__xludf.DUMMYFUNCTION("""COMPUTED_VALUE"""),"")</f>
        <v/>
      </c>
      <c r="M110" s="250" t="str">
        <f>IFERROR(__xludf.DUMMYFUNCTION("""COMPUTED_VALUE"""),"")</f>
        <v/>
      </c>
      <c r="N110" s="250" t="str">
        <f>IFERROR(__xludf.DUMMYFUNCTION("""COMPUTED_VALUE"""),"")</f>
        <v/>
      </c>
      <c r="O110" s="250" t="str">
        <f>IFERROR(__xludf.DUMMYFUNCTION("""COMPUTED_VALUE"""),"")</f>
        <v/>
      </c>
      <c r="P110" s="250" t="str">
        <f>IFERROR(__xludf.DUMMYFUNCTION("""COMPUTED_VALUE"""),"")</f>
        <v/>
      </c>
      <c r="Q110" s="250" t="str">
        <f>IFERROR(__xludf.DUMMYFUNCTION("""COMPUTED_VALUE"""),"")</f>
        <v/>
      </c>
      <c r="R110" s="250" t="str">
        <f>IFERROR(__xludf.DUMMYFUNCTION("""COMPUTED_VALUE"""),"")</f>
        <v/>
      </c>
      <c r="U110" s="250">
        <f>IFERROR(__xludf.DUMMYFUNCTION("""COMPUTED_VALUE"""),6479.0)</f>
        <v>6479</v>
      </c>
      <c r="V110" s="250">
        <f>IFERROR(__xludf.DUMMYFUNCTION("""COMPUTED_VALUE"""),6169.0)</f>
        <v>6169</v>
      </c>
      <c r="W110" s="250">
        <f>IFERROR(__xludf.DUMMYFUNCTION("""COMPUTED_VALUE"""),5559.0)</f>
        <v>5559</v>
      </c>
      <c r="X110" t="b">
        <f t="shared" ref="X110:Z110" si="196">ISBLANK(K110)</f>
        <v>1</v>
      </c>
      <c r="Y110" t="b">
        <f t="shared" si="196"/>
        <v>0</v>
      </c>
      <c r="Z110" t="b">
        <f t="shared" si="196"/>
        <v>0</v>
      </c>
      <c r="AA110">
        <f t="shared" ref="AA110:AC110" si="197">IF(X110=FALSE,1,0)</f>
        <v>0</v>
      </c>
      <c r="AB110">
        <f t="shared" si="197"/>
        <v>1</v>
      </c>
      <c r="AC110">
        <f t="shared" si="197"/>
        <v>1</v>
      </c>
      <c r="AD110">
        <f t="shared" si="6"/>
        <v>2</v>
      </c>
      <c r="AE110">
        <f t="shared" si="7"/>
        <v>1</v>
      </c>
      <c r="AF110">
        <f>if(iferror(vlookup($A110,'Description Database'!$E$2:$H$951,3,0),0)=TRUE,1,0)</f>
        <v>0</v>
      </c>
      <c r="AG110">
        <f>if(iferror(vlookup($A110,'Description Database'!$E$2:$H$951,4,0),0)=TRUE,1,0)</f>
        <v>0</v>
      </c>
    </row>
    <row r="111">
      <c r="A111" t="str">
        <f>IFERROR(__xludf.DUMMYFUNCTION("""COMPUTED_VALUE"""),"Oppo F9 Pro (6 GB/64 GB)")</f>
        <v>Oppo F9 Pro (6 GB/64 GB)</v>
      </c>
      <c r="B111" t="str">
        <f>IFERROR(__xludf.DUMMYFUNCTION("""COMPUTED_VALUE"""),"")</f>
        <v/>
      </c>
      <c r="C111" t="str">
        <f>IFERROR(__xludf.DUMMYFUNCTION("""COMPUTED_VALUE"""),"")</f>
        <v/>
      </c>
      <c r="D111" t="str">
        <f>IFERROR(__xludf.DUMMYFUNCTION("""COMPUTED_VALUE"""),"")</f>
        <v/>
      </c>
      <c r="E111" t="str">
        <f>IFERROR(__xludf.DUMMYFUNCTION("""COMPUTED_VALUE"""),"")</f>
        <v/>
      </c>
      <c r="F111" t="str">
        <f>IFERROR(__xludf.DUMMYFUNCTION("""COMPUTED_VALUE"""),"")</f>
        <v/>
      </c>
      <c r="G111" t="str">
        <f>IFERROR(__xludf.DUMMYFUNCTION("""COMPUTED_VALUE"""),"")</f>
        <v/>
      </c>
      <c r="H111" t="str">
        <f>IFERROR(__xludf.DUMMYFUNCTION("""COMPUTED_VALUE"""),"")</f>
        <v/>
      </c>
      <c r="I111">
        <f>IFERROR(__xludf.DUMMYFUNCTION("""COMPUTED_VALUE"""),5.0)</f>
        <v>5</v>
      </c>
      <c r="J111">
        <f>IFERROR(__xludf.DUMMYFUNCTION("""COMPUTED_VALUE"""),5.0)</f>
        <v>5</v>
      </c>
      <c r="L111" s="250" t="str">
        <f>IFERROR(__xludf.DUMMYFUNCTION("""COMPUTED_VALUE"""),"")</f>
        <v/>
      </c>
      <c r="M111" s="250" t="str">
        <f>IFERROR(__xludf.DUMMYFUNCTION("""COMPUTED_VALUE"""),"")</f>
        <v/>
      </c>
      <c r="N111" s="250" t="str">
        <f>IFERROR(__xludf.DUMMYFUNCTION("""COMPUTED_VALUE"""),"")</f>
        <v/>
      </c>
      <c r="O111" s="250" t="str">
        <f>IFERROR(__xludf.DUMMYFUNCTION("""COMPUTED_VALUE"""),"")</f>
        <v/>
      </c>
      <c r="P111" s="250" t="str">
        <f>IFERROR(__xludf.DUMMYFUNCTION("""COMPUTED_VALUE"""),"")</f>
        <v/>
      </c>
      <c r="Q111" s="250" t="str">
        <f>IFERROR(__xludf.DUMMYFUNCTION("""COMPUTED_VALUE"""),"")</f>
        <v/>
      </c>
      <c r="R111" s="250" t="str">
        <f>IFERROR(__xludf.DUMMYFUNCTION("""COMPUTED_VALUE"""),"")</f>
        <v/>
      </c>
      <c r="U111" s="250">
        <f>IFERROR(__xludf.DUMMYFUNCTION("""COMPUTED_VALUE"""),9099.0)</f>
        <v>9099</v>
      </c>
      <c r="V111" s="250">
        <f>IFERROR(__xludf.DUMMYFUNCTION("""COMPUTED_VALUE"""),8659.0)</f>
        <v>8659</v>
      </c>
      <c r="W111" s="250">
        <f>IFERROR(__xludf.DUMMYFUNCTION("""COMPUTED_VALUE"""),7919.0)</f>
        <v>7919</v>
      </c>
      <c r="X111" t="b">
        <f t="shared" ref="X111:Z111" si="198">ISBLANK(K111)</f>
        <v>1</v>
      </c>
      <c r="Y111" t="b">
        <f t="shared" si="198"/>
        <v>0</v>
      </c>
      <c r="Z111" t="b">
        <f t="shared" si="198"/>
        <v>0</v>
      </c>
      <c r="AA111">
        <f t="shared" ref="AA111:AC111" si="199">IF(X111=FALSE,1,0)</f>
        <v>0</v>
      </c>
      <c r="AB111">
        <f t="shared" si="199"/>
        <v>1</v>
      </c>
      <c r="AC111">
        <f t="shared" si="199"/>
        <v>1</v>
      </c>
      <c r="AD111">
        <f t="shared" si="6"/>
        <v>2</v>
      </c>
      <c r="AE111">
        <f t="shared" si="7"/>
        <v>1</v>
      </c>
      <c r="AF111">
        <f>if(iferror(vlookup($A111,'Description Database'!$E$2:$H$951,3,0),0)=TRUE,1,0)</f>
        <v>0</v>
      </c>
      <c r="AG111">
        <f>if(iferror(vlookup($A111,'Description Database'!$E$2:$H$951,4,0),0)=TRUE,1,0)</f>
        <v>0</v>
      </c>
    </row>
    <row r="112">
      <c r="A112" t="str">
        <f>IFERROR(__xludf.DUMMYFUNCTION("""COMPUTED_VALUE"""),"Xiaomi Redmi Note 8 Pro (8 GB/128 GB)")</f>
        <v>Xiaomi Redmi Note 8 Pro (8 GB/128 GB)</v>
      </c>
      <c r="B112" t="str">
        <f>IFERROR(__xludf.DUMMYFUNCTION("""COMPUTED_VALUE"""),"")</f>
        <v/>
      </c>
      <c r="C112" t="str">
        <f>IFERROR(__xludf.DUMMYFUNCTION("""COMPUTED_VALUE"""),"")</f>
        <v/>
      </c>
      <c r="D112" t="str">
        <f>IFERROR(__xludf.DUMMYFUNCTION("""COMPUTED_VALUE"""),"")</f>
        <v/>
      </c>
      <c r="E112" t="str">
        <f>IFERROR(__xludf.DUMMYFUNCTION("""COMPUTED_VALUE"""),"")</f>
        <v/>
      </c>
      <c r="F112" t="str">
        <f>IFERROR(__xludf.DUMMYFUNCTION("""COMPUTED_VALUE"""),"")</f>
        <v/>
      </c>
      <c r="G112" t="str">
        <f>IFERROR(__xludf.DUMMYFUNCTION("""COMPUTED_VALUE"""),"")</f>
        <v/>
      </c>
      <c r="H112">
        <f>IFERROR(__xludf.DUMMYFUNCTION("""COMPUTED_VALUE"""),1.0)</f>
        <v>1</v>
      </c>
      <c r="I112" t="str">
        <f>IFERROR(__xludf.DUMMYFUNCTION("""COMPUTED_VALUE"""),"")</f>
        <v/>
      </c>
      <c r="J112">
        <f>IFERROR(__xludf.DUMMYFUNCTION("""COMPUTED_VALUE"""),1.0)</f>
        <v>1</v>
      </c>
      <c r="L112" s="250" t="str">
        <f>IFERROR(__xludf.DUMMYFUNCTION("""COMPUTED_VALUE"""),"")</f>
        <v/>
      </c>
      <c r="M112" s="250" t="str">
        <f>IFERROR(__xludf.DUMMYFUNCTION("""COMPUTED_VALUE"""),"")</f>
        <v/>
      </c>
      <c r="N112" s="250" t="str">
        <f>IFERROR(__xludf.DUMMYFUNCTION("""COMPUTED_VALUE"""),"")</f>
        <v/>
      </c>
      <c r="O112" s="250" t="str">
        <f>IFERROR(__xludf.DUMMYFUNCTION("""COMPUTED_VALUE"""),"")</f>
        <v/>
      </c>
      <c r="P112" s="250" t="str">
        <f>IFERROR(__xludf.DUMMYFUNCTION("""COMPUTED_VALUE"""),"")</f>
        <v/>
      </c>
      <c r="Q112" s="250" t="str">
        <f>IFERROR(__xludf.DUMMYFUNCTION("""COMPUTED_VALUE"""),"")</f>
        <v/>
      </c>
      <c r="R112" s="250">
        <f>IFERROR(__xludf.DUMMYFUNCTION("""COMPUTED_VALUE"""),4759.0)</f>
        <v>4759</v>
      </c>
      <c r="U112" s="250">
        <f>IFERROR(__xludf.DUMMYFUNCTION("""COMPUTED_VALUE"""),13859.0)</f>
        <v>13859</v>
      </c>
      <c r="V112" s="250">
        <f>IFERROR(__xludf.DUMMYFUNCTION("""COMPUTED_VALUE"""),13199.0)</f>
        <v>13199</v>
      </c>
      <c r="W112" s="250">
        <f>IFERROR(__xludf.DUMMYFUNCTION("""COMPUTED_VALUE"""),11879.0)</f>
        <v>11879</v>
      </c>
      <c r="X112" t="b">
        <f t="shared" ref="X112:Z112" si="200">ISBLANK(K112)</f>
        <v>1</v>
      </c>
      <c r="Y112" t="b">
        <f t="shared" si="200"/>
        <v>0</v>
      </c>
      <c r="Z112" t="b">
        <f t="shared" si="200"/>
        <v>0</v>
      </c>
      <c r="AA112">
        <f t="shared" ref="AA112:AC112" si="201">IF(X112=FALSE,1,0)</f>
        <v>0</v>
      </c>
      <c r="AB112">
        <f t="shared" si="201"/>
        <v>1</v>
      </c>
      <c r="AC112">
        <f t="shared" si="201"/>
        <v>1</v>
      </c>
      <c r="AD112">
        <f t="shared" si="6"/>
        <v>2</v>
      </c>
      <c r="AE112">
        <f t="shared" si="7"/>
        <v>1</v>
      </c>
      <c r="AF112">
        <f>if(iferror(vlookup($A112,'Description Database'!$E$2:$H$951,3,0),0)=TRUE,1,0)</f>
        <v>0</v>
      </c>
      <c r="AG112">
        <f>if(iferror(vlookup($A112,'Description Database'!$E$2:$H$951,4,0),0)=TRUE,1,0)</f>
        <v>0</v>
      </c>
    </row>
    <row r="113">
      <c r="A113" t="str">
        <f>IFERROR(__xludf.DUMMYFUNCTION("""COMPUTED_VALUE"""),"Samsung Galaxy J6 Plus (4 GB/64 GB)")</f>
        <v>Samsung Galaxy J6 Plus (4 GB/64 GB)</v>
      </c>
      <c r="B113" t="str">
        <f>IFERROR(__xludf.DUMMYFUNCTION("""COMPUTED_VALUE"""),"")</f>
        <v/>
      </c>
      <c r="C113" t="str">
        <f>IFERROR(__xludf.DUMMYFUNCTION("""COMPUTED_VALUE"""),"")</f>
        <v/>
      </c>
      <c r="D113" t="str">
        <f>IFERROR(__xludf.DUMMYFUNCTION("""COMPUTED_VALUE"""),"")</f>
        <v/>
      </c>
      <c r="E113" t="str">
        <f>IFERROR(__xludf.DUMMYFUNCTION("""COMPUTED_VALUE"""),"")</f>
        <v/>
      </c>
      <c r="F113" t="str">
        <f>IFERROR(__xludf.DUMMYFUNCTION("""COMPUTED_VALUE"""),"")</f>
        <v/>
      </c>
      <c r="G113" t="str">
        <f>IFERROR(__xludf.DUMMYFUNCTION("""COMPUTED_VALUE"""),"")</f>
        <v/>
      </c>
      <c r="H113" t="str">
        <f>IFERROR(__xludf.DUMMYFUNCTION("""COMPUTED_VALUE"""),"")</f>
        <v/>
      </c>
      <c r="I113">
        <f>IFERROR(__xludf.DUMMYFUNCTION("""COMPUTED_VALUE"""),4.0)</f>
        <v>4</v>
      </c>
      <c r="J113">
        <f>IFERROR(__xludf.DUMMYFUNCTION("""COMPUTED_VALUE"""),4.0)</f>
        <v>4</v>
      </c>
      <c r="L113" s="250" t="str">
        <f>IFERROR(__xludf.DUMMYFUNCTION("""COMPUTED_VALUE"""),"")</f>
        <v/>
      </c>
      <c r="M113" s="250" t="str">
        <f>IFERROR(__xludf.DUMMYFUNCTION("""COMPUTED_VALUE"""),"")</f>
        <v/>
      </c>
      <c r="N113" s="250" t="str">
        <f>IFERROR(__xludf.DUMMYFUNCTION("""COMPUTED_VALUE"""),"")</f>
        <v/>
      </c>
      <c r="O113" s="250" t="str">
        <f>IFERROR(__xludf.DUMMYFUNCTION("""COMPUTED_VALUE"""),"")</f>
        <v/>
      </c>
      <c r="P113" s="250" t="str">
        <f>IFERROR(__xludf.DUMMYFUNCTION("""COMPUTED_VALUE"""),"")</f>
        <v/>
      </c>
      <c r="Q113" s="250" t="str">
        <f>IFERROR(__xludf.DUMMYFUNCTION("""COMPUTED_VALUE"""),"")</f>
        <v/>
      </c>
      <c r="R113" s="250" t="str">
        <f>IFERROR(__xludf.DUMMYFUNCTION("""COMPUTED_VALUE"""),"")</f>
        <v/>
      </c>
      <c r="U113" s="250">
        <f>IFERROR(__xludf.DUMMYFUNCTION("""COMPUTED_VALUE"""),6649.0)</f>
        <v>6649</v>
      </c>
      <c r="V113" s="250">
        <f>IFERROR(__xludf.DUMMYFUNCTION("""COMPUTED_VALUE"""),6329.0)</f>
        <v>6329</v>
      </c>
      <c r="W113" s="250">
        <f>IFERROR(__xludf.DUMMYFUNCTION("""COMPUTED_VALUE"""),5699.0)</f>
        <v>5699</v>
      </c>
      <c r="X113" t="b">
        <f t="shared" ref="X113:Z113" si="202">ISBLANK(K113)</f>
        <v>1</v>
      </c>
      <c r="Y113" t="b">
        <f t="shared" si="202"/>
        <v>0</v>
      </c>
      <c r="Z113" t="b">
        <f t="shared" si="202"/>
        <v>0</v>
      </c>
      <c r="AA113">
        <f t="shared" ref="AA113:AC113" si="203">IF(X113=FALSE,1,0)</f>
        <v>0</v>
      </c>
      <c r="AB113">
        <f t="shared" si="203"/>
        <v>1</v>
      </c>
      <c r="AC113">
        <f t="shared" si="203"/>
        <v>1</v>
      </c>
      <c r="AD113">
        <f t="shared" si="6"/>
        <v>2</v>
      </c>
      <c r="AE113">
        <f t="shared" si="7"/>
        <v>1</v>
      </c>
      <c r="AF113">
        <f>if(iferror(vlookup($A113,'Description Database'!$E$2:$H$951,3,0),0)=TRUE,1,0)</f>
        <v>0</v>
      </c>
      <c r="AG113">
        <f>if(iferror(vlookup($A113,'Description Database'!$E$2:$H$951,4,0),0)=TRUE,1,0)</f>
        <v>0</v>
      </c>
    </row>
    <row r="114">
      <c r="A114" t="str">
        <f>IFERROR(__xludf.DUMMYFUNCTION("""COMPUTED_VALUE"""),"OnePlus 5 (8 GB/128 GB)")</f>
        <v>OnePlus 5 (8 GB/128 GB)</v>
      </c>
      <c r="B114" t="str">
        <f>IFERROR(__xludf.DUMMYFUNCTION("""COMPUTED_VALUE"""),"")</f>
        <v/>
      </c>
      <c r="C114" t="str">
        <f>IFERROR(__xludf.DUMMYFUNCTION("""COMPUTED_VALUE"""),"")</f>
        <v/>
      </c>
      <c r="D114" t="str">
        <f>IFERROR(__xludf.DUMMYFUNCTION("""COMPUTED_VALUE"""),"")</f>
        <v/>
      </c>
      <c r="E114">
        <f>IFERROR(__xludf.DUMMYFUNCTION("""COMPUTED_VALUE"""),1.0)</f>
        <v>1</v>
      </c>
      <c r="F114" t="str">
        <f>IFERROR(__xludf.DUMMYFUNCTION("""COMPUTED_VALUE"""),"")</f>
        <v/>
      </c>
      <c r="G114">
        <f>IFERROR(__xludf.DUMMYFUNCTION("""COMPUTED_VALUE"""),1.0)</f>
        <v>1</v>
      </c>
      <c r="H114" t="str">
        <f>IFERROR(__xludf.DUMMYFUNCTION("""COMPUTED_VALUE"""),"")</f>
        <v/>
      </c>
      <c r="I114">
        <f>IFERROR(__xludf.DUMMYFUNCTION("""COMPUTED_VALUE"""),16.0)</f>
        <v>16</v>
      </c>
      <c r="J114">
        <f>IFERROR(__xludf.DUMMYFUNCTION("""COMPUTED_VALUE"""),18.0)</f>
        <v>18</v>
      </c>
      <c r="L114" s="250" t="str">
        <f>IFERROR(__xludf.DUMMYFUNCTION("""COMPUTED_VALUE"""),"")</f>
        <v/>
      </c>
      <c r="M114" s="250" t="str">
        <f>IFERROR(__xludf.DUMMYFUNCTION("""COMPUTED_VALUE"""),"")</f>
        <v/>
      </c>
      <c r="N114" s="250" t="str">
        <f>IFERROR(__xludf.DUMMYFUNCTION("""COMPUTED_VALUE"""),"")</f>
        <v/>
      </c>
      <c r="O114" s="250">
        <f>IFERROR(__xludf.DUMMYFUNCTION("""COMPUTED_VALUE"""),8109.0)</f>
        <v>8109</v>
      </c>
      <c r="P114" s="250" t="str">
        <f>IFERROR(__xludf.DUMMYFUNCTION("""COMPUTED_VALUE"""),"")</f>
        <v/>
      </c>
      <c r="Q114" s="250">
        <f>IFERROR(__xludf.DUMMYFUNCTION("""COMPUTED_VALUE"""),5739.0)</f>
        <v>5739</v>
      </c>
      <c r="R114" s="250" t="str">
        <f>IFERROR(__xludf.DUMMYFUNCTION("""COMPUTED_VALUE"""),"")</f>
        <v/>
      </c>
      <c r="U114" s="250">
        <f>IFERROR(__xludf.DUMMYFUNCTION("""COMPUTED_VALUE"""),11339.0)</f>
        <v>11339</v>
      </c>
      <c r="V114" s="250">
        <f>IFERROR(__xludf.DUMMYFUNCTION("""COMPUTED_VALUE"""),10809.0)</f>
        <v>10809</v>
      </c>
      <c r="W114" s="250">
        <f>IFERROR(__xludf.DUMMYFUNCTION("""COMPUTED_VALUE"""),9729.0)</f>
        <v>9729</v>
      </c>
      <c r="X114" t="b">
        <f t="shared" ref="X114:Z114" si="204">ISBLANK(K114)</f>
        <v>1</v>
      </c>
      <c r="Y114" t="b">
        <f t="shared" si="204"/>
        <v>0</v>
      </c>
      <c r="Z114" t="b">
        <f t="shared" si="204"/>
        <v>0</v>
      </c>
      <c r="AA114">
        <f t="shared" ref="AA114:AC114" si="205">IF(X114=FALSE,1,0)</f>
        <v>0</v>
      </c>
      <c r="AB114">
        <f t="shared" si="205"/>
        <v>1</v>
      </c>
      <c r="AC114">
        <f t="shared" si="205"/>
        <v>1</v>
      </c>
      <c r="AD114">
        <f t="shared" si="6"/>
        <v>2</v>
      </c>
      <c r="AE114">
        <f t="shared" si="7"/>
        <v>1</v>
      </c>
      <c r="AF114">
        <f>if(iferror(vlookup($A114,'Description Database'!$E$2:$H$951,3,0),0)=TRUE,1,0)</f>
        <v>0</v>
      </c>
      <c r="AG114">
        <f>if(iferror(vlookup($A114,'Description Database'!$E$2:$H$951,4,0),0)=TRUE,1,0)</f>
        <v>0</v>
      </c>
    </row>
    <row r="115">
      <c r="A115" t="str">
        <f>IFERROR(__xludf.DUMMYFUNCTION("""COMPUTED_VALUE"""),"Apple iPhone 6S (2 GB/128 GB)")</f>
        <v>Apple iPhone 6S (2 GB/128 GB)</v>
      </c>
      <c r="B115" t="str">
        <f>IFERROR(__xludf.DUMMYFUNCTION("""COMPUTED_VALUE"""),"")</f>
        <v/>
      </c>
      <c r="C115" t="str">
        <f>IFERROR(__xludf.DUMMYFUNCTION("""COMPUTED_VALUE"""),"")</f>
        <v/>
      </c>
      <c r="D115" t="str">
        <f>IFERROR(__xludf.DUMMYFUNCTION("""COMPUTED_VALUE"""),"")</f>
        <v/>
      </c>
      <c r="E115" t="str">
        <f>IFERROR(__xludf.DUMMYFUNCTION("""COMPUTED_VALUE"""),"")</f>
        <v/>
      </c>
      <c r="F115" t="str">
        <f>IFERROR(__xludf.DUMMYFUNCTION("""COMPUTED_VALUE"""),"")</f>
        <v/>
      </c>
      <c r="G115" t="str">
        <f>IFERROR(__xludf.DUMMYFUNCTION("""COMPUTED_VALUE"""),"")</f>
        <v/>
      </c>
      <c r="H115" t="str">
        <f>IFERROR(__xludf.DUMMYFUNCTION("""COMPUTED_VALUE"""),"")</f>
        <v/>
      </c>
      <c r="I115">
        <f>IFERROR(__xludf.DUMMYFUNCTION("""COMPUTED_VALUE"""),1.0)</f>
        <v>1</v>
      </c>
      <c r="J115">
        <f>IFERROR(__xludf.DUMMYFUNCTION("""COMPUTED_VALUE"""),1.0)</f>
        <v>1</v>
      </c>
      <c r="L115" s="250" t="str">
        <f>IFERROR(__xludf.DUMMYFUNCTION("""COMPUTED_VALUE"""),"")</f>
        <v/>
      </c>
      <c r="M115" s="250" t="str">
        <f>IFERROR(__xludf.DUMMYFUNCTION("""COMPUTED_VALUE"""),"")</f>
        <v/>
      </c>
      <c r="N115" s="250" t="str">
        <f>IFERROR(__xludf.DUMMYFUNCTION("""COMPUTED_VALUE"""),"")</f>
        <v/>
      </c>
      <c r="O115" s="250" t="str">
        <f>IFERROR(__xludf.DUMMYFUNCTION("""COMPUTED_VALUE"""),"")</f>
        <v/>
      </c>
      <c r="P115" s="250" t="str">
        <f>IFERROR(__xludf.DUMMYFUNCTION("""COMPUTED_VALUE"""),"")</f>
        <v/>
      </c>
      <c r="Q115" s="250" t="str">
        <f>IFERROR(__xludf.DUMMYFUNCTION("""COMPUTED_VALUE"""),"")</f>
        <v/>
      </c>
      <c r="R115" s="250" t="str">
        <f>IFERROR(__xludf.DUMMYFUNCTION("""COMPUTED_VALUE"""),"")</f>
        <v/>
      </c>
      <c r="U115" s="250">
        <f>IFERROR(__xludf.DUMMYFUNCTION("""COMPUTED_VALUE"""),11209.0)</f>
        <v>11209</v>
      </c>
      <c r="V115" s="250">
        <f>IFERROR(__xludf.DUMMYFUNCTION("""COMPUTED_VALUE"""),10669.0)</f>
        <v>10669</v>
      </c>
      <c r="W115" s="250">
        <f>IFERROR(__xludf.DUMMYFUNCTION("""COMPUTED_VALUE"""),9609.0)</f>
        <v>9609</v>
      </c>
      <c r="X115" t="b">
        <f t="shared" ref="X115:Z115" si="206">ISBLANK(K115)</f>
        <v>1</v>
      </c>
      <c r="Y115" t="b">
        <f t="shared" si="206"/>
        <v>0</v>
      </c>
      <c r="Z115" t="b">
        <f t="shared" si="206"/>
        <v>0</v>
      </c>
      <c r="AA115">
        <f t="shared" ref="AA115:AC115" si="207">IF(X115=FALSE,1,0)</f>
        <v>0</v>
      </c>
      <c r="AB115">
        <f t="shared" si="207"/>
        <v>1</v>
      </c>
      <c r="AC115">
        <f t="shared" si="207"/>
        <v>1</v>
      </c>
      <c r="AD115">
        <f t="shared" si="6"/>
        <v>2</v>
      </c>
      <c r="AE115">
        <f t="shared" si="7"/>
        <v>1</v>
      </c>
      <c r="AF115">
        <f>if(iferror(vlookup($A115,'Description Database'!$E$2:$H$951,3,0),0)=TRUE,1,0)</f>
        <v>0</v>
      </c>
      <c r="AG115">
        <f>if(iferror(vlookup($A115,'Description Database'!$E$2:$H$951,4,0),0)=TRUE,1,0)</f>
        <v>0</v>
      </c>
    </row>
    <row r="116">
      <c r="A116" t="str">
        <f>IFERROR(__xludf.DUMMYFUNCTION("""COMPUTED_VALUE"""),"Vivo Y19 (4 GB/128 GB)")</f>
        <v>Vivo Y19 (4 GB/128 GB)</v>
      </c>
      <c r="B116" t="str">
        <f>IFERROR(__xludf.DUMMYFUNCTION("""COMPUTED_VALUE"""),"")</f>
        <v/>
      </c>
      <c r="C116" t="str">
        <f>IFERROR(__xludf.DUMMYFUNCTION("""COMPUTED_VALUE"""),"")</f>
        <v/>
      </c>
      <c r="D116" t="str">
        <f>IFERROR(__xludf.DUMMYFUNCTION("""COMPUTED_VALUE"""),"")</f>
        <v/>
      </c>
      <c r="E116" t="str">
        <f>IFERROR(__xludf.DUMMYFUNCTION("""COMPUTED_VALUE"""),"")</f>
        <v/>
      </c>
      <c r="F116" t="str">
        <f>IFERROR(__xludf.DUMMYFUNCTION("""COMPUTED_VALUE"""),"")</f>
        <v/>
      </c>
      <c r="G116" t="str">
        <f>IFERROR(__xludf.DUMMYFUNCTION("""COMPUTED_VALUE"""),"")</f>
        <v/>
      </c>
      <c r="H116" t="str">
        <f>IFERROR(__xludf.DUMMYFUNCTION("""COMPUTED_VALUE"""),"")</f>
        <v/>
      </c>
      <c r="I116" t="str">
        <f>IFERROR(__xludf.DUMMYFUNCTION("""COMPUTED_VALUE"""),"")</f>
        <v/>
      </c>
      <c r="J116">
        <f>IFERROR(__xludf.DUMMYFUNCTION("""COMPUTED_VALUE"""),0.0)</f>
        <v>0</v>
      </c>
      <c r="L116" s="250" t="str">
        <f>IFERROR(__xludf.DUMMYFUNCTION("""COMPUTED_VALUE"""),"")</f>
        <v/>
      </c>
      <c r="M116" s="250" t="str">
        <f>IFERROR(__xludf.DUMMYFUNCTION("""COMPUTED_VALUE"""),"")</f>
        <v/>
      </c>
      <c r="N116" s="250" t="str">
        <f>IFERROR(__xludf.DUMMYFUNCTION("""COMPUTED_VALUE"""),"")</f>
        <v/>
      </c>
      <c r="O116" s="250" t="str">
        <f>IFERROR(__xludf.DUMMYFUNCTION("""COMPUTED_VALUE"""),"")</f>
        <v/>
      </c>
      <c r="P116" s="250" t="str">
        <f>IFERROR(__xludf.DUMMYFUNCTION("""COMPUTED_VALUE"""),"")</f>
        <v/>
      </c>
      <c r="Q116" s="250" t="str">
        <f>IFERROR(__xludf.DUMMYFUNCTION("""COMPUTED_VALUE"""),"")</f>
        <v/>
      </c>
      <c r="R116" s="250" t="str">
        <f>IFERROR(__xludf.DUMMYFUNCTION("""COMPUTED_VALUE"""),"")</f>
        <v/>
      </c>
      <c r="U116" s="250">
        <f>IFERROR(__xludf.DUMMYFUNCTION("""COMPUTED_VALUE"""),10969.0)</f>
        <v>10969</v>
      </c>
      <c r="V116" s="250">
        <f>IFERROR(__xludf.DUMMYFUNCTION("""COMPUTED_VALUE"""),10439.0)</f>
        <v>10439</v>
      </c>
      <c r="W116" s="250">
        <f>IFERROR(__xludf.DUMMYFUNCTION("""COMPUTED_VALUE"""),9399.0)</f>
        <v>9399</v>
      </c>
      <c r="X116" t="b">
        <f t="shared" ref="X116:Z116" si="208">ISBLANK(K116)</f>
        <v>1</v>
      </c>
      <c r="Y116" t="b">
        <f t="shared" si="208"/>
        <v>0</v>
      </c>
      <c r="Z116" t="b">
        <f t="shared" si="208"/>
        <v>0</v>
      </c>
      <c r="AA116">
        <f t="shared" ref="AA116:AC116" si="209">IF(X116=FALSE,1,0)</f>
        <v>0</v>
      </c>
      <c r="AB116">
        <f t="shared" si="209"/>
        <v>1</v>
      </c>
      <c r="AC116">
        <f t="shared" si="209"/>
        <v>1</v>
      </c>
      <c r="AD116">
        <f t="shared" si="6"/>
        <v>2</v>
      </c>
      <c r="AE116">
        <f t="shared" si="7"/>
        <v>1</v>
      </c>
      <c r="AF116">
        <f>if(iferror(vlookup($A116,'Description Database'!$E$2:$H$951,3,0),0)=TRUE,1,0)</f>
        <v>0</v>
      </c>
      <c r="AG116">
        <f>if(iferror(vlookup($A116,'Description Database'!$E$2:$H$951,4,0),0)=TRUE,1,0)</f>
        <v>0</v>
      </c>
    </row>
    <row r="117">
      <c r="A117" t="str">
        <f>IFERROR(__xludf.DUMMYFUNCTION("""COMPUTED_VALUE"""),"Vivo Y95 (4 GB/64 GB)")</f>
        <v>Vivo Y95 (4 GB/64 GB)</v>
      </c>
      <c r="B117" t="str">
        <f>IFERROR(__xludf.DUMMYFUNCTION("""COMPUTED_VALUE"""),"")</f>
        <v/>
      </c>
      <c r="C117" t="str">
        <f>IFERROR(__xludf.DUMMYFUNCTION("""COMPUTED_VALUE"""),"")</f>
        <v/>
      </c>
      <c r="D117" t="str">
        <f>IFERROR(__xludf.DUMMYFUNCTION("""COMPUTED_VALUE"""),"")</f>
        <v/>
      </c>
      <c r="E117">
        <f>IFERROR(__xludf.DUMMYFUNCTION("""COMPUTED_VALUE"""),1.0)</f>
        <v>1</v>
      </c>
      <c r="F117">
        <f>IFERROR(__xludf.DUMMYFUNCTION("""COMPUTED_VALUE"""),1.0)</f>
        <v>1</v>
      </c>
      <c r="G117">
        <f>IFERROR(__xludf.DUMMYFUNCTION("""COMPUTED_VALUE"""),2.0)</f>
        <v>2</v>
      </c>
      <c r="H117" t="str">
        <f>IFERROR(__xludf.DUMMYFUNCTION("""COMPUTED_VALUE"""),"")</f>
        <v/>
      </c>
      <c r="I117">
        <f>IFERROR(__xludf.DUMMYFUNCTION("""COMPUTED_VALUE"""),6.0)</f>
        <v>6</v>
      </c>
      <c r="J117">
        <f>IFERROR(__xludf.DUMMYFUNCTION("""COMPUTED_VALUE"""),10.0)</f>
        <v>10</v>
      </c>
      <c r="L117" s="250" t="str">
        <f>IFERROR(__xludf.DUMMYFUNCTION("""COMPUTED_VALUE"""),"")</f>
        <v/>
      </c>
      <c r="M117" s="250" t="str">
        <f>IFERROR(__xludf.DUMMYFUNCTION("""COMPUTED_VALUE"""),"")</f>
        <v/>
      </c>
      <c r="N117" s="250" t="str">
        <f>IFERROR(__xludf.DUMMYFUNCTION("""COMPUTED_VALUE"""),"")</f>
        <v/>
      </c>
      <c r="O117" s="250">
        <f>IFERROR(__xludf.DUMMYFUNCTION("""COMPUTED_VALUE"""),5979.0)</f>
        <v>5979</v>
      </c>
      <c r="P117" s="250">
        <f>IFERROR(__xludf.DUMMYFUNCTION("""COMPUTED_VALUE"""),5409.0)</f>
        <v>5409</v>
      </c>
      <c r="Q117" s="250">
        <f>IFERROR(__xludf.DUMMYFUNCTION("""COMPUTED_VALUE"""),3769.0)</f>
        <v>3769</v>
      </c>
      <c r="R117" s="250" t="str">
        <f>IFERROR(__xludf.DUMMYFUNCTION("""COMPUTED_VALUE"""),"")</f>
        <v/>
      </c>
      <c r="U117" s="250">
        <f>IFERROR(__xludf.DUMMYFUNCTION("""COMPUTED_VALUE"""),8289.0)</f>
        <v>8289</v>
      </c>
      <c r="V117" s="250">
        <f>IFERROR(__xludf.DUMMYFUNCTION("""COMPUTED_VALUE"""),7889.0)</f>
        <v>7889</v>
      </c>
      <c r="W117" s="250">
        <f>IFERROR(__xludf.DUMMYFUNCTION("""COMPUTED_VALUE"""),7209.0)</f>
        <v>7209</v>
      </c>
      <c r="X117" t="b">
        <f t="shared" ref="X117:Z117" si="210">ISBLANK(K117)</f>
        <v>1</v>
      </c>
      <c r="Y117" t="b">
        <f t="shared" si="210"/>
        <v>0</v>
      </c>
      <c r="Z117" t="b">
        <f t="shared" si="210"/>
        <v>0</v>
      </c>
      <c r="AA117">
        <f t="shared" ref="AA117:AC117" si="211">IF(X117=FALSE,1,0)</f>
        <v>0</v>
      </c>
      <c r="AB117">
        <f t="shared" si="211"/>
        <v>1</v>
      </c>
      <c r="AC117">
        <f t="shared" si="211"/>
        <v>1</v>
      </c>
      <c r="AD117">
        <f t="shared" si="6"/>
        <v>2</v>
      </c>
      <c r="AE117">
        <f t="shared" si="7"/>
        <v>1</v>
      </c>
      <c r="AF117">
        <f>if(iferror(vlookup($A117,'Description Database'!$E$2:$H$951,3,0),0)=TRUE,1,0)</f>
        <v>0</v>
      </c>
      <c r="AG117">
        <f>if(iferror(vlookup($A117,'Description Database'!$E$2:$H$951,4,0),0)=TRUE,1,0)</f>
        <v>0</v>
      </c>
    </row>
    <row r="118">
      <c r="A118" t="str">
        <f>IFERROR(__xludf.DUMMYFUNCTION("""COMPUTED_VALUE"""),"Xiaomi Redmi Y1 (4 GB/64 GB)")</f>
        <v>Xiaomi Redmi Y1 (4 GB/64 GB)</v>
      </c>
      <c r="B118" t="str">
        <f>IFERROR(__xludf.DUMMYFUNCTION("""COMPUTED_VALUE"""),"")</f>
        <v/>
      </c>
      <c r="C118" t="str">
        <f>IFERROR(__xludf.DUMMYFUNCTION("""COMPUTED_VALUE"""),"")</f>
        <v/>
      </c>
      <c r="D118" t="str">
        <f>IFERROR(__xludf.DUMMYFUNCTION("""COMPUTED_VALUE"""),"")</f>
        <v/>
      </c>
      <c r="E118" t="str">
        <f>IFERROR(__xludf.DUMMYFUNCTION("""COMPUTED_VALUE"""),"")</f>
        <v/>
      </c>
      <c r="F118" t="str">
        <f>IFERROR(__xludf.DUMMYFUNCTION("""COMPUTED_VALUE"""),"")</f>
        <v/>
      </c>
      <c r="G118" t="str">
        <f>IFERROR(__xludf.DUMMYFUNCTION("""COMPUTED_VALUE"""),"")</f>
        <v/>
      </c>
      <c r="H118" t="str">
        <f>IFERROR(__xludf.DUMMYFUNCTION("""COMPUTED_VALUE"""),"")</f>
        <v/>
      </c>
      <c r="I118">
        <f>IFERROR(__xludf.DUMMYFUNCTION("""COMPUTED_VALUE"""),3.0)</f>
        <v>3</v>
      </c>
      <c r="J118">
        <f>IFERROR(__xludf.DUMMYFUNCTION("""COMPUTED_VALUE"""),3.0)</f>
        <v>3</v>
      </c>
      <c r="L118" s="250" t="str">
        <f>IFERROR(__xludf.DUMMYFUNCTION("""COMPUTED_VALUE"""),"")</f>
        <v/>
      </c>
      <c r="M118" s="250" t="str">
        <f>IFERROR(__xludf.DUMMYFUNCTION("""COMPUTED_VALUE"""),"")</f>
        <v/>
      </c>
      <c r="N118" s="250" t="str">
        <f>IFERROR(__xludf.DUMMYFUNCTION("""COMPUTED_VALUE"""),"")</f>
        <v/>
      </c>
      <c r="O118" s="250" t="str">
        <f>IFERROR(__xludf.DUMMYFUNCTION("""COMPUTED_VALUE"""),"")</f>
        <v/>
      </c>
      <c r="P118" s="250" t="str">
        <f>IFERROR(__xludf.DUMMYFUNCTION("""COMPUTED_VALUE"""),"")</f>
        <v/>
      </c>
      <c r="Q118" s="250" t="str">
        <f>IFERROR(__xludf.DUMMYFUNCTION("""COMPUTED_VALUE"""),"")</f>
        <v/>
      </c>
      <c r="R118" s="250" t="str">
        <f>IFERROR(__xludf.DUMMYFUNCTION("""COMPUTED_VALUE"""),"")</f>
        <v/>
      </c>
      <c r="U118" s="250">
        <f>IFERROR(__xludf.DUMMYFUNCTION("""COMPUTED_VALUE"""),5649.0)</f>
        <v>5649</v>
      </c>
      <c r="V118" s="250">
        <f>IFERROR(__xludf.DUMMYFUNCTION("""COMPUTED_VALUE"""),5369.0)</f>
        <v>5369</v>
      </c>
      <c r="W118" s="250">
        <f>IFERROR(__xludf.DUMMYFUNCTION("""COMPUTED_VALUE"""),4839.0)</f>
        <v>4839</v>
      </c>
      <c r="X118" t="b">
        <f t="shared" ref="X118:Z118" si="212">ISBLANK(K118)</f>
        <v>1</v>
      </c>
      <c r="Y118" t="b">
        <f t="shared" si="212"/>
        <v>0</v>
      </c>
      <c r="Z118" t="b">
        <f t="shared" si="212"/>
        <v>0</v>
      </c>
      <c r="AA118">
        <f t="shared" ref="AA118:AC118" si="213">IF(X118=FALSE,1,0)</f>
        <v>0</v>
      </c>
      <c r="AB118">
        <f t="shared" si="213"/>
        <v>1</v>
      </c>
      <c r="AC118">
        <f t="shared" si="213"/>
        <v>1</v>
      </c>
      <c r="AD118">
        <f t="shared" si="6"/>
        <v>2</v>
      </c>
      <c r="AE118">
        <f t="shared" si="7"/>
        <v>1</v>
      </c>
      <c r="AF118">
        <f>if(iferror(vlookup($A118,'Description Database'!$E$2:$H$951,3,0),0)=TRUE,1,0)</f>
        <v>0</v>
      </c>
      <c r="AG118">
        <f>if(iferror(vlookup($A118,'Description Database'!$E$2:$H$951,4,0),0)=TRUE,1,0)</f>
        <v>0</v>
      </c>
    </row>
    <row r="119">
      <c r="A119" t="str">
        <f>IFERROR(__xludf.DUMMYFUNCTION("""COMPUTED_VALUE"""),"Xiaomi Redmi Note 3 (3 GB/32 GB)")</f>
        <v>Xiaomi Redmi Note 3 (3 GB/32 GB)</v>
      </c>
      <c r="B119" t="str">
        <f>IFERROR(__xludf.DUMMYFUNCTION("""COMPUTED_VALUE"""),"")</f>
        <v/>
      </c>
      <c r="C119" t="str">
        <f>IFERROR(__xludf.DUMMYFUNCTION("""COMPUTED_VALUE"""),"")</f>
        <v/>
      </c>
      <c r="D119" t="str">
        <f>IFERROR(__xludf.DUMMYFUNCTION("""COMPUTED_VALUE"""),"")</f>
        <v/>
      </c>
      <c r="E119">
        <f>IFERROR(__xludf.DUMMYFUNCTION("""COMPUTED_VALUE"""),1.0)</f>
        <v>1</v>
      </c>
      <c r="F119">
        <f>IFERROR(__xludf.DUMMYFUNCTION("""COMPUTED_VALUE"""),1.0)</f>
        <v>1</v>
      </c>
      <c r="G119">
        <f>IFERROR(__xludf.DUMMYFUNCTION("""COMPUTED_VALUE"""),3.0)</f>
        <v>3</v>
      </c>
      <c r="H119">
        <f>IFERROR(__xludf.DUMMYFUNCTION("""COMPUTED_VALUE"""),4.0)</f>
        <v>4</v>
      </c>
      <c r="I119">
        <f>IFERROR(__xludf.DUMMYFUNCTION("""COMPUTED_VALUE"""),74.0)</f>
        <v>74</v>
      </c>
      <c r="J119">
        <f>IFERROR(__xludf.DUMMYFUNCTION("""COMPUTED_VALUE"""),83.0)</f>
        <v>83</v>
      </c>
      <c r="L119" s="250" t="str">
        <f>IFERROR(__xludf.DUMMYFUNCTION("""COMPUTED_VALUE"""),"")</f>
        <v/>
      </c>
      <c r="M119" s="250" t="str">
        <f>IFERROR(__xludf.DUMMYFUNCTION("""COMPUTED_VALUE"""),"")</f>
        <v/>
      </c>
      <c r="N119" s="250" t="str">
        <f>IFERROR(__xludf.DUMMYFUNCTION("""COMPUTED_VALUE"""),"")</f>
        <v/>
      </c>
      <c r="O119" s="250">
        <f>IFERROR(__xludf.DUMMYFUNCTION("""COMPUTED_VALUE"""),3114.0)</f>
        <v>3114</v>
      </c>
      <c r="P119" s="250">
        <f>IFERROR(__xludf.DUMMYFUNCTION("""COMPUTED_VALUE"""),2809.0)</f>
        <v>2809</v>
      </c>
      <c r="Q119" s="250">
        <f>IFERROR(__xludf.DUMMYFUNCTION("""COMPUTED_VALUE"""),1849.0)</f>
        <v>1849</v>
      </c>
      <c r="R119" s="250">
        <f>IFERROR(__xludf.DUMMYFUNCTION("""COMPUTED_VALUE"""),1459.0)</f>
        <v>1459</v>
      </c>
      <c r="U119" s="250">
        <f>IFERROR(__xludf.DUMMYFUNCTION("""COMPUTED_VALUE"""),4329.0)</f>
        <v>4329</v>
      </c>
      <c r="V119" s="250">
        <f>IFERROR(__xludf.DUMMYFUNCTION("""COMPUTED_VALUE"""),4119.0)</f>
        <v>4119</v>
      </c>
      <c r="W119" s="250">
        <f>IFERROR(__xludf.DUMMYFUNCTION("""COMPUTED_VALUE"""),3769.0)</f>
        <v>3769</v>
      </c>
      <c r="X119" t="b">
        <f t="shared" ref="X119:Z119" si="214">ISBLANK(K119)</f>
        <v>1</v>
      </c>
      <c r="Y119" t="b">
        <f t="shared" si="214"/>
        <v>0</v>
      </c>
      <c r="Z119" t="b">
        <f t="shared" si="214"/>
        <v>0</v>
      </c>
      <c r="AA119">
        <f t="shared" ref="AA119:AC119" si="215">IF(X119=FALSE,1,0)</f>
        <v>0</v>
      </c>
      <c r="AB119">
        <f t="shared" si="215"/>
        <v>1</v>
      </c>
      <c r="AC119">
        <f t="shared" si="215"/>
        <v>1</v>
      </c>
      <c r="AD119">
        <f t="shared" si="6"/>
        <v>2</v>
      </c>
      <c r="AE119">
        <f t="shared" si="7"/>
        <v>1</v>
      </c>
      <c r="AF119">
        <f>if(iferror(vlookup($A119,'Description Database'!$E$2:$H$951,3,0),0)=TRUE,1,0)</f>
        <v>0</v>
      </c>
      <c r="AG119">
        <f>if(iferror(vlookup($A119,'Description Database'!$E$2:$H$951,4,0),0)=TRUE,1,0)</f>
        <v>0</v>
      </c>
    </row>
    <row r="120">
      <c r="A120" t="str">
        <f>IFERROR(__xludf.DUMMYFUNCTION("""COMPUTED_VALUE"""),"Oppo A37 (2 GB/16GB)")</f>
        <v>Oppo A37 (2 GB/16GB)</v>
      </c>
      <c r="B120" t="str">
        <f>IFERROR(__xludf.DUMMYFUNCTION("""COMPUTED_VALUE"""),"")</f>
        <v/>
      </c>
      <c r="C120" t="str">
        <f>IFERROR(__xludf.DUMMYFUNCTION("""COMPUTED_VALUE"""),"")</f>
        <v/>
      </c>
      <c r="D120" t="str">
        <f>IFERROR(__xludf.DUMMYFUNCTION("""COMPUTED_VALUE"""),"")</f>
        <v/>
      </c>
      <c r="E120" t="str">
        <f>IFERROR(__xludf.DUMMYFUNCTION("""COMPUTED_VALUE"""),"")</f>
        <v/>
      </c>
      <c r="F120" t="str">
        <f>IFERROR(__xludf.DUMMYFUNCTION("""COMPUTED_VALUE"""),"")</f>
        <v/>
      </c>
      <c r="G120" t="str">
        <f>IFERROR(__xludf.DUMMYFUNCTION("""COMPUTED_VALUE"""),"")</f>
        <v/>
      </c>
      <c r="H120" t="str">
        <f>IFERROR(__xludf.DUMMYFUNCTION("""COMPUTED_VALUE"""),"")</f>
        <v/>
      </c>
      <c r="I120">
        <f>IFERROR(__xludf.DUMMYFUNCTION("""COMPUTED_VALUE"""),2.0)</f>
        <v>2</v>
      </c>
      <c r="J120">
        <f>IFERROR(__xludf.DUMMYFUNCTION("""COMPUTED_VALUE"""),2.0)</f>
        <v>2</v>
      </c>
      <c r="L120" s="250" t="str">
        <f>IFERROR(__xludf.DUMMYFUNCTION("""COMPUTED_VALUE"""),"")</f>
        <v/>
      </c>
      <c r="M120" s="250" t="str">
        <f>IFERROR(__xludf.DUMMYFUNCTION("""COMPUTED_VALUE"""),"")</f>
        <v/>
      </c>
      <c r="N120" s="250" t="str">
        <f>IFERROR(__xludf.DUMMYFUNCTION("""COMPUTED_VALUE"""),"")</f>
        <v/>
      </c>
      <c r="O120" s="250" t="str">
        <f>IFERROR(__xludf.DUMMYFUNCTION("""COMPUTED_VALUE"""),"")</f>
        <v/>
      </c>
      <c r="P120" s="250" t="str">
        <f>IFERROR(__xludf.DUMMYFUNCTION("""COMPUTED_VALUE"""),"")</f>
        <v/>
      </c>
      <c r="Q120" s="250" t="str">
        <f>IFERROR(__xludf.DUMMYFUNCTION("""COMPUTED_VALUE"""),"")</f>
        <v/>
      </c>
      <c r="R120" s="250" t="str">
        <f>IFERROR(__xludf.DUMMYFUNCTION("""COMPUTED_VALUE"""),"")</f>
        <v/>
      </c>
      <c r="U120" s="250" t="str">
        <f>IFERROR(__xludf.DUMMYFUNCTION("""COMPUTED_VALUE"""),"#N/A")</f>
        <v>#N/A</v>
      </c>
      <c r="V120" s="250" t="str">
        <f>IFERROR(__xludf.DUMMYFUNCTION("""COMPUTED_VALUE"""),"#N/A")</f>
        <v>#N/A</v>
      </c>
      <c r="W120" s="250" t="str">
        <f>IFERROR(__xludf.DUMMYFUNCTION("""COMPUTED_VALUE"""),"#N/A")</f>
        <v>#N/A</v>
      </c>
      <c r="X120" t="b">
        <f t="shared" ref="X120:Z120" si="216">ISBLANK(K120)</f>
        <v>1</v>
      </c>
      <c r="Y120" t="b">
        <f t="shared" si="216"/>
        <v>0</v>
      </c>
      <c r="Z120" t="b">
        <f t="shared" si="216"/>
        <v>0</v>
      </c>
      <c r="AA120">
        <f t="shared" ref="AA120:AC120" si="217">IF(X120=FALSE,1,0)</f>
        <v>0</v>
      </c>
      <c r="AB120">
        <f t="shared" si="217"/>
        <v>1</v>
      </c>
      <c r="AC120">
        <f t="shared" si="217"/>
        <v>1</v>
      </c>
      <c r="AD120">
        <f t="shared" si="6"/>
        <v>2</v>
      </c>
      <c r="AE120">
        <f t="shared" si="7"/>
        <v>1</v>
      </c>
      <c r="AF120">
        <f>if(iferror(vlookup($A120,'Description Database'!$E$2:$H$951,3,0),0)=TRUE,1,0)</f>
        <v>0</v>
      </c>
      <c r="AG120">
        <f>if(iferror(vlookup($A120,'Description Database'!$E$2:$H$951,4,0),0)=TRUE,1,0)</f>
        <v>0</v>
      </c>
    </row>
    <row r="121">
      <c r="A121" t="str">
        <f>IFERROR(__xludf.DUMMYFUNCTION("""COMPUTED_VALUE"""),"Samsung Galaxy S8 Plus (4 GB/64 GB)")</f>
        <v>Samsung Galaxy S8 Plus (4 GB/64 GB)</v>
      </c>
      <c r="B121" t="str">
        <f>IFERROR(__xludf.DUMMYFUNCTION("""COMPUTED_VALUE"""),"")</f>
        <v/>
      </c>
      <c r="C121" t="str">
        <f>IFERROR(__xludf.DUMMYFUNCTION("""COMPUTED_VALUE"""),"")</f>
        <v/>
      </c>
      <c r="D121" t="str">
        <f>IFERROR(__xludf.DUMMYFUNCTION("""COMPUTED_VALUE"""),"")</f>
        <v/>
      </c>
      <c r="E121" t="str">
        <f>IFERROR(__xludf.DUMMYFUNCTION("""COMPUTED_VALUE"""),"")</f>
        <v/>
      </c>
      <c r="F121">
        <f>IFERROR(__xludf.DUMMYFUNCTION("""COMPUTED_VALUE"""),1.0)</f>
        <v>1</v>
      </c>
      <c r="G121" t="str">
        <f>IFERROR(__xludf.DUMMYFUNCTION("""COMPUTED_VALUE"""),"")</f>
        <v/>
      </c>
      <c r="H121" t="str">
        <f>IFERROR(__xludf.DUMMYFUNCTION("""COMPUTED_VALUE"""),"")</f>
        <v/>
      </c>
      <c r="I121">
        <f>IFERROR(__xludf.DUMMYFUNCTION("""COMPUTED_VALUE"""),1.0)</f>
        <v>1</v>
      </c>
      <c r="J121">
        <f>IFERROR(__xludf.DUMMYFUNCTION("""COMPUTED_VALUE"""),2.0)</f>
        <v>2</v>
      </c>
      <c r="L121" s="250" t="str">
        <f>IFERROR(__xludf.DUMMYFUNCTION("""COMPUTED_VALUE"""),"")</f>
        <v/>
      </c>
      <c r="M121" s="250" t="str">
        <f>IFERROR(__xludf.DUMMYFUNCTION("""COMPUTED_VALUE"""),"")</f>
        <v/>
      </c>
      <c r="N121" s="250" t="str">
        <f>IFERROR(__xludf.DUMMYFUNCTION("""COMPUTED_VALUE"""),"")</f>
        <v/>
      </c>
      <c r="O121" s="250" t="str">
        <f>IFERROR(__xludf.DUMMYFUNCTION("""COMPUTED_VALUE"""),"")</f>
        <v/>
      </c>
      <c r="P121" s="250">
        <f>IFERROR(__xludf.DUMMYFUNCTION("""COMPUTED_VALUE"""),8999.0)</f>
        <v>8999</v>
      </c>
      <c r="Q121" s="250" t="str">
        <f>IFERROR(__xludf.DUMMYFUNCTION("""COMPUTED_VALUE"""),"")</f>
        <v/>
      </c>
      <c r="R121" s="250" t="str">
        <f>IFERROR(__xludf.DUMMYFUNCTION("""COMPUTED_VALUE"""),"")</f>
        <v/>
      </c>
      <c r="U121" s="250">
        <f>IFERROR(__xludf.DUMMYFUNCTION("""COMPUTED_VALUE"""),13859.0)</f>
        <v>13859</v>
      </c>
      <c r="V121" s="250">
        <f>IFERROR(__xludf.DUMMYFUNCTION("""COMPUTED_VALUE"""),13199.0)</f>
        <v>13199</v>
      </c>
      <c r="W121" s="250">
        <f>IFERROR(__xludf.DUMMYFUNCTION("""COMPUTED_VALUE"""),11879.0)</f>
        <v>11879</v>
      </c>
      <c r="X121" t="b">
        <f t="shared" ref="X121:Z121" si="218">ISBLANK(K121)</f>
        <v>1</v>
      </c>
      <c r="Y121" t="b">
        <f t="shared" si="218"/>
        <v>0</v>
      </c>
      <c r="Z121" t="b">
        <f t="shared" si="218"/>
        <v>0</v>
      </c>
      <c r="AA121">
        <f t="shared" ref="AA121:AC121" si="219">IF(X121=FALSE,1,0)</f>
        <v>0</v>
      </c>
      <c r="AB121">
        <f t="shared" si="219"/>
        <v>1</v>
      </c>
      <c r="AC121">
        <f t="shared" si="219"/>
        <v>1</v>
      </c>
      <c r="AD121">
        <f t="shared" si="6"/>
        <v>2</v>
      </c>
      <c r="AE121">
        <f t="shared" si="7"/>
        <v>1</v>
      </c>
      <c r="AF121">
        <f>if(iferror(vlookup($A121,'Description Database'!$E$2:$H$951,3,0),0)=TRUE,1,0)</f>
        <v>0</v>
      </c>
      <c r="AG121">
        <f>if(iferror(vlookup($A121,'Description Database'!$E$2:$H$951,4,0),0)=TRUE,1,0)</f>
        <v>0</v>
      </c>
    </row>
    <row r="122">
      <c r="A122" t="str">
        <f>IFERROR(__xludf.DUMMYFUNCTION("""COMPUTED_VALUE"""),"Apple iPhone 5 (1 GB/64 GB)")</f>
        <v>Apple iPhone 5 (1 GB/64 GB)</v>
      </c>
      <c r="B122" t="str">
        <f>IFERROR(__xludf.DUMMYFUNCTION("""COMPUTED_VALUE"""),"")</f>
        <v/>
      </c>
      <c r="C122" t="str">
        <f>IFERROR(__xludf.DUMMYFUNCTION("""COMPUTED_VALUE"""),"")</f>
        <v/>
      </c>
      <c r="D122" t="str">
        <f>IFERROR(__xludf.DUMMYFUNCTION("""COMPUTED_VALUE"""),"")</f>
        <v/>
      </c>
      <c r="E122" t="str">
        <f>IFERROR(__xludf.DUMMYFUNCTION("""COMPUTED_VALUE"""),"")</f>
        <v/>
      </c>
      <c r="F122" t="str">
        <f>IFERROR(__xludf.DUMMYFUNCTION("""COMPUTED_VALUE"""),"")</f>
        <v/>
      </c>
      <c r="G122" t="str">
        <f>IFERROR(__xludf.DUMMYFUNCTION("""COMPUTED_VALUE"""),"")</f>
        <v/>
      </c>
      <c r="H122" t="str">
        <f>IFERROR(__xludf.DUMMYFUNCTION("""COMPUTED_VALUE"""),"")</f>
        <v/>
      </c>
      <c r="I122" t="str">
        <f>IFERROR(__xludf.DUMMYFUNCTION("""COMPUTED_VALUE"""),"")</f>
        <v/>
      </c>
      <c r="J122">
        <f>IFERROR(__xludf.DUMMYFUNCTION("""COMPUTED_VALUE"""),0.0)</f>
        <v>0</v>
      </c>
      <c r="L122" s="250" t="str">
        <f>IFERROR(__xludf.DUMMYFUNCTION("""COMPUTED_VALUE"""),"")</f>
        <v/>
      </c>
      <c r="M122" s="250" t="str">
        <f>IFERROR(__xludf.DUMMYFUNCTION("""COMPUTED_VALUE"""),"")</f>
        <v/>
      </c>
      <c r="N122" s="250" t="str">
        <f>IFERROR(__xludf.DUMMYFUNCTION("""COMPUTED_VALUE"""),"")</f>
        <v/>
      </c>
      <c r="O122" s="250" t="str">
        <f>IFERROR(__xludf.DUMMYFUNCTION("""COMPUTED_VALUE"""),"")</f>
        <v/>
      </c>
      <c r="P122" s="250" t="str">
        <f>IFERROR(__xludf.DUMMYFUNCTION("""COMPUTED_VALUE"""),"")</f>
        <v/>
      </c>
      <c r="Q122" s="250" t="str">
        <f>IFERROR(__xludf.DUMMYFUNCTION("""COMPUTED_VALUE"""),"")</f>
        <v/>
      </c>
      <c r="R122" s="250" t="str">
        <f>IFERROR(__xludf.DUMMYFUNCTION("""COMPUTED_VALUE"""),"")</f>
        <v/>
      </c>
      <c r="U122" s="250">
        <f>IFERROR(__xludf.DUMMYFUNCTION("""COMPUTED_VALUE"""),3829.0)</f>
        <v>3829</v>
      </c>
      <c r="V122" s="250">
        <f>IFERROR(__xludf.DUMMYFUNCTION("""COMPUTED_VALUE"""),3639.0)</f>
        <v>3639</v>
      </c>
      <c r="W122" s="250">
        <f>IFERROR(__xludf.DUMMYFUNCTION("""COMPUTED_VALUE"""),3269.0)</f>
        <v>3269</v>
      </c>
      <c r="X122" t="b">
        <f t="shared" ref="X122:Z122" si="220">ISBLANK(K122)</f>
        <v>1</v>
      </c>
      <c r="Y122" t="b">
        <f t="shared" si="220"/>
        <v>0</v>
      </c>
      <c r="Z122" t="b">
        <f t="shared" si="220"/>
        <v>0</v>
      </c>
      <c r="AA122">
        <f t="shared" ref="AA122:AC122" si="221">IF(X122=FALSE,1,0)</f>
        <v>0</v>
      </c>
      <c r="AB122">
        <f t="shared" si="221"/>
        <v>1</v>
      </c>
      <c r="AC122">
        <f t="shared" si="221"/>
        <v>1</v>
      </c>
      <c r="AD122">
        <f t="shared" si="6"/>
        <v>2</v>
      </c>
      <c r="AE122">
        <f t="shared" si="7"/>
        <v>1</v>
      </c>
      <c r="AF122">
        <f>if(iferror(vlookup($A122,'Description Database'!$E$2:$H$951,3,0),0)=TRUE,1,0)</f>
        <v>0</v>
      </c>
      <c r="AG122">
        <f>if(iferror(vlookup($A122,'Description Database'!$E$2:$H$951,4,0),0)=TRUE,1,0)</f>
        <v>0</v>
      </c>
    </row>
    <row r="123">
      <c r="A123" t="str">
        <f>IFERROR(__xludf.DUMMYFUNCTION("""COMPUTED_VALUE"""),"Apple iPhone 5c (1 GB/16 GB)")</f>
        <v>Apple iPhone 5c (1 GB/16 GB)</v>
      </c>
      <c r="B123" t="str">
        <f>IFERROR(__xludf.DUMMYFUNCTION("""COMPUTED_VALUE"""),"")</f>
        <v/>
      </c>
      <c r="C123" t="str">
        <f>IFERROR(__xludf.DUMMYFUNCTION("""COMPUTED_VALUE"""),"")</f>
        <v/>
      </c>
      <c r="D123" t="str">
        <f>IFERROR(__xludf.DUMMYFUNCTION("""COMPUTED_VALUE"""),"")</f>
        <v/>
      </c>
      <c r="E123" t="str">
        <f>IFERROR(__xludf.DUMMYFUNCTION("""COMPUTED_VALUE"""),"")</f>
        <v/>
      </c>
      <c r="F123" t="str">
        <f>IFERROR(__xludf.DUMMYFUNCTION("""COMPUTED_VALUE"""),"")</f>
        <v/>
      </c>
      <c r="G123" t="str">
        <f>IFERROR(__xludf.DUMMYFUNCTION("""COMPUTED_VALUE"""),"")</f>
        <v/>
      </c>
      <c r="H123" t="str">
        <f>IFERROR(__xludf.DUMMYFUNCTION("""COMPUTED_VALUE"""),"")</f>
        <v/>
      </c>
      <c r="I123" t="str">
        <f>IFERROR(__xludf.DUMMYFUNCTION("""COMPUTED_VALUE"""),"")</f>
        <v/>
      </c>
      <c r="J123">
        <f>IFERROR(__xludf.DUMMYFUNCTION("""COMPUTED_VALUE"""),0.0)</f>
        <v>0</v>
      </c>
      <c r="L123" s="250" t="str">
        <f>IFERROR(__xludf.DUMMYFUNCTION("""COMPUTED_VALUE"""),"")</f>
        <v/>
      </c>
      <c r="M123" s="250" t="str">
        <f>IFERROR(__xludf.DUMMYFUNCTION("""COMPUTED_VALUE"""),"")</f>
        <v/>
      </c>
      <c r="N123" s="250" t="str">
        <f>IFERROR(__xludf.DUMMYFUNCTION("""COMPUTED_VALUE"""),"")</f>
        <v/>
      </c>
      <c r="O123" s="250" t="str">
        <f>IFERROR(__xludf.DUMMYFUNCTION("""COMPUTED_VALUE"""),"")</f>
        <v/>
      </c>
      <c r="P123" s="250" t="str">
        <f>IFERROR(__xludf.DUMMYFUNCTION("""COMPUTED_VALUE"""),"")</f>
        <v/>
      </c>
      <c r="Q123" s="250" t="str">
        <f>IFERROR(__xludf.DUMMYFUNCTION("""COMPUTED_VALUE"""),"")</f>
        <v/>
      </c>
      <c r="R123" s="250" t="str">
        <f>IFERROR(__xludf.DUMMYFUNCTION("""COMPUTED_VALUE"""),"")</f>
        <v/>
      </c>
      <c r="U123" s="250">
        <f>IFERROR(__xludf.DUMMYFUNCTION("""COMPUTED_VALUE"""),2719.0)</f>
        <v>2719</v>
      </c>
      <c r="V123" s="250">
        <f>IFERROR(__xludf.DUMMYFUNCTION("""COMPUTED_VALUE"""),2589.0)</f>
        <v>2589</v>
      </c>
      <c r="W123" s="250">
        <f>IFERROR(__xludf.DUMMYFUNCTION("""COMPUTED_VALUE"""),2339.0)</f>
        <v>2339</v>
      </c>
      <c r="X123" t="b">
        <f t="shared" ref="X123:Z123" si="222">ISBLANK(K123)</f>
        <v>1</v>
      </c>
      <c r="Y123" t="b">
        <f t="shared" si="222"/>
        <v>0</v>
      </c>
      <c r="Z123" t="b">
        <f t="shared" si="222"/>
        <v>0</v>
      </c>
      <c r="AA123">
        <f t="shared" ref="AA123:AC123" si="223">IF(X123=FALSE,1,0)</f>
        <v>0</v>
      </c>
      <c r="AB123">
        <f t="shared" si="223"/>
        <v>1</v>
      </c>
      <c r="AC123">
        <f t="shared" si="223"/>
        <v>1</v>
      </c>
      <c r="AD123">
        <f t="shared" si="6"/>
        <v>2</v>
      </c>
      <c r="AE123">
        <f t="shared" si="7"/>
        <v>1</v>
      </c>
      <c r="AF123">
        <f>if(iferror(vlookup($A123,'Description Database'!$E$2:$H$951,3,0),0)=TRUE,1,0)</f>
        <v>0</v>
      </c>
      <c r="AG123">
        <f>if(iferror(vlookup($A123,'Description Database'!$E$2:$H$951,4,0),0)=TRUE,1,0)</f>
        <v>0</v>
      </c>
    </row>
    <row r="124">
      <c r="A124" t="str">
        <f>IFERROR(__xludf.DUMMYFUNCTION("""COMPUTED_VALUE"""),"Oppo A37 (2 GB/16 GB)")</f>
        <v>Oppo A37 (2 GB/16 GB)</v>
      </c>
      <c r="B124" t="str">
        <f>IFERROR(__xludf.DUMMYFUNCTION("""COMPUTED_VALUE"""),"")</f>
        <v/>
      </c>
      <c r="C124" t="str">
        <f>IFERROR(__xludf.DUMMYFUNCTION("""COMPUTED_VALUE"""),"")</f>
        <v/>
      </c>
      <c r="D124" t="str">
        <f>IFERROR(__xludf.DUMMYFUNCTION("""COMPUTED_VALUE"""),"")</f>
        <v/>
      </c>
      <c r="E124" t="str">
        <f>IFERROR(__xludf.DUMMYFUNCTION("""COMPUTED_VALUE"""),"")</f>
        <v/>
      </c>
      <c r="F124" t="str">
        <f>IFERROR(__xludf.DUMMYFUNCTION("""COMPUTED_VALUE"""),"")</f>
        <v/>
      </c>
      <c r="G124" t="str">
        <f>IFERROR(__xludf.DUMMYFUNCTION("""COMPUTED_VALUE"""),"")</f>
        <v/>
      </c>
      <c r="H124" t="str">
        <f>IFERROR(__xludf.DUMMYFUNCTION("""COMPUTED_VALUE"""),"")</f>
        <v/>
      </c>
      <c r="I124" t="str">
        <f>IFERROR(__xludf.DUMMYFUNCTION("""COMPUTED_VALUE"""),"")</f>
        <v/>
      </c>
      <c r="J124">
        <f>IFERROR(__xludf.DUMMYFUNCTION("""COMPUTED_VALUE"""),0.0)</f>
        <v>0</v>
      </c>
      <c r="L124" s="250" t="str">
        <f>IFERROR(__xludf.DUMMYFUNCTION("""COMPUTED_VALUE"""),"")</f>
        <v/>
      </c>
      <c r="M124" s="250" t="str">
        <f>IFERROR(__xludf.DUMMYFUNCTION("""COMPUTED_VALUE"""),"")</f>
        <v/>
      </c>
      <c r="N124" s="250" t="str">
        <f>IFERROR(__xludf.DUMMYFUNCTION("""COMPUTED_VALUE"""),"")</f>
        <v/>
      </c>
      <c r="O124" s="250" t="str">
        <f>IFERROR(__xludf.DUMMYFUNCTION("""COMPUTED_VALUE"""),"")</f>
        <v/>
      </c>
      <c r="P124" s="250" t="str">
        <f>IFERROR(__xludf.DUMMYFUNCTION("""COMPUTED_VALUE"""),"")</f>
        <v/>
      </c>
      <c r="Q124" s="250" t="str">
        <f>IFERROR(__xludf.DUMMYFUNCTION("""COMPUTED_VALUE"""),"")</f>
        <v/>
      </c>
      <c r="R124" s="250" t="str">
        <f>IFERROR(__xludf.DUMMYFUNCTION("""COMPUTED_VALUE"""),"")</f>
        <v/>
      </c>
      <c r="U124" s="250">
        <f>IFERROR(__xludf.DUMMYFUNCTION("""COMPUTED_VALUE"""),3689.0)</f>
        <v>3689</v>
      </c>
      <c r="V124" s="250">
        <f>IFERROR(__xludf.DUMMYFUNCTION("""COMPUTED_VALUE"""),3509.0)</f>
        <v>3509</v>
      </c>
      <c r="W124" s="250">
        <f>IFERROR(__xludf.DUMMYFUNCTION("""COMPUTED_VALUE"""),3159.0)</f>
        <v>3159</v>
      </c>
      <c r="X124" t="b">
        <f t="shared" ref="X124:Z124" si="224">ISBLANK(K124)</f>
        <v>1</v>
      </c>
      <c r="Y124" t="b">
        <f t="shared" si="224"/>
        <v>0</v>
      </c>
      <c r="Z124" t="b">
        <f t="shared" si="224"/>
        <v>0</v>
      </c>
      <c r="AA124">
        <f t="shared" ref="AA124:AC124" si="225">IF(X124=FALSE,1,0)</f>
        <v>0</v>
      </c>
      <c r="AB124">
        <f t="shared" si="225"/>
        <v>1</v>
      </c>
      <c r="AC124">
        <f t="shared" si="225"/>
        <v>1</v>
      </c>
      <c r="AD124">
        <f t="shared" si="6"/>
        <v>2</v>
      </c>
      <c r="AE124">
        <f t="shared" si="7"/>
        <v>1</v>
      </c>
      <c r="AF124">
        <f>if(iferror(vlookup($A124,'Description Database'!$E$2:$H$951,3,0),0)=TRUE,1,0)</f>
        <v>0</v>
      </c>
      <c r="AG124">
        <f>if(iferror(vlookup($A124,'Description Database'!$E$2:$H$951,4,0),0)=TRUE,1,0)</f>
        <v>0</v>
      </c>
    </row>
    <row r="125">
      <c r="A125" t="str">
        <f>IFERROR(__xludf.DUMMYFUNCTION("""COMPUTED_VALUE"""),"Xiaomi POCO F1 (4 GB 64GB)")</f>
        <v>Xiaomi POCO F1 (4 GB 64GB)</v>
      </c>
      <c r="B125" t="str">
        <f>IFERROR(__xludf.DUMMYFUNCTION("""COMPUTED_VALUE"""),"")</f>
        <v/>
      </c>
      <c r="C125" t="str">
        <f>IFERROR(__xludf.DUMMYFUNCTION("""COMPUTED_VALUE"""),"")</f>
        <v/>
      </c>
      <c r="D125" t="str">
        <f>IFERROR(__xludf.DUMMYFUNCTION("""COMPUTED_VALUE"""),"")</f>
        <v/>
      </c>
      <c r="E125" t="str">
        <f>IFERROR(__xludf.DUMMYFUNCTION("""COMPUTED_VALUE"""),"")</f>
        <v/>
      </c>
      <c r="F125" t="str">
        <f>IFERROR(__xludf.DUMMYFUNCTION("""COMPUTED_VALUE"""),"")</f>
        <v/>
      </c>
      <c r="G125" t="str">
        <f>IFERROR(__xludf.DUMMYFUNCTION("""COMPUTED_VALUE"""),"")</f>
        <v/>
      </c>
      <c r="H125" t="str">
        <f>IFERROR(__xludf.DUMMYFUNCTION("""COMPUTED_VALUE"""),"")</f>
        <v/>
      </c>
      <c r="I125" t="str">
        <f>IFERROR(__xludf.DUMMYFUNCTION("""COMPUTED_VALUE"""),"")</f>
        <v/>
      </c>
      <c r="J125">
        <f>IFERROR(__xludf.DUMMYFUNCTION("""COMPUTED_VALUE"""),0.0)</f>
        <v>0</v>
      </c>
      <c r="L125" s="250" t="str">
        <f>IFERROR(__xludf.DUMMYFUNCTION("""COMPUTED_VALUE"""),"")</f>
        <v/>
      </c>
      <c r="M125" s="250" t="str">
        <f>IFERROR(__xludf.DUMMYFUNCTION("""COMPUTED_VALUE"""),"")</f>
        <v/>
      </c>
      <c r="N125" s="250" t="str">
        <f>IFERROR(__xludf.DUMMYFUNCTION("""COMPUTED_VALUE"""),"")</f>
        <v/>
      </c>
      <c r="O125" s="250" t="str">
        <f>IFERROR(__xludf.DUMMYFUNCTION("""COMPUTED_VALUE"""),"")</f>
        <v/>
      </c>
      <c r="P125" s="250" t="str">
        <f>IFERROR(__xludf.DUMMYFUNCTION("""COMPUTED_VALUE"""),"")</f>
        <v/>
      </c>
      <c r="Q125" s="250" t="str">
        <f>IFERROR(__xludf.DUMMYFUNCTION("""COMPUTED_VALUE"""),"")</f>
        <v/>
      </c>
      <c r="R125" s="250" t="str">
        <f>IFERROR(__xludf.DUMMYFUNCTION("""COMPUTED_VALUE"""),"")</f>
        <v/>
      </c>
      <c r="U125" s="250" t="str">
        <f>IFERROR(__xludf.DUMMYFUNCTION("""COMPUTED_VALUE"""),"#N/A")</f>
        <v>#N/A</v>
      </c>
      <c r="V125" s="250" t="str">
        <f>IFERROR(__xludf.DUMMYFUNCTION("""COMPUTED_VALUE"""),"#N/A")</f>
        <v>#N/A</v>
      </c>
      <c r="W125" s="250" t="str">
        <f>IFERROR(__xludf.DUMMYFUNCTION("""COMPUTED_VALUE"""),"#N/A")</f>
        <v>#N/A</v>
      </c>
      <c r="X125" t="b">
        <f t="shared" ref="X125:Z125" si="226">ISBLANK(K125)</f>
        <v>1</v>
      </c>
      <c r="Y125" t="b">
        <f t="shared" si="226"/>
        <v>0</v>
      </c>
      <c r="Z125" t="b">
        <f t="shared" si="226"/>
        <v>0</v>
      </c>
      <c r="AA125">
        <f t="shared" ref="AA125:AC125" si="227">IF(X125=FALSE,1,0)</f>
        <v>0</v>
      </c>
      <c r="AB125">
        <f t="shared" si="227"/>
        <v>1</v>
      </c>
      <c r="AC125">
        <f t="shared" si="227"/>
        <v>1</v>
      </c>
      <c r="AD125">
        <f t="shared" si="6"/>
        <v>2</v>
      </c>
      <c r="AE125">
        <f t="shared" si="7"/>
        <v>1</v>
      </c>
      <c r="AF125">
        <f>if(iferror(vlookup($A125,'Description Database'!$E$2:$H$951,3,0),0)=TRUE,1,0)</f>
        <v>0</v>
      </c>
      <c r="AG125">
        <f>if(iferror(vlookup($A125,'Description Database'!$E$2:$H$951,4,0),0)=TRUE,1,0)</f>
        <v>0</v>
      </c>
    </row>
    <row r="126">
      <c r="A126" t="str">
        <f>IFERROR(__xludf.DUMMYFUNCTION("""COMPUTED_VALUE"""),"Oppo A9 (4 GB/128 GB)")</f>
        <v>Oppo A9 (4 GB/128 GB)</v>
      </c>
      <c r="B126" t="str">
        <f>IFERROR(__xludf.DUMMYFUNCTION("""COMPUTED_VALUE"""),"")</f>
        <v/>
      </c>
      <c r="C126" t="str">
        <f>IFERROR(__xludf.DUMMYFUNCTION("""COMPUTED_VALUE"""),"")</f>
        <v/>
      </c>
      <c r="D126" t="str">
        <f>IFERROR(__xludf.DUMMYFUNCTION("""COMPUTED_VALUE"""),"")</f>
        <v/>
      </c>
      <c r="E126" t="str">
        <f>IFERROR(__xludf.DUMMYFUNCTION("""COMPUTED_VALUE"""),"")</f>
        <v/>
      </c>
      <c r="F126" t="str">
        <f>IFERROR(__xludf.DUMMYFUNCTION("""COMPUTED_VALUE"""),"")</f>
        <v/>
      </c>
      <c r="G126" t="str">
        <f>IFERROR(__xludf.DUMMYFUNCTION("""COMPUTED_VALUE"""),"")</f>
        <v/>
      </c>
      <c r="H126" t="str">
        <f>IFERROR(__xludf.DUMMYFUNCTION("""COMPUTED_VALUE"""),"")</f>
        <v/>
      </c>
      <c r="I126" t="str">
        <f>IFERROR(__xludf.DUMMYFUNCTION("""COMPUTED_VALUE"""),"")</f>
        <v/>
      </c>
      <c r="J126">
        <f>IFERROR(__xludf.DUMMYFUNCTION("""COMPUTED_VALUE"""),0.0)</f>
        <v>0</v>
      </c>
      <c r="L126" s="250" t="str">
        <f>IFERROR(__xludf.DUMMYFUNCTION("""COMPUTED_VALUE"""),"")</f>
        <v/>
      </c>
      <c r="M126" s="250" t="str">
        <f>IFERROR(__xludf.DUMMYFUNCTION("""COMPUTED_VALUE"""),"")</f>
        <v/>
      </c>
      <c r="N126" s="250" t="str">
        <f>IFERROR(__xludf.DUMMYFUNCTION("""COMPUTED_VALUE"""),"")</f>
        <v/>
      </c>
      <c r="O126" s="250" t="str">
        <f>IFERROR(__xludf.DUMMYFUNCTION("""COMPUTED_VALUE"""),"")</f>
        <v/>
      </c>
      <c r="P126" s="250" t="str">
        <f>IFERROR(__xludf.DUMMYFUNCTION("""COMPUTED_VALUE"""),"")</f>
        <v/>
      </c>
      <c r="Q126" s="250" t="str">
        <f>IFERROR(__xludf.DUMMYFUNCTION("""COMPUTED_VALUE"""),"")</f>
        <v/>
      </c>
      <c r="R126" s="250" t="str">
        <f>IFERROR(__xludf.DUMMYFUNCTION("""COMPUTED_VALUE"""),"")</f>
        <v/>
      </c>
      <c r="U126" s="250">
        <f>IFERROR(__xludf.DUMMYFUNCTION("""COMPUTED_VALUE"""),9709.0)</f>
        <v>9709</v>
      </c>
      <c r="V126" s="250">
        <f>IFERROR(__xludf.DUMMYFUNCTION("""COMPUTED_VALUE"""),9239.0)</f>
        <v>9239</v>
      </c>
      <c r="W126" s="250">
        <f>IFERROR(__xludf.DUMMYFUNCTION("""COMPUTED_VALUE"""),8319.0)</f>
        <v>8319</v>
      </c>
      <c r="X126" t="b">
        <f t="shared" ref="X126:Z126" si="228">ISBLANK(K126)</f>
        <v>1</v>
      </c>
      <c r="Y126" t="b">
        <f t="shared" si="228"/>
        <v>0</v>
      </c>
      <c r="Z126" t="b">
        <f t="shared" si="228"/>
        <v>0</v>
      </c>
      <c r="AA126">
        <f t="shared" ref="AA126:AC126" si="229">IF(X126=FALSE,1,0)</f>
        <v>0</v>
      </c>
      <c r="AB126">
        <f t="shared" si="229"/>
        <v>1</v>
      </c>
      <c r="AC126">
        <f t="shared" si="229"/>
        <v>1</v>
      </c>
      <c r="AD126">
        <f t="shared" si="6"/>
        <v>2</v>
      </c>
      <c r="AE126">
        <f t="shared" si="7"/>
        <v>1</v>
      </c>
      <c r="AF126">
        <f>if(iferror(vlookup($A126,'Description Database'!$E$2:$H$951,3,0),0)=TRUE,1,0)</f>
        <v>0</v>
      </c>
      <c r="AG126">
        <f>if(iferror(vlookup($A126,'Description Database'!$E$2:$H$951,4,0),0)=TRUE,1,0)</f>
        <v>0</v>
      </c>
    </row>
    <row r="127">
      <c r="A127" t="str">
        <f>IFERROR(__xludf.DUMMYFUNCTION("""COMPUTED_VALUE"""),"Lenovo Vibe K5 Plus (2 GB/16 GB)")</f>
        <v>Lenovo Vibe K5 Plus (2 GB/16 GB)</v>
      </c>
      <c r="B127" t="str">
        <f>IFERROR(__xludf.DUMMYFUNCTION("""COMPUTED_VALUE"""),"")</f>
        <v/>
      </c>
      <c r="C127" t="str">
        <f>IFERROR(__xludf.DUMMYFUNCTION("""COMPUTED_VALUE"""),"")</f>
        <v/>
      </c>
      <c r="D127" t="str">
        <f>IFERROR(__xludf.DUMMYFUNCTION("""COMPUTED_VALUE"""),"")</f>
        <v/>
      </c>
      <c r="E127" t="str">
        <f>IFERROR(__xludf.DUMMYFUNCTION("""COMPUTED_VALUE"""),"")</f>
        <v/>
      </c>
      <c r="F127">
        <f>IFERROR(__xludf.DUMMYFUNCTION("""COMPUTED_VALUE"""),3.0)</f>
        <v>3</v>
      </c>
      <c r="G127">
        <f>IFERROR(__xludf.DUMMYFUNCTION("""COMPUTED_VALUE"""),2.0)</f>
        <v>2</v>
      </c>
      <c r="H127">
        <f>IFERROR(__xludf.DUMMYFUNCTION("""COMPUTED_VALUE"""),2.0)</f>
        <v>2</v>
      </c>
      <c r="I127">
        <f>IFERROR(__xludf.DUMMYFUNCTION("""COMPUTED_VALUE"""),11.0)</f>
        <v>11</v>
      </c>
      <c r="J127">
        <f>IFERROR(__xludf.DUMMYFUNCTION("""COMPUTED_VALUE"""),18.0)</f>
        <v>18</v>
      </c>
      <c r="L127" s="250" t="str">
        <f>IFERROR(__xludf.DUMMYFUNCTION("""COMPUTED_VALUE"""),"")</f>
        <v/>
      </c>
      <c r="M127" s="250" t="str">
        <f>IFERROR(__xludf.DUMMYFUNCTION("""COMPUTED_VALUE"""),"")</f>
        <v/>
      </c>
      <c r="N127" s="250" t="str">
        <f>IFERROR(__xludf.DUMMYFUNCTION("""COMPUTED_VALUE"""),"")</f>
        <v/>
      </c>
      <c r="O127" s="250" t="str">
        <f>IFERROR(__xludf.DUMMYFUNCTION("""COMPUTED_VALUE"""),"")</f>
        <v/>
      </c>
      <c r="P127" s="250">
        <f>IFERROR(__xludf.DUMMYFUNCTION("""COMPUTED_VALUE"""),1829.0)</f>
        <v>1829</v>
      </c>
      <c r="Q127" s="250">
        <f>IFERROR(__xludf.DUMMYFUNCTION("""COMPUTED_VALUE"""),1359.0)</f>
        <v>1359</v>
      </c>
      <c r="R127" s="250">
        <f>IFERROR(__xludf.DUMMYFUNCTION("""COMPUTED_VALUE"""),969.0)</f>
        <v>969</v>
      </c>
      <c r="U127" s="250">
        <f>IFERROR(__xludf.DUMMYFUNCTION("""COMPUTED_VALUE"""),2839.0)</f>
        <v>2839</v>
      </c>
      <c r="V127" s="250">
        <f>IFERROR(__xludf.DUMMYFUNCTION("""COMPUTED_VALUE"""),2699.0)</f>
        <v>2699</v>
      </c>
      <c r="W127" s="250">
        <f>IFERROR(__xludf.DUMMYFUNCTION("""COMPUTED_VALUE"""),2429.0)</f>
        <v>2429</v>
      </c>
      <c r="X127" t="b">
        <f t="shared" ref="X127:Z127" si="230">ISBLANK(K127)</f>
        <v>1</v>
      </c>
      <c r="Y127" t="b">
        <f t="shared" si="230"/>
        <v>0</v>
      </c>
      <c r="Z127" t="b">
        <f t="shared" si="230"/>
        <v>0</v>
      </c>
      <c r="AA127">
        <f t="shared" ref="AA127:AC127" si="231">IF(X127=FALSE,1,0)</f>
        <v>0</v>
      </c>
      <c r="AB127">
        <f t="shared" si="231"/>
        <v>1</v>
      </c>
      <c r="AC127">
        <f t="shared" si="231"/>
        <v>1</v>
      </c>
      <c r="AD127">
        <f t="shared" si="6"/>
        <v>2</v>
      </c>
      <c r="AE127">
        <f t="shared" si="7"/>
        <v>1</v>
      </c>
      <c r="AF127">
        <f>if(iferror(vlookup($A127,'Description Database'!$E$2:$H$951,3,0),0)=TRUE,1,0)</f>
        <v>0</v>
      </c>
      <c r="AG127">
        <f>if(iferror(vlookup($A127,'Description Database'!$E$2:$H$951,4,0),0)=TRUE,1,0)</f>
        <v>0</v>
      </c>
    </row>
    <row r="128">
      <c r="A128" t="str">
        <f>IFERROR(__xludf.DUMMYFUNCTION("""COMPUTED_VALUE"""),"OnePlus Nord (8 GB/128 GB)")</f>
        <v>OnePlus Nord (8 GB/128 GB)</v>
      </c>
      <c r="B128" t="str">
        <f>IFERROR(__xludf.DUMMYFUNCTION("""COMPUTED_VALUE"""),"")</f>
        <v/>
      </c>
      <c r="C128" t="str">
        <f>IFERROR(__xludf.DUMMYFUNCTION("""COMPUTED_VALUE"""),"")</f>
        <v/>
      </c>
      <c r="D128">
        <f>IFERROR(__xludf.DUMMYFUNCTION("""COMPUTED_VALUE"""),1.0)</f>
        <v>1</v>
      </c>
      <c r="E128" t="str">
        <f>IFERROR(__xludf.DUMMYFUNCTION("""COMPUTED_VALUE"""),"")</f>
        <v/>
      </c>
      <c r="F128" t="str">
        <f>IFERROR(__xludf.DUMMYFUNCTION("""COMPUTED_VALUE"""),"")</f>
        <v/>
      </c>
      <c r="G128" t="str">
        <f>IFERROR(__xludf.DUMMYFUNCTION("""COMPUTED_VALUE"""),"")</f>
        <v/>
      </c>
      <c r="H128" t="str">
        <f>IFERROR(__xludf.DUMMYFUNCTION("""COMPUTED_VALUE"""),"")</f>
        <v/>
      </c>
      <c r="I128" t="str">
        <f>IFERROR(__xludf.DUMMYFUNCTION("""COMPUTED_VALUE"""),"")</f>
        <v/>
      </c>
      <c r="J128">
        <f>IFERROR(__xludf.DUMMYFUNCTION("""COMPUTED_VALUE"""),1.0)</f>
        <v>1</v>
      </c>
      <c r="L128" s="250" t="str">
        <f>IFERROR(__xludf.DUMMYFUNCTION("""COMPUTED_VALUE"""),"")</f>
        <v/>
      </c>
      <c r="M128" s="250" t="str">
        <f>IFERROR(__xludf.DUMMYFUNCTION("""COMPUTED_VALUE"""),"")</f>
        <v/>
      </c>
      <c r="N128" s="250">
        <f>IFERROR(__xludf.DUMMYFUNCTION("""COMPUTED_VALUE"""),17809.0)</f>
        <v>17809</v>
      </c>
      <c r="O128" s="250" t="str">
        <f>IFERROR(__xludf.DUMMYFUNCTION("""COMPUTED_VALUE"""),"")</f>
        <v/>
      </c>
      <c r="P128" s="250" t="str">
        <f>IFERROR(__xludf.DUMMYFUNCTION("""COMPUTED_VALUE"""),"")</f>
        <v/>
      </c>
      <c r="Q128" s="250" t="str">
        <f>IFERROR(__xludf.DUMMYFUNCTION("""COMPUTED_VALUE"""),"")</f>
        <v/>
      </c>
      <c r="R128" s="250" t="str">
        <f>IFERROR(__xludf.DUMMYFUNCTION("""COMPUTED_VALUE"""),"")</f>
        <v/>
      </c>
      <c r="U128" s="250">
        <f>IFERROR(__xludf.DUMMYFUNCTION("""COMPUTED_VALUE"""),22859.0)</f>
        <v>22859</v>
      </c>
      <c r="V128" s="250">
        <f>IFERROR(__xludf.DUMMYFUNCTION("""COMPUTED_VALUE"""),21769.0)</f>
        <v>21769</v>
      </c>
      <c r="W128" s="250">
        <f>IFERROR(__xludf.DUMMYFUNCTION("""COMPUTED_VALUE"""),19589.0)</f>
        <v>19589</v>
      </c>
      <c r="X128" t="b">
        <f t="shared" ref="X128:Z128" si="232">ISBLANK(K128)</f>
        <v>1</v>
      </c>
      <c r="Y128" t="b">
        <f t="shared" si="232"/>
        <v>0</v>
      </c>
      <c r="Z128" t="b">
        <f t="shared" si="232"/>
        <v>0</v>
      </c>
      <c r="AA128">
        <f t="shared" ref="AA128:AC128" si="233">IF(X128=FALSE,1,0)</f>
        <v>0</v>
      </c>
      <c r="AB128">
        <f t="shared" si="233"/>
        <v>1</v>
      </c>
      <c r="AC128">
        <f t="shared" si="233"/>
        <v>1</v>
      </c>
      <c r="AD128">
        <f t="shared" si="6"/>
        <v>2</v>
      </c>
      <c r="AE128">
        <f t="shared" si="7"/>
        <v>1</v>
      </c>
      <c r="AF128">
        <f>if(iferror(vlookup($A128,'Description Database'!$E$2:$H$951,3,0),0)=TRUE,1,0)</f>
        <v>0</v>
      </c>
      <c r="AG128">
        <f>if(iferror(vlookup($A128,'Description Database'!$E$2:$H$951,4,0),0)=TRUE,1,0)</f>
        <v>0</v>
      </c>
    </row>
    <row r="129">
      <c r="A129" t="str">
        <f>IFERROR(__xludf.DUMMYFUNCTION("""COMPUTED_VALUE"""),"OPPO A31 (4 GB/64 GB)")</f>
        <v>OPPO A31 (4 GB/64 GB)</v>
      </c>
      <c r="B129" t="str">
        <f>IFERROR(__xludf.DUMMYFUNCTION("""COMPUTED_VALUE"""),"")</f>
        <v/>
      </c>
      <c r="C129" t="str">
        <f>IFERROR(__xludf.DUMMYFUNCTION("""COMPUTED_VALUE"""),"")</f>
        <v/>
      </c>
      <c r="D129" t="str">
        <f>IFERROR(__xludf.DUMMYFUNCTION("""COMPUTED_VALUE"""),"")</f>
        <v/>
      </c>
      <c r="E129" t="str">
        <f>IFERROR(__xludf.DUMMYFUNCTION("""COMPUTED_VALUE"""),"")</f>
        <v/>
      </c>
      <c r="F129" t="str">
        <f>IFERROR(__xludf.DUMMYFUNCTION("""COMPUTED_VALUE"""),"")</f>
        <v/>
      </c>
      <c r="G129" t="str">
        <f>IFERROR(__xludf.DUMMYFUNCTION("""COMPUTED_VALUE"""),"")</f>
        <v/>
      </c>
      <c r="H129" t="str">
        <f>IFERROR(__xludf.DUMMYFUNCTION("""COMPUTED_VALUE"""),"")</f>
        <v/>
      </c>
      <c r="I129" t="str">
        <f>IFERROR(__xludf.DUMMYFUNCTION("""COMPUTED_VALUE"""),"")</f>
        <v/>
      </c>
      <c r="J129">
        <f>IFERROR(__xludf.DUMMYFUNCTION("""COMPUTED_VALUE"""),0.0)</f>
        <v>0</v>
      </c>
      <c r="L129" s="250" t="str">
        <f>IFERROR(__xludf.DUMMYFUNCTION("""COMPUTED_VALUE"""),"")</f>
        <v/>
      </c>
      <c r="M129" s="250" t="str">
        <f>IFERROR(__xludf.DUMMYFUNCTION("""COMPUTED_VALUE"""),"")</f>
        <v/>
      </c>
      <c r="N129" s="250" t="str">
        <f>IFERROR(__xludf.DUMMYFUNCTION("""COMPUTED_VALUE"""),"")</f>
        <v/>
      </c>
      <c r="O129" s="250" t="str">
        <f>IFERROR(__xludf.DUMMYFUNCTION("""COMPUTED_VALUE"""),"")</f>
        <v/>
      </c>
      <c r="P129" s="250" t="str">
        <f>IFERROR(__xludf.DUMMYFUNCTION("""COMPUTED_VALUE"""),"")</f>
        <v/>
      </c>
      <c r="Q129" s="250" t="str">
        <f>IFERROR(__xludf.DUMMYFUNCTION("""COMPUTED_VALUE"""),"")</f>
        <v/>
      </c>
      <c r="R129" s="250" t="str">
        <f>IFERROR(__xludf.DUMMYFUNCTION("""COMPUTED_VALUE"""),"")</f>
        <v/>
      </c>
      <c r="U129" s="250">
        <f>IFERROR(__xludf.DUMMYFUNCTION("""COMPUTED_VALUE"""),9249.0)</f>
        <v>9249</v>
      </c>
      <c r="V129" s="250">
        <f>IFERROR(__xludf.DUMMYFUNCTION("""COMPUTED_VALUE"""),8809.0)</f>
        <v>8809</v>
      </c>
      <c r="W129" s="250">
        <f>IFERROR(__xludf.DUMMYFUNCTION("""COMPUTED_VALUE"""),7949.0)</f>
        <v>7949</v>
      </c>
      <c r="X129" t="b">
        <f t="shared" ref="X129:Z129" si="234">ISBLANK(K129)</f>
        <v>1</v>
      </c>
      <c r="Y129" t="b">
        <f t="shared" si="234"/>
        <v>0</v>
      </c>
      <c r="Z129" t="b">
        <f t="shared" si="234"/>
        <v>0</v>
      </c>
      <c r="AA129">
        <f t="shared" ref="AA129:AC129" si="235">IF(X129=FALSE,1,0)</f>
        <v>0</v>
      </c>
      <c r="AB129">
        <f t="shared" si="235"/>
        <v>1</v>
      </c>
      <c r="AC129">
        <f t="shared" si="235"/>
        <v>1</v>
      </c>
      <c r="AD129">
        <f t="shared" si="6"/>
        <v>2</v>
      </c>
      <c r="AE129">
        <f t="shared" si="7"/>
        <v>1</v>
      </c>
      <c r="AF129">
        <f>if(iferror(vlookup($A129,'Description Database'!$E$2:$H$951,3,0),0)=TRUE,1,0)</f>
        <v>0</v>
      </c>
      <c r="AG129">
        <f>if(iferror(vlookup($A129,'Description Database'!$E$2:$H$951,4,0),0)=TRUE,1,0)</f>
        <v>0</v>
      </c>
    </row>
    <row r="130">
      <c r="A130" t="str">
        <f>IFERROR(__xludf.DUMMYFUNCTION("""COMPUTED_VALUE"""),"Vivo V15 (6 GB/64 GB)")</f>
        <v>Vivo V15 (6 GB/64 GB)</v>
      </c>
      <c r="B130" t="str">
        <f>IFERROR(__xludf.DUMMYFUNCTION("""COMPUTED_VALUE"""),"")</f>
        <v/>
      </c>
      <c r="C130" t="str">
        <f>IFERROR(__xludf.DUMMYFUNCTION("""COMPUTED_VALUE"""),"")</f>
        <v/>
      </c>
      <c r="D130" t="str">
        <f>IFERROR(__xludf.DUMMYFUNCTION("""COMPUTED_VALUE"""),"")</f>
        <v/>
      </c>
      <c r="E130">
        <f>IFERROR(__xludf.DUMMYFUNCTION("""COMPUTED_VALUE"""),1.0)</f>
        <v>1</v>
      </c>
      <c r="F130" t="str">
        <f>IFERROR(__xludf.DUMMYFUNCTION("""COMPUTED_VALUE"""),"")</f>
        <v/>
      </c>
      <c r="G130">
        <f>IFERROR(__xludf.DUMMYFUNCTION("""COMPUTED_VALUE"""),1.0)</f>
        <v>1</v>
      </c>
      <c r="H130">
        <f>IFERROR(__xludf.DUMMYFUNCTION("""COMPUTED_VALUE"""),1.0)</f>
        <v>1</v>
      </c>
      <c r="I130">
        <f>IFERROR(__xludf.DUMMYFUNCTION("""COMPUTED_VALUE"""),4.0)</f>
        <v>4</v>
      </c>
      <c r="J130">
        <f>IFERROR(__xludf.DUMMYFUNCTION("""COMPUTED_VALUE"""),7.0)</f>
        <v>7</v>
      </c>
      <c r="L130" s="250" t="str">
        <f>IFERROR(__xludf.DUMMYFUNCTION("""COMPUTED_VALUE"""),"")</f>
        <v/>
      </c>
      <c r="M130" s="250" t="str">
        <f>IFERROR(__xludf.DUMMYFUNCTION("""COMPUTED_VALUE"""),"")</f>
        <v/>
      </c>
      <c r="N130" s="250" t="str">
        <f>IFERROR(__xludf.DUMMYFUNCTION("""COMPUTED_VALUE"""),"")</f>
        <v/>
      </c>
      <c r="O130" s="250">
        <f>IFERROR(__xludf.DUMMYFUNCTION("""COMPUTED_VALUE"""),7854.0)</f>
        <v>7854</v>
      </c>
      <c r="P130" s="250" t="str">
        <f>IFERROR(__xludf.DUMMYFUNCTION("""COMPUTED_VALUE"""),"")</f>
        <v/>
      </c>
      <c r="Q130" s="250">
        <f>IFERROR(__xludf.DUMMYFUNCTION("""COMPUTED_VALUE"""),4999.0)</f>
        <v>4999</v>
      </c>
      <c r="R130" s="250">
        <f>IFERROR(__xludf.DUMMYFUNCTION("""COMPUTED_VALUE"""),3759.0)</f>
        <v>3759</v>
      </c>
      <c r="U130" s="250">
        <f>IFERROR(__xludf.DUMMYFUNCTION("""COMPUTED_VALUE"""),10969.0)</f>
        <v>10969</v>
      </c>
      <c r="V130" s="250">
        <f>IFERROR(__xludf.DUMMYFUNCTION("""COMPUTED_VALUE"""),10439.0)</f>
        <v>10439</v>
      </c>
      <c r="W130" s="250">
        <f>IFERROR(__xludf.DUMMYFUNCTION("""COMPUTED_VALUE"""),9399.0)</f>
        <v>9399</v>
      </c>
      <c r="X130" t="b">
        <f t="shared" ref="X130:Z130" si="236">ISBLANK(K130)</f>
        <v>1</v>
      </c>
      <c r="Y130" t="b">
        <f t="shared" si="236"/>
        <v>0</v>
      </c>
      <c r="Z130" t="b">
        <f t="shared" si="236"/>
        <v>0</v>
      </c>
      <c r="AA130">
        <f t="shared" ref="AA130:AC130" si="237">IF(X130=FALSE,1,0)</f>
        <v>0</v>
      </c>
      <c r="AB130">
        <f t="shared" si="237"/>
        <v>1</v>
      </c>
      <c r="AC130">
        <f t="shared" si="237"/>
        <v>1</v>
      </c>
      <c r="AD130">
        <f t="shared" si="6"/>
        <v>2</v>
      </c>
      <c r="AE130">
        <f t="shared" si="7"/>
        <v>1</v>
      </c>
      <c r="AF130">
        <f>if(iferror(vlookup($A130,'Description Database'!$E$2:$H$951,3,0),0)=TRUE,1,0)</f>
        <v>0</v>
      </c>
      <c r="AG130">
        <f>if(iferror(vlookup($A130,'Description Database'!$E$2:$H$951,4,0),0)=TRUE,1,0)</f>
        <v>0</v>
      </c>
    </row>
    <row r="131">
      <c r="A131" t="str">
        <f>IFERROR(__xludf.DUMMYFUNCTION("""COMPUTED_VALUE"""),"Samsung Galaxy J8 (4 GB/64 GB)")</f>
        <v>Samsung Galaxy J8 (4 GB/64 GB)</v>
      </c>
      <c r="B131" t="str">
        <f>IFERROR(__xludf.DUMMYFUNCTION("""COMPUTED_VALUE"""),"")</f>
        <v/>
      </c>
      <c r="C131" t="str">
        <f>IFERROR(__xludf.DUMMYFUNCTION("""COMPUTED_VALUE"""),"")</f>
        <v/>
      </c>
      <c r="D131" t="str">
        <f>IFERROR(__xludf.DUMMYFUNCTION("""COMPUTED_VALUE"""),"")</f>
        <v/>
      </c>
      <c r="E131" t="str">
        <f>IFERROR(__xludf.DUMMYFUNCTION("""COMPUTED_VALUE"""),"")</f>
        <v/>
      </c>
      <c r="F131" t="str">
        <f>IFERROR(__xludf.DUMMYFUNCTION("""COMPUTED_VALUE"""),"")</f>
        <v/>
      </c>
      <c r="G131">
        <f>IFERROR(__xludf.DUMMYFUNCTION("""COMPUTED_VALUE"""),2.0)</f>
        <v>2</v>
      </c>
      <c r="H131" t="str">
        <f>IFERROR(__xludf.DUMMYFUNCTION("""COMPUTED_VALUE"""),"")</f>
        <v/>
      </c>
      <c r="I131">
        <f>IFERROR(__xludf.DUMMYFUNCTION("""COMPUTED_VALUE"""),1.0)</f>
        <v>1</v>
      </c>
      <c r="J131">
        <f>IFERROR(__xludf.DUMMYFUNCTION("""COMPUTED_VALUE"""),3.0)</f>
        <v>3</v>
      </c>
      <c r="L131" s="250" t="str">
        <f>IFERROR(__xludf.DUMMYFUNCTION("""COMPUTED_VALUE"""),"")</f>
        <v/>
      </c>
      <c r="M131" s="250" t="str">
        <f>IFERROR(__xludf.DUMMYFUNCTION("""COMPUTED_VALUE"""),"")</f>
        <v/>
      </c>
      <c r="N131" s="250" t="str">
        <f>IFERROR(__xludf.DUMMYFUNCTION("""COMPUTED_VALUE"""),"")</f>
        <v/>
      </c>
      <c r="O131" s="250" t="str">
        <f>IFERROR(__xludf.DUMMYFUNCTION("""COMPUTED_VALUE"""),"")</f>
        <v/>
      </c>
      <c r="P131" s="250" t="str">
        <f>IFERROR(__xludf.DUMMYFUNCTION("""COMPUTED_VALUE"""),"")</f>
        <v/>
      </c>
      <c r="Q131" s="250">
        <f>IFERROR(__xludf.DUMMYFUNCTION("""COMPUTED_VALUE"""),2319.0)</f>
        <v>2319</v>
      </c>
      <c r="R131" s="250" t="str">
        <f>IFERROR(__xludf.DUMMYFUNCTION("""COMPUTED_VALUE"""),"")</f>
        <v/>
      </c>
      <c r="U131" s="250">
        <f>IFERROR(__xludf.DUMMYFUNCTION("""COMPUTED_VALUE"""),6189.0)</f>
        <v>6189</v>
      </c>
      <c r="V131" s="250">
        <f>IFERROR(__xludf.DUMMYFUNCTION("""COMPUTED_VALUE"""),5889.0)</f>
        <v>5889</v>
      </c>
      <c r="W131" s="250">
        <f>IFERROR(__xludf.DUMMYFUNCTION("""COMPUTED_VALUE"""),5379.0)</f>
        <v>5379</v>
      </c>
      <c r="X131" t="b">
        <f t="shared" ref="X131:Z131" si="238">ISBLANK(K131)</f>
        <v>1</v>
      </c>
      <c r="Y131" t="b">
        <f t="shared" si="238"/>
        <v>0</v>
      </c>
      <c r="Z131" t="b">
        <f t="shared" si="238"/>
        <v>0</v>
      </c>
      <c r="AA131">
        <f t="shared" ref="AA131:AC131" si="239">IF(X131=FALSE,1,0)</f>
        <v>0</v>
      </c>
      <c r="AB131">
        <f t="shared" si="239"/>
        <v>1</v>
      </c>
      <c r="AC131">
        <f t="shared" si="239"/>
        <v>1</v>
      </c>
      <c r="AD131">
        <f t="shared" si="6"/>
        <v>2</v>
      </c>
      <c r="AE131">
        <f t="shared" si="7"/>
        <v>1</v>
      </c>
      <c r="AF131">
        <f>if(iferror(vlookup($A131,'Description Database'!$E$2:$H$951,3,0),0)=TRUE,1,0)</f>
        <v>0</v>
      </c>
      <c r="AG131">
        <f>if(iferror(vlookup($A131,'Description Database'!$E$2:$H$951,4,0),0)=TRUE,1,0)</f>
        <v>0</v>
      </c>
    </row>
    <row r="132">
      <c r="A132" t="str">
        <f>IFERROR(__xludf.DUMMYFUNCTION("""COMPUTED_VALUE"""),"Vivo Z1 Pro (4 GB/64 GB)")</f>
        <v>Vivo Z1 Pro (4 GB/64 GB)</v>
      </c>
      <c r="B132" t="str">
        <f>IFERROR(__xludf.DUMMYFUNCTION("""COMPUTED_VALUE"""),"")</f>
        <v/>
      </c>
      <c r="C132" t="str">
        <f>IFERROR(__xludf.DUMMYFUNCTION("""COMPUTED_VALUE"""),"")</f>
        <v/>
      </c>
      <c r="D132" t="str">
        <f>IFERROR(__xludf.DUMMYFUNCTION("""COMPUTED_VALUE"""),"")</f>
        <v/>
      </c>
      <c r="E132">
        <f>IFERROR(__xludf.DUMMYFUNCTION("""COMPUTED_VALUE"""),1.0)</f>
        <v>1</v>
      </c>
      <c r="F132">
        <f>IFERROR(__xludf.DUMMYFUNCTION("""COMPUTED_VALUE"""),1.0)</f>
        <v>1</v>
      </c>
      <c r="G132" t="str">
        <f>IFERROR(__xludf.DUMMYFUNCTION("""COMPUTED_VALUE"""),"")</f>
        <v/>
      </c>
      <c r="H132" t="str">
        <f>IFERROR(__xludf.DUMMYFUNCTION("""COMPUTED_VALUE"""),"")</f>
        <v/>
      </c>
      <c r="I132" t="str">
        <f>IFERROR(__xludf.DUMMYFUNCTION("""COMPUTED_VALUE"""),"")</f>
        <v/>
      </c>
      <c r="J132">
        <f>IFERROR(__xludf.DUMMYFUNCTION("""COMPUTED_VALUE"""),2.0)</f>
        <v>2</v>
      </c>
      <c r="L132" s="250" t="str">
        <f>IFERROR(__xludf.DUMMYFUNCTION("""COMPUTED_VALUE"""),"")</f>
        <v/>
      </c>
      <c r="M132" s="250" t="str">
        <f>IFERROR(__xludf.DUMMYFUNCTION("""COMPUTED_VALUE"""),"")</f>
        <v/>
      </c>
      <c r="N132" s="250" t="str">
        <f>IFERROR(__xludf.DUMMYFUNCTION("""COMPUTED_VALUE"""),"")</f>
        <v/>
      </c>
      <c r="O132" s="250">
        <f>IFERROR(__xludf.DUMMYFUNCTION("""COMPUTED_VALUE"""),7349.0)</f>
        <v>7349</v>
      </c>
      <c r="P132" s="250">
        <f>IFERROR(__xludf.DUMMYFUNCTION("""COMPUTED_VALUE"""),6709.0)</f>
        <v>6709</v>
      </c>
      <c r="Q132" s="250" t="str">
        <f>IFERROR(__xludf.DUMMYFUNCTION("""COMPUTED_VALUE"""),"")</f>
        <v/>
      </c>
      <c r="R132" s="250" t="str">
        <f>IFERROR(__xludf.DUMMYFUNCTION("""COMPUTED_VALUE"""),"")</f>
        <v/>
      </c>
      <c r="U132" s="250">
        <f>IFERROR(__xludf.DUMMYFUNCTION("""COMPUTED_VALUE"""),10269.0)</f>
        <v>10269</v>
      </c>
      <c r="V132" s="250">
        <f>IFERROR(__xludf.DUMMYFUNCTION("""COMPUTED_VALUE"""),9769.0)</f>
        <v>9769</v>
      </c>
      <c r="W132" s="250">
        <f>IFERROR(__xludf.DUMMYFUNCTION("""COMPUTED_VALUE"""),8789.0)</f>
        <v>8789</v>
      </c>
      <c r="X132" t="b">
        <f t="shared" ref="X132:Z132" si="240">ISBLANK(K132)</f>
        <v>1</v>
      </c>
      <c r="Y132" t="b">
        <f t="shared" si="240"/>
        <v>0</v>
      </c>
      <c r="Z132" t="b">
        <f t="shared" si="240"/>
        <v>0</v>
      </c>
      <c r="AA132">
        <f t="shared" ref="AA132:AC132" si="241">IF(X132=FALSE,1,0)</f>
        <v>0</v>
      </c>
      <c r="AB132">
        <f t="shared" si="241"/>
        <v>1</v>
      </c>
      <c r="AC132">
        <f t="shared" si="241"/>
        <v>1</v>
      </c>
      <c r="AD132">
        <f t="shared" si="6"/>
        <v>2</v>
      </c>
      <c r="AE132">
        <f t="shared" si="7"/>
        <v>1</v>
      </c>
      <c r="AF132">
        <f>if(iferror(vlookup($A132,'Description Database'!$E$2:$H$951,3,0),0)=TRUE,1,0)</f>
        <v>0</v>
      </c>
      <c r="AG132">
        <f>if(iferror(vlookup($A132,'Description Database'!$E$2:$H$951,4,0),0)=TRUE,1,0)</f>
        <v>0</v>
      </c>
    </row>
    <row r="133">
      <c r="A133" t="str">
        <f>IFERROR(__xludf.DUMMYFUNCTION("""COMPUTED_VALUE"""),"Samsung Galaxy M30 (3 GB/32 GB)")</f>
        <v>Samsung Galaxy M30 (3 GB/32 GB)</v>
      </c>
      <c r="B133" t="str">
        <f>IFERROR(__xludf.DUMMYFUNCTION("""COMPUTED_VALUE"""),"")</f>
        <v/>
      </c>
      <c r="C133" t="str">
        <f>IFERROR(__xludf.DUMMYFUNCTION("""COMPUTED_VALUE"""),"")</f>
        <v/>
      </c>
      <c r="D133" t="str">
        <f>IFERROR(__xludf.DUMMYFUNCTION("""COMPUTED_VALUE"""),"")</f>
        <v/>
      </c>
      <c r="E133" t="str">
        <f>IFERROR(__xludf.DUMMYFUNCTION("""COMPUTED_VALUE"""),"")</f>
        <v/>
      </c>
      <c r="F133" t="str">
        <f>IFERROR(__xludf.DUMMYFUNCTION("""COMPUTED_VALUE"""),"")</f>
        <v/>
      </c>
      <c r="G133" t="str">
        <f>IFERROR(__xludf.DUMMYFUNCTION("""COMPUTED_VALUE"""),"")</f>
        <v/>
      </c>
      <c r="H133" t="str">
        <f>IFERROR(__xludf.DUMMYFUNCTION("""COMPUTED_VALUE"""),"")</f>
        <v/>
      </c>
      <c r="I133">
        <f>IFERROR(__xludf.DUMMYFUNCTION("""COMPUTED_VALUE"""),2.0)</f>
        <v>2</v>
      </c>
      <c r="J133">
        <f>IFERROR(__xludf.DUMMYFUNCTION("""COMPUTED_VALUE"""),2.0)</f>
        <v>2</v>
      </c>
      <c r="L133" s="250" t="str">
        <f>IFERROR(__xludf.DUMMYFUNCTION("""COMPUTED_VALUE"""),"")</f>
        <v/>
      </c>
      <c r="M133" s="250" t="str">
        <f>IFERROR(__xludf.DUMMYFUNCTION("""COMPUTED_VALUE"""),"")</f>
        <v/>
      </c>
      <c r="N133" s="250" t="str">
        <f>IFERROR(__xludf.DUMMYFUNCTION("""COMPUTED_VALUE"""),"")</f>
        <v/>
      </c>
      <c r="O133" s="250" t="str">
        <f>IFERROR(__xludf.DUMMYFUNCTION("""COMPUTED_VALUE"""),"")</f>
        <v/>
      </c>
      <c r="P133" s="250" t="str">
        <f>IFERROR(__xludf.DUMMYFUNCTION("""COMPUTED_VALUE"""),"")</f>
        <v/>
      </c>
      <c r="Q133" s="250" t="str">
        <f>IFERROR(__xludf.DUMMYFUNCTION("""COMPUTED_VALUE"""),"")</f>
        <v/>
      </c>
      <c r="R133" s="250" t="str">
        <f>IFERROR(__xludf.DUMMYFUNCTION("""COMPUTED_VALUE"""),"")</f>
        <v/>
      </c>
      <c r="U133" s="250">
        <f>IFERROR(__xludf.DUMMYFUNCTION("""COMPUTED_VALUE"""),6689.0)</f>
        <v>6689</v>
      </c>
      <c r="V133" s="250">
        <f>IFERROR(__xludf.DUMMYFUNCTION("""COMPUTED_VALUE"""),6369.0)</f>
        <v>6369</v>
      </c>
      <c r="W133" s="250">
        <f>IFERROR(__xludf.DUMMYFUNCTION("""COMPUTED_VALUE"""),5749.0)</f>
        <v>5749</v>
      </c>
      <c r="X133" t="b">
        <f t="shared" ref="X133:Z133" si="242">ISBLANK(K133)</f>
        <v>1</v>
      </c>
      <c r="Y133" t="b">
        <f t="shared" si="242"/>
        <v>0</v>
      </c>
      <c r="Z133" t="b">
        <f t="shared" si="242"/>
        <v>0</v>
      </c>
      <c r="AA133">
        <f t="shared" ref="AA133:AC133" si="243">IF(X133=FALSE,1,0)</f>
        <v>0</v>
      </c>
      <c r="AB133">
        <f t="shared" si="243"/>
        <v>1</v>
      </c>
      <c r="AC133">
        <f t="shared" si="243"/>
        <v>1</v>
      </c>
      <c r="AD133">
        <f t="shared" si="6"/>
        <v>2</v>
      </c>
      <c r="AE133">
        <f t="shared" si="7"/>
        <v>1</v>
      </c>
      <c r="AF133">
        <f>if(iferror(vlookup($A133,'Description Database'!$E$2:$H$951,3,0),0)=TRUE,1,0)</f>
        <v>0</v>
      </c>
      <c r="AG133">
        <f>if(iferror(vlookup($A133,'Description Database'!$E$2:$H$951,4,0),0)=TRUE,1,0)</f>
        <v>0</v>
      </c>
    </row>
    <row r="134">
      <c r="A134" t="str">
        <f>IFERROR(__xludf.DUMMYFUNCTION("""COMPUTED_VALUE"""),"Vivo Y21L (1 GB/16 GB)")</f>
        <v>Vivo Y21L (1 GB/16 GB)</v>
      </c>
      <c r="B134" t="str">
        <f>IFERROR(__xludf.DUMMYFUNCTION("""COMPUTED_VALUE"""),"")</f>
        <v/>
      </c>
      <c r="C134" t="str">
        <f>IFERROR(__xludf.DUMMYFUNCTION("""COMPUTED_VALUE"""),"")</f>
        <v/>
      </c>
      <c r="D134" t="str">
        <f>IFERROR(__xludf.DUMMYFUNCTION("""COMPUTED_VALUE"""),"")</f>
        <v/>
      </c>
      <c r="E134" t="str">
        <f>IFERROR(__xludf.DUMMYFUNCTION("""COMPUTED_VALUE"""),"")</f>
        <v/>
      </c>
      <c r="F134" t="str">
        <f>IFERROR(__xludf.DUMMYFUNCTION("""COMPUTED_VALUE"""),"")</f>
        <v/>
      </c>
      <c r="G134" t="str">
        <f>IFERROR(__xludf.DUMMYFUNCTION("""COMPUTED_VALUE"""),"")</f>
        <v/>
      </c>
      <c r="H134" t="str">
        <f>IFERROR(__xludf.DUMMYFUNCTION("""COMPUTED_VALUE"""),"")</f>
        <v/>
      </c>
      <c r="I134">
        <f>IFERROR(__xludf.DUMMYFUNCTION("""COMPUTED_VALUE"""),27.0)</f>
        <v>27</v>
      </c>
      <c r="J134">
        <f>IFERROR(__xludf.DUMMYFUNCTION("""COMPUTED_VALUE"""),27.0)</f>
        <v>27</v>
      </c>
      <c r="L134" s="250" t="str">
        <f>IFERROR(__xludf.DUMMYFUNCTION("""COMPUTED_VALUE"""),"")</f>
        <v/>
      </c>
      <c r="M134" s="250" t="str">
        <f>IFERROR(__xludf.DUMMYFUNCTION("""COMPUTED_VALUE"""),"")</f>
        <v/>
      </c>
      <c r="N134" s="250" t="str">
        <f>IFERROR(__xludf.DUMMYFUNCTION("""COMPUTED_VALUE"""),"")</f>
        <v/>
      </c>
      <c r="O134" s="250" t="str">
        <f>IFERROR(__xludf.DUMMYFUNCTION("""COMPUTED_VALUE"""),"")</f>
        <v/>
      </c>
      <c r="P134" s="250" t="str">
        <f>IFERROR(__xludf.DUMMYFUNCTION("""COMPUTED_VALUE"""),"")</f>
        <v/>
      </c>
      <c r="Q134" s="250" t="str">
        <f>IFERROR(__xludf.DUMMYFUNCTION("""COMPUTED_VALUE"""),"")</f>
        <v/>
      </c>
      <c r="R134" s="250" t="str">
        <f>IFERROR(__xludf.DUMMYFUNCTION("""COMPUTED_VALUE"""),"")</f>
        <v/>
      </c>
      <c r="U134" s="250">
        <f>IFERROR(__xludf.DUMMYFUNCTION("""COMPUTED_VALUE"""),2969.0)</f>
        <v>2969</v>
      </c>
      <c r="V134" s="250">
        <f>IFERROR(__xludf.DUMMYFUNCTION("""COMPUTED_VALUE"""),2829.0)</f>
        <v>2829</v>
      </c>
      <c r="W134" s="250">
        <f>IFERROR(__xludf.DUMMYFUNCTION("""COMPUTED_VALUE"""),2579.0)</f>
        <v>2579</v>
      </c>
      <c r="X134" t="b">
        <f t="shared" ref="X134:Z134" si="244">ISBLANK(K134)</f>
        <v>1</v>
      </c>
      <c r="Y134" t="b">
        <f t="shared" si="244"/>
        <v>0</v>
      </c>
      <c r="Z134" t="b">
        <f t="shared" si="244"/>
        <v>0</v>
      </c>
      <c r="AA134">
        <f t="shared" ref="AA134:AC134" si="245">IF(X134=FALSE,1,0)</f>
        <v>0</v>
      </c>
      <c r="AB134">
        <f t="shared" si="245"/>
        <v>1</v>
      </c>
      <c r="AC134">
        <f t="shared" si="245"/>
        <v>1</v>
      </c>
      <c r="AD134">
        <f t="shared" si="6"/>
        <v>2</v>
      </c>
      <c r="AE134">
        <f t="shared" si="7"/>
        <v>1</v>
      </c>
      <c r="AF134">
        <f>if(iferror(vlookup($A134,'Description Database'!$E$2:$H$951,3,0),0)=TRUE,1,0)</f>
        <v>0</v>
      </c>
      <c r="AG134">
        <f>if(iferror(vlookup($A134,'Description Database'!$E$2:$H$951,4,0),0)=TRUE,1,0)</f>
        <v>0</v>
      </c>
    </row>
    <row r="135">
      <c r="A135" t="str">
        <f>IFERROR(__xludf.DUMMYFUNCTION("""COMPUTED_VALUE"""),"Xiaomi Redmi 5A (3 GB/32 GB)")</f>
        <v>Xiaomi Redmi 5A (3 GB/32 GB)</v>
      </c>
      <c r="B135" t="str">
        <f>IFERROR(__xludf.DUMMYFUNCTION("""COMPUTED_VALUE"""),"")</f>
        <v/>
      </c>
      <c r="C135">
        <f>IFERROR(__xludf.DUMMYFUNCTION("""COMPUTED_VALUE"""),2.0)</f>
        <v>2</v>
      </c>
      <c r="D135">
        <f>IFERROR(__xludf.DUMMYFUNCTION("""COMPUTED_VALUE"""),3.0)</f>
        <v>3</v>
      </c>
      <c r="E135">
        <f>IFERROR(__xludf.DUMMYFUNCTION("""COMPUTED_VALUE"""),3.0)</f>
        <v>3</v>
      </c>
      <c r="F135" t="str">
        <f>IFERROR(__xludf.DUMMYFUNCTION("""COMPUTED_VALUE"""),"")</f>
        <v/>
      </c>
      <c r="G135" t="str">
        <f>IFERROR(__xludf.DUMMYFUNCTION("""COMPUTED_VALUE"""),"")</f>
        <v/>
      </c>
      <c r="H135" t="str">
        <f>IFERROR(__xludf.DUMMYFUNCTION("""COMPUTED_VALUE"""),"")</f>
        <v/>
      </c>
      <c r="I135">
        <f>IFERROR(__xludf.DUMMYFUNCTION("""COMPUTED_VALUE"""),17.0)</f>
        <v>17</v>
      </c>
      <c r="J135">
        <f>IFERROR(__xludf.DUMMYFUNCTION("""COMPUTED_VALUE"""),25.0)</f>
        <v>25</v>
      </c>
      <c r="L135" s="250" t="str">
        <f>IFERROR(__xludf.DUMMYFUNCTION("""COMPUTED_VALUE"""),"")</f>
        <v/>
      </c>
      <c r="M135" s="250">
        <f>IFERROR(__xludf.DUMMYFUNCTION("""COMPUTED_VALUE"""),3819.0)</f>
        <v>3819</v>
      </c>
      <c r="N135" s="250">
        <f>IFERROR(__xludf.DUMMYFUNCTION("""COMPUTED_VALUE"""),3489.0)</f>
        <v>3489</v>
      </c>
      <c r="O135" s="250">
        <f>IFERROR(__xludf.DUMMYFUNCTION("""COMPUTED_VALUE"""),3184.0)</f>
        <v>3184</v>
      </c>
      <c r="P135" s="250" t="str">
        <f>IFERROR(__xludf.DUMMYFUNCTION("""COMPUTED_VALUE"""),"")</f>
        <v/>
      </c>
      <c r="Q135" s="250" t="str">
        <f>IFERROR(__xludf.DUMMYFUNCTION("""COMPUTED_VALUE"""),"")</f>
        <v/>
      </c>
      <c r="R135" s="250" t="str">
        <f>IFERROR(__xludf.DUMMYFUNCTION("""COMPUTED_VALUE"""),"")</f>
        <v/>
      </c>
      <c r="U135" s="250">
        <f>IFERROR(__xludf.DUMMYFUNCTION("""COMPUTED_VALUE"""),4409.0)</f>
        <v>4409</v>
      </c>
      <c r="V135" s="250">
        <f>IFERROR(__xludf.DUMMYFUNCTION("""COMPUTED_VALUE"""),4209.0)</f>
        <v>4209</v>
      </c>
      <c r="W135" s="250">
        <f>IFERROR(__xludf.DUMMYFUNCTION("""COMPUTED_VALUE"""),3839.0)</f>
        <v>3839</v>
      </c>
      <c r="X135" t="b">
        <f t="shared" ref="X135:Z135" si="246">ISBLANK(K135)</f>
        <v>1</v>
      </c>
      <c r="Y135" t="b">
        <f t="shared" si="246"/>
        <v>0</v>
      </c>
      <c r="Z135" t="b">
        <f t="shared" si="246"/>
        <v>0</v>
      </c>
      <c r="AA135">
        <f t="shared" ref="AA135:AC135" si="247">IF(X135=FALSE,1,0)</f>
        <v>0</v>
      </c>
      <c r="AB135">
        <f t="shared" si="247"/>
        <v>1</v>
      </c>
      <c r="AC135">
        <f t="shared" si="247"/>
        <v>1</v>
      </c>
      <c r="AD135">
        <f t="shared" si="6"/>
        <v>2</v>
      </c>
      <c r="AE135">
        <f t="shared" si="7"/>
        <v>1</v>
      </c>
      <c r="AF135">
        <f>if(iferror(vlookup($A135,'Description Database'!$E$2:$H$951,3,0),0)=TRUE,1,0)</f>
        <v>0</v>
      </c>
      <c r="AG135">
        <f>if(iferror(vlookup($A135,'Description Database'!$E$2:$H$951,4,0),0)=TRUE,1,0)</f>
        <v>0</v>
      </c>
    </row>
    <row r="136">
      <c r="A136" t="str">
        <f>IFERROR(__xludf.DUMMYFUNCTION("""COMPUTED_VALUE"""),"Apple iPhone XS Max (4 GB/64 GB)")</f>
        <v>Apple iPhone XS Max (4 GB/64 GB)</v>
      </c>
      <c r="B136" t="str">
        <f>IFERROR(__xludf.DUMMYFUNCTION("""COMPUTED_VALUE"""),"")</f>
        <v/>
      </c>
      <c r="C136">
        <f>IFERROR(__xludf.DUMMYFUNCTION("""COMPUTED_VALUE"""),1.0)</f>
        <v>1</v>
      </c>
      <c r="D136" t="str">
        <f>IFERROR(__xludf.DUMMYFUNCTION("""COMPUTED_VALUE"""),"")</f>
        <v/>
      </c>
      <c r="E136" t="str">
        <f>IFERROR(__xludf.DUMMYFUNCTION("""COMPUTED_VALUE"""),"")</f>
        <v/>
      </c>
      <c r="F136" t="str">
        <f>IFERROR(__xludf.DUMMYFUNCTION("""COMPUTED_VALUE"""),"")</f>
        <v/>
      </c>
      <c r="G136" t="str">
        <f>IFERROR(__xludf.DUMMYFUNCTION("""COMPUTED_VALUE"""),"")</f>
        <v/>
      </c>
      <c r="H136" t="str">
        <f>IFERROR(__xludf.DUMMYFUNCTION("""COMPUTED_VALUE"""),"")</f>
        <v/>
      </c>
      <c r="I136" t="str">
        <f>IFERROR(__xludf.DUMMYFUNCTION("""COMPUTED_VALUE"""),"")</f>
        <v/>
      </c>
      <c r="J136">
        <f>IFERROR(__xludf.DUMMYFUNCTION("""COMPUTED_VALUE"""),1.0)</f>
        <v>1</v>
      </c>
      <c r="L136" s="250" t="str">
        <f>IFERROR(__xludf.DUMMYFUNCTION("""COMPUTED_VALUE"""),"")</f>
        <v/>
      </c>
      <c r="M136" s="250">
        <f>IFERROR(__xludf.DUMMYFUNCTION("""COMPUTED_VALUE"""),31209.0)</f>
        <v>31209</v>
      </c>
      <c r="N136" s="250" t="str">
        <f>IFERROR(__xludf.DUMMYFUNCTION("""COMPUTED_VALUE"""),"")</f>
        <v/>
      </c>
      <c r="O136" s="250" t="str">
        <f>IFERROR(__xludf.DUMMYFUNCTION("""COMPUTED_VALUE"""),"")</f>
        <v/>
      </c>
      <c r="P136" s="250" t="str">
        <f>IFERROR(__xludf.DUMMYFUNCTION("""COMPUTED_VALUE"""),"")</f>
        <v/>
      </c>
      <c r="Q136" s="250" t="str">
        <f>IFERROR(__xludf.DUMMYFUNCTION("""COMPUTED_VALUE"""),"")</f>
        <v/>
      </c>
      <c r="R136" s="250" t="str">
        <f>IFERROR(__xludf.DUMMYFUNCTION("""COMPUTED_VALUE"""),"")</f>
        <v/>
      </c>
      <c r="U136" s="250">
        <f>IFERROR(__xludf.DUMMYFUNCTION("""COMPUTED_VALUE"""),36049.0)</f>
        <v>36049</v>
      </c>
      <c r="V136" s="250">
        <f>IFERROR(__xludf.DUMMYFUNCTION("""COMPUTED_VALUE"""),34329.0)</f>
        <v>34329</v>
      </c>
      <c r="W136" s="250">
        <f>IFERROR(__xludf.DUMMYFUNCTION("""COMPUTED_VALUE"""),31379.0)</f>
        <v>31379</v>
      </c>
      <c r="X136" t="b">
        <f t="shared" ref="X136:Z136" si="248">ISBLANK(K136)</f>
        <v>1</v>
      </c>
      <c r="Y136" t="b">
        <f t="shared" si="248"/>
        <v>0</v>
      </c>
      <c r="Z136" t="b">
        <f t="shared" si="248"/>
        <v>0</v>
      </c>
      <c r="AA136">
        <f t="shared" ref="AA136:AC136" si="249">IF(X136=FALSE,1,0)</f>
        <v>0</v>
      </c>
      <c r="AB136">
        <f t="shared" si="249"/>
        <v>1</v>
      </c>
      <c r="AC136">
        <f t="shared" si="249"/>
        <v>1</v>
      </c>
      <c r="AD136">
        <f t="shared" si="6"/>
        <v>2</v>
      </c>
      <c r="AE136">
        <f t="shared" si="7"/>
        <v>1</v>
      </c>
      <c r="AF136">
        <f>if(iferror(vlookup($A136,'Description Database'!$E$2:$H$951,3,0),0)=TRUE,1,0)</f>
        <v>0</v>
      </c>
      <c r="AG136">
        <f>if(iferror(vlookup($A136,'Description Database'!$E$2:$H$951,4,0),0)=TRUE,1,0)</f>
        <v>0</v>
      </c>
    </row>
    <row r="137">
      <c r="A137" t="str">
        <f>IFERROR(__xludf.DUMMYFUNCTION("""COMPUTED_VALUE"""),"Apple iPhone 8 Plus (3 GB/64 GB)")</f>
        <v>Apple iPhone 8 Plus (3 GB/64 GB)</v>
      </c>
      <c r="B137" t="str">
        <f>IFERROR(__xludf.DUMMYFUNCTION("""COMPUTED_VALUE"""),"")</f>
        <v/>
      </c>
      <c r="C137" t="str">
        <f>IFERROR(__xludf.DUMMYFUNCTION("""COMPUTED_VALUE"""),"")</f>
        <v/>
      </c>
      <c r="D137" t="str">
        <f>IFERROR(__xludf.DUMMYFUNCTION("""COMPUTED_VALUE"""),"")</f>
        <v/>
      </c>
      <c r="E137" t="str">
        <f>IFERROR(__xludf.DUMMYFUNCTION("""COMPUTED_VALUE"""),"")</f>
        <v/>
      </c>
      <c r="F137">
        <f>IFERROR(__xludf.DUMMYFUNCTION("""COMPUTED_VALUE"""),2.0)</f>
        <v>2</v>
      </c>
      <c r="G137" t="str">
        <f>IFERROR(__xludf.DUMMYFUNCTION("""COMPUTED_VALUE"""),"")</f>
        <v/>
      </c>
      <c r="H137" t="str">
        <f>IFERROR(__xludf.DUMMYFUNCTION("""COMPUTED_VALUE"""),"")</f>
        <v/>
      </c>
      <c r="I137" t="str">
        <f>IFERROR(__xludf.DUMMYFUNCTION("""COMPUTED_VALUE"""),"")</f>
        <v/>
      </c>
      <c r="J137">
        <f>IFERROR(__xludf.DUMMYFUNCTION("""COMPUTED_VALUE"""),2.0)</f>
        <v>2</v>
      </c>
      <c r="L137" s="250" t="str">
        <f>IFERROR(__xludf.DUMMYFUNCTION("""COMPUTED_VALUE"""),"")</f>
        <v/>
      </c>
      <c r="M137" s="250" t="str">
        <f>IFERROR(__xludf.DUMMYFUNCTION("""COMPUTED_VALUE"""),"")</f>
        <v/>
      </c>
      <c r="N137" s="250" t="str">
        <f>IFERROR(__xludf.DUMMYFUNCTION("""COMPUTED_VALUE"""),"")</f>
        <v/>
      </c>
      <c r="O137" s="250" t="str">
        <f>IFERROR(__xludf.DUMMYFUNCTION("""COMPUTED_VALUE"""),"")</f>
        <v/>
      </c>
      <c r="P137" s="250">
        <f>IFERROR(__xludf.DUMMYFUNCTION("""COMPUTED_VALUE"""),14249.0)</f>
        <v>14249</v>
      </c>
      <c r="Q137" s="250" t="str">
        <f>IFERROR(__xludf.DUMMYFUNCTION("""COMPUTED_VALUE"""),"")</f>
        <v/>
      </c>
      <c r="R137" s="250" t="str">
        <f>IFERROR(__xludf.DUMMYFUNCTION("""COMPUTED_VALUE"""),"")</f>
        <v/>
      </c>
      <c r="U137" s="250">
        <f>IFERROR(__xludf.DUMMYFUNCTION("""COMPUTED_VALUE"""),21939.0)</f>
        <v>21939</v>
      </c>
      <c r="V137" s="250">
        <f>IFERROR(__xludf.DUMMYFUNCTION("""COMPUTED_VALUE"""),20889.0)</f>
        <v>20889</v>
      </c>
      <c r="W137" s="250">
        <f>IFERROR(__xludf.DUMMYFUNCTION("""COMPUTED_VALUE"""),18799.0)</f>
        <v>18799</v>
      </c>
      <c r="X137" t="b">
        <f t="shared" ref="X137:Z137" si="250">ISBLANK(K137)</f>
        <v>1</v>
      </c>
      <c r="Y137" t="b">
        <f t="shared" si="250"/>
        <v>0</v>
      </c>
      <c r="Z137" t="b">
        <f t="shared" si="250"/>
        <v>0</v>
      </c>
      <c r="AA137">
        <f t="shared" ref="AA137:AC137" si="251">IF(X137=FALSE,1,0)</f>
        <v>0</v>
      </c>
      <c r="AB137">
        <f t="shared" si="251"/>
        <v>1</v>
      </c>
      <c r="AC137">
        <f t="shared" si="251"/>
        <v>1</v>
      </c>
      <c r="AD137">
        <f t="shared" si="6"/>
        <v>2</v>
      </c>
      <c r="AE137">
        <f t="shared" si="7"/>
        <v>1</v>
      </c>
      <c r="AF137">
        <f>if(iferror(vlookup($A137,'Description Database'!$E$2:$H$951,3,0),0)=TRUE,1,0)</f>
        <v>0</v>
      </c>
      <c r="AG137">
        <f>if(iferror(vlookup($A137,'Description Database'!$E$2:$H$951,4,0),0)=TRUE,1,0)</f>
        <v>0</v>
      </c>
    </row>
    <row r="138">
      <c r="A138" t="str">
        <f>IFERROR(__xludf.DUMMYFUNCTION("""COMPUTED_VALUE"""),"Vivo Y12 (3 GB/64 GB)")</f>
        <v>Vivo Y12 (3 GB/64 GB)</v>
      </c>
      <c r="B138" t="str">
        <f>IFERROR(__xludf.DUMMYFUNCTION("""COMPUTED_VALUE"""),"")</f>
        <v/>
      </c>
      <c r="C138" t="str">
        <f>IFERROR(__xludf.DUMMYFUNCTION("""COMPUTED_VALUE"""),"")</f>
        <v/>
      </c>
      <c r="D138" t="str">
        <f>IFERROR(__xludf.DUMMYFUNCTION("""COMPUTED_VALUE"""),"")</f>
        <v/>
      </c>
      <c r="E138" t="str">
        <f>IFERROR(__xludf.DUMMYFUNCTION("""COMPUTED_VALUE"""),"")</f>
        <v/>
      </c>
      <c r="F138" t="str">
        <f>IFERROR(__xludf.DUMMYFUNCTION("""COMPUTED_VALUE"""),"")</f>
        <v/>
      </c>
      <c r="G138" t="str">
        <f>IFERROR(__xludf.DUMMYFUNCTION("""COMPUTED_VALUE"""),"")</f>
        <v/>
      </c>
      <c r="H138" t="str">
        <f>IFERROR(__xludf.DUMMYFUNCTION("""COMPUTED_VALUE"""),"")</f>
        <v/>
      </c>
      <c r="I138" t="str">
        <f>IFERROR(__xludf.DUMMYFUNCTION("""COMPUTED_VALUE"""),"")</f>
        <v/>
      </c>
      <c r="J138">
        <f>IFERROR(__xludf.DUMMYFUNCTION("""COMPUTED_VALUE"""),0.0)</f>
        <v>0</v>
      </c>
      <c r="L138" s="250" t="str">
        <f>IFERROR(__xludf.DUMMYFUNCTION("""COMPUTED_VALUE"""),"")</f>
        <v/>
      </c>
      <c r="M138" s="250" t="str">
        <f>IFERROR(__xludf.DUMMYFUNCTION("""COMPUTED_VALUE"""),"")</f>
        <v/>
      </c>
      <c r="N138" s="250" t="str">
        <f>IFERROR(__xludf.DUMMYFUNCTION("""COMPUTED_VALUE"""),"")</f>
        <v/>
      </c>
      <c r="O138" s="250" t="str">
        <f>IFERROR(__xludf.DUMMYFUNCTION("""COMPUTED_VALUE"""),"")</f>
        <v/>
      </c>
      <c r="P138" s="250" t="str">
        <f>IFERROR(__xludf.DUMMYFUNCTION("""COMPUTED_VALUE"""),"")</f>
        <v/>
      </c>
      <c r="Q138" s="250" t="str">
        <f>IFERROR(__xludf.DUMMYFUNCTION("""COMPUTED_VALUE"""),"")</f>
        <v/>
      </c>
      <c r="R138" s="250" t="str">
        <f>IFERROR(__xludf.DUMMYFUNCTION("""COMPUTED_VALUE"""),"")</f>
        <v/>
      </c>
      <c r="U138" s="250">
        <f>IFERROR(__xludf.DUMMYFUNCTION("""COMPUTED_VALUE"""),8639.0)</f>
        <v>8639</v>
      </c>
      <c r="V138" s="250">
        <f>IFERROR(__xludf.DUMMYFUNCTION("""COMPUTED_VALUE"""),8219.0)</f>
        <v>8219</v>
      </c>
      <c r="W138" s="250">
        <f>IFERROR(__xludf.DUMMYFUNCTION("""COMPUTED_VALUE"""),7509.0)</f>
        <v>7509</v>
      </c>
      <c r="X138" t="b">
        <f t="shared" ref="X138:Z138" si="252">ISBLANK(K138)</f>
        <v>1</v>
      </c>
      <c r="Y138" t="b">
        <f t="shared" si="252"/>
        <v>0</v>
      </c>
      <c r="Z138" t="b">
        <f t="shared" si="252"/>
        <v>0</v>
      </c>
      <c r="AA138">
        <f t="shared" ref="AA138:AC138" si="253">IF(X138=FALSE,1,0)</f>
        <v>0</v>
      </c>
      <c r="AB138">
        <f t="shared" si="253"/>
        <v>1</v>
      </c>
      <c r="AC138">
        <f t="shared" si="253"/>
        <v>1</v>
      </c>
      <c r="AD138">
        <f t="shared" si="6"/>
        <v>2</v>
      </c>
      <c r="AE138">
        <f t="shared" si="7"/>
        <v>1</v>
      </c>
      <c r="AF138">
        <f>if(iferror(vlookup($A138,'Description Database'!$E$2:$H$951,3,0),0)=TRUE,1,0)</f>
        <v>0</v>
      </c>
      <c r="AG138">
        <f>if(iferror(vlookup($A138,'Description Database'!$E$2:$H$951,4,0),0)=TRUE,1,0)</f>
        <v>0</v>
      </c>
    </row>
    <row r="139">
      <c r="A139" t="str">
        <f>IFERROR(__xludf.DUMMYFUNCTION("""COMPUTED_VALUE"""),"OPPO F11 (6 GB/128 GB)")</f>
        <v>OPPO F11 (6 GB/128 GB)</v>
      </c>
      <c r="B139" t="str">
        <f>IFERROR(__xludf.DUMMYFUNCTION("""COMPUTED_VALUE"""),"")</f>
        <v/>
      </c>
      <c r="C139" t="str">
        <f>IFERROR(__xludf.DUMMYFUNCTION("""COMPUTED_VALUE"""),"")</f>
        <v/>
      </c>
      <c r="D139" t="str">
        <f>IFERROR(__xludf.DUMMYFUNCTION("""COMPUTED_VALUE"""),"")</f>
        <v/>
      </c>
      <c r="E139" t="str">
        <f>IFERROR(__xludf.DUMMYFUNCTION("""COMPUTED_VALUE"""),"")</f>
        <v/>
      </c>
      <c r="F139" t="str">
        <f>IFERROR(__xludf.DUMMYFUNCTION("""COMPUTED_VALUE"""),"")</f>
        <v/>
      </c>
      <c r="G139">
        <f>IFERROR(__xludf.DUMMYFUNCTION("""COMPUTED_VALUE"""),1.0)</f>
        <v>1</v>
      </c>
      <c r="H139" t="str">
        <f>IFERROR(__xludf.DUMMYFUNCTION("""COMPUTED_VALUE"""),"")</f>
        <v/>
      </c>
      <c r="I139" t="str">
        <f>IFERROR(__xludf.DUMMYFUNCTION("""COMPUTED_VALUE"""),"")</f>
        <v/>
      </c>
      <c r="J139">
        <f>IFERROR(__xludf.DUMMYFUNCTION("""COMPUTED_VALUE"""),1.0)</f>
        <v>1</v>
      </c>
      <c r="L139" s="250" t="str">
        <f>IFERROR(__xludf.DUMMYFUNCTION("""COMPUTED_VALUE"""),"")</f>
        <v/>
      </c>
      <c r="M139" s="250" t="str">
        <f>IFERROR(__xludf.DUMMYFUNCTION("""COMPUTED_VALUE"""),"")</f>
        <v/>
      </c>
      <c r="N139" s="250" t="str">
        <f>IFERROR(__xludf.DUMMYFUNCTION("""COMPUTED_VALUE"""),"")</f>
        <v/>
      </c>
      <c r="O139" s="250" t="str">
        <f>IFERROR(__xludf.DUMMYFUNCTION("""COMPUTED_VALUE"""),"")</f>
        <v/>
      </c>
      <c r="P139" s="250" t="str">
        <f>IFERROR(__xludf.DUMMYFUNCTION("""COMPUTED_VALUE"""),"")</f>
        <v/>
      </c>
      <c r="Q139" s="250">
        <f>IFERROR(__xludf.DUMMYFUNCTION("""COMPUTED_VALUE"""),5259.0)</f>
        <v>5259</v>
      </c>
      <c r="R139" s="250" t="str">
        <f>IFERROR(__xludf.DUMMYFUNCTION("""COMPUTED_VALUE"""),"")</f>
        <v/>
      </c>
      <c r="U139" s="250">
        <f>IFERROR(__xludf.DUMMYFUNCTION("""COMPUTED_VALUE"""),10899.0)</f>
        <v>10899</v>
      </c>
      <c r="V139" s="250">
        <f>IFERROR(__xludf.DUMMYFUNCTION("""COMPUTED_VALUE"""),10379.0)</f>
        <v>10379</v>
      </c>
      <c r="W139" s="250">
        <f>IFERROR(__xludf.DUMMYFUNCTION("""COMPUTED_VALUE"""),9489.0)</f>
        <v>9489</v>
      </c>
      <c r="X139" t="b">
        <f t="shared" ref="X139:Z139" si="254">ISBLANK(K139)</f>
        <v>1</v>
      </c>
      <c r="Y139" t="b">
        <f t="shared" si="254"/>
        <v>0</v>
      </c>
      <c r="Z139" t="b">
        <f t="shared" si="254"/>
        <v>0</v>
      </c>
      <c r="AA139">
        <f t="shared" ref="AA139:AC139" si="255">IF(X139=FALSE,1,0)</f>
        <v>0</v>
      </c>
      <c r="AB139">
        <f t="shared" si="255"/>
        <v>1</v>
      </c>
      <c r="AC139">
        <f t="shared" si="255"/>
        <v>1</v>
      </c>
      <c r="AD139">
        <f t="shared" si="6"/>
        <v>2</v>
      </c>
      <c r="AE139">
        <f t="shared" si="7"/>
        <v>1</v>
      </c>
      <c r="AF139">
        <f>if(iferror(vlookup($A139,'Description Database'!$E$2:$H$951,3,0),0)=TRUE,1,0)</f>
        <v>0</v>
      </c>
      <c r="AG139">
        <f>if(iferror(vlookup($A139,'Description Database'!$E$2:$H$951,4,0),0)=TRUE,1,0)</f>
        <v>0</v>
      </c>
    </row>
    <row r="140">
      <c r="A140" t="str">
        <f>IFERROR(__xludf.DUMMYFUNCTION("""COMPUTED_VALUE"""),"Vivo V15 Pro (6 GB/128 GB)")</f>
        <v>Vivo V15 Pro (6 GB/128 GB)</v>
      </c>
      <c r="B140" t="str">
        <f>IFERROR(__xludf.DUMMYFUNCTION("""COMPUTED_VALUE"""),"")</f>
        <v/>
      </c>
      <c r="C140" t="str">
        <f>IFERROR(__xludf.DUMMYFUNCTION("""COMPUTED_VALUE"""),"")</f>
        <v/>
      </c>
      <c r="D140" t="str">
        <f>IFERROR(__xludf.DUMMYFUNCTION("""COMPUTED_VALUE"""),"")</f>
        <v/>
      </c>
      <c r="E140" t="str">
        <f>IFERROR(__xludf.DUMMYFUNCTION("""COMPUTED_VALUE"""),"")</f>
        <v/>
      </c>
      <c r="F140" t="str">
        <f>IFERROR(__xludf.DUMMYFUNCTION("""COMPUTED_VALUE"""),"")</f>
        <v/>
      </c>
      <c r="G140" t="str">
        <f>IFERROR(__xludf.DUMMYFUNCTION("""COMPUTED_VALUE"""),"")</f>
        <v/>
      </c>
      <c r="H140">
        <f>IFERROR(__xludf.DUMMYFUNCTION("""COMPUTED_VALUE"""),1.0)</f>
        <v>1</v>
      </c>
      <c r="I140">
        <f>IFERROR(__xludf.DUMMYFUNCTION("""COMPUTED_VALUE"""),2.0)</f>
        <v>2</v>
      </c>
      <c r="J140">
        <f>IFERROR(__xludf.DUMMYFUNCTION("""COMPUTED_VALUE"""),3.0)</f>
        <v>3</v>
      </c>
      <c r="L140" s="250" t="str">
        <f>IFERROR(__xludf.DUMMYFUNCTION("""COMPUTED_VALUE"""),"")</f>
        <v/>
      </c>
      <c r="M140" s="250" t="str">
        <f>IFERROR(__xludf.DUMMYFUNCTION("""COMPUTED_VALUE"""),"")</f>
        <v/>
      </c>
      <c r="N140" s="250" t="str">
        <f>IFERROR(__xludf.DUMMYFUNCTION("""COMPUTED_VALUE"""),"")</f>
        <v/>
      </c>
      <c r="O140" s="250" t="str">
        <f>IFERROR(__xludf.DUMMYFUNCTION("""COMPUTED_VALUE"""),"")</f>
        <v/>
      </c>
      <c r="P140" s="250" t="str">
        <f>IFERROR(__xludf.DUMMYFUNCTION("""COMPUTED_VALUE"""),"")</f>
        <v/>
      </c>
      <c r="Q140" s="250" t="str">
        <f>IFERROR(__xludf.DUMMYFUNCTION("""COMPUTED_VALUE"""),"")</f>
        <v/>
      </c>
      <c r="R140" s="250">
        <f>IFERROR(__xludf.DUMMYFUNCTION("""COMPUTED_VALUE"""),4099.0)</f>
        <v>4099</v>
      </c>
      <c r="U140" s="250">
        <f>IFERROR(__xludf.DUMMYFUNCTION("""COMPUTED_VALUE"""),11929.0)</f>
        <v>11929</v>
      </c>
      <c r="V140" s="250">
        <f>IFERROR(__xludf.DUMMYFUNCTION("""COMPUTED_VALUE"""),11359.0)</f>
        <v>11359</v>
      </c>
      <c r="W140" s="250">
        <f>IFERROR(__xludf.DUMMYFUNCTION("""COMPUTED_VALUE"""),10219.0)</f>
        <v>10219</v>
      </c>
      <c r="X140" t="b">
        <f t="shared" ref="X140:Z140" si="256">ISBLANK(K140)</f>
        <v>1</v>
      </c>
      <c r="Y140" t="b">
        <f t="shared" si="256"/>
        <v>0</v>
      </c>
      <c r="Z140" t="b">
        <f t="shared" si="256"/>
        <v>0</v>
      </c>
      <c r="AA140">
        <f t="shared" ref="AA140:AC140" si="257">IF(X140=FALSE,1,0)</f>
        <v>0</v>
      </c>
      <c r="AB140">
        <f t="shared" si="257"/>
        <v>1</v>
      </c>
      <c r="AC140">
        <f t="shared" si="257"/>
        <v>1</v>
      </c>
      <c r="AD140">
        <f t="shared" si="6"/>
        <v>2</v>
      </c>
      <c r="AE140">
        <f t="shared" si="7"/>
        <v>1</v>
      </c>
      <c r="AF140">
        <f>if(iferror(vlookup($A140,'Description Database'!$E$2:$H$951,3,0),0)=TRUE,1,0)</f>
        <v>0</v>
      </c>
      <c r="AG140">
        <f>if(iferror(vlookup($A140,'Description Database'!$E$2:$H$951,4,0),0)=TRUE,1,0)</f>
        <v>0</v>
      </c>
    </row>
    <row r="141">
      <c r="A141" t="str">
        <f>IFERROR(__xludf.DUMMYFUNCTION("""COMPUTED_VALUE"""),"Samsung Galaxy A50 (6 GB/64 GB)")</f>
        <v>Samsung Galaxy A50 (6 GB/64 GB)</v>
      </c>
      <c r="B141" t="str">
        <f>IFERROR(__xludf.DUMMYFUNCTION("""COMPUTED_VALUE"""),"")</f>
        <v/>
      </c>
      <c r="C141" t="str">
        <f>IFERROR(__xludf.DUMMYFUNCTION("""COMPUTED_VALUE"""),"")</f>
        <v/>
      </c>
      <c r="D141" t="str">
        <f>IFERROR(__xludf.DUMMYFUNCTION("""COMPUTED_VALUE"""),"")</f>
        <v/>
      </c>
      <c r="E141" t="str">
        <f>IFERROR(__xludf.DUMMYFUNCTION("""COMPUTED_VALUE"""),"")</f>
        <v/>
      </c>
      <c r="F141">
        <f>IFERROR(__xludf.DUMMYFUNCTION("""COMPUTED_VALUE"""),2.0)</f>
        <v>2</v>
      </c>
      <c r="G141" t="str">
        <f>IFERROR(__xludf.DUMMYFUNCTION("""COMPUTED_VALUE"""),"")</f>
        <v/>
      </c>
      <c r="H141" t="str">
        <f>IFERROR(__xludf.DUMMYFUNCTION("""COMPUTED_VALUE"""),"")</f>
        <v/>
      </c>
      <c r="I141">
        <f>IFERROR(__xludf.DUMMYFUNCTION("""COMPUTED_VALUE"""),11.0)</f>
        <v>11</v>
      </c>
      <c r="J141">
        <f>IFERROR(__xludf.DUMMYFUNCTION("""COMPUTED_VALUE"""),13.0)</f>
        <v>13</v>
      </c>
      <c r="L141" s="250" t="str">
        <f>IFERROR(__xludf.DUMMYFUNCTION("""COMPUTED_VALUE"""),"")</f>
        <v/>
      </c>
      <c r="M141" s="250" t="str">
        <f>IFERROR(__xludf.DUMMYFUNCTION("""COMPUTED_VALUE"""),"")</f>
        <v/>
      </c>
      <c r="N141" s="250" t="str">
        <f>IFERROR(__xludf.DUMMYFUNCTION("""COMPUTED_VALUE"""),"")</f>
        <v/>
      </c>
      <c r="O141" s="250" t="str">
        <f>IFERROR(__xludf.DUMMYFUNCTION("""COMPUTED_VALUE"""),"")</f>
        <v/>
      </c>
      <c r="P141" s="250">
        <f>IFERROR(__xludf.DUMMYFUNCTION("""COMPUTED_VALUE"""),5979.0)</f>
        <v>5979</v>
      </c>
      <c r="Q141" s="250" t="str">
        <f>IFERROR(__xludf.DUMMYFUNCTION("""COMPUTED_VALUE"""),"")</f>
        <v/>
      </c>
      <c r="R141" s="250" t="str">
        <f>IFERROR(__xludf.DUMMYFUNCTION("""COMPUTED_VALUE"""),"")</f>
        <v/>
      </c>
      <c r="U141" s="250">
        <f>IFERROR(__xludf.DUMMYFUNCTION("""COMPUTED_VALUE"""),9209.0)</f>
        <v>9209</v>
      </c>
      <c r="V141" s="250">
        <f>IFERROR(__xludf.DUMMYFUNCTION("""COMPUTED_VALUE"""),8769.0)</f>
        <v>8769</v>
      </c>
      <c r="W141" s="250">
        <f>IFERROR(__xludf.DUMMYFUNCTION("""COMPUTED_VALUE"""),7899.0)</f>
        <v>7899</v>
      </c>
      <c r="X141" t="b">
        <f t="shared" ref="X141:Z141" si="258">ISBLANK(K141)</f>
        <v>1</v>
      </c>
      <c r="Y141" t="b">
        <f t="shared" si="258"/>
        <v>0</v>
      </c>
      <c r="Z141" t="b">
        <f t="shared" si="258"/>
        <v>0</v>
      </c>
      <c r="AA141">
        <f t="shared" ref="AA141:AC141" si="259">IF(X141=FALSE,1,0)</f>
        <v>0</v>
      </c>
      <c r="AB141">
        <f t="shared" si="259"/>
        <v>1</v>
      </c>
      <c r="AC141">
        <f t="shared" si="259"/>
        <v>1</v>
      </c>
      <c r="AD141">
        <f t="shared" si="6"/>
        <v>2</v>
      </c>
      <c r="AE141">
        <f t="shared" si="7"/>
        <v>1</v>
      </c>
      <c r="AF141">
        <f>if(iferror(vlookup($A141,'Description Database'!$E$2:$H$951,3,0),0)=TRUE,1,0)</f>
        <v>0</v>
      </c>
      <c r="AG141">
        <f>if(iferror(vlookup($A141,'Description Database'!$E$2:$H$951,4,0),0)=TRUE,1,0)</f>
        <v>0</v>
      </c>
    </row>
    <row r="142">
      <c r="A142" t="str">
        <f>IFERROR(__xludf.DUMMYFUNCTION("""COMPUTED_VALUE"""),"Samsung Galaxy A30 (4 GB/64 GB)")</f>
        <v>Samsung Galaxy A30 (4 GB/64 GB)</v>
      </c>
      <c r="B142" t="str">
        <f>IFERROR(__xludf.DUMMYFUNCTION("""COMPUTED_VALUE"""),"")</f>
        <v/>
      </c>
      <c r="C142" t="str">
        <f>IFERROR(__xludf.DUMMYFUNCTION("""COMPUTED_VALUE"""),"")</f>
        <v/>
      </c>
      <c r="D142" t="str">
        <f>IFERROR(__xludf.DUMMYFUNCTION("""COMPUTED_VALUE"""),"")</f>
        <v/>
      </c>
      <c r="E142" t="str">
        <f>IFERROR(__xludf.DUMMYFUNCTION("""COMPUTED_VALUE"""),"")</f>
        <v/>
      </c>
      <c r="F142">
        <f>IFERROR(__xludf.DUMMYFUNCTION("""COMPUTED_VALUE"""),1.0)</f>
        <v>1</v>
      </c>
      <c r="G142">
        <f>IFERROR(__xludf.DUMMYFUNCTION("""COMPUTED_VALUE"""),3.0)</f>
        <v>3</v>
      </c>
      <c r="H142" t="str">
        <f>IFERROR(__xludf.DUMMYFUNCTION("""COMPUTED_VALUE"""),"")</f>
        <v/>
      </c>
      <c r="I142">
        <f>IFERROR(__xludf.DUMMYFUNCTION("""COMPUTED_VALUE"""),4.0)</f>
        <v>4</v>
      </c>
      <c r="J142">
        <f>IFERROR(__xludf.DUMMYFUNCTION("""COMPUTED_VALUE"""),8.0)</f>
        <v>8</v>
      </c>
      <c r="L142" s="250" t="str">
        <f>IFERROR(__xludf.DUMMYFUNCTION("""COMPUTED_VALUE"""),"")</f>
        <v/>
      </c>
      <c r="M142" s="250" t="str">
        <f>IFERROR(__xludf.DUMMYFUNCTION("""COMPUTED_VALUE"""),"")</f>
        <v/>
      </c>
      <c r="N142" s="250" t="str">
        <f>IFERROR(__xludf.DUMMYFUNCTION("""COMPUTED_VALUE"""),"")</f>
        <v/>
      </c>
      <c r="O142" s="250" t="str">
        <f>IFERROR(__xludf.DUMMYFUNCTION("""COMPUTED_VALUE"""),"")</f>
        <v/>
      </c>
      <c r="P142" s="250">
        <f>IFERROR(__xludf.DUMMYFUNCTION("""COMPUTED_VALUE"""),5069.0)</f>
        <v>5069</v>
      </c>
      <c r="Q142" s="250">
        <f>IFERROR(__xludf.DUMMYFUNCTION("""COMPUTED_VALUE"""),2699.0)</f>
        <v>2699</v>
      </c>
      <c r="R142" s="250" t="str">
        <f>IFERROR(__xludf.DUMMYFUNCTION("""COMPUTED_VALUE"""),"")</f>
        <v/>
      </c>
      <c r="U142" s="250">
        <f>IFERROR(__xludf.DUMMYFUNCTION("""COMPUTED_VALUE"""),7809.0)</f>
        <v>7809</v>
      </c>
      <c r="V142" s="250">
        <f>IFERROR(__xludf.DUMMYFUNCTION("""COMPUTED_VALUE"""),7439.0)</f>
        <v>7439</v>
      </c>
      <c r="W142" s="250">
        <f>IFERROR(__xludf.DUMMYFUNCTION("""COMPUTED_VALUE"""),6699.0)</f>
        <v>6699</v>
      </c>
      <c r="X142" t="b">
        <f t="shared" ref="X142:Z142" si="260">ISBLANK(K142)</f>
        <v>1</v>
      </c>
      <c r="Y142" t="b">
        <f t="shared" si="260"/>
        <v>0</v>
      </c>
      <c r="Z142" t="b">
        <f t="shared" si="260"/>
        <v>0</v>
      </c>
      <c r="AA142">
        <f t="shared" ref="AA142:AC142" si="261">IF(X142=FALSE,1,0)</f>
        <v>0</v>
      </c>
      <c r="AB142">
        <f t="shared" si="261"/>
        <v>1</v>
      </c>
      <c r="AC142">
        <f t="shared" si="261"/>
        <v>1</v>
      </c>
      <c r="AD142">
        <f t="shared" si="6"/>
        <v>2</v>
      </c>
      <c r="AE142">
        <f t="shared" si="7"/>
        <v>1</v>
      </c>
      <c r="AF142">
        <f>if(iferror(vlookup($A142,'Description Database'!$E$2:$H$951,3,0),0)=TRUE,1,0)</f>
        <v>0</v>
      </c>
      <c r="AG142">
        <f>if(iferror(vlookup($A142,'Description Database'!$E$2:$H$951,4,0),0)=TRUE,1,0)</f>
        <v>0</v>
      </c>
    </row>
    <row r="143">
      <c r="A143" t="str">
        <f>IFERROR(__xludf.DUMMYFUNCTION("""COMPUTED_VALUE"""),"OnePlus 7 (8 GB/256 GB)")</f>
        <v>OnePlus 7 (8 GB/256 GB)</v>
      </c>
      <c r="B143" t="str">
        <f>IFERROR(__xludf.DUMMYFUNCTION("""COMPUTED_VALUE"""),"")</f>
        <v/>
      </c>
      <c r="C143" t="str">
        <f>IFERROR(__xludf.DUMMYFUNCTION("""COMPUTED_VALUE"""),"")</f>
        <v/>
      </c>
      <c r="D143">
        <f>IFERROR(__xludf.DUMMYFUNCTION("""COMPUTED_VALUE"""),1.0)</f>
        <v>1</v>
      </c>
      <c r="E143" t="str">
        <f>IFERROR(__xludf.DUMMYFUNCTION("""COMPUTED_VALUE"""),"")</f>
        <v/>
      </c>
      <c r="F143" t="str">
        <f>IFERROR(__xludf.DUMMYFUNCTION("""COMPUTED_VALUE"""),"")</f>
        <v/>
      </c>
      <c r="G143" t="str">
        <f>IFERROR(__xludf.DUMMYFUNCTION("""COMPUTED_VALUE"""),"")</f>
        <v/>
      </c>
      <c r="H143" t="str">
        <f>IFERROR(__xludf.DUMMYFUNCTION("""COMPUTED_VALUE"""),"")</f>
        <v/>
      </c>
      <c r="I143" t="str">
        <f>IFERROR(__xludf.DUMMYFUNCTION("""COMPUTED_VALUE"""),"")</f>
        <v/>
      </c>
      <c r="J143">
        <f>IFERROR(__xludf.DUMMYFUNCTION("""COMPUTED_VALUE"""),1.0)</f>
        <v>1</v>
      </c>
      <c r="L143" s="250" t="str">
        <f>IFERROR(__xludf.DUMMYFUNCTION("""COMPUTED_VALUE"""),"")</f>
        <v/>
      </c>
      <c r="M143" s="250" t="str">
        <f>IFERROR(__xludf.DUMMYFUNCTION("""COMPUTED_VALUE"""),"")</f>
        <v/>
      </c>
      <c r="N143" s="250">
        <f>IFERROR(__xludf.DUMMYFUNCTION("""COMPUTED_VALUE"""),17909.0)</f>
        <v>17909</v>
      </c>
      <c r="O143" s="250" t="str">
        <f>IFERROR(__xludf.DUMMYFUNCTION("""COMPUTED_VALUE"""),"")</f>
        <v/>
      </c>
      <c r="P143" s="250" t="str">
        <f>IFERROR(__xludf.DUMMYFUNCTION("""COMPUTED_VALUE"""),"")</f>
        <v/>
      </c>
      <c r="Q143" s="250" t="str">
        <f>IFERROR(__xludf.DUMMYFUNCTION("""COMPUTED_VALUE"""),"")</f>
        <v/>
      </c>
      <c r="R143" s="250" t="str">
        <f>IFERROR(__xludf.DUMMYFUNCTION("""COMPUTED_VALUE"""),"")</f>
        <v/>
      </c>
      <c r="U143" s="250">
        <f>IFERROR(__xludf.DUMMYFUNCTION("""COMPUTED_VALUE"""),22989.0)</f>
        <v>22989</v>
      </c>
      <c r="V143" s="250">
        <f>IFERROR(__xludf.DUMMYFUNCTION("""COMPUTED_VALUE"""),21889.0)</f>
        <v>21889</v>
      </c>
      <c r="W143" s="250">
        <f>IFERROR(__xludf.DUMMYFUNCTION("""COMPUTED_VALUE"""),19699.0)</f>
        <v>19699</v>
      </c>
      <c r="X143" t="b">
        <f t="shared" ref="X143:Z143" si="262">ISBLANK(K143)</f>
        <v>1</v>
      </c>
      <c r="Y143" t="b">
        <f t="shared" si="262"/>
        <v>0</v>
      </c>
      <c r="Z143" t="b">
        <f t="shared" si="262"/>
        <v>0</v>
      </c>
      <c r="AA143">
        <f t="shared" ref="AA143:AC143" si="263">IF(X143=FALSE,1,0)</f>
        <v>0</v>
      </c>
      <c r="AB143">
        <f t="shared" si="263"/>
        <v>1</v>
      </c>
      <c r="AC143">
        <f t="shared" si="263"/>
        <v>1</v>
      </c>
      <c r="AD143">
        <f t="shared" si="6"/>
        <v>2</v>
      </c>
      <c r="AE143">
        <f t="shared" si="7"/>
        <v>1</v>
      </c>
      <c r="AF143">
        <f>if(iferror(vlookup($A143,'Description Database'!$E$2:$H$951,3,0),0)=TRUE,1,0)</f>
        <v>0</v>
      </c>
      <c r="AG143">
        <f>if(iferror(vlookup($A143,'Description Database'!$E$2:$H$951,4,0),0)=TRUE,1,0)</f>
        <v>0</v>
      </c>
    </row>
    <row r="144">
      <c r="A144" t="str">
        <f>IFERROR(__xludf.DUMMYFUNCTION("""COMPUTED_VALUE"""),"Apple iPhone SE (2 GB/32 GB)")</f>
        <v>Apple iPhone SE (2 GB/32 GB)</v>
      </c>
      <c r="B144" t="str">
        <f>IFERROR(__xludf.DUMMYFUNCTION("""COMPUTED_VALUE"""),"")</f>
        <v/>
      </c>
      <c r="C144" t="str">
        <f>IFERROR(__xludf.DUMMYFUNCTION("""COMPUTED_VALUE"""),"")</f>
        <v/>
      </c>
      <c r="D144" t="str">
        <f>IFERROR(__xludf.DUMMYFUNCTION("""COMPUTED_VALUE"""),"")</f>
        <v/>
      </c>
      <c r="E144" t="str">
        <f>IFERROR(__xludf.DUMMYFUNCTION("""COMPUTED_VALUE"""),"")</f>
        <v/>
      </c>
      <c r="F144" t="str">
        <f>IFERROR(__xludf.DUMMYFUNCTION("""COMPUTED_VALUE"""),"")</f>
        <v/>
      </c>
      <c r="G144" t="str">
        <f>IFERROR(__xludf.DUMMYFUNCTION("""COMPUTED_VALUE"""),"")</f>
        <v/>
      </c>
      <c r="H144" t="str">
        <f>IFERROR(__xludf.DUMMYFUNCTION("""COMPUTED_VALUE"""),"")</f>
        <v/>
      </c>
      <c r="I144" t="str">
        <f>IFERROR(__xludf.DUMMYFUNCTION("""COMPUTED_VALUE"""),"")</f>
        <v/>
      </c>
      <c r="J144">
        <f>IFERROR(__xludf.DUMMYFUNCTION("""COMPUTED_VALUE"""),0.0)</f>
        <v>0</v>
      </c>
      <c r="L144" s="250" t="str">
        <f>IFERROR(__xludf.DUMMYFUNCTION("""COMPUTED_VALUE"""),"")</f>
        <v/>
      </c>
      <c r="M144" s="250" t="str">
        <f>IFERROR(__xludf.DUMMYFUNCTION("""COMPUTED_VALUE"""),"")</f>
        <v/>
      </c>
      <c r="N144" s="250" t="str">
        <f>IFERROR(__xludf.DUMMYFUNCTION("""COMPUTED_VALUE"""),"")</f>
        <v/>
      </c>
      <c r="O144" s="250" t="str">
        <f>IFERROR(__xludf.DUMMYFUNCTION("""COMPUTED_VALUE"""),"")</f>
        <v/>
      </c>
      <c r="P144" s="250" t="str">
        <f>IFERROR(__xludf.DUMMYFUNCTION("""COMPUTED_VALUE"""),"")</f>
        <v/>
      </c>
      <c r="Q144" s="250" t="str">
        <f>IFERROR(__xludf.DUMMYFUNCTION("""COMPUTED_VALUE"""),"")</f>
        <v/>
      </c>
      <c r="R144" s="250" t="str">
        <f>IFERROR(__xludf.DUMMYFUNCTION("""COMPUTED_VALUE"""),"")</f>
        <v/>
      </c>
      <c r="U144" s="250">
        <f>IFERROR(__xludf.DUMMYFUNCTION("""COMPUTED_VALUE"""),7079.0)</f>
        <v>7079</v>
      </c>
      <c r="V144" s="250">
        <f>IFERROR(__xludf.DUMMYFUNCTION("""COMPUTED_VALUE"""),6739.0)</f>
        <v>6739</v>
      </c>
      <c r="W144" s="250">
        <f>IFERROR(__xludf.DUMMYFUNCTION("""COMPUTED_VALUE"""),6059.0)</f>
        <v>6059</v>
      </c>
      <c r="X144" t="b">
        <f t="shared" ref="X144:Z144" si="264">ISBLANK(K144)</f>
        <v>1</v>
      </c>
      <c r="Y144" t="b">
        <f t="shared" si="264"/>
        <v>0</v>
      </c>
      <c r="Z144" t="b">
        <f t="shared" si="264"/>
        <v>0</v>
      </c>
      <c r="AA144">
        <f t="shared" ref="AA144:AC144" si="265">IF(X144=FALSE,1,0)</f>
        <v>0</v>
      </c>
      <c r="AB144">
        <f t="shared" si="265"/>
        <v>1</v>
      </c>
      <c r="AC144">
        <f t="shared" si="265"/>
        <v>1</v>
      </c>
      <c r="AD144">
        <f t="shared" si="6"/>
        <v>2</v>
      </c>
      <c r="AE144">
        <f t="shared" si="7"/>
        <v>1</v>
      </c>
      <c r="AF144">
        <f>if(iferror(vlookup($A144,'Description Database'!$E$2:$H$951,3,0),0)=TRUE,1,0)</f>
        <v>0</v>
      </c>
      <c r="AG144">
        <f>if(iferror(vlookup($A144,'Description Database'!$E$2:$H$951,4,0),0)=TRUE,1,0)</f>
        <v>0</v>
      </c>
    </row>
    <row r="145">
      <c r="A145" t="str">
        <f>IFERROR(__xludf.DUMMYFUNCTION("""COMPUTED_VALUE"""),"Samsung Galaxy A50 (4 GB/64 GB)")</f>
        <v>Samsung Galaxy A50 (4 GB/64 GB)</v>
      </c>
      <c r="B145" t="str">
        <f>IFERROR(__xludf.DUMMYFUNCTION("""COMPUTED_VALUE"""),"")</f>
        <v/>
      </c>
      <c r="C145" t="str">
        <f>IFERROR(__xludf.DUMMYFUNCTION("""COMPUTED_VALUE"""),"")</f>
        <v/>
      </c>
      <c r="D145">
        <f>IFERROR(__xludf.DUMMYFUNCTION("""COMPUTED_VALUE"""),1.0)</f>
        <v>1</v>
      </c>
      <c r="E145" t="str">
        <f>IFERROR(__xludf.DUMMYFUNCTION("""COMPUTED_VALUE"""),"")</f>
        <v/>
      </c>
      <c r="F145">
        <f>IFERROR(__xludf.DUMMYFUNCTION("""COMPUTED_VALUE"""),1.0)</f>
        <v>1</v>
      </c>
      <c r="G145">
        <f>IFERROR(__xludf.DUMMYFUNCTION("""COMPUTED_VALUE"""),1.0)</f>
        <v>1</v>
      </c>
      <c r="H145" t="str">
        <f>IFERROR(__xludf.DUMMYFUNCTION("""COMPUTED_VALUE"""),"")</f>
        <v/>
      </c>
      <c r="I145">
        <f>IFERROR(__xludf.DUMMYFUNCTION("""COMPUTED_VALUE"""),39.0)</f>
        <v>39</v>
      </c>
      <c r="J145">
        <f>IFERROR(__xludf.DUMMYFUNCTION("""COMPUTED_VALUE"""),42.0)</f>
        <v>42</v>
      </c>
      <c r="L145" s="250" t="str">
        <f>IFERROR(__xludf.DUMMYFUNCTION("""COMPUTED_VALUE"""),"")</f>
        <v/>
      </c>
      <c r="M145" s="250" t="str">
        <f>IFERROR(__xludf.DUMMYFUNCTION("""COMPUTED_VALUE"""),"")</f>
        <v/>
      </c>
      <c r="N145" s="250">
        <f>IFERROR(__xludf.DUMMYFUNCTION("""COMPUTED_VALUE"""),6959.0)</f>
        <v>6959</v>
      </c>
      <c r="O145" s="250" t="str">
        <f>IFERROR(__xludf.DUMMYFUNCTION("""COMPUTED_VALUE"""),"")</f>
        <v/>
      </c>
      <c r="P145" s="250">
        <f>IFERROR(__xludf.DUMMYFUNCTION("""COMPUTED_VALUE"""),5839.0)</f>
        <v>5839</v>
      </c>
      <c r="Q145" s="250">
        <f>IFERROR(__xludf.DUMMYFUNCTION("""COMPUTED_VALUE"""),3019.0)</f>
        <v>3019</v>
      </c>
      <c r="R145" s="250" t="str">
        <f>IFERROR(__xludf.DUMMYFUNCTION("""COMPUTED_VALUE"""),"")</f>
        <v/>
      </c>
      <c r="U145" s="250">
        <f>IFERROR(__xludf.DUMMYFUNCTION("""COMPUTED_VALUE"""),8939.0)</f>
        <v>8939</v>
      </c>
      <c r="V145" s="250">
        <f>IFERROR(__xludf.DUMMYFUNCTION("""COMPUTED_VALUE"""),8509.0)</f>
        <v>8509</v>
      </c>
      <c r="W145" s="250">
        <f>IFERROR(__xludf.DUMMYFUNCTION("""COMPUTED_VALUE"""),7659.0)</f>
        <v>7659</v>
      </c>
      <c r="X145" t="b">
        <f t="shared" ref="X145:Z145" si="266">ISBLANK(K145)</f>
        <v>1</v>
      </c>
      <c r="Y145" t="b">
        <f t="shared" si="266"/>
        <v>0</v>
      </c>
      <c r="Z145" t="b">
        <f t="shared" si="266"/>
        <v>0</v>
      </c>
      <c r="AA145">
        <f t="shared" ref="AA145:AC145" si="267">IF(X145=FALSE,1,0)</f>
        <v>0</v>
      </c>
      <c r="AB145">
        <f t="shared" si="267"/>
        <v>1</v>
      </c>
      <c r="AC145">
        <f t="shared" si="267"/>
        <v>1</v>
      </c>
      <c r="AD145">
        <f t="shared" si="6"/>
        <v>2</v>
      </c>
      <c r="AE145">
        <f t="shared" si="7"/>
        <v>1</v>
      </c>
      <c r="AF145">
        <f>if(iferror(vlookup($A145,'Description Database'!$E$2:$H$951,3,0),0)=TRUE,1,0)</f>
        <v>0</v>
      </c>
      <c r="AG145">
        <f>if(iferror(vlookup($A145,'Description Database'!$E$2:$H$951,4,0),0)=TRUE,1,0)</f>
        <v>0</v>
      </c>
    </row>
    <row r="146">
      <c r="A146" t="str">
        <f>IFERROR(__xludf.DUMMYFUNCTION("""COMPUTED_VALUE"""),"Samsung Galaxy A71 (8 GB/128 GB)")</f>
        <v>Samsung Galaxy A71 (8 GB/128 GB)</v>
      </c>
      <c r="B146" t="str">
        <f>IFERROR(__xludf.DUMMYFUNCTION("""COMPUTED_VALUE"""),"")</f>
        <v/>
      </c>
      <c r="C146" t="str">
        <f>IFERROR(__xludf.DUMMYFUNCTION("""COMPUTED_VALUE"""),"")</f>
        <v/>
      </c>
      <c r="D146" t="str">
        <f>IFERROR(__xludf.DUMMYFUNCTION("""COMPUTED_VALUE"""),"")</f>
        <v/>
      </c>
      <c r="E146" t="str">
        <f>IFERROR(__xludf.DUMMYFUNCTION("""COMPUTED_VALUE"""),"")</f>
        <v/>
      </c>
      <c r="F146" t="str">
        <f>IFERROR(__xludf.DUMMYFUNCTION("""COMPUTED_VALUE"""),"")</f>
        <v/>
      </c>
      <c r="G146" t="str">
        <f>IFERROR(__xludf.DUMMYFUNCTION("""COMPUTED_VALUE"""),"")</f>
        <v/>
      </c>
      <c r="H146" t="str">
        <f>IFERROR(__xludf.DUMMYFUNCTION("""COMPUTED_VALUE"""),"")</f>
        <v/>
      </c>
      <c r="I146">
        <f>IFERROR(__xludf.DUMMYFUNCTION("""COMPUTED_VALUE"""),1.0)</f>
        <v>1</v>
      </c>
      <c r="J146">
        <f>IFERROR(__xludf.DUMMYFUNCTION("""COMPUTED_VALUE"""),1.0)</f>
        <v>1</v>
      </c>
      <c r="L146" s="250" t="str">
        <f>IFERROR(__xludf.DUMMYFUNCTION("""COMPUTED_VALUE"""),"")</f>
        <v/>
      </c>
      <c r="M146" s="250" t="str">
        <f>IFERROR(__xludf.DUMMYFUNCTION("""COMPUTED_VALUE"""),"")</f>
        <v/>
      </c>
      <c r="N146" s="250" t="str">
        <f>IFERROR(__xludf.DUMMYFUNCTION("""COMPUTED_VALUE"""),"")</f>
        <v/>
      </c>
      <c r="O146" s="250" t="str">
        <f>IFERROR(__xludf.DUMMYFUNCTION("""COMPUTED_VALUE"""),"")</f>
        <v/>
      </c>
      <c r="P146" s="250" t="str">
        <f>IFERROR(__xludf.DUMMYFUNCTION("""COMPUTED_VALUE"""),"")</f>
        <v/>
      </c>
      <c r="Q146" s="250" t="str">
        <f>IFERROR(__xludf.DUMMYFUNCTION("""COMPUTED_VALUE"""),"")</f>
        <v/>
      </c>
      <c r="R146" s="250" t="str">
        <f>IFERROR(__xludf.DUMMYFUNCTION("""COMPUTED_VALUE"""),"")</f>
        <v/>
      </c>
      <c r="U146" s="250">
        <f>IFERROR(__xludf.DUMMYFUNCTION("""COMPUTED_VALUE"""),16929.0)</f>
        <v>16929</v>
      </c>
      <c r="V146" s="250">
        <f>IFERROR(__xludf.DUMMYFUNCTION("""COMPUTED_VALUE"""),16119.0)</f>
        <v>16119</v>
      </c>
      <c r="W146" s="250">
        <f>IFERROR(__xludf.DUMMYFUNCTION("""COMPUTED_VALUE"""),14509.0)</f>
        <v>14509</v>
      </c>
      <c r="X146" t="b">
        <f t="shared" ref="X146:Z146" si="268">ISBLANK(K146)</f>
        <v>1</v>
      </c>
      <c r="Y146" t="b">
        <f t="shared" si="268"/>
        <v>0</v>
      </c>
      <c r="Z146" t="b">
        <f t="shared" si="268"/>
        <v>0</v>
      </c>
      <c r="AA146">
        <f t="shared" ref="AA146:AC146" si="269">IF(X146=FALSE,1,0)</f>
        <v>0</v>
      </c>
      <c r="AB146">
        <f t="shared" si="269"/>
        <v>1</v>
      </c>
      <c r="AC146">
        <f t="shared" si="269"/>
        <v>1</v>
      </c>
      <c r="AD146">
        <f t="shared" si="6"/>
        <v>2</v>
      </c>
      <c r="AE146">
        <f t="shared" si="7"/>
        <v>1</v>
      </c>
      <c r="AF146">
        <f>if(iferror(vlookup($A146,'Description Database'!$E$2:$H$951,3,0),0)=TRUE,1,0)</f>
        <v>0</v>
      </c>
      <c r="AG146">
        <f>if(iferror(vlookup($A146,'Description Database'!$E$2:$H$951,4,0),0)=TRUE,1,0)</f>
        <v>0</v>
      </c>
    </row>
    <row r="147">
      <c r="A147" t="str">
        <f>IFERROR(__xludf.DUMMYFUNCTION("""COMPUTED_VALUE"""),"Samsung Galaxy Note 9 (6 GB/128 GB)")</f>
        <v>Samsung Galaxy Note 9 (6 GB/128 GB)</v>
      </c>
      <c r="B147" t="str">
        <f>IFERROR(__xludf.DUMMYFUNCTION("""COMPUTED_VALUE"""),"")</f>
        <v/>
      </c>
      <c r="C147" t="str">
        <f>IFERROR(__xludf.DUMMYFUNCTION("""COMPUTED_VALUE"""),"")</f>
        <v/>
      </c>
      <c r="D147" t="str">
        <f>IFERROR(__xludf.DUMMYFUNCTION("""COMPUTED_VALUE"""),"")</f>
        <v/>
      </c>
      <c r="E147" t="str">
        <f>IFERROR(__xludf.DUMMYFUNCTION("""COMPUTED_VALUE"""),"")</f>
        <v/>
      </c>
      <c r="F147" t="str">
        <f>IFERROR(__xludf.DUMMYFUNCTION("""COMPUTED_VALUE"""),"")</f>
        <v/>
      </c>
      <c r="G147">
        <f>IFERROR(__xludf.DUMMYFUNCTION("""COMPUTED_VALUE"""),1.0)</f>
        <v>1</v>
      </c>
      <c r="H147" t="str">
        <f>IFERROR(__xludf.DUMMYFUNCTION("""COMPUTED_VALUE"""),"")</f>
        <v/>
      </c>
      <c r="I147" t="str">
        <f>IFERROR(__xludf.DUMMYFUNCTION("""COMPUTED_VALUE"""),"")</f>
        <v/>
      </c>
      <c r="J147">
        <f>IFERROR(__xludf.DUMMYFUNCTION("""COMPUTED_VALUE"""),1.0)</f>
        <v>1</v>
      </c>
      <c r="L147" s="250" t="str">
        <f>IFERROR(__xludf.DUMMYFUNCTION("""COMPUTED_VALUE"""),"")</f>
        <v/>
      </c>
      <c r="M147" s="250" t="str">
        <f>IFERROR(__xludf.DUMMYFUNCTION("""COMPUTED_VALUE"""),"")</f>
        <v/>
      </c>
      <c r="N147" s="250" t="str">
        <f>IFERROR(__xludf.DUMMYFUNCTION("""COMPUTED_VALUE"""),"")</f>
        <v/>
      </c>
      <c r="O147" s="250" t="str">
        <f>IFERROR(__xludf.DUMMYFUNCTION("""COMPUTED_VALUE"""),"")</f>
        <v/>
      </c>
      <c r="P147" s="250" t="str">
        <f>IFERROR(__xludf.DUMMYFUNCTION("""COMPUTED_VALUE"""),"")</f>
        <v/>
      </c>
      <c r="Q147" s="250">
        <f>IFERROR(__xludf.DUMMYFUNCTION("""COMPUTED_VALUE"""),7929.0)</f>
        <v>7929</v>
      </c>
      <c r="R147" s="250" t="str">
        <f>IFERROR(__xludf.DUMMYFUNCTION("""COMPUTED_VALUE"""),"")</f>
        <v/>
      </c>
      <c r="U147" s="250">
        <f>IFERROR(__xludf.DUMMYFUNCTION("""COMPUTED_VALUE"""),19629.0)</f>
        <v>19629</v>
      </c>
      <c r="V147" s="250">
        <f>IFERROR(__xludf.DUMMYFUNCTION("""COMPUTED_VALUE"""),18689.0)</f>
        <v>18689</v>
      </c>
      <c r="W147" s="250">
        <f>IFERROR(__xludf.DUMMYFUNCTION("""COMPUTED_VALUE"""),16829.0)</f>
        <v>16829</v>
      </c>
      <c r="X147" t="b">
        <f t="shared" ref="X147:Z147" si="270">ISBLANK(K147)</f>
        <v>1</v>
      </c>
      <c r="Y147" t="b">
        <f t="shared" si="270"/>
        <v>0</v>
      </c>
      <c r="Z147" t="b">
        <f t="shared" si="270"/>
        <v>0</v>
      </c>
      <c r="AA147">
        <f t="shared" ref="AA147:AC147" si="271">IF(X147=FALSE,1,0)</f>
        <v>0</v>
      </c>
      <c r="AB147">
        <f t="shared" si="271"/>
        <v>1</v>
      </c>
      <c r="AC147">
        <f t="shared" si="271"/>
        <v>1</v>
      </c>
      <c r="AD147">
        <f t="shared" si="6"/>
        <v>2</v>
      </c>
      <c r="AE147">
        <f t="shared" si="7"/>
        <v>1</v>
      </c>
      <c r="AF147">
        <f>if(iferror(vlookup($A147,'Description Database'!$E$2:$H$951,3,0),0)=TRUE,1,0)</f>
        <v>0</v>
      </c>
      <c r="AG147">
        <f>if(iferror(vlookup($A147,'Description Database'!$E$2:$H$951,4,0),0)=TRUE,1,0)</f>
        <v>0</v>
      </c>
    </row>
    <row r="148">
      <c r="A148" t="str">
        <f>IFERROR(__xludf.DUMMYFUNCTION("""COMPUTED_VALUE"""),"Apple iPhone XS Max (4 GB/256 GB)")</f>
        <v>Apple iPhone XS Max (4 GB/256 GB)</v>
      </c>
      <c r="B148" t="str">
        <f>IFERROR(__xludf.DUMMYFUNCTION("""COMPUTED_VALUE"""),"")</f>
        <v/>
      </c>
      <c r="C148" t="str">
        <f>IFERROR(__xludf.DUMMYFUNCTION("""COMPUTED_VALUE"""),"")</f>
        <v/>
      </c>
      <c r="D148" t="str">
        <f>IFERROR(__xludf.DUMMYFUNCTION("""COMPUTED_VALUE"""),"")</f>
        <v/>
      </c>
      <c r="E148" t="str">
        <f>IFERROR(__xludf.DUMMYFUNCTION("""COMPUTED_VALUE"""),"")</f>
        <v/>
      </c>
      <c r="F148" t="str">
        <f>IFERROR(__xludf.DUMMYFUNCTION("""COMPUTED_VALUE"""),"")</f>
        <v/>
      </c>
      <c r="G148" t="str">
        <f>IFERROR(__xludf.DUMMYFUNCTION("""COMPUTED_VALUE"""),"")</f>
        <v/>
      </c>
      <c r="H148" t="str">
        <f>IFERROR(__xludf.DUMMYFUNCTION("""COMPUTED_VALUE"""),"")</f>
        <v/>
      </c>
      <c r="I148" t="str">
        <f>IFERROR(__xludf.DUMMYFUNCTION("""COMPUTED_VALUE"""),"")</f>
        <v/>
      </c>
      <c r="J148">
        <f>IFERROR(__xludf.DUMMYFUNCTION("""COMPUTED_VALUE"""),0.0)</f>
        <v>0</v>
      </c>
      <c r="L148" s="250" t="str">
        <f>IFERROR(__xludf.DUMMYFUNCTION("""COMPUTED_VALUE"""),"")</f>
        <v/>
      </c>
      <c r="M148" s="250" t="str">
        <f>IFERROR(__xludf.DUMMYFUNCTION("""COMPUTED_VALUE"""),"")</f>
        <v/>
      </c>
      <c r="N148" s="250" t="str">
        <f>IFERROR(__xludf.DUMMYFUNCTION("""COMPUTED_VALUE"""),"")</f>
        <v/>
      </c>
      <c r="O148" s="250" t="str">
        <f>IFERROR(__xludf.DUMMYFUNCTION("""COMPUTED_VALUE"""),"")</f>
        <v/>
      </c>
      <c r="P148" s="250" t="str">
        <f>IFERROR(__xludf.DUMMYFUNCTION("""COMPUTED_VALUE"""),"")</f>
        <v/>
      </c>
      <c r="Q148" s="250" t="str">
        <f>IFERROR(__xludf.DUMMYFUNCTION("""COMPUTED_VALUE"""),"")</f>
        <v/>
      </c>
      <c r="R148" s="250" t="str">
        <f>IFERROR(__xludf.DUMMYFUNCTION("""COMPUTED_VALUE"""),"")</f>
        <v/>
      </c>
      <c r="U148" s="250">
        <f>IFERROR(__xludf.DUMMYFUNCTION("""COMPUTED_VALUE"""),38979.0)</f>
        <v>38979</v>
      </c>
      <c r="V148" s="250">
        <f>IFERROR(__xludf.DUMMYFUNCTION("""COMPUTED_VALUE"""),37119.0)</f>
        <v>37119</v>
      </c>
      <c r="W148" s="250">
        <f>IFERROR(__xludf.DUMMYFUNCTION("""COMPUTED_VALUE"""),33409.0)</f>
        <v>33409</v>
      </c>
      <c r="X148" t="b">
        <f t="shared" ref="X148:Z148" si="272">ISBLANK(K148)</f>
        <v>1</v>
      </c>
      <c r="Y148" t="b">
        <f t="shared" si="272"/>
        <v>0</v>
      </c>
      <c r="Z148" t="b">
        <f t="shared" si="272"/>
        <v>0</v>
      </c>
      <c r="AA148">
        <f t="shared" ref="AA148:AC148" si="273">IF(X148=FALSE,1,0)</f>
        <v>0</v>
      </c>
      <c r="AB148">
        <f t="shared" si="273"/>
        <v>1</v>
      </c>
      <c r="AC148">
        <f t="shared" si="273"/>
        <v>1</v>
      </c>
      <c r="AD148">
        <f t="shared" si="6"/>
        <v>2</v>
      </c>
      <c r="AE148">
        <f t="shared" si="7"/>
        <v>1</v>
      </c>
      <c r="AF148">
        <f>if(iferror(vlookup($A148,'Description Database'!$E$2:$H$951,3,0),0)=TRUE,1,0)</f>
        <v>0</v>
      </c>
      <c r="AG148">
        <f>if(iferror(vlookup($A148,'Description Database'!$E$2:$H$951,4,0),0)=TRUE,1,0)</f>
        <v>0</v>
      </c>
    </row>
    <row r="149">
      <c r="A149" t="str">
        <f>IFERROR(__xludf.DUMMYFUNCTION("""COMPUTED_VALUE"""),"Apple iPhone XS (4 GB/256 GB)")</f>
        <v>Apple iPhone XS (4 GB/256 GB)</v>
      </c>
      <c r="B149" t="str">
        <f>IFERROR(__xludf.DUMMYFUNCTION("""COMPUTED_VALUE"""),"")</f>
        <v/>
      </c>
      <c r="C149" t="str">
        <f>IFERROR(__xludf.DUMMYFUNCTION("""COMPUTED_VALUE"""),"")</f>
        <v/>
      </c>
      <c r="D149" t="str">
        <f>IFERROR(__xludf.DUMMYFUNCTION("""COMPUTED_VALUE"""),"")</f>
        <v/>
      </c>
      <c r="E149" t="str">
        <f>IFERROR(__xludf.DUMMYFUNCTION("""COMPUTED_VALUE"""),"")</f>
        <v/>
      </c>
      <c r="F149">
        <f>IFERROR(__xludf.DUMMYFUNCTION("""COMPUTED_VALUE"""),1.0)</f>
        <v>1</v>
      </c>
      <c r="G149">
        <f>IFERROR(__xludf.DUMMYFUNCTION("""COMPUTED_VALUE"""),1.0)</f>
        <v>1</v>
      </c>
      <c r="H149" t="str">
        <f>IFERROR(__xludf.DUMMYFUNCTION("""COMPUTED_VALUE"""),"")</f>
        <v/>
      </c>
      <c r="I149" t="str">
        <f>IFERROR(__xludf.DUMMYFUNCTION("""COMPUTED_VALUE"""),"")</f>
        <v/>
      </c>
      <c r="J149">
        <f>IFERROR(__xludf.DUMMYFUNCTION("""COMPUTED_VALUE"""),2.0)</f>
        <v>2</v>
      </c>
      <c r="L149" s="250" t="str">
        <f>IFERROR(__xludf.DUMMYFUNCTION("""COMPUTED_VALUE"""),"")</f>
        <v/>
      </c>
      <c r="M149" s="250" t="str">
        <f>IFERROR(__xludf.DUMMYFUNCTION("""COMPUTED_VALUE"""),"")</f>
        <v/>
      </c>
      <c r="N149" s="250" t="str">
        <f>IFERROR(__xludf.DUMMYFUNCTION("""COMPUTED_VALUE"""),"")</f>
        <v/>
      </c>
      <c r="O149" s="250" t="str">
        <f>IFERROR(__xludf.DUMMYFUNCTION("""COMPUTED_VALUE"""),"")</f>
        <v/>
      </c>
      <c r="P149" s="250">
        <f>IFERROR(__xludf.DUMMYFUNCTION("""COMPUTED_VALUE"""),22439.0)</f>
        <v>22439</v>
      </c>
      <c r="Q149" s="250">
        <f>IFERROR(__xludf.DUMMYFUNCTION("""COMPUTED_VALUE"""),17169.0)</f>
        <v>17169</v>
      </c>
      <c r="R149" s="250" t="str">
        <f>IFERROR(__xludf.DUMMYFUNCTION("""COMPUTED_VALUE"""),"")</f>
        <v/>
      </c>
      <c r="U149" s="250">
        <f>IFERROR(__xludf.DUMMYFUNCTION("""COMPUTED_VALUE"""),34549.0)</f>
        <v>34549</v>
      </c>
      <c r="V149" s="250">
        <f>IFERROR(__xludf.DUMMYFUNCTION("""COMPUTED_VALUE"""),32899.0)</f>
        <v>32899</v>
      </c>
      <c r="W149" s="250">
        <f>IFERROR(__xludf.DUMMYFUNCTION("""COMPUTED_VALUE"""),30069.0)</f>
        <v>30069</v>
      </c>
      <c r="X149" t="b">
        <f t="shared" ref="X149:Z149" si="274">ISBLANK(K149)</f>
        <v>1</v>
      </c>
      <c r="Y149" t="b">
        <f t="shared" si="274"/>
        <v>0</v>
      </c>
      <c r="Z149" t="b">
        <f t="shared" si="274"/>
        <v>0</v>
      </c>
      <c r="AA149">
        <f t="shared" ref="AA149:AC149" si="275">IF(X149=FALSE,1,0)</f>
        <v>0</v>
      </c>
      <c r="AB149">
        <f t="shared" si="275"/>
        <v>1</v>
      </c>
      <c r="AC149">
        <f t="shared" si="275"/>
        <v>1</v>
      </c>
      <c r="AD149">
        <f t="shared" si="6"/>
        <v>2</v>
      </c>
      <c r="AE149">
        <f t="shared" si="7"/>
        <v>1</v>
      </c>
      <c r="AF149">
        <f>if(iferror(vlookup($A149,'Description Database'!$E$2:$H$951,3,0),0)=TRUE,1,0)</f>
        <v>0</v>
      </c>
      <c r="AG149">
        <f>if(iferror(vlookup($A149,'Description Database'!$E$2:$H$951,4,0),0)=TRUE,1,0)</f>
        <v>0</v>
      </c>
    </row>
    <row r="150">
      <c r="A150" t="str">
        <f>IFERROR(__xludf.DUMMYFUNCTION("""COMPUTED_VALUE"""),"Xiaomi Redmi Note 7 Pro (4 GB/64 GB)")</f>
        <v>Xiaomi Redmi Note 7 Pro (4 GB/64 GB)</v>
      </c>
      <c r="B150" t="str">
        <f>IFERROR(__xludf.DUMMYFUNCTION("""COMPUTED_VALUE"""),"")</f>
        <v/>
      </c>
      <c r="C150" t="str">
        <f>IFERROR(__xludf.DUMMYFUNCTION("""COMPUTED_VALUE"""),"")</f>
        <v/>
      </c>
      <c r="D150" t="str">
        <f>IFERROR(__xludf.DUMMYFUNCTION("""COMPUTED_VALUE"""),"")</f>
        <v/>
      </c>
      <c r="E150" t="str">
        <f>IFERROR(__xludf.DUMMYFUNCTION("""COMPUTED_VALUE"""),"")</f>
        <v/>
      </c>
      <c r="F150">
        <f>IFERROR(__xludf.DUMMYFUNCTION("""COMPUTED_VALUE"""),2.0)</f>
        <v>2</v>
      </c>
      <c r="G150">
        <f>IFERROR(__xludf.DUMMYFUNCTION("""COMPUTED_VALUE"""),2.0)</f>
        <v>2</v>
      </c>
      <c r="H150" t="str">
        <f>IFERROR(__xludf.DUMMYFUNCTION("""COMPUTED_VALUE"""),"")</f>
        <v/>
      </c>
      <c r="I150">
        <f>IFERROR(__xludf.DUMMYFUNCTION("""COMPUTED_VALUE"""),7.0)</f>
        <v>7</v>
      </c>
      <c r="J150">
        <f>IFERROR(__xludf.DUMMYFUNCTION("""COMPUTED_VALUE"""),11.0)</f>
        <v>11</v>
      </c>
      <c r="L150" s="250" t="str">
        <f>IFERROR(__xludf.DUMMYFUNCTION("""COMPUTED_VALUE"""),"")</f>
        <v/>
      </c>
      <c r="M150" s="250" t="str">
        <f>IFERROR(__xludf.DUMMYFUNCTION("""COMPUTED_VALUE"""),"")</f>
        <v/>
      </c>
      <c r="N150" s="250" t="str">
        <f>IFERROR(__xludf.DUMMYFUNCTION("""COMPUTED_VALUE"""),"")</f>
        <v/>
      </c>
      <c r="O150" s="250" t="str">
        <f>IFERROR(__xludf.DUMMYFUNCTION("""COMPUTED_VALUE"""),"")</f>
        <v/>
      </c>
      <c r="P150" s="250">
        <f>IFERROR(__xludf.DUMMYFUNCTION("""COMPUTED_VALUE"""),5749.0)</f>
        <v>5749</v>
      </c>
      <c r="Q150" s="250">
        <f>IFERROR(__xludf.DUMMYFUNCTION("""COMPUTED_VALUE"""),4409.0)</f>
        <v>4409</v>
      </c>
      <c r="R150" s="250" t="str">
        <f>IFERROR(__xludf.DUMMYFUNCTION("""COMPUTED_VALUE"""),"")</f>
        <v/>
      </c>
      <c r="U150" s="250">
        <f>IFERROR(__xludf.DUMMYFUNCTION("""COMPUTED_VALUE"""),8799.0)</f>
        <v>8799</v>
      </c>
      <c r="V150" s="250">
        <f>IFERROR(__xludf.DUMMYFUNCTION("""COMPUTED_VALUE"""),8389.0)</f>
        <v>8389</v>
      </c>
      <c r="W150" s="250">
        <f>IFERROR(__xludf.DUMMYFUNCTION("""COMPUTED_VALUE"""),7549.0)</f>
        <v>7549</v>
      </c>
      <c r="X150" t="b">
        <f t="shared" ref="X150:Z150" si="276">ISBLANK(K150)</f>
        <v>1</v>
      </c>
      <c r="Y150" t="b">
        <f t="shared" si="276"/>
        <v>0</v>
      </c>
      <c r="Z150" t="b">
        <f t="shared" si="276"/>
        <v>0</v>
      </c>
      <c r="AA150">
        <f t="shared" ref="AA150:AC150" si="277">IF(X150=FALSE,1,0)</f>
        <v>0</v>
      </c>
      <c r="AB150">
        <f t="shared" si="277"/>
        <v>1</v>
      </c>
      <c r="AC150">
        <f t="shared" si="277"/>
        <v>1</v>
      </c>
      <c r="AD150">
        <f t="shared" si="6"/>
        <v>2</v>
      </c>
      <c r="AE150">
        <f t="shared" si="7"/>
        <v>1</v>
      </c>
      <c r="AF150">
        <f>if(iferror(vlookup($A150,'Description Database'!$E$2:$H$951,3,0),0)=TRUE,1,0)</f>
        <v>0</v>
      </c>
      <c r="AG150">
        <f>if(iferror(vlookup($A150,'Description Database'!$E$2:$H$951,4,0),0)=TRUE,1,0)</f>
        <v>1</v>
      </c>
    </row>
    <row r="151">
      <c r="A151" t="str">
        <f>IFERROR(__xludf.DUMMYFUNCTION("""COMPUTED_VALUE"""),"Apple iPhone 7 Plus (3 GB/32 GB)")</f>
        <v>Apple iPhone 7 Plus (3 GB/32 GB)</v>
      </c>
      <c r="B151" t="str">
        <f>IFERROR(__xludf.DUMMYFUNCTION("""COMPUTED_VALUE"""),"")</f>
        <v/>
      </c>
      <c r="C151" t="str">
        <f>IFERROR(__xludf.DUMMYFUNCTION("""COMPUTED_VALUE"""),"")</f>
        <v/>
      </c>
      <c r="D151" t="str">
        <f>IFERROR(__xludf.DUMMYFUNCTION("""COMPUTED_VALUE"""),"")</f>
        <v/>
      </c>
      <c r="E151">
        <f>IFERROR(__xludf.DUMMYFUNCTION("""COMPUTED_VALUE"""),1.0)</f>
        <v>1</v>
      </c>
      <c r="F151">
        <f>IFERROR(__xludf.DUMMYFUNCTION("""COMPUTED_VALUE"""),3.0)</f>
        <v>3</v>
      </c>
      <c r="G151">
        <f>IFERROR(__xludf.DUMMYFUNCTION("""COMPUTED_VALUE"""),1.0)</f>
        <v>1</v>
      </c>
      <c r="H151" t="str">
        <f>IFERROR(__xludf.DUMMYFUNCTION("""COMPUTED_VALUE"""),"")</f>
        <v/>
      </c>
      <c r="I151" t="str">
        <f>IFERROR(__xludf.DUMMYFUNCTION("""COMPUTED_VALUE"""),"")</f>
        <v/>
      </c>
      <c r="J151">
        <f>IFERROR(__xludf.DUMMYFUNCTION("""COMPUTED_VALUE"""),5.0)</f>
        <v>5</v>
      </c>
      <c r="L151" s="250" t="str">
        <f>IFERROR(__xludf.DUMMYFUNCTION("""COMPUTED_VALUE"""),"")</f>
        <v/>
      </c>
      <c r="M151" s="250" t="str">
        <f>IFERROR(__xludf.DUMMYFUNCTION("""COMPUTED_VALUE"""),"")</f>
        <v/>
      </c>
      <c r="N151" s="250" t="str">
        <f>IFERROR(__xludf.DUMMYFUNCTION("""COMPUTED_VALUE"""),"")</f>
        <v/>
      </c>
      <c r="O151" s="250">
        <f>IFERROR(__xludf.DUMMYFUNCTION("""COMPUTED_VALUE"""),12079.0)</f>
        <v>12079</v>
      </c>
      <c r="P151" s="250">
        <f>IFERROR(__xludf.DUMMYFUNCTION("""COMPUTED_VALUE"""),10979.0)</f>
        <v>10979</v>
      </c>
      <c r="Q151" s="250">
        <f>IFERROR(__xludf.DUMMYFUNCTION("""COMPUTED_VALUE"""),8409.0)</f>
        <v>8409</v>
      </c>
      <c r="R151" s="250" t="str">
        <f>IFERROR(__xludf.DUMMYFUNCTION("""COMPUTED_VALUE"""),"")</f>
        <v/>
      </c>
      <c r="U151" s="250">
        <f>IFERROR(__xludf.DUMMYFUNCTION("""COMPUTED_VALUE"""),16919.0)</f>
        <v>16919</v>
      </c>
      <c r="V151" s="250">
        <f>IFERROR(__xludf.DUMMYFUNCTION("""COMPUTED_VALUE"""),16109.0)</f>
        <v>16109</v>
      </c>
      <c r="W151" s="250">
        <f>IFERROR(__xludf.DUMMYFUNCTION("""COMPUTED_VALUE"""),14499.0)</f>
        <v>14499</v>
      </c>
      <c r="X151" t="b">
        <f t="shared" ref="X151:Z151" si="278">ISBLANK(K151)</f>
        <v>1</v>
      </c>
      <c r="Y151" t="b">
        <f t="shared" si="278"/>
        <v>0</v>
      </c>
      <c r="Z151" t="b">
        <f t="shared" si="278"/>
        <v>0</v>
      </c>
      <c r="AA151">
        <f t="shared" ref="AA151:AC151" si="279">IF(X151=FALSE,1,0)</f>
        <v>0</v>
      </c>
      <c r="AB151">
        <f t="shared" si="279"/>
        <v>1</v>
      </c>
      <c r="AC151">
        <f t="shared" si="279"/>
        <v>1</v>
      </c>
      <c r="AD151">
        <f t="shared" si="6"/>
        <v>2</v>
      </c>
      <c r="AE151">
        <f t="shared" si="7"/>
        <v>1</v>
      </c>
      <c r="AF151">
        <f>if(iferror(vlookup($A151,'Description Database'!$E$2:$H$951,3,0),0)=TRUE,1,0)</f>
        <v>0</v>
      </c>
      <c r="AG151">
        <f>if(iferror(vlookup($A151,'Description Database'!$E$2:$H$951,4,0),0)=TRUE,1,0)</f>
        <v>1</v>
      </c>
    </row>
    <row r="152">
      <c r="A152" t="str">
        <f>IFERROR(__xludf.DUMMYFUNCTION("""COMPUTED_VALUE"""),"Xiaomi Redmi Note 7 Pro (6 GB/128 GB)")</f>
        <v>Xiaomi Redmi Note 7 Pro (6 GB/128 GB)</v>
      </c>
      <c r="B152" t="str">
        <f>IFERROR(__xludf.DUMMYFUNCTION("""COMPUTED_VALUE"""),"")</f>
        <v/>
      </c>
      <c r="C152" t="str">
        <f>IFERROR(__xludf.DUMMYFUNCTION("""COMPUTED_VALUE"""),"")</f>
        <v/>
      </c>
      <c r="D152" t="str">
        <f>IFERROR(__xludf.DUMMYFUNCTION("""COMPUTED_VALUE"""),"")</f>
        <v/>
      </c>
      <c r="E152" t="str">
        <f>IFERROR(__xludf.DUMMYFUNCTION("""COMPUTED_VALUE"""),"")</f>
        <v/>
      </c>
      <c r="F152" t="str">
        <f>IFERROR(__xludf.DUMMYFUNCTION("""COMPUTED_VALUE"""),"")</f>
        <v/>
      </c>
      <c r="G152" t="str">
        <f>IFERROR(__xludf.DUMMYFUNCTION("""COMPUTED_VALUE"""),"")</f>
        <v/>
      </c>
      <c r="H152" t="str">
        <f>IFERROR(__xludf.DUMMYFUNCTION("""COMPUTED_VALUE"""),"")</f>
        <v/>
      </c>
      <c r="I152" t="str">
        <f>IFERROR(__xludf.DUMMYFUNCTION("""COMPUTED_VALUE"""),"")</f>
        <v/>
      </c>
      <c r="J152">
        <f>IFERROR(__xludf.DUMMYFUNCTION("""COMPUTED_VALUE"""),0.0)</f>
        <v>0</v>
      </c>
      <c r="L152" s="250" t="str">
        <f>IFERROR(__xludf.DUMMYFUNCTION("""COMPUTED_VALUE"""),"")</f>
        <v/>
      </c>
      <c r="M152" s="250" t="str">
        <f>IFERROR(__xludf.DUMMYFUNCTION("""COMPUTED_VALUE"""),"")</f>
        <v/>
      </c>
      <c r="N152" s="250" t="str">
        <f>IFERROR(__xludf.DUMMYFUNCTION("""COMPUTED_VALUE"""),"")</f>
        <v/>
      </c>
      <c r="O152" s="250" t="str">
        <f>IFERROR(__xludf.DUMMYFUNCTION("""COMPUTED_VALUE"""),"")</f>
        <v/>
      </c>
      <c r="P152" s="250" t="str">
        <f>IFERROR(__xludf.DUMMYFUNCTION("""COMPUTED_VALUE"""),"")</f>
        <v/>
      </c>
      <c r="Q152" s="250" t="str">
        <f>IFERROR(__xludf.DUMMYFUNCTION("""COMPUTED_VALUE"""),"")</f>
        <v/>
      </c>
      <c r="R152" s="250" t="str">
        <f>IFERROR(__xludf.DUMMYFUNCTION("""COMPUTED_VALUE"""),"")</f>
        <v/>
      </c>
      <c r="U152" s="250">
        <f>IFERROR(__xludf.DUMMYFUNCTION("""COMPUTED_VALUE"""),9639.0)</f>
        <v>9639</v>
      </c>
      <c r="V152" s="250">
        <f>IFERROR(__xludf.DUMMYFUNCTION("""COMPUTED_VALUE"""),9179.0)</f>
        <v>9179</v>
      </c>
      <c r="W152" s="250">
        <f>IFERROR(__xludf.DUMMYFUNCTION("""COMPUTED_VALUE"""),8259.0)</f>
        <v>8259</v>
      </c>
      <c r="X152" t="b">
        <f t="shared" ref="X152:Z152" si="280">ISBLANK(K152)</f>
        <v>1</v>
      </c>
      <c r="Y152" t="b">
        <f t="shared" si="280"/>
        <v>0</v>
      </c>
      <c r="Z152" t="b">
        <f t="shared" si="280"/>
        <v>0</v>
      </c>
      <c r="AA152">
        <f t="shared" ref="AA152:AC152" si="281">IF(X152=FALSE,1,0)</f>
        <v>0</v>
      </c>
      <c r="AB152">
        <f t="shared" si="281"/>
        <v>1</v>
      </c>
      <c r="AC152">
        <f t="shared" si="281"/>
        <v>1</v>
      </c>
      <c r="AD152">
        <f t="shared" si="6"/>
        <v>2</v>
      </c>
      <c r="AE152">
        <f t="shared" si="7"/>
        <v>1</v>
      </c>
      <c r="AF152">
        <f>if(iferror(vlookup($A152,'Description Database'!$E$2:$H$951,3,0),0)=TRUE,1,0)</f>
        <v>0</v>
      </c>
      <c r="AG152">
        <f>if(iferror(vlookup($A152,'Description Database'!$E$2:$H$951,4,0),0)=TRUE,1,0)</f>
        <v>0</v>
      </c>
    </row>
    <row r="153">
      <c r="A153" t="str">
        <f>IFERROR(__xludf.DUMMYFUNCTION("""COMPUTED_VALUE"""),"Oppo A5 (4 GB/32 GB)")</f>
        <v>Oppo A5 (4 GB/32 GB)</v>
      </c>
      <c r="B153" t="str">
        <f>IFERROR(__xludf.DUMMYFUNCTION("""COMPUTED_VALUE"""),"")</f>
        <v/>
      </c>
      <c r="C153" t="str">
        <f>IFERROR(__xludf.DUMMYFUNCTION("""COMPUTED_VALUE"""),"")</f>
        <v/>
      </c>
      <c r="D153" t="str">
        <f>IFERROR(__xludf.DUMMYFUNCTION("""COMPUTED_VALUE"""),"")</f>
        <v/>
      </c>
      <c r="E153" t="str">
        <f>IFERROR(__xludf.DUMMYFUNCTION("""COMPUTED_VALUE"""),"")</f>
        <v/>
      </c>
      <c r="F153">
        <f>IFERROR(__xludf.DUMMYFUNCTION("""COMPUTED_VALUE"""),1.0)</f>
        <v>1</v>
      </c>
      <c r="G153" t="str">
        <f>IFERROR(__xludf.DUMMYFUNCTION("""COMPUTED_VALUE"""),"")</f>
        <v/>
      </c>
      <c r="H153" t="str">
        <f>IFERROR(__xludf.DUMMYFUNCTION("""COMPUTED_VALUE"""),"")</f>
        <v/>
      </c>
      <c r="I153">
        <f>IFERROR(__xludf.DUMMYFUNCTION("""COMPUTED_VALUE"""),12.0)</f>
        <v>12</v>
      </c>
      <c r="J153">
        <f>IFERROR(__xludf.DUMMYFUNCTION("""COMPUTED_VALUE"""),13.0)</f>
        <v>13</v>
      </c>
      <c r="L153" s="250" t="str">
        <f>IFERROR(__xludf.DUMMYFUNCTION("""COMPUTED_VALUE"""),"")</f>
        <v/>
      </c>
      <c r="M153" s="250" t="str">
        <f>IFERROR(__xludf.DUMMYFUNCTION("""COMPUTED_VALUE"""),"")</f>
        <v/>
      </c>
      <c r="N153" s="250" t="str">
        <f>IFERROR(__xludf.DUMMYFUNCTION("""COMPUTED_VALUE"""),"")</f>
        <v/>
      </c>
      <c r="O153" s="250" t="str">
        <f>IFERROR(__xludf.DUMMYFUNCTION("""COMPUTED_VALUE"""),"")</f>
        <v/>
      </c>
      <c r="P153" s="250">
        <f>IFERROR(__xludf.DUMMYFUNCTION("""COMPUTED_VALUE"""),4679.0)</f>
        <v>4679</v>
      </c>
      <c r="Q153" s="250" t="str">
        <f>IFERROR(__xludf.DUMMYFUNCTION("""COMPUTED_VALUE"""),"")</f>
        <v/>
      </c>
      <c r="R153" s="250" t="str">
        <f>IFERROR(__xludf.DUMMYFUNCTION("""COMPUTED_VALUE"""),"")</f>
        <v/>
      </c>
      <c r="U153" s="250">
        <f>IFERROR(__xludf.DUMMYFUNCTION("""COMPUTED_VALUE"""),7159.0)</f>
        <v>7159</v>
      </c>
      <c r="V153" s="250">
        <f>IFERROR(__xludf.DUMMYFUNCTION("""COMPUTED_VALUE"""),6819.0)</f>
        <v>6819</v>
      </c>
      <c r="W153" s="250">
        <f>IFERROR(__xludf.DUMMYFUNCTION("""COMPUTED_VALUE"""),6229.0)</f>
        <v>6229</v>
      </c>
      <c r="X153" t="b">
        <f t="shared" ref="X153:Z153" si="282">ISBLANK(K153)</f>
        <v>1</v>
      </c>
      <c r="Y153" t="b">
        <f t="shared" si="282"/>
        <v>0</v>
      </c>
      <c r="Z153" t="b">
        <f t="shared" si="282"/>
        <v>0</v>
      </c>
      <c r="AA153">
        <f t="shared" ref="AA153:AC153" si="283">IF(X153=FALSE,1,0)</f>
        <v>0</v>
      </c>
      <c r="AB153">
        <f t="shared" si="283"/>
        <v>1</v>
      </c>
      <c r="AC153">
        <f t="shared" si="283"/>
        <v>1</v>
      </c>
      <c r="AD153">
        <f t="shared" si="6"/>
        <v>2</v>
      </c>
      <c r="AE153">
        <f t="shared" si="7"/>
        <v>1</v>
      </c>
      <c r="AF153">
        <f>if(iferror(vlookup($A153,'Description Database'!$E$2:$H$951,3,0),0)=TRUE,1,0)</f>
        <v>0</v>
      </c>
      <c r="AG153">
        <f>if(iferror(vlookup($A153,'Description Database'!$E$2:$H$951,4,0),0)=TRUE,1,0)</f>
        <v>0</v>
      </c>
    </row>
    <row r="154">
      <c r="A154" t="str">
        <f>IFERROR(__xludf.DUMMYFUNCTION("""COMPUTED_VALUE"""),"Samsung Galaxy S10e (6 GB/128 GB)")</f>
        <v>Samsung Galaxy S10e (6 GB/128 GB)</v>
      </c>
      <c r="B154" t="str">
        <f>IFERROR(__xludf.DUMMYFUNCTION("""COMPUTED_VALUE"""),"")</f>
        <v/>
      </c>
      <c r="C154" t="str">
        <f>IFERROR(__xludf.DUMMYFUNCTION("""COMPUTED_VALUE"""),"")</f>
        <v/>
      </c>
      <c r="D154">
        <f>IFERROR(__xludf.DUMMYFUNCTION("""COMPUTED_VALUE"""),1.0)</f>
        <v>1</v>
      </c>
      <c r="E154" t="str">
        <f>IFERROR(__xludf.DUMMYFUNCTION("""COMPUTED_VALUE"""),"")</f>
        <v/>
      </c>
      <c r="F154" t="str">
        <f>IFERROR(__xludf.DUMMYFUNCTION("""COMPUTED_VALUE"""),"")</f>
        <v/>
      </c>
      <c r="G154" t="str">
        <f>IFERROR(__xludf.DUMMYFUNCTION("""COMPUTED_VALUE"""),"")</f>
        <v/>
      </c>
      <c r="H154" t="str">
        <f>IFERROR(__xludf.DUMMYFUNCTION("""COMPUTED_VALUE"""),"")</f>
        <v/>
      </c>
      <c r="I154" t="str">
        <f>IFERROR(__xludf.DUMMYFUNCTION("""COMPUTED_VALUE"""),"")</f>
        <v/>
      </c>
      <c r="J154">
        <f>IFERROR(__xludf.DUMMYFUNCTION("""COMPUTED_VALUE"""),1.0)</f>
        <v>1</v>
      </c>
      <c r="L154" s="250" t="str">
        <f>IFERROR(__xludf.DUMMYFUNCTION("""COMPUTED_VALUE"""),"")</f>
        <v/>
      </c>
      <c r="M154" s="250" t="str">
        <f>IFERROR(__xludf.DUMMYFUNCTION("""COMPUTED_VALUE"""),"")</f>
        <v/>
      </c>
      <c r="N154" s="250">
        <f>IFERROR(__xludf.DUMMYFUNCTION("""COMPUTED_VALUE"""),15139.0)</f>
        <v>15139</v>
      </c>
      <c r="O154" s="250" t="str">
        <f>IFERROR(__xludf.DUMMYFUNCTION("""COMPUTED_VALUE"""),"")</f>
        <v/>
      </c>
      <c r="P154" s="250" t="str">
        <f>IFERROR(__xludf.DUMMYFUNCTION("""COMPUTED_VALUE"""),"")</f>
        <v/>
      </c>
      <c r="Q154" s="250" t="str">
        <f>IFERROR(__xludf.DUMMYFUNCTION("""COMPUTED_VALUE"""),"")</f>
        <v/>
      </c>
      <c r="R154" s="250" t="str">
        <f>IFERROR(__xludf.DUMMYFUNCTION("""COMPUTED_VALUE"""),"")</f>
        <v/>
      </c>
      <c r="U154" s="250">
        <f>IFERROR(__xludf.DUMMYFUNCTION("""COMPUTED_VALUE"""),19449.0)</f>
        <v>19449</v>
      </c>
      <c r="V154" s="250">
        <f>IFERROR(__xludf.DUMMYFUNCTION("""COMPUTED_VALUE"""),18519.0)</f>
        <v>18519</v>
      </c>
      <c r="W154" s="250">
        <f>IFERROR(__xludf.DUMMYFUNCTION("""COMPUTED_VALUE"""),16659.0)</f>
        <v>16659</v>
      </c>
      <c r="X154" t="b">
        <f t="shared" ref="X154:Z154" si="284">ISBLANK(K154)</f>
        <v>1</v>
      </c>
      <c r="Y154" t="b">
        <f t="shared" si="284"/>
        <v>0</v>
      </c>
      <c r="Z154" t="b">
        <f t="shared" si="284"/>
        <v>0</v>
      </c>
      <c r="AA154">
        <f t="shared" ref="AA154:AC154" si="285">IF(X154=FALSE,1,0)</f>
        <v>0</v>
      </c>
      <c r="AB154">
        <f t="shared" si="285"/>
        <v>1</v>
      </c>
      <c r="AC154">
        <f t="shared" si="285"/>
        <v>1</v>
      </c>
      <c r="AD154">
        <f t="shared" si="6"/>
        <v>2</v>
      </c>
      <c r="AE154">
        <f t="shared" si="7"/>
        <v>1</v>
      </c>
      <c r="AF154">
        <f>if(iferror(vlookup($A154,'Description Database'!$E$2:$H$951,3,0),0)=TRUE,1,0)</f>
        <v>0</v>
      </c>
      <c r="AG154">
        <f>if(iferror(vlookup($A154,'Description Database'!$E$2:$H$951,4,0),0)=TRUE,1,0)</f>
        <v>0</v>
      </c>
    </row>
    <row r="155">
      <c r="A155" t="str">
        <f>IFERROR(__xludf.DUMMYFUNCTION("""COMPUTED_VALUE"""),"Apple iPhone SE (3 GB/64 GB)")</f>
        <v>Apple iPhone SE (3 GB/64 GB)</v>
      </c>
      <c r="B155" t="str">
        <f>IFERROR(__xludf.DUMMYFUNCTION("""COMPUTED_VALUE"""),"")</f>
        <v/>
      </c>
      <c r="C155" t="str">
        <f>IFERROR(__xludf.DUMMYFUNCTION("""COMPUTED_VALUE"""),"")</f>
        <v/>
      </c>
      <c r="D155" t="str">
        <f>IFERROR(__xludf.DUMMYFUNCTION("""COMPUTED_VALUE"""),"")</f>
        <v/>
      </c>
      <c r="E155" t="str">
        <f>IFERROR(__xludf.DUMMYFUNCTION("""COMPUTED_VALUE"""),"")</f>
        <v/>
      </c>
      <c r="F155" t="str">
        <f>IFERROR(__xludf.DUMMYFUNCTION("""COMPUTED_VALUE"""),"")</f>
        <v/>
      </c>
      <c r="G155" t="str">
        <f>IFERROR(__xludf.DUMMYFUNCTION("""COMPUTED_VALUE"""),"")</f>
        <v/>
      </c>
      <c r="H155" t="str">
        <f>IFERROR(__xludf.DUMMYFUNCTION("""COMPUTED_VALUE"""),"")</f>
        <v/>
      </c>
      <c r="I155" t="str">
        <f>IFERROR(__xludf.DUMMYFUNCTION("""COMPUTED_VALUE"""),"")</f>
        <v/>
      </c>
      <c r="J155">
        <f>IFERROR(__xludf.DUMMYFUNCTION("""COMPUTED_VALUE"""),0.0)</f>
        <v>0</v>
      </c>
      <c r="L155" s="250" t="str">
        <f>IFERROR(__xludf.DUMMYFUNCTION("""COMPUTED_VALUE"""),"")</f>
        <v/>
      </c>
      <c r="M155" s="250" t="str">
        <f>IFERROR(__xludf.DUMMYFUNCTION("""COMPUTED_VALUE"""),"")</f>
        <v/>
      </c>
      <c r="N155" s="250" t="str">
        <f>IFERROR(__xludf.DUMMYFUNCTION("""COMPUTED_VALUE"""),"")</f>
        <v/>
      </c>
      <c r="O155" s="250" t="str">
        <f>IFERROR(__xludf.DUMMYFUNCTION("""COMPUTED_VALUE"""),"")</f>
        <v/>
      </c>
      <c r="P155" s="250" t="str">
        <f>IFERROR(__xludf.DUMMYFUNCTION("""COMPUTED_VALUE"""),"")</f>
        <v/>
      </c>
      <c r="Q155" s="250" t="str">
        <f>IFERROR(__xludf.DUMMYFUNCTION("""COMPUTED_VALUE"""),"")</f>
        <v/>
      </c>
      <c r="R155" s="250" t="str">
        <f>IFERROR(__xludf.DUMMYFUNCTION("""COMPUTED_VALUE"""),"")</f>
        <v/>
      </c>
      <c r="U155" s="250">
        <f>IFERROR(__xludf.DUMMYFUNCTION("""COMPUTED_VALUE"""),23919.0)</f>
        <v>23919</v>
      </c>
      <c r="V155" s="250">
        <f>IFERROR(__xludf.DUMMYFUNCTION("""COMPUTED_VALUE"""),22769.0)</f>
        <v>22769</v>
      </c>
      <c r="W155" s="250">
        <f>IFERROR(__xludf.DUMMYFUNCTION("""COMPUTED_VALUE"""),20499.0)</f>
        <v>20499</v>
      </c>
      <c r="X155" t="b">
        <f t="shared" ref="X155:Z155" si="286">ISBLANK(K155)</f>
        <v>1</v>
      </c>
      <c r="Y155" t="b">
        <f t="shared" si="286"/>
        <v>0</v>
      </c>
      <c r="Z155" t="b">
        <f t="shared" si="286"/>
        <v>0</v>
      </c>
      <c r="AA155">
        <f t="shared" ref="AA155:AC155" si="287">IF(X155=FALSE,1,0)</f>
        <v>0</v>
      </c>
      <c r="AB155">
        <f t="shared" si="287"/>
        <v>1</v>
      </c>
      <c r="AC155">
        <f t="shared" si="287"/>
        <v>1</v>
      </c>
      <c r="AD155">
        <f t="shared" si="6"/>
        <v>2</v>
      </c>
      <c r="AE155">
        <f t="shared" si="7"/>
        <v>1</v>
      </c>
      <c r="AF155">
        <f>if(iferror(vlookup($A155,'Description Database'!$E$2:$H$951,3,0),0)=TRUE,1,0)</f>
        <v>0</v>
      </c>
      <c r="AG155">
        <f>if(iferror(vlookup($A155,'Description Database'!$E$2:$H$951,4,0),0)=TRUE,1,0)</f>
        <v>0</v>
      </c>
    </row>
    <row r="156">
      <c r="A156" t="str">
        <f>IFERROR(__xludf.DUMMYFUNCTION("""COMPUTED_VALUE"""),"OnePlus 7 Pro (12 GB/256 GB)")</f>
        <v>OnePlus 7 Pro (12 GB/256 GB)</v>
      </c>
      <c r="B156" t="str">
        <f>IFERROR(__xludf.DUMMYFUNCTION("""COMPUTED_VALUE"""),"")</f>
        <v/>
      </c>
      <c r="C156" t="str">
        <f>IFERROR(__xludf.DUMMYFUNCTION("""COMPUTED_VALUE"""),"")</f>
        <v/>
      </c>
      <c r="D156" t="str">
        <f>IFERROR(__xludf.DUMMYFUNCTION("""COMPUTED_VALUE"""),"")</f>
        <v/>
      </c>
      <c r="E156" t="str">
        <f>IFERROR(__xludf.DUMMYFUNCTION("""COMPUTED_VALUE"""),"")</f>
        <v/>
      </c>
      <c r="F156">
        <f>IFERROR(__xludf.DUMMYFUNCTION("""COMPUTED_VALUE"""),2.0)</f>
        <v>2</v>
      </c>
      <c r="G156" t="str">
        <f>IFERROR(__xludf.DUMMYFUNCTION("""COMPUTED_VALUE"""),"")</f>
        <v/>
      </c>
      <c r="H156" t="str">
        <f>IFERROR(__xludf.DUMMYFUNCTION("""COMPUTED_VALUE"""),"")</f>
        <v/>
      </c>
      <c r="I156" t="str">
        <f>IFERROR(__xludf.DUMMYFUNCTION("""COMPUTED_VALUE"""),"")</f>
        <v/>
      </c>
      <c r="J156">
        <f>IFERROR(__xludf.DUMMYFUNCTION("""COMPUTED_VALUE"""),2.0)</f>
        <v>2</v>
      </c>
      <c r="L156" s="250" t="str">
        <f>IFERROR(__xludf.DUMMYFUNCTION("""COMPUTED_VALUE"""),"")</f>
        <v/>
      </c>
      <c r="M156" s="250" t="str">
        <f>IFERROR(__xludf.DUMMYFUNCTION("""COMPUTED_VALUE"""),"")</f>
        <v/>
      </c>
      <c r="N156" s="250" t="str">
        <f>IFERROR(__xludf.DUMMYFUNCTION("""COMPUTED_VALUE"""),"")</f>
        <v/>
      </c>
      <c r="O156" s="250" t="str">
        <f>IFERROR(__xludf.DUMMYFUNCTION("""COMPUTED_VALUE"""),"")</f>
        <v/>
      </c>
      <c r="P156" s="250">
        <f>IFERROR(__xludf.DUMMYFUNCTION("""COMPUTED_VALUE"""),20209.0)</f>
        <v>20209</v>
      </c>
      <c r="Q156" s="250" t="str">
        <f>IFERROR(__xludf.DUMMYFUNCTION("""COMPUTED_VALUE"""),"")</f>
        <v/>
      </c>
      <c r="R156" s="250" t="str">
        <f>IFERROR(__xludf.DUMMYFUNCTION("""COMPUTED_VALUE"""),"")</f>
        <v/>
      </c>
      <c r="U156" s="250">
        <f>IFERROR(__xludf.DUMMYFUNCTION("""COMPUTED_VALUE"""),31129.0)</f>
        <v>31129</v>
      </c>
      <c r="V156" s="250">
        <f>IFERROR(__xludf.DUMMYFUNCTION("""COMPUTED_VALUE"""),29649.0)</f>
        <v>29649</v>
      </c>
      <c r="W156" s="250">
        <f>IFERROR(__xludf.DUMMYFUNCTION("""COMPUTED_VALUE"""),26689.0)</f>
        <v>26689</v>
      </c>
      <c r="X156" t="b">
        <f t="shared" ref="X156:Z156" si="288">ISBLANK(K156)</f>
        <v>1</v>
      </c>
      <c r="Y156" t="b">
        <f t="shared" si="288"/>
        <v>0</v>
      </c>
      <c r="Z156" t="b">
        <f t="shared" si="288"/>
        <v>0</v>
      </c>
      <c r="AA156">
        <f t="shared" ref="AA156:AC156" si="289">IF(X156=FALSE,1,0)</f>
        <v>0</v>
      </c>
      <c r="AB156">
        <f t="shared" si="289"/>
        <v>1</v>
      </c>
      <c r="AC156">
        <f t="shared" si="289"/>
        <v>1</v>
      </c>
      <c r="AD156">
        <f t="shared" si="6"/>
        <v>2</v>
      </c>
      <c r="AE156">
        <f t="shared" si="7"/>
        <v>1</v>
      </c>
      <c r="AF156">
        <f>if(iferror(vlookup($A156,'Description Database'!$E$2:$H$951,3,0),0)=TRUE,1,0)</f>
        <v>0</v>
      </c>
      <c r="AG156">
        <f>if(iferror(vlookup($A156,'Description Database'!$E$2:$H$951,4,0),0)=TRUE,1,0)</f>
        <v>0</v>
      </c>
    </row>
    <row r="157">
      <c r="A157" t="str">
        <f>IFERROR(__xludf.DUMMYFUNCTION("""COMPUTED_VALUE"""),"Xiaomi Redmi Note 9 (4 GB/128 GB)")</f>
        <v>Xiaomi Redmi Note 9 (4 GB/128 GB)</v>
      </c>
      <c r="B157" t="str">
        <f>IFERROR(__xludf.DUMMYFUNCTION("""COMPUTED_VALUE"""),"")</f>
        <v/>
      </c>
      <c r="C157" t="str">
        <f>IFERROR(__xludf.DUMMYFUNCTION("""COMPUTED_VALUE"""),"")</f>
        <v/>
      </c>
      <c r="D157" t="str">
        <f>IFERROR(__xludf.DUMMYFUNCTION("""COMPUTED_VALUE"""),"")</f>
        <v/>
      </c>
      <c r="E157" t="str">
        <f>IFERROR(__xludf.DUMMYFUNCTION("""COMPUTED_VALUE"""),"")</f>
        <v/>
      </c>
      <c r="F157" t="str">
        <f>IFERROR(__xludf.DUMMYFUNCTION("""COMPUTED_VALUE"""),"")</f>
        <v/>
      </c>
      <c r="G157" t="str">
        <f>IFERROR(__xludf.DUMMYFUNCTION("""COMPUTED_VALUE"""),"")</f>
        <v/>
      </c>
      <c r="H157" t="str">
        <f>IFERROR(__xludf.DUMMYFUNCTION("""COMPUTED_VALUE"""),"")</f>
        <v/>
      </c>
      <c r="I157" t="str">
        <f>IFERROR(__xludf.DUMMYFUNCTION("""COMPUTED_VALUE"""),"")</f>
        <v/>
      </c>
      <c r="J157">
        <f>IFERROR(__xludf.DUMMYFUNCTION("""COMPUTED_VALUE"""),0.0)</f>
        <v>0</v>
      </c>
      <c r="L157" s="250" t="str">
        <f>IFERROR(__xludf.DUMMYFUNCTION("""COMPUTED_VALUE"""),"")</f>
        <v/>
      </c>
      <c r="M157" s="250" t="str">
        <f>IFERROR(__xludf.DUMMYFUNCTION("""COMPUTED_VALUE"""),"")</f>
        <v/>
      </c>
      <c r="N157" s="250" t="str">
        <f>IFERROR(__xludf.DUMMYFUNCTION("""COMPUTED_VALUE"""),"")</f>
        <v/>
      </c>
      <c r="O157" s="250" t="str">
        <f>IFERROR(__xludf.DUMMYFUNCTION("""COMPUTED_VALUE"""),"")</f>
        <v/>
      </c>
      <c r="P157" s="250" t="str">
        <f>IFERROR(__xludf.DUMMYFUNCTION("""COMPUTED_VALUE"""),"")</f>
        <v/>
      </c>
      <c r="Q157" s="250" t="str">
        <f>IFERROR(__xludf.DUMMYFUNCTION("""COMPUTED_VALUE"""),"")</f>
        <v/>
      </c>
      <c r="R157" s="250" t="str">
        <f>IFERROR(__xludf.DUMMYFUNCTION("""COMPUTED_VALUE"""),"")</f>
        <v/>
      </c>
      <c r="U157" s="250">
        <f>IFERROR(__xludf.DUMMYFUNCTION("""COMPUTED_VALUE"""),11069.0)</f>
        <v>11069</v>
      </c>
      <c r="V157" s="250">
        <f>IFERROR(__xludf.DUMMYFUNCTION("""COMPUTED_VALUE"""),10539.0)</f>
        <v>10539</v>
      </c>
      <c r="W157" s="250">
        <f>IFERROR(__xludf.DUMMYFUNCTION("""COMPUTED_VALUE"""),9489.0)</f>
        <v>9489</v>
      </c>
      <c r="X157" t="b">
        <f t="shared" ref="X157:Z157" si="290">ISBLANK(K157)</f>
        <v>1</v>
      </c>
      <c r="Y157" t="b">
        <f t="shared" si="290"/>
        <v>0</v>
      </c>
      <c r="Z157" t="b">
        <f t="shared" si="290"/>
        <v>0</v>
      </c>
      <c r="AA157">
        <f t="shared" ref="AA157:AC157" si="291">IF(X157=FALSE,1,0)</f>
        <v>0</v>
      </c>
      <c r="AB157">
        <f t="shared" si="291"/>
        <v>1</v>
      </c>
      <c r="AC157">
        <f t="shared" si="291"/>
        <v>1</v>
      </c>
      <c r="AD157">
        <f t="shared" si="6"/>
        <v>2</v>
      </c>
      <c r="AE157">
        <f t="shared" si="7"/>
        <v>1</v>
      </c>
      <c r="AF157">
        <f>if(iferror(vlookup($A157,'Description Database'!$E$2:$H$951,3,0),0)=TRUE,1,0)</f>
        <v>0</v>
      </c>
      <c r="AG157">
        <f>if(iferror(vlookup($A157,'Description Database'!$E$2:$H$951,4,0),0)=TRUE,1,0)</f>
        <v>0</v>
      </c>
    </row>
    <row r="158">
      <c r="A158" t="str">
        <f>IFERROR(__xludf.DUMMYFUNCTION("""COMPUTED_VALUE"""),"Samsung Galaxy M30s (4 GB/64 GB)")</f>
        <v>Samsung Galaxy M30s (4 GB/64 GB)</v>
      </c>
      <c r="B158" t="str">
        <f>IFERROR(__xludf.DUMMYFUNCTION("""COMPUTED_VALUE"""),"")</f>
        <v/>
      </c>
      <c r="C158" t="str">
        <f>IFERROR(__xludf.DUMMYFUNCTION("""COMPUTED_VALUE"""),"")</f>
        <v/>
      </c>
      <c r="D158" t="str">
        <f>IFERROR(__xludf.DUMMYFUNCTION("""COMPUTED_VALUE"""),"")</f>
        <v/>
      </c>
      <c r="E158" t="str">
        <f>IFERROR(__xludf.DUMMYFUNCTION("""COMPUTED_VALUE"""),"")</f>
        <v/>
      </c>
      <c r="F158" t="str">
        <f>IFERROR(__xludf.DUMMYFUNCTION("""COMPUTED_VALUE"""),"")</f>
        <v/>
      </c>
      <c r="G158">
        <f>IFERROR(__xludf.DUMMYFUNCTION("""COMPUTED_VALUE"""),3.0)</f>
        <v>3</v>
      </c>
      <c r="H158" t="str">
        <f>IFERROR(__xludf.DUMMYFUNCTION("""COMPUTED_VALUE"""),"")</f>
        <v/>
      </c>
      <c r="I158">
        <f>IFERROR(__xludf.DUMMYFUNCTION("""COMPUTED_VALUE"""),18.0)</f>
        <v>18</v>
      </c>
      <c r="J158">
        <f>IFERROR(__xludf.DUMMYFUNCTION("""COMPUTED_VALUE"""),21.0)</f>
        <v>21</v>
      </c>
      <c r="L158" s="250" t="str">
        <f>IFERROR(__xludf.DUMMYFUNCTION("""COMPUTED_VALUE"""),"")</f>
        <v/>
      </c>
      <c r="M158" s="250" t="str">
        <f>IFERROR(__xludf.DUMMYFUNCTION("""COMPUTED_VALUE"""),"")</f>
        <v/>
      </c>
      <c r="N158" s="250" t="str">
        <f>IFERROR(__xludf.DUMMYFUNCTION("""COMPUTED_VALUE"""),"")</f>
        <v/>
      </c>
      <c r="O158" s="250" t="str">
        <f>IFERROR(__xludf.DUMMYFUNCTION("""COMPUTED_VALUE"""),"")</f>
        <v/>
      </c>
      <c r="P158" s="250" t="str">
        <f>IFERROR(__xludf.DUMMYFUNCTION("""COMPUTED_VALUE"""),"")</f>
        <v/>
      </c>
      <c r="Q158" s="250">
        <f>IFERROR(__xludf.DUMMYFUNCTION("""COMPUTED_VALUE"""),3079.0)</f>
        <v>3079</v>
      </c>
      <c r="R158" s="250" t="str">
        <f>IFERROR(__xludf.DUMMYFUNCTION("""COMPUTED_VALUE"""),"")</f>
        <v/>
      </c>
      <c r="U158" s="250">
        <f>IFERROR(__xludf.DUMMYFUNCTION("""COMPUTED_VALUE"""),7649.0)</f>
        <v>7649</v>
      </c>
      <c r="V158" s="250">
        <f>IFERROR(__xludf.DUMMYFUNCTION("""COMPUTED_VALUE"""),7289.0)</f>
        <v>7289</v>
      </c>
      <c r="W158" s="250">
        <f>IFERROR(__xludf.DUMMYFUNCTION("""COMPUTED_VALUE"""),6559.0)</f>
        <v>6559</v>
      </c>
      <c r="X158" t="b">
        <f t="shared" ref="X158:Z158" si="292">ISBLANK(K158)</f>
        <v>1</v>
      </c>
      <c r="Y158" t="b">
        <f t="shared" si="292"/>
        <v>0</v>
      </c>
      <c r="Z158" t="b">
        <f t="shared" si="292"/>
        <v>0</v>
      </c>
      <c r="AA158">
        <f t="shared" ref="AA158:AC158" si="293">IF(X158=FALSE,1,0)</f>
        <v>0</v>
      </c>
      <c r="AB158">
        <f t="shared" si="293"/>
        <v>1</v>
      </c>
      <c r="AC158">
        <f t="shared" si="293"/>
        <v>1</v>
      </c>
      <c r="AD158">
        <f t="shared" si="6"/>
        <v>2</v>
      </c>
      <c r="AE158">
        <f t="shared" si="7"/>
        <v>1</v>
      </c>
      <c r="AF158">
        <f>if(iferror(vlookup($A158,'Description Database'!$E$2:$H$951,3,0),0)=TRUE,1,0)</f>
        <v>0</v>
      </c>
      <c r="AG158">
        <f>if(iferror(vlookup($A158,'Description Database'!$E$2:$H$951,4,0),0)=TRUE,1,0)</f>
        <v>0</v>
      </c>
    </row>
    <row r="159">
      <c r="A159" t="str">
        <f>IFERROR(__xludf.DUMMYFUNCTION("""COMPUTED_VALUE"""),"Samsung galaxy S10 (8 gb/128 gb)")</f>
        <v>Samsung galaxy S10 (8 gb/128 gb)</v>
      </c>
      <c r="B159" t="str">
        <f>IFERROR(__xludf.DUMMYFUNCTION("""COMPUTED_VALUE"""),"")</f>
        <v/>
      </c>
      <c r="C159" t="str">
        <f>IFERROR(__xludf.DUMMYFUNCTION("""COMPUTED_VALUE"""),"")</f>
        <v/>
      </c>
      <c r="D159">
        <f>IFERROR(__xludf.DUMMYFUNCTION("""COMPUTED_VALUE"""),1.0)</f>
        <v>1</v>
      </c>
      <c r="E159" t="str">
        <f>IFERROR(__xludf.DUMMYFUNCTION("""COMPUTED_VALUE"""),"")</f>
        <v/>
      </c>
      <c r="F159" t="str">
        <f>IFERROR(__xludf.DUMMYFUNCTION("""COMPUTED_VALUE"""),"")</f>
        <v/>
      </c>
      <c r="G159" t="str">
        <f>IFERROR(__xludf.DUMMYFUNCTION("""COMPUTED_VALUE"""),"")</f>
        <v/>
      </c>
      <c r="H159" t="str">
        <f>IFERROR(__xludf.DUMMYFUNCTION("""COMPUTED_VALUE"""),"")</f>
        <v/>
      </c>
      <c r="I159" t="str">
        <f>IFERROR(__xludf.DUMMYFUNCTION("""COMPUTED_VALUE"""),"")</f>
        <v/>
      </c>
      <c r="J159">
        <f>IFERROR(__xludf.DUMMYFUNCTION("""COMPUTED_VALUE"""),1.0)</f>
        <v>1</v>
      </c>
      <c r="L159" s="250" t="str">
        <f>IFERROR(__xludf.DUMMYFUNCTION("""COMPUTED_VALUE"""),"")</f>
        <v/>
      </c>
      <c r="M159" s="250" t="str">
        <f>IFERROR(__xludf.DUMMYFUNCTION("""COMPUTED_VALUE"""),"")</f>
        <v/>
      </c>
      <c r="N159" s="250">
        <f>IFERROR(__xludf.DUMMYFUNCTION("""COMPUTED_VALUE"""),18519.0)</f>
        <v>18519</v>
      </c>
      <c r="O159" s="250" t="str">
        <f>IFERROR(__xludf.DUMMYFUNCTION("""COMPUTED_VALUE"""),"")</f>
        <v/>
      </c>
      <c r="P159" s="250" t="str">
        <f>IFERROR(__xludf.DUMMYFUNCTION("""COMPUTED_VALUE"""),"")</f>
        <v/>
      </c>
      <c r="Q159" s="250" t="str">
        <f>IFERROR(__xludf.DUMMYFUNCTION("""COMPUTED_VALUE"""),"")</f>
        <v/>
      </c>
      <c r="R159" s="250" t="str">
        <f>IFERROR(__xludf.DUMMYFUNCTION("""COMPUTED_VALUE"""),"")</f>
        <v/>
      </c>
      <c r="U159" s="250">
        <f>IFERROR(__xludf.DUMMYFUNCTION("""COMPUTED_VALUE"""),23769.0)</f>
        <v>23769</v>
      </c>
      <c r="V159" s="250">
        <f>IFERROR(__xludf.DUMMYFUNCTION("""COMPUTED_VALUE"""),22639.0)</f>
        <v>22639</v>
      </c>
      <c r="W159" s="250">
        <f>IFERROR(__xludf.DUMMYFUNCTION("""COMPUTED_VALUE"""),20379.0)</f>
        <v>20379</v>
      </c>
      <c r="X159" t="b">
        <f t="shared" ref="X159:Z159" si="294">ISBLANK(K159)</f>
        <v>1</v>
      </c>
      <c r="Y159" t="b">
        <f t="shared" si="294"/>
        <v>0</v>
      </c>
      <c r="Z159" t="b">
        <f t="shared" si="294"/>
        <v>0</v>
      </c>
      <c r="AA159">
        <f t="shared" ref="AA159:AC159" si="295">IF(X159=FALSE,1,0)</f>
        <v>0</v>
      </c>
      <c r="AB159">
        <f t="shared" si="295"/>
        <v>1</v>
      </c>
      <c r="AC159">
        <f t="shared" si="295"/>
        <v>1</v>
      </c>
      <c r="AD159">
        <f t="shared" si="6"/>
        <v>2</v>
      </c>
      <c r="AE159">
        <f t="shared" si="7"/>
        <v>1</v>
      </c>
      <c r="AF159">
        <f>if(iferror(vlookup($A159,'Description Database'!$E$2:$H$951,3,0),0)=TRUE,1,0)</f>
        <v>0</v>
      </c>
      <c r="AG159">
        <f>if(iferror(vlookup($A159,'Description Database'!$E$2:$H$951,4,0),0)=TRUE,1,0)</f>
        <v>0</v>
      </c>
    </row>
    <row r="160">
      <c r="A160" t="str">
        <f>IFERROR(__xludf.DUMMYFUNCTION("""COMPUTED_VALUE"""),"Samsung galaxy J2 (2016) 16 GB")</f>
        <v>Samsung galaxy J2 (2016) 16 GB</v>
      </c>
      <c r="B160" t="str">
        <f>IFERROR(__xludf.DUMMYFUNCTION("""COMPUTED_VALUE"""),"")</f>
        <v/>
      </c>
      <c r="C160" t="str">
        <f>IFERROR(__xludf.DUMMYFUNCTION("""COMPUTED_VALUE"""),"")</f>
        <v/>
      </c>
      <c r="D160" t="str">
        <f>IFERROR(__xludf.DUMMYFUNCTION("""COMPUTED_VALUE"""),"")</f>
        <v/>
      </c>
      <c r="E160" t="str">
        <f>IFERROR(__xludf.DUMMYFUNCTION("""COMPUTED_VALUE"""),"")</f>
        <v/>
      </c>
      <c r="F160" t="str">
        <f>IFERROR(__xludf.DUMMYFUNCTION("""COMPUTED_VALUE"""),"")</f>
        <v/>
      </c>
      <c r="G160">
        <f>IFERROR(__xludf.DUMMYFUNCTION("""COMPUTED_VALUE"""),1.0)</f>
        <v>1</v>
      </c>
      <c r="H160" t="str">
        <f>IFERROR(__xludf.DUMMYFUNCTION("""COMPUTED_VALUE"""),"")</f>
        <v/>
      </c>
      <c r="I160">
        <f>IFERROR(__xludf.DUMMYFUNCTION("""COMPUTED_VALUE"""),4.0)</f>
        <v>4</v>
      </c>
      <c r="J160">
        <f>IFERROR(__xludf.DUMMYFUNCTION("""COMPUTED_VALUE"""),5.0)</f>
        <v>5</v>
      </c>
      <c r="L160" s="250" t="str">
        <f>IFERROR(__xludf.DUMMYFUNCTION("""COMPUTED_VALUE"""),"")</f>
        <v/>
      </c>
      <c r="M160" s="250" t="str">
        <f>IFERROR(__xludf.DUMMYFUNCTION("""COMPUTED_VALUE"""),"")</f>
        <v/>
      </c>
      <c r="N160" s="250" t="str">
        <f>IFERROR(__xludf.DUMMYFUNCTION("""COMPUTED_VALUE"""),"")</f>
        <v/>
      </c>
      <c r="O160" s="250" t="str">
        <f>IFERROR(__xludf.DUMMYFUNCTION("""COMPUTED_VALUE"""),"")</f>
        <v/>
      </c>
      <c r="P160" s="250" t="str">
        <f>IFERROR(__xludf.DUMMYFUNCTION("""COMPUTED_VALUE"""),"")</f>
        <v/>
      </c>
      <c r="Q160" s="250">
        <f>IFERROR(__xludf.DUMMYFUNCTION("""COMPUTED_VALUE"""),1739.0)</f>
        <v>1739</v>
      </c>
      <c r="R160" s="250" t="str">
        <f>IFERROR(__xludf.DUMMYFUNCTION("""COMPUTED_VALUE"""),"")</f>
        <v/>
      </c>
      <c r="U160" s="250">
        <f>IFERROR(__xludf.DUMMYFUNCTION("""COMPUTED_VALUE"""),3459.0)</f>
        <v>3459</v>
      </c>
      <c r="V160" s="250">
        <f>IFERROR(__xludf.DUMMYFUNCTION("""COMPUTED_VALUE"""),3289.0)</f>
        <v>3289</v>
      </c>
      <c r="W160" s="250">
        <f>IFERROR(__xludf.DUMMYFUNCTION("""COMPUTED_VALUE"""),2959.0)</f>
        <v>2959</v>
      </c>
      <c r="X160" t="b">
        <f t="shared" ref="X160:Z160" si="296">ISBLANK(K160)</f>
        <v>1</v>
      </c>
      <c r="Y160" t="b">
        <f t="shared" si="296"/>
        <v>0</v>
      </c>
      <c r="Z160" t="b">
        <f t="shared" si="296"/>
        <v>0</v>
      </c>
      <c r="AA160">
        <f t="shared" ref="AA160:AC160" si="297">IF(X160=FALSE,1,0)</f>
        <v>0</v>
      </c>
      <c r="AB160">
        <f t="shared" si="297"/>
        <v>1</v>
      </c>
      <c r="AC160">
        <f t="shared" si="297"/>
        <v>1</v>
      </c>
      <c r="AD160">
        <f t="shared" si="6"/>
        <v>2</v>
      </c>
      <c r="AE160">
        <f t="shared" si="7"/>
        <v>1</v>
      </c>
      <c r="AF160">
        <f>if(iferror(vlookup($A160,'Description Database'!$E$2:$H$951,3,0),0)=TRUE,1,0)</f>
        <v>0</v>
      </c>
      <c r="AG160">
        <f>if(iferror(vlookup($A160,'Description Database'!$E$2:$H$951,4,0),0)=TRUE,1,0)</f>
        <v>0</v>
      </c>
    </row>
    <row r="161">
      <c r="A161" t="str">
        <f>IFERROR(__xludf.DUMMYFUNCTION("""COMPUTED_VALUE"""),"Samsung Galaxy J2 pro (2 GB/16 GB)")</f>
        <v>Samsung Galaxy J2 pro (2 GB/16 GB)</v>
      </c>
      <c r="B161" t="str">
        <f>IFERROR(__xludf.DUMMYFUNCTION("""COMPUTED_VALUE"""),"")</f>
        <v/>
      </c>
      <c r="C161" t="str">
        <f>IFERROR(__xludf.DUMMYFUNCTION("""COMPUTED_VALUE"""),"")</f>
        <v/>
      </c>
      <c r="D161" t="str">
        <f>IFERROR(__xludf.DUMMYFUNCTION("""COMPUTED_VALUE"""),"")</f>
        <v/>
      </c>
      <c r="E161" t="str">
        <f>IFERROR(__xludf.DUMMYFUNCTION("""COMPUTED_VALUE"""),"")</f>
        <v/>
      </c>
      <c r="F161" t="str">
        <f>IFERROR(__xludf.DUMMYFUNCTION("""COMPUTED_VALUE"""),"")</f>
        <v/>
      </c>
      <c r="G161">
        <f>IFERROR(__xludf.DUMMYFUNCTION("""COMPUTED_VALUE"""),2.0)</f>
        <v>2</v>
      </c>
      <c r="H161" t="str">
        <f>IFERROR(__xludf.DUMMYFUNCTION("""COMPUTED_VALUE"""),"")</f>
        <v/>
      </c>
      <c r="I161">
        <f>IFERROR(__xludf.DUMMYFUNCTION("""COMPUTED_VALUE"""),34.0)</f>
        <v>34</v>
      </c>
      <c r="J161">
        <f>IFERROR(__xludf.DUMMYFUNCTION("""COMPUTED_VALUE"""),36.0)</f>
        <v>36</v>
      </c>
      <c r="L161" s="250" t="str">
        <f>IFERROR(__xludf.DUMMYFUNCTION("""COMPUTED_VALUE"""),"")</f>
        <v/>
      </c>
      <c r="M161" s="250" t="str">
        <f>IFERROR(__xludf.DUMMYFUNCTION("""COMPUTED_VALUE"""),"")</f>
        <v/>
      </c>
      <c r="N161" s="250" t="str">
        <f>IFERROR(__xludf.DUMMYFUNCTION("""COMPUTED_VALUE"""),"")</f>
        <v/>
      </c>
      <c r="O161" s="250" t="str">
        <f>IFERROR(__xludf.DUMMYFUNCTION("""COMPUTED_VALUE"""),"")</f>
        <v/>
      </c>
      <c r="P161" s="250" t="str">
        <f>IFERROR(__xludf.DUMMYFUNCTION("""COMPUTED_VALUE"""),"")</f>
        <v/>
      </c>
      <c r="Q161" s="250">
        <f>IFERROR(__xludf.DUMMYFUNCTION("""COMPUTED_VALUE"""),1389.0)</f>
        <v>1389</v>
      </c>
      <c r="R161" s="250" t="str">
        <f>IFERROR(__xludf.DUMMYFUNCTION("""COMPUTED_VALUE"""),"")</f>
        <v/>
      </c>
      <c r="U161" s="250">
        <f>IFERROR(__xludf.DUMMYFUNCTION("""COMPUTED_VALUE"""),3379.0)</f>
        <v>3379</v>
      </c>
      <c r="V161" s="250">
        <f>IFERROR(__xludf.DUMMYFUNCTION("""COMPUTED_VALUE"""),3219.0)</f>
        <v>3219</v>
      </c>
      <c r="W161" s="250">
        <f>IFERROR(__xludf.DUMMYFUNCTION("""COMPUTED_VALUE"""),2909.0)</f>
        <v>2909</v>
      </c>
      <c r="X161" t="b">
        <f t="shared" ref="X161:Z161" si="298">ISBLANK(K161)</f>
        <v>1</v>
      </c>
      <c r="Y161" t="b">
        <f t="shared" si="298"/>
        <v>0</v>
      </c>
      <c r="Z161" t="b">
        <f t="shared" si="298"/>
        <v>0</v>
      </c>
      <c r="AA161">
        <f t="shared" ref="AA161:AC161" si="299">IF(X161=FALSE,1,0)</f>
        <v>0</v>
      </c>
      <c r="AB161">
        <f t="shared" si="299"/>
        <v>1</v>
      </c>
      <c r="AC161">
        <f t="shared" si="299"/>
        <v>1</v>
      </c>
      <c r="AD161">
        <f t="shared" si="6"/>
        <v>2</v>
      </c>
      <c r="AE161">
        <f t="shared" si="7"/>
        <v>1</v>
      </c>
      <c r="AF161">
        <f>if(iferror(vlookup($A161,'Description Database'!$E$2:$H$951,3,0),0)=TRUE,1,0)</f>
        <v>0</v>
      </c>
      <c r="AG161">
        <f>if(iferror(vlookup($A161,'Description Database'!$E$2:$H$951,4,0),0)=TRUE,1,0)</f>
        <v>0</v>
      </c>
    </row>
    <row r="162">
      <c r="A162" t="str">
        <f>IFERROR(__xludf.DUMMYFUNCTION("""COMPUTED_VALUE"""),"Oppo A3s (2 GB/16 GB)")</f>
        <v>Oppo A3s (2 GB/16 GB)</v>
      </c>
      <c r="B162" t="str">
        <f>IFERROR(__xludf.DUMMYFUNCTION("""COMPUTED_VALUE"""),"")</f>
        <v/>
      </c>
      <c r="C162" t="str">
        <f>IFERROR(__xludf.DUMMYFUNCTION("""COMPUTED_VALUE"""),"")</f>
        <v/>
      </c>
      <c r="D162" t="str">
        <f>IFERROR(__xludf.DUMMYFUNCTION("""COMPUTED_VALUE"""),"")</f>
        <v/>
      </c>
      <c r="E162" t="str">
        <f>IFERROR(__xludf.DUMMYFUNCTION("""COMPUTED_VALUE"""),"")</f>
        <v/>
      </c>
      <c r="F162">
        <f>IFERROR(__xludf.DUMMYFUNCTION("""COMPUTED_VALUE"""),1.0)</f>
        <v>1</v>
      </c>
      <c r="G162">
        <f>IFERROR(__xludf.DUMMYFUNCTION("""COMPUTED_VALUE"""),1.0)</f>
        <v>1</v>
      </c>
      <c r="H162" t="str">
        <f>IFERROR(__xludf.DUMMYFUNCTION("""COMPUTED_VALUE"""),"")</f>
        <v/>
      </c>
      <c r="I162">
        <f>IFERROR(__xludf.DUMMYFUNCTION("""COMPUTED_VALUE"""),1.0)</f>
        <v>1</v>
      </c>
      <c r="J162">
        <f>IFERROR(__xludf.DUMMYFUNCTION("""COMPUTED_VALUE"""),3.0)</f>
        <v>3</v>
      </c>
      <c r="L162" s="250" t="str">
        <f>IFERROR(__xludf.DUMMYFUNCTION("""COMPUTED_VALUE"""),"")</f>
        <v/>
      </c>
      <c r="M162" s="250" t="str">
        <f>IFERROR(__xludf.DUMMYFUNCTION("""COMPUTED_VALUE"""),"")</f>
        <v/>
      </c>
      <c r="N162" s="250" t="str">
        <f>IFERROR(__xludf.DUMMYFUNCTION("""COMPUTED_VALUE"""),"")</f>
        <v/>
      </c>
      <c r="O162" s="250" t="str">
        <f>IFERROR(__xludf.DUMMYFUNCTION("""COMPUTED_VALUE"""),"")</f>
        <v/>
      </c>
      <c r="P162" s="250">
        <f>IFERROR(__xludf.DUMMYFUNCTION("""COMPUTED_VALUE"""),3789.0)</f>
        <v>3789</v>
      </c>
      <c r="Q162" s="250">
        <f>IFERROR(__xludf.DUMMYFUNCTION("""COMPUTED_VALUE"""),2749.0)</f>
        <v>2749</v>
      </c>
      <c r="R162" s="250" t="str">
        <f>IFERROR(__xludf.DUMMYFUNCTION("""COMPUTED_VALUE"""),"")</f>
        <v/>
      </c>
      <c r="U162" s="250">
        <f>IFERROR(__xludf.DUMMYFUNCTION("""COMPUTED_VALUE"""),5829.0)</f>
        <v>5829</v>
      </c>
      <c r="V162" s="250">
        <f>IFERROR(__xludf.DUMMYFUNCTION("""COMPUTED_VALUE"""),5549.0)</f>
        <v>5549</v>
      </c>
      <c r="W162" s="250">
        <f>IFERROR(__xludf.DUMMYFUNCTION("""COMPUTED_VALUE"""),5069.0)</f>
        <v>5069</v>
      </c>
      <c r="X162" t="b">
        <f t="shared" ref="X162:Z162" si="300">ISBLANK(K162)</f>
        <v>1</v>
      </c>
      <c r="Y162" t="b">
        <f t="shared" si="300"/>
        <v>0</v>
      </c>
      <c r="Z162" t="b">
        <f t="shared" si="300"/>
        <v>0</v>
      </c>
      <c r="AA162">
        <f t="shared" ref="AA162:AC162" si="301">IF(X162=FALSE,1,0)</f>
        <v>0</v>
      </c>
      <c r="AB162">
        <f t="shared" si="301"/>
        <v>1</v>
      </c>
      <c r="AC162">
        <f t="shared" si="301"/>
        <v>1</v>
      </c>
      <c r="AD162">
        <f t="shared" si="6"/>
        <v>2</v>
      </c>
      <c r="AE162">
        <f t="shared" si="7"/>
        <v>1</v>
      </c>
      <c r="AF162">
        <f>if(iferror(vlookup($A162,'Description Database'!$E$2:$H$951,3,0),0)=TRUE,1,0)</f>
        <v>0</v>
      </c>
      <c r="AG162">
        <f>if(iferror(vlookup($A162,'Description Database'!$E$2:$H$951,4,0),0)=TRUE,1,0)</f>
        <v>0</v>
      </c>
    </row>
    <row r="163">
      <c r="A163" t="str">
        <f>IFERROR(__xludf.DUMMYFUNCTION("""COMPUTED_VALUE"""),"Samsung Galaxy M30s (6 GB/128 GB)")</f>
        <v>Samsung Galaxy M30s (6 GB/128 GB)</v>
      </c>
      <c r="B163" t="str">
        <f>IFERROR(__xludf.DUMMYFUNCTION("""COMPUTED_VALUE"""),"")</f>
        <v/>
      </c>
      <c r="C163" t="str">
        <f>IFERROR(__xludf.DUMMYFUNCTION("""COMPUTED_VALUE"""),"")</f>
        <v/>
      </c>
      <c r="D163" t="str">
        <f>IFERROR(__xludf.DUMMYFUNCTION("""COMPUTED_VALUE"""),"")</f>
        <v/>
      </c>
      <c r="E163" t="str">
        <f>IFERROR(__xludf.DUMMYFUNCTION("""COMPUTED_VALUE"""),"")</f>
        <v/>
      </c>
      <c r="F163">
        <f>IFERROR(__xludf.DUMMYFUNCTION("""COMPUTED_VALUE"""),2.0)</f>
        <v>2</v>
      </c>
      <c r="G163" t="str">
        <f>IFERROR(__xludf.DUMMYFUNCTION("""COMPUTED_VALUE"""),"")</f>
        <v/>
      </c>
      <c r="H163">
        <f>IFERROR(__xludf.DUMMYFUNCTION("""COMPUTED_VALUE"""),1.0)</f>
        <v>1</v>
      </c>
      <c r="I163">
        <f>IFERROR(__xludf.DUMMYFUNCTION("""COMPUTED_VALUE"""),1.0)</f>
        <v>1</v>
      </c>
      <c r="J163">
        <f>IFERROR(__xludf.DUMMYFUNCTION("""COMPUTED_VALUE"""),4.0)</f>
        <v>4</v>
      </c>
      <c r="L163" s="250" t="str">
        <f>IFERROR(__xludf.DUMMYFUNCTION("""COMPUTED_VALUE"""),"")</f>
        <v/>
      </c>
      <c r="M163" s="250" t="str">
        <f>IFERROR(__xludf.DUMMYFUNCTION("""COMPUTED_VALUE"""),"")</f>
        <v/>
      </c>
      <c r="N163" s="250" t="str">
        <f>IFERROR(__xludf.DUMMYFUNCTION("""COMPUTED_VALUE"""),"")</f>
        <v/>
      </c>
      <c r="O163" s="250" t="str">
        <f>IFERROR(__xludf.DUMMYFUNCTION("""COMPUTED_VALUE"""),"")</f>
        <v/>
      </c>
      <c r="P163" s="250">
        <f>IFERROR(__xludf.DUMMYFUNCTION("""COMPUTED_VALUE"""),5529.0)</f>
        <v>5529</v>
      </c>
      <c r="Q163" s="250" t="str">
        <f>IFERROR(__xludf.DUMMYFUNCTION("""COMPUTED_VALUE"""),"")</f>
        <v/>
      </c>
      <c r="R163" s="250">
        <f>IFERROR(__xludf.DUMMYFUNCTION("""COMPUTED_VALUE"""),2919.0)</f>
        <v>2919</v>
      </c>
      <c r="U163" s="250">
        <f>IFERROR(__xludf.DUMMYFUNCTION("""COMPUTED_VALUE"""),8519.0)</f>
        <v>8519</v>
      </c>
      <c r="V163" s="250">
        <f>IFERROR(__xludf.DUMMYFUNCTION("""COMPUTED_VALUE"""),8109.0)</f>
        <v>8109</v>
      </c>
      <c r="W163" s="250">
        <f>IFERROR(__xludf.DUMMYFUNCTION("""COMPUTED_VALUE"""),7309.0)</f>
        <v>7309</v>
      </c>
      <c r="X163" t="b">
        <f t="shared" ref="X163:Z163" si="302">ISBLANK(K163)</f>
        <v>1</v>
      </c>
      <c r="Y163" t="b">
        <f t="shared" si="302"/>
        <v>0</v>
      </c>
      <c r="Z163" t="b">
        <f t="shared" si="302"/>
        <v>0</v>
      </c>
      <c r="AA163">
        <f t="shared" ref="AA163:AC163" si="303">IF(X163=FALSE,1,0)</f>
        <v>0</v>
      </c>
      <c r="AB163">
        <f t="shared" si="303"/>
        <v>1</v>
      </c>
      <c r="AC163">
        <f t="shared" si="303"/>
        <v>1</v>
      </c>
      <c r="AD163">
        <f t="shared" si="6"/>
        <v>2</v>
      </c>
      <c r="AE163">
        <f t="shared" si="7"/>
        <v>1</v>
      </c>
      <c r="AF163">
        <f>if(iferror(vlookup($A163,'Description Database'!$E$2:$H$951,3,0),0)=TRUE,1,0)</f>
        <v>0</v>
      </c>
      <c r="AG163">
        <f>if(iferror(vlookup($A163,'Description Database'!$E$2:$H$951,4,0),0)=TRUE,1,0)</f>
        <v>0</v>
      </c>
    </row>
    <row r="164">
      <c r="A164" t="str">
        <f>IFERROR(__xludf.DUMMYFUNCTION("""COMPUTED_VALUE"""),"Xiaomi Redmi Y2 (3 GB/32 GB)")</f>
        <v>Xiaomi Redmi Y2 (3 GB/32 GB)</v>
      </c>
      <c r="B164" t="str">
        <f>IFERROR(__xludf.DUMMYFUNCTION("""COMPUTED_VALUE"""),"")</f>
        <v/>
      </c>
      <c r="C164" t="str">
        <f>IFERROR(__xludf.DUMMYFUNCTION("""COMPUTED_VALUE"""),"")</f>
        <v/>
      </c>
      <c r="D164">
        <f>IFERROR(__xludf.DUMMYFUNCTION("""COMPUTED_VALUE"""),3.0)</f>
        <v>3</v>
      </c>
      <c r="E164">
        <f>IFERROR(__xludf.DUMMYFUNCTION("""COMPUTED_VALUE"""),1.0)</f>
        <v>1</v>
      </c>
      <c r="F164">
        <f>IFERROR(__xludf.DUMMYFUNCTION("""COMPUTED_VALUE"""),3.0)</f>
        <v>3</v>
      </c>
      <c r="G164">
        <f>IFERROR(__xludf.DUMMYFUNCTION("""COMPUTED_VALUE"""),1.0)</f>
        <v>1</v>
      </c>
      <c r="H164">
        <f>IFERROR(__xludf.DUMMYFUNCTION("""COMPUTED_VALUE"""),1.0)</f>
        <v>1</v>
      </c>
      <c r="I164">
        <f>IFERROR(__xludf.DUMMYFUNCTION("""COMPUTED_VALUE"""),32.0)</f>
        <v>32</v>
      </c>
      <c r="J164">
        <f>IFERROR(__xludf.DUMMYFUNCTION("""COMPUTED_VALUE"""),41.0)</f>
        <v>41</v>
      </c>
      <c r="L164" s="250" t="str">
        <f>IFERROR(__xludf.DUMMYFUNCTION("""COMPUTED_VALUE"""),"")</f>
        <v/>
      </c>
      <c r="M164" s="250" t="str">
        <f>IFERROR(__xludf.DUMMYFUNCTION("""COMPUTED_VALUE"""),"")</f>
        <v/>
      </c>
      <c r="N164" s="250">
        <f>IFERROR(__xludf.DUMMYFUNCTION("""COMPUTED_VALUE"""),4779.0)</f>
        <v>4779</v>
      </c>
      <c r="O164" s="250">
        <f>IFERROR(__xludf.DUMMYFUNCTION("""COMPUTED_VALUE"""),4359.0)</f>
        <v>4359</v>
      </c>
      <c r="P164" s="250">
        <f>IFERROR(__xludf.DUMMYFUNCTION("""COMPUTED_VALUE"""),3939.0)</f>
        <v>3939</v>
      </c>
      <c r="Q164" s="250">
        <f>IFERROR(__xludf.DUMMYFUNCTION("""COMPUTED_VALUE"""),2849.0)</f>
        <v>2849</v>
      </c>
      <c r="R164" s="250">
        <f>IFERROR(__xludf.DUMMYFUNCTION("""COMPUTED_VALUE"""),2069.0)</f>
        <v>2069</v>
      </c>
      <c r="U164" s="250">
        <f>IFERROR(__xludf.DUMMYFUNCTION("""COMPUTED_VALUE"""),6079.0)</f>
        <v>6079</v>
      </c>
      <c r="V164" s="250">
        <f>IFERROR(__xludf.DUMMYFUNCTION("""COMPUTED_VALUE"""),5779.0)</f>
        <v>5779</v>
      </c>
      <c r="W164" s="250">
        <f>IFERROR(__xludf.DUMMYFUNCTION("""COMPUTED_VALUE"""),5259.0)</f>
        <v>5259</v>
      </c>
      <c r="X164" t="b">
        <f t="shared" ref="X164:Z164" si="304">ISBLANK(K164)</f>
        <v>1</v>
      </c>
      <c r="Y164" t="b">
        <f t="shared" si="304"/>
        <v>0</v>
      </c>
      <c r="Z164" t="b">
        <f t="shared" si="304"/>
        <v>0</v>
      </c>
      <c r="AA164">
        <f t="shared" ref="AA164:AC164" si="305">IF(X164=FALSE,1,0)</f>
        <v>0</v>
      </c>
      <c r="AB164">
        <f t="shared" si="305"/>
        <v>1</v>
      </c>
      <c r="AC164">
        <f t="shared" si="305"/>
        <v>1</v>
      </c>
      <c r="AD164">
        <f t="shared" si="6"/>
        <v>2</v>
      </c>
      <c r="AE164">
        <f t="shared" si="7"/>
        <v>1</v>
      </c>
      <c r="AF164">
        <f>if(iferror(vlookup($A164,'Description Database'!$E$2:$H$951,3,0),0)=TRUE,1,0)</f>
        <v>0</v>
      </c>
      <c r="AG164">
        <f>if(iferror(vlookup($A164,'Description Database'!$E$2:$H$951,4,0),0)=TRUE,1,0)</f>
        <v>0</v>
      </c>
    </row>
    <row r="165">
      <c r="A165" t="str">
        <f>IFERROR(__xludf.DUMMYFUNCTION("""COMPUTED_VALUE"""),"Vivo Y69 (3 GB/32 GB)")</f>
        <v>Vivo Y69 (3 GB/32 GB)</v>
      </c>
      <c r="B165" t="str">
        <f>IFERROR(__xludf.DUMMYFUNCTION("""COMPUTED_VALUE"""),"")</f>
        <v/>
      </c>
      <c r="C165" t="str">
        <f>IFERROR(__xludf.DUMMYFUNCTION("""COMPUTED_VALUE"""),"")</f>
        <v/>
      </c>
      <c r="D165" t="str">
        <f>IFERROR(__xludf.DUMMYFUNCTION("""COMPUTED_VALUE"""),"")</f>
        <v/>
      </c>
      <c r="E165" t="str">
        <f>IFERROR(__xludf.DUMMYFUNCTION("""COMPUTED_VALUE"""),"")</f>
        <v/>
      </c>
      <c r="F165" t="str">
        <f>IFERROR(__xludf.DUMMYFUNCTION("""COMPUTED_VALUE"""),"")</f>
        <v/>
      </c>
      <c r="G165" t="str">
        <f>IFERROR(__xludf.DUMMYFUNCTION("""COMPUTED_VALUE"""),"")</f>
        <v/>
      </c>
      <c r="H165" t="str">
        <f>IFERROR(__xludf.DUMMYFUNCTION("""COMPUTED_VALUE"""),"")</f>
        <v/>
      </c>
      <c r="I165">
        <f>IFERROR(__xludf.DUMMYFUNCTION("""COMPUTED_VALUE"""),6.0)</f>
        <v>6</v>
      </c>
      <c r="J165">
        <f>IFERROR(__xludf.DUMMYFUNCTION("""COMPUTED_VALUE"""),6.0)</f>
        <v>6</v>
      </c>
      <c r="L165" s="250" t="str">
        <f>IFERROR(__xludf.DUMMYFUNCTION("""COMPUTED_VALUE"""),"")</f>
        <v/>
      </c>
      <c r="M165" s="250" t="str">
        <f>IFERROR(__xludf.DUMMYFUNCTION("""COMPUTED_VALUE"""),"")</f>
        <v/>
      </c>
      <c r="N165" s="250" t="str">
        <f>IFERROR(__xludf.DUMMYFUNCTION("""COMPUTED_VALUE"""),"")</f>
        <v/>
      </c>
      <c r="O165" s="250" t="str">
        <f>IFERROR(__xludf.DUMMYFUNCTION("""COMPUTED_VALUE"""),"")</f>
        <v/>
      </c>
      <c r="P165" s="250" t="str">
        <f>IFERROR(__xludf.DUMMYFUNCTION("""COMPUTED_VALUE"""),"")</f>
        <v/>
      </c>
      <c r="Q165" s="250" t="str">
        <f>IFERROR(__xludf.DUMMYFUNCTION("""COMPUTED_VALUE"""),"")</f>
        <v/>
      </c>
      <c r="R165" s="250" t="str">
        <f>IFERROR(__xludf.DUMMYFUNCTION("""COMPUTED_VALUE"""),"")</f>
        <v/>
      </c>
      <c r="U165" s="250">
        <f>IFERROR(__xludf.DUMMYFUNCTION("""COMPUTED_VALUE"""),5479.0)</f>
        <v>5479</v>
      </c>
      <c r="V165" s="250">
        <f>IFERROR(__xludf.DUMMYFUNCTION("""COMPUTED_VALUE"""),5219.0)</f>
        <v>5219</v>
      </c>
      <c r="W165" s="250">
        <f>IFERROR(__xludf.DUMMYFUNCTION("""COMPUTED_VALUE"""),4699.0)</f>
        <v>4699</v>
      </c>
      <c r="X165" t="b">
        <f t="shared" ref="X165:Z165" si="306">ISBLANK(K165)</f>
        <v>1</v>
      </c>
      <c r="Y165" t="b">
        <f t="shared" si="306"/>
        <v>0</v>
      </c>
      <c r="Z165" t="b">
        <f t="shared" si="306"/>
        <v>0</v>
      </c>
      <c r="AA165">
        <f t="shared" ref="AA165:AC165" si="307">IF(X165=FALSE,1,0)</f>
        <v>0</v>
      </c>
      <c r="AB165">
        <f t="shared" si="307"/>
        <v>1</v>
      </c>
      <c r="AC165">
        <f t="shared" si="307"/>
        <v>1</v>
      </c>
      <c r="AD165">
        <f t="shared" si="6"/>
        <v>2</v>
      </c>
      <c r="AE165">
        <f t="shared" si="7"/>
        <v>1</v>
      </c>
      <c r="AF165">
        <f>if(iferror(vlookup($A165,'Description Database'!$E$2:$H$951,3,0),0)=TRUE,1,0)</f>
        <v>0</v>
      </c>
      <c r="AG165">
        <f>if(iferror(vlookup($A165,'Description Database'!$E$2:$H$951,4,0),0)=TRUE,1,0)</f>
        <v>0</v>
      </c>
    </row>
    <row r="166">
      <c r="A166" t="str">
        <f>IFERROR(__xludf.DUMMYFUNCTION("""COMPUTED_VALUE"""),"OnePlus 5T (6 GB/64 GB)")</f>
        <v>OnePlus 5T (6 GB/64 GB)</v>
      </c>
      <c r="B166" t="str">
        <f>IFERROR(__xludf.DUMMYFUNCTION("""COMPUTED_VALUE"""),"")</f>
        <v/>
      </c>
      <c r="C166" t="str">
        <f>IFERROR(__xludf.DUMMYFUNCTION("""COMPUTED_VALUE"""),"")</f>
        <v/>
      </c>
      <c r="D166" t="str">
        <f>IFERROR(__xludf.DUMMYFUNCTION("""COMPUTED_VALUE"""),"")</f>
        <v/>
      </c>
      <c r="E166">
        <f>IFERROR(__xludf.DUMMYFUNCTION("""COMPUTED_VALUE"""),2.0)</f>
        <v>2</v>
      </c>
      <c r="F166" t="str">
        <f>IFERROR(__xludf.DUMMYFUNCTION("""COMPUTED_VALUE"""),"")</f>
        <v/>
      </c>
      <c r="G166">
        <f>IFERROR(__xludf.DUMMYFUNCTION("""COMPUTED_VALUE"""),3.0)</f>
        <v>3</v>
      </c>
      <c r="H166" t="str">
        <f>IFERROR(__xludf.DUMMYFUNCTION("""COMPUTED_VALUE"""),"")</f>
        <v/>
      </c>
      <c r="I166">
        <f>IFERROR(__xludf.DUMMYFUNCTION("""COMPUTED_VALUE"""),10.0)</f>
        <v>10</v>
      </c>
      <c r="J166">
        <f>IFERROR(__xludf.DUMMYFUNCTION("""COMPUTED_VALUE"""),15.0)</f>
        <v>15</v>
      </c>
      <c r="L166" s="250" t="str">
        <f>IFERROR(__xludf.DUMMYFUNCTION("""COMPUTED_VALUE"""),"")</f>
        <v/>
      </c>
      <c r="M166" s="250" t="str">
        <f>IFERROR(__xludf.DUMMYFUNCTION("""COMPUTED_VALUE"""),"")</f>
        <v/>
      </c>
      <c r="N166" s="250" t="str">
        <f>IFERROR(__xludf.DUMMYFUNCTION("""COMPUTED_VALUE"""),"")</f>
        <v/>
      </c>
      <c r="O166" s="250">
        <f>IFERROR(__xludf.DUMMYFUNCTION("""COMPUTED_VALUE"""),7139.0)</f>
        <v>7139</v>
      </c>
      <c r="P166" s="250" t="str">
        <f>IFERROR(__xludf.DUMMYFUNCTION("""COMPUTED_VALUE"""),"")</f>
        <v/>
      </c>
      <c r="Q166" s="250">
        <f>IFERROR(__xludf.DUMMYFUNCTION("""COMPUTED_VALUE"""),4929.0)</f>
        <v>4929</v>
      </c>
      <c r="R166" s="250" t="str">
        <f>IFERROR(__xludf.DUMMYFUNCTION("""COMPUTED_VALUE"""),"")</f>
        <v/>
      </c>
      <c r="U166" s="250">
        <f>IFERROR(__xludf.DUMMYFUNCTION("""COMPUTED_VALUE"""),9999.0)</f>
        <v>9999</v>
      </c>
      <c r="V166" s="250">
        <f>IFERROR(__xludf.DUMMYFUNCTION("""COMPUTED_VALUE"""),9519.0)</f>
        <v>9519</v>
      </c>
      <c r="W166" s="250">
        <f>IFERROR(__xludf.DUMMYFUNCTION("""COMPUTED_VALUE"""),8569.0)</f>
        <v>8569</v>
      </c>
      <c r="X166" t="b">
        <f t="shared" ref="X166:Z166" si="308">ISBLANK(K166)</f>
        <v>1</v>
      </c>
      <c r="Y166" t="b">
        <f t="shared" si="308"/>
        <v>0</v>
      </c>
      <c r="Z166" t="b">
        <f t="shared" si="308"/>
        <v>0</v>
      </c>
      <c r="AA166">
        <f t="shared" ref="AA166:AC166" si="309">IF(X166=FALSE,1,0)</f>
        <v>0</v>
      </c>
      <c r="AB166">
        <f t="shared" si="309"/>
        <v>1</v>
      </c>
      <c r="AC166">
        <f t="shared" si="309"/>
        <v>1</v>
      </c>
      <c r="AD166">
        <f t="shared" si="6"/>
        <v>2</v>
      </c>
      <c r="AE166">
        <f t="shared" si="7"/>
        <v>1</v>
      </c>
      <c r="AF166">
        <f>if(iferror(vlookup($A166,'Description Database'!$E$2:$H$951,3,0),0)=TRUE,1,0)</f>
        <v>0</v>
      </c>
      <c r="AG166">
        <f>if(iferror(vlookup($A166,'Description Database'!$E$2:$H$951,4,0),0)=TRUE,1,0)</f>
        <v>0</v>
      </c>
    </row>
    <row r="167">
      <c r="A167" t="str">
        <f>IFERROR(__xludf.DUMMYFUNCTION("""COMPUTED_VALUE"""),"Samsung Galaxy A31 (6 GB/128 GB)")</f>
        <v>Samsung Galaxy A31 (6 GB/128 GB)</v>
      </c>
      <c r="B167" t="str">
        <f>IFERROR(__xludf.DUMMYFUNCTION("""COMPUTED_VALUE"""),"")</f>
        <v/>
      </c>
      <c r="C167" t="str">
        <f>IFERROR(__xludf.DUMMYFUNCTION("""COMPUTED_VALUE"""),"")</f>
        <v/>
      </c>
      <c r="D167" t="str">
        <f>IFERROR(__xludf.DUMMYFUNCTION("""COMPUTED_VALUE"""),"")</f>
        <v/>
      </c>
      <c r="E167">
        <f>IFERROR(__xludf.DUMMYFUNCTION("""COMPUTED_VALUE"""),1.0)</f>
        <v>1</v>
      </c>
      <c r="F167">
        <f>IFERROR(__xludf.DUMMYFUNCTION("""COMPUTED_VALUE"""),1.0)</f>
        <v>1</v>
      </c>
      <c r="G167" t="str">
        <f>IFERROR(__xludf.DUMMYFUNCTION("""COMPUTED_VALUE"""),"")</f>
        <v/>
      </c>
      <c r="H167" t="str">
        <f>IFERROR(__xludf.DUMMYFUNCTION("""COMPUTED_VALUE"""),"")</f>
        <v/>
      </c>
      <c r="I167" t="str">
        <f>IFERROR(__xludf.DUMMYFUNCTION("""COMPUTED_VALUE"""),"")</f>
        <v/>
      </c>
      <c r="J167">
        <f>IFERROR(__xludf.DUMMYFUNCTION("""COMPUTED_VALUE"""),2.0)</f>
        <v>2</v>
      </c>
      <c r="L167" s="250" t="str">
        <f>IFERROR(__xludf.DUMMYFUNCTION("""COMPUTED_VALUE"""),"")</f>
        <v/>
      </c>
      <c r="M167" s="250" t="str">
        <f>IFERROR(__xludf.DUMMYFUNCTION("""COMPUTED_VALUE"""),"")</f>
        <v/>
      </c>
      <c r="N167" s="250" t="str">
        <f>IFERROR(__xludf.DUMMYFUNCTION("""COMPUTED_VALUE"""),"")</f>
        <v/>
      </c>
      <c r="O167" s="250">
        <f>IFERROR(__xludf.DUMMYFUNCTION("""COMPUTED_VALUE"""),8294.0)</f>
        <v>8294</v>
      </c>
      <c r="P167" s="250">
        <f>IFERROR(__xludf.DUMMYFUNCTION("""COMPUTED_VALUE"""),7539.0)</f>
        <v>7539</v>
      </c>
      <c r="Q167" s="250" t="str">
        <f>IFERROR(__xludf.DUMMYFUNCTION("""COMPUTED_VALUE"""),"")</f>
        <v/>
      </c>
      <c r="R167" s="250" t="str">
        <f>IFERROR(__xludf.DUMMYFUNCTION("""COMPUTED_VALUE"""),"")</f>
        <v/>
      </c>
      <c r="U167" s="250">
        <f>IFERROR(__xludf.DUMMYFUNCTION("""COMPUTED_VALUE"""),11619.0)</f>
        <v>11619</v>
      </c>
      <c r="V167" s="250">
        <f>IFERROR(__xludf.DUMMYFUNCTION("""COMPUTED_VALUE"""),11059.0)</f>
        <v>11059</v>
      </c>
      <c r="W167" s="250">
        <f>IFERROR(__xludf.DUMMYFUNCTION("""COMPUTED_VALUE"""),9959.0)</f>
        <v>9959</v>
      </c>
      <c r="X167" t="b">
        <f t="shared" ref="X167:Z167" si="310">ISBLANK(K167)</f>
        <v>1</v>
      </c>
      <c r="Y167" t="b">
        <f t="shared" si="310"/>
        <v>0</v>
      </c>
      <c r="Z167" t="b">
        <f t="shared" si="310"/>
        <v>0</v>
      </c>
      <c r="AA167">
        <f t="shared" ref="AA167:AC167" si="311">IF(X167=FALSE,1,0)</f>
        <v>0</v>
      </c>
      <c r="AB167">
        <f t="shared" si="311"/>
        <v>1</v>
      </c>
      <c r="AC167">
        <f t="shared" si="311"/>
        <v>1</v>
      </c>
      <c r="AD167">
        <f t="shared" si="6"/>
        <v>2</v>
      </c>
      <c r="AE167">
        <f t="shared" si="7"/>
        <v>1</v>
      </c>
      <c r="AF167">
        <f>if(iferror(vlookup($A167,'Description Database'!$E$2:$H$951,3,0),0)=TRUE,1,0)</f>
        <v>0</v>
      </c>
      <c r="AG167">
        <f>if(iferror(vlookup($A167,'Description Database'!$E$2:$H$951,4,0),0)=TRUE,1,0)</f>
        <v>0</v>
      </c>
    </row>
    <row r="168">
      <c r="A168" t="str">
        <f>IFERROR(__xludf.DUMMYFUNCTION("""COMPUTED_VALUE"""),"Apple iPhone 5 (1 GB/16 GB)")</f>
        <v>Apple iPhone 5 (1 GB/16 GB)</v>
      </c>
      <c r="B168" t="str">
        <f>IFERROR(__xludf.DUMMYFUNCTION("""COMPUTED_VALUE"""),"")</f>
        <v/>
      </c>
      <c r="C168" t="str">
        <f>IFERROR(__xludf.DUMMYFUNCTION("""COMPUTED_VALUE"""),"")</f>
        <v/>
      </c>
      <c r="D168" t="str">
        <f>IFERROR(__xludf.DUMMYFUNCTION("""COMPUTED_VALUE"""),"")</f>
        <v/>
      </c>
      <c r="E168" t="str">
        <f>IFERROR(__xludf.DUMMYFUNCTION("""COMPUTED_VALUE"""),"")</f>
        <v/>
      </c>
      <c r="F168" t="str">
        <f>IFERROR(__xludf.DUMMYFUNCTION("""COMPUTED_VALUE"""),"")</f>
        <v/>
      </c>
      <c r="G168" t="str">
        <f>IFERROR(__xludf.DUMMYFUNCTION("""COMPUTED_VALUE"""),"")</f>
        <v/>
      </c>
      <c r="H168" t="str">
        <f>IFERROR(__xludf.DUMMYFUNCTION("""COMPUTED_VALUE"""),"")</f>
        <v/>
      </c>
      <c r="I168" t="str">
        <f>IFERROR(__xludf.DUMMYFUNCTION("""COMPUTED_VALUE"""),"")</f>
        <v/>
      </c>
      <c r="J168">
        <f>IFERROR(__xludf.DUMMYFUNCTION("""COMPUTED_VALUE"""),0.0)</f>
        <v>0</v>
      </c>
      <c r="L168" s="250" t="str">
        <f>IFERROR(__xludf.DUMMYFUNCTION("""COMPUTED_VALUE"""),"")</f>
        <v/>
      </c>
      <c r="M168" s="250" t="str">
        <f>IFERROR(__xludf.DUMMYFUNCTION("""COMPUTED_VALUE"""),"")</f>
        <v/>
      </c>
      <c r="N168" s="250" t="str">
        <f>IFERROR(__xludf.DUMMYFUNCTION("""COMPUTED_VALUE"""),"")</f>
        <v/>
      </c>
      <c r="O168" s="250" t="str">
        <f>IFERROR(__xludf.DUMMYFUNCTION("""COMPUTED_VALUE"""),"")</f>
        <v/>
      </c>
      <c r="P168" s="250" t="str">
        <f>IFERROR(__xludf.DUMMYFUNCTION("""COMPUTED_VALUE"""),"")</f>
        <v/>
      </c>
      <c r="Q168" s="250" t="str">
        <f>IFERROR(__xludf.DUMMYFUNCTION("""COMPUTED_VALUE"""),"")</f>
        <v/>
      </c>
      <c r="R168" s="250" t="str">
        <f>IFERROR(__xludf.DUMMYFUNCTION("""COMPUTED_VALUE"""),"")</f>
        <v/>
      </c>
      <c r="U168" s="250">
        <f>IFERROR(__xludf.DUMMYFUNCTION("""COMPUTED_VALUE"""),2779.0)</f>
        <v>2779</v>
      </c>
      <c r="V168" s="250">
        <f>IFERROR(__xludf.DUMMYFUNCTION("""COMPUTED_VALUE"""),2639.0)</f>
        <v>2639</v>
      </c>
      <c r="W168" s="250">
        <f>IFERROR(__xludf.DUMMYFUNCTION("""COMPUTED_VALUE"""),2379.0)</f>
        <v>2379</v>
      </c>
      <c r="X168" t="b">
        <f t="shared" ref="X168:Z168" si="312">ISBLANK(K168)</f>
        <v>1</v>
      </c>
      <c r="Y168" t="b">
        <f t="shared" si="312"/>
        <v>0</v>
      </c>
      <c r="Z168" t="b">
        <f t="shared" si="312"/>
        <v>0</v>
      </c>
      <c r="AA168">
        <f t="shared" ref="AA168:AC168" si="313">IF(X168=FALSE,1,0)</f>
        <v>0</v>
      </c>
      <c r="AB168">
        <f t="shared" si="313"/>
        <v>1</v>
      </c>
      <c r="AC168">
        <f t="shared" si="313"/>
        <v>1</v>
      </c>
      <c r="AD168">
        <f t="shared" si="6"/>
        <v>2</v>
      </c>
      <c r="AE168">
        <f t="shared" si="7"/>
        <v>1</v>
      </c>
      <c r="AF168">
        <f>if(iferror(vlookup($A168,'Description Database'!$E$2:$H$951,3,0),0)=TRUE,1,0)</f>
        <v>0</v>
      </c>
      <c r="AG168">
        <f>if(iferror(vlookup($A168,'Description Database'!$E$2:$H$951,4,0),0)=TRUE,1,0)</f>
        <v>0</v>
      </c>
    </row>
    <row r="169">
      <c r="A169" t="str">
        <f>IFERROR(__xludf.DUMMYFUNCTION("""COMPUTED_VALUE"""),"Xiaomi Redmi Y3 (4 GB/64 GB)")</f>
        <v>Xiaomi Redmi Y3 (4 GB/64 GB)</v>
      </c>
      <c r="B169" t="str">
        <f>IFERROR(__xludf.DUMMYFUNCTION("""COMPUTED_VALUE"""),"")</f>
        <v/>
      </c>
      <c r="C169" t="str">
        <f>IFERROR(__xludf.DUMMYFUNCTION("""COMPUTED_VALUE"""),"")</f>
        <v/>
      </c>
      <c r="D169" t="str">
        <f>IFERROR(__xludf.DUMMYFUNCTION("""COMPUTED_VALUE"""),"")</f>
        <v/>
      </c>
      <c r="E169" t="str">
        <f>IFERROR(__xludf.DUMMYFUNCTION("""COMPUTED_VALUE"""),"")</f>
        <v/>
      </c>
      <c r="F169">
        <f>IFERROR(__xludf.DUMMYFUNCTION("""COMPUTED_VALUE"""),1.0)</f>
        <v>1</v>
      </c>
      <c r="G169" t="str">
        <f>IFERROR(__xludf.DUMMYFUNCTION("""COMPUTED_VALUE"""),"")</f>
        <v/>
      </c>
      <c r="H169" t="str">
        <f>IFERROR(__xludf.DUMMYFUNCTION("""COMPUTED_VALUE"""),"")</f>
        <v/>
      </c>
      <c r="I169">
        <f>IFERROR(__xludf.DUMMYFUNCTION("""COMPUTED_VALUE"""),2.0)</f>
        <v>2</v>
      </c>
      <c r="J169">
        <f>IFERROR(__xludf.DUMMYFUNCTION("""COMPUTED_VALUE"""),3.0)</f>
        <v>3</v>
      </c>
      <c r="L169" s="250" t="str">
        <f>IFERROR(__xludf.DUMMYFUNCTION("""COMPUTED_VALUE"""),"")</f>
        <v/>
      </c>
      <c r="M169" s="250" t="str">
        <f>IFERROR(__xludf.DUMMYFUNCTION("""COMPUTED_VALUE"""),"")</f>
        <v/>
      </c>
      <c r="N169" s="250" t="str">
        <f>IFERROR(__xludf.DUMMYFUNCTION("""COMPUTED_VALUE"""),"")</f>
        <v/>
      </c>
      <c r="O169" s="250" t="str">
        <f>IFERROR(__xludf.DUMMYFUNCTION("""COMPUTED_VALUE"""),"")</f>
        <v/>
      </c>
      <c r="P169" s="250">
        <f>IFERROR(__xludf.DUMMYFUNCTION("""COMPUTED_VALUE"""),5569.0)</f>
        <v>5569</v>
      </c>
      <c r="Q169" s="250" t="str">
        <f>IFERROR(__xludf.DUMMYFUNCTION("""COMPUTED_VALUE"""),"")</f>
        <v/>
      </c>
      <c r="R169" s="250" t="str">
        <f>IFERROR(__xludf.DUMMYFUNCTION("""COMPUTED_VALUE"""),"")</f>
        <v/>
      </c>
      <c r="U169" s="250">
        <f>IFERROR(__xludf.DUMMYFUNCTION("""COMPUTED_VALUE"""),8589.0)</f>
        <v>8589</v>
      </c>
      <c r="V169" s="250">
        <f>IFERROR(__xludf.DUMMYFUNCTION("""COMPUTED_VALUE"""),8179.0)</f>
        <v>8179</v>
      </c>
      <c r="W169" s="250">
        <f>IFERROR(__xludf.DUMMYFUNCTION("""COMPUTED_VALUE"""),7359.0)</f>
        <v>7359</v>
      </c>
      <c r="X169" t="b">
        <f t="shared" ref="X169:Z169" si="314">ISBLANK(K169)</f>
        <v>1</v>
      </c>
      <c r="Y169" t="b">
        <f t="shared" si="314"/>
        <v>0</v>
      </c>
      <c r="Z169" t="b">
        <f t="shared" si="314"/>
        <v>0</v>
      </c>
      <c r="AA169">
        <f t="shared" ref="AA169:AC169" si="315">IF(X169=FALSE,1,0)</f>
        <v>0</v>
      </c>
      <c r="AB169">
        <f t="shared" si="315"/>
        <v>1</v>
      </c>
      <c r="AC169">
        <f t="shared" si="315"/>
        <v>1</v>
      </c>
      <c r="AD169">
        <f t="shared" si="6"/>
        <v>2</v>
      </c>
      <c r="AE169">
        <f t="shared" si="7"/>
        <v>1</v>
      </c>
      <c r="AF169">
        <f>if(iferror(vlookup($A169,'Description Database'!$E$2:$H$951,3,0),0)=TRUE,1,0)</f>
        <v>0</v>
      </c>
      <c r="AG169">
        <f>if(iferror(vlookup($A169,'Description Database'!$E$2:$H$951,4,0),0)=TRUE,1,0)</f>
        <v>0</v>
      </c>
    </row>
    <row r="170">
      <c r="A170" t="str">
        <f>IFERROR(__xludf.DUMMYFUNCTION("""COMPUTED_VALUE"""),"Realme C2 (2 GB/16 GB)")</f>
        <v>Realme C2 (2 GB/16 GB)</v>
      </c>
      <c r="B170" t="str">
        <f>IFERROR(__xludf.DUMMYFUNCTION("""COMPUTED_VALUE"""),"")</f>
        <v/>
      </c>
      <c r="C170" t="str">
        <f>IFERROR(__xludf.DUMMYFUNCTION("""COMPUTED_VALUE"""),"")</f>
        <v/>
      </c>
      <c r="D170" t="str">
        <f>IFERROR(__xludf.DUMMYFUNCTION("""COMPUTED_VALUE"""),"")</f>
        <v/>
      </c>
      <c r="E170" t="str">
        <f>IFERROR(__xludf.DUMMYFUNCTION("""COMPUTED_VALUE"""),"")</f>
        <v/>
      </c>
      <c r="F170" t="str">
        <f>IFERROR(__xludf.DUMMYFUNCTION("""COMPUTED_VALUE"""),"")</f>
        <v/>
      </c>
      <c r="G170">
        <f>IFERROR(__xludf.DUMMYFUNCTION("""COMPUTED_VALUE"""),3.0)</f>
        <v>3</v>
      </c>
      <c r="H170" t="str">
        <f>IFERROR(__xludf.DUMMYFUNCTION("""COMPUTED_VALUE"""),"")</f>
        <v/>
      </c>
      <c r="I170">
        <f>IFERROR(__xludf.DUMMYFUNCTION("""COMPUTED_VALUE"""),7.0)</f>
        <v>7</v>
      </c>
      <c r="J170">
        <f>IFERROR(__xludf.DUMMYFUNCTION("""COMPUTED_VALUE"""),10.0)</f>
        <v>10</v>
      </c>
      <c r="L170" s="250" t="str">
        <f>IFERROR(__xludf.DUMMYFUNCTION("""COMPUTED_VALUE"""),"")</f>
        <v/>
      </c>
      <c r="M170" s="250" t="str">
        <f>IFERROR(__xludf.DUMMYFUNCTION("""COMPUTED_VALUE"""),"")</f>
        <v/>
      </c>
      <c r="N170" s="250" t="str">
        <f>IFERROR(__xludf.DUMMYFUNCTION("""COMPUTED_VALUE"""),"")</f>
        <v/>
      </c>
      <c r="O170" s="250" t="str">
        <f>IFERROR(__xludf.DUMMYFUNCTION("""COMPUTED_VALUE"""),"")</f>
        <v/>
      </c>
      <c r="P170" s="250" t="str">
        <f>IFERROR(__xludf.DUMMYFUNCTION("""COMPUTED_VALUE"""),"")</f>
        <v/>
      </c>
      <c r="Q170" s="250">
        <f>IFERROR(__xludf.DUMMYFUNCTION("""COMPUTED_VALUE"""),2759.0)</f>
        <v>2759</v>
      </c>
      <c r="R170" s="250" t="str">
        <f>IFERROR(__xludf.DUMMYFUNCTION("""COMPUTED_VALUE"""),"")</f>
        <v/>
      </c>
      <c r="U170" s="250">
        <f>IFERROR(__xludf.DUMMYFUNCTION("""COMPUTED_VALUE"""),5599.0)</f>
        <v>5599</v>
      </c>
      <c r="V170" s="250">
        <f>IFERROR(__xludf.DUMMYFUNCTION("""COMPUTED_VALUE"""),5329.0)</f>
        <v>5329</v>
      </c>
      <c r="W170" s="250">
        <f>IFERROR(__xludf.DUMMYFUNCTION("""COMPUTED_VALUE"""),4879.0)</f>
        <v>4879</v>
      </c>
      <c r="X170" t="b">
        <f t="shared" ref="X170:Z170" si="316">ISBLANK(K170)</f>
        <v>1</v>
      </c>
      <c r="Y170" t="b">
        <f t="shared" si="316"/>
        <v>0</v>
      </c>
      <c r="Z170" t="b">
        <f t="shared" si="316"/>
        <v>0</v>
      </c>
      <c r="AA170">
        <f t="shared" ref="AA170:AC170" si="317">IF(X170=FALSE,1,0)</f>
        <v>0</v>
      </c>
      <c r="AB170">
        <f t="shared" si="317"/>
        <v>1</v>
      </c>
      <c r="AC170">
        <f t="shared" si="317"/>
        <v>1</v>
      </c>
      <c r="AD170">
        <f t="shared" si="6"/>
        <v>2</v>
      </c>
      <c r="AE170">
        <f t="shared" si="7"/>
        <v>1</v>
      </c>
      <c r="AF170">
        <f>if(iferror(vlookup($A170,'Description Database'!$E$2:$H$951,3,0),0)=TRUE,1,0)</f>
        <v>0</v>
      </c>
      <c r="AG170">
        <f>if(iferror(vlookup($A170,'Description Database'!$E$2:$H$951,4,0),0)=TRUE,1,0)</f>
        <v>1</v>
      </c>
    </row>
    <row r="171">
      <c r="A171" t="str">
        <f>IFERROR(__xludf.DUMMYFUNCTION("""COMPUTED_VALUE"""),"Honor 5X (2 GB/16 GB)")</f>
        <v>Honor 5X (2 GB/16 GB)</v>
      </c>
      <c r="B171" t="str">
        <f>IFERROR(__xludf.DUMMYFUNCTION("""COMPUTED_VALUE"""),"")</f>
        <v/>
      </c>
      <c r="C171" t="str">
        <f>IFERROR(__xludf.DUMMYFUNCTION("""COMPUTED_VALUE"""),"")</f>
        <v/>
      </c>
      <c r="D171" t="str">
        <f>IFERROR(__xludf.DUMMYFUNCTION("""COMPUTED_VALUE"""),"")</f>
        <v/>
      </c>
      <c r="E171" t="str">
        <f>IFERROR(__xludf.DUMMYFUNCTION("""COMPUTED_VALUE"""),"")</f>
        <v/>
      </c>
      <c r="F171" t="str">
        <f>IFERROR(__xludf.DUMMYFUNCTION("""COMPUTED_VALUE"""),"")</f>
        <v/>
      </c>
      <c r="G171" t="str">
        <f>IFERROR(__xludf.DUMMYFUNCTION("""COMPUTED_VALUE"""),"")</f>
        <v/>
      </c>
      <c r="H171" t="str">
        <f>IFERROR(__xludf.DUMMYFUNCTION("""COMPUTED_VALUE"""),"")</f>
        <v/>
      </c>
      <c r="I171" t="str">
        <f>IFERROR(__xludf.DUMMYFUNCTION("""COMPUTED_VALUE"""),"")</f>
        <v/>
      </c>
      <c r="J171">
        <f>IFERROR(__xludf.DUMMYFUNCTION("""COMPUTED_VALUE"""),0.0)</f>
        <v>0</v>
      </c>
      <c r="L171" s="250" t="str">
        <f>IFERROR(__xludf.DUMMYFUNCTION("""COMPUTED_VALUE"""),"")</f>
        <v/>
      </c>
      <c r="M171" s="250" t="str">
        <f>IFERROR(__xludf.DUMMYFUNCTION("""COMPUTED_VALUE"""),"")</f>
        <v/>
      </c>
      <c r="N171" s="250" t="str">
        <f>IFERROR(__xludf.DUMMYFUNCTION("""COMPUTED_VALUE"""),"")</f>
        <v/>
      </c>
      <c r="O171" s="250" t="str">
        <f>IFERROR(__xludf.DUMMYFUNCTION("""COMPUTED_VALUE"""),"")</f>
        <v/>
      </c>
      <c r="P171" s="250" t="str">
        <f>IFERROR(__xludf.DUMMYFUNCTION("""COMPUTED_VALUE"""),"")</f>
        <v/>
      </c>
      <c r="Q171" s="250" t="str">
        <f>IFERROR(__xludf.DUMMYFUNCTION("""COMPUTED_VALUE"""),"")</f>
        <v/>
      </c>
      <c r="R171" s="250" t="str">
        <f>IFERROR(__xludf.DUMMYFUNCTION("""COMPUTED_VALUE"""),"")</f>
        <v/>
      </c>
      <c r="U171" s="250">
        <f>IFERROR(__xludf.DUMMYFUNCTION("""COMPUTED_VALUE"""),3179.0)</f>
        <v>3179</v>
      </c>
      <c r="V171" s="250">
        <f>IFERROR(__xludf.DUMMYFUNCTION("""COMPUTED_VALUE"""),3029.0)</f>
        <v>3029</v>
      </c>
      <c r="W171" s="250">
        <f>IFERROR(__xludf.DUMMYFUNCTION("""COMPUTED_VALUE"""),2729.0)</f>
        <v>2729</v>
      </c>
      <c r="X171" t="b">
        <f t="shared" ref="X171:Z171" si="318">ISBLANK(K171)</f>
        <v>1</v>
      </c>
      <c r="Y171" t="b">
        <f t="shared" si="318"/>
        <v>0</v>
      </c>
      <c r="Z171" t="b">
        <f t="shared" si="318"/>
        <v>0</v>
      </c>
      <c r="AA171">
        <f t="shared" ref="AA171:AC171" si="319">IF(X171=FALSE,1,0)</f>
        <v>0</v>
      </c>
      <c r="AB171">
        <f t="shared" si="319"/>
        <v>1</v>
      </c>
      <c r="AC171">
        <f t="shared" si="319"/>
        <v>1</v>
      </c>
      <c r="AD171">
        <f t="shared" si="6"/>
        <v>2</v>
      </c>
      <c r="AE171">
        <f t="shared" si="7"/>
        <v>1</v>
      </c>
      <c r="AF171">
        <f>if(iferror(vlookup($A171,'Description Database'!$E$2:$H$951,3,0),0)=TRUE,1,0)</f>
        <v>0</v>
      </c>
      <c r="AG171">
        <f>if(iferror(vlookup($A171,'Description Database'!$E$2:$H$951,4,0),0)=TRUE,1,0)</f>
        <v>0</v>
      </c>
    </row>
    <row r="172">
      <c r="A172" t="str">
        <f>IFERROR(__xludf.DUMMYFUNCTION("""COMPUTED_VALUE"""),"Oppo A7 (3 GB/64 GB)")</f>
        <v>Oppo A7 (3 GB/64 GB)</v>
      </c>
      <c r="B172" t="str">
        <f>IFERROR(__xludf.DUMMYFUNCTION("""COMPUTED_VALUE"""),"")</f>
        <v/>
      </c>
      <c r="C172" t="str">
        <f>IFERROR(__xludf.DUMMYFUNCTION("""COMPUTED_VALUE"""),"")</f>
        <v/>
      </c>
      <c r="D172" t="str">
        <f>IFERROR(__xludf.DUMMYFUNCTION("""COMPUTED_VALUE"""),"")</f>
        <v/>
      </c>
      <c r="E172" t="str">
        <f>IFERROR(__xludf.DUMMYFUNCTION("""COMPUTED_VALUE"""),"")</f>
        <v/>
      </c>
      <c r="F172" t="str">
        <f>IFERROR(__xludf.DUMMYFUNCTION("""COMPUTED_VALUE"""),"")</f>
        <v/>
      </c>
      <c r="G172" t="str">
        <f>IFERROR(__xludf.DUMMYFUNCTION("""COMPUTED_VALUE"""),"")</f>
        <v/>
      </c>
      <c r="H172" t="str">
        <f>IFERROR(__xludf.DUMMYFUNCTION("""COMPUTED_VALUE"""),"")</f>
        <v/>
      </c>
      <c r="I172">
        <f>IFERROR(__xludf.DUMMYFUNCTION("""COMPUTED_VALUE"""),1.0)</f>
        <v>1</v>
      </c>
      <c r="J172">
        <f>IFERROR(__xludf.DUMMYFUNCTION("""COMPUTED_VALUE"""),1.0)</f>
        <v>1</v>
      </c>
      <c r="L172" s="250" t="str">
        <f>IFERROR(__xludf.DUMMYFUNCTION("""COMPUTED_VALUE"""),"")</f>
        <v/>
      </c>
      <c r="M172" s="250" t="str">
        <f>IFERROR(__xludf.DUMMYFUNCTION("""COMPUTED_VALUE"""),"")</f>
        <v/>
      </c>
      <c r="N172" s="250" t="str">
        <f>IFERROR(__xludf.DUMMYFUNCTION("""COMPUTED_VALUE"""),"")</f>
        <v/>
      </c>
      <c r="O172" s="250" t="str">
        <f>IFERROR(__xludf.DUMMYFUNCTION("""COMPUTED_VALUE"""),"")</f>
        <v/>
      </c>
      <c r="P172" s="250" t="str">
        <f>IFERROR(__xludf.DUMMYFUNCTION("""COMPUTED_VALUE"""),"")</f>
        <v/>
      </c>
      <c r="Q172" s="250" t="str">
        <f>IFERROR(__xludf.DUMMYFUNCTION("""COMPUTED_VALUE"""),"")</f>
        <v/>
      </c>
      <c r="R172" s="250" t="str">
        <f>IFERROR(__xludf.DUMMYFUNCTION("""COMPUTED_VALUE"""),"")</f>
        <v/>
      </c>
      <c r="U172" s="250">
        <f>IFERROR(__xludf.DUMMYFUNCTION("""COMPUTED_VALUE"""),7809.0)</f>
        <v>7809</v>
      </c>
      <c r="V172" s="250">
        <f>IFERROR(__xludf.DUMMYFUNCTION("""COMPUTED_VALUE"""),7439.0)</f>
        <v>7439</v>
      </c>
      <c r="W172" s="250">
        <f>IFERROR(__xludf.DUMMYFUNCTION("""COMPUTED_VALUE"""),6809.0)</f>
        <v>6809</v>
      </c>
      <c r="X172" t="b">
        <f t="shared" ref="X172:Z172" si="320">ISBLANK(K172)</f>
        <v>1</v>
      </c>
      <c r="Y172" t="b">
        <f t="shared" si="320"/>
        <v>0</v>
      </c>
      <c r="Z172" t="b">
        <f t="shared" si="320"/>
        <v>0</v>
      </c>
      <c r="AA172">
        <f t="shared" ref="AA172:AC172" si="321">IF(X172=FALSE,1,0)</f>
        <v>0</v>
      </c>
      <c r="AB172">
        <f t="shared" si="321"/>
        <v>1</v>
      </c>
      <c r="AC172">
        <f t="shared" si="321"/>
        <v>1</v>
      </c>
      <c r="AD172">
        <f t="shared" si="6"/>
        <v>2</v>
      </c>
      <c r="AE172">
        <f t="shared" si="7"/>
        <v>1</v>
      </c>
      <c r="AF172">
        <f>if(iferror(vlookup($A172,'Description Database'!$E$2:$H$951,3,0),0)=TRUE,1,0)</f>
        <v>0</v>
      </c>
      <c r="AG172">
        <f>if(iferror(vlookup($A172,'Description Database'!$E$2:$H$951,4,0),0)=TRUE,1,0)</f>
        <v>0</v>
      </c>
    </row>
    <row r="173">
      <c r="A173" t="str">
        <f>IFERROR(__xludf.DUMMYFUNCTION("""COMPUTED_VALUE"""),"Realme 3 (3 GB/32 GB)")</f>
        <v>Realme 3 (3 GB/32 GB)</v>
      </c>
      <c r="B173" t="str">
        <f>IFERROR(__xludf.DUMMYFUNCTION("""COMPUTED_VALUE"""),"")</f>
        <v/>
      </c>
      <c r="C173" t="str">
        <f>IFERROR(__xludf.DUMMYFUNCTION("""COMPUTED_VALUE"""),"")</f>
        <v/>
      </c>
      <c r="D173" t="str">
        <f>IFERROR(__xludf.DUMMYFUNCTION("""COMPUTED_VALUE"""),"")</f>
        <v/>
      </c>
      <c r="E173" t="str">
        <f>IFERROR(__xludf.DUMMYFUNCTION("""COMPUTED_VALUE"""),"")</f>
        <v/>
      </c>
      <c r="F173" t="str">
        <f>IFERROR(__xludf.DUMMYFUNCTION("""COMPUTED_VALUE"""),"")</f>
        <v/>
      </c>
      <c r="G173" t="str">
        <f>IFERROR(__xludf.DUMMYFUNCTION("""COMPUTED_VALUE"""),"")</f>
        <v/>
      </c>
      <c r="H173" t="str">
        <f>IFERROR(__xludf.DUMMYFUNCTION("""COMPUTED_VALUE"""),"")</f>
        <v/>
      </c>
      <c r="I173">
        <f>IFERROR(__xludf.DUMMYFUNCTION("""COMPUTED_VALUE"""),4.0)</f>
        <v>4</v>
      </c>
      <c r="J173">
        <f>IFERROR(__xludf.DUMMYFUNCTION("""COMPUTED_VALUE"""),4.0)</f>
        <v>4</v>
      </c>
      <c r="L173" s="250" t="str">
        <f>IFERROR(__xludf.DUMMYFUNCTION("""COMPUTED_VALUE"""),"")</f>
        <v/>
      </c>
      <c r="M173" s="250" t="str">
        <f>IFERROR(__xludf.DUMMYFUNCTION("""COMPUTED_VALUE"""),"")</f>
        <v/>
      </c>
      <c r="N173" s="250" t="str">
        <f>IFERROR(__xludf.DUMMYFUNCTION("""COMPUTED_VALUE"""),"")</f>
        <v/>
      </c>
      <c r="O173" s="250" t="str">
        <f>IFERROR(__xludf.DUMMYFUNCTION("""COMPUTED_VALUE"""),"")</f>
        <v/>
      </c>
      <c r="P173" s="250" t="str">
        <f>IFERROR(__xludf.DUMMYFUNCTION("""COMPUTED_VALUE"""),"")</f>
        <v/>
      </c>
      <c r="Q173" s="250" t="str">
        <f>IFERROR(__xludf.DUMMYFUNCTION("""COMPUTED_VALUE"""),"")</f>
        <v/>
      </c>
      <c r="R173" s="250" t="str">
        <f>IFERROR(__xludf.DUMMYFUNCTION("""COMPUTED_VALUE"""),"")</f>
        <v/>
      </c>
      <c r="U173" s="250">
        <f>IFERROR(__xludf.DUMMYFUNCTION("""COMPUTED_VALUE"""),7239.0)</f>
        <v>7239</v>
      </c>
      <c r="V173" s="250">
        <f>IFERROR(__xludf.DUMMYFUNCTION("""COMPUTED_VALUE"""),6889.0)</f>
        <v>6889</v>
      </c>
      <c r="W173" s="250">
        <f>IFERROR(__xludf.DUMMYFUNCTION("""COMPUTED_VALUE"""),6199.0)</f>
        <v>6199</v>
      </c>
      <c r="X173" t="b">
        <f t="shared" ref="X173:Z173" si="322">ISBLANK(K173)</f>
        <v>1</v>
      </c>
      <c r="Y173" t="b">
        <f t="shared" si="322"/>
        <v>0</v>
      </c>
      <c r="Z173" t="b">
        <f t="shared" si="322"/>
        <v>0</v>
      </c>
      <c r="AA173">
        <f t="shared" ref="AA173:AC173" si="323">IF(X173=FALSE,1,0)</f>
        <v>0</v>
      </c>
      <c r="AB173">
        <f t="shared" si="323"/>
        <v>1</v>
      </c>
      <c r="AC173">
        <f t="shared" si="323"/>
        <v>1</v>
      </c>
      <c r="AD173">
        <f t="shared" si="6"/>
        <v>2</v>
      </c>
      <c r="AE173">
        <f t="shared" si="7"/>
        <v>1</v>
      </c>
      <c r="AF173">
        <f>if(iferror(vlookup($A173,'Description Database'!$E$2:$H$951,3,0),0)=TRUE,1,0)</f>
        <v>0</v>
      </c>
      <c r="AG173">
        <f>if(iferror(vlookup($A173,'Description Database'!$E$2:$H$951,4,0),0)=TRUE,1,0)</f>
        <v>0</v>
      </c>
    </row>
    <row r="174">
      <c r="A174" t="str">
        <f>IFERROR(__xludf.DUMMYFUNCTION("""COMPUTED_VALUE"""),"Xiaomi Redmi Note 7 (3 GB/32 GB)")</f>
        <v>Xiaomi Redmi Note 7 (3 GB/32 GB)</v>
      </c>
      <c r="B174" t="str">
        <f>IFERROR(__xludf.DUMMYFUNCTION("""COMPUTED_VALUE"""),"")</f>
        <v/>
      </c>
      <c r="C174" t="str">
        <f>IFERROR(__xludf.DUMMYFUNCTION("""COMPUTED_VALUE"""),"")</f>
        <v/>
      </c>
      <c r="D174" t="str">
        <f>IFERROR(__xludf.DUMMYFUNCTION("""COMPUTED_VALUE"""),"")</f>
        <v/>
      </c>
      <c r="E174" t="str">
        <f>IFERROR(__xludf.DUMMYFUNCTION("""COMPUTED_VALUE"""),"")</f>
        <v/>
      </c>
      <c r="F174" t="str">
        <f>IFERROR(__xludf.DUMMYFUNCTION("""COMPUTED_VALUE"""),"")</f>
        <v/>
      </c>
      <c r="G174" t="str">
        <f>IFERROR(__xludf.DUMMYFUNCTION("""COMPUTED_VALUE"""),"")</f>
        <v/>
      </c>
      <c r="H174" t="str">
        <f>IFERROR(__xludf.DUMMYFUNCTION("""COMPUTED_VALUE"""),"")</f>
        <v/>
      </c>
      <c r="I174">
        <f>IFERROR(__xludf.DUMMYFUNCTION("""COMPUTED_VALUE"""),3.0)</f>
        <v>3</v>
      </c>
      <c r="J174">
        <f>IFERROR(__xludf.DUMMYFUNCTION("""COMPUTED_VALUE"""),3.0)</f>
        <v>3</v>
      </c>
      <c r="L174" s="250" t="str">
        <f>IFERROR(__xludf.DUMMYFUNCTION("""COMPUTED_VALUE"""),"")</f>
        <v/>
      </c>
      <c r="M174" s="250" t="str">
        <f>IFERROR(__xludf.DUMMYFUNCTION("""COMPUTED_VALUE"""),"")</f>
        <v/>
      </c>
      <c r="N174" s="250" t="str">
        <f>IFERROR(__xludf.DUMMYFUNCTION("""COMPUTED_VALUE"""),"")</f>
        <v/>
      </c>
      <c r="O174" s="250" t="str">
        <f>IFERROR(__xludf.DUMMYFUNCTION("""COMPUTED_VALUE"""),"")</f>
        <v/>
      </c>
      <c r="P174" s="250" t="str">
        <f>IFERROR(__xludf.DUMMYFUNCTION("""COMPUTED_VALUE"""),"")</f>
        <v/>
      </c>
      <c r="Q174" s="250" t="str">
        <f>IFERROR(__xludf.DUMMYFUNCTION("""COMPUTED_VALUE"""),"")</f>
        <v/>
      </c>
      <c r="R174" s="250" t="str">
        <f>IFERROR(__xludf.DUMMYFUNCTION("""COMPUTED_VALUE"""),"")</f>
        <v/>
      </c>
      <c r="U174" s="250">
        <f>IFERROR(__xludf.DUMMYFUNCTION("""COMPUTED_VALUE"""),7649.0)</f>
        <v>7649</v>
      </c>
      <c r="V174" s="250">
        <f>IFERROR(__xludf.DUMMYFUNCTION("""COMPUTED_VALUE"""),7289.0)</f>
        <v>7289</v>
      </c>
      <c r="W174" s="250">
        <f>IFERROR(__xludf.DUMMYFUNCTION("""COMPUTED_VALUE"""),6659.0)</f>
        <v>6659</v>
      </c>
      <c r="X174" t="b">
        <f t="shared" ref="X174:Z174" si="324">ISBLANK(K174)</f>
        <v>1</v>
      </c>
      <c r="Y174" t="b">
        <f t="shared" si="324"/>
        <v>0</v>
      </c>
      <c r="Z174" t="b">
        <f t="shared" si="324"/>
        <v>0</v>
      </c>
      <c r="AA174">
        <f t="shared" ref="AA174:AC174" si="325">IF(X174=FALSE,1,0)</f>
        <v>0</v>
      </c>
      <c r="AB174">
        <f t="shared" si="325"/>
        <v>1</v>
      </c>
      <c r="AC174">
        <f t="shared" si="325"/>
        <v>1</v>
      </c>
      <c r="AD174">
        <f t="shared" si="6"/>
        <v>2</v>
      </c>
      <c r="AE174">
        <f t="shared" si="7"/>
        <v>1</v>
      </c>
      <c r="AF174">
        <f>if(iferror(vlookup($A174,'Description Database'!$E$2:$H$951,3,0),0)=TRUE,1,0)</f>
        <v>0</v>
      </c>
      <c r="AG174">
        <f>if(iferror(vlookup($A174,'Description Database'!$E$2:$H$951,4,0),0)=TRUE,1,0)</f>
        <v>1</v>
      </c>
    </row>
    <row r="175">
      <c r="A175" t="str">
        <f>IFERROR(__xludf.DUMMYFUNCTION("""COMPUTED_VALUE"""),"Oppo F5 (4 GB/32 GB)")</f>
        <v>Oppo F5 (4 GB/32 GB)</v>
      </c>
      <c r="B175" t="str">
        <f>IFERROR(__xludf.DUMMYFUNCTION("""COMPUTED_VALUE"""),"")</f>
        <v/>
      </c>
      <c r="C175">
        <f>IFERROR(__xludf.DUMMYFUNCTION("""COMPUTED_VALUE"""),2.0)</f>
        <v>2</v>
      </c>
      <c r="D175" t="str">
        <f>IFERROR(__xludf.DUMMYFUNCTION("""COMPUTED_VALUE"""),"")</f>
        <v/>
      </c>
      <c r="E175" t="str">
        <f>IFERROR(__xludf.DUMMYFUNCTION("""COMPUTED_VALUE"""),"")</f>
        <v/>
      </c>
      <c r="F175" t="str">
        <f>IFERROR(__xludf.DUMMYFUNCTION("""COMPUTED_VALUE"""),"")</f>
        <v/>
      </c>
      <c r="G175">
        <f>IFERROR(__xludf.DUMMYFUNCTION("""COMPUTED_VALUE"""),1.0)</f>
        <v>1</v>
      </c>
      <c r="H175" t="str">
        <f>IFERROR(__xludf.DUMMYFUNCTION("""COMPUTED_VALUE"""),"")</f>
        <v/>
      </c>
      <c r="I175">
        <f>IFERROR(__xludf.DUMMYFUNCTION("""COMPUTED_VALUE"""),2.0)</f>
        <v>2</v>
      </c>
      <c r="J175">
        <f>IFERROR(__xludf.DUMMYFUNCTION("""COMPUTED_VALUE"""),5.0)</f>
        <v>5</v>
      </c>
      <c r="L175" s="250" t="str">
        <f>IFERROR(__xludf.DUMMYFUNCTION("""COMPUTED_VALUE"""),"")</f>
        <v/>
      </c>
      <c r="M175" s="250">
        <f>IFERROR(__xludf.DUMMYFUNCTION("""COMPUTED_VALUE"""),5649.0)</f>
        <v>5649</v>
      </c>
      <c r="N175" s="250" t="str">
        <f>IFERROR(__xludf.DUMMYFUNCTION("""COMPUTED_VALUE"""),"")</f>
        <v/>
      </c>
      <c r="O175" s="250" t="str">
        <f>IFERROR(__xludf.DUMMYFUNCTION("""COMPUTED_VALUE"""),"")</f>
        <v/>
      </c>
      <c r="P175" s="250" t="str">
        <f>IFERROR(__xludf.DUMMYFUNCTION("""COMPUTED_VALUE"""),"")</f>
        <v/>
      </c>
      <c r="Q175" s="250">
        <f>IFERROR(__xludf.DUMMYFUNCTION("""COMPUTED_VALUE"""),3029.0)</f>
        <v>3029</v>
      </c>
      <c r="R175" s="250" t="str">
        <f>IFERROR(__xludf.DUMMYFUNCTION("""COMPUTED_VALUE"""),"")</f>
        <v/>
      </c>
      <c r="U175" s="250">
        <f>IFERROR(__xludf.DUMMYFUNCTION("""COMPUTED_VALUE"""),6539.0)</f>
        <v>6539</v>
      </c>
      <c r="V175" s="250">
        <f>IFERROR(__xludf.DUMMYFUNCTION("""COMPUTED_VALUE"""),6219.0)</f>
        <v>6219</v>
      </c>
      <c r="W175" s="250">
        <f>IFERROR(__xludf.DUMMYFUNCTION("""COMPUTED_VALUE"""),5599.0)</f>
        <v>5599</v>
      </c>
      <c r="X175" t="b">
        <f t="shared" ref="X175:Z175" si="326">ISBLANK(K175)</f>
        <v>1</v>
      </c>
      <c r="Y175" t="b">
        <f t="shared" si="326"/>
        <v>0</v>
      </c>
      <c r="Z175" t="b">
        <f t="shared" si="326"/>
        <v>0</v>
      </c>
      <c r="AA175">
        <f t="shared" ref="AA175:AC175" si="327">IF(X175=FALSE,1,0)</f>
        <v>0</v>
      </c>
      <c r="AB175">
        <f t="shared" si="327"/>
        <v>1</v>
      </c>
      <c r="AC175">
        <f t="shared" si="327"/>
        <v>1</v>
      </c>
      <c r="AD175">
        <f t="shared" si="6"/>
        <v>2</v>
      </c>
      <c r="AE175">
        <f t="shared" si="7"/>
        <v>1</v>
      </c>
      <c r="AF175">
        <f>if(iferror(vlookup($A175,'Description Database'!$E$2:$H$951,3,0),0)=TRUE,1,0)</f>
        <v>0</v>
      </c>
      <c r="AG175">
        <f>if(iferror(vlookup($A175,'Description Database'!$E$2:$H$951,4,0),0)=TRUE,1,0)</f>
        <v>0</v>
      </c>
    </row>
    <row r="176">
      <c r="A176" t="str">
        <f>IFERROR(__xludf.DUMMYFUNCTION("""COMPUTED_VALUE"""),"Realme 5 (3 GB/32 GB)")</f>
        <v>Realme 5 (3 GB/32 GB)</v>
      </c>
      <c r="B176" t="str">
        <f>IFERROR(__xludf.DUMMYFUNCTION("""COMPUTED_VALUE"""),"")</f>
        <v/>
      </c>
      <c r="C176" t="str">
        <f>IFERROR(__xludf.DUMMYFUNCTION("""COMPUTED_VALUE"""),"")</f>
        <v/>
      </c>
      <c r="D176" t="str">
        <f>IFERROR(__xludf.DUMMYFUNCTION("""COMPUTED_VALUE"""),"")</f>
        <v/>
      </c>
      <c r="E176" t="str">
        <f>IFERROR(__xludf.DUMMYFUNCTION("""COMPUTED_VALUE"""),"")</f>
        <v/>
      </c>
      <c r="F176" t="str">
        <f>IFERROR(__xludf.DUMMYFUNCTION("""COMPUTED_VALUE"""),"")</f>
        <v/>
      </c>
      <c r="G176">
        <f>IFERROR(__xludf.DUMMYFUNCTION("""COMPUTED_VALUE"""),1.0)</f>
        <v>1</v>
      </c>
      <c r="H176" t="str">
        <f>IFERROR(__xludf.DUMMYFUNCTION("""COMPUTED_VALUE"""),"")</f>
        <v/>
      </c>
      <c r="I176" t="str">
        <f>IFERROR(__xludf.DUMMYFUNCTION("""COMPUTED_VALUE"""),"")</f>
        <v/>
      </c>
      <c r="J176">
        <f>IFERROR(__xludf.DUMMYFUNCTION("""COMPUTED_VALUE"""),1.0)</f>
        <v>1</v>
      </c>
      <c r="L176" s="250" t="str">
        <f>IFERROR(__xludf.DUMMYFUNCTION("""COMPUTED_VALUE"""),"")</f>
        <v/>
      </c>
      <c r="M176" s="250" t="str">
        <f>IFERROR(__xludf.DUMMYFUNCTION("""COMPUTED_VALUE"""),"")</f>
        <v/>
      </c>
      <c r="N176" s="250" t="str">
        <f>IFERROR(__xludf.DUMMYFUNCTION("""COMPUTED_VALUE"""),"")</f>
        <v/>
      </c>
      <c r="O176" s="250" t="str">
        <f>IFERROR(__xludf.DUMMYFUNCTION("""COMPUTED_VALUE"""),"")</f>
        <v/>
      </c>
      <c r="P176" s="250" t="str">
        <f>IFERROR(__xludf.DUMMYFUNCTION("""COMPUTED_VALUE"""),"")</f>
        <v/>
      </c>
      <c r="Q176" s="250">
        <f>IFERROR(__xludf.DUMMYFUNCTION("""COMPUTED_VALUE"""),4059.0)</f>
        <v>4059</v>
      </c>
      <c r="R176" s="250" t="str">
        <f>IFERROR(__xludf.DUMMYFUNCTION("""COMPUTED_VALUE"""),"")</f>
        <v/>
      </c>
      <c r="U176" s="250">
        <f>IFERROR(__xludf.DUMMYFUNCTION("""COMPUTED_VALUE"""),8169.0)</f>
        <v>8169</v>
      </c>
      <c r="V176" s="250">
        <f>IFERROR(__xludf.DUMMYFUNCTION("""COMPUTED_VALUE"""),7769.0)</f>
        <v>7769</v>
      </c>
      <c r="W176" s="250">
        <f>IFERROR(__xludf.DUMMYFUNCTION("""COMPUTED_VALUE"""),6999.0)</f>
        <v>6999</v>
      </c>
      <c r="X176" t="b">
        <f t="shared" ref="X176:Z176" si="328">ISBLANK(K176)</f>
        <v>1</v>
      </c>
      <c r="Y176" t="b">
        <f t="shared" si="328"/>
        <v>0</v>
      </c>
      <c r="Z176" t="b">
        <f t="shared" si="328"/>
        <v>0</v>
      </c>
      <c r="AA176">
        <f t="shared" ref="AA176:AC176" si="329">IF(X176=FALSE,1,0)</f>
        <v>0</v>
      </c>
      <c r="AB176">
        <f t="shared" si="329"/>
        <v>1</v>
      </c>
      <c r="AC176">
        <f t="shared" si="329"/>
        <v>1</v>
      </c>
      <c r="AD176">
        <f t="shared" si="6"/>
        <v>2</v>
      </c>
      <c r="AE176">
        <f t="shared" si="7"/>
        <v>1</v>
      </c>
      <c r="AF176">
        <f>if(iferror(vlookup($A176,'Description Database'!$E$2:$H$951,3,0),0)=TRUE,1,0)</f>
        <v>0</v>
      </c>
      <c r="AG176">
        <f>if(iferror(vlookup($A176,'Description Database'!$E$2:$H$951,4,0),0)=TRUE,1,0)</f>
        <v>0</v>
      </c>
    </row>
    <row r="177">
      <c r="A177" t="str">
        <f>IFERROR(__xludf.DUMMYFUNCTION("""COMPUTED_VALUE"""),"Xiaomi REDMI NOTE 7 (4 GB/64 GB)")</f>
        <v>Xiaomi REDMI NOTE 7 (4 GB/64 GB)</v>
      </c>
      <c r="B177" t="str">
        <f>IFERROR(__xludf.DUMMYFUNCTION("""COMPUTED_VALUE"""),"")</f>
        <v/>
      </c>
      <c r="C177" t="str">
        <f>IFERROR(__xludf.DUMMYFUNCTION("""COMPUTED_VALUE"""),"")</f>
        <v/>
      </c>
      <c r="D177" t="str">
        <f>IFERROR(__xludf.DUMMYFUNCTION("""COMPUTED_VALUE"""),"")</f>
        <v/>
      </c>
      <c r="E177" t="str">
        <f>IFERROR(__xludf.DUMMYFUNCTION("""COMPUTED_VALUE"""),"")</f>
        <v/>
      </c>
      <c r="F177" t="str">
        <f>IFERROR(__xludf.DUMMYFUNCTION("""COMPUTED_VALUE"""),"")</f>
        <v/>
      </c>
      <c r="G177" t="str">
        <f>IFERROR(__xludf.DUMMYFUNCTION("""COMPUTED_VALUE"""),"")</f>
        <v/>
      </c>
      <c r="H177" t="str">
        <f>IFERROR(__xludf.DUMMYFUNCTION("""COMPUTED_VALUE"""),"")</f>
        <v/>
      </c>
      <c r="I177">
        <f>IFERROR(__xludf.DUMMYFUNCTION("""COMPUTED_VALUE"""),1.0)</f>
        <v>1</v>
      </c>
      <c r="J177">
        <f>IFERROR(__xludf.DUMMYFUNCTION("""COMPUTED_VALUE"""),1.0)</f>
        <v>1</v>
      </c>
      <c r="L177" s="250" t="str">
        <f>IFERROR(__xludf.DUMMYFUNCTION("""COMPUTED_VALUE"""),"")</f>
        <v/>
      </c>
      <c r="M177" s="250" t="str">
        <f>IFERROR(__xludf.DUMMYFUNCTION("""COMPUTED_VALUE"""),"")</f>
        <v/>
      </c>
      <c r="N177" s="250" t="str">
        <f>IFERROR(__xludf.DUMMYFUNCTION("""COMPUTED_VALUE"""),"")</f>
        <v/>
      </c>
      <c r="O177" s="250" t="str">
        <f>IFERROR(__xludf.DUMMYFUNCTION("""COMPUTED_VALUE"""),"")</f>
        <v/>
      </c>
      <c r="P177" s="250" t="str">
        <f>IFERROR(__xludf.DUMMYFUNCTION("""COMPUTED_VALUE"""),"")</f>
        <v/>
      </c>
      <c r="Q177" s="250" t="str">
        <f>IFERROR(__xludf.DUMMYFUNCTION("""COMPUTED_VALUE"""),"")</f>
        <v/>
      </c>
      <c r="R177" s="250" t="str">
        <f>IFERROR(__xludf.DUMMYFUNCTION("""COMPUTED_VALUE"""),"")</f>
        <v/>
      </c>
      <c r="U177" s="250">
        <f>IFERROR(__xludf.DUMMYFUNCTION("""COMPUTED_VALUE"""),8519.0)</f>
        <v>8519</v>
      </c>
      <c r="V177" s="250">
        <f>IFERROR(__xludf.DUMMYFUNCTION("""COMPUTED_VALUE"""),8109.0)</f>
        <v>8109</v>
      </c>
      <c r="W177" s="250">
        <f>IFERROR(__xludf.DUMMYFUNCTION("""COMPUTED_VALUE"""),7299.0)</f>
        <v>7299</v>
      </c>
      <c r="X177" t="b">
        <f t="shared" ref="X177:Z177" si="330">ISBLANK(K177)</f>
        <v>1</v>
      </c>
      <c r="Y177" t="b">
        <f t="shared" si="330"/>
        <v>0</v>
      </c>
      <c r="Z177" t="b">
        <f t="shared" si="330"/>
        <v>0</v>
      </c>
      <c r="AA177">
        <f t="shared" ref="AA177:AC177" si="331">IF(X177=FALSE,1,0)</f>
        <v>0</v>
      </c>
      <c r="AB177">
        <f t="shared" si="331"/>
        <v>1</v>
      </c>
      <c r="AC177">
        <f t="shared" si="331"/>
        <v>1</v>
      </c>
      <c r="AD177">
        <f t="shared" si="6"/>
        <v>2</v>
      </c>
      <c r="AE177">
        <f t="shared" si="7"/>
        <v>1</v>
      </c>
      <c r="AF177">
        <f>if(iferror(vlookup($A177,'Description Database'!$E$2:$H$951,3,0),0)=TRUE,1,0)</f>
        <v>0</v>
      </c>
      <c r="AG177">
        <f>if(iferror(vlookup($A177,'Description Database'!$E$2:$H$951,4,0),0)=TRUE,1,0)</f>
        <v>0</v>
      </c>
    </row>
    <row r="178">
      <c r="A178" t="str">
        <f>IFERROR(__xludf.DUMMYFUNCTION("""COMPUTED_VALUE"""),"Xiaomi Redmi Note 7S (3 GB/32 GB)")</f>
        <v>Xiaomi Redmi Note 7S (3 GB/32 GB)</v>
      </c>
      <c r="B178" t="str">
        <f>IFERROR(__xludf.DUMMYFUNCTION("""COMPUTED_VALUE"""),"")</f>
        <v/>
      </c>
      <c r="C178" t="str">
        <f>IFERROR(__xludf.DUMMYFUNCTION("""COMPUTED_VALUE"""),"")</f>
        <v/>
      </c>
      <c r="D178" t="str">
        <f>IFERROR(__xludf.DUMMYFUNCTION("""COMPUTED_VALUE"""),"")</f>
        <v/>
      </c>
      <c r="E178">
        <f>IFERROR(__xludf.DUMMYFUNCTION("""COMPUTED_VALUE"""),2.0)</f>
        <v>2</v>
      </c>
      <c r="F178">
        <f>IFERROR(__xludf.DUMMYFUNCTION("""COMPUTED_VALUE"""),1.0)</f>
        <v>1</v>
      </c>
      <c r="G178" t="str">
        <f>IFERROR(__xludf.DUMMYFUNCTION("""COMPUTED_VALUE"""),"")</f>
        <v/>
      </c>
      <c r="H178" t="str">
        <f>IFERROR(__xludf.DUMMYFUNCTION("""COMPUTED_VALUE"""),"")</f>
        <v/>
      </c>
      <c r="I178">
        <f>IFERROR(__xludf.DUMMYFUNCTION("""COMPUTED_VALUE"""),11.0)</f>
        <v>11</v>
      </c>
      <c r="J178">
        <f>IFERROR(__xludf.DUMMYFUNCTION("""COMPUTED_VALUE"""),14.0)</f>
        <v>14</v>
      </c>
      <c r="L178" s="250" t="str">
        <f>IFERROR(__xludf.DUMMYFUNCTION("""COMPUTED_VALUE"""),"")</f>
        <v/>
      </c>
      <c r="M178" s="250" t="str">
        <f>IFERROR(__xludf.DUMMYFUNCTION("""COMPUTED_VALUE"""),"")</f>
        <v/>
      </c>
      <c r="N178" s="250" t="str">
        <f>IFERROR(__xludf.DUMMYFUNCTION("""COMPUTED_VALUE"""),"")</f>
        <v/>
      </c>
      <c r="O178" s="250">
        <f>IFERROR(__xludf.DUMMYFUNCTION("""COMPUTED_VALUE"""),5454.0)</f>
        <v>5454</v>
      </c>
      <c r="P178" s="250">
        <f>IFERROR(__xludf.DUMMYFUNCTION("""COMPUTED_VALUE"""),4919.0)</f>
        <v>4919</v>
      </c>
      <c r="Q178" s="250" t="str">
        <f>IFERROR(__xludf.DUMMYFUNCTION("""COMPUTED_VALUE"""),"")</f>
        <v/>
      </c>
      <c r="R178" s="250" t="str">
        <f>IFERROR(__xludf.DUMMYFUNCTION("""COMPUTED_VALUE"""),"")</f>
        <v/>
      </c>
      <c r="U178" s="250">
        <f>IFERROR(__xludf.DUMMYFUNCTION("""COMPUTED_VALUE"""),7579.0)</f>
        <v>7579</v>
      </c>
      <c r="V178" s="250">
        <f>IFERROR(__xludf.DUMMYFUNCTION("""COMPUTED_VALUE"""),7219.0)</f>
        <v>7219</v>
      </c>
      <c r="W178" s="250">
        <f>IFERROR(__xludf.DUMMYFUNCTION("""COMPUTED_VALUE"""),6589.0)</f>
        <v>6589</v>
      </c>
      <c r="X178" t="b">
        <f t="shared" ref="X178:Z178" si="332">ISBLANK(K178)</f>
        <v>1</v>
      </c>
      <c r="Y178" t="b">
        <f t="shared" si="332"/>
        <v>0</v>
      </c>
      <c r="Z178" t="b">
        <f t="shared" si="332"/>
        <v>0</v>
      </c>
      <c r="AA178">
        <f t="shared" ref="AA178:AC178" si="333">IF(X178=FALSE,1,0)</f>
        <v>0</v>
      </c>
      <c r="AB178">
        <f t="shared" si="333"/>
        <v>1</v>
      </c>
      <c r="AC178">
        <f t="shared" si="333"/>
        <v>1</v>
      </c>
      <c r="AD178">
        <f t="shared" si="6"/>
        <v>2</v>
      </c>
      <c r="AE178">
        <f t="shared" si="7"/>
        <v>1</v>
      </c>
      <c r="AF178">
        <f>if(iferror(vlookup($A178,'Description Database'!$E$2:$H$951,3,0),0)=TRUE,1,0)</f>
        <v>0</v>
      </c>
      <c r="AG178">
        <f>if(iferror(vlookup($A178,'Description Database'!$E$2:$H$951,4,0),0)=TRUE,1,0)</f>
        <v>1</v>
      </c>
    </row>
    <row r="179">
      <c r="A179" t="str">
        <f>IFERROR(__xludf.DUMMYFUNCTION("""COMPUTED_VALUE"""),"Xiaomi REDMI 6 PRO (4 GB/64 GB)")</f>
        <v>Xiaomi REDMI 6 PRO (4 GB/64 GB)</v>
      </c>
      <c r="B179" t="str">
        <f>IFERROR(__xludf.DUMMYFUNCTION("""COMPUTED_VALUE"""),"")</f>
        <v/>
      </c>
      <c r="C179">
        <f>IFERROR(__xludf.DUMMYFUNCTION("""COMPUTED_VALUE"""),1.0)</f>
        <v>1</v>
      </c>
      <c r="D179" t="str">
        <f>IFERROR(__xludf.DUMMYFUNCTION("""COMPUTED_VALUE"""),"")</f>
        <v/>
      </c>
      <c r="E179" t="str">
        <f>IFERROR(__xludf.DUMMYFUNCTION("""COMPUTED_VALUE"""),"")</f>
        <v/>
      </c>
      <c r="F179" t="str">
        <f>IFERROR(__xludf.DUMMYFUNCTION("""COMPUTED_VALUE"""),"")</f>
        <v/>
      </c>
      <c r="G179" t="str">
        <f>IFERROR(__xludf.DUMMYFUNCTION("""COMPUTED_VALUE"""),"")</f>
        <v/>
      </c>
      <c r="H179" t="str">
        <f>IFERROR(__xludf.DUMMYFUNCTION("""COMPUTED_VALUE"""),"")</f>
        <v/>
      </c>
      <c r="I179">
        <f>IFERROR(__xludf.DUMMYFUNCTION("""COMPUTED_VALUE"""),9.0)</f>
        <v>9</v>
      </c>
      <c r="J179">
        <f>IFERROR(__xludf.DUMMYFUNCTION("""COMPUTED_VALUE"""),10.0)</f>
        <v>10</v>
      </c>
      <c r="L179" s="250" t="str">
        <f>IFERROR(__xludf.DUMMYFUNCTION("""COMPUTED_VALUE"""),"")</f>
        <v/>
      </c>
      <c r="M179" s="250">
        <f>IFERROR(__xludf.DUMMYFUNCTION("""COMPUTED_VALUE"""),5949.0)</f>
        <v>5949</v>
      </c>
      <c r="N179" s="250" t="str">
        <f>IFERROR(__xludf.DUMMYFUNCTION("""COMPUTED_VALUE"""),"")</f>
        <v/>
      </c>
      <c r="O179" s="250" t="str">
        <f>IFERROR(__xludf.DUMMYFUNCTION("""COMPUTED_VALUE"""),"")</f>
        <v/>
      </c>
      <c r="P179" s="250" t="str">
        <f>IFERROR(__xludf.DUMMYFUNCTION("""COMPUTED_VALUE"""),"")</f>
        <v/>
      </c>
      <c r="Q179" s="250" t="str">
        <f>IFERROR(__xludf.DUMMYFUNCTION("""COMPUTED_VALUE"""),"")</f>
        <v/>
      </c>
      <c r="R179" s="250" t="str">
        <f>IFERROR(__xludf.DUMMYFUNCTION("""COMPUTED_VALUE"""),"")</f>
        <v/>
      </c>
      <c r="U179" s="250">
        <f>IFERROR(__xludf.DUMMYFUNCTION("""COMPUTED_VALUE"""),6879.0)</f>
        <v>6879</v>
      </c>
      <c r="V179" s="250">
        <f>IFERROR(__xludf.DUMMYFUNCTION("""COMPUTED_VALUE"""),6549.0)</f>
        <v>6549</v>
      </c>
      <c r="W179" s="250">
        <f>IFERROR(__xludf.DUMMYFUNCTION("""COMPUTED_VALUE"""),5989.0)</f>
        <v>5989</v>
      </c>
      <c r="X179" t="b">
        <f t="shared" ref="X179:Z179" si="334">ISBLANK(K179)</f>
        <v>1</v>
      </c>
      <c r="Y179" t="b">
        <f t="shared" si="334"/>
        <v>0</v>
      </c>
      <c r="Z179" t="b">
        <f t="shared" si="334"/>
        <v>0</v>
      </c>
      <c r="AA179">
        <f t="shared" ref="AA179:AC179" si="335">IF(X179=FALSE,1,0)</f>
        <v>0</v>
      </c>
      <c r="AB179">
        <f t="shared" si="335"/>
        <v>1</v>
      </c>
      <c r="AC179">
        <f t="shared" si="335"/>
        <v>1</v>
      </c>
      <c r="AD179">
        <f t="shared" si="6"/>
        <v>2</v>
      </c>
      <c r="AE179">
        <f t="shared" si="7"/>
        <v>1</v>
      </c>
      <c r="AF179">
        <f>if(iferror(vlookup($A179,'Description Database'!$E$2:$H$951,3,0),0)=TRUE,1,0)</f>
        <v>0</v>
      </c>
      <c r="AG179">
        <f>if(iferror(vlookup($A179,'Description Database'!$E$2:$H$951,4,0),0)=TRUE,1,0)</f>
        <v>0</v>
      </c>
    </row>
    <row r="180">
      <c r="A180" t="str">
        <f>IFERROR(__xludf.DUMMYFUNCTION("""COMPUTED_VALUE"""),"Oppo A5s (3 GB/32 GB)")</f>
        <v>Oppo A5s (3 GB/32 GB)</v>
      </c>
      <c r="B180" t="str">
        <f>IFERROR(__xludf.DUMMYFUNCTION("""COMPUTED_VALUE"""),"")</f>
        <v/>
      </c>
      <c r="C180" t="str">
        <f>IFERROR(__xludf.DUMMYFUNCTION("""COMPUTED_VALUE"""),"")</f>
        <v/>
      </c>
      <c r="D180" t="str">
        <f>IFERROR(__xludf.DUMMYFUNCTION("""COMPUTED_VALUE"""),"")</f>
        <v/>
      </c>
      <c r="E180" t="str">
        <f>IFERROR(__xludf.DUMMYFUNCTION("""COMPUTED_VALUE"""),"")</f>
        <v/>
      </c>
      <c r="F180" t="str">
        <f>IFERROR(__xludf.DUMMYFUNCTION("""COMPUTED_VALUE"""),"")</f>
        <v/>
      </c>
      <c r="G180" t="str">
        <f>IFERROR(__xludf.DUMMYFUNCTION("""COMPUTED_VALUE"""),"")</f>
        <v/>
      </c>
      <c r="H180" t="str">
        <f>IFERROR(__xludf.DUMMYFUNCTION("""COMPUTED_VALUE"""),"")</f>
        <v/>
      </c>
      <c r="I180">
        <f>IFERROR(__xludf.DUMMYFUNCTION("""COMPUTED_VALUE"""),7.0)</f>
        <v>7</v>
      </c>
      <c r="J180">
        <f>IFERROR(__xludf.DUMMYFUNCTION("""COMPUTED_VALUE"""),7.0)</f>
        <v>7</v>
      </c>
      <c r="L180" s="250" t="str">
        <f>IFERROR(__xludf.DUMMYFUNCTION("""COMPUTED_VALUE"""),"")</f>
        <v/>
      </c>
      <c r="M180" s="250" t="str">
        <f>IFERROR(__xludf.DUMMYFUNCTION("""COMPUTED_VALUE"""),"")</f>
        <v/>
      </c>
      <c r="N180" s="250" t="str">
        <f>IFERROR(__xludf.DUMMYFUNCTION("""COMPUTED_VALUE"""),"")</f>
        <v/>
      </c>
      <c r="O180" s="250" t="str">
        <f>IFERROR(__xludf.DUMMYFUNCTION("""COMPUTED_VALUE"""),"")</f>
        <v/>
      </c>
      <c r="P180" s="250" t="str">
        <f>IFERROR(__xludf.DUMMYFUNCTION("""COMPUTED_VALUE"""),"")</f>
        <v/>
      </c>
      <c r="Q180" s="250" t="str">
        <f>IFERROR(__xludf.DUMMYFUNCTION("""COMPUTED_VALUE"""),"")</f>
        <v/>
      </c>
      <c r="R180" s="250" t="str">
        <f>IFERROR(__xludf.DUMMYFUNCTION("""COMPUTED_VALUE"""),"")</f>
        <v/>
      </c>
      <c r="U180" s="250">
        <f>IFERROR(__xludf.DUMMYFUNCTION("""COMPUTED_VALUE"""),7349.0)</f>
        <v>7349</v>
      </c>
      <c r="V180" s="250">
        <f>IFERROR(__xludf.DUMMYFUNCTION("""COMPUTED_VALUE"""),6999.0)</f>
        <v>6999</v>
      </c>
      <c r="W180" s="250">
        <f>IFERROR(__xludf.DUMMYFUNCTION("""COMPUTED_VALUE"""),6379.0)</f>
        <v>6379</v>
      </c>
      <c r="X180" t="b">
        <f t="shared" ref="X180:Z180" si="336">ISBLANK(K180)</f>
        <v>1</v>
      </c>
      <c r="Y180" t="b">
        <f t="shared" si="336"/>
        <v>0</v>
      </c>
      <c r="Z180" t="b">
        <f t="shared" si="336"/>
        <v>0</v>
      </c>
      <c r="AA180">
        <f t="shared" ref="AA180:AC180" si="337">IF(X180=FALSE,1,0)</f>
        <v>0</v>
      </c>
      <c r="AB180">
        <f t="shared" si="337"/>
        <v>1</v>
      </c>
      <c r="AC180">
        <f t="shared" si="337"/>
        <v>1</v>
      </c>
      <c r="AD180">
        <f t="shared" si="6"/>
        <v>2</v>
      </c>
      <c r="AE180">
        <f t="shared" si="7"/>
        <v>1</v>
      </c>
      <c r="AF180">
        <f>if(iferror(vlookup($A180,'Description Database'!$E$2:$H$951,3,0),0)=TRUE,1,0)</f>
        <v>0</v>
      </c>
      <c r="AG180">
        <f>if(iferror(vlookup($A180,'Description Database'!$E$2:$H$951,4,0),0)=TRUE,1,0)</f>
        <v>0</v>
      </c>
    </row>
    <row r="181">
      <c r="A181" t="str">
        <f>IFERROR(__xludf.DUMMYFUNCTION("""COMPUTED_VALUE"""),"Samsung Galaxy J2 (1 GB/8 GB)")</f>
        <v>Samsung Galaxy J2 (1 GB/8 GB)</v>
      </c>
      <c r="B181" t="str">
        <f>IFERROR(__xludf.DUMMYFUNCTION("""COMPUTED_VALUE"""),"")</f>
        <v/>
      </c>
      <c r="C181" t="str">
        <f>IFERROR(__xludf.DUMMYFUNCTION("""COMPUTED_VALUE"""),"")</f>
        <v/>
      </c>
      <c r="D181" t="str">
        <f>IFERROR(__xludf.DUMMYFUNCTION("""COMPUTED_VALUE"""),"")</f>
        <v/>
      </c>
      <c r="E181" t="str">
        <f>IFERROR(__xludf.DUMMYFUNCTION("""COMPUTED_VALUE"""),"")</f>
        <v/>
      </c>
      <c r="F181">
        <f>IFERROR(__xludf.DUMMYFUNCTION("""COMPUTED_VALUE"""),2.0)</f>
        <v>2</v>
      </c>
      <c r="G181">
        <f>IFERROR(__xludf.DUMMYFUNCTION("""COMPUTED_VALUE"""),1.0)</f>
        <v>1</v>
      </c>
      <c r="H181" t="str">
        <f>IFERROR(__xludf.DUMMYFUNCTION("""COMPUTED_VALUE"""),"")</f>
        <v/>
      </c>
      <c r="I181">
        <f>IFERROR(__xludf.DUMMYFUNCTION("""COMPUTED_VALUE"""),120.0)</f>
        <v>120</v>
      </c>
      <c r="J181">
        <f>IFERROR(__xludf.DUMMYFUNCTION("""COMPUTED_VALUE"""),123.0)</f>
        <v>123</v>
      </c>
      <c r="L181" s="250" t="str">
        <f>IFERROR(__xludf.DUMMYFUNCTION("""COMPUTED_VALUE"""),"")</f>
        <v/>
      </c>
      <c r="M181" s="250" t="str">
        <f>IFERROR(__xludf.DUMMYFUNCTION("""COMPUTED_VALUE"""),"")</f>
        <v/>
      </c>
      <c r="N181" s="250" t="str">
        <f>IFERROR(__xludf.DUMMYFUNCTION("""COMPUTED_VALUE"""),"")</f>
        <v/>
      </c>
      <c r="O181" s="250" t="str">
        <f>IFERROR(__xludf.DUMMYFUNCTION("""COMPUTED_VALUE"""),"")</f>
        <v/>
      </c>
      <c r="P181" s="250">
        <f>IFERROR(__xludf.DUMMYFUNCTION("""COMPUTED_VALUE"""),1809.0)</f>
        <v>1809</v>
      </c>
      <c r="Q181" s="250">
        <f>IFERROR(__xludf.DUMMYFUNCTION("""COMPUTED_VALUE"""),1169.0)</f>
        <v>1169</v>
      </c>
      <c r="R181" s="250" t="str">
        <f>IFERROR(__xludf.DUMMYFUNCTION("""COMPUTED_VALUE"""),"")</f>
        <v/>
      </c>
      <c r="U181" s="250">
        <f>IFERROR(__xludf.DUMMYFUNCTION("""COMPUTED_VALUE"""),2799.0)</f>
        <v>2799</v>
      </c>
      <c r="V181" s="250">
        <f>IFERROR(__xludf.DUMMYFUNCTION("""COMPUTED_VALUE"""),2669.0)</f>
        <v>2669</v>
      </c>
      <c r="W181" s="250">
        <f>IFERROR(__xludf.DUMMYFUNCTION("""COMPUTED_VALUE"""),2429.0)</f>
        <v>2429</v>
      </c>
      <c r="X181" t="b">
        <f t="shared" ref="X181:Z181" si="338">ISBLANK(K181)</f>
        <v>1</v>
      </c>
      <c r="Y181" t="b">
        <f t="shared" si="338"/>
        <v>0</v>
      </c>
      <c r="Z181" t="b">
        <f t="shared" si="338"/>
        <v>0</v>
      </c>
      <c r="AA181">
        <f t="shared" ref="AA181:AC181" si="339">IF(X181=FALSE,1,0)</f>
        <v>0</v>
      </c>
      <c r="AB181">
        <f t="shared" si="339"/>
        <v>1</v>
      </c>
      <c r="AC181">
        <f t="shared" si="339"/>
        <v>1</v>
      </c>
      <c r="AD181">
        <f t="shared" si="6"/>
        <v>2</v>
      </c>
      <c r="AE181">
        <f t="shared" si="7"/>
        <v>1</v>
      </c>
      <c r="AF181">
        <f>if(iferror(vlookup($A181,'Description Database'!$E$2:$H$951,3,0),0)=TRUE,1,0)</f>
        <v>0</v>
      </c>
      <c r="AG181">
        <f>if(iferror(vlookup($A181,'Description Database'!$E$2:$H$951,4,0),0)=TRUE,1,0)</f>
        <v>0</v>
      </c>
    </row>
    <row r="182">
      <c r="A182" t="str">
        <f>IFERROR(__xludf.DUMMYFUNCTION("""COMPUTED_VALUE"""),"Samsung Galaxy S6 Edge Plus (4 GB/32 GB)")</f>
        <v>Samsung Galaxy S6 Edge Plus (4 GB/32 GB)</v>
      </c>
      <c r="B182" t="str">
        <f>IFERROR(__xludf.DUMMYFUNCTION("""COMPUTED_VALUE"""),"")</f>
        <v/>
      </c>
      <c r="C182" t="str">
        <f>IFERROR(__xludf.DUMMYFUNCTION("""COMPUTED_VALUE"""),"")</f>
        <v/>
      </c>
      <c r="D182" t="str">
        <f>IFERROR(__xludf.DUMMYFUNCTION("""COMPUTED_VALUE"""),"")</f>
        <v/>
      </c>
      <c r="E182" t="str">
        <f>IFERROR(__xludf.DUMMYFUNCTION("""COMPUTED_VALUE"""),"")</f>
        <v/>
      </c>
      <c r="F182">
        <f>IFERROR(__xludf.DUMMYFUNCTION("""COMPUTED_VALUE"""),1.0)</f>
        <v>1</v>
      </c>
      <c r="G182">
        <f>IFERROR(__xludf.DUMMYFUNCTION("""COMPUTED_VALUE"""),2.0)</f>
        <v>2</v>
      </c>
      <c r="H182" t="str">
        <f>IFERROR(__xludf.DUMMYFUNCTION("""COMPUTED_VALUE"""),"")</f>
        <v/>
      </c>
      <c r="I182">
        <f>IFERROR(__xludf.DUMMYFUNCTION("""COMPUTED_VALUE"""),2.0)</f>
        <v>2</v>
      </c>
      <c r="J182">
        <f>IFERROR(__xludf.DUMMYFUNCTION("""COMPUTED_VALUE"""),5.0)</f>
        <v>5</v>
      </c>
      <c r="L182" s="250" t="str">
        <f>IFERROR(__xludf.DUMMYFUNCTION("""COMPUTED_VALUE"""),"")</f>
        <v/>
      </c>
      <c r="M182" s="250" t="str">
        <f>IFERROR(__xludf.DUMMYFUNCTION("""COMPUTED_VALUE"""),"")</f>
        <v/>
      </c>
      <c r="N182" s="250" t="str">
        <f>IFERROR(__xludf.DUMMYFUNCTION("""COMPUTED_VALUE"""),"")</f>
        <v/>
      </c>
      <c r="O182" s="250" t="str">
        <f>IFERROR(__xludf.DUMMYFUNCTION("""COMPUTED_VALUE"""),"")</f>
        <v/>
      </c>
      <c r="P182" s="250">
        <f>IFERROR(__xludf.DUMMYFUNCTION("""COMPUTED_VALUE"""),4659.0)</f>
        <v>4659</v>
      </c>
      <c r="Q182" s="250">
        <f>IFERROR(__xludf.DUMMYFUNCTION("""COMPUTED_VALUE"""),3359.0)</f>
        <v>3359</v>
      </c>
      <c r="R182" s="250" t="str">
        <f>IFERROR(__xludf.DUMMYFUNCTION("""COMPUTED_VALUE"""),"")</f>
        <v/>
      </c>
      <c r="U182" s="250">
        <f>IFERROR(__xludf.DUMMYFUNCTION("""COMPUTED_VALUE"""),7179.0)</f>
        <v>7179</v>
      </c>
      <c r="V182" s="250">
        <f>IFERROR(__xludf.DUMMYFUNCTION("""COMPUTED_VALUE"""),6829.0)</f>
        <v>6829</v>
      </c>
      <c r="W182" s="250">
        <f>IFERROR(__xludf.DUMMYFUNCTION("""COMPUTED_VALUE"""),6149.0)</f>
        <v>6149</v>
      </c>
      <c r="X182" t="b">
        <f t="shared" ref="X182:Z182" si="340">ISBLANK(K182)</f>
        <v>1</v>
      </c>
      <c r="Y182" t="b">
        <f t="shared" si="340"/>
        <v>0</v>
      </c>
      <c r="Z182" t="b">
        <f t="shared" si="340"/>
        <v>0</v>
      </c>
      <c r="AA182">
        <f t="shared" ref="AA182:AC182" si="341">IF(X182=FALSE,1,0)</f>
        <v>0</v>
      </c>
      <c r="AB182">
        <f t="shared" si="341"/>
        <v>1</v>
      </c>
      <c r="AC182">
        <f t="shared" si="341"/>
        <v>1</v>
      </c>
      <c r="AD182">
        <f t="shared" si="6"/>
        <v>2</v>
      </c>
      <c r="AE182">
        <f t="shared" si="7"/>
        <v>1</v>
      </c>
      <c r="AF182">
        <f>if(iferror(vlookup($A182,'Description Database'!$E$2:$H$951,3,0),0)=TRUE,1,0)</f>
        <v>0</v>
      </c>
      <c r="AG182">
        <f>if(iferror(vlookup($A182,'Description Database'!$E$2:$H$951,4,0),0)=TRUE,1,0)</f>
        <v>0</v>
      </c>
    </row>
    <row r="183">
      <c r="A183" t="str">
        <f>IFERROR(__xludf.DUMMYFUNCTION("""COMPUTED_VALUE"""),"Motorola MOTO G4 PLUS (3 GB/32 GB)")</f>
        <v>Motorola MOTO G4 PLUS (3 GB/32 GB)</v>
      </c>
      <c r="B183" t="str">
        <f>IFERROR(__xludf.DUMMYFUNCTION("""COMPUTED_VALUE"""),"")</f>
        <v/>
      </c>
      <c r="C183" t="str">
        <f>IFERROR(__xludf.DUMMYFUNCTION("""COMPUTED_VALUE"""),"")</f>
        <v/>
      </c>
      <c r="D183" t="str">
        <f>IFERROR(__xludf.DUMMYFUNCTION("""COMPUTED_VALUE"""),"")</f>
        <v/>
      </c>
      <c r="E183" t="str">
        <f>IFERROR(__xludf.DUMMYFUNCTION("""COMPUTED_VALUE"""),"")</f>
        <v/>
      </c>
      <c r="F183">
        <f>IFERROR(__xludf.DUMMYFUNCTION("""COMPUTED_VALUE"""),2.0)</f>
        <v>2</v>
      </c>
      <c r="G183" t="str">
        <f>IFERROR(__xludf.DUMMYFUNCTION("""COMPUTED_VALUE"""),"")</f>
        <v/>
      </c>
      <c r="H183">
        <f>IFERROR(__xludf.DUMMYFUNCTION("""COMPUTED_VALUE"""),1.0)</f>
        <v>1</v>
      </c>
      <c r="I183">
        <f>IFERROR(__xludf.DUMMYFUNCTION("""COMPUTED_VALUE"""),120.0)</f>
        <v>120</v>
      </c>
      <c r="J183">
        <f>IFERROR(__xludf.DUMMYFUNCTION("""COMPUTED_VALUE"""),123.0)</f>
        <v>123</v>
      </c>
      <c r="L183" s="250" t="str">
        <f>IFERROR(__xludf.DUMMYFUNCTION("""COMPUTED_VALUE"""),"")</f>
        <v/>
      </c>
      <c r="M183" s="250" t="str">
        <f>IFERROR(__xludf.DUMMYFUNCTION("""COMPUTED_VALUE"""),"")</f>
        <v/>
      </c>
      <c r="N183" s="250" t="str">
        <f>IFERROR(__xludf.DUMMYFUNCTION("""COMPUTED_VALUE"""),"")</f>
        <v/>
      </c>
      <c r="O183" s="250" t="str">
        <f>IFERROR(__xludf.DUMMYFUNCTION("""COMPUTED_VALUE"""),"")</f>
        <v/>
      </c>
      <c r="P183" s="250">
        <f>IFERROR(__xludf.DUMMYFUNCTION("""COMPUTED_VALUE"""),1819.0)</f>
        <v>1819</v>
      </c>
      <c r="Q183" s="250" t="str">
        <f>IFERROR(__xludf.DUMMYFUNCTION("""COMPUTED_VALUE"""),"")</f>
        <v/>
      </c>
      <c r="R183" s="250">
        <f>IFERROR(__xludf.DUMMYFUNCTION("""COMPUTED_VALUE"""),959.0)</f>
        <v>959</v>
      </c>
      <c r="U183" s="250">
        <f>IFERROR(__xludf.DUMMYFUNCTION("""COMPUTED_VALUE"""),2799.0)</f>
        <v>2799</v>
      </c>
      <c r="V183" s="250">
        <f>IFERROR(__xludf.DUMMYFUNCTION("""COMPUTED_VALUE"""),2669.0)</f>
        <v>2669</v>
      </c>
      <c r="W183" s="250">
        <f>IFERROR(__xludf.DUMMYFUNCTION("""COMPUTED_VALUE"""),2399.0)</f>
        <v>2399</v>
      </c>
      <c r="X183" t="b">
        <f t="shared" ref="X183:Z183" si="342">ISBLANK(K183)</f>
        <v>1</v>
      </c>
      <c r="Y183" t="b">
        <f t="shared" si="342"/>
        <v>0</v>
      </c>
      <c r="Z183" t="b">
        <f t="shared" si="342"/>
        <v>0</v>
      </c>
      <c r="AA183">
        <f t="shared" ref="AA183:AC183" si="343">IF(X183=FALSE,1,0)</f>
        <v>0</v>
      </c>
      <c r="AB183">
        <f t="shared" si="343"/>
        <v>1</v>
      </c>
      <c r="AC183">
        <f t="shared" si="343"/>
        <v>1</v>
      </c>
      <c r="AD183">
        <f t="shared" si="6"/>
        <v>2</v>
      </c>
      <c r="AE183">
        <f t="shared" si="7"/>
        <v>1</v>
      </c>
      <c r="AF183">
        <f>if(iferror(vlookup($A183,'Description Database'!$E$2:$H$951,3,0),0)=TRUE,1,0)</f>
        <v>0</v>
      </c>
      <c r="AG183">
        <f>if(iferror(vlookup($A183,'Description Database'!$E$2:$H$951,4,0),0)=TRUE,1,0)</f>
        <v>0</v>
      </c>
    </row>
    <row r="184">
      <c r="A184" t="str">
        <f>IFERROR(__xludf.DUMMYFUNCTION("""COMPUTED_VALUE"""),"Samsung Galaxy J7 Max (4 GB/32 GB)")</f>
        <v>Samsung Galaxy J7 Max (4 GB/32 GB)</v>
      </c>
      <c r="B184" t="str">
        <f>IFERROR(__xludf.DUMMYFUNCTION("""COMPUTED_VALUE"""),"")</f>
        <v/>
      </c>
      <c r="C184" t="str">
        <f>IFERROR(__xludf.DUMMYFUNCTION("""COMPUTED_VALUE"""),"")</f>
        <v/>
      </c>
      <c r="D184" t="str">
        <f>IFERROR(__xludf.DUMMYFUNCTION("""COMPUTED_VALUE"""),"")</f>
        <v/>
      </c>
      <c r="E184" t="str">
        <f>IFERROR(__xludf.DUMMYFUNCTION("""COMPUTED_VALUE"""),"")</f>
        <v/>
      </c>
      <c r="F184">
        <f>IFERROR(__xludf.DUMMYFUNCTION("""COMPUTED_VALUE"""),2.0)</f>
        <v>2</v>
      </c>
      <c r="G184" t="str">
        <f>IFERROR(__xludf.DUMMYFUNCTION("""COMPUTED_VALUE"""),"")</f>
        <v/>
      </c>
      <c r="H184" t="str">
        <f>IFERROR(__xludf.DUMMYFUNCTION("""COMPUTED_VALUE"""),"")</f>
        <v/>
      </c>
      <c r="I184">
        <f>IFERROR(__xludf.DUMMYFUNCTION("""COMPUTED_VALUE"""),13.0)</f>
        <v>13</v>
      </c>
      <c r="J184">
        <f>IFERROR(__xludf.DUMMYFUNCTION("""COMPUTED_VALUE"""),15.0)</f>
        <v>15</v>
      </c>
      <c r="L184" s="250" t="str">
        <f>IFERROR(__xludf.DUMMYFUNCTION("""COMPUTED_VALUE"""),"")</f>
        <v/>
      </c>
      <c r="M184" s="250" t="str">
        <f>IFERROR(__xludf.DUMMYFUNCTION("""COMPUTED_VALUE"""),"")</f>
        <v/>
      </c>
      <c r="N184" s="250" t="str">
        <f>IFERROR(__xludf.DUMMYFUNCTION("""COMPUTED_VALUE"""),"")</f>
        <v/>
      </c>
      <c r="O184" s="250" t="str">
        <f>IFERROR(__xludf.DUMMYFUNCTION("""COMPUTED_VALUE"""),"")</f>
        <v/>
      </c>
      <c r="P184" s="250">
        <f>IFERROR(__xludf.DUMMYFUNCTION("""COMPUTED_VALUE"""),3509.0)</f>
        <v>3509</v>
      </c>
      <c r="Q184" s="250" t="str">
        <f>IFERROR(__xludf.DUMMYFUNCTION("""COMPUTED_VALUE"""),"")</f>
        <v/>
      </c>
      <c r="R184" s="250" t="str">
        <f>IFERROR(__xludf.DUMMYFUNCTION("""COMPUTED_VALUE"""),"")</f>
        <v/>
      </c>
      <c r="U184" s="250">
        <f>IFERROR(__xludf.DUMMYFUNCTION("""COMPUTED_VALUE"""),5429.0)</f>
        <v>5429</v>
      </c>
      <c r="V184" s="250">
        <f>IFERROR(__xludf.DUMMYFUNCTION("""COMPUTED_VALUE"""),5159.0)</f>
        <v>5159</v>
      </c>
      <c r="W184" s="250">
        <f>IFERROR(__xludf.DUMMYFUNCTION("""COMPUTED_VALUE"""),4659.0)</f>
        <v>4659</v>
      </c>
      <c r="X184" t="b">
        <f t="shared" ref="X184:Z184" si="344">ISBLANK(K184)</f>
        <v>1</v>
      </c>
      <c r="Y184" t="b">
        <f t="shared" si="344"/>
        <v>0</v>
      </c>
      <c r="Z184" t="b">
        <f t="shared" si="344"/>
        <v>0</v>
      </c>
      <c r="AA184">
        <f t="shared" ref="AA184:AC184" si="345">IF(X184=FALSE,1,0)</f>
        <v>0</v>
      </c>
      <c r="AB184">
        <f t="shared" si="345"/>
        <v>1</v>
      </c>
      <c r="AC184">
        <f t="shared" si="345"/>
        <v>1</v>
      </c>
      <c r="AD184">
        <f t="shared" si="6"/>
        <v>2</v>
      </c>
      <c r="AE184">
        <f t="shared" si="7"/>
        <v>1</v>
      </c>
      <c r="AF184">
        <f>if(iferror(vlookup($A184,'Description Database'!$E$2:$H$951,3,0),0)=TRUE,1,0)</f>
        <v>0</v>
      </c>
      <c r="AG184">
        <f>if(iferror(vlookup($A184,'Description Database'!$E$2:$H$951,4,0),0)=TRUE,1,0)</f>
        <v>0</v>
      </c>
    </row>
    <row r="185">
      <c r="A185" t="str">
        <f>IFERROR(__xludf.DUMMYFUNCTION("""COMPUTED_VALUE"""),"Samsung Galaxy J7 Prime (3 GB/16 GB)")</f>
        <v>Samsung Galaxy J7 Prime (3 GB/16 GB)</v>
      </c>
      <c r="B185" t="str">
        <f>IFERROR(__xludf.DUMMYFUNCTION("""COMPUTED_VALUE"""),"")</f>
        <v/>
      </c>
      <c r="C185" t="str">
        <f>IFERROR(__xludf.DUMMYFUNCTION("""COMPUTED_VALUE"""),"")</f>
        <v/>
      </c>
      <c r="D185" t="str">
        <f>IFERROR(__xludf.DUMMYFUNCTION("""COMPUTED_VALUE"""),"")</f>
        <v/>
      </c>
      <c r="E185" t="str">
        <f>IFERROR(__xludf.DUMMYFUNCTION("""COMPUTED_VALUE"""),"")</f>
        <v/>
      </c>
      <c r="F185">
        <f>IFERROR(__xludf.DUMMYFUNCTION("""COMPUTED_VALUE"""),1.0)</f>
        <v>1</v>
      </c>
      <c r="G185">
        <f>IFERROR(__xludf.DUMMYFUNCTION("""COMPUTED_VALUE"""),6.0)</f>
        <v>6</v>
      </c>
      <c r="H185" t="str">
        <f>IFERROR(__xludf.DUMMYFUNCTION("""COMPUTED_VALUE"""),"")</f>
        <v/>
      </c>
      <c r="I185">
        <f>IFERROR(__xludf.DUMMYFUNCTION("""COMPUTED_VALUE"""),50.0)</f>
        <v>50</v>
      </c>
      <c r="J185">
        <f>IFERROR(__xludf.DUMMYFUNCTION("""COMPUTED_VALUE"""),57.0)</f>
        <v>57</v>
      </c>
      <c r="L185" s="250" t="str">
        <f>IFERROR(__xludf.DUMMYFUNCTION("""COMPUTED_VALUE"""),"")</f>
        <v/>
      </c>
      <c r="M185" s="250" t="str">
        <f>IFERROR(__xludf.DUMMYFUNCTION("""COMPUTED_VALUE"""),"")</f>
        <v/>
      </c>
      <c r="N185" s="250" t="str">
        <f>IFERROR(__xludf.DUMMYFUNCTION("""COMPUTED_VALUE"""),"")</f>
        <v/>
      </c>
      <c r="O185" s="250" t="str">
        <f>IFERROR(__xludf.DUMMYFUNCTION("""COMPUTED_VALUE"""),"")</f>
        <v/>
      </c>
      <c r="P185" s="250">
        <f>IFERROR(__xludf.DUMMYFUNCTION("""COMPUTED_VALUE"""),3049.0)</f>
        <v>3049</v>
      </c>
      <c r="Q185" s="250">
        <f>IFERROR(__xludf.DUMMYFUNCTION("""COMPUTED_VALUE"""),2159.0)</f>
        <v>2159</v>
      </c>
      <c r="R185" s="250" t="str">
        <f>IFERROR(__xludf.DUMMYFUNCTION("""COMPUTED_VALUE"""),"")</f>
        <v/>
      </c>
      <c r="U185" s="250">
        <f>IFERROR(__xludf.DUMMYFUNCTION("""COMPUTED_VALUE"""),4669.0)</f>
        <v>4669</v>
      </c>
      <c r="V185" s="250">
        <f>IFERROR(__xludf.DUMMYFUNCTION("""COMPUTED_VALUE"""),4439.0)</f>
        <v>4439</v>
      </c>
      <c r="W185" s="250">
        <f>IFERROR(__xludf.DUMMYFUNCTION("""COMPUTED_VALUE"""),4009.0)</f>
        <v>4009</v>
      </c>
      <c r="X185" t="b">
        <f t="shared" ref="X185:Z185" si="346">ISBLANK(K185)</f>
        <v>1</v>
      </c>
      <c r="Y185" t="b">
        <f t="shared" si="346"/>
        <v>0</v>
      </c>
      <c r="Z185" t="b">
        <f t="shared" si="346"/>
        <v>0</v>
      </c>
      <c r="AA185">
        <f t="shared" ref="AA185:AC185" si="347">IF(X185=FALSE,1,0)</f>
        <v>0</v>
      </c>
      <c r="AB185">
        <f t="shared" si="347"/>
        <v>1</v>
      </c>
      <c r="AC185">
        <f t="shared" si="347"/>
        <v>1</v>
      </c>
      <c r="AD185">
        <f t="shared" si="6"/>
        <v>2</v>
      </c>
      <c r="AE185">
        <f t="shared" si="7"/>
        <v>1</v>
      </c>
      <c r="AF185">
        <f>if(iferror(vlookup($A185,'Description Database'!$E$2:$H$951,3,0),0)=TRUE,1,0)</f>
        <v>0</v>
      </c>
      <c r="AG185">
        <f>if(iferror(vlookup($A185,'Description Database'!$E$2:$H$951,4,0),0)=TRUE,1,0)</f>
        <v>0</v>
      </c>
    </row>
    <row r="186">
      <c r="A186" t="str">
        <f>IFERROR(__xludf.DUMMYFUNCTION("""COMPUTED_VALUE"""),"Honor 8 (4 GB/64 GB)")</f>
        <v>Honor 8 (4 GB/64 GB)</v>
      </c>
      <c r="B186" t="str">
        <f>IFERROR(__xludf.DUMMYFUNCTION("""COMPUTED_VALUE"""),"")</f>
        <v/>
      </c>
      <c r="C186" t="str">
        <f>IFERROR(__xludf.DUMMYFUNCTION("""COMPUTED_VALUE"""),"")</f>
        <v/>
      </c>
      <c r="D186" t="str">
        <f>IFERROR(__xludf.DUMMYFUNCTION("""COMPUTED_VALUE"""),"")</f>
        <v/>
      </c>
      <c r="E186" t="str">
        <f>IFERROR(__xludf.DUMMYFUNCTION("""COMPUTED_VALUE"""),"")</f>
        <v/>
      </c>
      <c r="F186" t="str">
        <f>IFERROR(__xludf.DUMMYFUNCTION("""COMPUTED_VALUE"""),"")</f>
        <v/>
      </c>
      <c r="G186" t="str">
        <f>IFERROR(__xludf.DUMMYFUNCTION("""COMPUTED_VALUE"""),"")</f>
        <v/>
      </c>
      <c r="H186" t="str">
        <f>IFERROR(__xludf.DUMMYFUNCTION("""COMPUTED_VALUE"""),"")</f>
        <v/>
      </c>
      <c r="I186" t="str">
        <f>IFERROR(__xludf.DUMMYFUNCTION("""COMPUTED_VALUE"""),"")</f>
        <v/>
      </c>
      <c r="J186">
        <f>IFERROR(__xludf.DUMMYFUNCTION("""COMPUTED_VALUE"""),0.0)</f>
        <v>0</v>
      </c>
      <c r="L186" s="250" t="str">
        <f>IFERROR(__xludf.DUMMYFUNCTION("""COMPUTED_VALUE"""),"")</f>
        <v/>
      </c>
      <c r="M186" s="250" t="str">
        <f>IFERROR(__xludf.DUMMYFUNCTION("""COMPUTED_VALUE"""),"")</f>
        <v/>
      </c>
      <c r="N186" s="250" t="str">
        <f>IFERROR(__xludf.DUMMYFUNCTION("""COMPUTED_VALUE"""),"")</f>
        <v/>
      </c>
      <c r="O186" s="250" t="str">
        <f>IFERROR(__xludf.DUMMYFUNCTION("""COMPUTED_VALUE"""),"")</f>
        <v/>
      </c>
      <c r="P186" s="250" t="str">
        <f>IFERROR(__xludf.DUMMYFUNCTION("""COMPUTED_VALUE"""),"")</f>
        <v/>
      </c>
      <c r="Q186" s="250" t="str">
        <f>IFERROR(__xludf.DUMMYFUNCTION("""COMPUTED_VALUE"""),"")</f>
        <v/>
      </c>
      <c r="R186" s="250" t="str">
        <f>IFERROR(__xludf.DUMMYFUNCTION("""COMPUTED_VALUE"""),"")</f>
        <v/>
      </c>
      <c r="U186" s="250">
        <f>IFERROR(__xludf.DUMMYFUNCTION("""COMPUTED_VALUE"""),6919.0)</f>
        <v>6919</v>
      </c>
      <c r="V186" s="250">
        <f>IFERROR(__xludf.DUMMYFUNCTION("""COMPUTED_VALUE"""),6589.0)</f>
        <v>6589</v>
      </c>
      <c r="W186" s="250">
        <f>IFERROR(__xludf.DUMMYFUNCTION("""COMPUTED_VALUE"""),5939.0)</f>
        <v>5939</v>
      </c>
      <c r="X186" t="b">
        <f t="shared" ref="X186:Z186" si="348">ISBLANK(K186)</f>
        <v>1</v>
      </c>
      <c r="Y186" t="b">
        <f t="shared" si="348"/>
        <v>0</v>
      </c>
      <c r="Z186" t="b">
        <f t="shared" si="348"/>
        <v>0</v>
      </c>
      <c r="AA186">
        <f t="shared" ref="AA186:AC186" si="349">IF(X186=FALSE,1,0)</f>
        <v>0</v>
      </c>
      <c r="AB186">
        <f t="shared" si="349"/>
        <v>1</v>
      </c>
      <c r="AC186">
        <f t="shared" si="349"/>
        <v>1</v>
      </c>
      <c r="AD186">
        <f t="shared" si="6"/>
        <v>2</v>
      </c>
      <c r="AE186">
        <f t="shared" si="7"/>
        <v>1</v>
      </c>
      <c r="AF186">
        <f>if(iferror(vlookup($A186,'Description Database'!$E$2:$H$951,3,0),0)=TRUE,1,0)</f>
        <v>0</v>
      </c>
      <c r="AG186">
        <f>if(iferror(vlookup($A186,'Description Database'!$E$2:$H$951,4,0),0)=TRUE,1,0)</f>
        <v>0</v>
      </c>
    </row>
    <row r="187">
      <c r="A187" t="str">
        <f>IFERROR(__xludf.DUMMYFUNCTION("""COMPUTED_VALUE"""),"Samsung Galaxy On5 (1.5 GB/8 GB)")</f>
        <v>Samsung Galaxy On5 (1.5 GB/8 GB)</v>
      </c>
      <c r="B187" t="str">
        <f>IFERROR(__xludf.DUMMYFUNCTION("""COMPUTED_VALUE"""),"")</f>
        <v/>
      </c>
      <c r="C187" t="str">
        <f>IFERROR(__xludf.DUMMYFUNCTION("""COMPUTED_VALUE"""),"")</f>
        <v/>
      </c>
      <c r="D187" t="str">
        <f>IFERROR(__xludf.DUMMYFUNCTION("""COMPUTED_VALUE"""),"")</f>
        <v/>
      </c>
      <c r="E187">
        <f>IFERROR(__xludf.DUMMYFUNCTION("""COMPUTED_VALUE"""),1.0)</f>
        <v>1</v>
      </c>
      <c r="F187">
        <f>IFERROR(__xludf.DUMMYFUNCTION("""COMPUTED_VALUE"""),1.0)</f>
        <v>1</v>
      </c>
      <c r="G187">
        <f>IFERROR(__xludf.DUMMYFUNCTION("""COMPUTED_VALUE"""),1.0)</f>
        <v>1</v>
      </c>
      <c r="H187" t="str">
        <f>IFERROR(__xludf.DUMMYFUNCTION("""COMPUTED_VALUE"""),"")</f>
        <v/>
      </c>
      <c r="I187">
        <f>IFERROR(__xludf.DUMMYFUNCTION("""COMPUTED_VALUE"""),22.0)</f>
        <v>22</v>
      </c>
      <c r="J187">
        <f>IFERROR(__xludf.DUMMYFUNCTION("""COMPUTED_VALUE"""),25.0)</f>
        <v>25</v>
      </c>
      <c r="L187" s="250" t="str">
        <f>IFERROR(__xludf.DUMMYFUNCTION("""COMPUTED_VALUE"""),"")</f>
        <v/>
      </c>
      <c r="M187" s="250" t="str">
        <f>IFERROR(__xludf.DUMMYFUNCTION("""COMPUTED_VALUE"""),"")</f>
        <v/>
      </c>
      <c r="N187" s="250" t="str">
        <f>IFERROR(__xludf.DUMMYFUNCTION("""COMPUTED_VALUE"""),"")</f>
        <v/>
      </c>
      <c r="O187" s="250">
        <f>IFERROR(__xludf.DUMMYFUNCTION("""COMPUTED_VALUE"""),2209.0)</f>
        <v>2209</v>
      </c>
      <c r="P187" s="250">
        <f>IFERROR(__xludf.DUMMYFUNCTION("""COMPUTED_VALUE"""),2009.0)</f>
        <v>2009</v>
      </c>
      <c r="Q187" s="250">
        <f>IFERROR(__xludf.DUMMYFUNCTION("""COMPUTED_VALUE"""),1509.0)</f>
        <v>1509</v>
      </c>
      <c r="R187" s="250" t="str">
        <f>IFERROR(__xludf.DUMMYFUNCTION("""COMPUTED_VALUE"""),"")</f>
        <v/>
      </c>
      <c r="U187" s="250">
        <f>IFERROR(__xludf.DUMMYFUNCTION("""COMPUTED_VALUE"""),3109.0)</f>
        <v>3109</v>
      </c>
      <c r="V187" s="250">
        <f>IFERROR(__xludf.DUMMYFUNCTION("""COMPUTED_VALUE"""),2949.0)</f>
        <v>2949</v>
      </c>
      <c r="W187" s="250">
        <f>IFERROR(__xludf.DUMMYFUNCTION("""COMPUTED_VALUE"""),2649.0)</f>
        <v>2649</v>
      </c>
      <c r="X187" t="b">
        <f t="shared" ref="X187:Z187" si="350">ISBLANK(K187)</f>
        <v>1</v>
      </c>
      <c r="Y187" t="b">
        <f t="shared" si="350"/>
        <v>0</v>
      </c>
      <c r="Z187" t="b">
        <f t="shared" si="350"/>
        <v>0</v>
      </c>
      <c r="AA187">
        <f t="shared" ref="AA187:AC187" si="351">IF(X187=FALSE,1,0)</f>
        <v>0</v>
      </c>
      <c r="AB187">
        <f t="shared" si="351"/>
        <v>1</v>
      </c>
      <c r="AC187">
        <f t="shared" si="351"/>
        <v>1</v>
      </c>
      <c r="AD187">
        <f t="shared" si="6"/>
        <v>2</v>
      </c>
      <c r="AE187">
        <f t="shared" si="7"/>
        <v>1</v>
      </c>
      <c r="AF187">
        <f>if(iferror(vlookup($A187,'Description Database'!$E$2:$H$951,3,0),0)=TRUE,1,0)</f>
        <v>0</v>
      </c>
      <c r="AG187">
        <f>if(iferror(vlookup($A187,'Description Database'!$E$2:$H$951,4,0),0)=TRUE,1,0)</f>
        <v>0</v>
      </c>
    </row>
    <row r="188">
      <c r="A188" t="str">
        <f>IFERROR(__xludf.DUMMYFUNCTION("""COMPUTED_VALUE"""),"Oppo F1 plus (4 GB/64 GB)")</f>
        <v>Oppo F1 plus (4 GB/64 GB)</v>
      </c>
      <c r="B188" t="str">
        <f>IFERROR(__xludf.DUMMYFUNCTION("""COMPUTED_VALUE"""),"")</f>
        <v/>
      </c>
      <c r="C188" t="str">
        <f>IFERROR(__xludf.DUMMYFUNCTION("""COMPUTED_VALUE"""),"")</f>
        <v/>
      </c>
      <c r="D188" t="str">
        <f>IFERROR(__xludf.DUMMYFUNCTION("""COMPUTED_VALUE"""),"")</f>
        <v/>
      </c>
      <c r="E188" t="str">
        <f>IFERROR(__xludf.DUMMYFUNCTION("""COMPUTED_VALUE"""),"")</f>
        <v/>
      </c>
      <c r="F188" t="str">
        <f>IFERROR(__xludf.DUMMYFUNCTION("""COMPUTED_VALUE"""),"")</f>
        <v/>
      </c>
      <c r="G188" t="str">
        <f>IFERROR(__xludf.DUMMYFUNCTION("""COMPUTED_VALUE"""),"")</f>
        <v/>
      </c>
      <c r="H188" t="str">
        <f>IFERROR(__xludf.DUMMYFUNCTION("""COMPUTED_VALUE"""),"")</f>
        <v/>
      </c>
      <c r="I188">
        <f>IFERROR(__xludf.DUMMYFUNCTION("""COMPUTED_VALUE"""),2.0)</f>
        <v>2</v>
      </c>
      <c r="J188">
        <f>IFERROR(__xludf.DUMMYFUNCTION("""COMPUTED_VALUE"""),2.0)</f>
        <v>2</v>
      </c>
      <c r="L188" s="250" t="str">
        <f>IFERROR(__xludf.DUMMYFUNCTION("""COMPUTED_VALUE"""),"")</f>
        <v/>
      </c>
      <c r="M188" s="250" t="str">
        <f>IFERROR(__xludf.DUMMYFUNCTION("""COMPUTED_VALUE"""),"")</f>
        <v/>
      </c>
      <c r="N188" s="250" t="str">
        <f>IFERROR(__xludf.DUMMYFUNCTION("""COMPUTED_VALUE"""),"")</f>
        <v/>
      </c>
      <c r="O188" s="250" t="str">
        <f>IFERROR(__xludf.DUMMYFUNCTION("""COMPUTED_VALUE"""),"")</f>
        <v/>
      </c>
      <c r="P188" s="250" t="str">
        <f>IFERROR(__xludf.DUMMYFUNCTION("""COMPUTED_VALUE"""),"")</f>
        <v/>
      </c>
      <c r="Q188" s="250" t="str">
        <f>IFERROR(__xludf.DUMMYFUNCTION("""COMPUTED_VALUE"""),"")</f>
        <v/>
      </c>
      <c r="R188" s="250" t="str">
        <f>IFERROR(__xludf.DUMMYFUNCTION("""COMPUTED_VALUE"""),"")</f>
        <v/>
      </c>
      <c r="U188" s="250">
        <f>IFERROR(__xludf.DUMMYFUNCTION("""COMPUTED_VALUE"""),5869.0)</f>
        <v>5869</v>
      </c>
      <c r="V188" s="250">
        <f>IFERROR(__xludf.DUMMYFUNCTION("""COMPUTED_VALUE"""),5579.0)</f>
        <v>5579</v>
      </c>
      <c r="W188" s="250">
        <f>IFERROR(__xludf.DUMMYFUNCTION("""COMPUTED_VALUE"""),5019.0)</f>
        <v>5019</v>
      </c>
      <c r="X188" t="b">
        <f t="shared" ref="X188:Z188" si="352">ISBLANK(K188)</f>
        <v>1</v>
      </c>
      <c r="Y188" t="b">
        <f t="shared" si="352"/>
        <v>0</v>
      </c>
      <c r="Z188" t="b">
        <f t="shared" si="352"/>
        <v>0</v>
      </c>
      <c r="AA188">
        <f t="shared" ref="AA188:AC188" si="353">IF(X188=FALSE,1,0)</f>
        <v>0</v>
      </c>
      <c r="AB188">
        <f t="shared" si="353"/>
        <v>1</v>
      </c>
      <c r="AC188">
        <f t="shared" si="353"/>
        <v>1</v>
      </c>
      <c r="AD188">
        <f t="shared" si="6"/>
        <v>2</v>
      </c>
      <c r="AE188">
        <f t="shared" si="7"/>
        <v>1</v>
      </c>
      <c r="AF188">
        <f>if(iferror(vlookup($A188,'Description Database'!$E$2:$H$951,3,0),0)=TRUE,1,0)</f>
        <v>0</v>
      </c>
      <c r="AG188">
        <f>if(iferror(vlookup($A188,'Description Database'!$E$2:$H$951,4,0),0)=TRUE,1,0)</f>
        <v>0</v>
      </c>
    </row>
    <row r="189">
      <c r="A189" t="str">
        <f>IFERROR(__xludf.DUMMYFUNCTION("""COMPUTED_VALUE"""),"Gionee A1 (4 GB/64 GB)")</f>
        <v>Gionee A1 (4 GB/64 GB)</v>
      </c>
      <c r="B189" t="str">
        <f>IFERROR(__xludf.DUMMYFUNCTION("""COMPUTED_VALUE"""),"")</f>
        <v/>
      </c>
      <c r="C189" t="str">
        <f>IFERROR(__xludf.DUMMYFUNCTION("""COMPUTED_VALUE"""),"")</f>
        <v/>
      </c>
      <c r="D189" t="str">
        <f>IFERROR(__xludf.DUMMYFUNCTION("""COMPUTED_VALUE"""),"")</f>
        <v/>
      </c>
      <c r="E189" t="str">
        <f>IFERROR(__xludf.DUMMYFUNCTION("""COMPUTED_VALUE"""),"")</f>
        <v/>
      </c>
      <c r="F189" t="str">
        <f>IFERROR(__xludf.DUMMYFUNCTION("""COMPUTED_VALUE"""),"")</f>
        <v/>
      </c>
      <c r="G189" t="str">
        <f>IFERROR(__xludf.DUMMYFUNCTION("""COMPUTED_VALUE"""),"")</f>
        <v/>
      </c>
      <c r="H189" t="str">
        <f>IFERROR(__xludf.DUMMYFUNCTION("""COMPUTED_VALUE"""),"")</f>
        <v/>
      </c>
      <c r="I189">
        <f>IFERROR(__xludf.DUMMYFUNCTION("""COMPUTED_VALUE"""),1.0)</f>
        <v>1</v>
      </c>
      <c r="J189">
        <f>IFERROR(__xludf.DUMMYFUNCTION("""COMPUTED_VALUE"""),1.0)</f>
        <v>1</v>
      </c>
      <c r="L189" s="250" t="str">
        <f>IFERROR(__xludf.DUMMYFUNCTION("""COMPUTED_VALUE"""),"")</f>
        <v/>
      </c>
      <c r="M189" s="250" t="str">
        <f>IFERROR(__xludf.DUMMYFUNCTION("""COMPUTED_VALUE"""),"")</f>
        <v/>
      </c>
      <c r="N189" s="250" t="str">
        <f>IFERROR(__xludf.DUMMYFUNCTION("""COMPUTED_VALUE"""),"")</f>
        <v/>
      </c>
      <c r="O189" s="250" t="str">
        <f>IFERROR(__xludf.DUMMYFUNCTION("""COMPUTED_VALUE"""),"")</f>
        <v/>
      </c>
      <c r="P189" s="250" t="str">
        <f>IFERROR(__xludf.DUMMYFUNCTION("""COMPUTED_VALUE"""),"")</f>
        <v/>
      </c>
      <c r="Q189" s="250" t="str">
        <f>IFERROR(__xludf.DUMMYFUNCTION("""COMPUTED_VALUE"""),"")</f>
        <v/>
      </c>
      <c r="R189" s="250" t="str">
        <f>IFERROR(__xludf.DUMMYFUNCTION("""COMPUTED_VALUE"""),"")</f>
        <v/>
      </c>
      <c r="U189" s="250">
        <f>IFERROR(__xludf.DUMMYFUNCTION("""COMPUTED_VALUE"""),4319.0)</f>
        <v>4319</v>
      </c>
      <c r="V189" s="250">
        <f>IFERROR(__xludf.DUMMYFUNCTION("""COMPUTED_VALUE"""),4109.0)</f>
        <v>4109</v>
      </c>
      <c r="W189" s="250">
        <f>IFERROR(__xludf.DUMMYFUNCTION("""COMPUTED_VALUE"""),3699.0)</f>
        <v>3699</v>
      </c>
      <c r="X189" t="b">
        <f t="shared" ref="X189:Z189" si="354">ISBLANK(K189)</f>
        <v>1</v>
      </c>
      <c r="Y189" t="b">
        <f t="shared" si="354"/>
        <v>0</v>
      </c>
      <c r="Z189" t="b">
        <f t="shared" si="354"/>
        <v>0</v>
      </c>
      <c r="AA189">
        <f t="shared" ref="AA189:AC189" si="355">IF(X189=FALSE,1,0)</f>
        <v>0</v>
      </c>
      <c r="AB189">
        <f t="shared" si="355"/>
        <v>1</v>
      </c>
      <c r="AC189">
        <f t="shared" si="355"/>
        <v>1</v>
      </c>
      <c r="AD189">
        <f t="shared" si="6"/>
        <v>2</v>
      </c>
      <c r="AE189">
        <f t="shared" si="7"/>
        <v>1</v>
      </c>
      <c r="AF189">
        <f>if(iferror(vlookup($A189,'Description Database'!$E$2:$H$951,3,0),0)=TRUE,1,0)</f>
        <v>0</v>
      </c>
      <c r="AG189">
        <f>if(iferror(vlookup($A189,'Description Database'!$E$2:$H$951,4,0),0)=TRUE,1,0)</f>
        <v>0</v>
      </c>
    </row>
    <row r="190">
      <c r="A190" t="str">
        <f>IFERROR(__xludf.DUMMYFUNCTION("""COMPUTED_VALUE"""),"Lenovo K3 Note (2 GB/16 GB)")</f>
        <v>Lenovo K3 Note (2 GB/16 GB)</v>
      </c>
      <c r="B190" t="str">
        <f>IFERROR(__xludf.DUMMYFUNCTION("""COMPUTED_VALUE"""),"")</f>
        <v/>
      </c>
      <c r="C190" t="str">
        <f>IFERROR(__xludf.DUMMYFUNCTION("""COMPUTED_VALUE"""),"")</f>
        <v/>
      </c>
      <c r="D190" t="str">
        <f>IFERROR(__xludf.DUMMYFUNCTION("""COMPUTED_VALUE"""),"")</f>
        <v/>
      </c>
      <c r="E190" t="str">
        <f>IFERROR(__xludf.DUMMYFUNCTION("""COMPUTED_VALUE"""),"")</f>
        <v/>
      </c>
      <c r="F190">
        <f>IFERROR(__xludf.DUMMYFUNCTION("""COMPUTED_VALUE"""),3.0)</f>
        <v>3</v>
      </c>
      <c r="G190">
        <f>IFERROR(__xludf.DUMMYFUNCTION("""COMPUTED_VALUE"""),1.0)</f>
        <v>1</v>
      </c>
      <c r="H190" t="str">
        <f>IFERROR(__xludf.DUMMYFUNCTION("""COMPUTED_VALUE"""),"")</f>
        <v/>
      </c>
      <c r="I190">
        <f>IFERROR(__xludf.DUMMYFUNCTION("""COMPUTED_VALUE"""),49.0)</f>
        <v>49</v>
      </c>
      <c r="J190">
        <f>IFERROR(__xludf.DUMMYFUNCTION("""COMPUTED_VALUE"""),53.0)</f>
        <v>53</v>
      </c>
      <c r="L190" s="250" t="str">
        <f>IFERROR(__xludf.DUMMYFUNCTION("""COMPUTED_VALUE"""),"")</f>
        <v/>
      </c>
      <c r="M190" s="250" t="str">
        <f>IFERROR(__xludf.DUMMYFUNCTION("""COMPUTED_VALUE"""),"")</f>
        <v/>
      </c>
      <c r="N190" s="250" t="str">
        <f>IFERROR(__xludf.DUMMYFUNCTION("""COMPUTED_VALUE"""),"")</f>
        <v/>
      </c>
      <c r="O190" s="250" t="str">
        <f>IFERROR(__xludf.DUMMYFUNCTION("""COMPUTED_VALUE"""),"")</f>
        <v/>
      </c>
      <c r="P190" s="250">
        <f>IFERROR(__xludf.DUMMYFUNCTION("""COMPUTED_VALUE"""),1699.0)</f>
        <v>1699</v>
      </c>
      <c r="Q190" s="250">
        <f>IFERROR(__xludf.DUMMYFUNCTION("""COMPUTED_VALUE"""),1129.0)</f>
        <v>1129</v>
      </c>
      <c r="R190" s="250" t="str">
        <f>IFERROR(__xludf.DUMMYFUNCTION("""COMPUTED_VALUE"""),"")</f>
        <v/>
      </c>
      <c r="U190" s="250">
        <f>IFERROR(__xludf.DUMMYFUNCTION("""COMPUTED_VALUE"""),2619.0)</f>
        <v>2619</v>
      </c>
      <c r="V190" s="250">
        <f>IFERROR(__xludf.DUMMYFUNCTION("""COMPUTED_VALUE"""),2489.0)</f>
        <v>2489</v>
      </c>
      <c r="W190" s="250">
        <f>IFERROR(__xludf.DUMMYFUNCTION("""COMPUTED_VALUE"""),2279.0)</f>
        <v>2279</v>
      </c>
      <c r="X190" t="b">
        <f t="shared" ref="X190:Z190" si="356">ISBLANK(K190)</f>
        <v>1</v>
      </c>
      <c r="Y190" t="b">
        <f t="shared" si="356"/>
        <v>0</v>
      </c>
      <c r="Z190" t="b">
        <f t="shared" si="356"/>
        <v>0</v>
      </c>
      <c r="AA190">
        <f t="shared" ref="AA190:AC190" si="357">IF(X190=FALSE,1,0)</f>
        <v>0</v>
      </c>
      <c r="AB190">
        <f t="shared" si="357"/>
        <v>1</v>
      </c>
      <c r="AC190">
        <f t="shared" si="357"/>
        <v>1</v>
      </c>
      <c r="AD190">
        <f t="shared" si="6"/>
        <v>2</v>
      </c>
      <c r="AE190">
        <f t="shared" si="7"/>
        <v>1</v>
      </c>
      <c r="AF190">
        <f>if(iferror(vlookup($A190,'Description Database'!$E$2:$H$951,3,0),0)=TRUE,1,0)</f>
        <v>0</v>
      </c>
      <c r="AG190">
        <f>if(iferror(vlookup($A190,'Description Database'!$E$2:$H$951,4,0),0)=TRUE,1,0)</f>
        <v>0</v>
      </c>
    </row>
    <row r="191">
      <c r="A191" t="str">
        <f>IFERROR(__xludf.DUMMYFUNCTION("""COMPUTED_VALUE"""),"Samsung GALAXY ON5 PRO (3 GB/32GB)")</f>
        <v>Samsung GALAXY ON5 PRO (3 GB/32GB)</v>
      </c>
      <c r="B191" t="str">
        <f>IFERROR(__xludf.DUMMYFUNCTION("""COMPUTED_VALUE"""),"")</f>
        <v/>
      </c>
      <c r="C191" t="str">
        <f>IFERROR(__xludf.DUMMYFUNCTION("""COMPUTED_VALUE"""),"")</f>
        <v/>
      </c>
      <c r="D191" t="str">
        <f>IFERROR(__xludf.DUMMYFUNCTION("""COMPUTED_VALUE"""),"")</f>
        <v/>
      </c>
      <c r="E191" t="str">
        <f>IFERROR(__xludf.DUMMYFUNCTION("""COMPUTED_VALUE"""),"")</f>
        <v/>
      </c>
      <c r="F191" t="str">
        <f>IFERROR(__xludf.DUMMYFUNCTION("""COMPUTED_VALUE"""),"")</f>
        <v/>
      </c>
      <c r="G191" t="str">
        <f>IFERROR(__xludf.DUMMYFUNCTION("""COMPUTED_VALUE"""),"")</f>
        <v/>
      </c>
      <c r="H191" t="str">
        <f>IFERROR(__xludf.DUMMYFUNCTION("""COMPUTED_VALUE"""),"")</f>
        <v/>
      </c>
      <c r="I191" t="str">
        <f>IFERROR(__xludf.DUMMYFUNCTION("""COMPUTED_VALUE"""),"")</f>
        <v/>
      </c>
      <c r="J191">
        <f>IFERROR(__xludf.DUMMYFUNCTION("""COMPUTED_VALUE"""),0.0)</f>
        <v>0</v>
      </c>
      <c r="L191" s="250" t="str">
        <f>IFERROR(__xludf.DUMMYFUNCTION("""COMPUTED_VALUE"""),"")</f>
        <v/>
      </c>
      <c r="M191" s="250" t="str">
        <f>IFERROR(__xludf.DUMMYFUNCTION("""COMPUTED_VALUE"""),"")</f>
        <v/>
      </c>
      <c r="N191" s="250" t="str">
        <f>IFERROR(__xludf.DUMMYFUNCTION("""COMPUTED_VALUE"""),"")</f>
        <v/>
      </c>
      <c r="O191" s="250" t="str">
        <f>IFERROR(__xludf.DUMMYFUNCTION("""COMPUTED_VALUE"""),"")</f>
        <v/>
      </c>
      <c r="P191" s="250" t="str">
        <f>IFERROR(__xludf.DUMMYFUNCTION("""COMPUTED_VALUE"""),"")</f>
        <v/>
      </c>
      <c r="Q191" s="250" t="str">
        <f>IFERROR(__xludf.DUMMYFUNCTION("""COMPUTED_VALUE"""),"")</f>
        <v/>
      </c>
      <c r="R191" s="250" t="str">
        <f>IFERROR(__xludf.DUMMYFUNCTION("""COMPUTED_VALUE"""),"")</f>
        <v/>
      </c>
      <c r="U191" s="250" t="str">
        <f>IFERROR(__xludf.DUMMYFUNCTION("""COMPUTED_VALUE"""),"#N/A")</f>
        <v>#N/A</v>
      </c>
      <c r="V191" s="250" t="str">
        <f>IFERROR(__xludf.DUMMYFUNCTION("""COMPUTED_VALUE"""),"#N/A")</f>
        <v>#N/A</v>
      </c>
      <c r="W191" s="250" t="str">
        <f>IFERROR(__xludf.DUMMYFUNCTION("""COMPUTED_VALUE"""),"#N/A")</f>
        <v>#N/A</v>
      </c>
      <c r="X191" t="b">
        <f t="shared" ref="X191:Z191" si="358">ISBLANK(K191)</f>
        <v>1</v>
      </c>
      <c r="Y191" t="b">
        <f t="shared" si="358"/>
        <v>0</v>
      </c>
      <c r="Z191" t="b">
        <f t="shared" si="358"/>
        <v>0</v>
      </c>
      <c r="AA191">
        <f t="shared" ref="AA191:AC191" si="359">IF(X191=FALSE,1,0)</f>
        <v>0</v>
      </c>
      <c r="AB191">
        <f t="shared" si="359"/>
        <v>1</v>
      </c>
      <c r="AC191">
        <f t="shared" si="359"/>
        <v>1</v>
      </c>
      <c r="AD191">
        <f t="shared" si="6"/>
        <v>2</v>
      </c>
      <c r="AE191">
        <f t="shared" si="7"/>
        <v>1</v>
      </c>
      <c r="AF191">
        <f>if(iferror(vlookup($A191,'Description Database'!$E$2:$H$951,3,0),0)=TRUE,1,0)</f>
        <v>0</v>
      </c>
      <c r="AG191">
        <f>if(iferror(vlookup($A191,'Description Database'!$E$2:$H$951,4,0),0)=TRUE,1,0)</f>
        <v>0</v>
      </c>
    </row>
    <row r="192">
      <c r="A192" t="str">
        <f>IFERROR(__xludf.DUMMYFUNCTION("""COMPUTED_VALUE"""),"Vivo Y51L (2 GB/16 GB)")</f>
        <v>Vivo Y51L (2 GB/16 GB)</v>
      </c>
      <c r="B192" t="str">
        <f>IFERROR(__xludf.DUMMYFUNCTION("""COMPUTED_VALUE"""),"")</f>
        <v/>
      </c>
      <c r="C192" t="str">
        <f>IFERROR(__xludf.DUMMYFUNCTION("""COMPUTED_VALUE"""),"")</f>
        <v/>
      </c>
      <c r="D192" t="str">
        <f>IFERROR(__xludf.DUMMYFUNCTION("""COMPUTED_VALUE"""),"")</f>
        <v/>
      </c>
      <c r="E192" t="str">
        <f>IFERROR(__xludf.DUMMYFUNCTION("""COMPUTED_VALUE"""),"")</f>
        <v/>
      </c>
      <c r="F192" t="str">
        <f>IFERROR(__xludf.DUMMYFUNCTION("""COMPUTED_VALUE"""),"")</f>
        <v/>
      </c>
      <c r="G192" t="str">
        <f>IFERROR(__xludf.DUMMYFUNCTION("""COMPUTED_VALUE"""),"")</f>
        <v/>
      </c>
      <c r="H192" t="str">
        <f>IFERROR(__xludf.DUMMYFUNCTION("""COMPUTED_VALUE"""),"")</f>
        <v/>
      </c>
      <c r="I192">
        <f>IFERROR(__xludf.DUMMYFUNCTION("""COMPUTED_VALUE"""),9.0)</f>
        <v>9</v>
      </c>
      <c r="J192">
        <f>IFERROR(__xludf.DUMMYFUNCTION("""COMPUTED_VALUE"""),9.0)</f>
        <v>9</v>
      </c>
      <c r="L192" s="250" t="str">
        <f>IFERROR(__xludf.DUMMYFUNCTION("""COMPUTED_VALUE"""),"")</f>
        <v/>
      </c>
      <c r="M192" s="250" t="str">
        <f>IFERROR(__xludf.DUMMYFUNCTION("""COMPUTED_VALUE"""),"")</f>
        <v/>
      </c>
      <c r="N192" s="250" t="str">
        <f>IFERROR(__xludf.DUMMYFUNCTION("""COMPUTED_VALUE"""),"")</f>
        <v/>
      </c>
      <c r="O192" s="250" t="str">
        <f>IFERROR(__xludf.DUMMYFUNCTION("""COMPUTED_VALUE"""),"")</f>
        <v/>
      </c>
      <c r="P192" s="250" t="str">
        <f>IFERROR(__xludf.DUMMYFUNCTION("""COMPUTED_VALUE"""),"")</f>
        <v/>
      </c>
      <c r="Q192" s="250" t="str">
        <f>IFERROR(__xludf.DUMMYFUNCTION("""COMPUTED_VALUE"""),"")</f>
        <v/>
      </c>
      <c r="R192" s="250" t="str">
        <f>IFERROR(__xludf.DUMMYFUNCTION("""COMPUTED_VALUE"""),"")</f>
        <v/>
      </c>
      <c r="U192" s="250">
        <f>IFERROR(__xludf.DUMMYFUNCTION("""COMPUTED_VALUE"""),3799.0)</f>
        <v>3799</v>
      </c>
      <c r="V192" s="250">
        <f>IFERROR(__xludf.DUMMYFUNCTION("""COMPUTED_VALUE"""),3609.0)</f>
        <v>3609</v>
      </c>
      <c r="W192" s="250">
        <f>IFERROR(__xludf.DUMMYFUNCTION("""COMPUTED_VALUE"""),3249.0)</f>
        <v>3249</v>
      </c>
      <c r="X192" t="b">
        <f t="shared" ref="X192:Z192" si="360">ISBLANK(K192)</f>
        <v>1</v>
      </c>
      <c r="Y192" t="b">
        <f t="shared" si="360"/>
        <v>0</v>
      </c>
      <c r="Z192" t="b">
        <f t="shared" si="360"/>
        <v>0</v>
      </c>
      <c r="AA192">
        <f t="shared" ref="AA192:AC192" si="361">IF(X192=FALSE,1,0)</f>
        <v>0</v>
      </c>
      <c r="AB192">
        <f t="shared" si="361"/>
        <v>1</v>
      </c>
      <c r="AC192">
        <f t="shared" si="361"/>
        <v>1</v>
      </c>
      <c r="AD192">
        <f t="shared" si="6"/>
        <v>2</v>
      </c>
      <c r="AE192">
        <f t="shared" si="7"/>
        <v>1</v>
      </c>
      <c r="AF192">
        <f>if(iferror(vlookup($A192,'Description Database'!$E$2:$H$951,3,0),0)=TRUE,1,0)</f>
        <v>0</v>
      </c>
      <c r="AG192">
        <f>if(iferror(vlookup($A192,'Description Database'!$E$2:$H$951,4,0),0)=TRUE,1,0)</f>
        <v>0</v>
      </c>
    </row>
    <row r="193">
      <c r="A193" t="str">
        <f>IFERROR(__xludf.DUMMYFUNCTION("""COMPUTED_VALUE"""),"Honor 6X (3 GB/32 GB)")</f>
        <v>Honor 6X (3 GB/32 GB)</v>
      </c>
      <c r="B193" t="str">
        <f>IFERROR(__xludf.DUMMYFUNCTION("""COMPUTED_VALUE"""),"")</f>
        <v/>
      </c>
      <c r="C193" t="str">
        <f>IFERROR(__xludf.DUMMYFUNCTION("""COMPUTED_VALUE"""),"")</f>
        <v/>
      </c>
      <c r="D193" t="str">
        <f>IFERROR(__xludf.DUMMYFUNCTION("""COMPUTED_VALUE"""),"")</f>
        <v/>
      </c>
      <c r="E193" t="str">
        <f>IFERROR(__xludf.DUMMYFUNCTION("""COMPUTED_VALUE"""),"")</f>
        <v/>
      </c>
      <c r="F193">
        <f>IFERROR(__xludf.DUMMYFUNCTION("""COMPUTED_VALUE"""),1.0)</f>
        <v>1</v>
      </c>
      <c r="G193">
        <f>IFERROR(__xludf.DUMMYFUNCTION("""COMPUTED_VALUE"""),7.0)</f>
        <v>7</v>
      </c>
      <c r="H193" t="str">
        <f>IFERROR(__xludf.DUMMYFUNCTION("""COMPUTED_VALUE"""),"")</f>
        <v/>
      </c>
      <c r="I193">
        <f>IFERROR(__xludf.DUMMYFUNCTION("""COMPUTED_VALUE"""),2.0)</f>
        <v>2</v>
      </c>
      <c r="J193">
        <f>IFERROR(__xludf.DUMMYFUNCTION("""COMPUTED_VALUE"""),10.0)</f>
        <v>10</v>
      </c>
      <c r="L193" s="250" t="str">
        <f>IFERROR(__xludf.DUMMYFUNCTION("""COMPUTED_VALUE"""),"")</f>
        <v/>
      </c>
      <c r="M193" s="250" t="str">
        <f>IFERROR(__xludf.DUMMYFUNCTION("""COMPUTED_VALUE"""),"")</f>
        <v/>
      </c>
      <c r="N193" s="250" t="str">
        <f>IFERROR(__xludf.DUMMYFUNCTION("""COMPUTED_VALUE"""),"")</f>
        <v/>
      </c>
      <c r="O193" s="250" t="str">
        <f>IFERROR(__xludf.DUMMYFUNCTION("""COMPUTED_VALUE"""),"")</f>
        <v/>
      </c>
      <c r="P193" s="250">
        <f>IFERROR(__xludf.DUMMYFUNCTION("""COMPUTED_VALUE"""),2919.0)</f>
        <v>2919</v>
      </c>
      <c r="Q193" s="250">
        <f>IFERROR(__xludf.DUMMYFUNCTION("""COMPUTED_VALUE"""),2039.0)</f>
        <v>2039</v>
      </c>
      <c r="R193" s="250" t="str">
        <f>IFERROR(__xludf.DUMMYFUNCTION("""COMPUTED_VALUE"""),"")</f>
        <v/>
      </c>
      <c r="U193" s="250">
        <f>IFERROR(__xludf.DUMMYFUNCTION("""COMPUTED_VALUE"""),4499.0)</f>
        <v>4499</v>
      </c>
      <c r="V193" s="250">
        <f>IFERROR(__xludf.DUMMYFUNCTION("""COMPUTED_VALUE"""),4279.0)</f>
        <v>4279</v>
      </c>
      <c r="W193" s="250">
        <f>IFERROR(__xludf.DUMMYFUNCTION("""COMPUTED_VALUE"""),3849.0)</f>
        <v>3849</v>
      </c>
      <c r="X193" t="b">
        <f t="shared" ref="X193:Z193" si="362">ISBLANK(K193)</f>
        <v>1</v>
      </c>
      <c r="Y193" t="b">
        <f t="shared" si="362"/>
        <v>0</v>
      </c>
      <c r="Z193" t="b">
        <f t="shared" si="362"/>
        <v>0</v>
      </c>
      <c r="AA193">
        <f t="shared" ref="AA193:AC193" si="363">IF(X193=FALSE,1,0)</f>
        <v>0</v>
      </c>
      <c r="AB193">
        <f t="shared" si="363"/>
        <v>1</v>
      </c>
      <c r="AC193">
        <f t="shared" si="363"/>
        <v>1</v>
      </c>
      <c r="AD193">
        <f t="shared" si="6"/>
        <v>2</v>
      </c>
      <c r="AE193">
        <f t="shared" si="7"/>
        <v>1</v>
      </c>
      <c r="AF193">
        <f>if(iferror(vlookup($A193,'Description Database'!$E$2:$H$951,3,0),0)=TRUE,1,0)</f>
        <v>0</v>
      </c>
      <c r="AG193">
        <f>if(iferror(vlookup($A193,'Description Database'!$E$2:$H$951,4,0),0)=TRUE,1,0)</f>
        <v>0</v>
      </c>
    </row>
    <row r="194">
      <c r="A194" t="str">
        <f>IFERROR(__xludf.DUMMYFUNCTION("""COMPUTED_VALUE"""),"Motorola Moto C Plus (2 GB/16 GB)")</f>
        <v>Motorola Moto C Plus (2 GB/16 GB)</v>
      </c>
      <c r="B194" t="str">
        <f>IFERROR(__xludf.DUMMYFUNCTION("""COMPUTED_VALUE"""),"")</f>
        <v/>
      </c>
      <c r="C194" t="str">
        <f>IFERROR(__xludf.DUMMYFUNCTION("""COMPUTED_VALUE"""),"")</f>
        <v/>
      </c>
      <c r="D194" t="str">
        <f>IFERROR(__xludf.DUMMYFUNCTION("""COMPUTED_VALUE"""),"")</f>
        <v/>
      </c>
      <c r="E194" t="str">
        <f>IFERROR(__xludf.DUMMYFUNCTION("""COMPUTED_VALUE"""),"")</f>
        <v/>
      </c>
      <c r="F194" t="str">
        <f>IFERROR(__xludf.DUMMYFUNCTION("""COMPUTED_VALUE"""),"")</f>
        <v/>
      </c>
      <c r="G194" t="str">
        <f>IFERROR(__xludf.DUMMYFUNCTION("""COMPUTED_VALUE"""),"")</f>
        <v/>
      </c>
      <c r="H194">
        <f>IFERROR(__xludf.DUMMYFUNCTION("""COMPUTED_VALUE"""),2.0)</f>
        <v>2</v>
      </c>
      <c r="I194">
        <f>IFERROR(__xludf.DUMMYFUNCTION("""COMPUTED_VALUE"""),23.0)</f>
        <v>23</v>
      </c>
      <c r="J194">
        <f>IFERROR(__xludf.DUMMYFUNCTION("""COMPUTED_VALUE"""),25.0)</f>
        <v>25</v>
      </c>
      <c r="L194" s="250" t="str">
        <f>IFERROR(__xludf.DUMMYFUNCTION("""COMPUTED_VALUE"""),"")</f>
        <v/>
      </c>
      <c r="M194" s="250" t="str">
        <f>IFERROR(__xludf.DUMMYFUNCTION("""COMPUTED_VALUE"""),"")</f>
        <v/>
      </c>
      <c r="N194" s="250" t="str">
        <f>IFERROR(__xludf.DUMMYFUNCTION("""COMPUTED_VALUE"""),"")</f>
        <v/>
      </c>
      <c r="O194" s="250" t="str">
        <f>IFERROR(__xludf.DUMMYFUNCTION("""COMPUTED_VALUE"""),"")</f>
        <v/>
      </c>
      <c r="P194" s="250" t="str">
        <f>IFERROR(__xludf.DUMMYFUNCTION("""COMPUTED_VALUE"""),"")</f>
        <v/>
      </c>
      <c r="Q194" s="250" t="str">
        <f>IFERROR(__xludf.DUMMYFUNCTION("""COMPUTED_VALUE"""),"")</f>
        <v/>
      </c>
      <c r="R194" s="250">
        <f>IFERROR(__xludf.DUMMYFUNCTION("""COMPUTED_VALUE"""),1159.0)</f>
        <v>1159</v>
      </c>
      <c r="U194" s="250">
        <f>IFERROR(__xludf.DUMMYFUNCTION("""COMPUTED_VALUE"""),3379.0)</f>
        <v>3379</v>
      </c>
      <c r="V194" s="250">
        <f>IFERROR(__xludf.DUMMYFUNCTION("""COMPUTED_VALUE"""),3219.0)</f>
        <v>3219</v>
      </c>
      <c r="W194" s="250">
        <f>IFERROR(__xludf.DUMMYFUNCTION("""COMPUTED_VALUE"""),2909.0)</f>
        <v>2909</v>
      </c>
      <c r="X194" t="b">
        <f t="shared" ref="X194:Z194" si="364">ISBLANK(K194)</f>
        <v>1</v>
      </c>
      <c r="Y194" t="b">
        <f t="shared" si="364"/>
        <v>0</v>
      </c>
      <c r="Z194" t="b">
        <f t="shared" si="364"/>
        <v>0</v>
      </c>
      <c r="AA194">
        <f t="shared" ref="AA194:AC194" si="365">IF(X194=FALSE,1,0)</f>
        <v>0</v>
      </c>
      <c r="AB194">
        <f t="shared" si="365"/>
        <v>1</v>
      </c>
      <c r="AC194">
        <f t="shared" si="365"/>
        <v>1</v>
      </c>
      <c r="AD194">
        <f t="shared" si="6"/>
        <v>2</v>
      </c>
      <c r="AE194">
        <f t="shared" si="7"/>
        <v>1</v>
      </c>
      <c r="AF194">
        <f>if(iferror(vlookup($A194,'Description Database'!$E$2:$H$951,3,0),0)=TRUE,1,0)</f>
        <v>0</v>
      </c>
      <c r="AG194">
        <f>if(iferror(vlookup($A194,'Description Database'!$E$2:$H$951,4,0),0)=TRUE,1,0)</f>
        <v>0</v>
      </c>
    </row>
    <row r="195">
      <c r="A195" t="str">
        <f>IFERROR(__xludf.DUMMYFUNCTION("""COMPUTED_VALUE"""),"Lenovo Vibe K4 Note (3 GB/16 GB)")</f>
        <v>Lenovo Vibe K4 Note (3 GB/16 GB)</v>
      </c>
      <c r="B195" t="str">
        <f>IFERROR(__xludf.DUMMYFUNCTION("""COMPUTED_VALUE"""),"")</f>
        <v/>
      </c>
      <c r="C195" t="str">
        <f>IFERROR(__xludf.DUMMYFUNCTION("""COMPUTED_VALUE"""),"")</f>
        <v/>
      </c>
      <c r="D195" t="str">
        <f>IFERROR(__xludf.DUMMYFUNCTION("""COMPUTED_VALUE"""),"")</f>
        <v/>
      </c>
      <c r="E195" t="str">
        <f>IFERROR(__xludf.DUMMYFUNCTION("""COMPUTED_VALUE"""),"")</f>
        <v/>
      </c>
      <c r="F195" t="str">
        <f>IFERROR(__xludf.DUMMYFUNCTION("""COMPUTED_VALUE"""),"")</f>
        <v/>
      </c>
      <c r="G195">
        <f>IFERROR(__xludf.DUMMYFUNCTION("""COMPUTED_VALUE"""),1.0)</f>
        <v>1</v>
      </c>
      <c r="H195" t="str">
        <f>IFERROR(__xludf.DUMMYFUNCTION("""COMPUTED_VALUE"""),"")</f>
        <v/>
      </c>
      <c r="I195">
        <f>IFERROR(__xludf.DUMMYFUNCTION("""COMPUTED_VALUE"""),17.0)</f>
        <v>17</v>
      </c>
      <c r="J195">
        <f>IFERROR(__xludf.DUMMYFUNCTION("""COMPUTED_VALUE"""),18.0)</f>
        <v>18</v>
      </c>
      <c r="L195" s="250" t="str">
        <f>IFERROR(__xludf.DUMMYFUNCTION("""COMPUTED_VALUE"""),"")</f>
        <v/>
      </c>
      <c r="M195" s="250" t="str">
        <f>IFERROR(__xludf.DUMMYFUNCTION("""COMPUTED_VALUE"""),"")</f>
        <v/>
      </c>
      <c r="N195" s="250" t="str">
        <f>IFERROR(__xludf.DUMMYFUNCTION("""COMPUTED_VALUE"""),"")</f>
        <v/>
      </c>
      <c r="O195" s="250" t="str">
        <f>IFERROR(__xludf.DUMMYFUNCTION("""COMPUTED_VALUE"""),"")</f>
        <v/>
      </c>
      <c r="P195" s="250" t="str">
        <f>IFERROR(__xludf.DUMMYFUNCTION("""COMPUTED_VALUE"""),"")</f>
        <v/>
      </c>
      <c r="Q195" s="250">
        <f>IFERROR(__xludf.DUMMYFUNCTION("""COMPUTED_VALUE"""),1439.0)</f>
        <v>1439</v>
      </c>
      <c r="R195" s="250" t="str">
        <f>IFERROR(__xludf.DUMMYFUNCTION("""COMPUTED_VALUE"""),"")</f>
        <v/>
      </c>
      <c r="U195" s="250">
        <f>IFERROR(__xludf.DUMMYFUNCTION("""COMPUTED_VALUE"""),2919.0)</f>
        <v>2919</v>
      </c>
      <c r="V195" s="250">
        <f>IFERROR(__xludf.DUMMYFUNCTION("""COMPUTED_VALUE"""),2779.0)</f>
        <v>2779</v>
      </c>
      <c r="W195" s="250">
        <f>IFERROR(__xludf.DUMMYFUNCTION("""COMPUTED_VALUE"""),2499.0)</f>
        <v>2499</v>
      </c>
      <c r="X195" t="b">
        <f t="shared" ref="X195:Z195" si="366">ISBLANK(K195)</f>
        <v>1</v>
      </c>
      <c r="Y195" t="b">
        <f t="shared" si="366"/>
        <v>0</v>
      </c>
      <c r="Z195" t="b">
        <f t="shared" si="366"/>
        <v>0</v>
      </c>
      <c r="AA195">
        <f t="shared" ref="AA195:AC195" si="367">IF(X195=FALSE,1,0)</f>
        <v>0</v>
      </c>
      <c r="AB195">
        <f t="shared" si="367"/>
        <v>1</v>
      </c>
      <c r="AC195">
        <f t="shared" si="367"/>
        <v>1</v>
      </c>
      <c r="AD195">
        <f t="shared" si="6"/>
        <v>2</v>
      </c>
      <c r="AE195">
        <f t="shared" si="7"/>
        <v>1</v>
      </c>
      <c r="AF195">
        <f>if(iferror(vlookup($A195,'Description Database'!$E$2:$H$951,3,0),0)=TRUE,1,0)</f>
        <v>0</v>
      </c>
      <c r="AG195">
        <f>if(iferror(vlookup($A195,'Description Database'!$E$2:$H$951,4,0),0)=TRUE,1,0)</f>
        <v>0</v>
      </c>
    </row>
    <row r="196">
      <c r="A196" t="str">
        <f>IFERROR(__xludf.DUMMYFUNCTION("""COMPUTED_VALUE"""),"Motorola Moto G4 Play (2 GB/16 GB)")</f>
        <v>Motorola Moto G4 Play (2 GB/16 GB)</v>
      </c>
      <c r="B196" t="str">
        <f>IFERROR(__xludf.DUMMYFUNCTION("""COMPUTED_VALUE"""),"")</f>
        <v/>
      </c>
      <c r="C196" t="str">
        <f>IFERROR(__xludf.DUMMYFUNCTION("""COMPUTED_VALUE"""),"")</f>
        <v/>
      </c>
      <c r="D196" t="str">
        <f>IFERROR(__xludf.DUMMYFUNCTION("""COMPUTED_VALUE"""),"")</f>
        <v/>
      </c>
      <c r="E196" t="str">
        <f>IFERROR(__xludf.DUMMYFUNCTION("""COMPUTED_VALUE"""),"")</f>
        <v/>
      </c>
      <c r="F196" t="str">
        <f>IFERROR(__xludf.DUMMYFUNCTION("""COMPUTED_VALUE"""),"")</f>
        <v/>
      </c>
      <c r="G196" t="str">
        <f>IFERROR(__xludf.DUMMYFUNCTION("""COMPUTED_VALUE"""),"")</f>
        <v/>
      </c>
      <c r="H196" t="str">
        <f>IFERROR(__xludf.DUMMYFUNCTION("""COMPUTED_VALUE"""),"")</f>
        <v/>
      </c>
      <c r="I196">
        <f>IFERROR(__xludf.DUMMYFUNCTION("""COMPUTED_VALUE"""),7.0)</f>
        <v>7</v>
      </c>
      <c r="J196">
        <f>IFERROR(__xludf.DUMMYFUNCTION("""COMPUTED_VALUE"""),7.0)</f>
        <v>7</v>
      </c>
      <c r="L196" s="250" t="str">
        <f>IFERROR(__xludf.DUMMYFUNCTION("""COMPUTED_VALUE"""),"")</f>
        <v/>
      </c>
      <c r="M196" s="250" t="str">
        <f>IFERROR(__xludf.DUMMYFUNCTION("""COMPUTED_VALUE"""),"")</f>
        <v/>
      </c>
      <c r="N196" s="250" t="str">
        <f>IFERROR(__xludf.DUMMYFUNCTION("""COMPUTED_VALUE"""),"")</f>
        <v/>
      </c>
      <c r="O196" s="250" t="str">
        <f>IFERROR(__xludf.DUMMYFUNCTION("""COMPUTED_VALUE"""),"")</f>
        <v/>
      </c>
      <c r="P196" s="250" t="str">
        <f>IFERROR(__xludf.DUMMYFUNCTION("""COMPUTED_VALUE"""),"")</f>
        <v/>
      </c>
      <c r="Q196" s="250" t="str">
        <f>IFERROR(__xludf.DUMMYFUNCTION("""COMPUTED_VALUE"""),"")</f>
        <v/>
      </c>
      <c r="R196" s="250" t="str">
        <f>IFERROR(__xludf.DUMMYFUNCTION("""COMPUTED_VALUE"""),"")</f>
        <v/>
      </c>
      <c r="U196" s="250">
        <f>IFERROR(__xludf.DUMMYFUNCTION("""COMPUTED_VALUE"""),2759.0)</f>
        <v>2759</v>
      </c>
      <c r="V196" s="250">
        <f>IFERROR(__xludf.DUMMYFUNCTION("""COMPUTED_VALUE"""),2629.0)</f>
        <v>2629</v>
      </c>
      <c r="W196" s="250">
        <f>IFERROR(__xludf.DUMMYFUNCTION("""COMPUTED_VALUE"""),2369.0)</f>
        <v>2369</v>
      </c>
      <c r="X196" t="b">
        <f t="shared" ref="X196:Z196" si="368">ISBLANK(K196)</f>
        <v>1</v>
      </c>
      <c r="Y196" t="b">
        <f t="shared" si="368"/>
        <v>0</v>
      </c>
      <c r="Z196" t="b">
        <f t="shared" si="368"/>
        <v>0</v>
      </c>
      <c r="AA196">
        <f t="shared" ref="AA196:AC196" si="369">IF(X196=FALSE,1,0)</f>
        <v>0</v>
      </c>
      <c r="AB196">
        <f t="shared" si="369"/>
        <v>1</v>
      </c>
      <c r="AC196">
        <f t="shared" si="369"/>
        <v>1</v>
      </c>
      <c r="AD196">
        <f t="shared" si="6"/>
        <v>2</v>
      </c>
      <c r="AE196">
        <f t="shared" si="7"/>
        <v>1</v>
      </c>
      <c r="AF196">
        <f>if(iferror(vlookup($A196,'Description Database'!$E$2:$H$951,3,0),0)=TRUE,1,0)</f>
        <v>0</v>
      </c>
      <c r="AG196">
        <f>if(iferror(vlookup($A196,'Description Database'!$E$2:$H$951,4,0),0)=TRUE,1,0)</f>
        <v>0</v>
      </c>
    </row>
    <row r="197">
      <c r="A197" t="str">
        <f>IFERROR(__xludf.DUMMYFUNCTION("""COMPUTED_VALUE"""),"Lenovo Vibe P1M (2 GB/16 GB)")</f>
        <v>Lenovo Vibe P1M (2 GB/16 GB)</v>
      </c>
      <c r="B197" t="str">
        <f>IFERROR(__xludf.DUMMYFUNCTION("""COMPUTED_VALUE"""),"")</f>
        <v/>
      </c>
      <c r="C197" t="str">
        <f>IFERROR(__xludf.DUMMYFUNCTION("""COMPUTED_VALUE"""),"")</f>
        <v/>
      </c>
      <c r="D197" t="str">
        <f>IFERROR(__xludf.DUMMYFUNCTION("""COMPUTED_VALUE"""),"")</f>
        <v/>
      </c>
      <c r="E197" t="str">
        <f>IFERROR(__xludf.DUMMYFUNCTION("""COMPUTED_VALUE"""),"")</f>
        <v/>
      </c>
      <c r="F197" t="str">
        <f>IFERROR(__xludf.DUMMYFUNCTION("""COMPUTED_VALUE"""),"")</f>
        <v/>
      </c>
      <c r="G197" t="str">
        <f>IFERROR(__xludf.DUMMYFUNCTION("""COMPUTED_VALUE"""),"")</f>
        <v/>
      </c>
      <c r="H197" t="str">
        <f>IFERROR(__xludf.DUMMYFUNCTION("""COMPUTED_VALUE"""),"")</f>
        <v/>
      </c>
      <c r="I197">
        <f>IFERROR(__xludf.DUMMYFUNCTION("""COMPUTED_VALUE"""),12.0)</f>
        <v>12</v>
      </c>
      <c r="J197">
        <f>IFERROR(__xludf.DUMMYFUNCTION("""COMPUTED_VALUE"""),12.0)</f>
        <v>12</v>
      </c>
      <c r="L197" s="250" t="str">
        <f>IFERROR(__xludf.DUMMYFUNCTION("""COMPUTED_VALUE"""),"")</f>
        <v/>
      </c>
      <c r="M197" s="250" t="str">
        <f>IFERROR(__xludf.DUMMYFUNCTION("""COMPUTED_VALUE"""),"")</f>
        <v/>
      </c>
      <c r="N197" s="250" t="str">
        <f>IFERROR(__xludf.DUMMYFUNCTION("""COMPUTED_VALUE"""),"")</f>
        <v/>
      </c>
      <c r="O197" s="250" t="str">
        <f>IFERROR(__xludf.DUMMYFUNCTION("""COMPUTED_VALUE"""),"")</f>
        <v/>
      </c>
      <c r="P197" s="250" t="str">
        <f>IFERROR(__xludf.DUMMYFUNCTION("""COMPUTED_VALUE"""),"")</f>
        <v/>
      </c>
      <c r="Q197" s="250" t="str">
        <f>IFERROR(__xludf.DUMMYFUNCTION("""COMPUTED_VALUE"""),"")</f>
        <v/>
      </c>
      <c r="R197" s="250" t="str">
        <f>IFERROR(__xludf.DUMMYFUNCTION("""COMPUTED_VALUE"""),"")</f>
        <v/>
      </c>
      <c r="U197" s="250">
        <f>IFERROR(__xludf.DUMMYFUNCTION("""COMPUTED_VALUE"""),2159.0)</f>
        <v>2159</v>
      </c>
      <c r="V197" s="250">
        <f>IFERROR(__xludf.DUMMYFUNCTION("""COMPUTED_VALUE"""),2049.0)</f>
        <v>2049</v>
      </c>
      <c r="W197" s="250">
        <f>IFERROR(__xludf.DUMMYFUNCTION("""COMPUTED_VALUE"""),1849.0)</f>
        <v>1849</v>
      </c>
      <c r="X197" t="b">
        <f t="shared" ref="X197:Z197" si="370">ISBLANK(K197)</f>
        <v>1</v>
      </c>
      <c r="Y197" t="b">
        <f t="shared" si="370"/>
        <v>0</v>
      </c>
      <c r="Z197" t="b">
        <f t="shared" si="370"/>
        <v>0</v>
      </c>
      <c r="AA197">
        <f t="shared" ref="AA197:AC197" si="371">IF(X197=FALSE,1,0)</f>
        <v>0</v>
      </c>
      <c r="AB197">
        <f t="shared" si="371"/>
        <v>1</v>
      </c>
      <c r="AC197">
        <f t="shared" si="371"/>
        <v>1</v>
      </c>
      <c r="AD197">
        <f t="shared" si="6"/>
        <v>2</v>
      </c>
      <c r="AE197">
        <f t="shared" si="7"/>
        <v>1</v>
      </c>
      <c r="AF197">
        <f>if(iferror(vlookup($A197,'Description Database'!$E$2:$H$951,3,0),0)=TRUE,1,0)</f>
        <v>0</v>
      </c>
      <c r="AG197">
        <f>if(iferror(vlookup($A197,'Description Database'!$E$2:$H$951,4,0),0)=TRUE,1,0)</f>
        <v>0</v>
      </c>
    </row>
    <row r="198">
      <c r="A198" t="str">
        <f>IFERROR(__xludf.DUMMYFUNCTION("""COMPUTED_VALUE"""),"Honor 5C (2 GB/16 GB)")</f>
        <v>Honor 5C (2 GB/16 GB)</v>
      </c>
      <c r="B198" t="str">
        <f>IFERROR(__xludf.DUMMYFUNCTION("""COMPUTED_VALUE"""),"")</f>
        <v/>
      </c>
      <c r="C198" t="str">
        <f>IFERROR(__xludf.DUMMYFUNCTION("""COMPUTED_VALUE"""),"")</f>
        <v/>
      </c>
      <c r="D198" t="str">
        <f>IFERROR(__xludf.DUMMYFUNCTION("""COMPUTED_VALUE"""),"")</f>
        <v/>
      </c>
      <c r="E198" t="str">
        <f>IFERROR(__xludf.DUMMYFUNCTION("""COMPUTED_VALUE"""),"")</f>
        <v/>
      </c>
      <c r="F198" t="str">
        <f>IFERROR(__xludf.DUMMYFUNCTION("""COMPUTED_VALUE"""),"")</f>
        <v/>
      </c>
      <c r="G198" t="str">
        <f>IFERROR(__xludf.DUMMYFUNCTION("""COMPUTED_VALUE"""),"")</f>
        <v/>
      </c>
      <c r="H198" t="str">
        <f>IFERROR(__xludf.DUMMYFUNCTION("""COMPUTED_VALUE"""),"")</f>
        <v/>
      </c>
      <c r="I198">
        <f>IFERROR(__xludf.DUMMYFUNCTION("""COMPUTED_VALUE"""),1.0)</f>
        <v>1</v>
      </c>
      <c r="J198">
        <f>IFERROR(__xludf.DUMMYFUNCTION("""COMPUTED_VALUE"""),1.0)</f>
        <v>1</v>
      </c>
      <c r="L198" s="250" t="str">
        <f>IFERROR(__xludf.DUMMYFUNCTION("""COMPUTED_VALUE"""),"")</f>
        <v/>
      </c>
      <c r="M198" s="250" t="str">
        <f>IFERROR(__xludf.DUMMYFUNCTION("""COMPUTED_VALUE"""),"")</f>
        <v/>
      </c>
      <c r="N198" s="250" t="str">
        <f>IFERROR(__xludf.DUMMYFUNCTION("""COMPUTED_VALUE"""),"")</f>
        <v/>
      </c>
      <c r="O198" s="250" t="str">
        <f>IFERROR(__xludf.DUMMYFUNCTION("""COMPUTED_VALUE"""),"")</f>
        <v/>
      </c>
      <c r="P198" s="250" t="str">
        <f>IFERROR(__xludf.DUMMYFUNCTION("""COMPUTED_VALUE"""),"")</f>
        <v/>
      </c>
      <c r="Q198" s="250" t="str">
        <f>IFERROR(__xludf.DUMMYFUNCTION("""COMPUTED_VALUE"""),"")</f>
        <v/>
      </c>
      <c r="R198" s="250" t="str">
        <f>IFERROR(__xludf.DUMMYFUNCTION("""COMPUTED_VALUE"""),"")</f>
        <v/>
      </c>
      <c r="U198" s="250">
        <f>IFERROR(__xludf.DUMMYFUNCTION("""COMPUTED_VALUE"""),2389.0)</f>
        <v>2389</v>
      </c>
      <c r="V198" s="250">
        <f>IFERROR(__xludf.DUMMYFUNCTION("""COMPUTED_VALUE"""),2269.0)</f>
        <v>2269</v>
      </c>
      <c r="W198" s="250">
        <f>IFERROR(__xludf.DUMMYFUNCTION("""COMPUTED_VALUE"""),2039.0)</f>
        <v>2039</v>
      </c>
      <c r="X198" t="b">
        <f t="shared" ref="X198:Z198" si="372">ISBLANK(K198)</f>
        <v>1</v>
      </c>
      <c r="Y198" t="b">
        <f t="shared" si="372"/>
        <v>0</v>
      </c>
      <c r="Z198" t="b">
        <f t="shared" si="372"/>
        <v>0</v>
      </c>
      <c r="AA198">
        <f t="shared" ref="AA198:AC198" si="373">IF(X198=FALSE,1,0)</f>
        <v>0</v>
      </c>
      <c r="AB198">
        <f t="shared" si="373"/>
        <v>1</v>
      </c>
      <c r="AC198">
        <f t="shared" si="373"/>
        <v>1</v>
      </c>
      <c r="AD198">
        <f t="shared" si="6"/>
        <v>2</v>
      </c>
      <c r="AE198">
        <f t="shared" si="7"/>
        <v>1</v>
      </c>
      <c r="AF198">
        <f>if(iferror(vlookup($A198,'Description Database'!$E$2:$H$951,3,0),0)=TRUE,1,0)</f>
        <v>0</v>
      </c>
      <c r="AG198">
        <f>if(iferror(vlookup($A198,'Description Database'!$E$2:$H$951,4,0),0)=TRUE,1,0)</f>
        <v>0</v>
      </c>
    </row>
    <row r="199">
      <c r="A199" t="str">
        <f>IFERROR(__xludf.DUMMYFUNCTION("""COMPUTED_VALUE"""),"Lenovo A7000 (2 GB/8 GB)")</f>
        <v>Lenovo A7000 (2 GB/8 GB)</v>
      </c>
      <c r="B199" t="str">
        <f>IFERROR(__xludf.DUMMYFUNCTION("""COMPUTED_VALUE"""),"")</f>
        <v/>
      </c>
      <c r="C199" t="str">
        <f>IFERROR(__xludf.DUMMYFUNCTION("""COMPUTED_VALUE"""),"")</f>
        <v/>
      </c>
      <c r="D199" t="str">
        <f>IFERROR(__xludf.DUMMYFUNCTION("""COMPUTED_VALUE"""),"")</f>
        <v/>
      </c>
      <c r="E199" t="str">
        <f>IFERROR(__xludf.DUMMYFUNCTION("""COMPUTED_VALUE"""),"")</f>
        <v/>
      </c>
      <c r="F199" t="str">
        <f>IFERROR(__xludf.DUMMYFUNCTION("""COMPUTED_VALUE"""),"")</f>
        <v/>
      </c>
      <c r="G199" t="str">
        <f>IFERROR(__xludf.DUMMYFUNCTION("""COMPUTED_VALUE"""),"")</f>
        <v/>
      </c>
      <c r="H199" t="str">
        <f>IFERROR(__xludf.DUMMYFUNCTION("""COMPUTED_VALUE"""),"")</f>
        <v/>
      </c>
      <c r="I199">
        <f>IFERROR(__xludf.DUMMYFUNCTION("""COMPUTED_VALUE"""),9.0)</f>
        <v>9</v>
      </c>
      <c r="J199">
        <f>IFERROR(__xludf.DUMMYFUNCTION("""COMPUTED_VALUE"""),9.0)</f>
        <v>9</v>
      </c>
      <c r="L199" s="250" t="str">
        <f>IFERROR(__xludf.DUMMYFUNCTION("""COMPUTED_VALUE"""),"")</f>
        <v/>
      </c>
      <c r="M199" s="250" t="str">
        <f>IFERROR(__xludf.DUMMYFUNCTION("""COMPUTED_VALUE"""),"")</f>
        <v/>
      </c>
      <c r="N199" s="250" t="str">
        <f>IFERROR(__xludf.DUMMYFUNCTION("""COMPUTED_VALUE"""),"")</f>
        <v/>
      </c>
      <c r="O199" s="250" t="str">
        <f>IFERROR(__xludf.DUMMYFUNCTION("""COMPUTED_VALUE"""),"")</f>
        <v/>
      </c>
      <c r="P199" s="250" t="str">
        <f>IFERROR(__xludf.DUMMYFUNCTION("""COMPUTED_VALUE"""),"")</f>
        <v/>
      </c>
      <c r="Q199" s="250" t="str">
        <f>IFERROR(__xludf.DUMMYFUNCTION("""COMPUTED_VALUE"""),"")</f>
        <v/>
      </c>
      <c r="R199" s="250" t="str">
        <f>IFERROR(__xludf.DUMMYFUNCTION("""COMPUTED_VALUE"""),"")</f>
        <v/>
      </c>
      <c r="U199" s="250">
        <f>IFERROR(__xludf.DUMMYFUNCTION("""COMPUTED_VALUE"""),1849.0)</f>
        <v>1849</v>
      </c>
      <c r="V199" s="250">
        <f>IFERROR(__xludf.DUMMYFUNCTION("""COMPUTED_VALUE"""),1759.0)</f>
        <v>1759</v>
      </c>
      <c r="W199" s="250">
        <f>IFERROR(__xludf.DUMMYFUNCTION("""COMPUTED_VALUE"""),1589.0)</f>
        <v>1589</v>
      </c>
      <c r="X199" t="b">
        <f t="shared" ref="X199:Z199" si="374">ISBLANK(K199)</f>
        <v>1</v>
      </c>
      <c r="Y199" t="b">
        <f t="shared" si="374"/>
        <v>0</v>
      </c>
      <c r="Z199" t="b">
        <f t="shared" si="374"/>
        <v>0</v>
      </c>
      <c r="AA199">
        <f t="shared" ref="AA199:AC199" si="375">IF(X199=FALSE,1,0)</f>
        <v>0</v>
      </c>
      <c r="AB199">
        <f t="shared" si="375"/>
        <v>1</v>
      </c>
      <c r="AC199">
        <f t="shared" si="375"/>
        <v>1</v>
      </c>
      <c r="AD199">
        <f t="shared" si="6"/>
        <v>2</v>
      </c>
      <c r="AE199">
        <f t="shared" si="7"/>
        <v>1</v>
      </c>
      <c r="AF199">
        <f>if(iferror(vlookup($A199,'Description Database'!$E$2:$H$951,3,0),0)=TRUE,1,0)</f>
        <v>0</v>
      </c>
      <c r="AG199">
        <f>if(iferror(vlookup($A199,'Description Database'!$E$2:$H$951,4,0),0)=TRUE,1,0)</f>
        <v>0</v>
      </c>
    </row>
    <row r="200">
      <c r="A200" t="str">
        <f>IFERROR(__xludf.DUMMYFUNCTION("""COMPUTED_VALUE"""),"Samsung Galaxy Grand Duos I9082")</f>
        <v>Samsung Galaxy Grand Duos I9082</v>
      </c>
      <c r="B200" t="str">
        <f>IFERROR(__xludf.DUMMYFUNCTION("""COMPUTED_VALUE"""),"")</f>
        <v/>
      </c>
      <c r="C200" t="str">
        <f>IFERROR(__xludf.DUMMYFUNCTION("""COMPUTED_VALUE"""),"")</f>
        <v/>
      </c>
      <c r="D200" t="str">
        <f>IFERROR(__xludf.DUMMYFUNCTION("""COMPUTED_VALUE"""),"")</f>
        <v/>
      </c>
      <c r="E200" t="str">
        <f>IFERROR(__xludf.DUMMYFUNCTION("""COMPUTED_VALUE"""),"")</f>
        <v/>
      </c>
      <c r="F200" t="str">
        <f>IFERROR(__xludf.DUMMYFUNCTION("""COMPUTED_VALUE"""),"")</f>
        <v/>
      </c>
      <c r="G200">
        <f>IFERROR(__xludf.DUMMYFUNCTION("""COMPUTED_VALUE"""),1.0)</f>
        <v>1</v>
      </c>
      <c r="H200" t="str">
        <f>IFERROR(__xludf.DUMMYFUNCTION("""COMPUTED_VALUE"""),"")</f>
        <v/>
      </c>
      <c r="I200">
        <f>IFERROR(__xludf.DUMMYFUNCTION("""COMPUTED_VALUE"""),1.0)</f>
        <v>1</v>
      </c>
      <c r="J200">
        <f>IFERROR(__xludf.DUMMYFUNCTION("""COMPUTED_VALUE"""),2.0)</f>
        <v>2</v>
      </c>
      <c r="L200" s="250" t="str">
        <f>IFERROR(__xludf.DUMMYFUNCTION("""COMPUTED_VALUE"""),"")</f>
        <v/>
      </c>
      <c r="M200" s="250" t="str">
        <f>IFERROR(__xludf.DUMMYFUNCTION("""COMPUTED_VALUE"""),"")</f>
        <v/>
      </c>
      <c r="N200" s="250" t="str">
        <f>IFERROR(__xludf.DUMMYFUNCTION("""COMPUTED_VALUE"""),"")</f>
        <v/>
      </c>
      <c r="O200" s="250" t="str">
        <f>IFERROR(__xludf.DUMMYFUNCTION("""COMPUTED_VALUE"""),"")</f>
        <v/>
      </c>
      <c r="P200" s="250" t="str">
        <f>IFERROR(__xludf.DUMMYFUNCTION("""COMPUTED_VALUE"""),"")</f>
        <v/>
      </c>
      <c r="Q200" s="250">
        <f>IFERROR(__xludf.DUMMYFUNCTION("""COMPUTED_VALUE"""),649.0)</f>
        <v>649</v>
      </c>
      <c r="R200" s="250" t="str">
        <f>IFERROR(__xludf.DUMMYFUNCTION("""COMPUTED_VALUE"""),"")</f>
        <v/>
      </c>
      <c r="U200" s="250">
        <f>IFERROR(__xludf.DUMMYFUNCTION("""COMPUTED_VALUE"""),1389.0)</f>
        <v>1389</v>
      </c>
      <c r="V200" s="250">
        <f>IFERROR(__xludf.DUMMYFUNCTION("""COMPUTED_VALUE"""),1319.0)</f>
        <v>1319</v>
      </c>
      <c r="W200" s="250">
        <f>IFERROR(__xludf.DUMMYFUNCTION("""COMPUTED_VALUE"""),1189.0)</f>
        <v>1189</v>
      </c>
      <c r="X200" t="b">
        <f t="shared" ref="X200:Z200" si="376">ISBLANK(K200)</f>
        <v>1</v>
      </c>
      <c r="Y200" t="b">
        <f t="shared" si="376"/>
        <v>0</v>
      </c>
      <c r="Z200" t="b">
        <f t="shared" si="376"/>
        <v>0</v>
      </c>
      <c r="AA200">
        <f t="shared" ref="AA200:AC200" si="377">IF(X200=FALSE,1,0)</f>
        <v>0</v>
      </c>
      <c r="AB200">
        <f t="shared" si="377"/>
        <v>1</v>
      </c>
      <c r="AC200">
        <f t="shared" si="377"/>
        <v>1</v>
      </c>
      <c r="AD200">
        <f t="shared" si="6"/>
        <v>2</v>
      </c>
      <c r="AE200">
        <f t="shared" si="7"/>
        <v>1</v>
      </c>
      <c r="AF200">
        <f>if(iferror(vlookup($A200,'Description Database'!$E$2:$H$951,3,0),0)=TRUE,1,0)</f>
        <v>0</v>
      </c>
      <c r="AG200">
        <f>if(iferror(vlookup($A200,'Description Database'!$E$2:$H$951,4,0),0)=TRUE,1,0)</f>
        <v>0</v>
      </c>
    </row>
    <row r="201">
      <c r="A201" t="str">
        <f>IFERROR(__xludf.DUMMYFUNCTION("""COMPUTED_VALUE"""),"Motorola Moto E4 Plus (3 GB/32 GB)")</f>
        <v>Motorola Moto E4 Plus (3 GB/32 GB)</v>
      </c>
      <c r="B201" t="str">
        <f>IFERROR(__xludf.DUMMYFUNCTION("""COMPUTED_VALUE"""),"")</f>
        <v/>
      </c>
      <c r="C201" t="str">
        <f>IFERROR(__xludf.DUMMYFUNCTION("""COMPUTED_VALUE"""),"")</f>
        <v/>
      </c>
      <c r="D201" t="str">
        <f>IFERROR(__xludf.DUMMYFUNCTION("""COMPUTED_VALUE"""),"")</f>
        <v/>
      </c>
      <c r="E201">
        <f>IFERROR(__xludf.DUMMYFUNCTION("""COMPUTED_VALUE"""),1.0)</f>
        <v>1</v>
      </c>
      <c r="F201" t="str">
        <f>IFERROR(__xludf.DUMMYFUNCTION("""COMPUTED_VALUE"""),"")</f>
        <v/>
      </c>
      <c r="G201">
        <f>IFERROR(__xludf.DUMMYFUNCTION("""COMPUTED_VALUE"""),2.0)</f>
        <v>2</v>
      </c>
      <c r="H201">
        <f>IFERROR(__xludf.DUMMYFUNCTION("""COMPUTED_VALUE"""),1.0)</f>
        <v>1</v>
      </c>
      <c r="I201">
        <f>IFERROR(__xludf.DUMMYFUNCTION("""COMPUTED_VALUE"""),35.0)</f>
        <v>35</v>
      </c>
      <c r="J201">
        <f>IFERROR(__xludf.DUMMYFUNCTION("""COMPUTED_VALUE"""),39.0)</f>
        <v>39</v>
      </c>
      <c r="L201" s="250" t="str">
        <f>IFERROR(__xludf.DUMMYFUNCTION("""COMPUTED_VALUE"""),"")</f>
        <v/>
      </c>
      <c r="M201" s="250" t="str">
        <f>IFERROR(__xludf.DUMMYFUNCTION("""COMPUTED_VALUE"""),"")</f>
        <v/>
      </c>
      <c r="N201" s="250" t="str">
        <f>IFERROR(__xludf.DUMMYFUNCTION("""COMPUTED_VALUE"""),"")</f>
        <v/>
      </c>
      <c r="O201" s="250">
        <f>IFERROR(__xludf.DUMMYFUNCTION("""COMPUTED_VALUE"""),3104.0)</f>
        <v>3104</v>
      </c>
      <c r="P201" s="250" t="str">
        <f>IFERROR(__xludf.DUMMYFUNCTION("""COMPUTED_VALUE"""),"")</f>
        <v/>
      </c>
      <c r="Q201" s="250">
        <f>IFERROR(__xludf.DUMMYFUNCTION("""COMPUTED_VALUE"""),1809.0)</f>
        <v>1809</v>
      </c>
      <c r="R201" s="250">
        <f>IFERROR(__xludf.DUMMYFUNCTION("""COMPUTED_VALUE"""),1489.0)</f>
        <v>1489</v>
      </c>
      <c r="U201" s="250">
        <f>IFERROR(__xludf.DUMMYFUNCTION("""COMPUTED_VALUE"""),4319.0)</f>
        <v>4319</v>
      </c>
      <c r="V201" s="250">
        <f>IFERROR(__xludf.DUMMYFUNCTION("""COMPUTED_VALUE"""),4109.0)</f>
        <v>4109</v>
      </c>
      <c r="W201" s="250">
        <f>IFERROR(__xludf.DUMMYFUNCTION("""COMPUTED_VALUE"""),3749.0)</f>
        <v>3749</v>
      </c>
      <c r="X201" t="b">
        <f t="shared" ref="X201:Z201" si="378">ISBLANK(K201)</f>
        <v>1</v>
      </c>
      <c r="Y201" t="b">
        <f t="shared" si="378"/>
        <v>0</v>
      </c>
      <c r="Z201" t="b">
        <f t="shared" si="378"/>
        <v>0</v>
      </c>
      <c r="AA201">
        <f t="shared" ref="AA201:AC201" si="379">IF(X201=FALSE,1,0)</f>
        <v>0</v>
      </c>
      <c r="AB201">
        <f t="shared" si="379"/>
        <v>1</v>
      </c>
      <c r="AC201">
        <f t="shared" si="379"/>
        <v>1</v>
      </c>
      <c r="AD201">
        <f t="shared" si="6"/>
        <v>2</v>
      </c>
      <c r="AE201">
        <f t="shared" si="7"/>
        <v>1</v>
      </c>
      <c r="AF201">
        <f>if(iferror(vlookup($A201,'Description Database'!$E$2:$H$951,3,0),0)=TRUE,1,0)</f>
        <v>0</v>
      </c>
      <c r="AG201">
        <f>if(iferror(vlookup($A201,'Description Database'!$E$2:$H$951,4,0),0)=TRUE,1,0)</f>
        <v>0</v>
      </c>
    </row>
    <row r="202">
      <c r="A202" t="str">
        <f>IFERROR(__xludf.DUMMYFUNCTION("""COMPUTED_VALUE"""),"Oppo F1s (4 GB/64 GB)")</f>
        <v>Oppo F1s (4 GB/64 GB)</v>
      </c>
      <c r="B202" t="str">
        <f>IFERROR(__xludf.DUMMYFUNCTION("""COMPUTED_VALUE"""),"")</f>
        <v/>
      </c>
      <c r="C202" t="str">
        <f>IFERROR(__xludf.DUMMYFUNCTION("""COMPUTED_VALUE"""),"")</f>
        <v/>
      </c>
      <c r="D202" t="str">
        <f>IFERROR(__xludf.DUMMYFUNCTION("""COMPUTED_VALUE"""),"")</f>
        <v/>
      </c>
      <c r="E202" t="str">
        <f>IFERROR(__xludf.DUMMYFUNCTION("""COMPUTED_VALUE"""),"")</f>
        <v/>
      </c>
      <c r="F202" t="str">
        <f>IFERROR(__xludf.DUMMYFUNCTION("""COMPUTED_VALUE"""),"")</f>
        <v/>
      </c>
      <c r="G202">
        <f>IFERROR(__xludf.DUMMYFUNCTION("""COMPUTED_VALUE"""),2.0)</f>
        <v>2</v>
      </c>
      <c r="H202" t="str">
        <f>IFERROR(__xludf.DUMMYFUNCTION("""COMPUTED_VALUE"""),"")</f>
        <v/>
      </c>
      <c r="I202">
        <f>IFERROR(__xludf.DUMMYFUNCTION("""COMPUTED_VALUE"""),6.0)</f>
        <v>6</v>
      </c>
      <c r="J202">
        <f>IFERROR(__xludf.DUMMYFUNCTION("""COMPUTED_VALUE"""),8.0)</f>
        <v>8</v>
      </c>
      <c r="L202" s="250" t="str">
        <f>IFERROR(__xludf.DUMMYFUNCTION("""COMPUTED_VALUE"""),"")</f>
        <v/>
      </c>
      <c r="M202" s="250" t="str">
        <f>IFERROR(__xludf.DUMMYFUNCTION("""COMPUTED_VALUE"""),"")</f>
        <v/>
      </c>
      <c r="N202" s="250" t="str">
        <f>IFERROR(__xludf.DUMMYFUNCTION("""COMPUTED_VALUE"""),"")</f>
        <v/>
      </c>
      <c r="O202" s="250" t="str">
        <f>IFERROR(__xludf.DUMMYFUNCTION("""COMPUTED_VALUE"""),"")</f>
        <v/>
      </c>
      <c r="P202" s="250" t="str">
        <f>IFERROR(__xludf.DUMMYFUNCTION("""COMPUTED_VALUE"""),"")</f>
        <v/>
      </c>
      <c r="Q202" s="250">
        <f>IFERROR(__xludf.DUMMYFUNCTION("""COMPUTED_VALUE"""),2709.0)</f>
        <v>2709</v>
      </c>
      <c r="R202" s="250" t="str">
        <f>IFERROR(__xludf.DUMMYFUNCTION("""COMPUTED_VALUE"""),"")</f>
        <v/>
      </c>
      <c r="U202" s="250">
        <f>IFERROR(__xludf.DUMMYFUNCTION("""COMPUTED_VALUE"""),5709.0)</f>
        <v>5709</v>
      </c>
      <c r="V202" s="250">
        <f>IFERROR(__xludf.DUMMYFUNCTION("""COMPUTED_VALUE"""),5439.0)</f>
        <v>5439</v>
      </c>
      <c r="W202" s="250">
        <f>IFERROR(__xludf.DUMMYFUNCTION("""COMPUTED_VALUE"""),4899.0)</f>
        <v>4899</v>
      </c>
      <c r="X202" t="b">
        <f t="shared" ref="X202:Z202" si="380">ISBLANK(K202)</f>
        <v>1</v>
      </c>
      <c r="Y202" t="b">
        <f t="shared" si="380"/>
        <v>0</v>
      </c>
      <c r="Z202" t="b">
        <f t="shared" si="380"/>
        <v>0</v>
      </c>
      <c r="AA202">
        <f t="shared" ref="AA202:AC202" si="381">IF(X202=FALSE,1,0)</f>
        <v>0</v>
      </c>
      <c r="AB202">
        <f t="shared" si="381"/>
        <v>1</v>
      </c>
      <c r="AC202">
        <f t="shared" si="381"/>
        <v>1</v>
      </c>
      <c r="AD202">
        <f t="shared" si="6"/>
        <v>2</v>
      </c>
      <c r="AE202">
        <f t="shared" si="7"/>
        <v>1</v>
      </c>
      <c r="AF202">
        <f>if(iferror(vlookup($A202,'Description Database'!$E$2:$H$951,3,0),0)=TRUE,1,0)</f>
        <v>0</v>
      </c>
      <c r="AG202">
        <f>if(iferror(vlookup($A202,'Description Database'!$E$2:$H$951,4,0),0)=TRUE,1,0)</f>
        <v>0</v>
      </c>
    </row>
    <row r="203">
      <c r="A203" t="str">
        <f>IFERROR(__xludf.DUMMYFUNCTION("""COMPUTED_VALUE"""),"Honor Play (4 GB/64 GB)")</f>
        <v>Honor Play (4 GB/64 GB)</v>
      </c>
      <c r="B203" t="str">
        <f>IFERROR(__xludf.DUMMYFUNCTION("""COMPUTED_VALUE"""),"")</f>
        <v/>
      </c>
      <c r="C203" t="str">
        <f>IFERROR(__xludf.DUMMYFUNCTION("""COMPUTED_VALUE"""),"")</f>
        <v/>
      </c>
      <c r="D203" t="str">
        <f>IFERROR(__xludf.DUMMYFUNCTION("""COMPUTED_VALUE"""),"")</f>
        <v/>
      </c>
      <c r="E203" t="str">
        <f>IFERROR(__xludf.DUMMYFUNCTION("""COMPUTED_VALUE"""),"")</f>
        <v/>
      </c>
      <c r="F203">
        <f>IFERROR(__xludf.DUMMYFUNCTION("""COMPUTED_VALUE"""),1.0)</f>
        <v>1</v>
      </c>
      <c r="G203" t="str">
        <f>IFERROR(__xludf.DUMMYFUNCTION("""COMPUTED_VALUE"""),"")</f>
        <v/>
      </c>
      <c r="H203" t="str">
        <f>IFERROR(__xludf.DUMMYFUNCTION("""COMPUTED_VALUE"""),"")</f>
        <v/>
      </c>
      <c r="I203">
        <f>IFERROR(__xludf.DUMMYFUNCTION("""COMPUTED_VALUE"""),1.0)</f>
        <v>1</v>
      </c>
      <c r="J203">
        <f>IFERROR(__xludf.DUMMYFUNCTION("""COMPUTED_VALUE"""),2.0)</f>
        <v>2</v>
      </c>
      <c r="L203" s="250" t="str">
        <f>IFERROR(__xludf.DUMMYFUNCTION("""COMPUTED_VALUE"""),"")</f>
        <v/>
      </c>
      <c r="M203" s="250" t="str">
        <f>IFERROR(__xludf.DUMMYFUNCTION("""COMPUTED_VALUE"""),"")</f>
        <v/>
      </c>
      <c r="N203" s="250" t="str">
        <f>IFERROR(__xludf.DUMMYFUNCTION("""COMPUTED_VALUE"""),"")</f>
        <v/>
      </c>
      <c r="O203" s="250" t="str">
        <f>IFERROR(__xludf.DUMMYFUNCTION("""COMPUTED_VALUE"""),"")</f>
        <v/>
      </c>
      <c r="P203" s="250">
        <f>IFERROR(__xludf.DUMMYFUNCTION("""COMPUTED_VALUE"""),4619.0)</f>
        <v>4619</v>
      </c>
      <c r="Q203" s="250" t="str">
        <f>IFERROR(__xludf.DUMMYFUNCTION("""COMPUTED_VALUE"""),"")</f>
        <v/>
      </c>
      <c r="R203" s="250" t="str">
        <f>IFERROR(__xludf.DUMMYFUNCTION("""COMPUTED_VALUE"""),"")</f>
        <v/>
      </c>
      <c r="U203" s="250">
        <f>IFERROR(__xludf.DUMMYFUNCTION("""COMPUTED_VALUE"""),7109.0)</f>
        <v>7109</v>
      </c>
      <c r="V203" s="250">
        <f>IFERROR(__xludf.DUMMYFUNCTION("""COMPUTED_VALUE"""),6769.0)</f>
        <v>6769</v>
      </c>
      <c r="W203" s="250">
        <f>IFERROR(__xludf.DUMMYFUNCTION("""COMPUTED_VALUE"""),6089.0)</f>
        <v>6089</v>
      </c>
      <c r="X203" t="b">
        <f t="shared" ref="X203:Z203" si="382">ISBLANK(K203)</f>
        <v>1</v>
      </c>
      <c r="Y203" t="b">
        <f t="shared" si="382"/>
        <v>0</v>
      </c>
      <c r="Z203" t="b">
        <f t="shared" si="382"/>
        <v>0</v>
      </c>
      <c r="AA203">
        <f t="shared" ref="AA203:AC203" si="383">IF(X203=FALSE,1,0)</f>
        <v>0</v>
      </c>
      <c r="AB203">
        <f t="shared" si="383"/>
        <v>1</v>
      </c>
      <c r="AC203">
        <f t="shared" si="383"/>
        <v>1</v>
      </c>
      <c r="AD203">
        <f t="shared" si="6"/>
        <v>2</v>
      </c>
      <c r="AE203">
        <f t="shared" si="7"/>
        <v>1</v>
      </c>
      <c r="AF203">
        <f>if(iferror(vlookup($A203,'Description Database'!$E$2:$H$951,3,0),0)=TRUE,1,0)</f>
        <v>0</v>
      </c>
      <c r="AG203">
        <f>if(iferror(vlookup($A203,'Description Database'!$E$2:$H$951,4,0),0)=TRUE,1,0)</f>
        <v>0</v>
      </c>
    </row>
    <row r="204">
      <c r="A204" t="str">
        <f>IFERROR(__xludf.DUMMYFUNCTION("""COMPUTED_VALUE"""),"Motorola Moto X Play (2 GB/32 GB)")</f>
        <v>Motorola Moto X Play (2 GB/32 GB)</v>
      </c>
      <c r="B204" t="str">
        <f>IFERROR(__xludf.DUMMYFUNCTION("""COMPUTED_VALUE"""),"")</f>
        <v/>
      </c>
      <c r="C204" t="str">
        <f>IFERROR(__xludf.DUMMYFUNCTION("""COMPUTED_VALUE"""),"")</f>
        <v/>
      </c>
      <c r="D204" t="str">
        <f>IFERROR(__xludf.DUMMYFUNCTION("""COMPUTED_VALUE"""),"")</f>
        <v/>
      </c>
      <c r="E204" t="str">
        <f>IFERROR(__xludf.DUMMYFUNCTION("""COMPUTED_VALUE"""),"")</f>
        <v/>
      </c>
      <c r="F204" t="str">
        <f>IFERROR(__xludf.DUMMYFUNCTION("""COMPUTED_VALUE"""),"")</f>
        <v/>
      </c>
      <c r="G204">
        <f>IFERROR(__xludf.DUMMYFUNCTION("""COMPUTED_VALUE"""),1.0)</f>
        <v>1</v>
      </c>
      <c r="H204" t="str">
        <f>IFERROR(__xludf.DUMMYFUNCTION("""COMPUTED_VALUE"""),"")</f>
        <v/>
      </c>
      <c r="I204">
        <f>IFERROR(__xludf.DUMMYFUNCTION("""COMPUTED_VALUE"""),10.0)</f>
        <v>10</v>
      </c>
      <c r="J204">
        <f>IFERROR(__xludf.DUMMYFUNCTION("""COMPUTED_VALUE"""),11.0)</f>
        <v>11</v>
      </c>
      <c r="L204" s="250" t="str">
        <f>IFERROR(__xludf.DUMMYFUNCTION("""COMPUTED_VALUE"""),"")</f>
        <v/>
      </c>
      <c r="M204" s="250" t="str">
        <f>IFERROR(__xludf.DUMMYFUNCTION("""COMPUTED_VALUE"""),"")</f>
        <v/>
      </c>
      <c r="N204" s="250" t="str">
        <f>IFERROR(__xludf.DUMMYFUNCTION("""COMPUTED_VALUE"""),"")</f>
        <v/>
      </c>
      <c r="O204" s="250" t="str">
        <f>IFERROR(__xludf.DUMMYFUNCTION("""COMPUTED_VALUE"""),"")</f>
        <v/>
      </c>
      <c r="P204" s="250" t="str">
        <f>IFERROR(__xludf.DUMMYFUNCTION("""COMPUTED_VALUE"""),"")</f>
        <v/>
      </c>
      <c r="Q204" s="250">
        <f>IFERROR(__xludf.DUMMYFUNCTION("""COMPUTED_VALUE"""),1299.0)</f>
        <v>1299</v>
      </c>
      <c r="R204" s="250" t="str">
        <f>IFERROR(__xludf.DUMMYFUNCTION("""COMPUTED_VALUE"""),"")</f>
        <v/>
      </c>
      <c r="U204" s="250">
        <f>IFERROR(__xludf.DUMMYFUNCTION("""COMPUTED_VALUE"""),2629.0)</f>
        <v>2629</v>
      </c>
      <c r="V204" s="250">
        <f>IFERROR(__xludf.DUMMYFUNCTION("""COMPUTED_VALUE"""),2499.0)</f>
        <v>2499</v>
      </c>
      <c r="W204" s="250">
        <f>IFERROR(__xludf.DUMMYFUNCTION("""COMPUTED_VALUE"""),2259.0)</f>
        <v>2259</v>
      </c>
      <c r="X204" t="b">
        <f t="shared" ref="X204:Z204" si="384">ISBLANK(K204)</f>
        <v>1</v>
      </c>
      <c r="Y204" t="b">
        <f t="shared" si="384"/>
        <v>0</v>
      </c>
      <c r="Z204" t="b">
        <f t="shared" si="384"/>
        <v>0</v>
      </c>
      <c r="AA204">
        <f t="shared" ref="AA204:AC204" si="385">IF(X204=FALSE,1,0)</f>
        <v>0</v>
      </c>
      <c r="AB204">
        <f t="shared" si="385"/>
        <v>1</v>
      </c>
      <c r="AC204">
        <f t="shared" si="385"/>
        <v>1</v>
      </c>
      <c r="AD204">
        <f t="shared" si="6"/>
        <v>2</v>
      </c>
      <c r="AE204">
        <f t="shared" si="7"/>
        <v>1</v>
      </c>
      <c r="AF204">
        <f>if(iferror(vlookup($A204,'Description Database'!$E$2:$H$951,3,0),0)=TRUE,1,0)</f>
        <v>0</v>
      </c>
      <c r="AG204">
        <f>if(iferror(vlookup($A204,'Description Database'!$E$2:$H$951,4,0),0)=TRUE,1,0)</f>
        <v>0</v>
      </c>
    </row>
    <row r="205">
      <c r="A205" t="str">
        <f>IFERROR(__xludf.DUMMYFUNCTION("""COMPUTED_VALUE"""),"Asus Zenfone 2 Laser (2 GB/8 GB)")</f>
        <v>Asus Zenfone 2 Laser (2 GB/8 GB)</v>
      </c>
      <c r="B205" t="str">
        <f>IFERROR(__xludf.DUMMYFUNCTION("""COMPUTED_VALUE"""),"")</f>
        <v/>
      </c>
      <c r="C205" t="str">
        <f>IFERROR(__xludf.DUMMYFUNCTION("""COMPUTED_VALUE"""),"")</f>
        <v/>
      </c>
      <c r="D205" t="str">
        <f>IFERROR(__xludf.DUMMYFUNCTION("""COMPUTED_VALUE"""),"")</f>
        <v/>
      </c>
      <c r="E205" t="str">
        <f>IFERROR(__xludf.DUMMYFUNCTION("""COMPUTED_VALUE"""),"")</f>
        <v/>
      </c>
      <c r="F205" t="str">
        <f>IFERROR(__xludf.DUMMYFUNCTION("""COMPUTED_VALUE"""),"")</f>
        <v/>
      </c>
      <c r="G205">
        <f>IFERROR(__xludf.DUMMYFUNCTION("""COMPUTED_VALUE"""),1.0)</f>
        <v>1</v>
      </c>
      <c r="H205" t="str">
        <f>IFERROR(__xludf.DUMMYFUNCTION("""COMPUTED_VALUE"""),"")</f>
        <v/>
      </c>
      <c r="I205">
        <f>IFERROR(__xludf.DUMMYFUNCTION("""COMPUTED_VALUE"""),16.0)</f>
        <v>16</v>
      </c>
      <c r="J205">
        <f>IFERROR(__xludf.DUMMYFUNCTION("""COMPUTED_VALUE"""),17.0)</f>
        <v>17</v>
      </c>
      <c r="L205" s="250" t="str">
        <f>IFERROR(__xludf.DUMMYFUNCTION("""COMPUTED_VALUE"""),"")</f>
        <v/>
      </c>
      <c r="M205" s="250" t="str">
        <f>IFERROR(__xludf.DUMMYFUNCTION("""COMPUTED_VALUE"""),"")</f>
        <v/>
      </c>
      <c r="N205" s="250" t="str">
        <f>IFERROR(__xludf.DUMMYFUNCTION("""COMPUTED_VALUE"""),"")</f>
        <v/>
      </c>
      <c r="O205" s="250" t="str">
        <f>IFERROR(__xludf.DUMMYFUNCTION("""COMPUTED_VALUE"""),"")</f>
        <v/>
      </c>
      <c r="P205" s="250" t="str">
        <f>IFERROR(__xludf.DUMMYFUNCTION("""COMPUTED_VALUE"""),"")</f>
        <v/>
      </c>
      <c r="Q205" s="250">
        <f>IFERROR(__xludf.DUMMYFUNCTION("""COMPUTED_VALUE"""),1349.0)</f>
        <v>1349</v>
      </c>
      <c r="R205" s="250" t="str">
        <f>IFERROR(__xludf.DUMMYFUNCTION("""COMPUTED_VALUE"""),"")</f>
        <v/>
      </c>
      <c r="U205" s="250">
        <f>IFERROR(__xludf.DUMMYFUNCTION("""COMPUTED_VALUE"""),2719.0)</f>
        <v>2719</v>
      </c>
      <c r="V205" s="250">
        <f>IFERROR(__xludf.DUMMYFUNCTION("""COMPUTED_VALUE"""),2589.0)</f>
        <v>2589</v>
      </c>
      <c r="W205" s="250">
        <f>IFERROR(__xludf.DUMMYFUNCTION("""COMPUTED_VALUE"""),2319.0)</f>
        <v>2319</v>
      </c>
      <c r="X205" t="b">
        <f t="shared" ref="X205:Z205" si="386">ISBLANK(K205)</f>
        <v>1</v>
      </c>
      <c r="Y205" t="b">
        <f t="shared" si="386"/>
        <v>0</v>
      </c>
      <c r="Z205" t="b">
        <f t="shared" si="386"/>
        <v>0</v>
      </c>
      <c r="AA205">
        <f t="shared" ref="AA205:AC205" si="387">IF(X205=FALSE,1,0)</f>
        <v>0</v>
      </c>
      <c r="AB205">
        <f t="shared" si="387"/>
        <v>1</v>
      </c>
      <c r="AC205">
        <f t="shared" si="387"/>
        <v>1</v>
      </c>
      <c r="AD205">
        <f t="shared" si="6"/>
        <v>2</v>
      </c>
      <c r="AE205">
        <f t="shared" si="7"/>
        <v>1</v>
      </c>
      <c r="AF205">
        <f>if(iferror(vlookup($A205,'Description Database'!$E$2:$H$951,3,0),0)=TRUE,1,0)</f>
        <v>0</v>
      </c>
      <c r="AG205">
        <f>if(iferror(vlookup($A205,'Description Database'!$E$2:$H$951,4,0),0)=TRUE,1,0)</f>
        <v>0</v>
      </c>
    </row>
    <row r="206">
      <c r="A206" t="str">
        <f>IFERROR(__xludf.DUMMYFUNCTION("""COMPUTED_VALUE"""),"Motorola Moto X Force 2016 (3 GB/32 GB)")</f>
        <v>Motorola Moto X Force 2016 (3 GB/32 GB)</v>
      </c>
      <c r="B206" t="str">
        <f>IFERROR(__xludf.DUMMYFUNCTION("""COMPUTED_VALUE"""),"")</f>
        <v/>
      </c>
      <c r="C206" t="str">
        <f>IFERROR(__xludf.DUMMYFUNCTION("""COMPUTED_VALUE"""),"")</f>
        <v/>
      </c>
      <c r="D206" t="str">
        <f>IFERROR(__xludf.DUMMYFUNCTION("""COMPUTED_VALUE"""),"")</f>
        <v/>
      </c>
      <c r="E206" t="str">
        <f>IFERROR(__xludf.DUMMYFUNCTION("""COMPUTED_VALUE"""),"")</f>
        <v/>
      </c>
      <c r="F206" t="str">
        <f>IFERROR(__xludf.DUMMYFUNCTION("""COMPUTED_VALUE"""),"")</f>
        <v/>
      </c>
      <c r="G206" t="str">
        <f>IFERROR(__xludf.DUMMYFUNCTION("""COMPUTED_VALUE"""),"")</f>
        <v/>
      </c>
      <c r="H206" t="str">
        <f>IFERROR(__xludf.DUMMYFUNCTION("""COMPUTED_VALUE"""),"")</f>
        <v/>
      </c>
      <c r="I206" t="str">
        <f>IFERROR(__xludf.DUMMYFUNCTION("""COMPUTED_VALUE"""),"")</f>
        <v/>
      </c>
      <c r="J206">
        <f>IFERROR(__xludf.DUMMYFUNCTION("""COMPUTED_VALUE"""),0.0)</f>
        <v>0</v>
      </c>
      <c r="L206" s="250" t="str">
        <f>IFERROR(__xludf.DUMMYFUNCTION("""COMPUTED_VALUE"""),"")</f>
        <v/>
      </c>
      <c r="M206" s="250" t="str">
        <f>IFERROR(__xludf.DUMMYFUNCTION("""COMPUTED_VALUE"""),"")</f>
        <v/>
      </c>
      <c r="N206" s="250" t="str">
        <f>IFERROR(__xludf.DUMMYFUNCTION("""COMPUTED_VALUE"""),"")</f>
        <v/>
      </c>
      <c r="O206" s="250" t="str">
        <f>IFERROR(__xludf.DUMMYFUNCTION("""COMPUTED_VALUE"""),"")</f>
        <v/>
      </c>
      <c r="P206" s="250" t="str">
        <f>IFERROR(__xludf.DUMMYFUNCTION("""COMPUTED_VALUE"""),"")</f>
        <v/>
      </c>
      <c r="Q206" s="250" t="str">
        <f>IFERROR(__xludf.DUMMYFUNCTION("""COMPUTED_VALUE"""),"")</f>
        <v/>
      </c>
      <c r="R206" s="250" t="str">
        <f>IFERROR(__xludf.DUMMYFUNCTION("""COMPUTED_VALUE"""),"")</f>
        <v/>
      </c>
      <c r="U206" s="250">
        <f>IFERROR(__xludf.DUMMYFUNCTION("""COMPUTED_VALUE"""),2589.0)</f>
        <v>2589</v>
      </c>
      <c r="V206" s="250">
        <f>IFERROR(__xludf.DUMMYFUNCTION("""COMPUTED_VALUE"""),2459.0)</f>
        <v>2459</v>
      </c>
      <c r="W206" s="250">
        <f>IFERROR(__xludf.DUMMYFUNCTION("""COMPUTED_VALUE"""),2199.0)</f>
        <v>2199</v>
      </c>
      <c r="X206" t="b">
        <f t="shared" ref="X206:Z206" si="388">ISBLANK(K206)</f>
        <v>1</v>
      </c>
      <c r="Y206" t="b">
        <f t="shared" si="388"/>
        <v>0</v>
      </c>
      <c r="Z206" t="b">
        <f t="shared" si="388"/>
        <v>0</v>
      </c>
      <c r="AA206">
        <f t="shared" ref="AA206:AC206" si="389">IF(X206=FALSE,1,0)</f>
        <v>0</v>
      </c>
      <c r="AB206">
        <f t="shared" si="389"/>
        <v>1</v>
      </c>
      <c r="AC206">
        <f t="shared" si="389"/>
        <v>1</v>
      </c>
      <c r="AD206">
        <f t="shared" si="6"/>
        <v>2</v>
      </c>
      <c r="AE206">
        <f t="shared" si="7"/>
        <v>1</v>
      </c>
      <c r="AF206">
        <f>if(iferror(vlookup($A206,'Description Database'!$E$2:$H$951,3,0),0)=TRUE,1,0)</f>
        <v>0</v>
      </c>
      <c r="AG206">
        <f>if(iferror(vlookup($A206,'Description Database'!$E$2:$H$951,4,0),0)=TRUE,1,0)</f>
        <v>0</v>
      </c>
    </row>
    <row r="207">
      <c r="A207" t="str">
        <f>IFERROR(__xludf.DUMMYFUNCTION("""COMPUTED_VALUE"""),"Asus Zenfone Max Pro M1 (6 GB/64 GB)")</f>
        <v>Asus Zenfone Max Pro M1 (6 GB/64 GB)</v>
      </c>
      <c r="B207" t="str">
        <f>IFERROR(__xludf.DUMMYFUNCTION("""COMPUTED_VALUE"""),"")</f>
        <v/>
      </c>
      <c r="C207" t="str">
        <f>IFERROR(__xludf.DUMMYFUNCTION("""COMPUTED_VALUE"""),"")</f>
        <v/>
      </c>
      <c r="D207" t="str">
        <f>IFERROR(__xludf.DUMMYFUNCTION("""COMPUTED_VALUE"""),"")</f>
        <v/>
      </c>
      <c r="E207" t="str">
        <f>IFERROR(__xludf.DUMMYFUNCTION("""COMPUTED_VALUE"""),"")</f>
        <v/>
      </c>
      <c r="F207" t="str">
        <f>IFERROR(__xludf.DUMMYFUNCTION("""COMPUTED_VALUE"""),"")</f>
        <v/>
      </c>
      <c r="G207">
        <f>IFERROR(__xludf.DUMMYFUNCTION("""COMPUTED_VALUE"""),2.0)</f>
        <v>2</v>
      </c>
      <c r="H207" t="str">
        <f>IFERROR(__xludf.DUMMYFUNCTION("""COMPUTED_VALUE"""),"")</f>
        <v/>
      </c>
      <c r="I207">
        <f>IFERROR(__xludf.DUMMYFUNCTION("""COMPUTED_VALUE"""),3.0)</f>
        <v>3</v>
      </c>
      <c r="J207">
        <f>IFERROR(__xludf.DUMMYFUNCTION("""COMPUTED_VALUE"""),5.0)</f>
        <v>5</v>
      </c>
      <c r="L207" s="250" t="str">
        <f>IFERROR(__xludf.DUMMYFUNCTION("""COMPUTED_VALUE"""),"")</f>
        <v/>
      </c>
      <c r="M207" s="250" t="str">
        <f>IFERROR(__xludf.DUMMYFUNCTION("""COMPUTED_VALUE"""),"")</f>
        <v/>
      </c>
      <c r="N207" s="250" t="str">
        <f>IFERROR(__xludf.DUMMYFUNCTION("""COMPUTED_VALUE"""),"")</f>
        <v/>
      </c>
      <c r="O207" s="250" t="str">
        <f>IFERROR(__xludf.DUMMYFUNCTION("""COMPUTED_VALUE"""),"")</f>
        <v/>
      </c>
      <c r="P207" s="250" t="str">
        <f>IFERROR(__xludf.DUMMYFUNCTION("""COMPUTED_VALUE"""),"")</f>
        <v/>
      </c>
      <c r="Q207" s="250">
        <f>IFERROR(__xludf.DUMMYFUNCTION("""COMPUTED_VALUE"""),3239.0)</f>
        <v>3239</v>
      </c>
      <c r="R207" s="250" t="str">
        <f>IFERROR(__xludf.DUMMYFUNCTION("""COMPUTED_VALUE"""),"")</f>
        <v/>
      </c>
      <c r="U207" s="250">
        <f>IFERROR(__xludf.DUMMYFUNCTION("""COMPUTED_VALUE"""),6379.0)</f>
        <v>6379</v>
      </c>
      <c r="V207" s="250">
        <f>IFERROR(__xludf.DUMMYFUNCTION("""COMPUTED_VALUE"""),6079.0)</f>
        <v>6079</v>
      </c>
      <c r="W207" s="250">
        <f>IFERROR(__xludf.DUMMYFUNCTION("""COMPUTED_VALUE"""),5539.0)</f>
        <v>5539</v>
      </c>
      <c r="X207" t="b">
        <f t="shared" ref="X207:Z207" si="390">ISBLANK(K207)</f>
        <v>1</v>
      </c>
      <c r="Y207" t="b">
        <f t="shared" si="390"/>
        <v>0</v>
      </c>
      <c r="Z207" t="b">
        <f t="shared" si="390"/>
        <v>0</v>
      </c>
      <c r="AA207">
        <f t="shared" ref="AA207:AC207" si="391">IF(X207=FALSE,1,0)</f>
        <v>0</v>
      </c>
      <c r="AB207">
        <f t="shared" si="391"/>
        <v>1</v>
      </c>
      <c r="AC207">
        <f t="shared" si="391"/>
        <v>1</v>
      </c>
      <c r="AD207">
        <f t="shared" si="6"/>
        <v>2</v>
      </c>
      <c r="AE207">
        <f t="shared" si="7"/>
        <v>1</v>
      </c>
      <c r="AF207">
        <f>if(iferror(vlookup($A207,'Description Database'!$E$2:$H$951,3,0),0)=TRUE,1,0)</f>
        <v>0</v>
      </c>
      <c r="AG207">
        <f>if(iferror(vlookup($A207,'Description Database'!$E$2:$H$951,4,0),0)=TRUE,1,0)</f>
        <v>0</v>
      </c>
    </row>
    <row r="208">
      <c r="A208" t="str">
        <f>IFERROR(__xludf.DUMMYFUNCTION("""COMPUTED_VALUE"""),"Samsung GURU MUSIC 2( )")</f>
        <v>Samsung GURU MUSIC 2( )</v>
      </c>
      <c r="B208" t="str">
        <f>IFERROR(__xludf.DUMMYFUNCTION("""COMPUTED_VALUE"""),"")</f>
        <v/>
      </c>
      <c r="C208" t="str">
        <f>IFERROR(__xludf.DUMMYFUNCTION("""COMPUTED_VALUE"""),"")</f>
        <v/>
      </c>
      <c r="D208" t="str">
        <f>IFERROR(__xludf.DUMMYFUNCTION("""COMPUTED_VALUE"""),"")</f>
        <v/>
      </c>
      <c r="E208" t="str">
        <f>IFERROR(__xludf.DUMMYFUNCTION("""COMPUTED_VALUE"""),"")</f>
        <v/>
      </c>
      <c r="F208" t="str">
        <f>IFERROR(__xludf.DUMMYFUNCTION("""COMPUTED_VALUE"""),"")</f>
        <v/>
      </c>
      <c r="G208" t="str">
        <f>IFERROR(__xludf.DUMMYFUNCTION("""COMPUTED_VALUE"""),"")</f>
        <v/>
      </c>
      <c r="H208" t="str">
        <f>IFERROR(__xludf.DUMMYFUNCTION("""COMPUTED_VALUE"""),"")</f>
        <v/>
      </c>
      <c r="I208">
        <f>IFERROR(__xludf.DUMMYFUNCTION("""COMPUTED_VALUE"""),14.0)</f>
        <v>14</v>
      </c>
      <c r="J208">
        <f>IFERROR(__xludf.DUMMYFUNCTION("""COMPUTED_VALUE"""),14.0)</f>
        <v>14</v>
      </c>
      <c r="L208" s="250" t="str">
        <f>IFERROR(__xludf.DUMMYFUNCTION("""COMPUTED_VALUE"""),"")</f>
        <v/>
      </c>
      <c r="M208" s="250" t="str">
        <f>IFERROR(__xludf.DUMMYFUNCTION("""COMPUTED_VALUE"""),"")</f>
        <v/>
      </c>
      <c r="N208" s="250" t="str">
        <f>IFERROR(__xludf.DUMMYFUNCTION("""COMPUTED_VALUE"""),"")</f>
        <v/>
      </c>
      <c r="O208" s="250" t="str">
        <f>IFERROR(__xludf.DUMMYFUNCTION("""COMPUTED_VALUE"""),"")</f>
        <v/>
      </c>
      <c r="P208" s="250" t="str">
        <f>IFERROR(__xludf.DUMMYFUNCTION("""COMPUTED_VALUE"""),"")</f>
        <v/>
      </c>
      <c r="Q208" s="250" t="str">
        <f>IFERROR(__xludf.DUMMYFUNCTION("""COMPUTED_VALUE"""),"")</f>
        <v/>
      </c>
      <c r="R208" s="250" t="str">
        <f>IFERROR(__xludf.DUMMYFUNCTION("""COMPUTED_VALUE"""),"")</f>
        <v/>
      </c>
      <c r="U208" s="250" t="str">
        <f>IFERROR(__xludf.DUMMYFUNCTION("""COMPUTED_VALUE"""),"#N/A")</f>
        <v>#N/A</v>
      </c>
      <c r="V208" s="250" t="str">
        <f>IFERROR(__xludf.DUMMYFUNCTION("""COMPUTED_VALUE"""),"#N/A")</f>
        <v>#N/A</v>
      </c>
      <c r="W208" s="250" t="str">
        <f>IFERROR(__xludf.DUMMYFUNCTION("""COMPUTED_VALUE"""),"#N/A")</f>
        <v>#N/A</v>
      </c>
      <c r="X208" t="b">
        <f t="shared" ref="X208:Z208" si="392">ISBLANK(K208)</f>
        <v>1</v>
      </c>
      <c r="Y208" t="b">
        <f t="shared" si="392"/>
        <v>0</v>
      </c>
      <c r="Z208" t="b">
        <f t="shared" si="392"/>
        <v>0</v>
      </c>
      <c r="AA208">
        <f t="shared" ref="AA208:AC208" si="393">IF(X208=FALSE,1,0)</f>
        <v>0</v>
      </c>
      <c r="AB208">
        <f t="shared" si="393"/>
        <v>1</v>
      </c>
      <c r="AC208">
        <f t="shared" si="393"/>
        <v>1</v>
      </c>
      <c r="AD208">
        <f t="shared" si="6"/>
        <v>2</v>
      </c>
      <c r="AE208">
        <f t="shared" si="7"/>
        <v>1</v>
      </c>
      <c r="AF208">
        <f>if(iferror(vlookup($A208,'Description Database'!$E$2:$H$951,3,0),0)=TRUE,1,0)</f>
        <v>0</v>
      </c>
      <c r="AG208">
        <f>if(iferror(vlookup($A208,'Description Database'!$E$2:$H$951,4,0),0)=TRUE,1,0)</f>
        <v>0</v>
      </c>
    </row>
    <row r="209">
      <c r="A209" t="str">
        <f>IFERROR(__xludf.DUMMYFUNCTION("""COMPUTED_VALUE"""),"Moto E (1st Gen)")</f>
        <v>Moto E (1st Gen)</v>
      </c>
      <c r="B209" t="str">
        <f>IFERROR(__xludf.DUMMYFUNCTION("""COMPUTED_VALUE"""),"")</f>
        <v/>
      </c>
      <c r="C209" t="str">
        <f>IFERROR(__xludf.DUMMYFUNCTION("""COMPUTED_VALUE"""),"")</f>
        <v/>
      </c>
      <c r="D209" t="str">
        <f>IFERROR(__xludf.DUMMYFUNCTION("""COMPUTED_VALUE"""),"")</f>
        <v/>
      </c>
      <c r="E209" t="str">
        <f>IFERROR(__xludf.DUMMYFUNCTION("""COMPUTED_VALUE"""),"")</f>
        <v/>
      </c>
      <c r="F209" t="str">
        <f>IFERROR(__xludf.DUMMYFUNCTION("""COMPUTED_VALUE"""),"")</f>
        <v/>
      </c>
      <c r="G209" t="str">
        <f>IFERROR(__xludf.DUMMYFUNCTION("""COMPUTED_VALUE"""),"")</f>
        <v/>
      </c>
      <c r="H209" t="str">
        <f>IFERROR(__xludf.DUMMYFUNCTION("""COMPUTED_VALUE"""),"")</f>
        <v/>
      </c>
      <c r="I209">
        <f>IFERROR(__xludf.DUMMYFUNCTION("""COMPUTED_VALUE"""),5.0)</f>
        <v>5</v>
      </c>
      <c r="J209">
        <f>IFERROR(__xludf.DUMMYFUNCTION("""COMPUTED_VALUE"""),5.0)</f>
        <v>5</v>
      </c>
      <c r="L209" s="250" t="str">
        <f>IFERROR(__xludf.DUMMYFUNCTION("""COMPUTED_VALUE"""),"")</f>
        <v/>
      </c>
      <c r="M209" s="250" t="str">
        <f>IFERROR(__xludf.DUMMYFUNCTION("""COMPUTED_VALUE"""),"")</f>
        <v/>
      </c>
      <c r="N209" s="250" t="str">
        <f>IFERROR(__xludf.DUMMYFUNCTION("""COMPUTED_VALUE"""),"")</f>
        <v/>
      </c>
      <c r="O209" s="250" t="str">
        <f>IFERROR(__xludf.DUMMYFUNCTION("""COMPUTED_VALUE"""),"")</f>
        <v/>
      </c>
      <c r="P209" s="250" t="str">
        <f>IFERROR(__xludf.DUMMYFUNCTION("""COMPUTED_VALUE"""),"")</f>
        <v/>
      </c>
      <c r="Q209" s="250" t="str">
        <f>IFERROR(__xludf.DUMMYFUNCTION("""COMPUTED_VALUE"""),"")</f>
        <v/>
      </c>
      <c r="R209" s="250" t="str">
        <f>IFERROR(__xludf.DUMMYFUNCTION("""COMPUTED_VALUE"""),"")</f>
        <v/>
      </c>
      <c r="U209" s="250">
        <f>IFERROR(__xludf.DUMMYFUNCTION("""COMPUTED_VALUE"""),839.0)</f>
        <v>839</v>
      </c>
      <c r="V209" s="250">
        <f>IFERROR(__xludf.DUMMYFUNCTION("""COMPUTED_VALUE"""),799.0)</f>
        <v>799</v>
      </c>
      <c r="W209" s="250">
        <f>IFERROR(__xludf.DUMMYFUNCTION("""COMPUTED_VALUE"""),719.0)</f>
        <v>719</v>
      </c>
      <c r="X209" t="b">
        <f t="shared" ref="X209:Z209" si="394">ISBLANK(K209)</f>
        <v>1</v>
      </c>
      <c r="Y209" t="b">
        <f t="shared" si="394"/>
        <v>0</v>
      </c>
      <c r="Z209" t="b">
        <f t="shared" si="394"/>
        <v>0</v>
      </c>
      <c r="AA209">
        <f t="shared" ref="AA209:AC209" si="395">IF(X209=FALSE,1,0)</f>
        <v>0</v>
      </c>
      <c r="AB209">
        <f t="shared" si="395"/>
        <v>1</v>
      </c>
      <c r="AC209">
        <f t="shared" si="395"/>
        <v>1</v>
      </c>
      <c r="AD209">
        <f t="shared" si="6"/>
        <v>2</v>
      </c>
      <c r="AE209">
        <f t="shared" si="7"/>
        <v>1</v>
      </c>
      <c r="AF209">
        <f>if(iferror(vlookup($A209,'Description Database'!$E$2:$H$951,3,0),0)=TRUE,1,0)</f>
        <v>0</v>
      </c>
      <c r="AG209">
        <f>if(iferror(vlookup($A209,'Description Database'!$E$2:$H$951,4,0),0)=TRUE,1,0)</f>
        <v>0</v>
      </c>
    </row>
    <row r="210">
      <c r="A210" t="str">
        <f>IFERROR(__xludf.DUMMYFUNCTION("""COMPUTED_VALUE"""),"Samsung Galaxy J2 2016 (1.5 GB/8 GB)")</f>
        <v>Samsung Galaxy J2 2016 (1.5 GB/8 GB)</v>
      </c>
      <c r="B210" t="str">
        <f>IFERROR(__xludf.DUMMYFUNCTION("""COMPUTED_VALUE"""),"")</f>
        <v/>
      </c>
      <c r="C210" t="str">
        <f>IFERROR(__xludf.DUMMYFUNCTION("""COMPUTED_VALUE"""),"")</f>
        <v/>
      </c>
      <c r="D210" t="str">
        <f>IFERROR(__xludf.DUMMYFUNCTION("""COMPUTED_VALUE"""),"")</f>
        <v/>
      </c>
      <c r="E210" t="str">
        <f>IFERROR(__xludf.DUMMYFUNCTION("""COMPUTED_VALUE"""),"")</f>
        <v/>
      </c>
      <c r="F210" t="str">
        <f>IFERROR(__xludf.DUMMYFUNCTION("""COMPUTED_VALUE"""),"")</f>
        <v/>
      </c>
      <c r="G210">
        <f>IFERROR(__xludf.DUMMYFUNCTION("""COMPUTED_VALUE"""),1.0)</f>
        <v>1</v>
      </c>
      <c r="H210" t="str">
        <f>IFERROR(__xludf.DUMMYFUNCTION("""COMPUTED_VALUE"""),"")</f>
        <v/>
      </c>
      <c r="I210">
        <f>IFERROR(__xludf.DUMMYFUNCTION("""COMPUTED_VALUE"""),7.0)</f>
        <v>7</v>
      </c>
      <c r="J210">
        <f>IFERROR(__xludf.DUMMYFUNCTION("""COMPUTED_VALUE"""),8.0)</f>
        <v>8</v>
      </c>
      <c r="L210" s="250" t="str">
        <f>IFERROR(__xludf.DUMMYFUNCTION("""COMPUTED_VALUE"""),"")</f>
        <v/>
      </c>
      <c r="M210" s="250" t="str">
        <f>IFERROR(__xludf.DUMMYFUNCTION("""COMPUTED_VALUE"""),"")</f>
        <v/>
      </c>
      <c r="N210" s="250" t="str">
        <f>IFERROR(__xludf.DUMMYFUNCTION("""COMPUTED_VALUE"""),"")</f>
        <v/>
      </c>
      <c r="O210" s="250" t="str">
        <f>IFERROR(__xludf.DUMMYFUNCTION("""COMPUTED_VALUE"""),"")</f>
        <v/>
      </c>
      <c r="P210" s="250" t="str">
        <f>IFERROR(__xludf.DUMMYFUNCTION("""COMPUTED_VALUE"""),"")</f>
        <v/>
      </c>
      <c r="Q210" s="250">
        <f>IFERROR(__xludf.DUMMYFUNCTION("""COMPUTED_VALUE"""),1159.0)</f>
        <v>1159</v>
      </c>
      <c r="R210" s="250" t="str">
        <f>IFERROR(__xludf.DUMMYFUNCTION("""COMPUTED_VALUE"""),"")</f>
        <v/>
      </c>
      <c r="U210" s="250">
        <f>IFERROR(__xludf.DUMMYFUNCTION("""COMPUTED_VALUE"""),3259.0)</f>
        <v>3259</v>
      </c>
      <c r="V210" s="250">
        <f>IFERROR(__xludf.DUMMYFUNCTION("""COMPUTED_VALUE"""),3109.0)</f>
        <v>3109</v>
      </c>
      <c r="W210" s="250">
        <f>IFERROR(__xludf.DUMMYFUNCTION("""COMPUTED_VALUE"""),2839.0)</f>
        <v>2839</v>
      </c>
      <c r="X210" t="b">
        <f t="shared" ref="X210:Z210" si="396">ISBLANK(K210)</f>
        <v>1</v>
      </c>
      <c r="Y210" t="b">
        <f t="shared" si="396"/>
        <v>0</v>
      </c>
      <c r="Z210" t="b">
        <f t="shared" si="396"/>
        <v>0</v>
      </c>
      <c r="AA210">
        <f t="shared" ref="AA210:AC210" si="397">IF(X210=FALSE,1,0)</f>
        <v>0</v>
      </c>
      <c r="AB210">
        <f t="shared" si="397"/>
        <v>1</v>
      </c>
      <c r="AC210">
        <f t="shared" si="397"/>
        <v>1</v>
      </c>
      <c r="AD210">
        <f t="shared" si="6"/>
        <v>2</v>
      </c>
      <c r="AE210">
        <f t="shared" si="7"/>
        <v>1</v>
      </c>
      <c r="AF210">
        <f>if(iferror(vlookup($A210,'Description Database'!$E$2:$H$951,3,0),0)=TRUE,1,0)</f>
        <v>0</v>
      </c>
      <c r="AG210">
        <f>if(iferror(vlookup($A210,'Description Database'!$E$2:$H$951,4,0),0)=TRUE,1,0)</f>
        <v>0</v>
      </c>
    </row>
    <row r="211">
      <c r="A211" t="str">
        <f>IFERROR(__xludf.DUMMYFUNCTION("""COMPUTED_VALUE"""),"Lenovo A6000 (1 GB/8 GB)")</f>
        <v>Lenovo A6000 (1 GB/8 GB)</v>
      </c>
      <c r="B211" t="str">
        <f>IFERROR(__xludf.DUMMYFUNCTION("""COMPUTED_VALUE"""),"")</f>
        <v/>
      </c>
      <c r="C211" t="str">
        <f>IFERROR(__xludf.DUMMYFUNCTION("""COMPUTED_VALUE"""),"")</f>
        <v/>
      </c>
      <c r="D211" t="str">
        <f>IFERROR(__xludf.DUMMYFUNCTION("""COMPUTED_VALUE"""),"")</f>
        <v/>
      </c>
      <c r="E211" t="str">
        <f>IFERROR(__xludf.DUMMYFUNCTION("""COMPUTED_VALUE"""),"")</f>
        <v/>
      </c>
      <c r="F211" t="str">
        <f>IFERROR(__xludf.DUMMYFUNCTION("""COMPUTED_VALUE"""),"")</f>
        <v/>
      </c>
      <c r="G211" t="str">
        <f>IFERROR(__xludf.DUMMYFUNCTION("""COMPUTED_VALUE"""),"")</f>
        <v/>
      </c>
      <c r="H211" t="str">
        <f>IFERROR(__xludf.DUMMYFUNCTION("""COMPUTED_VALUE"""),"")</f>
        <v/>
      </c>
      <c r="I211">
        <f>IFERROR(__xludf.DUMMYFUNCTION("""COMPUTED_VALUE"""),10.0)</f>
        <v>10</v>
      </c>
      <c r="J211">
        <f>IFERROR(__xludf.DUMMYFUNCTION("""COMPUTED_VALUE"""),10.0)</f>
        <v>10</v>
      </c>
      <c r="L211" s="250" t="str">
        <f>IFERROR(__xludf.DUMMYFUNCTION("""COMPUTED_VALUE"""),"")</f>
        <v/>
      </c>
      <c r="M211" s="250" t="str">
        <f>IFERROR(__xludf.DUMMYFUNCTION("""COMPUTED_VALUE"""),"")</f>
        <v/>
      </c>
      <c r="N211" s="250" t="str">
        <f>IFERROR(__xludf.DUMMYFUNCTION("""COMPUTED_VALUE"""),"")</f>
        <v/>
      </c>
      <c r="O211" s="250" t="str">
        <f>IFERROR(__xludf.DUMMYFUNCTION("""COMPUTED_VALUE"""),"")</f>
        <v/>
      </c>
      <c r="P211" s="250" t="str">
        <f>IFERROR(__xludf.DUMMYFUNCTION("""COMPUTED_VALUE"""),"")</f>
        <v/>
      </c>
      <c r="Q211" s="250" t="str">
        <f>IFERROR(__xludf.DUMMYFUNCTION("""COMPUTED_VALUE"""),"")</f>
        <v/>
      </c>
      <c r="R211" s="250" t="str">
        <f>IFERROR(__xludf.DUMMYFUNCTION("""COMPUTED_VALUE"""),"")</f>
        <v/>
      </c>
      <c r="U211" s="250">
        <f>IFERROR(__xludf.DUMMYFUNCTION("""COMPUTED_VALUE"""),1899.0)</f>
        <v>1899</v>
      </c>
      <c r="V211" s="250">
        <f>IFERROR(__xludf.DUMMYFUNCTION("""COMPUTED_VALUE"""),1799.0)</f>
        <v>1799</v>
      </c>
      <c r="W211" s="250">
        <f>IFERROR(__xludf.DUMMYFUNCTION("""COMPUTED_VALUE"""),1619.0)</f>
        <v>1619</v>
      </c>
      <c r="X211" t="b">
        <f t="shared" ref="X211:Z211" si="398">ISBLANK(K211)</f>
        <v>1</v>
      </c>
      <c r="Y211" t="b">
        <f t="shared" si="398"/>
        <v>0</v>
      </c>
      <c r="Z211" t="b">
        <f t="shared" si="398"/>
        <v>0</v>
      </c>
      <c r="AA211">
        <f t="shared" ref="AA211:AC211" si="399">IF(X211=FALSE,1,0)</f>
        <v>0</v>
      </c>
      <c r="AB211">
        <f t="shared" si="399"/>
        <v>1</v>
      </c>
      <c r="AC211">
        <f t="shared" si="399"/>
        <v>1</v>
      </c>
      <c r="AD211">
        <f t="shared" si="6"/>
        <v>2</v>
      </c>
      <c r="AE211">
        <f t="shared" si="7"/>
        <v>1</v>
      </c>
      <c r="AF211">
        <f>if(iferror(vlookup($A211,'Description Database'!$E$2:$H$951,3,0),0)=TRUE,1,0)</f>
        <v>0</v>
      </c>
      <c r="AG211">
        <f>if(iferror(vlookup($A211,'Description Database'!$E$2:$H$951,4,0),0)=TRUE,1,0)</f>
        <v>0</v>
      </c>
    </row>
    <row r="212">
      <c r="A212" t="str">
        <f>IFERROR(__xludf.DUMMYFUNCTION("""COMPUTED_VALUE"""),"Vivo Y11")</f>
        <v>Vivo Y11</v>
      </c>
      <c r="B212" t="str">
        <f>IFERROR(__xludf.DUMMYFUNCTION("""COMPUTED_VALUE"""),"")</f>
        <v/>
      </c>
      <c r="C212" t="str">
        <f>IFERROR(__xludf.DUMMYFUNCTION("""COMPUTED_VALUE"""),"")</f>
        <v/>
      </c>
      <c r="D212" t="str">
        <f>IFERROR(__xludf.DUMMYFUNCTION("""COMPUTED_VALUE"""),"")</f>
        <v/>
      </c>
      <c r="E212" t="str">
        <f>IFERROR(__xludf.DUMMYFUNCTION("""COMPUTED_VALUE"""),"")</f>
        <v/>
      </c>
      <c r="F212">
        <f>IFERROR(__xludf.DUMMYFUNCTION("""COMPUTED_VALUE"""),1.0)</f>
        <v>1</v>
      </c>
      <c r="G212" t="str">
        <f>IFERROR(__xludf.DUMMYFUNCTION("""COMPUTED_VALUE"""),"")</f>
        <v/>
      </c>
      <c r="H212" t="str">
        <f>IFERROR(__xludf.DUMMYFUNCTION("""COMPUTED_VALUE"""),"")</f>
        <v/>
      </c>
      <c r="I212">
        <f>IFERROR(__xludf.DUMMYFUNCTION("""COMPUTED_VALUE"""),3.0)</f>
        <v>3</v>
      </c>
      <c r="J212">
        <f>IFERROR(__xludf.DUMMYFUNCTION("""COMPUTED_VALUE"""),4.0)</f>
        <v>4</v>
      </c>
      <c r="L212" s="250" t="str">
        <f>IFERROR(__xludf.DUMMYFUNCTION("""COMPUTED_VALUE"""),"")</f>
        <v/>
      </c>
      <c r="M212" s="250" t="str">
        <f>IFERROR(__xludf.DUMMYFUNCTION("""COMPUTED_VALUE"""),"")</f>
        <v/>
      </c>
      <c r="N212" s="250" t="str">
        <f>IFERROR(__xludf.DUMMYFUNCTION("""COMPUTED_VALUE"""),"")</f>
        <v/>
      </c>
      <c r="O212" s="250" t="str">
        <f>IFERROR(__xludf.DUMMYFUNCTION("""COMPUTED_VALUE"""),"")</f>
        <v/>
      </c>
      <c r="P212" s="250">
        <f>IFERROR(__xludf.DUMMYFUNCTION("""COMPUTED_VALUE"""),1379.0)</f>
        <v>1379</v>
      </c>
      <c r="Q212" s="250" t="str">
        <f>IFERROR(__xludf.DUMMYFUNCTION("""COMPUTED_VALUE"""),"")</f>
        <v/>
      </c>
      <c r="R212" s="250" t="str">
        <f>IFERROR(__xludf.DUMMYFUNCTION("""COMPUTED_VALUE"""),"")</f>
        <v/>
      </c>
      <c r="U212" s="250">
        <f>IFERROR(__xludf.DUMMYFUNCTION("""COMPUTED_VALUE"""),2129.0)</f>
        <v>2129</v>
      </c>
      <c r="V212" s="250">
        <f>IFERROR(__xludf.DUMMYFUNCTION("""COMPUTED_VALUE"""),2019.0)</f>
        <v>2019</v>
      </c>
      <c r="W212" s="250">
        <f>IFERROR(__xludf.DUMMYFUNCTION("""COMPUTED_VALUE"""),1819.0)</f>
        <v>1819</v>
      </c>
      <c r="X212" t="b">
        <f t="shared" ref="X212:Z212" si="400">ISBLANK(K212)</f>
        <v>1</v>
      </c>
      <c r="Y212" t="b">
        <f t="shared" si="400"/>
        <v>0</v>
      </c>
      <c r="Z212" t="b">
        <f t="shared" si="400"/>
        <v>0</v>
      </c>
      <c r="AA212">
        <f t="shared" ref="AA212:AC212" si="401">IF(X212=FALSE,1,0)</f>
        <v>0</v>
      </c>
      <c r="AB212">
        <f t="shared" si="401"/>
        <v>1</v>
      </c>
      <c r="AC212">
        <f t="shared" si="401"/>
        <v>1</v>
      </c>
      <c r="AD212">
        <f t="shared" si="6"/>
        <v>2</v>
      </c>
      <c r="AE212">
        <f t="shared" si="7"/>
        <v>1</v>
      </c>
      <c r="AF212">
        <f>if(iferror(vlookup($A212,'Description Database'!$E$2:$H$951,3,0),0)=TRUE,1,0)</f>
        <v>0</v>
      </c>
      <c r="AG212">
        <f>if(iferror(vlookup($A212,'Description Database'!$E$2:$H$951,4,0),0)=TRUE,1,0)</f>
        <v>0</v>
      </c>
    </row>
    <row r="213">
      <c r="A213" t="str">
        <f>IFERROR(__xludf.DUMMYFUNCTION("""COMPUTED_VALUE"""),"Honor View 10 (6 GB/128 GB)")</f>
        <v>Honor View 10 (6 GB/128 GB)</v>
      </c>
      <c r="B213" t="str">
        <f>IFERROR(__xludf.DUMMYFUNCTION("""COMPUTED_VALUE"""),"")</f>
        <v/>
      </c>
      <c r="C213" t="str">
        <f>IFERROR(__xludf.DUMMYFUNCTION("""COMPUTED_VALUE"""),"")</f>
        <v/>
      </c>
      <c r="D213" t="str">
        <f>IFERROR(__xludf.DUMMYFUNCTION("""COMPUTED_VALUE"""),"")</f>
        <v/>
      </c>
      <c r="E213" t="str">
        <f>IFERROR(__xludf.DUMMYFUNCTION("""COMPUTED_VALUE"""),"")</f>
        <v/>
      </c>
      <c r="F213" t="str">
        <f>IFERROR(__xludf.DUMMYFUNCTION("""COMPUTED_VALUE"""),"")</f>
        <v/>
      </c>
      <c r="G213" t="str">
        <f>IFERROR(__xludf.DUMMYFUNCTION("""COMPUTED_VALUE"""),"")</f>
        <v/>
      </c>
      <c r="H213" t="str">
        <f>IFERROR(__xludf.DUMMYFUNCTION("""COMPUTED_VALUE"""),"")</f>
        <v/>
      </c>
      <c r="I213" t="str">
        <f>IFERROR(__xludf.DUMMYFUNCTION("""COMPUTED_VALUE"""),"")</f>
        <v/>
      </c>
      <c r="J213">
        <f>IFERROR(__xludf.DUMMYFUNCTION("""COMPUTED_VALUE"""),0.0)</f>
        <v>0</v>
      </c>
      <c r="L213" s="250" t="str">
        <f>IFERROR(__xludf.DUMMYFUNCTION("""COMPUTED_VALUE"""),"")</f>
        <v/>
      </c>
      <c r="M213" s="250" t="str">
        <f>IFERROR(__xludf.DUMMYFUNCTION("""COMPUTED_VALUE"""),"")</f>
        <v/>
      </c>
      <c r="N213" s="250" t="str">
        <f>IFERROR(__xludf.DUMMYFUNCTION("""COMPUTED_VALUE"""),"")</f>
        <v/>
      </c>
      <c r="O213" s="250" t="str">
        <f>IFERROR(__xludf.DUMMYFUNCTION("""COMPUTED_VALUE"""),"")</f>
        <v/>
      </c>
      <c r="P213" s="250" t="str">
        <f>IFERROR(__xludf.DUMMYFUNCTION("""COMPUTED_VALUE"""),"")</f>
        <v/>
      </c>
      <c r="Q213" s="250" t="str">
        <f>IFERROR(__xludf.DUMMYFUNCTION("""COMPUTED_VALUE"""),"")</f>
        <v/>
      </c>
      <c r="R213" s="250" t="str">
        <f>IFERROR(__xludf.DUMMYFUNCTION("""COMPUTED_VALUE"""),"")</f>
        <v/>
      </c>
      <c r="U213" s="250">
        <f>IFERROR(__xludf.DUMMYFUNCTION("""COMPUTED_VALUE"""),8589.0)</f>
        <v>8589</v>
      </c>
      <c r="V213" s="250">
        <f>IFERROR(__xludf.DUMMYFUNCTION("""COMPUTED_VALUE"""),8179.0)</f>
        <v>8179</v>
      </c>
      <c r="W213" s="250">
        <f>IFERROR(__xludf.DUMMYFUNCTION("""COMPUTED_VALUE"""),7359.0)</f>
        <v>7359</v>
      </c>
      <c r="X213" t="b">
        <f t="shared" ref="X213:Z213" si="402">ISBLANK(K213)</f>
        <v>1</v>
      </c>
      <c r="Y213" t="b">
        <f t="shared" si="402"/>
        <v>0</v>
      </c>
      <c r="Z213" t="b">
        <f t="shared" si="402"/>
        <v>0</v>
      </c>
      <c r="AA213">
        <f t="shared" ref="AA213:AC213" si="403">IF(X213=FALSE,1,0)</f>
        <v>0</v>
      </c>
      <c r="AB213">
        <f t="shared" si="403"/>
        <v>1</v>
      </c>
      <c r="AC213">
        <f t="shared" si="403"/>
        <v>1</v>
      </c>
      <c r="AD213">
        <f t="shared" si="6"/>
        <v>2</v>
      </c>
      <c r="AE213">
        <f t="shared" si="7"/>
        <v>1</v>
      </c>
      <c r="AF213">
        <f>if(iferror(vlookup($A213,'Description Database'!$E$2:$H$951,3,0),0)=TRUE,1,0)</f>
        <v>0</v>
      </c>
      <c r="AG213">
        <f>if(iferror(vlookup($A213,'Description Database'!$E$2:$H$951,4,0),0)=TRUE,1,0)</f>
        <v>0</v>
      </c>
    </row>
    <row r="214">
      <c r="A214" t="str">
        <f>IFERROR(__xludf.DUMMYFUNCTION("""COMPUTED_VALUE"""),"samsung Z2")</f>
        <v>samsung Z2</v>
      </c>
      <c r="B214" t="str">
        <f>IFERROR(__xludf.DUMMYFUNCTION("""COMPUTED_VALUE"""),"")</f>
        <v/>
      </c>
      <c r="C214" t="str">
        <f>IFERROR(__xludf.DUMMYFUNCTION("""COMPUTED_VALUE"""),"")</f>
        <v/>
      </c>
      <c r="D214" t="str">
        <f>IFERROR(__xludf.DUMMYFUNCTION("""COMPUTED_VALUE"""),"")</f>
        <v/>
      </c>
      <c r="E214" t="str">
        <f>IFERROR(__xludf.DUMMYFUNCTION("""COMPUTED_VALUE"""),"")</f>
        <v/>
      </c>
      <c r="F214">
        <f>IFERROR(__xludf.DUMMYFUNCTION("""COMPUTED_VALUE"""),5.0)</f>
        <v>5</v>
      </c>
      <c r="G214" t="str">
        <f>IFERROR(__xludf.DUMMYFUNCTION("""COMPUTED_VALUE"""),"")</f>
        <v/>
      </c>
      <c r="H214" t="str">
        <f>IFERROR(__xludf.DUMMYFUNCTION("""COMPUTED_VALUE"""),"")</f>
        <v/>
      </c>
      <c r="I214">
        <f>IFERROR(__xludf.DUMMYFUNCTION("""COMPUTED_VALUE"""),6.0)</f>
        <v>6</v>
      </c>
      <c r="J214">
        <f>IFERROR(__xludf.DUMMYFUNCTION("""COMPUTED_VALUE"""),11.0)</f>
        <v>11</v>
      </c>
      <c r="L214" s="250" t="str">
        <f>IFERROR(__xludf.DUMMYFUNCTION("""COMPUTED_VALUE"""),"")</f>
        <v/>
      </c>
      <c r="M214" s="250" t="str">
        <f>IFERROR(__xludf.DUMMYFUNCTION("""COMPUTED_VALUE"""),"")</f>
        <v/>
      </c>
      <c r="N214" s="250" t="str">
        <f>IFERROR(__xludf.DUMMYFUNCTION("""COMPUTED_VALUE"""),"")</f>
        <v/>
      </c>
      <c r="O214" s="250" t="str">
        <f>IFERROR(__xludf.DUMMYFUNCTION("""COMPUTED_VALUE"""),"")</f>
        <v/>
      </c>
      <c r="P214" s="250">
        <f>IFERROR(__xludf.DUMMYFUNCTION("""COMPUTED_VALUE"""),1369.0)</f>
        <v>1369</v>
      </c>
      <c r="Q214" s="250" t="str">
        <f>IFERROR(__xludf.DUMMYFUNCTION("""COMPUTED_VALUE"""),"")</f>
        <v/>
      </c>
      <c r="R214" s="250" t="str">
        <f>IFERROR(__xludf.DUMMYFUNCTION("""COMPUTED_VALUE"""),"")</f>
        <v/>
      </c>
      <c r="U214" s="250">
        <f>IFERROR(__xludf.DUMMYFUNCTION("""COMPUTED_VALUE"""),2089.0)</f>
        <v>2089</v>
      </c>
      <c r="V214" s="250">
        <f>IFERROR(__xludf.DUMMYFUNCTION("""COMPUTED_VALUE"""),1989.0)</f>
        <v>1989</v>
      </c>
      <c r="W214" s="250">
        <f>IFERROR(__xludf.DUMMYFUNCTION("""COMPUTED_VALUE"""),1799.0)</f>
        <v>1799</v>
      </c>
      <c r="X214" t="b">
        <f t="shared" ref="X214:Z214" si="404">ISBLANK(K214)</f>
        <v>1</v>
      </c>
      <c r="Y214" t="b">
        <f t="shared" si="404"/>
        <v>0</v>
      </c>
      <c r="Z214" t="b">
        <f t="shared" si="404"/>
        <v>0</v>
      </c>
      <c r="AA214">
        <f t="shared" ref="AA214:AC214" si="405">IF(X214=FALSE,1,0)</f>
        <v>0</v>
      </c>
      <c r="AB214">
        <f t="shared" si="405"/>
        <v>1</v>
      </c>
      <c r="AC214">
        <f t="shared" si="405"/>
        <v>1</v>
      </c>
      <c r="AD214">
        <f t="shared" si="6"/>
        <v>2</v>
      </c>
      <c r="AE214">
        <f t="shared" si="7"/>
        <v>1</v>
      </c>
      <c r="AF214">
        <f>if(iferror(vlookup($A214,'Description Database'!$E$2:$H$951,3,0),0)=TRUE,1,0)</f>
        <v>0</v>
      </c>
      <c r="AG214">
        <f>if(iferror(vlookup($A214,'Description Database'!$E$2:$H$951,4,0),0)=TRUE,1,0)</f>
        <v>0</v>
      </c>
    </row>
    <row r="215">
      <c r="A215" t="str">
        <f>IFERROR(__xludf.DUMMYFUNCTION("""COMPUTED_VALUE"""),"Samsung Galaxy A20 (3 GB/32 GB)")</f>
        <v>Samsung Galaxy A20 (3 GB/32 GB)</v>
      </c>
      <c r="B215" t="str">
        <f>IFERROR(__xludf.DUMMYFUNCTION("""COMPUTED_VALUE"""),"")</f>
        <v/>
      </c>
      <c r="C215" t="str">
        <f>IFERROR(__xludf.DUMMYFUNCTION("""COMPUTED_VALUE"""),"")</f>
        <v/>
      </c>
      <c r="D215" t="str">
        <f>IFERROR(__xludf.DUMMYFUNCTION("""COMPUTED_VALUE"""),"")</f>
        <v/>
      </c>
      <c r="E215" t="str">
        <f>IFERROR(__xludf.DUMMYFUNCTION("""COMPUTED_VALUE"""),"")</f>
        <v/>
      </c>
      <c r="F215" t="str">
        <f>IFERROR(__xludf.DUMMYFUNCTION("""COMPUTED_VALUE"""),"")</f>
        <v/>
      </c>
      <c r="G215">
        <f>IFERROR(__xludf.DUMMYFUNCTION("""COMPUTED_VALUE"""),2.0)</f>
        <v>2</v>
      </c>
      <c r="H215" t="str">
        <f>IFERROR(__xludf.DUMMYFUNCTION("""COMPUTED_VALUE"""),"")</f>
        <v/>
      </c>
      <c r="I215">
        <f>IFERROR(__xludf.DUMMYFUNCTION("""COMPUTED_VALUE"""),12.0)</f>
        <v>12</v>
      </c>
      <c r="J215">
        <f>IFERROR(__xludf.DUMMYFUNCTION("""COMPUTED_VALUE"""),14.0)</f>
        <v>14</v>
      </c>
      <c r="L215" s="250" t="str">
        <f>IFERROR(__xludf.DUMMYFUNCTION("""COMPUTED_VALUE"""),"")</f>
        <v/>
      </c>
      <c r="M215" s="250" t="str">
        <f>IFERROR(__xludf.DUMMYFUNCTION("""COMPUTED_VALUE"""),"")</f>
        <v/>
      </c>
      <c r="N215" s="250" t="str">
        <f>IFERROR(__xludf.DUMMYFUNCTION("""COMPUTED_VALUE"""),"")</f>
        <v/>
      </c>
      <c r="O215" s="250" t="str">
        <f>IFERROR(__xludf.DUMMYFUNCTION("""COMPUTED_VALUE"""),"")</f>
        <v/>
      </c>
      <c r="P215" s="250" t="str">
        <f>IFERROR(__xludf.DUMMYFUNCTION("""COMPUTED_VALUE"""),"")</f>
        <v/>
      </c>
      <c r="Q215" s="250">
        <f>IFERROR(__xludf.DUMMYFUNCTION("""COMPUTED_VALUE"""),2499.0)</f>
        <v>2499</v>
      </c>
      <c r="R215" s="250" t="str">
        <f>IFERROR(__xludf.DUMMYFUNCTION("""COMPUTED_VALUE"""),"")</f>
        <v/>
      </c>
      <c r="U215" s="250">
        <f>IFERROR(__xludf.DUMMYFUNCTION("""COMPUTED_VALUE"""),6539.0)</f>
        <v>6539</v>
      </c>
      <c r="V215" s="250">
        <f>IFERROR(__xludf.DUMMYFUNCTION("""COMPUTED_VALUE"""),6219.0)</f>
        <v>6219</v>
      </c>
      <c r="W215" s="250">
        <f>IFERROR(__xludf.DUMMYFUNCTION("""COMPUTED_VALUE"""),5589.0)</f>
        <v>5589</v>
      </c>
      <c r="X215" t="b">
        <f t="shared" ref="X215:Z215" si="406">ISBLANK(K215)</f>
        <v>1</v>
      </c>
      <c r="Y215" t="b">
        <f t="shared" si="406"/>
        <v>0</v>
      </c>
      <c r="Z215" t="b">
        <f t="shared" si="406"/>
        <v>0</v>
      </c>
      <c r="AA215">
        <f t="shared" ref="AA215:AC215" si="407">IF(X215=FALSE,1,0)</f>
        <v>0</v>
      </c>
      <c r="AB215">
        <f t="shared" si="407"/>
        <v>1</v>
      </c>
      <c r="AC215">
        <f t="shared" si="407"/>
        <v>1</v>
      </c>
      <c r="AD215">
        <f t="shared" si="6"/>
        <v>2</v>
      </c>
      <c r="AE215">
        <f t="shared" si="7"/>
        <v>1</v>
      </c>
      <c r="AF215">
        <f>if(iferror(vlookup($A215,'Description Database'!$E$2:$H$951,3,0),0)=TRUE,1,0)</f>
        <v>0</v>
      </c>
      <c r="AG215">
        <f>if(iferror(vlookup($A215,'Description Database'!$E$2:$H$951,4,0),0)=TRUE,1,0)</f>
        <v>0</v>
      </c>
    </row>
    <row r="216">
      <c r="A216" t="str">
        <f>IFERROR(__xludf.DUMMYFUNCTION("""COMPUTED_VALUE"""),"Samsung Galaxy C7 Pro (4 GB/64 GB)")</f>
        <v>Samsung Galaxy C7 Pro (4 GB/64 GB)</v>
      </c>
      <c r="B216" t="str">
        <f>IFERROR(__xludf.DUMMYFUNCTION("""COMPUTED_VALUE"""),"")</f>
        <v/>
      </c>
      <c r="C216" t="str">
        <f>IFERROR(__xludf.DUMMYFUNCTION("""COMPUTED_VALUE"""),"")</f>
        <v/>
      </c>
      <c r="D216" t="str">
        <f>IFERROR(__xludf.DUMMYFUNCTION("""COMPUTED_VALUE"""),"")</f>
        <v/>
      </c>
      <c r="E216" t="str">
        <f>IFERROR(__xludf.DUMMYFUNCTION("""COMPUTED_VALUE"""),"")</f>
        <v/>
      </c>
      <c r="F216">
        <f>IFERROR(__xludf.DUMMYFUNCTION("""COMPUTED_VALUE"""),1.0)</f>
        <v>1</v>
      </c>
      <c r="G216" t="str">
        <f>IFERROR(__xludf.DUMMYFUNCTION("""COMPUTED_VALUE"""),"")</f>
        <v/>
      </c>
      <c r="H216" t="str">
        <f>IFERROR(__xludf.DUMMYFUNCTION("""COMPUTED_VALUE"""),"")</f>
        <v/>
      </c>
      <c r="I216">
        <f>IFERROR(__xludf.DUMMYFUNCTION("""COMPUTED_VALUE"""),13.0)</f>
        <v>13</v>
      </c>
      <c r="J216">
        <f>IFERROR(__xludf.DUMMYFUNCTION("""COMPUTED_VALUE"""),14.0)</f>
        <v>14</v>
      </c>
      <c r="L216" s="250" t="str">
        <f>IFERROR(__xludf.DUMMYFUNCTION("""COMPUTED_VALUE"""),"")</f>
        <v/>
      </c>
      <c r="M216" s="250" t="str">
        <f>IFERROR(__xludf.DUMMYFUNCTION("""COMPUTED_VALUE"""),"")</f>
        <v/>
      </c>
      <c r="N216" s="250" t="str">
        <f>IFERROR(__xludf.DUMMYFUNCTION("""COMPUTED_VALUE"""),"")</f>
        <v/>
      </c>
      <c r="O216" s="250" t="str">
        <f>IFERROR(__xludf.DUMMYFUNCTION("""COMPUTED_VALUE"""),"")</f>
        <v/>
      </c>
      <c r="P216" s="250">
        <f>IFERROR(__xludf.DUMMYFUNCTION("""COMPUTED_VALUE"""),4039.0)</f>
        <v>4039</v>
      </c>
      <c r="Q216" s="250" t="str">
        <f>IFERROR(__xludf.DUMMYFUNCTION("""COMPUTED_VALUE"""),"")</f>
        <v/>
      </c>
      <c r="R216" s="250" t="str">
        <f>IFERROR(__xludf.DUMMYFUNCTION("""COMPUTED_VALUE"""),"")</f>
        <v/>
      </c>
      <c r="U216" s="250">
        <f>IFERROR(__xludf.DUMMYFUNCTION("""COMPUTED_VALUE"""),6239.0)</f>
        <v>6239</v>
      </c>
      <c r="V216" s="250">
        <f>IFERROR(__xludf.DUMMYFUNCTION("""COMPUTED_VALUE"""),5939.0)</f>
        <v>5939</v>
      </c>
      <c r="W216" s="250">
        <f>IFERROR(__xludf.DUMMYFUNCTION("""COMPUTED_VALUE"""),5349.0)</f>
        <v>5349</v>
      </c>
      <c r="X216" t="b">
        <f t="shared" ref="X216:Z216" si="408">ISBLANK(K216)</f>
        <v>1</v>
      </c>
      <c r="Y216" t="b">
        <f t="shared" si="408"/>
        <v>0</v>
      </c>
      <c r="Z216" t="b">
        <f t="shared" si="408"/>
        <v>0</v>
      </c>
      <c r="AA216">
        <f t="shared" ref="AA216:AC216" si="409">IF(X216=FALSE,1,0)</f>
        <v>0</v>
      </c>
      <c r="AB216">
        <f t="shared" si="409"/>
        <v>1</v>
      </c>
      <c r="AC216">
        <f t="shared" si="409"/>
        <v>1</v>
      </c>
      <c r="AD216">
        <f t="shared" si="6"/>
        <v>2</v>
      </c>
      <c r="AE216">
        <f t="shared" si="7"/>
        <v>1</v>
      </c>
      <c r="AF216">
        <f>if(iferror(vlookup($A216,'Description Database'!$E$2:$H$951,3,0),0)=TRUE,1,0)</f>
        <v>0</v>
      </c>
      <c r="AG216">
        <f>if(iferror(vlookup($A216,'Description Database'!$E$2:$H$951,4,0),0)=TRUE,1,0)</f>
        <v>0</v>
      </c>
    </row>
    <row r="217">
      <c r="A217" t="str">
        <f>IFERROR(__xludf.DUMMYFUNCTION("""COMPUTED_VALUE"""),"Motorola Moto X Play (2 GB/16 GB)")</f>
        <v>Motorola Moto X Play (2 GB/16 GB)</v>
      </c>
      <c r="B217" t="str">
        <f>IFERROR(__xludf.DUMMYFUNCTION("""COMPUTED_VALUE"""),"")</f>
        <v/>
      </c>
      <c r="C217" t="str">
        <f>IFERROR(__xludf.DUMMYFUNCTION("""COMPUTED_VALUE"""),"")</f>
        <v/>
      </c>
      <c r="D217" t="str">
        <f>IFERROR(__xludf.DUMMYFUNCTION("""COMPUTED_VALUE"""),"")</f>
        <v/>
      </c>
      <c r="E217" t="str">
        <f>IFERROR(__xludf.DUMMYFUNCTION("""COMPUTED_VALUE"""),"")</f>
        <v/>
      </c>
      <c r="F217" t="str">
        <f>IFERROR(__xludf.DUMMYFUNCTION("""COMPUTED_VALUE"""),"")</f>
        <v/>
      </c>
      <c r="G217" t="str">
        <f>IFERROR(__xludf.DUMMYFUNCTION("""COMPUTED_VALUE"""),"")</f>
        <v/>
      </c>
      <c r="H217" t="str">
        <f>IFERROR(__xludf.DUMMYFUNCTION("""COMPUTED_VALUE"""),"")</f>
        <v/>
      </c>
      <c r="I217">
        <f>IFERROR(__xludf.DUMMYFUNCTION("""COMPUTED_VALUE"""),18.0)</f>
        <v>18</v>
      </c>
      <c r="J217">
        <f>IFERROR(__xludf.DUMMYFUNCTION("""COMPUTED_VALUE"""),18.0)</f>
        <v>18</v>
      </c>
      <c r="L217" s="250" t="str">
        <f>IFERROR(__xludf.DUMMYFUNCTION("""COMPUTED_VALUE"""),"")</f>
        <v/>
      </c>
      <c r="M217" s="250" t="str">
        <f>IFERROR(__xludf.DUMMYFUNCTION("""COMPUTED_VALUE"""),"")</f>
        <v/>
      </c>
      <c r="N217" s="250" t="str">
        <f>IFERROR(__xludf.DUMMYFUNCTION("""COMPUTED_VALUE"""),"")</f>
        <v/>
      </c>
      <c r="O217" s="250" t="str">
        <f>IFERROR(__xludf.DUMMYFUNCTION("""COMPUTED_VALUE"""),"")</f>
        <v/>
      </c>
      <c r="P217" s="250" t="str">
        <f>IFERROR(__xludf.DUMMYFUNCTION("""COMPUTED_VALUE"""),"")</f>
        <v/>
      </c>
      <c r="Q217" s="250" t="str">
        <f>IFERROR(__xludf.DUMMYFUNCTION("""COMPUTED_VALUE"""),"")</f>
        <v/>
      </c>
      <c r="R217" s="250" t="str">
        <f>IFERROR(__xludf.DUMMYFUNCTION("""COMPUTED_VALUE"""),"")</f>
        <v/>
      </c>
      <c r="U217" s="250">
        <f>IFERROR(__xludf.DUMMYFUNCTION("""COMPUTED_VALUE"""),2369.0)</f>
        <v>2369</v>
      </c>
      <c r="V217" s="250">
        <f>IFERROR(__xludf.DUMMYFUNCTION("""COMPUTED_VALUE"""),2249.0)</f>
        <v>2249</v>
      </c>
      <c r="W217" s="250">
        <f>IFERROR(__xludf.DUMMYFUNCTION("""COMPUTED_VALUE"""),2019.0)</f>
        <v>2019</v>
      </c>
      <c r="X217" t="b">
        <f t="shared" ref="X217:Z217" si="410">ISBLANK(K217)</f>
        <v>1</v>
      </c>
      <c r="Y217" t="b">
        <f t="shared" si="410"/>
        <v>0</v>
      </c>
      <c r="Z217" t="b">
        <f t="shared" si="410"/>
        <v>0</v>
      </c>
      <c r="AA217">
        <f t="shared" ref="AA217:AC217" si="411">IF(X217=FALSE,1,0)</f>
        <v>0</v>
      </c>
      <c r="AB217">
        <f t="shared" si="411"/>
        <v>1</v>
      </c>
      <c r="AC217">
        <f t="shared" si="411"/>
        <v>1</v>
      </c>
      <c r="AD217">
        <f t="shared" si="6"/>
        <v>2</v>
      </c>
      <c r="AE217">
        <f t="shared" si="7"/>
        <v>1</v>
      </c>
      <c r="AF217">
        <f>if(iferror(vlookup($A217,'Description Database'!$E$2:$H$951,3,0),0)=TRUE,1,0)</f>
        <v>0</v>
      </c>
      <c r="AG217">
        <f>if(iferror(vlookup($A217,'Description Database'!$E$2:$H$951,4,0),0)=TRUE,1,0)</f>
        <v>0</v>
      </c>
    </row>
    <row r="218">
      <c r="A218" t="str">
        <f>IFERROR(__xludf.DUMMYFUNCTION("""COMPUTED_VALUE"""),"Xiaomi Redmi 2 Prime (2 GB/16 GB)")</f>
        <v>Xiaomi Redmi 2 Prime (2 GB/16 GB)</v>
      </c>
      <c r="B218" t="str">
        <f>IFERROR(__xludf.DUMMYFUNCTION("""COMPUTED_VALUE"""),"")</f>
        <v/>
      </c>
      <c r="C218" t="str">
        <f>IFERROR(__xludf.DUMMYFUNCTION("""COMPUTED_VALUE"""),"")</f>
        <v/>
      </c>
      <c r="D218" t="str">
        <f>IFERROR(__xludf.DUMMYFUNCTION("""COMPUTED_VALUE"""),"")</f>
        <v/>
      </c>
      <c r="E218" t="str">
        <f>IFERROR(__xludf.DUMMYFUNCTION("""COMPUTED_VALUE"""),"")</f>
        <v/>
      </c>
      <c r="F218" t="str">
        <f>IFERROR(__xludf.DUMMYFUNCTION("""COMPUTED_VALUE"""),"")</f>
        <v/>
      </c>
      <c r="G218" t="str">
        <f>IFERROR(__xludf.DUMMYFUNCTION("""COMPUTED_VALUE"""),"")</f>
        <v/>
      </c>
      <c r="H218" t="str">
        <f>IFERROR(__xludf.DUMMYFUNCTION("""COMPUTED_VALUE"""),"")</f>
        <v/>
      </c>
      <c r="I218">
        <f>IFERROR(__xludf.DUMMYFUNCTION("""COMPUTED_VALUE"""),7.0)</f>
        <v>7</v>
      </c>
      <c r="J218">
        <f>IFERROR(__xludf.DUMMYFUNCTION("""COMPUTED_VALUE"""),7.0)</f>
        <v>7</v>
      </c>
      <c r="L218" s="250" t="str">
        <f>IFERROR(__xludf.DUMMYFUNCTION("""COMPUTED_VALUE"""),"")</f>
        <v/>
      </c>
      <c r="M218" s="250" t="str">
        <f>IFERROR(__xludf.DUMMYFUNCTION("""COMPUTED_VALUE"""),"")</f>
        <v/>
      </c>
      <c r="N218" s="250" t="str">
        <f>IFERROR(__xludf.DUMMYFUNCTION("""COMPUTED_VALUE"""),"")</f>
        <v/>
      </c>
      <c r="O218" s="250" t="str">
        <f>IFERROR(__xludf.DUMMYFUNCTION("""COMPUTED_VALUE"""),"")</f>
        <v/>
      </c>
      <c r="P218" s="250" t="str">
        <f>IFERROR(__xludf.DUMMYFUNCTION("""COMPUTED_VALUE"""),"")</f>
        <v/>
      </c>
      <c r="Q218" s="250" t="str">
        <f>IFERROR(__xludf.DUMMYFUNCTION("""COMPUTED_VALUE"""),"")</f>
        <v/>
      </c>
      <c r="R218" s="250" t="str">
        <f>IFERROR(__xludf.DUMMYFUNCTION("""COMPUTED_VALUE"""),"")</f>
        <v/>
      </c>
      <c r="U218" s="250">
        <f>IFERROR(__xludf.DUMMYFUNCTION("""COMPUTED_VALUE"""),1899.0)</f>
        <v>1899</v>
      </c>
      <c r="V218" s="250">
        <f>IFERROR(__xludf.DUMMYFUNCTION("""COMPUTED_VALUE"""),1799.0)</f>
        <v>1799</v>
      </c>
      <c r="W218" s="250">
        <f>IFERROR(__xludf.DUMMYFUNCTION("""COMPUTED_VALUE"""),1619.0)</f>
        <v>1619</v>
      </c>
      <c r="X218" t="b">
        <f t="shared" ref="X218:Z218" si="412">ISBLANK(K218)</f>
        <v>1</v>
      </c>
      <c r="Y218" t="b">
        <f t="shared" si="412"/>
        <v>0</v>
      </c>
      <c r="Z218" t="b">
        <f t="shared" si="412"/>
        <v>0</v>
      </c>
      <c r="AA218">
        <f t="shared" ref="AA218:AC218" si="413">IF(X218=FALSE,1,0)</f>
        <v>0</v>
      </c>
      <c r="AB218">
        <f t="shared" si="413"/>
        <v>1</v>
      </c>
      <c r="AC218">
        <f t="shared" si="413"/>
        <v>1</v>
      </c>
      <c r="AD218">
        <f t="shared" si="6"/>
        <v>2</v>
      </c>
      <c r="AE218">
        <f t="shared" si="7"/>
        <v>1</v>
      </c>
      <c r="AF218">
        <f>if(iferror(vlookup($A218,'Description Database'!$E$2:$H$951,3,0),0)=TRUE,1,0)</f>
        <v>0</v>
      </c>
      <c r="AG218">
        <f>if(iferror(vlookup($A218,'Description Database'!$E$2:$H$951,4,0),0)=TRUE,1,0)</f>
        <v>0</v>
      </c>
    </row>
    <row r="219">
      <c r="A219" t="str">
        <f>IFERROR(__xludf.DUMMYFUNCTION("""COMPUTED_VALUE"""),"Lenovo A6000 (2 GB/16 GB)")</f>
        <v>Lenovo A6000 (2 GB/16 GB)</v>
      </c>
      <c r="B219" t="str">
        <f>IFERROR(__xludf.DUMMYFUNCTION("""COMPUTED_VALUE"""),"")</f>
        <v/>
      </c>
      <c r="C219" t="str">
        <f>IFERROR(__xludf.DUMMYFUNCTION("""COMPUTED_VALUE"""),"")</f>
        <v/>
      </c>
      <c r="D219" t="str">
        <f>IFERROR(__xludf.DUMMYFUNCTION("""COMPUTED_VALUE"""),"")</f>
        <v/>
      </c>
      <c r="E219" t="str">
        <f>IFERROR(__xludf.DUMMYFUNCTION("""COMPUTED_VALUE"""),"")</f>
        <v/>
      </c>
      <c r="F219" t="str">
        <f>IFERROR(__xludf.DUMMYFUNCTION("""COMPUTED_VALUE"""),"")</f>
        <v/>
      </c>
      <c r="G219" t="str">
        <f>IFERROR(__xludf.DUMMYFUNCTION("""COMPUTED_VALUE"""),"")</f>
        <v/>
      </c>
      <c r="H219" t="str">
        <f>IFERROR(__xludf.DUMMYFUNCTION("""COMPUTED_VALUE"""),"")</f>
        <v/>
      </c>
      <c r="I219">
        <f>IFERROR(__xludf.DUMMYFUNCTION("""COMPUTED_VALUE"""),35.0)</f>
        <v>35</v>
      </c>
      <c r="J219">
        <f>IFERROR(__xludf.DUMMYFUNCTION("""COMPUTED_VALUE"""),35.0)</f>
        <v>35</v>
      </c>
      <c r="L219" s="250" t="str">
        <f>IFERROR(__xludf.DUMMYFUNCTION("""COMPUTED_VALUE"""),"")</f>
        <v/>
      </c>
      <c r="M219" s="250" t="str">
        <f>IFERROR(__xludf.DUMMYFUNCTION("""COMPUTED_VALUE"""),"")</f>
        <v/>
      </c>
      <c r="N219" s="250" t="str">
        <f>IFERROR(__xludf.DUMMYFUNCTION("""COMPUTED_VALUE"""),"")</f>
        <v/>
      </c>
      <c r="O219" s="250" t="str">
        <f>IFERROR(__xludf.DUMMYFUNCTION("""COMPUTED_VALUE"""),"")</f>
        <v/>
      </c>
      <c r="P219" s="250" t="str">
        <f>IFERROR(__xludf.DUMMYFUNCTION("""COMPUTED_VALUE"""),"")</f>
        <v/>
      </c>
      <c r="Q219" s="250" t="str">
        <f>IFERROR(__xludf.DUMMYFUNCTION("""COMPUTED_VALUE"""),"")</f>
        <v/>
      </c>
      <c r="R219" s="250" t="str">
        <f>IFERROR(__xludf.DUMMYFUNCTION("""COMPUTED_VALUE"""),"")</f>
        <v/>
      </c>
      <c r="U219" s="250" t="str">
        <f>IFERROR(__xludf.DUMMYFUNCTION("""COMPUTED_VALUE"""),"#N/A")</f>
        <v>#N/A</v>
      </c>
      <c r="V219" s="250" t="str">
        <f>IFERROR(__xludf.DUMMYFUNCTION("""COMPUTED_VALUE"""),"#N/A")</f>
        <v>#N/A</v>
      </c>
      <c r="W219" s="250" t="str">
        <f>IFERROR(__xludf.DUMMYFUNCTION("""COMPUTED_VALUE"""),"#N/A")</f>
        <v>#N/A</v>
      </c>
      <c r="X219" t="b">
        <f t="shared" ref="X219:Z219" si="414">ISBLANK(K219)</f>
        <v>1</v>
      </c>
      <c r="Y219" t="b">
        <f t="shared" si="414"/>
        <v>0</v>
      </c>
      <c r="Z219" t="b">
        <f t="shared" si="414"/>
        <v>0</v>
      </c>
      <c r="AA219">
        <f t="shared" ref="AA219:AC219" si="415">IF(X219=FALSE,1,0)</f>
        <v>0</v>
      </c>
      <c r="AB219">
        <f t="shared" si="415"/>
        <v>1</v>
      </c>
      <c r="AC219">
        <f t="shared" si="415"/>
        <v>1</v>
      </c>
      <c r="AD219">
        <f t="shared" si="6"/>
        <v>2</v>
      </c>
      <c r="AE219">
        <f t="shared" si="7"/>
        <v>1</v>
      </c>
      <c r="AF219">
        <f>if(iferror(vlookup($A219,'Description Database'!$E$2:$H$951,3,0),0)=TRUE,1,0)</f>
        <v>0</v>
      </c>
      <c r="AG219">
        <f>if(iferror(vlookup($A219,'Description Database'!$E$2:$H$951,4,0),0)=TRUE,1,0)</f>
        <v>0</v>
      </c>
    </row>
    <row r="220">
      <c r="A220" t="str">
        <f>IFERROR(__xludf.DUMMYFUNCTION("""COMPUTED_VALUE"""),"Honor 6 (3 GB/16 GB)")</f>
        <v>Honor 6 (3 GB/16 GB)</v>
      </c>
      <c r="B220" t="str">
        <f>IFERROR(__xludf.DUMMYFUNCTION("""COMPUTED_VALUE"""),"")</f>
        <v/>
      </c>
      <c r="C220" t="str">
        <f>IFERROR(__xludf.DUMMYFUNCTION("""COMPUTED_VALUE"""),"")</f>
        <v/>
      </c>
      <c r="D220" t="str">
        <f>IFERROR(__xludf.DUMMYFUNCTION("""COMPUTED_VALUE"""),"")</f>
        <v/>
      </c>
      <c r="E220" t="str">
        <f>IFERROR(__xludf.DUMMYFUNCTION("""COMPUTED_VALUE"""),"")</f>
        <v/>
      </c>
      <c r="F220" t="str">
        <f>IFERROR(__xludf.DUMMYFUNCTION("""COMPUTED_VALUE"""),"")</f>
        <v/>
      </c>
      <c r="G220" t="str">
        <f>IFERROR(__xludf.DUMMYFUNCTION("""COMPUTED_VALUE"""),"")</f>
        <v/>
      </c>
      <c r="H220" t="str">
        <f>IFERROR(__xludf.DUMMYFUNCTION("""COMPUTED_VALUE"""),"")</f>
        <v/>
      </c>
      <c r="I220">
        <f>IFERROR(__xludf.DUMMYFUNCTION("""COMPUTED_VALUE"""),1.0)</f>
        <v>1</v>
      </c>
      <c r="J220">
        <f>IFERROR(__xludf.DUMMYFUNCTION("""COMPUTED_VALUE"""),1.0)</f>
        <v>1</v>
      </c>
      <c r="L220" s="250" t="str">
        <f>IFERROR(__xludf.DUMMYFUNCTION("""COMPUTED_VALUE"""),"")</f>
        <v/>
      </c>
      <c r="M220" s="250" t="str">
        <f>IFERROR(__xludf.DUMMYFUNCTION("""COMPUTED_VALUE"""),"")</f>
        <v/>
      </c>
      <c r="N220" s="250" t="str">
        <f>IFERROR(__xludf.DUMMYFUNCTION("""COMPUTED_VALUE"""),"")</f>
        <v/>
      </c>
      <c r="O220" s="250" t="str">
        <f>IFERROR(__xludf.DUMMYFUNCTION("""COMPUTED_VALUE"""),"")</f>
        <v/>
      </c>
      <c r="P220" s="250" t="str">
        <f>IFERROR(__xludf.DUMMYFUNCTION("""COMPUTED_VALUE"""),"")</f>
        <v/>
      </c>
      <c r="Q220" s="250" t="str">
        <f>IFERROR(__xludf.DUMMYFUNCTION("""COMPUTED_VALUE"""),"")</f>
        <v/>
      </c>
      <c r="R220" s="250" t="str">
        <f>IFERROR(__xludf.DUMMYFUNCTION("""COMPUTED_VALUE"""),"")</f>
        <v/>
      </c>
      <c r="U220" s="250">
        <f>IFERROR(__xludf.DUMMYFUNCTION("""COMPUTED_VALUE"""),2509.0)</f>
        <v>2509</v>
      </c>
      <c r="V220" s="250">
        <f>IFERROR(__xludf.DUMMYFUNCTION("""COMPUTED_VALUE"""),2389.0)</f>
        <v>2389</v>
      </c>
      <c r="W220" s="250">
        <f>IFERROR(__xludf.DUMMYFUNCTION("""COMPUTED_VALUE"""),2149.0)</f>
        <v>2149</v>
      </c>
      <c r="X220" t="b">
        <f t="shared" ref="X220:Z220" si="416">ISBLANK(K220)</f>
        <v>1</v>
      </c>
      <c r="Y220" t="b">
        <f t="shared" si="416"/>
        <v>0</v>
      </c>
      <c r="Z220" t="b">
        <f t="shared" si="416"/>
        <v>0</v>
      </c>
      <c r="AA220">
        <f t="shared" ref="AA220:AC220" si="417">IF(X220=FALSE,1,0)</f>
        <v>0</v>
      </c>
      <c r="AB220">
        <f t="shared" si="417"/>
        <v>1</v>
      </c>
      <c r="AC220">
        <f t="shared" si="417"/>
        <v>1</v>
      </c>
      <c r="AD220">
        <f t="shared" si="6"/>
        <v>2</v>
      </c>
      <c r="AE220">
        <f t="shared" si="7"/>
        <v>1</v>
      </c>
      <c r="AF220">
        <f>if(iferror(vlookup($A220,'Description Database'!$E$2:$H$951,3,0),0)=TRUE,1,0)</f>
        <v>0</v>
      </c>
      <c r="AG220">
        <f>if(iferror(vlookup($A220,'Description Database'!$E$2:$H$951,4,0),0)=TRUE,1,0)</f>
        <v>0</v>
      </c>
    </row>
    <row r="221">
      <c r="A221" t="str">
        <f>IFERROR(__xludf.DUMMYFUNCTION("""COMPUTED_VALUE"""),"Lenovo A6000 Plus (2 GB/16 GB)")</f>
        <v>Lenovo A6000 Plus (2 GB/16 GB)</v>
      </c>
      <c r="B221" t="str">
        <f>IFERROR(__xludf.DUMMYFUNCTION("""COMPUTED_VALUE"""),"")</f>
        <v/>
      </c>
      <c r="C221" t="str">
        <f>IFERROR(__xludf.DUMMYFUNCTION("""COMPUTED_VALUE"""),"")</f>
        <v/>
      </c>
      <c r="D221" t="str">
        <f>IFERROR(__xludf.DUMMYFUNCTION("""COMPUTED_VALUE"""),"")</f>
        <v/>
      </c>
      <c r="E221" t="str">
        <f>IFERROR(__xludf.DUMMYFUNCTION("""COMPUTED_VALUE"""),"")</f>
        <v/>
      </c>
      <c r="F221" t="str">
        <f>IFERROR(__xludf.DUMMYFUNCTION("""COMPUTED_VALUE"""),"")</f>
        <v/>
      </c>
      <c r="G221">
        <f>IFERROR(__xludf.DUMMYFUNCTION("""COMPUTED_VALUE"""),1.0)</f>
        <v>1</v>
      </c>
      <c r="H221" t="str">
        <f>IFERROR(__xludf.DUMMYFUNCTION("""COMPUTED_VALUE"""),"")</f>
        <v/>
      </c>
      <c r="I221">
        <f>IFERROR(__xludf.DUMMYFUNCTION("""COMPUTED_VALUE"""),7.0)</f>
        <v>7</v>
      </c>
      <c r="J221">
        <f>IFERROR(__xludf.DUMMYFUNCTION("""COMPUTED_VALUE"""),8.0)</f>
        <v>8</v>
      </c>
      <c r="L221" s="250" t="str">
        <f>IFERROR(__xludf.DUMMYFUNCTION("""COMPUTED_VALUE"""),"")</f>
        <v/>
      </c>
      <c r="M221" s="250" t="str">
        <f>IFERROR(__xludf.DUMMYFUNCTION("""COMPUTED_VALUE"""),"")</f>
        <v/>
      </c>
      <c r="N221" s="250" t="str">
        <f>IFERROR(__xludf.DUMMYFUNCTION("""COMPUTED_VALUE"""),"")</f>
        <v/>
      </c>
      <c r="O221" s="250" t="str">
        <f>IFERROR(__xludf.DUMMYFUNCTION("""COMPUTED_VALUE"""),"")</f>
        <v/>
      </c>
      <c r="P221" s="250" t="str">
        <f>IFERROR(__xludf.DUMMYFUNCTION("""COMPUTED_VALUE"""),"")</f>
        <v/>
      </c>
      <c r="Q221" s="250">
        <f>IFERROR(__xludf.DUMMYFUNCTION("""COMPUTED_VALUE"""),1049.0)</f>
        <v>1049</v>
      </c>
      <c r="R221" s="250" t="str">
        <f>IFERROR(__xludf.DUMMYFUNCTION("""COMPUTED_VALUE"""),"")</f>
        <v/>
      </c>
      <c r="U221" s="250">
        <f>IFERROR(__xludf.DUMMYFUNCTION("""COMPUTED_VALUE"""),2089.0)</f>
        <v>2089</v>
      </c>
      <c r="V221" s="250">
        <f>IFERROR(__xludf.DUMMYFUNCTION("""COMPUTED_VALUE"""),1989.0)</f>
        <v>1989</v>
      </c>
      <c r="W221" s="250">
        <f>IFERROR(__xludf.DUMMYFUNCTION("""COMPUTED_VALUE"""),1809.0)</f>
        <v>1809</v>
      </c>
      <c r="X221" t="b">
        <f t="shared" ref="X221:Z221" si="418">ISBLANK(K221)</f>
        <v>1</v>
      </c>
      <c r="Y221" t="b">
        <f t="shared" si="418"/>
        <v>0</v>
      </c>
      <c r="Z221" t="b">
        <f t="shared" si="418"/>
        <v>0</v>
      </c>
      <c r="AA221">
        <f t="shared" ref="AA221:AC221" si="419">IF(X221=FALSE,1,0)</f>
        <v>0</v>
      </c>
      <c r="AB221">
        <f t="shared" si="419"/>
        <v>1</v>
      </c>
      <c r="AC221">
        <f t="shared" si="419"/>
        <v>1</v>
      </c>
      <c r="AD221">
        <f t="shared" si="6"/>
        <v>2</v>
      </c>
      <c r="AE221">
        <f t="shared" si="7"/>
        <v>1</v>
      </c>
      <c r="AF221">
        <f>if(iferror(vlookup($A221,'Description Database'!$E$2:$H$951,3,0),0)=TRUE,1,0)</f>
        <v>0</v>
      </c>
      <c r="AG221">
        <f>if(iferror(vlookup($A221,'Description Database'!$E$2:$H$951,4,0),0)=TRUE,1,0)</f>
        <v>0</v>
      </c>
    </row>
    <row r="222">
      <c r="A222" t="str">
        <f>IFERROR(__xludf.DUMMYFUNCTION("""COMPUTED_VALUE"""),"Xiaomi REDMI NOTE 7S (4 GB/64 GB)")</f>
        <v>Xiaomi REDMI NOTE 7S (4 GB/64 GB)</v>
      </c>
      <c r="B222" t="str">
        <f>IFERROR(__xludf.DUMMYFUNCTION("""COMPUTED_VALUE"""),"")</f>
        <v/>
      </c>
      <c r="C222" t="str">
        <f>IFERROR(__xludf.DUMMYFUNCTION("""COMPUTED_VALUE"""),"")</f>
        <v/>
      </c>
      <c r="D222" t="str">
        <f>IFERROR(__xludf.DUMMYFUNCTION("""COMPUTED_VALUE"""),"")</f>
        <v/>
      </c>
      <c r="E222" t="str">
        <f>IFERROR(__xludf.DUMMYFUNCTION("""COMPUTED_VALUE"""),"")</f>
        <v/>
      </c>
      <c r="F222" t="str">
        <f>IFERROR(__xludf.DUMMYFUNCTION("""COMPUTED_VALUE"""),"")</f>
        <v/>
      </c>
      <c r="G222" t="str">
        <f>IFERROR(__xludf.DUMMYFUNCTION("""COMPUTED_VALUE"""),"")</f>
        <v/>
      </c>
      <c r="H222" t="str">
        <f>IFERROR(__xludf.DUMMYFUNCTION("""COMPUTED_VALUE"""),"")</f>
        <v/>
      </c>
      <c r="I222">
        <f>IFERROR(__xludf.DUMMYFUNCTION("""COMPUTED_VALUE"""),4.0)</f>
        <v>4</v>
      </c>
      <c r="J222">
        <f>IFERROR(__xludf.DUMMYFUNCTION("""COMPUTED_VALUE"""),4.0)</f>
        <v>4</v>
      </c>
      <c r="L222" s="250" t="str">
        <f>IFERROR(__xludf.DUMMYFUNCTION("""COMPUTED_VALUE"""),"")</f>
        <v/>
      </c>
      <c r="M222" s="250" t="str">
        <f>IFERROR(__xludf.DUMMYFUNCTION("""COMPUTED_VALUE"""),"")</f>
        <v/>
      </c>
      <c r="N222" s="250" t="str">
        <f>IFERROR(__xludf.DUMMYFUNCTION("""COMPUTED_VALUE"""),"")</f>
        <v/>
      </c>
      <c r="O222" s="250" t="str">
        <f>IFERROR(__xludf.DUMMYFUNCTION("""COMPUTED_VALUE"""),"")</f>
        <v/>
      </c>
      <c r="P222" s="250" t="str">
        <f>IFERROR(__xludf.DUMMYFUNCTION("""COMPUTED_VALUE"""),"")</f>
        <v/>
      </c>
      <c r="Q222" s="250" t="str">
        <f>IFERROR(__xludf.DUMMYFUNCTION("""COMPUTED_VALUE"""),"")</f>
        <v/>
      </c>
      <c r="R222" s="250" t="str">
        <f>IFERROR(__xludf.DUMMYFUNCTION("""COMPUTED_VALUE"""),"")</f>
        <v/>
      </c>
      <c r="U222" s="250">
        <f>IFERROR(__xludf.DUMMYFUNCTION("""COMPUTED_VALUE"""),8309.0)</f>
        <v>8309</v>
      </c>
      <c r="V222" s="250">
        <f>IFERROR(__xludf.DUMMYFUNCTION("""COMPUTED_VALUE"""),7909.0)</f>
        <v>7909</v>
      </c>
      <c r="W222" s="250">
        <f>IFERROR(__xludf.DUMMYFUNCTION("""COMPUTED_VALUE"""),7119.0)</f>
        <v>7119</v>
      </c>
      <c r="X222" t="b">
        <f t="shared" ref="X222:Z222" si="420">ISBLANK(K222)</f>
        <v>1</v>
      </c>
      <c r="Y222" t="b">
        <f t="shared" si="420"/>
        <v>0</v>
      </c>
      <c r="Z222" t="b">
        <f t="shared" si="420"/>
        <v>0</v>
      </c>
      <c r="AA222">
        <f t="shared" ref="AA222:AC222" si="421">IF(X222=FALSE,1,0)</f>
        <v>0</v>
      </c>
      <c r="AB222">
        <f t="shared" si="421"/>
        <v>1</v>
      </c>
      <c r="AC222">
        <f t="shared" si="421"/>
        <v>1</v>
      </c>
      <c r="AD222">
        <f t="shared" si="6"/>
        <v>2</v>
      </c>
      <c r="AE222">
        <f t="shared" si="7"/>
        <v>1</v>
      </c>
      <c r="AF222">
        <f>if(iferror(vlookup($A222,'Description Database'!$E$2:$H$951,3,0),0)=TRUE,1,0)</f>
        <v>0</v>
      </c>
      <c r="AG222">
        <f>if(iferror(vlookup($A222,'Description Database'!$E$2:$H$951,4,0),0)=TRUE,1,0)</f>
        <v>0</v>
      </c>
    </row>
    <row r="223">
      <c r="A223" t="str">
        <f>IFERROR(__xludf.DUMMYFUNCTION("""COMPUTED_VALUE"""),"Motorola Moto G 3rd Gen (2 GB/16 GB)")</f>
        <v>Motorola Moto G 3rd Gen (2 GB/16 GB)</v>
      </c>
      <c r="B223" t="str">
        <f>IFERROR(__xludf.DUMMYFUNCTION("""COMPUTED_VALUE"""),"")</f>
        <v/>
      </c>
      <c r="C223" t="str">
        <f>IFERROR(__xludf.DUMMYFUNCTION("""COMPUTED_VALUE"""),"")</f>
        <v/>
      </c>
      <c r="D223" t="str">
        <f>IFERROR(__xludf.DUMMYFUNCTION("""COMPUTED_VALUE"""),"")</f>
        <v/>
      </c>
      <c r="E223" t="str">
        <f>IFERROR(__xludf.DUMMYFUNCTION("""COMPUTED_VALUE"""),"")</f>
        <v/>
      </c>
      <c r="F223" t="str">
        <f>IFERROR(__xludf.DUMMYFUNCTION("""COMPUTED_VALUE"""),"")</f>
        <v/>
      </c>
      <c r="G223">
        <f>IFERROR(__xludf.DUMMYFUNCTION("""COMPUTED_VALUE"""),4.0)</f>
        <v>4</v>
      </c>
      <c r="H223" t="str">
        <f>IFERROR(__xludf.DUMMYFUNCTION("""COMPUTED_VALUE"""),"")</f>
        <v/>
      </c>
      <c r="I223">
        <f>IFERROR(__xludf.DUMMYFUNCTION("""COMPUTED_VALUE"""),61.0)</f>
        <v>61</v>
      </c>
      <c r="J223">
        <f>IFERROR(__xludf.DUMMYFUNCTION("""COMPUTED_VALUE"""),65.0)</f>
        <v>65</v>
      </c>
      <c r="L223" s="250" t="str">
        <f>IFERROR(__xludf.DUMMYFUNCTION("""COMPUTED_VALUE"""),"")</f>
        <v/>
      </c>
      <c r="M223" s="250" t="str">
        <f>IFERROR(__xludf.DUMMYFUNCTION("""COMPUTED_VALUE"""),"")</f>
        <v/>
      </c>
      <c r="N223" s="250" t="str">
        <f>IFERROR(__xludf.DUMMYFUNCTION("""COMPUTED_VALUE"""),"")</f>
        <v/>
      </c>
      <c r="O223" s="250" t="str">
        <f>IFERROR(__xludf.DUMMYFUNCTION("""COMPUTED_VALUE"""),"")</f>
        <v/>
      </c>
      <c r="P223" s="250" t="str">
        <f>IFERROR(__xludf.DUMMYFUNCTION("""COMPUTED_VALUE"""),"")</f>
        <v/>
      </c>
      <c r="Q223" s="250">
        <f>IFERROR(__xludf.DUMMYFUNCTION("""COMPUTED_VALUE"""),1059.0)</f>
        <v>1059</v>
      </c>
      <c r="R223" s="250" t="str">
        <f>IFERROR(__xludf.DUMMYFUNCTION("""COMPUTED_VALUE"""),"")</f>
        <v/>
      </c>
      <c r="U223" s="250">
        <f>IFERROR(__xludf.DUMMYFUNCTION("""COMPUTED_VALUE"""),2149.0)</f>
        <v>2149</v>
      </c>
      <c r="V223" s="250">
        <f>IFERROR(__xludf.DUMMYFUNCTION("""COMPUTED_VALUE"""),2039.0)</f>
        <v>2039</v>
      </c>
      <c r="W223" s="250">
        <f>IFERROR(__xludf.DUMMYFUNCTION("""COMPUTED_VALUE"""),1839.0)</f>
        <v>1839</v>
      </c>
      <c r="X223" t="b">
        <f t="shared" ref="X223:Z223" si="422">ISBLANK(K223)</f>
        <v>1</v>
      </c>
      <c r="Y223" t="b">
        <f t="shared" si="422"/>
        <v>0</v>
      </c>
      <c r="Z223" t="b">
        <f t="shared" si="422"/>
        <v>0</v>
      </c>
      <c r="AA223">
        <f t="shared" ref="AA223:AC223" si="423">IF(X223=FALSE,1,0)</f>
        <v>0</v>
      </c>
      <c r="AB223">
        <f t="shared" si="423"/>
        <v>1</v>
      </c>
      <c r="AC223">
        <f t="shared" si="423"/>
        <v>1</v>
      </c>
      <c r="AD223">
        <f t="shared" si="6"/>
        <v>2</v>
      </c>
      <c r="AE223">
        <f t="shared" si="7"/>
        <v>1</v>
      </c>
      <c r="AF223">
        <f>if(iferror(vlookup($A223,'Description Database'!$E$2:$H$951,3,0),0)=TRUE,1,0)</f>
        <v>0</v>
      </c>
      <c r="AG223">
        <f>if(iferror(vlookup($A223,'Description Database'!$E$2:$H$951,4,0),0)=TRUE,1,0)</f>
        <v>0</v>
      </c>
    </row>
    <row r="224">
      <c r="A224" t="str">
        <f>IFERROR(__xludf.DUMMYFUNCTION("""COMPUTED_VALUE"""),"Lenovo Vibe K5 Note (3 GB/32 GB)")</f>
        <v>Lenovo Vibe K5 Note (3 GB/32 GB)</v>
      </c>
      <c r="B224" t="str">
        <f>IFERROR(__xludf.DUMMYFUNCTION("""COMPUTED_VALUE"""),"")</f>
        <v/>
      </c>
      <c r="C224" t="str">
        <f>IFERROR(__xludf.DUMMYFUNCTION("""COMPUTED_VALUE"""),"")</f>
        <v/>
      </c>
      <c r="D224" t="str">
        <f>IFERROR(__xludf.DUMMYFUNCTION("""COMPUTED_VALUE"""),"")</f>
        <v/>
      </c>
      <c r="E224" t="str">
        <f>IFERROR(__xludf.DUMMYFUNCTION("""COMPUTED_VALUE"""),"")</f>
        <v/>
      </c>
      <c r="F224">
        <f>IFERROR(__xludf.DUMMYFUNCTION("""COMPUTED_VALUE"""),2.0)</f>
        <v>2</v>
      </c>
      <c r="G224">
        <f>IFERROR(__xludf.DUMMYFUNCTION("""COMPUTED_VALUE"""),4.0)</f>
        <v>4</v>
      </c>
      <c r="H224" t="str">
        <f>IFERROR(__xludf.DUMMYFUNCTION("""COMPUTED_VALUE"""),"")</f>
        <v/>
      </c>
      <c r="I224">
        <f>IFERROR(__xludf.DUMMYFUNCTION("""COMPUTED_VALUE"""),23.0)</f>
        <v>23</v>
      </c>
      <c r="J224">
        <f>IFERROR(__xludf.DUMMYFUNCTION("""COMPUTED_VALUE"""),29.0)</f>
        <v>29</v>
      </c>
      <c r="L224" s="250" t="str">
        <f>IFERROR(__xludf.DUMMYFUNCTION("""COMPUTED_VALUE"""),"")</f>
        <v/>
      </c>
      <c r="M224" s="250" t="str">
        <f>IFERROR(__xludf.DUMMYFUNCTION("""COMPUTED_VALUE"""),"")</f>
        <v/>
      </c>
      <c r="N224" s="250" t="str">
        <f>IFERROR(__xludf.DUMMYFUNCTION("""COMPUTED_VALUE"""),"")</f>
        <v/>
      </c>
      <c r="O224" s="250" t="str">
        <f>IFERROR(__xludf.DUMMYFUNCTION("""COMPUTED_VALUE"""),"")</f>
        <v/>
      </c>
      <c r="P224" s="250">
        <f>IFERROR(__xludf.DUMMYFUNCTION("""COMPUTED_VALUE"""),2549.0)</f>
        <v>2549</v>
      </c>
      <c r="Q224" s="250">
        <f>IFERROR(__xludf.DUMMYFUNCTION("""COMPUTED_VALUE"""),1899.0)</f>
        <v>1899</v>
      </c>
      <c r="R224" s="250" t="str">
        <f>IFERROR(__xludf.DUMMYFUNCTION("""COMPUTED_VALUE"""),"")</f>
        <v/>
      </c>
      <c r="U224" s="250">
        <f>IFERROR(__xludf.DUMMYFUNCTION("""COMPUTED_VALUE"""),3909.0)</f>
        <v>3909</v>
      </c>
      <c r="V224" s="250">
        <f>IFERROR(__xludf.DUMMYFUNCTION("""COMPUTED_VALUE"""),3719.0)</f>
        <v>3719</v>
      </c>
      <c r="W224" s="250">
        <f>IFERROR(__xludf.DUMMYFUNCTION("""COMPUTED_VALUE"""),3359.0)</f>
        <v>3359</v>
      </c>
      <c r="X224" t="b">
        <f t="shared" ref="X224:Z224" si="424">ISBLANK(K224)</f>
        <v>1</v>
      </c>
      <c r="Y224" t="b">
        <f t="shared" si="424"/>
        <v>0</v>
      </c>
      <c r="Z224" t="b">
        <f t="shared" si="424"/>
        <v>0</v>
      </c>
      <c r="AA224">
        <f t="shared" ref="AA224:AC224" si="425">IF(X224=FALSE,1,0)</f>
        <v>0</v>
      </c>
      <c r="AB224">
        <f t="shared" si="425"/>
        <v>1</v>
      </c>
      <c r="AC224">
        <f t="shared" si="425"/>
        <v>1</v>
      </c>
      <c r="AD224">
        <f t="shared" si="6"/>
        <v>2</v>
      </c>
      <c r="AE224">
        <f t="shared" si="7"/>
        <v>1</v>
      </c>
      <c r="AF224">
        <f>if(iferror(vlookup($A224,'Description Database'!$E$2:$H$951,3,0),0)=TRUE,1,0)</f>
        <v>0</v>
      </c>
      <c r="AG224">
        <f>if(iferror(vlookup($A224,'Description Database'!$E$2:$H$951,4,0),0)=TRUE,1,0)</f>
        <v>0</v>
      </c>
    </row>
    <row r="225">
      <c r="A225" t="str">
        <f>IFERROR(__xludf.DUMMYFUNCTION("""COMPUTED_VALUE"""),"Lenovo Vibe Shot (3 GB/32 GB)")</f>
        <v>Lenovo Vibe Shot (3 GB/32 GB)</v>
      </c>
      <c r="B225" t="str">
        <f>IFERROR(__xludf.DUMMYFUNCTION("""COMPUTED_VALUE"""),"")</f>
        <v/>
      </c>
      <c r="C225" t="str">
        <f>IFERROR(__xludf.DUMMYFUNCTION("""COMPUTED_VALUE"""),"")</f>
        <v/>
      </c>
      <c r="D225" t="str">
        <f>IFERROR(__xludf.DUMMYFUNCTION("""COMPUTED_VALUE"""),"")</f>
        <v/>
      </c>
      <c r="E225" t="str">
        <f>IFERROR(__xludf.DUMMYFUNCTION("""COMPUTED_VALUE"""),"")</f>
        <v/>
      </c>
      <c r="F225" t="str">
        <f>IFERROR(__xludf.DUMMYFUNCTION("""COMPUTED_VALUE"""),"")</f>
        <v/>
      </c>
      <c r="G225">
        <f>IFERROR(__xludf.DUMMYFUNCTION("""COMPUTED_VALUE"""),1.0)</f>
        <v>1</v>
      </c>
      <c r="H225" t="str">
        <f>IFERROR(__xludf.DUMMYFUNCTION("""COMPUTED_VALUE"""),"")</f>
        <v/>
      </c>
      <c r="I225" t="str">
        <f>IFERROR(__xludf.DUMMYFUNCTION("""COMPUTED_VALUE"""),"")</f>
        <v/>
      </c>
      <c r="J225">
        <f>IFERROR(__xludf.DUMMYFUNCTION("""COMPUTED_VALUE"""),1.0)</f>
        <v>1</v>
      </c>
      <c r="L225" s="250" t="str">
        <f>IFERROR(__xludf.DUMMYFUNCTION("""COMPUTED_VALUE"""),"")</f>
        <v/>
      </c>
      <c r="M225" s="250" t="str">
        <f>IFERROR(__xludf.DUMMYFUNCTION("""COMPUTED_VALUE"""),"")</f>
        <v/>
      </c>
      <c r="N225" s="250" t="str">
        <f>IFERROR(__xludf.DUMMYFUNCTION("""COMPUTED_VALUE"""),"")</f>
        <v/>
      </c>
      <c r="O225" s="250" t="str">
        <f>IFERROR(__xludf.DUMMYFUNCTION("""COMPUTED_VALUE"""),"")</f>
        <v/>
      </c>
      <c r="P225" s="250" t="str">
        <f>IFERROR(__xludf.DUMMYFUNCTION("""COMPUTED_VALUE"""),"")</f>
        <v/>
      </c>
      <c r="Q225" s="250">
        <f>IFERROR(__xludf.DUMMYFUNCTION("""COMPUTED_VALUE"""),1499.0)</f>
        <v>1499</v>
      </c>
      <c r="R225" s="250" t="str">
        <f>IFERROR(__xludf.DUMMYFUNCTION("""COMPUTED_VALUE"""),"")</f>
        <v/>
      </c>
      <c r="U225" s="250">
        <f>IFERROR(__xludf.DUMMYFUNCTION("""COMPUTED_VALUE"""),3019.0)</f>
        <v>3019</v>
      </c>
      <c r="V225" s="250">
        <f>IFERROR(__xludf.DUMMYFUNCTION("""COMPUTED_VALUE"""),2869.0)</f>
        <v>2869</v>
      </c>
      <c r="W225" s="250">
        <f>IFERROR(__xludf.DUMMYFUNCTION("""COMPUTED_VALUE"""),2589.0)</f>
        <v>2589</v>
      </c>
      <c r="X225" t="b">
        <f t="shared" ref="X225:Z225" si="426">ISBLANK(K225)</f>
        <v>1</v>
      </c>
      <c r="Y225" t="b">
        <f t="shared" si="426"/>
        <v>0</v>
      </c>
      <c r="Z225" t="b">
        <f t="shared" si="426"/>
        <v>0</v>
      </c>
      <c r="AA225">
        <f t="shared" ref="AA225:AC225" si="427">IF(X225=FALSE,1,0)</f>
        <v>0</v>
      </c>
      <c r="AB225">
        <f t="shared" si="427"/>
        <v>1</v>
      </c>
      <c r="AC225">
        <f t="shared" si="427"/>
        <v>1</v>
      </c>
      <c r="AD225">
        <f t="shared" si="6"/>
        <v>2</v>
      </c>
      <c r="AE225">
        <f t="shared" si="7"/>
        <v>1</v>
      </c>
      <c r="AF225">
        <f>if(iferror(vlookup($A225,'Description Database'!$E$2:$H$951,3,0),0)=TRUE,1,0)</f>
        <v>0</v>
      </c>
      <c r="AG225">
        <f>if(iferror(vlookup($A225,'Description Database'!$E$2:$H$951,4,0),0)=TRUE,1,0)</f>
        <v>0</v>
      </c>
    </row>
    <row r="226">
      <c r="A226" t="str">
        <f>IFERROR(__xludf.DUMMYFUNCTION("""COMPUTED_VALUE"""),"Samsung Galaxy Note 3 Neo (2 GB/16 GB)")</f>
        <v>Samsung Galaxy Note 3 Neo (2 GB/16 GB)</v>
      </c>
      <c r="B226" t="str">
        <f>IFERROR(__xludf.DUMMYFUNCTION("""COMPUTED_VALUE"""),"")</f>
        <v/>
      </c>
      <c r="C226" t="str">
        <f>IFERROR(__xludf.DUMMYFUNCTION("""COMPUTED_VALUE"""),"")</f>
        <v/>
      </c>
      <c r="D226" t="str">
        <f>IFERROR(__xludf.DUMMYFUNCTION("""COMPUTED_VALUE"""),"")</f>
        <v/>
      </c>
      <c r="E226" t="str">
        <f>IFERROR(__xludf.DUMMYFUNCTION("""COMPUTED_VALUE"""),"")</f>
        <v/>
      </c>
      <c r="F226" t="str">
        <f>IFERROR(__xludf.DUMMYFUNCTION("""COMPUTED_VALUE"""),"")</f>
        <v/>
      </c>
      <c r="G226">
        <f>IFERROR(__xludf.DUMMYFUNCTION("""COMPUTED_VALUE"""),1.0)</f>
        <v>1</v>
      </c>
      <c r="H226" t="str">
        <f>IFERROR(__xludf.DUMMYFUNCTION("""COMPUTED_VALUE"""),"")</f>
        <v/>
      </c>
      <c r="I226">
        <f>IFERROR(__xludf.DUMMYFUNCTION("""COMPUTED_VALUE"""),1.0)</f>
        <v>1</v>
      </c>
      <c r="J226">
        <f>IFERROR(__xludf.DUMMYFUNCTION("""COMPUTED_VALUE"""),2.0)</f>
        <v>2</v>
      </c>
      <c r="L226" s="250" t="str">
        <f>IFERROR(__xludf.DUMMYFUNCTION("""COMPUTED_VALUE"""),"")</f>
        <v/>
      </c>
      <c r="M226" s="250" t="str">
        <f>IFERROR(__xludf.DUMMYFUNCTION("""COMPUTED_VALUE"""),"")</f>
        <v/>
      </c>
      <c r="N226" s="250" t="str">
        <f>IFERROR(__xludf.DUMMYFUNCTION("""COMPUTED_VALUE"""),"")</f>
        <v/>
      </c>
      <c r="O226" s="250" t="str">
        <f>IFERROR(__xludf.DUMMYFUNCTION("""COMPUTED_VALUE"""),"")</f>
        <v/>
      </c>
      <c r="P226" s="250" t="str">
        <f>IFERROR(__xludf.DUMMYFUNCTION("""COMPUTED_VALUE"""),"")</f>
        <v/>
      </c>
      <c r="Q226" s="250">
        <f>IFERROR(__xludf.DUMMYFUNCTION("""COMPUTED_VALUE"""),839.0)</f>
        <v>839</v>
      </c>
      <c r="R226" s="250" t="str">
        <f>IFERROR(__xludf.DUMMYFUNCTION("""COMPUTED_VALUE"""),"")</f>
        <v/>
      </c>
      <c r="U226" s="250">
        <f>IFERROR(__xludf.DUMMYFUNCTION("""COMPUTED_VALUE"""),1769.0)</f>
        <v>1769</v>
      </c>
      <c r="V226" s="250">
        <f>IFERROR(__xludf.DUMMYFUNCTION("""COMPUTED_VALUE"""),1689.0)</f>
        <v>1689</v>
      </c>
      <c r="W226" s="250">
        <f>IFERROR(__xludf.DUMMYFUNCTION("""COMPUTED_VALUE"""),1519.0)</f>
        <v>1519</v>
      </c>
      <c r="X226" t="b">
        <f t="shared" ref="X226:Z226" si="428">ISBLANK(K226)</f>
        <v>1</v>
      </c>
      <c r="Y226" t="b">
        <f t="shared" si="428"/>
        <v>0</v>
      </c>
      <c r="Z226" t="b">
        <f t="shared" si="428"/>
        <v>0</v>
      </c>
      <c r="AA226">
        <f t="shared" ref="AA226:AC226" si="429">IF(X226=FALSE,1,0)</f>
        <v>0</v>
      </c>
      <c r="AB226">
        <f t="shared" si="429"/>
        <v>1</v>
      </c>
      <c r="AC226">
        <f t="shared" si="429"/>
        <v>1</v>
      </c>
      <c r="AD226">
        <f t="shared" si="6"/>
        <v>2</v>
      </c>
      <c r="AE226">
        <f t="shared" si="7"/>
        <v>1</v>
      </c>
      <c r="AF226">
        <f>if(iferror(vlookup($A226,'Description Database'!$E$2:$H$951,3,0),0)=TRUE,1,0)</f>
        <v>0</v>
      </c>
      <c r="AG226">
        <f>if(iferror(vlookup($A226,'Description Database'!$E$2:$H$951,4,0),0)=TRUE,1,0)</f>
        <v>0</v>
      </c>
    </row>
    <row r="227">
      <c r="A227" t="str">
        <f>IFERROR(__xludf.DUMMYFUNCTION("""COMPUTED_VALUE"""),"Nokia 6.1 (4 GB/64 GB)")</f>
        <v>Nokia 6.1 (4 GB/64 GB)</v>
      </c>
      <c r="B227" t="str">
        <f>IFERROR(__xludf.DUMMYFUNCTION("""COMPUTED_VALUE"""),"")</f>
        <v/>
      </c>
      <c r="C227" t="str">
        <f>IFERROR(__xludf.DUMMYFUNCTION("""COMPUTED_VALUE"""),"")</f>
        <v/>
      </c>
      <c r="D227" t="str">
        <f>IFERROR(__xludf.DUMMYFUNCTION("""COMPUTED_VALUE"""),"")</f>
        <v/>
      </c>
      <c r="E227" t="str">
        <f>IFERROR(__xludf.DUMMYFUNCTION("""COMPUTED_VALUE"""),"")</f>
        <v/>
      </c>
      <c r="F227" t="str">
        <f>IFERROR(__xludf.DUMMYFUNCTION("""COMPUTED_VALUE"""),"")</f>
        <v/>
      </c>
      <c r="G227">
        <f>IFERROR(__xludf.DUMMYFUNCTION("""COMPUTED_VALUE"""),1.0)</f>
        <v>1</v>
      </c>
      <c r="H227" t="str">
        <f>IFERROR(__xludf.DUMMYFUNCTION("""COMPUTED_VALUE"""),"")</f>
        <v/>
      </c>
      <c r="I227">
        <f>IFERROR(__xludf.DUMMYFUNCTION("""COMPUTED_VALUE"""),4.0)</f>
        <v>4</v>
      </c>
      <c r="J227">
        <f>IFERROR(__xludf.DUMMYFUNCTION("""COMPUTED_VALUE"""),5.0)</f>
        <v>5</v>
      </c>
      <c r="L227" s="250" t="str">
        <f>IFERROR(__xludf.DUMMYFUNCTION("""COMPUTED_VALUE"""),"")</f>
        <v/>
      </c>
      <c r="M227" s="250" t="str">
        <f>IFERROR(__xludf.DUMMYFUNCTION("""COMPUTED_VALUE"""),"")</f>
        <v/>
      </c>
      <c r="N227" s="250" t="str">
        <f>IFERROR(__xludf.DUMMYFUNCTION("""COMPUTED_VALUE"""),"")</f>
        <v/>
      </c>
      <c r="O227" s="250" t="str">
        <f>IFERROR(__xludf.DUMMYFUNCTION("""COMPUTED_VALUE"""),"")</f>
        <v/>
      </c>
      <c r="P227" s="250" t="str">
        <f>IFERROR(__xludf.DUMMYFUNCTION("""COMPUTED_VALUE"""),"")</f>
        <v/>
      </c>
      <c r="Q227" s="250">
        <f>IFERROR(__xludf.DUMMYFUNCTION("""COMPUTED_VALUE"""),2539.0)</f>
        <v>2539</v>
      </c>
      <c r="R227" s="250" t="str">
        <f>IFERROR(__xludf.DUMMYFUNCTION("""COMPUTED_VALUE"""),"")</f>
        <v/>
      </c>
      <c r="U227" s="250">
        <f>IFERROR(__xludf.DUMMYFUNCTION("""COMPUTED_VALUE"""),5139.0)</f>
        <v>5139</v>
      </c>
      <c r="V227" s="250">
        <f>IFERROR(__xludf.DUMMYFUNCTION("""COMPUTED_VALUE"""),4889.0)</f>
        <v>4889</v>
      </c>
      <c r="W227" s="250">
        <f>IFERROR(__xludf.DUMMYFUNCTION("""COMPUTED_VALUE"""),4399.0)</f>
        <v>4399</v>
      </c>
      <c r="X227" t="b">
        <f t="shared" ref="X227:Z227" si="430">ISBLANK(K227)</f>
        <v>1</v>
      </c>
      <c r="Y227" t="b">
        <f t="shared" si="430"/>
        <v>0</v>
      </c>
      <c r="Z227" t="b">
        <f t="shared" si="430"/>
        <v>0</v>
      </c>
      <c r="AA227">
        <f t="shared" ref="AA227:AC227" si="431">IF(X227=FALSE,1,0)</f>
        <v>0</v>
      </c>
      <c r="AB227">
        <f t="shared" si="431"/>
        <v>1</v>
      </c>
      <c r="AC227">
        <f t="shared" si="431"/>
        <v>1</v>
      </c>
      <c r="AD227">
        <f t="shared" si="6"/>
        <v>2</v>
      </c>
      <c r="AE227">
        <f t="shared" si="7"/>
        <v>1</v>
      </c>
      <c r="AF227">
        <f>if(iferror(vlookup($A227,'Description Database'!$E$2:$H$951,3,0),0)=TRUE,1,0)</f>
        <v>0</v>
      </c>
      <c r="AG227">
        <f>if(iferror(vlookup($A227,'Description Database'!$E$2:$H$951,4,0),0)=TRUE,1,0)</f>
        <v>0</v>
      </c>
    </row>
    <row r="228">
      <c r="A228" t="str">
        <f>IFERROR(__xludf.DUMMYFUNCTION("""COMPUTED_VALUE"""),"Asus Zenfone Max (2 GB/16 GB)")</f>
        <v>Asus Zenfone Max (2 GB/16 GB)</v>
      </c>
      <c r="B228" t="str">
        <f>IFERROR(__xludf.DUMMYFUNCTION("""COMPUTED_VALUE"""),"")</f>
        <v/>
      </c>
      <c r="C228" t="str">
        <f>IFERROR(__xludf.DUMMYFUNCTION("""COMPUTED_VALUE"""),"")</f>
        <v/>
      </c>
      <c r="D228" t="str">
        <f>IFERROR(__xludf.DUMMYFUNCTION("""COMPUTED_VALUE"""),"")</f>
        <v/>
      </c>
      <c r="E228" t="str">
        <f>IFERROR(__xludf.DUMMYFUNCTION("""COMPUTED_VALUE"""),"")</f>
        <v/>
      </c>
      <c r="F228" t="str">
        <f>IFERROR(__xludf.DUMMYFUNCTION("""COMPUTED_VALUE"""),"")</f>
        <v/>
      </c>
      <c r="G228">
        <f>IFERROR(__xludf.DUMMYFUNCTION("""COMPUTED_VALUE"""),1.0)</f>
        <v>1</v>
      </c>
      <c r="H228" t="str">
        <f>IFERROR(__xludf.DUMMYFUNCTION("""COMPUTED_VALUE"""),"")</f>
        <v/>
      </c>
      <c r="I228">
        <f>IFERROR(__xludf.DUMMYFUNCTION("""COMPUTED_VALUE"""),9.0)</f>
        <v>9</v>
      </c>
      <c r="J228">
        <f>IFERROR(__xludf.DUMMYFUNCTION("""COMPUTED_VALUE"""),10.0)</f>
        <v>10</v>
      </c>
      <c r="L228" s="250" t="str">
        <f>IFERROR(__xludf.DUMMYFUNCTION("""COMPUTED_VALUE"""),"")</f>
        <v/>
      </c>
      <c r="M228" s="250" t="str">
        <f>IFERROR(__xludf.DUMMYFUNCTION("""COMPUTED_VALUE"""),"")</f>
        <v/>
      </c>
      <c r="N228" s="250" t="str">
        <f>IFERROR(__xludf.DUMMYFUNCTION("""COMPUTED_VALUE"""),"")</f>
        <v/>
      </c>
      <c r="O228" s="250" t="str">
        <f>IFERROR(__xludf.DUMMYFUNCTION("""COMPUTED_VALUE"""),"")</f>
        <v/>
      </c>
      <c r="P228" s="250" t="str">
        <f>IFERROR(__xludf.DUMMYFUNCTION("""COMPUTED_VALUE"""),"")</f>
        <v/>
      </c>
      <c r="Q228" s="250">
        <f>IFERROR(__xludf.DUMMYFUNCTION("""COMPUTED_VALUE"""),1039.0)</f>
        <v>1039</v>
      </c>
      <c r="R228" s="250" t="str">
        <f>IFERROR(__xludf.DUMMYFUNCTION("""COMPUTED_VALUE"""),"")</f>
        <v/>
      </c>
      <c r="U228" s="250">
        <f>IFERROR(__xludf.DUMMYFUNCTION("""COMPUTED_VALUE"""),2089.0)</f>
        <v>2089</v>
      </c>
      <c r="V228" s="250">
        <f>IFERROR(__xludf.DUMMYFUNCTION("""COMPUTED_VALUE"""),1989.0)</f>
        <v>1989</v>
      </c>
      <c r="W228" s="250">
        <f>IFERROR(__xludf.DUMMYFUNCTION("""COMPUTED_VALUE"""),1799.0)</f>
        <v>1799</v>
      </c>
      <c r="X228" t="b">
        <f t="shared" ref="X228:Z228" si="432">ISBLANK(K228)</f>
        <v>1</v>
      </c>
      <c r="Y228" t="b">
        <f t="shared" si="432"/>
        <v>0</v>
      </c>
      <c r="Z228" t="b">
        <f t="shared" si="432"/>
        <v>0</v>
      </c>
      <c r="AA228">
        <f t="shared" ref="AA228:AC228" si="433">IF(X228=FALSE,1,0)</f>
        <v>0</v>
      </c>
      <c r="AB228">
        <f t="shared" si="433"/>
        <v>1</v>
      </c>
      <c r="AC228">
        <f t="shared" si="433"/>
        <v>1</v>
      </c>
      <c r="AD228">
        <f t="shared" si="6"/>
        <v>2</v>
      </c>
      <c r="AE228">
        <f t="shared" si="7"/>
        <v>1</v>
      </c>
      <c r="AF228">
        <f>if(iferror(vlookup($A228,'Description Database'!$E$2:$H$951,3,0),0)=TRUE,1,0)</f>
        <v>0</v>
      </c>
      <c r="AG228">
        <f>if(iferror(vlookup($A228,'Description Database'!$E$2:$H$951,4,0),0)=TRUE,1,0)</f>
        <v>0</v>
      </c>
    </row>
    <row r="229">
      <c r="A229" t="str">
        <f>IFERROR(__xludf.DUMMYFUNCTION("""COMPUTED_VALUE"""),"Realme 3i (3 GB/32 GB)")</f>
        <v>Realme 3i (3 GB/32 GB)</v>
      </c>
      <c r="B229" t="str">
        <f>IFERROR(__xludf.DUMMYFUNCTION("""COMPUTED_VALUE"""),"")</f>
        <v/>
      </c>
      <c r="C229" t="str">
        <f>IFERROR(__xludf.DUMMYFUNCTION("""COMPUTED_VALUE"""),"")</f>
        <v/>
      </c>
      <c r="D229" t="str">
        <f>IFERROR(__xludf.DUMMYFUNCTION("""COMPUTED_VALUE"""),"")</f>
        <v/>
      </c>
      <c r="E229" t="str">
        <f>IFERROR(__xludf.DUMMYFUNCTION("""COMPUTED_VALUE"""),"")</f>
        <v/>
      </c>
      <c r="F229" t="str">
        <f>IFERROR(__xludf.DUMMYFUNCTION("""COMPUTED_VALUE"""),"")</f>
        <v/>
      </c>
      <c r="G229" t="str">
        <f>IFERROR(__xludf.DUMMYFUNCTION("""COMPUTED_VALUE"""),"")</f>
        <v/>
      </c>
      <c r="H229" t="str">
        <f>IFERROR(__xludf.DUMMYFUNCTION("""COMPUTED_VALUE"""),"")</f>
        <v/>
      </c>
      <c r="I229">
        <f>IFERROR(__xludf.DUMMYFUNCTION("""COMPUTED_VALUE"""),6.0)</f>
        <v>6</v>
      </c>
      <c r="J229">
        <f>IFERROR(__xludf.DUMMYFUNCTION("""COMPUTED_VALUE"""),6.0)</f>
        <v>6</v>
      </c>
      <c r="L229" s="250" t="str">
        <f>IFERROR(__xludf.DUMMYFUNCTION("""COMPUTED_VALUE"""),"")</f>
        <v/>
      </c>
      <c r="M229" s="250" t="str">
        <f>IFERROR(__xludf.DUMMYFUNCTION("""COMPUTED_VALUE"""),"")</f>
        <v/>
      </c>
      <c r="N229" s="250" t="str">
        <f>IFERROR(__xludf.DUMMYFUNCTION("""COMPUTED_VALUE"""),"")</f>
        <v/>
      </c>
      <c r="O229" s="250" t="str">
        <f>IFERROR(__xludf.DUMMYFUNCTION("""COMPUTED_VALUE"""),"")</f>
        <v/>
      </c>
      <c r="P229" s="250" t="str">
        <f>IFERROR(__xludf.DUMMYFUNCTION("""COMPUTED_VALUE"""),"")</f>
        <v/>
      </c>
      <c r="Q229" s="250" t="str">
        <f>IFERROR(__xludf.DUMMYFUNCTION("""COMPUTED_VALUE"""),"")</f>
        <v/>
      </c>
      <c r="R229" s="250" t="str">
        <f>IFERROR(__xludf.DUMMYFUNCTION("""COMPUTED_VALUE"""),"")</f>
        <v/>
      </c>
      <c r="U229" s="250">
        <f>IFERROR(__xludf.DUMMYFUNCTION("""COMPUTED_VALUE"""),6569.0)</f>
        <v>6569</v>
      </c>
      <c r="V229" s="250">
        <f>IFERROR(__xludf.DUMMYFUNCTION("""COMPUTED_VALUE"""),6249.0)</f>
        <v>6249</v>
      </c>
      <c r="W229" s="250">
        <f>IFERROR(__xludf.DUMMYFUNCTION("""COMPUTED_VALUE"""),5639.0)</f>
        <v>5639</v>
      </c>
      <c r="X229" t="b">
        <f t="shared" ref="X229:Z229" si="434">ISBLANK(K229)</f>
        <v>1</v>
      </c>
      <c r="Y229" t="b">
        <f t="shared" si="434"/>
        <v>0</v>
      </c>
      <c r="Z229" t="b">
        <f t="shared" si="434"/>
        <v>0</v>
      </c>
      <c r="AA229">
        <f t="shared" ref="AA229:AC229" si="435">IF(X229=FALSE,1,0)</f>
        <v>0</v>
      </c>
      <c r="AB229">
        <f t="shared" si="435"/>
        <v>1</v>
      </c>
      <c r="AC229">
        <f t="shared" si="435"/>
        <v>1</v>
      </c>
      <c r="AD229">
        <f t="shared" si="6"/>
        <v>2</v>
      </c>
      <c r="AE229">
        <f t="shared" si="7"/>
        <v>1</v>
      </c>
      <c r="AF229">
        <f>if(iferror(vlookup($A229,'Description Database'!$E$2:$H$951,3,0),0)=TRUE,1,0)</f>
        <v>0</v>
      </c>
      <c r="AG229">
        <f>if(iferror(vlookup($A229,'Description Database'!$E$2:$H$951,4,0),0)=TRUE,1,0)</f>
        <v>0</v>
      </c>
    </row>
    <row r="230">
      <c r="A230" t="str">
        <f>IFERROR(__xludf.DUMMYFUNCTION("""COMPUTED_VALUE"""),"Honor 10 Lite (3 GB/32 GB)")</f>
        <v>Honor 10 Lite (3 GB/32 GB)</v>
      </c>
      <c r="B230" t="str">
        <f>IFERROR(__xludf.DUMMYFUNCTION("""COMPUTED_VALUE"""),"")</f>
        <v/>
      </c>
      <c r="C230" t="str">
        <f>IFERROR(__xludf.DUMMYFUNCTION("""COMPUTED_VALUE"""),"")</f>
        <v/>
      </c>
      <c r="D230" t="str">
        <f>IFERROR(__xludf.DUMMYFUNCTION("""COMPUTED_VALUE"""),"")</f>
        <v/>
      </c>
      <c r="E230" t="str">
        <f>IFERROR(__xludf.DUMMYFUNCTION("""COMPUTED_VALUE"""),"")</f>
        <v/>
      </c>
      <c r="F230" t="str">
        <f>IFERROR(__xludf.DUMMYFUNCTION("""COMPUTED_VALUE"""),"")</f>
        <v/>
      </c>
      <c r="G230" t="str">
        <f>IFERROR(__xludf.DUMMYFUNCTION("""COMPUTED_VALUE"""),"")</f>
        <v/>
      </c>
      <c r="H230" t="str">
        <f>IFERROR(__xludf.DUMMYFUNCTION("""COMPUTED_VALUE"""),"")</f>
        <v/>
      </c>
      <c r="I230">
        <f>IFERROR(__xludf.DUMMYFUNCTION("""COMPUTED_VALUE"""),3.0)</f>
        <v>3</v>
      </c>
      <c r="J230">
        <f>IFERROR(__xludf.DUMMYFUNCTION("""COMPUTED_VALUE"""),3.0)</f>
        <v>3</v>
      </c>
      <c r="L230" s="250" t="str">
        <f>IFERROR(__xludf.DUMMYFUNCTION("""COMPUTED_VALUE"""),"")</f>
        <v/>
      </c>
      <c r="M230" s="250" t="str">
        <f>IFERROR(__xludf.DUMMYFUNCTION("""COMPUTED_VALUE"""),"")</f>
        <v/>
      </c>
      <c r="N230" s="250" t="str">
        <f>IFERROR(__xludf.DUMMYFUNCTION("""COMPUTED_VALUE"""),"")</f>
        <v/>
      </c>
      <c r="O230" s="250" t="str">
        <f>IFERROR(__xludf.DUMMYFUNCTION("""COMPUTED_VALUE"""),"")</f>
        <v/>
      </c>
      <c r="P230" s="250" t="str">
        <f>IFERROR(__xludf.DUMMYFUNCTION("""COMPUTED_VALUE"""),"")</f>
        <v/>
      </c>
      <c r="Q230" s="250" t="str">
        <f>IFERROR(__xludf.DUMMYFUNCTION("""COMPUTED_VALUE"""),"")</f>
        <v/>
      </c>
      <c r="R230" s="250" t="str">
        <f>IFERROR(__xludf.DUMMYFUNCTION("""COMPUTED_VALUE"""),"")</f>
        <v/>
      </c>
      <c r="U230" s="250">
        <f>IFERROR(__xludf.DUMMYFUNCTION("""COMPUTED_VALUE"""),6189.0)</f>
        <v>6189</v>
      </c>
      <c r="V230" s="250">
        <f>IFERROR(__xludf.DUMMYFUNCTION("""COMPUTED_VALUE"""),5889.0)</f>
        <v>5889</v>
      </c>
      <c r="W230" s="250">
        <f>IFERROR(__xludf.DUMMYFUNCTION("""COMPUTED_VALUE"""),5289.0)</f>
        <v>5289</v>
      </c>
      <c r="X230" t="b">
        <f t="shared" ref="X230:Z230" si="436">ISBLANK(K230)</f>
        <v>1</v>
      </c>
      <c r="Y230" t="b">
        <f t="shared" si="436"/>
        <v>0</v>
      </c>
      <c r="Z230" t="b">
        <f t="shared" si="436"/>
        <v>0</v>
      </c>
      <c r="AA230">
        <f t="shared" ref="AA230:AC230" si="437">IF(X230=FALSE,1,0)</f>
        <v>0</v>
      </c>
      <c r="AB230">
        <f t="shared" si="437"/>
        <v>1</v>
      </c>
      <c r="AC230">
        <f t="shared" si="437"/>
        <v>1</v>
      </c>
      <c r="AD230">
        <f t="shared" si="6"/>
        <v>2</v>
      </c>
      <c r="AE230">
        <f t="shared" si="7"/>
        <v>1</v>
      </c>
      <c r="AF230">
        <f>if(iferror(vlookup($A230,'Description Database'!$E$2:$H$951,3,0),0)=TRUE,1,0)</f>
        <v>0</v>
      </c>
      <c r="AG230">
        <f>if(iferror(vlookup($A230,'Description Database'!$E$2:$H$951,4,0),0)=TRUE,1,0)</f>
        <v>0</v>
      </c>
    </row>
    <row r="231">
      <c r="A231" t="str">
        <f>IFERROR(__xludf.DUMMYFUNCTION("""COMPUTED_VALUE"""),"Asus ZenFone Max Pro M2 (3 GB/32 GB)")</f>
        <v>Asus ZenFone Max Pro M2 (3 GB/32 GB)</v>
      </c>
      <c r="B231" t="str">
        <f>IFERROR(__xludf.DUMMYFUNCTION("""COMPUTED_VALUE"""),"")</f>
        <v/>
      </c>
      <c r="C231" t="str">
        <f>IFERROR(__xludf.DUMMYFUNCTION("""COMPUTED_VALUE"""),"")</f>
        <v/>
      </c>
      <c r="D231" t="str">
        <f>IFERROR(__xludf.DUMMYFUNCTION("""COMPUTED_VALUE"""),"")</f>
        <v/>
      </c>
      <c r="E231" t="str">
        <f>IFERROR(__xludf.DUMMYFUNCTION("""COMPUTED_VALUE"""),"")</f>
        <v/>
      </c>
      <c r="F231" t="str">
        <f>IFERROR(__xludf.DUMMYFUNCTION("""COMPUTED_VALUE"""),"")</f>
        <v/>
      </c>
      <c r="G231" t="str">
        <f>IFERROR(__xludf.DUMMYFUNCTION("""COMPUTED_VALUE"""),"")</f>
        <v/>
      </c>
      <c r="H231" t="str">
        <f>IFERROR(__xludf.DUMMYFUNCTION("""COMPUTED_VALUE"""),"")</f>
        <v/>
      </c>
      <c r="I231" t="str">
        <f>IFERROR(__xludf.DUMMYFUNCTION("""COMPUTED_VALUE"""),"")</f>
        <v/>
      </c>
      <c r="J231">
        <f>IFERROR(__xludf.DUMMYFUNCTION("""COMPUTED_VALUE"""),0.0)</f>
        <v>0</v>
      </c>
      <c r="L231" s="250" t="str">
        <f>IFERROR(__xludf.DUMMYFUNCTION("""COMPUTED_VALUE"""),"")</f>
        <v/>
      </c>
      <c r="M231" s="250" t="str">
        <f>IFERROR(__xludf.DUMMYFUNCTION("""COMPUTED_VALUE"""),"")</f>
        <v/>
      </c>
      <c r="N231" s="250" t="str">
        <f>IFERROR(__xludf.DUMMYFUNCTION("""COMPUTED_VALUE"""),"")</f>
        <v/>
      </c>
      <c r="O231" s="250" t="str">
        <f>IFERROR(__xludf.DUMMYFUNCTION("""COMPUTED_VALUE"""),"")</f>
        <v/>
      </c>
      <c r="P231" s="250" t="str">
        <f>IFERROR(__xludf.DUMMYFUNCTION("""COMPUTED_VALUE"""),"")</f>
        <v/>
      </c>
      <c r="Q231" s="250" t="str">
        <f>IFERROR(__xludf.DUMMYFUNCTION("""COMPUTED_VALUE"""),"")</f>
        <v/>
      </c>
      <c r="R231" s="250" t="str">
        <f>IFERROR(__xludf.DUMMYFUNCTION("""COMPUTED_VALUE"""),"")</f>
        <v/>
      </c>
      <c r="U231" s="250">
        <f>IFERROR(__xludf.DUMMYFUNCTION("""COMPUTED_VALUE"""),6329.0)</f>
        <v>6329</v>
      </c>
      <c r="V231" s="250">
        <f>IFERROR(__xludf.DUMMYFUNCTION("""COMPUTED_VALUE"""),6019.0)</f>
        <v>6019</v>
      </c>
      <c r="W231" s="250">
        <f>IFERROR(__xludf.DUMMYFUNCTION("""COMPUTED_VALUE"""),5419.0)</f>
        <v>5419</v>
      </c>
      <c r="X231" t="b">
        <f t="shared" ref="X231:Z231" si="438">ISBLANK(K231)</f>
        <v>1</v>
      </c>
      <c r="Y231" t="b">
        <f t="shared" si="438"/>
        <v>0</v>
      </c>
      <c r="Z231" t="b">
        <f t="shared" si="438"/>
        <v>0</v>
      </c>
      <c r="AA231">
        <f t="shared" ref="AA231:AC231" si="439">IF(X231=FALSE,1,0)</f>
        <v>0</v>
      </c>
      <c r="AB231">
        <f t="shared" si="439"/>
        <v>1</v>
      </c>
      <c r="AC231">
        <f t="shared" si="439"/>
        <v>1</v>
      </c>
      <c r="AD231">
        <f t="shared" si="6"/>
        <v>2</v>
      </c>
      <c r="AE231">
        <f t="shared" si="7"/>
        <v>1</v>
      </c>
      <c r="AF231">
        <f>if(iferror(vlookup($A231,'Description Database'!$E$2:$H$951,3,0),0)=TRUE,1,0)</f>
        <v>0</v>
      </c>
      <c r="AG231">
        <f>if(iferror(vlookup($A231,'Description Database'!$E$2:$H$951,4,0),0)=TRUE,1,0)</f>
        <v>0</v>
      </c>
    </row>
    <row r="232">
      <c r="A232" t="str">
        <f>IFERROR(__xludf.DUMMYFUNCTION("""COMPUTED_VALUE"""),"Vivo Y83 Pro (4 GB/64 GB)")</f>
        <v>Vivo Y83 Pro (4 GB/64 GB)</v>
      </c>
      <c r="B232" t="str">
        <f>IFERROR(__xludf.DUMMYFUNCTION("""COMPUTED_VALUE"""),"")</f>
        <v/>
      </c>
      <c r="C232" t="str">
        <f>IFERROR(__xludf.DUMMYFUNCTION("""COMPUTED_VALUE"""),"")</f>
        <v/>
      </c>
      <c r="D232" t="str">
        <f>IFERROR(__xludf.DUMMYFUNCTION("""COMPUTED_VALUE"""),"")</f>
        <v/>
      </c>
      <c r="E232" t="str">
        <f>IFERROR(__xludf.DUMMYFUNCTION("""COMPUTED_VALUE"""),"")</f>
        <v/>
      </c>
      <c r="F232">
        <f>IFERROR(__xludf.DUMMYFUNCTION("""COMPUTED_VALUE"""),3.0)</f>
        <v>3</v>
      </c>
      <c r="G232">
        <f>IFERROR(__xludf.DUMMYFUNCTION("""COMPUTED_VALUE"""),2.0)</f>
        <v>2</v>
      </c>
      <c r="H232" t="str">
        <f>IFERROR(__xludf.DUMMYFUNCTION("""COMPUTED_VALUE"""),"")</f>
        <v/>
      </c>
      <c r="I232" t="str">
        <f>IFERROR(__xludf.DUMMYFUNCTION("""COMPUTED_VALUE"""),"")</f>
        <v/>
      </c>
      <c r="J232">
        <f>IFERROR(__xludf.DUMMYFUNCTION("""COMPUTED_VALUE"""),5.0)</f>
        <v>5</v>
      </c>
      <c r="L232" s="250" t="str">
        <f>IFERROR(__xludf.DUMMYFUNCTION("""COMPUTED_VALUE"""),"")</f>
        <v/>
      </c>
      <c r="M232" s="250" t="str">
        <f>IFERROR(__xludf.DUMMYFUNCTION("""COMPUTED_VALUE"""),"")</f>
        <v/>
      </c>
      <c r="N232" s="250" t="str">
        <f>IFERROR(__xludf.DUMMYFUNCTION("""COMPUTED_VALUE"""),"")</f>
        <v/>
      </c>
      <c r="O232" s="250" t="str">
        <f>IFERROR(__xludf.DUMMYFUNCTION("""COMPUTED_VALUE"""),"")</f>
        <v/>
      </c>
      <c r="P232" s="250">
        <f>IFERROR(__xludf.DUMMYFUNCTION("""COMPUTED_VALUE"""),4919.0)</f>
        <v>4919</v>
      </c>
      <c r="Q232" s="250">
        <f>IFERROR(__xludf.DUMMYFUNCTION("""COMPUTED_VALUE"""),3509.0)</f>
        <v>3509</v>
      </c>
      <c r="R232" s="250" t="str">
        <f>IFERROR(__xludf.DUMMYFUNCTION("""COMPUTED_VALUE"""),"")</f>
        <v/>
      </c>
      <c r="U232" s="250">
        <f>IFERROR(__xludf.DUMMYFUNCTION("""COMPUTED_VALUE"""),7579.0)</f>
        <v>7579</v>
      </c>
      <c r="V232" s="250">
        <f>IFERROR(__xludf.DUMMYFUNCTION("""COMPUTED_VALUE"""),7219.0)</f>
        <v>7219</v>
      </c>
      <c r="W232" s="250">
        <f>IFERROR(__xludf.DUMMYFUNCTION("""COMPUTED_VALUE"""),6489.0)</f>
        <v>6489</v>
      </c>
      <c r="X232" t="b">
        <f t="shared" ref="X232:Z232" si="440">ISBLANK(K232)</f>
        <v>1</v>
      </c>
      <c r="Y232" t="b">
        <f t="shared" si="440"/>
        <v>0</v>
      </c>
      <c r="Z232" t="b">
        <f t="shared" si="440"/>
        <v>0</v>
      </c>
      <c r="AA232">
        <f t="shared" ref="AA232:AC232" si="441">IF(X232=FALSE,1,0)</f>
        <v>0</v>
      </c>
      <c r="AB232">
        <f t="shared" si="441"/>
        <v>1</v>
      </c>
      <c r="AC232">
        <f t="shared" si="441"/>
        <v>1</v>
      </c>
      <c r="AD232">
        <f t="shared" si="6"/>
        <v>2</v>
      </c>
      <c r="AE232">
        <f t="shared" si="7"/>
        <v>1</v>
      </c>
      <c r="AF232">
        <f>if(iferror(vlookup($A232,'Description Database'!$E$2:$H$951,3,0),0)=TRUE,1,0)</f>
        <v>0</v>
      </c>
      <c r="AG232">
        <f>if(iferror(vlookup($A232,'Description Database'!$E$2:$H$951,4,0),0)=TRUE,1,0)</f>
        <v>0</v>
      </c>
    </row>
    <row r="233">
      <c r="A233" t="str">
        <f>IFERROR(__xludf.DUMMYFUNCTION("""COMPUTED_VALUE"""),"Motorola MOTO G5 PLUS (4 GB/32 GB)")</f>
        <v>Motorola MOTO G5 PLUS (4 GB/32 GB)</v>
      </c>
      <c r="B233" t="str">
        <f>IFERROR(__xludf.DUMMYFUNCTION("""COMPUTED_VALUE"""),"")</f>
        <v/>
      </c>
      <c r="C233" t="str">
        <f>IFERROR(__xludf.DUMMYFUNCTION("""COMPUTED_VALUE"""),"")</f>
        <v/>
      </c>
      <c r="D233">
        <f>IFERROR(__xludf.DUMMYFUNCTION("""COMPUTED_VALUE"""),1.0)</f>
        <v>1</v>
      </c>
      <c r="E233" t="str">
        <f>IFERROR(__xludf.DUMMYFUNCTION("""COMPUTED_VALUE"""),"")</f>
        <v/>
      </c>
      <c r="F233" t="str">
        <f>IFERROR(__xludf.DUMMYFUNCTION("""COMPUTED_VALUE"""),"")</f>
        <v/>
      </c>
      <c r="G233">
        <f>IFERROR(__xludf.DUMMYFUNCTION("""COMPUTED_VALUE"""),1.0)</f>
        <v>1</v>
      </c>
      <c r="H233">
        <f>IFERROR(__xludf.DUMMYFUNCTION("""COMPUTED_VALUE"""),1.0)</f>
        <v>1</v>
      </c>
      <c r="I233">
        <f>IFERROR(__xludf.DUMMYFUNCTION("""COMPUTED_VALUE"""),26.0)</f>
        <v>26</v>
      </c>
      <c r="J233">
        <f>IFERROR(__xludf.DUMMYFUNCTION("""COMPUTED_VALUE"""),29.0)</f>
        <v>29</v>
      </c>
      <c r="L233" s="250" t="str">
        <f>IFERROR(__xludf.DUMMYFUNCTION("""COMPUTED_VALUE"""),"")</f>
        <v/>
      </c>
      <c r="M233" s="250" t="str">
        <f>IFERROR(__xludf.DUMMYFUNCTION("""COMPUTED_VALUE"""),"")</f>
        <v/>
      </c>
      <c r="N233" s="250">
        <f>IFERROR(__xludf.DUMMYFUNCTION("""COMPUTED_VALUE"""),3139.0)</f>
        <v>3139</v>
      </c>
      <c r="O233" s="250" t="str">
        <f>IFERROR(__xludf.DUMMYFUNCTION("""COMPUTED_VALUE"""),"")</f>
        <v/>
      </c>
      <c r="P233" s="250" t="str">
        <f>IFERROR(__xludf.DUMMYFUNCTION("""COMPUTED_VALUE"""),"")</f>
        <v/>
      </c>
      <c r="Q233" s="250">
        <f>IFERROR(__xludf.DUMMYFUNCTION("""COMPUTED_VALUE"""),1709.0)</f>
        <v>1709</v>
      </c>
      <c r="R233" s="250">
        <f>IFERROR(__xludf.DUMMYFUNCTION("""COMPUTED_VALUE"""),1369.0)</f>
        <v>1369</v>
      </c>
      <c r="U233" s="250">
        <f>IFERROR(__xludf.DUMMYFUNCTION("""COMPUTED_VALUE"""),3969.0)</f>
        <v>3969</v>
      </c>
      <c r="V233" s="250">
        <f>IFERROR(__xludf.DUMMYFUNCTION("""COMPUTED_VALUE"""),3779.0)</f>
        <v>3779</v>
      </c>
      <c r="W233" s="250">
        <f>IFERROR(__xludf.DUMMYFUNCTION("""COMPUTED_VALUE"""),3459.0)</f>
        <v>3459</v>
      </c>
      <c r="X233" t="b">
        <f t="shared" ref="X233:Z233" si="442">ISBLANK(K233)</f>
        <v>1</v>
      </c>
      <c r="Y233" t="b">
        <f t="shared" si="442"/>
        <v>0</v>
      </c>
      <c r="Z233" t="b">
        <f t="shared" si="442"/>
        <v>0</v>
      </c>
      <c r="AA233">
        <f t="shared" ref="AA233:AC233" si="443">IF(X233=FALSE,1,0)</f>
        <v>0</v>
      </c>
      <c r="AB233">
        <f t="shared" si="443"/>
        <v>1</v>
      </c>
      <c r="AC233">
        <f t="shared" si="443"/>
        <v>1</v>
      </c>
      <c r="AD233">
        <f t="shared" si="6"/>
        <v>2</v>
      </c>
      <c r="AE233">
        <f t="shared" si="7"/>
        <v>1</v>
      </c>
      <c r="AF233">
        <f>if(iferror(vlookup($A233,'Description Database'!$E$2:$H$951,3,0),0)=TRUE,1,0)</f>
        <v>0</v>
      </c>
      <c r="AG233">
        <f>if(iferror(vlookup($A233,'Description Database'!$E$2:$H$951,4,0),0)=TRUE,1,0)</f>
        <v>0</v>
      </c>
    </row>
    <row r="234">
      <c r="A234" t="str">
        <f>IFERROR(__xludf.DUMMYFUNCTION("""COMPUTED_VALUE"""),"Xiaomi REDMI 4A (2 GB/16 GB)")</f>
        <v>Xiaomi REDMI 4A (2 GB/16 GB)</v>
      </c>
      <c r="B234" t="str">
        <f>IFERROR(__xludf.DUMMYFUNCTION("""COMPUTED_VALUE"""),"")</f>
        <v/>
      </c>
      <c r="C234" t="str">
        <f>IFERROR(__xludf.DUMMYFUNCTION("""COMPUTED_VALUE"""),"")</f>
        <v/>
      </c>
      <c r="D234" t="str">
        <f>IFERROR(__xludf.DUMMYFUNCTION("""COMPUTED_VALUE"""),"")</f>
        <v/>
      </c>
      <c r="E234" t="str">
        <f>IFERROR(__xludf.DUMMYFUNCTION("""COMPUTED_VALUE"""),"")</f>
        <v/>
      </c>
      <c r="F234" t="str">
        <f>IFERROR(__xludf.DUMMYFUNCTION("""COMPUTED_VALUE"""),"")</f>
        <v/>
      </c>
      <c r="G234" t="str">
        <f>IFERROR(__xludf.DUMMYFUNCTION("""COMPUTED_VALUE"""),"")</f>
        <v/>
      </c>
      <c r="H234" t="str">
        <f>IFERROR(__xludf.DUMMYFUNCTION("""COMPUTED_VALUE"""),"")</f>
        <v/>
      </c>
      <c r="I234">
        <f>IFERROR(__xludf.DUMMYFUNCTION("""COMPUTED_VALUE"""),36.0)</f>
        <v>36</v>
      </c>
      <c r="J234">
        <f>IFERROR(__xludf.DUMMYFUNCTION("""COMPUTED_VALUE"""),36.0)</f>
        <v>36</v>
      </c>
      <c r="L234" s="250" t="str">
        <f>IFERROR(__xludf.DUMMYFUNCTION("""COMPUTED_VALUE"""),"")</f>
        <v/>
      </c>
      <c r="M234" s="250" t="str">
        <f>IFERROR(__xludf.DUMMYFUNCTION("""COMPUTED_VALUE"""),"")</f>
        <v/>
      </c>
      <c r="N234" s="250" t="str">
        <f>IFERROR(__xludf.DUMMYFUNCTION("""COMPUTED_VALUE"""),"")</f>
        <v/>
      </c>
      <c r="O234" s="250" t="str">
        <f>IFERROR(__xludf.DUMMYFUNCTION("""COMPUTED_VALUE"""),"")</f>
        <v/>
      </c>
      <c r="P234" s="250" t="str">
        <f>IFERROR(__xludf.DUMMYFUNCTION("""COMPUTED_VALUE"""),"")</f>
        <v/>
      </c>
      <c r="Q234" s="250" t="str">
        <f>IFERROR(__xludf.DUMMYFUNCTION("""COMPUTED_VALUE"""),"")</f>
        <v/>
      </c>
      <c r="R234" s="250" t="str">
        <f>IFERROR(__xludf.DUMMYFUNCTION("""COMPUTED_VALUE"""),"")</f>
        <v/>
      </c>
      <c r="U234" s="250">
        <f>IFERROR(__xludf.DUMMYFUNCTION("""COMPUTED_VALUE"""),3579.0)</f>
        <v>3579</v>
      </c>
      <c r="V234" s="250">
        <f>IFERROR(__xludf.DUMMYFUNCTION("""COMPUTED_VALUE"""),3399.0)</f>
        <v>3399</v>
      </c>
      <c r="W234" s="250">
        <f>IFERROR(__xludf.DUMMYFUNCTION("""COMPUTED_VALUE"""),3059.0)</f>
        <v>3059</v>
      </c>
      <c r="X234" t="b">
        <f t="shared" ref="X234:Z234" si="444">ISBLANK(K234)</f>
        <v>1</v>
      </c>
      <c r="Y234" t="b">
        <f t="shared" si="444"/>
        <v>0</v>
      </c>
      <c r="Z234" t="b">
        <f t="shared" si="444"/>
        <v>0</v>
      </c>
      <c r="AA234">
        <f t="shared" ref="AA234:AC234" si="445">IF(X234=FALSE,1,0)</f>
        <v>0</v>
      </c>
      <c r="AB234">
        <f t="shared" si="445"/>
        <v>1</v>
      </c>
      <c r="AC234">
        <f t="shared" si="445"/>
        <v>1</v>
      </c>
      <c r="AD234">
        <f t="shared" si="6"/>
        <v>2</v>
      </c>
      <c r="AE234">
        <f t="shared" si="7"/>
        <v>1</v>
      </c>
      <c r="AF234">
        <f>if(iferror(vlookup($A234,'Description Database'!$E$2:$H$951,3,0),0)=TRUE,1,0)</f>
        <v>0</v>
      </c>
      <c r="AG234">
        <f>if(iferror(vlookup($A234,'Description Database'!$E$2:$H$951,4,0),0)=TRUE,1,0)</f>
        <v>0</v>
      </c>
    </row>
    <row r="235">
      <c r="A235" t="str">
        <f>IFERROR(__xludf.DUMMYFUNCTION("""COMPUTED_VALUE"""),"Vivo V3 (3 GB/32 GB)")</f>
        <v>Vivo V3 (3 GB/32 GB)</v>
      </c>
      <c r="B235" t="str">
        <f>IFERROR(__xludf.DUMMYFUNCTION("""COMPUTED_VALUE"""),"")</f>
        <v/>
      </c>
      <c r="C235" t="str">
        <f>IFERROR(__xludf.DUMMYFUNCTION("""COMPUTED_VALUE"""),"")</f>
        <v/>
      </c>
      <c r="D235" t="str">
        <f>IFERROR(__xludf.DUMMYFUNCTION("""COMPUTED_VALUE"""),"")</f>
        <v/>
      </c>
      <c r="E235" t="str">
        <f>IFERROR(__xludf.DUMMYFUNCTION("""COMPUTED_VALUE"""),"")</f>
        <v/>
      </c>
      <c r="F235">
        <f>IFERROR(__xludf.DUMMYFUNCTION("""COMPUTED_VALUE"""),2.0)</f>
        <v>2</v>
      </c>
      <c r="G235">
        <f>IFERROR(__xludf.DUMMYFUNCTION("""COMPUTED_VALUE"""),2.0)</f>
        <v>2</v>
      </c>
      <c r="H235" t="str">
        <f>IFERROR(__xludf.DUMMYFUNCTION("""COMPUTED_VALUE"""),"")</f>
        <v/>
      </c>
      <c r="I235">
        <f>IFERROR(__xludf.DUMMYFUNCTION("""COMPUTED_VALUE"""),9.0)</f>
        <v>9</v>
      </c>
      <c r="J235">
        <f>IFERROR(__xludf.DUMMYFUNCTION("""COMPUTED_VALUE"""),13.0)</f>
        <v>13</v>
      </c>
      <c r="L235" s="250" t="str">
        <f>IFERROR(__xludf.DUMMYFUNCTION("""COMPUTED_VALUE"""),"")</f>
        <v/>
      </c>
      <c r="M235" s="250" t="str">
        <f>IFERROR(__xludf.DUMMYFUNCTION("""COMPUTED_VALUE"""),"")</f>
        <v/>
      </c>
      <c r="N235" s="250" t="str">
        <f>IFERROR(__xludf.DUMMYFUNCTION("""COMPUTED_VALUE"""),"")</f>
        <v/>
      </c>
      <c r="O235" s="250" t="str">
        <f>IFERROR(__xludf.DUMMYFUNCTION("""COMPUTED_VALUE"""),"")</f>
        <v/>
      </c>
      <c r="P235" s="250">
        <f>IFERROR(__xludf.DUMMYFUNCTION("""COMPUTED_VALUE"""),3109.0)</f>
        <v>3109</v>
      </c>
      <c r="Q235" s="250">
        <f>IFERROR(__xludf.DUMMYFUNCTION("""COMPUTED_VALUE"""),2269.0)</f>
        <v>2269</v>
      </c>
      <c r="R235" s="250" t="str">
        <f>IFERROR(__xludf.DUMMYFUNCTION("""COMPUTED_VALUE"""),"")</f>
        <v/>
      </c>
      <c r="U235" s="250">
        <f>IFERROR(__xludf.DUMMYFUNCTION("""COMPUTED_VALUE"""),4789.0)</f>
        <v>4789</v>
      </c>
      <c r="V235" s="250">
        <f>IFERROR(__xludf.DUMMYFUNCTION("""COMPUTED_VALUE"""),4559.0)</f>
        <v>4559</v>
      </c>
      <c r="W235" s="250">
        <f>IFERROR(__xludf.DUMMYFUNCTION("""COMPUTED_VALUE"""),4109.0)</f>
        <v>4109</v>
      </c>
      <c r="X235" t="b">
        <f t="shared" ref="X235:Z235" si="446">ISBLANK(K235)</f>
        <v>1</v>
      </c>
      <c r="Y235" t="b">
        <f t="shared" si="446"/>
        <v>0</v>
      </c>
      <c r="Z235" t="b">
        <f t="shared" si="446"/>
        <v>0</v>
      </c>
      <c r="AA235">
        <f t="shared" ref="AA235:AC235" si="447">IF(X235=FALSE,1,0)</f>
        <v>0</v>
      </c>
      <c r="AB235">
        <f t="shared" si="447"/>
        <v>1</v>
      </c>
      <c r="AC235">
        <f t="shared" si="447"/>
        <v>1</v>
      </c>
      <c r="AD235">
        <f t="shared" si="6"/>
        <v>2</v>
      </c>
      <c r="AE235">
        <f t="shared" si="7"/>
        <v>1</v>
      </c>
      <c r="AF235">
        <f>if(iferror(vlookup($A235,'Description Database'!$E$2:$H$951,3,0),0)=TRUE,1,0)</f>
        <v>0</v>
      </c>
      <c r="AG235">
        <f>if(iferror(vlookup($A235,'Description Database'!$E$2:$H$951,4,0),0)=TRUE,1,0)</f>
        <v>0</v>
      </c>
    </row>
    <row r="236">
      <c r="A236" t="str">
        <f>IFERROR(__xludf.DUMMYFUNCTION("""COMPUTED_VALUE"""),"Xiaomi Mi A2 (4 GB/64 GB)")</f>
        <v>Xiaomi Mi A2 (4 GB/64 GB)</v>
      </c>
      <c r="B236" t="str">
        <f>IFERROR(__xludf.DUMMYFUNCTION("""COMPUTED_VALUE"""),"")</f>
        <v/>
      </c>
      <c r="C236">
        <f>IFERROR(__xludf.DUMMYFUNCTION("""COMPUTED_VALUE"""),4.0)</f>
        <v>4</v>
      </c>
      <c r="D236">
        <f>IFERROR(__xludf.DUMMYFUNCTION("""COMPUTED_VALUE"""),5.0)</f>
        <v>5</v>
      </c>
      <c r="E236">
        <f>IFERROR(__xludf.DUMMYFUNCTION("""COMPUTED_VALUE"""),4.0)</f>
        <v>4</v>
      </c>
      <c r="F236">
        <f>IFERROR(__xludf.DUMMYFUNCTION("""COMPUTED_VALUE"""),5.0)</f>
        <v>5</v>
      </c>
      <c r="G236">
        <f>IFERROR(__xludf.DUMMYFUNCTION("""COMPUTED_VALUE"""),1.0)</f>
        <v>1</v>
      </c>
      <c r="H236">
        <f>IFERROR(__xludf.DUMMYFUNCTION("""COMPUTED_VALUE"""),1.0)</f>
        <v>1</v>
      </c>
      <c r="I236">
        <f>IFERROR(__xludf.DUMMYFUNCTION("""COMPUTED_VALUE"""),29.0)</f>
        <v>29</v>
      </c>
      <c r="J236">
        <f>IFERROR(__xludf.DUMMYFUNCTION("""COMPUTED_VALUE"""),49.0)</f>
        <v>49</v>
      </c>
      <c r="L236" s="250" t="str">
        <f>IFERROR(__xludf.DUMMYFUNCTION("""COMPUTED_VALUE"""),"")</f>
        <v/>
      </c>
      <c r="M236" s="250">
        <f>IFERROR(__xludf.DUMMYFUNCTION("""COMPUTED_VALUE"""),6049.0)</f>
        <v>6049</v>
      </c>
      <c r="N236" s="250">
        <f>IFERROR(__xludf.DUMMYFUNCTION("""COMPUTED_VALUE"""),5539.0)</f>
        <v>5539</v>
      </c>
      <c r="O236" s="250">
        <f>IFERROR(__xludf.DUMMYFUNCTION("""COMPUTED_VALUE"""),5039.0)</f>
        <v>5039</v>
      </c>
      <c r="P236" s="250">
        <f>IFERROR(__xludf.DUMMYFUNCTION("""COMPUTED_VALUE"""),4539.0)</f>
        <v>4539</v>
      </c>
      <c r="Q236" s="250">
        <f>IFERROR(__xludf.DUMMYFUNCTION("""COMPUTED_VALUE"""),3439.0)</f>
        <v>3439</v>
      </c>
      <c r="R236" s="250">
        <f>IFERROR(__xludf.DUMMYFUNCTION("""COMPUTED_VALUE"""),2409.0)</f>
        <v>2409</v>
      </c>
      <c r="U236" s="250">
        <f>IFERROR(__xludf.DUMMYFUNCTION("""COMPUTED_VALUE"""),6999.0)</f>
        <v>6999</v>
      </c>
      <c r="V236" s="250">
        <f>IFERROR(__xludf.DUMMYFUNCTION("""COMPUTED_VALUE"""),6659.0)</f>
        <v>6659</v>
      </c>
      <c r="W236" s="250">
        <f>IFERROR(__xludf.DUMMYFUNCTION("""COMPUTED_VALUE"""),6099.0)</f>
        <v>6099</v>
      </c>
      <c r="X236" t="b">
        <f t="shared" ref="X236:Z236" si="448">ISBLANK(K236)</f>
        <v>1</v>
      </c>
      <c r="Y236" t="b">
        <f t="shared" si="448"/>
        <v>0</v>
      </c>
      <c r="Z236" t="b">
        <f t="shared" si="448"/>
        <v>0</v>
      </c>
      <c r="AA236">
        <f t="shared" ref="AA236:AC236" si="449">IF(X236=FALSE,1,0)</f>
        <v>0</v>
      </c>
      <c r="AB236">
        <f t="shared" si="449"/>
        <v>1</v>
      </c>
      <c r="AC236">
        <f t="shared" si="449"/>
        <v>1</v>
      </c>
      <c r="AD236">
        <f t="shared" si="6"/>
        <v>2</v>
      </c>
      <c r="AE236">
        <f t="shared" si="7"/>
        <v>1</v>
      </c>
      <c r="AF236">
        <f>if(iferror(vlookup($A236,'Description Database'!$E$2:$H$951,3,0),0)=TRUE,1,0)</f>
        <v>0</v>
      </c>
      <c r="AG236">
        <f>if(iferror(vlookup($A236,'Description Database'!$E$2:$H$951,4,0),0)=TRUE,1,0)</f>
        <v>0</v>
      </c>
    </row>
    <row r="237">
      <c r="A237" t="str">
        <f>IFERROR(__xludf.DUMMYFUNCTION("""COMPUTED_VALUE"""),"Xiaomi Redmi Note 3 (2 GB/16 GB)")</f>
        <v>Xiaomi Redmi Note 3 (2 GB/16 GB)</v>
      </c>
      <c r="B237" t="str">
        <f>IFERROR(__xludf.DUMMYFUNCTION("""COMPUTED_VALUE"""),"")</f>
        <v/>
      </c>
      <c r="C237" t="str">
        <f>IFERROR(__xludf.DUMMYFUNCTION("""COMPUTED_VALUE"""),"")</f>
        <v/>
      </c>
      <c r="D237" t="str">
        <f>IFERROR(__xludf.DUMMYFUNCTION("""COMPUTED_VALUE"""),"")</f>
        <v/>
      </c>
      <c r="E237" t="str">
        <f>IFERROR(__xludf.DUMMYFUNCTION("""COMPUTED_VALUE"""),"")</f>
        <v/>
      </c>
      <c r="F237" t="str">
        <f>IFERROR(__xludf.DUMMYFUNCTION("""COMPUTED_VALUE"""),"")</f>
        <v/>
      </c>
      <c r="G237" t="str">
        <f>IFERROR(__xludf.DUMMYFUNCTION("""COMPUTED_VALUE"""),"")</f>
        <v/>
      </c>
      <c r="H237" t="str">
        <f>IFERROR(__xludf.DUMMYFUNCTION("""COMPUTED_VALUE"""),"")</f>
        <v/>
      </c>
      <c r="I237">
        <f>IFERROR(__xludf.DUMMYFUNCTION("""COMPUTED_VALUE"""),37.0)</f>
        <v>37</v>
      </c>
      <c r="J237">
        <f>IFERROR(__xludf.DUMMYFUNCTION("""COMPUTED_VALUE"""),37.0)</f>
        <v>37</v>
      </c>
      <c r="L237" s="250" t="str">
        <f>IFERROR(__xludf.DUMMYFUNCTION("""COMPUTED_VALUE"""),"")</f>
        <v/>
      </c>
      <c r="M237" s="250" t="str">
        <f>IFERROR(__xludf.DUMMYFUNCTION("""COMPUTED_VALUE"""),"")</f>
        <v/>
      </c>
      <c r="N237" s="250" t="str">
        <f>IFERROR(__xludf.DUMMYFUNCTION("""COMPUTED_VALUE"""),"")</f>
        <v/>
      </c>
      <c r="O237" s="250" t="str">
        <f>IFERROR(__xludf.DUMMYFUNCTION("""COMPUTED_VALUE"""),"")</f>
        <v/>
      </c>
      <c r="P237" s="250" t="str">
        <f>IFERROR(__xludf.DUMMYFUNCTION("""COMPUTED_VALUE"""),"")</f>
        <v/>
      </c>
      <c r="Q237" s="250" t="str">
        <f>IFERROR(__xludf.DUMMYFUNCTION("""COMPUTED_VALUE"""),"")</f>
        <v/>
      </c>
      <c r="R237" s="250" t="str">
        <f>IFERROR(__xludf.DUMMYFUNCTION("""COMPUTED_VALUE"""),"")</f>
        <v/>
      </c>
      <c r="U237" s="250">
        <f>IFERROR(__xludf.DUMMYFUNCTION("""COMPUTED_VALUE"""),4019.0)</f>
        <v>4019</v>
      </c>
      <c r="V237" s="250">
        <f>IFERROR(__xludf.DUMMYFUNCTION("""COMPUTED_VALUE"""),3819.0)</f>
        <v>3819</v>
      </c>
      <c r="W237" s="250">
        <f>IFERROR(__xludf.DUMMYFUNCTION("""COMPUTED_VALUE"""),3449.0)</f>
        <v>3449</v>
      </c>
      <c r="X237" t="b">
        <f t="shared" ref="X237:Z237" si="450">ISBLANK(K237)</f>
        <v>1</v>
      </c>
      <c r="Y237" t="b">
        <f t="shared" si="450"/>
        <v>0</v>
      </c>
      <c r="Z237" t="b">
        <f t="shared" si="450"/>
        <v>0</v>
      </c>
      <c r="AA237">
        <f t="shared" ref="AA237:AC237" si="451">IF(X237=FALSE,1,0)</f>
        <v>0</v>
      </c>
      <c r="AB237">
        <f t="shared" si="451"/>
        <v>1</v>
      </c>
      <c r="AC237">
        <f t="shared" si="451"/>
        <v>1</v>
      </c>
      <c r="AD237">
        <f t="shared" si="6"/>
        <v>2</v>
      </c>
      <c r="AE237">
        <f t="shared" si="7"/>
        <v>1</v>
      </c>
      <c r="AF237">
        <f>if(iferror(vlookup($A237,'Description Database'!$E$2:$H$951,3,0),0)=TRUE,1,0)</f>
        <v>0</v>
      </c>
      <c r="AG237">
        <f>if(iferror(vlookup($A237,'Description Database'!$E$2:$H$951,4,0),0)=TRUE,1,0)</f>
        <v>0</v>
      </c>
    </row>
    <row r="238">
      <c r="A238" t="str">
        <f>IFERROR(__xludf.DUMMYFUNCTION("""COMPUTED_VALUE"""),"Xiaomi Redmi 6 pro (3 GB/32 GB)")</f>
        <v>Xiaomi Redmi 6 pro (3 GB/32 GB)</v>
      </c>
      <c r="B238" t="str">
        <f>IFERROR(__xludf.DUMMYFUNCTION("""COMPUTED_VALUE"""),"")</f>
        <v/>
      </c>
      <c r="C238">
        <f>IFERROR(__xludf.DUMMYFUNCTION("""COMPUTED_VALUE"""),1.0)</f>
        <v>1</v>
      </c>
      <c r="D238" t="str">
        <f>IFERROR(__xludf.DUMMYFUNCTION("""COMPUTED_VALUE"""),"")</f>
        <v/>
      </c>
      <c r="E238" t="str">
        <f>IFERROR(__xludf.DUMMYFUNCTION("""COMPUTED_VALUE"""),"")</f>
        <v/>
      </c>
      <c r="F238" t="str">
        <f>IFERROR(__xludf.DUMMYFUNCTION("""COMPUTED_VALUE"""),"")</f>
        <v/>
      </c>
      <c r="G238">
        <f>IFERROR(__xludf.DUMMYFUNCTION("""COMPUTED_VALUE"""),2.0)</f>
        <v>2</v>
      </c>
      <c r="H238" t="str">
        <f>IFERROR(__xludf.DUMMYFUNCTION("""COMPUTED_VALUE"""),"")</f>
        <v/>
      </c>
      <c r="I238">
        <f>IFERROR(__xludf.DUMMYFUNCTION("""COMPUTED_VALUE"""),19.0)</f>
        <v>19</v>
      </c>
      <c r="J238">
        <f>IFERROR(__xludf.DUMMYFUNCTION("""COMPUTED_VALUE"""),22.0)</f>
        <v>22</v>
      </c>
      <c r="L238" s="250" t="str">
        <f>IFERROR(__xludf.DUMMYFUNCTION("""COMPUTED_VALUE"""),"")</f>
        <v/>
      </c>
      <c r="M238" s="250">
        <f>IFERROR(__xludf.DUMMYFUNCTION("""COMPUTED_VALUE"""),5459.0)</f>
        <v>5459</v>
      </c>
      <c r="N238" s="250" t="str">
        <f>IFERROR(__xludf.DUMMYFUNCTION("""COMPUTED_VALUE"""),"")</f>
        <v/>
      </c>
      <c r="O238" s="250" t="str">
        <f>IFERROR(__xludf.DUMMYFUNCTION("""COMPUTED_VALUE"""),"")</f>
        <v/>
      </c>
      <c r="P238" s="250" t="str">
        <f>IFERROR(__xludf.DUMMYFUNCTION("""COMPUTED_VALUE"""),"")</f>
        <v/>
      </c>
      <c r="Q238" s="250">
        <f>IFERROR(__xludf.DUMMYFUNCTION("""COMPUTED_VALUE"""),2869.0)</f>
        <v>2869</v>
      </c>
      <c r="R238" s="250" t="str">
        <f>IFERROR(__xludf.DUMMYFUNCTION("""COMPUTED_VALUE"""),"")</f>
        <v/>
      </c>
      <c r="U238" s="250">
        <f>IFERROR(__xludf.DUMMYFUNCTION("""COMPUTED_VALUE"""),6319.0)</f>
        <v>6319</v>
      </c>
      <c r="V238" s="250">
        <f>IFERROR(__xludf.DUMMYFUNCTION("""COMPUTED_VALUE"""),6009.0)</f>
        <v>6009</v>
      </c>
      <c r="W238" s="250">
        <f>IFERROR(__xludf.DUMMYFUNCTION("""COMPUTED_VALUE"""),5479.0)</f>
        <v>5479</v>
      </c>
      <c r="X238" t="b">
        <f t="shared" ref="X238:Z238" si="452">ISBLANK(K238)</f>
        <v>1</v>
      </c>
      <c r="Y238" t="b">
        <f t="shared" si="452"/>
        <v>0</v>
      </c>
      <c r="Z238" t="b">
        <f t="shared" si="452"/>
        <v>0</v>
      </c>
      <c r="AA238">
        <f t="shared" ref="AA238:AC238" si="453">IF(X238=FALSE,1,0)</f>
        <v>0</v>
      </c>
      <c r="AB238">
        <f t="shared" si="453"/>
        <v>1</v>
      </c>
      <c r="AC238">
        <f t="shared" si="453"/>
        <v>1</v>
      </c>
      <c r="AD238">
        <f t="shared" si="6"/>
        <v>2</v>
      </c>
      <c r="AE238">
        <f t="shared" si="7"/>
        <v>1</v>
      </c>
      <c r="AF238">
        <f>if(iferror(vlookup($A238,'Description Database'!$E$2:$H$951,3,0),0)=TRUE,1,0)</f>
        <v>0</v>
      </c>
      <c r="AG238">
        <f>if(iferror(vlookup($A238,'Description Database'!$E$2:$H$951,4,0),0)=TRUE,1,0)</f>
        <v>0</v>
      </c>
    </row>
    <row r="239">
      <c r="A239" t="str">
        <f>IFERROR(__xludf.DUMMYFUNCTION("""COMPUTED_VALUE"""),"Vivo V5 (4 GB/32 GB)")</f>
        <v>Vivo V5 (4 GB/32 GB)</v>
      </c>
      <c r="B239" t="str">
        <f>IFERROR(__xludf.DUMMYFUNCTION("""COMPUTED_VALUE"""),"")</f>
        <v/>
      </c>
      <c r="C239" t="str">
        <f>IFERROR(__xludf.DUMMYFUNCTION("""COMPUTED_VALUE"""),"")</f>
        <v/>
      </c>
      <c r="D239" t="str">
        <f>IFERROR(__xludf.DUMMYFUNCTION("""COMPUTED_VALUE"""),"")</f>
        <v/>
      </c>
      <c r="E239" t="str">
        <f>IFERROR(__xludf.DUMMYFUNCTION("""COMPUTED_VALUE"""),"")</f>
        <v/>
      </c>
      <c r="F239">
        <f>IFERROR(__xludf.DUMMYFUNCTION("""COMPUTED_VALUE"""),2.0)</f>
        <v>2</v>
      </c>
      <c r="G239">
        <f>IFERROR(__xludf.DUMMYFUNCTION("""COMPUTED_VALUE"""),1.0)</f>
        <v>1</v>
      </c>
      <c r="H239">
        <f>IFERROR(__xludf.DUMMYFUNCTION("""COMPUTED_VALUE"""),1.0)</f>
        <v>1</v>
      </c>
      <c r="I239">
        <f>IFERROR(__xludf.DUMMYFUNCTION("""COMPUTED_VALUE"""),28.0)</f>
        <v>28</v>
      </c>
      <c r="J239">
        <f>IFERROR(__xludf.DUMMYFUNCTION("""COMPUTED_VALUE"""),32.0)</f>
        <v>32</v>
      </c>
      <c r="L239" s="250" t="str">
        <f>IFERROR(__xludf.DUMMYFUNCTION("""COMPUTED_VALUE"""),"")</f>
        <v/>
      </c>
      <c r="M239" s="250" t="str">
        <f>IFERROR(__xludf.DUMMYFUNCTION("""COMPUTED_VALUE"""),"")</f>
        <v/>
      </c>
      <c r="N239" s="250" t="str">
        <f>IFERROR(__xludf.DUMMYFUNCTION("""COMPUTED_VALUE"""),"")</f>
        <v/>
      </c>
      <c r="O239" s="250" t="str">
        <f>IFERROR(__xludf.DUMMYFUNCTION("""COMPUTED_VALUE"""),"")</f>
        <v/>
      </c>
      <c r="P239" s="250">
        <f>IFERROR(__xludf.DUMMYFUNCTION("""COMPUTED_VALUE"""),3639.0)</f>
        <v>3639</v>
      </c>
      <c r="Q239" s="250">
        <f>IFERROR(__xludf.DUMMYFUNCTION("""COMPUTED_VALUE"""),2579.0)</f>
        <v>2579</v>
      </c>
      <c r="R239" s="250">
        <f>IFERROR(__xludf.DUMMYFUNCTION("""COMPUTED_VALUE"""),1919.0)</f>
        <v>1919</v>
      </c>
      <c r="U239" s="250">
        <f>IFERROR(__xludf.DUMMYFUNCTION("""COMPUTED_VALUE"""),5609.0)</f>
        <v>5609</v>
      </c>
      <c r="V239" s="250">
        <f>IFERROR(__xludf.DUMMYFUNCTION("""COMPUTED_VALUE"""),5339.0)</f>
        <v>5339</v>
      </c>
      <c r="W239" s="250">
        <f>IFERROR(__xludf.DUMMYFUNCTION("""COMPUTED_VALUE"""),4809.0)</f>
        <v>4809</v>
      </c>
      <c r="X239" t="b">
        <f t="shared" ref="X239:Z239" si="454">ISBLANK(K239)</f>
        <v>1</v>
      </c>
      <c r="Y239" t="b">
        <f t="shared" si="454"/>
        <v>0</v>
      </c>
      <c r="Z239" t="b">
        <f t="shared" si="454"/>
        <v>0</v>
      </c>
      <c r="AA239">
        <f t="shared" ref="AA239:AC239" si="455">IF(X239=FALSE,1,0)</f>
        <v>0</v>
      </c>
      <c r="AB239">
        <f t="shared" si="455"/>
        <v>1</v>
      </c>
      <c r="AC239">
        <f t="shared" si="455"/>
        <v>1</v>
      </c>
      <c r="AD239">
        <f t="shared" si="6"/>
        <v>2</v>
      </c>
      <c r="AE239">
        <f t="shared" si="7"/>
        <v>1</v>
      </c>
      <c r="AF239">
        <f>if(iferror(vlookup($A239,'Description Database'!$E$2:$H$951,3,0),0)=TRUE,1,0)</f>
        <v>0</v>
      </c>
      <c r="AG239">
        <f>if(iferror(vlookup($A239,'Description Database'!$E$2:$H$951,4,0),0)=TRUE,1,0)</f>
        <v>0</v>
      </c>
    </row>
    <row r="240">
      <c r="A240" t="str">
        <f>IFERROR(__xludf.DUMMYFUNCTION("""COMPUTED_VALUE"""),"Vivo Y71 (3 GB/16 GB)")</f>
        <v>Vivo Y71 (3 GB/16 GB)</v>
      </c>
      <c r="B240" t="str">
        <f>IFERROR(__xludf.DUMMYFUNCTION("""COMPUTED_VALUE"""),"")</f>
        <v/>
      </c>
      <c r="C240" t="str">
        <f>IFERROR(__xludf.DUMMYFUNCTION("""COMPUTED_VALUE"""),"")</f>
        <v/>
      </c>
      <c r="D240" t="str">
        <f>IFERROR(__xludf.DUMMYFUNCTION("""COMPUTED_VALUE"""),"")</f>
        <v/>
      </c>
      <c r="E240" t="str">
        <f>IFERROR(__xludf.DUMMYFUNCTION("""COMPUTED_VALUE"""),"")</f>
        <v/>
      </c>
      <c r="F240" t="str">
        <f>IFERROR(__xludf.DUMMYFUNCTION("""COMPUTED_VALUE"""),"")</f>
        <v/>
      </c>
      <c r="G240" t="str">
        <f>IFERROR(__xludf.DUMMYFUNCTION("""COMPUTED_VALUE"""),"")</f>
        <v/>
      </c>
      <c r="H240" t="str">
        <f>IFERROR(__xludf.DUMMYFUNCTION("""COMPUTED_VALUE"""),"")</f>
        <v/>
      </c>
      <c r="I240">
        <f>IFERROR(__xludf.DUMMYFUNCTION("""COMPUTED_VALUE"""),5.0)</f>
        <v>5</v>
      </c>
      <c r="J240">
        <f>IFERROR(__xludf.DUMMYFUNCTION("""COMPUTED_VALUE"""),5.0)</f>
        <v>5</v>
      </c>
      <c r="L240" s="250" t="str">
        <f>IFERROR(__xludf.DUMMYFUNCTION("""COMPUTED_VALUE"""),"")</f>
        <v/>
      </c>
      <c r="M240" s="250" t="str">
        <f>IFERROR(__xludf.DUMMYFUNCTION("""COMPUTED_VALUE"""),"")</f>
        <v/>
      </c>
      <c r="N240" s="250" t="str">
        <f>IFERROR(__xludf.DUMMYFUNCTION("""COMPUTED_VALUE"""),"")</f>
        <v/>
      </c>
      <c r="O240" s="250" t="str">
        <f>IFERROR(__xludf.DUMMYFUNCTION("""COMPUTED_VALUE"""),"")</f>
        <v/>
      </c>
      <c r="P240" s="250" t="str">
        <f>IFERROR(__xludf.DUMMYFUNCTION("""COMPUTED_VALUE"""),"")</f>
        <v/>
      </c>
      <c r="Q240" s="250" t="str">
        <f>IFERROR(__xludf.DUMMYFUNCTION("""COMPUTED_VALUE"""),"")</f>
        <v/>
      </c>
      <c r="R240" s="250" t="str">
        <f>IFERROR(__xludf.DUMMYFUNCTION("""COMPUTED_VALUE"""),"")</f>
        <v/>
      </c>
      <c r="U240" s="250">
        <f>IFERROR(__xludf.DUMMYFUNCTION("""COMPUTED_VALUE"""),4569.0)</f>
        <v>4569</v>
      </c>
      <c r="V240" s="250">
        <f>IFERROR(__xludf.DUMMYFUNCTION("""COMPUTED_VALUE"""),4349.0)</f>
        <v>4349</v>
      </c>
      <c r="W240" s="250">
        <f>IFERROR(__xludf.DUMMYFUNCTION("""COMPUTED_VALUE"""),3919.0)</f>
        <v>3919</v>
      </c>
      <c r="X240" t="b">
        <f t="shared" ref="X240:Z240" si="456">ISBLANK(K240)</f>
        <v>1</v>
      </c>
      <c r="Y240" t="b">
        <f t="shared" si="456"/>
        <v>0</v>
      </c>
      <c r="Z240" t="b">
        <f t="shared" si="456"/>
        <v>0</v>
      </c>
      <c r="AA240">
        <f t="shared" ref="AA240:AC240" si="457">IF(X240=FALSE,1,0)</f>
        <v>0</v>
      </c>
      <c r="AB240">
        <f t="shared" si="457"/>
        <v>1</v>
      </c>
      <c r="AC240">
        <f t="shared" si="457"/>
        <v>1</v>
      </c>
      <c r="AD240">
        <f t="shared" si="6"/>
        <v>2</v>
      </c>
      <c r="AE240">
        <f t="shared" si="7"/>
        <v>1</v>
      </c>
      <c r="AF240">
        <f>if(iferror(vlookup($A240,'Description Database'!$E$2:$H$951,3,0),0)=TRUE,1,0)</f>
        <v>0</v>
      </c>
      <c r="AG240">
        <f>if(iferror(vlookup($A240,'Description Database'!$E$2:$H$951,4,0),0)=TRUE,1,0)</f>
        <v>0</v>
      </c>
    </row>
    <row r="241">
      <c r="A241" t="str">
        <f>IFERROR(__xludf.DUMMYFUNCTION("""COMPUTED_VALUE"""),"Lenovo K6 POWER (3 GB/32 GB)")</f>
        <v>Lenovo K6 POWER (3 GB/32 GB)</v>
      </c>
      <c r="B241" t="str">
        <f>IFERROR(__xludf.DUMMYFUNCTION("""COMPUTED_VALUE"""),"")</f>
        <v/>
      </c>
      <c r="C241" t="str">
        <f>IFERROR(__xludf.DUMMYFUNCTION("""COMPUTED_VALUE"""),"")</f>
        <v/>
      </c>
      <c r="D241" t="str">
        <f>IFERROR(__xludf.DUMMYFUNCTION("""COMPUTED_VALUE"""),"")</f>
        <v/>
      </c>
      <c r="E241" t="str">
        <f>IFERROR(__xludf.DUMMYFUNCTION("""COMPUTED_VALUE"""),"")</f>
        <v/>
      </c>
      <c r="F241">
        <f>IFERROR(__xludf.DUMMYFUNCTION("""COMPUTED_VALUE"""),1.0)</f>
        <v>1</v>
      </c>
      <c r="G241">
        <f>IFERROR(__xludf.DUMMYFUNCTION("""COMPUTED_VALUE"""),2.0)</f>
        <v>2</v>
      </c>
      <c r="H241" t="str">
        <f>IFERROR(__xludf.DUMMYFUNCTION("""COMPUTED_VALUE"""),"")</f>
        <v/>
      </c>
      <c r="I241">
        <f>IFERROR(__xludf.DUMMYFUNCTION("""COMPUTED_VALUE"""),39.0)</f>
        <v>39</v>
      </c>
      <c r="J241">
        <f>IFERROR(__xludf.DUMMYFUNCTION("""COMPUTED_VALUE"""),42.0)</f>
        <v>42</v>
      </c>
      <c r="L241" s="250" t="str">
        <f>IFERROR(__xludf.DUMMYFUNCTION("""COMPUTED_VALUE"""),"")</f>
        <v/>
      </c>
      <c r="M241" s="250" t="str">
        <f>IFERROR(__xludf.DUMMYFUNCTION("""COMPUTED_VALUE"""),"")</f>
        <v/>
      </c>
      <c r="N241" s="250" t="str">
        <f>IFERROR(__xludf.DUMMYFUNCTION("""COMPUTED_VALUE"""),"")</f>
        <v/>
      </c>
      <c r="O241" s="250" t="str">
        <f>IFERROR(__xludf.DUMMYFUNCTION("""COMPUTED_VALUE"""),"")</f>
        <v/>
      </c>
      <c r="P241" s="250">
        <f>IFERROR(__xludf.DUMMYFUNCTION("""COMPUTED_VALUE"""),2479.0)</f>
        <v>2479</v>
      </c>
      <c r="Q241" s="250">
        <f>IFERROR(__xludf.DUMMYFUNCTION("""COMPUTED_VALUE"""),1659.0)</f>
        <v>1659</v>
      </c>
      <c r="R241" s="250" t="str">
        <f>IFERROR(__xludf.DUMMYFUNCTION("""COMPUTED_VALUE"""),"")</f>
        <v/>
      </c>
      <c r="U241" s="250">
        <f>IFERROR(__xludf.DUMMYFUNCTION("""COMPUTED_VALUE"""),3829.0)</f>
        <v>3829</v>
      </c>
      <c r="V241" s="250">
        <f>IFERROR(__xludf.DUMMYFUNCTION("""COMPUTED_VALUE"""),3639.0)</f>
        <v>3639</v>
      </c>
      <c r="W241" s="250">
        <f>IFERROR(__xludf.DUMMYFUNCTION("""COMPUTED_VALUE"""),3329.0)</f>
        <v>3329</v>
      </c>
      <c r="X241" t="b">
        <f t="shared" ref="X241:Z241" si="458">ISBLANK(K241)</f>
        <v>1</v>
      </c>
      <c r="Y241" t="b">
        <f t="shared" si="458"/>
        <v>0</v>
      </c>
      <c r="Z241" t="b">
        <f t="shared" si="458"/>
        <v>0</v>
      </c>
      <c r="AA241">
        <f t="shared" ref="AA241:AC241" si="459">IF(X241=FALSE,1,0)</f>
        <v>0</v>
      </c>
      <c r="AB241">
        <f t="shared" si="459"/>
        <v>1</v>
      </c>
      <c r="AC241">
        <f t="shared" si="459"/>
        <v>1</v>
      </c>
      <c r="AD241">
        <f t="shared" si="6"/>
        <v>2</v>
      </c>
      <c r="AE241">
        <f t="shared" si="7"/>
        <v>1</v>
      </c>
      <c r="AF241">
        <f>if(iferror(vlookup($A241,'Description Database'!$E$2:$H$951,3,0),0)=TRUE,1,0)</f>
        <v>0</v>
      </c>
      <c r="AG241">
        <f>if(iferror(vlookup($A241,'Description Database'!$E$2:$H$951,4,0),0)=TRUE,1,0)</f>
        <v>0</v>
      </c>
    </row>
    <row r="242">
      <c r="A242" t="str">
        <f>IFERROR(__xludf.DUMMYFUNCTION("""COMPUTED_VALUE"""),"Vivo Y53 (2 GB/16 GB)")</f>
        <v>Vivo Y53 (2 GB/16 GB)</v>
      </c>
      <c r="B242" t="str">
        <f>IFERROR(__xludf.DUMMYFUNCTION("""COMPUTED_VALUE"""),"")</f>
        <v/>
      </c>
      <c r="C242" t="str">
        <f>IFERROR(__xludf.DUMMYFUNCTION("""COMPUTED_VALUE"""),"")</f>
        <v/>
      </c>
      <c r="D242" t="str">
        <f>IFERROR(__xludf.DUMMYFUNCTION("""COMPUTED_VALUE"""),"")</f>
        <v/>
      </c>
      <c r="E242" t="str">
        <f>IFERROR(__xludf.DUMMYFUNCTION("""COMPUTED_VALUE"""),"")</f>
        <v/>
      </c>
      <c r="F242" t="str">
        <f>IFERROR(__xludf.DUMMYFUNCTION("""COMPUTED_VALUE"""),"")</f>
        <v/>
      </c>
      <c r="G242" t="str">
        <f>IFERROR(__xludf.DUMMYFUNCTION("""COMPUTED_VALUE"""),"")</f>
        <v/>
      </c>
      <c r="H242" t="str">
        <f>IFERROR(__xludf.DUMMYFUNCTION("""COMPUTED_VALUE"""),"")</f>
        <v/>
      </c>
      <c r="I242">
        <f>IFERROR(__xludf.DUMMYFUNCTION("""COMPUTED_VALUE"""),12.0)</f>
        <v>12</v>
      </c>
      <c r="J242">
        <f>IFERROR(__xludf.DUMMYFUNCTION("""COMPUTED_VALUE"""),12.0)</f>
        <v>12</v>
      </c>
      <c r="L242" s="250" t="str">
        <f>IFERROR(__xludf.DUMMYFUNCTION("""COMPUTED_VALUE"""),"")</f>
        <v/>
      </c>
      <c r="M242" s="250" t="str">
        <f>IFERROR(__xludf.DUMMYFUNCTION("""COMPUTED_VALUE"""),"")</f>
        <v/>
      </c>
      <c r="N242" s="250" t="str">
        <f>IFERROR(__xludf.DUMMYFUNCTION("""COMPUTED_VALUE"""),"")</f>
        <v/>
      </c>
      <c r="O242" s="250" t="str">
        <f>IFERROR(__xludf.DUMMYFUNCTION("""COMPUTED_VALUE"""),"")</f>
        <v/>
      </c>
      <c r="P242" s="250" t="str">
        <f>IFERROR(__xludf.DUMMYFUNCTION("""COMPUTED_VALUE"""),"")</f>
        <v/>
      </c>
      <c r="Q242" s="250" t="str">
        <f>IFERROR(__xludf.DUMMYFUNCTION("""COMPUTED_VALUE"""),"")</f>
        <v/>
      </c>
      <c r="R242" s="250" t="str">
        <f>IFERROR(__xludf.DUMMYFUNCTION("""COMPUTED_VALUE"""),"")</f>
        <v/>
      </c>
      <c r="U242" s="250">
        <f>IFERROR(__xludf.DUMMYFUNCTION("""COMPUTED_VALUE"""),4249.0)</f>
        <v>4249</v>
      </c>
      <c r="V242" s="250">
        <f>IFERROR(__xludf.DUMMYFUNCTION("""COMPUTED_VALUE"""),4039.0)</f>
        <v>4039</v>
      </c>
      <c r="W242" s="250">
        <f>IFERROR(__xludf.DUMMYFUNCTION("""COMPUTED_VALUE"""),3689.0)</f>
        <v>3689</v>
      </c>
      <c r="X242" t="b">
        <f t="shared" ref="X242:Z242" si="460">ISBLANK(K242)</f>
        <v>1</v>
      </c>
      <c r="Y242" t="b">
        <f t="shared" si="460"/>
        <v>0</v>
      </c>
      <c r="Z242" t="b">
        <f t="shared" si="460"/>
        <v>0</v>
      </c>
      <c r="AA242">
        <f t="shared" ref="AA242:AC242" si="461">IF(X242=FALSE,1,0)</f>
        <v>0</v>
      </c>
      <c r="AB242">
        <f t="shared" si="461"/>
        <v>1</v>
      </c>
      <c r="AC242">
        <f t="shared" si="461"/>
        <v>1</v>
      </c>
      <c r="AD242">
        <f t="shared" si="6"/>
        <v>2</v>
      </c>
      <c r="AE242">
        <f t="shared" si="7"/>
        <v>1</v>
      </c>
      <c r="AF242">
        <f>if(iferror(vlookup($A242,'Description Database'!$E$2:$H$951,3,0),0)=TRUE,1,0)</f>
        <v>0</v>
      </c>
      <c r="AG242">
        <f>if(iferror(vlookup($A242,'Description Database'!$E$2:$H$951,4,0),0)=TRUE,1,0)</f>
        <v>0</v>
      </c>
    </row>
    <row r="243">
      <c r="A243" t="str">
        <f>IFERROR(__xludf.DUMMYFUNCTION("""COMPUTED_VALUE"""),"Lenovo K8 NOTE (4 GB/64 GB)")</f>
        <v>Lenovo K8 NOTE (4 GB/64 GB)</v>
      </c>
      <c r="B243" t="str">
        <f>IFERROR(__xludf.DUMMYFUNCTION("""COMPUTED_VALUE"""),"")</f>
        <v/>
      </c>
      <c r="C243" t="str">
        <f>IFERROR(__xludf.DUMMYFUNCTION("""COMPUTED_VALUE"""),"")</f>
        <v/>
      </c>
      <c r="D243" t="str">
        <f>IFERROR(__xludf.DUMMYFUNCTION("""COMPUTED_VALUE"""),"")</f>
        <v/>
      </c>
      <c r="E243" t="str">
        <f>IFERROR(__xludf.DUMMYFUNCTION("""COMPUTED_VALUE"""),"")</f>
        <v/>
      </c>
      <c r="F243" t="str">
        <f>IFERROR(__xludf.DUMMYFUNCTION("""COMPUTED_VALUE"""),"")</f>
        <v/>
      </c>
      <c r="G243" t="str">
        <f>IFERROR(__xludf.DUMMYFUNCTION("""COMPUTED_VALUE"""),"")</f>
        <v/>
      </c>
      <c r="H243" t="str">
        <f>IFERROR(__xludf.DUMMYFUNCTION("""COMPUTED_VALUE"""),"")</f>
        <v/>
      </c>
      <c r="I243">
        <f>IFERROR(__xludf.DUMMYFUNCTION("""COMPUTED_VALUE"""),57.0)</f>
        <v>57</v>
      </c>
      <c r="J243">
        <f>IFERROR(__xludf.DUMMYFUNCTION("""COMPUTED_VALUE"""),57.0)</f>
        <v>57</v>
      </c>
      <c r="L243" s="250" t="str">
        <f>IFERROR(__xludf.DUMMYFUNCTION("""COMPUTED_VALUE"""),"")</f>
        <v/>
      </c>
      <c r="M243" s="250" t="str">
        <f>IFERROR(__xludf.DUMMYFUNCTION("""COMPUTED_VALUE"""),"")</f>
        <v/>
      </c>
      <c r="N243" s="250" t="str">
        <f>IFERROR(__xludf.DUMMYFUNCTION("""COMPUTED_VALUE"""),"")</f>
        <v/>
      </c>
      <c r="O243" s="250" t="str">
        <f>IFERROR(__xludf.DUMMYFUNCTION("""COMPUTED_VALUE"""),"")</f>
        <v/>
      </c>
      <c r="P243" s="250" t="str">
        <f>IFERROR(__xludf.DUMMYFUNCTION("""COMPUTED_VALUE"""),"")</f>
        <v/>
      </c>
      <c r="Q243" s="250" t="str">
        <f>IFERROR(__xludf.DUMMYFUNCTION("""COMPUTED_VALUE"""),"")</f>
        <v/>
      </c>
      <c r="R243" s="250" t="str">
        <f>IFERROR(__xludf.DUMMYFUNCTION("""COMPUTED_VALUE"""),"")</f>
        <v/>
      </c>
      <c r="U243" s="250">
        <f>IFERROR(__xludf.DUMMYFUNCTION("""COMPUTED_VALUE"""),3969.0)</f>
        <v>3969</v>
      </c>
      <c r="V243" s="250">
        <f>IFERROR(__xludf.DUMMYFUNCTION("""COMPUTED_VALUE"""),3779.0)</f>
        <v>3779</v>
      </c>
      <c r="W243" s="250">
        <f>IFERROR(__xludf.DUMMYFUNCTION("""COMPUTED_VALUE"""),3399.0)</f>
        <v>3399</v>
      </c>
      <c r="X243" t="b">
        <f t="shared" ref="X243:Z243" si="462">ISBLANK(K243)</f>
        <v>1</v>
      </c>
      <c r="Y243" t="b">
        <f t="shared" si="462"/>
        <v>0</v>
      </c>
      <c r="Z243" t="b">
        <f t="shared" si="462"/>
        <v>0</v>
      </c>
      <c r="AA243">
        <f t="shared" ref="AA243:AC243" si="463">IF(X243=FALSE,1,0)</f>
        <v>0</v>
      </c>
      <c r="AB243">
        <f t="shared" si="463"/>
        <v>1</v>
      </c>
      <c r="AC243">
        <f t="shared" si="463"/>
        <v>1</v>
      </c>
      <c r="AD243">
        <f t="shared" si="6"/>
        <v>2</v>
      </c>
      <c r="AE243">
        <f t="shared" si="7"/>
        <v>1</v>
      </c>
      <c r="AF243">
        <f>if(iferror(vlookup($A243,'Description Database'!$E$2:$H$951,3,0),0)=TRUE,1,0)</f>
        <v>0</v>
      </c>
      <c r="AG243">
        <f>if(iferror(vlookup($A243,'Description Database'!$E$2:$H$951,4,0),0)=TRUE,1,0)</f>
        <v>0</v>
      </c>
    </row>
    <row r="244">
      <c r="A244" t="str">
        <f>IFERROR(__xludf.DUMMYFUNCTION("""COMPUTED_VALUE"""),"Xiaomi REDMI NOTE 5 PRO (3 GB/32 GB)")</f>
        <v>Xiaomi REDMI NOTE 5 PRO (3 GB/32 GB)</v>
      </c>
      <c r="B244" t="str">
        <f>IFERROR(__xludf.DUMMYFUNCTION("""COMPUTED_VALUE"""),"")</f>
        <v/>
      </c>
      <c r="C244" t="str">
        <f>IFERROR(__xludf.DUMMYFUNCTION("""COMPUTED_VALUE"""),"")</f>
        <v/>
      </c>
      <c r="D244" t="str">
        <f>IFERROR(__xludf.DUMMYFUNCTION("""COMPUTED_VALUE"""),"")</f>
        <v/>
      </c>
      <c r="E244" t="str">
        <f>IFERROR(__xludf.DUMMYFUNCTION("""COMPUTED_VALUE"""),"")</f>
        <v/>
      </c>
      <c r="F244" t="str">
        <f>IFERROR(__xludf.DUMMYFUNCTION("""COMPUTED_VALUE"""),"")</f>
        <v/>
      </c>
      <c r="G244" t="str">
        <f>IFERROR(__xludf.DUMMYFUNCTION("""COMPUTED_VALUE"""),"")</f>
        <v/>
      </c>
      <c r="H244" t="str">
        <f>IFERROR(__xludf.DUMMYFUNCTION("""COMPUTED_VALUE"""),"")</f>
        <v/>
      </c>
      <c r="I244" t="str">
        <f>IFERROR(__xludf.DUMMYFUNCTION("""COMPUTED_VALUE"""),"")</f>
        <v/>
      </c>
      <c r="J244">
        <f>IFERROR(__xludf.DUMMYFUNCTION("""COMPUTED_VALUE"""),0.0)</f>
        <v>0</v>
      </c>
      <c r="L244" s="250" t="str">
        <f>IFERROR(__xludf.DUMMYFUNCTION("""COMPUTED_VALUE"""),"")</f>
        <v/>
      </c>
      <c r="M244" s="250" t="str">
        <f>IFERROR(__xludf.DUMMYFUNCTION("""COMPUTED_VALUE"""),"")</f>
        <v/>
      </c>
      <c r="N244" s="250" t="str">
        <f>IFERROR(__xludf.DUMMYFUNCTION("""COMPUTED_VALUE"""),"")</f>
        <v/>
      </c>
      <c r="O244" s="250" t="str">
        <f>IFERROR(__xludf.DUMMYFUNCTION("""COMPUTED_VALUE"""),"")</f>
        <v/>
      </c>
      <c r="P244" s="250" t="str">
        <f>IFERROR(__xludf.DUMMYFUNCTION("""COMPUTED_VALUE"""),"")</f>
        <v/>
      </c>
      <c r="Q244" s="250" t="str">
        <f>IFERROR(__xludf.DUMMYFUNCTION("""COMPUTED_VALUE"""),"")</f>
        <v/>
      </c>
      <c r="R244" s="250" t="str">
        <f>IFERROR(__xludf.DUMMYFUNCTION("""COMPUTED_VALUE"""),"")</f>
        <v/>
      </c>
      <c r="U244" s="250" t="str">
        <f>IFERROR(__xludf.DUMMYFUNCTION("""COMPUTED_VALUE"""),"#N/A")</f>
        <v>#N/A</v>
      </c>
      <c r="V244" s="250" t="str">
        <f>IFERROR(__xludf.DUMMYFUNCTION("""COMPUTED_VALUE"""),"#N/A")</f>
        <v>#N/A</v>
      </c>
      <c r="W244" s="250" t="str">
        <f>IFERROR(__xludf.DUMMYFUNCTION("""COMPUTED_VALUE"""),"#N/A")</f>
        <v>#N/A</v>
      </c>
      <c r="X244" t="b">
        <f t="shared" ref="X244:Z244" si="464">ISBLANK(K244)</f>
        <v>1</v>
      </c>
      <c r="Y244" t="b">
        <f t="shared" si="464"/>
        <v>0</v>
      </c>
      <c r="Z244" t="b">
        <f t="shared" si="464"/>
        <v>0</v>
      </c>
      <c r="AA244">
        <f t="shared" ref="AA244:AC244" si="465">IF(X244=FALSE,1,0)</f>
        <v>0</v>
      </c>
      <c r="AB244">
        <f t="shared" si="465"/>
        <v>1</v>
      </c>
      <c r="AC244">
        <f t="shared" si="465"/>
        <v>1</v>
      </c>
      <c r="AD244">
        <f t="shared" si="6"/>
        <v>2</v>
      </c>
      <c r="AE244">
        <f t="shared" si="7"/>
        <v>1</v>
      </c>
      <c r="AF244">
        <f>if(iferror(vlookup($A244,'Description Database'!$E$2:$H$951,3,0),0)=TRUE,1,0)</f>
        <v>0</v>
      </c>
      <c r="AG244">
        <f>if(iferror(vlookup($A244,'Description Database'!$E$2:$H$951,4,0),0)=TRUE,1,0)</f>
        <v>0</v>
      </c>
    </row>
    <row r="245">
      <c r="A245" t="str">
        <f>IFERROR(__xludf.DUMMYFUNCTION("""COMPUTED_VALUE"""),"Vivo Y71 (4 GB/32 GB)")</f>
        <v>Vivo Y71 (4 GB/32 GB)</v>
      </c>
      <c r="B245" t="str">
        <f>IFERROR(__xludf.DUMMYFUNCTION("""COMPUTED_VALUE"""),"")</f>
        <v/>
      </c>
      <c r="C245" t="str">
        <f>IFERROR(__xludf.DUMMYFUNCTION("""COMPUTED_VALUE"""),"")</f>
        <v/>
      </c>
      <c r="D245" t="str">
        <f>IFERROR(__xludf.DUMMYFUNCTION("""COMPUTED_VALUE"""),"")</f>
        <v/>
      </c>
      <c r="E245" t="str">
        <f>IFERROR(__xludf.DUMMYFUNCTION("""COMPUTED_VALUE"""),"")</f>
        <v/>
      </c>
      <c r="F245" t="str">
        <f>IFERROR(__xludf.DUMMYFUNCTION("""COMPUTED_VALUE"""),"")</f>
        <v/>
      </c>
      <c r="G245" t="str">
        <f>IFERROR(__xludf.DUMMYFUNCTION("""COMPUTED_VALUE"""),"")</f>
        <v/>
      </c>
      <c r="H245" t="str">
        <f>IFERROR(__xludf.DUMMYFUNCTION("""COMPUTED_VALUE"""),"")</f>
        <v/>
      </c>
      <c r="I245" t="str">
        <f>IFERROR(__xludf.DUMMYFUNCTION("""COMPUTED_VALUE"""),"")</f>
        <v/>
      </c>
      <c r="J245">
        <f>IFERROR(__xludf.DUMMYFUNCTION("""COMPUTED_VALUE"""),0.0)</f>
        <v>0</v>
      </c>
      <c r="L245" s="250" t="str">
        <f>IFERROR(__xludf.DUMMYFUNCTION("""COMPUTED_VALUE"""),"")</f>
        <v/>
      </c>
      <c r="M245" s="250" t="str">
        <f>IFERROR(__xludf.DUMMYFUNCTION("""COMPUTED_VALUE"""),"")</f>
        <v/>
      </c>
      <c r="N245" s="250" t="str">
        <f>IFERROR(__xludf.DUMMYFUNCTION("""COMPUTED_VALUE"""),"")</f>
        <v/>
      </c>
      <c r="O245" s="250" t="str">
        <f>IFERROR(__xludf.DUMMYFUNCTION("""COMPUTED_VALUE"""),"")</f>
        <v/>
      </c>
      <c r="P245" s="250" t="str">
        <f>IFERROR(__xludf.DUMMYFUNCTION("""COMPUTED_VALUE"""),"")</f>
        <v/>
      </c>
      <c r="Q245" s="250" t="str">
        <f>IFERROR(__xludf.DUMMYFUNCTION("""COMPUTED_VALUE"""),"")</f>
        <v/>
      </c>
      <c r="R245" s="250" t="str">
        <f>IFERROR(__xludf.DUMMYFUNCTION("""COMPUTED_VALUE"""),"")</f>
        <v/>
      </c>
      <c r="U245" s="250">
        <f>IFERROR(__xludf.DUMMYFUNCTION("""COMPUTED_VALUE"""),6079.0)</f>
        <v>6079</v>
      </c>
      <c r="V245" s="250">
        <f>IFERROR(__xludf.DUMMYFUNCTION("""COMPUTED_VALUE"""),5779.0)</f>
        <v>5779</v>
      </c>
      <c r="W245" s="250">
        <f>IFERROR(__xludf.DUMMYFUNCTION("""COMPUTED_VALUE"""),5199.0)</f>
        <v>5199</v>
      </c>
      <c r="X245" t="b">
        <f t="shared" ref="X245:Z245" si="466">ISBLANK(K245)</f>
        <v>1</v>
      </c>
      <c r="Y245" t="b">
        <f t="shared" si="466"/>
        <v>0</v>
      </c>
      <c r="Z245" t="b">
        <f t="shared" si="466"/>
        <v>0</v>
      </c>
      <c r="AA245">
        <f t="shared" ref="AA245:AC245" si="467">IF(X245=FALSE,1,0)</f>
        <v>0</v>
      </c>
      <c r="AB245">
        <f t="shared" si="467"/>
        <v>1</v>
      </c>
      <c r="AC245">
        <f t="shared" si="467"/>
        <v>1</v>
      </c>
      <c r="AD245">
        <f t="shared" si="6"/>
        <v>2</v>
      </c>
      <c r="AE245">
        <f t="shared" si="7"/>
        <v>1</v>
      </c>
      <c r="AF245">
        <f>if(iferror(vlookup($A245,'Description Database'!$E$2:$H$951,3,0),0)=TRUE,1,0)</f>
        <v>0</v>
      </c>
      <c r="AG245">
        <f>if(iferror(vlookup($A245,'Description Database'!$E$2:$H$951,4,0),0)=TRUE,1,0)</f>
        <v>0</v>
      </c>
    </row>
    <row r="246">
      <c r="A246" t="str">
        <f>IFERROR(__xludf.DUMMYFUNCTION("""COMPUTED_VALUE"""),"Vivo Y55s (3 GB/16 GB)")</f>
        <v>Vivo Y55s (3 GB/16 GB)</v>
      </c>
      <c r="B246" t="str">
        <f>IFERROR(__xludf.DUMMYFUNCTION("""COMPUTED_VALUE"""),"")</f>
        <v/>
      </c>
      <c r="C246" t="str">
        <f>IFERROR(__xludf.DUMMYFUNCTION("""COMPUTED_VALUE"""),"")</f>
        <v/>
      </c>
      <c r="D246" t="str">
        <f>IFERROR(__xludf.DUMMYFUNCTION("""COMPUTED_VALUE"""),"")</f>
        <v/>
      </c>
      <c r="E246" t="str">
        <f>IFERROR(__xludf.DUMMYFUNCTION("""COMPUTED_VALUE"""),"")</f>
        <v/>
      </c>
      <c r="F246">
        <f>IFERROR(__xludf.DUMMYFUNCTION("""COMPUTED_VALUE"""),1.0)</f>
        <v>1</v>
      </c>
      <c r="G246" t="str">
        <f>IFERROR(__xludf.DUMMYFUNCTION("""COMPUTED_VALUE"""),"")</f>
        <v/>
      </c>
      <c r="H246" t="str">
        <f>IFERROR(__xludf.DUMMYFUNCTION("""COMPUTED_VALUE"""),"")</f>
        <v/>
      </c>
      <c r="I246">
        <f>IFERROR(__xludf.DUMMYFUNCTION("""COMPUTED_VALUE"""),26.0)</f>
        <v>26</v>
      </c>
      <c r="J246">
        <f>IFERROR(__xludf.DUMMYFUNCTION("""COMPUTED_VALUE"""),27.0)</f>
        <v>27</v>
      </c>
      <c r="L246" s="250" t="str">
        <f>IFERROR(__xludf.DUMMYFUNCTION("""COMPUTED_VALUE"""),"")</f>
        <v/>
      </c>
      <c r="M246" s="250" t="str">
        <f>IFERROR(__xludf.DUMMYFUNCTION("""COMPUTED_VALUE"""),"")</f>
        <v/>
      </c>
      <c r="N246" s="250" t="str">
        <f>IFERROR(__xludf.DUMMYFUNCTION("""COMPUTED_VALUE"""),"")</f>
        <v/>
      </c>
      <c r="O246" s="250" t="str">
        <f>IFERROR(__xludf.DUMMYFUNCTION("""COMPUTED_VALUE"""),"")</f>
        <v/>
      </c>
      <c r="P246" s="250">
        <f>IFERROR(__xludf.DUMMYFUNCTION("""COMPUTED_VALUE"""),3099.0)</f>
        <v>3099</v>
      </c>
      <c r="Q246" s="250" t="str">
        <f>IFERROR(__xludf.DUMMYFUNCTION("""COMPUTED_VALUE"""),"")</f>
        <v/>
      </c>
      <c r="R246" s="250" t="str">
        <f>IFERROR(__xludf.DUMMYFUNCTION("""COMPUTED_VALUE"""),"")</f>
        <v/>
      </c>
      <c r="U246" s="250">
        <f>IFERROR(__xludf.DUMMYFUNCTION("""COMPUTED_VALUE"""),4789.0)</f>
        <v>4789</v>
      </c>
      <c r="V246" s="250">
        <f>IFERROR(__xludf.DUMMYFUNCTION("""COMPUTED_VALUE"""),4559.0)</f>
        <v>4559</v>
      </c>
      <c r="W246" s="250">
        <f>IFERROR(__xludf.DUMMYFUNCTION("""COMPUTED_VALUE"""),4159.0)</f>
        <v>4159</v>
      </c>
      <c r="X246" t="b">
        <f t="shared" ref="X246:Z246" si="468">ISBLANK(K246)</f>
        <v>1</v>
      </c>
      <c r="Y246" t="b">
        <f t="shared" si="468"/>
        <v>0</v>
      </c>
      <c r="Z246" t="b">
        <f t="shared" si="468"/>
        <v>0</v>
      </c>
      <c r="AA246">
        <f t="shared" ref="AA246:AC246" si="469">IF(X246=FALSE,1,0)</f>
        <v>0</v>
      </c>
      <c r="AB246">
        <f t="shared" si="469"/>
        <v>1</v>
      </c>
      <c r="AC246">
        <f t="shared" si="469"/>
        <v>1</v>
      </c>
      <c r="AD246">
        <f t="shared" si="6"/>
        <v>2</v>
      </c>
      <c r="AE246">
        <f t="shared" si="7"/>
        <v>1</v>
      </c>
      <c r="AF246">
        <f>if(iferror(vlookup($A246,'Description Database'!$E$2:$H$951,3,0),0)=TRUE,1,0)</f>
        <v>0</v>
      </c>
      <c r="AG246">
        <f>if(iferror(vlookup($A246,'Description Database'!$E$2:$H$951,4,0),0)=TRUE,1,0)</f>
        <v>0</v>
      </c>
    </row>
    <row r="247">
      <c r="A247" t="str">
        <f>IFERROR(__xludf.DUMMYFUNCTION("""COMPUTED_VALUE"""),"Samsung Galaxy J3 Pro (2 GB/16 GB)")</f>
        <v>Samsung Galaxy J3 Pro (2 GB/16 GB)</v>
      </c>
      <c r="B247" t="str">
        <f>IFERROR(__xludf.DUMMYFUNCTION("""COMPUTED_VALUE"""),"")</f>
        <v/>
      </c>
      <c r="C247" t="str">
        <f>IFERROR(__xludf.DUMMYFUNCTION("""COMPUTED_VALUE"""),"")</f>
        <v/>
      </c>
      <c r="D247" t="str">
        <f>IFERROR(__xludf.DUMMYFUNCTION("""COMPUTED_VALUE"""),"")</f>
        <v/>
      </c>
      <c r="E247" t="str">
        <f>IFERROR(__xludf.DUMMYFUNCTION("""COMPUTED_VALUE"""),"")</f>
        <v/>
      </c>
      <c r="F247" t="str">
        <f>IFERROR(__xludf.DUMMYFUNCTION("""COMPUTED_VALUE"""),"")</f>
        <v/>
      </c>
      <c r="G247" t="str">
        <f>IFERROR(__xludf.DUMMYFUNCTION("""COMPUTED_VALUE"""),"")</f>
        <v/>
      </c>
      <c r="H247" t="str">
        <f>IFERROR(__xludf.DUMMYFUNCTION("""COMPUTED_VALUE"""),"")</f>
        <v/>
      </c>
      <c r="I247">
        <f>IFERROR(__xludf.DUMMYFUNCTION("""COMPUTED_VALUE"""),9.0)</f>
        <v>9</v>
      </c>
      <c r="J247">
        <f>IFERROR(__xludf.DUMMYFUNCTION("""COMPUTED_VALUE"""),9.0)</f>
        <v>9</v>
      </c>
      <c r="L247" s="250" t="str">
        <f>IFERROR(__xludf.DUMMYFUNCTION("""COMPUTED_VALUE"""),"")</f>
        <v/>
      </c>
      <c r="M247" s="250" t="str">
        <f>IFERROR(__xludf.DUMMYFUNCTION("""COMPUTED_VALUE"""),"")</f>
        <v/>
      </c>
      <c r="N247" s="250" t="str">
        <f>IFERROR(__xludf.DUMMYFUNCTION("""COMPUTED_VALUE"""),"")</f>
        <v/>
      </c>
      <c r="O247" s="250" t="str">
        <f>IFERROR(__xludf.DUMMYFUNCTION("""COMPUTED_VALUE"""),"")</f>
        <v/>
      </c>
      <c r="P247" s="250" t="str">
        <f>IFERROR(__xludf.DUMMYFUNCTION("""COMPUTED_VALUE"""),"")</f>
        <v/>
      </c>
      <c r="Q247" s="250" t="str">
        <f>IFERROR(__xludf.DUMMYFUNCTION("""COMPUTED_VALUE"""),"")</f>
        <v/>
      </c>
      <c r="R247" s="250" t="str">
        <f>IFERROR(__xludf.DUMMYFUNCTION("""COMPUTED_VALUE"""),"")</f>
        <v/>
      </c>
      <c r="U247" s="250">
        <f>IFERROR(__xludf.DUMMYFUNCTION("""COMPUTED_VALUE"""),3449.0)</f>
        <v>3449</v>
      </c>
      <c r="V247" s="250">
        <f>IFERROR(__xludf.DUMMYFUNCTION("""COMPUTED_VALUE"""),3279.0)</f>
        <v>3279</v>
      </c>
      <c r="W247" s="250">
        <f>IFERROR(__xludf.DUMMYFUNCTION("""COMPUTED_VALUE"""),2959.0)</f>
        <v>2959</v>
      </c>
      <c r="X247" t="b">
        <f t="shared" ref="X247:Z247" si="470">ISBLANK(K247)</f>
        <v>1</v>
      </c>
      <c r="Y247" t="b">
        <f t="shared" si="470"/>
        <v>0</v>
      </c>
      <c r="Z247" t="b">
        <f t="shared" si="470"/>
        <v>0</v>
      </c>
      <c r="AA247">
        <f t="shared" ref="AA247:AC247" si="471">IF(X247=FALSE,1,0)</f>
        <v>0</v>
      </c>
      <c r="AB247">
        <f t="shared" si="471"/>
        <v>1</v>
      </c>
      <c r="AC247">
        <f t="shared" si="471"/>
        <v>1</v>
      </c>
      <c r="AD247">
        <f t="shared" si="6"/>
        <v>2</v>
      </c>
      <c r="AE247">
        <f t="shared" si="7"/>
        <v>1</v>
      </c>
      <c r="AF247">
        <f>if(iferror(vlookup($A247,'Description Database'!$E$2:$H$951,3,0),0)=TRUE,1,0)</f>
        <v>0</v>
      </c>
      <c r="AG247">
        <f>if(iferror(vlookup($A247,'Description Database'!$E$2:$H$951,4,0),0)=TRUE,1,0)</f>
        <v>0</v>
      </c>
    </row>
    <row r="248">
      <c r="A248" t="str">
        <f>IFERROR(__xludf.DUMMYFUNCTION("""COMPUTED_VALUE"""),"Vivo V5S (4 GB/64 GB)")</f>
        <v>Vivo V5S (4 GB/64 GB)</v>
      </c>
      <c r="B248" t="str">
        <f>IFERROR(__xludf.DUMMYFUNCTION("""COMPUTED_VALUE"""),"")</f>
        <v/>
      </c>
      <c r="C248" t="str">
        <f>IFERROR(__xludf.DUMMYFUNCTION("""COMPUTED_VALUE"""),"")</f>
        <v/>
      </c>
      <c r="D248" t="str">
        <f>IFERROR(__xludf.DUMMYFUNCTION("""COMPUTED_VALUE"""),"")</f>
        <v/>
      </c>
      <c r="E248" t="str">
        <f>IFERROR(__xludf.DUMMYFUNCTION("""COMPUTED_VALUE"""),"")</f>
        <v/>
      </c>
      <c r="F248">
        <f>IFERROR(__xludf.DUMMYFUNCTION("""COMPUTED_VALUE"""),1.0)</f>
        <v>1</v>
      </c>
      <c r="G248" t="str">
        <f>IFERROR(__xludf.DUMMYFUNCTION("""COMPUTED_VALUE"""),"")</f>
        <v/>
      </c>
      <c r="H248" t="str">
        <f>IFERROR(__xludf.DUMMYFUNCTION("""COMPUTED_VALUE"""),"")</f>
        <v/>
      </c>
      <c r="I248">
        <f>IFERROR(__xludf.DUMMYFUNCTION("""COMPUTED_VALUE"""),12.0)</f>
        <v>12</v>
      </c>
      <c r="J248">
        <f>IFERROR(__xludf.DUMMYFUNCTION("""COMPUTED_VALUE"""),13.0)</f>
        <v>13</v>
      </c>
      <c r="L248" s="250" t="str">
        <f>IFERROR(__xludf.DUMMYFUNCTION("""COMPUTED_VALUE"""),"")</f>
        <v/>
      </c>
      <c r="M248" s="250" t="str">
        <f>IFERROR(__xludf.DUMMYFUNCTION("""COMPUTED_VALUE"""),"")</f>
        <v/>
      </c>
      <c r="N248" s="250" t="str">
        <f>IFERROR(__xludf.DUMMYFUNCTION("""COMPUTED_VALUE"""),"")</f>
        <v/>
      </c>
      <c r="O248" s="250" t="str">
        <f>IFERROR(__xludf.DUMMYFUNCTION("""COMPUTED_VALUE"""),"")</f>
        <v/>
      </c>
      <c r="P248" s="250">
        <f>IFERROR(__xludf.DUMMYFUNCTION("""COMPUTED_VALUE"""),3999.0)</f>
        <v>3999</v>
      </c>
      <c r="Q248" s="250" t="str">
        <f>IFERROR(__xludf.DUMMYFUNCTION("""COMPUTED_VALUE"""),"")</f>
        <v/>
      </c>
      <c r="R248" s="250" t="str">
        <f>IFERROR(__xludf.DUMMYFUNCTION("""COMPUTED_VALUE"""),"")</f>
        <v/>
      </c>
      <c r="U248" s="250">
        <f>IFERROR(__xludf.DUMMYFUNCTION("""COMPUTED_VALUE"""),6169.0)</f>
        <v>6169</v>
      </c>
      <c r="V248" s="250">
        <f>IFERROR(__xludf.DUMMYFUNCTION("""COMPUTED_VALUE"""),5879.0)</f>
        <v>5879</v>
      </c>
      <c r="W248" s="250">
        <f>IFERROR(__xludf.DUMMYFUNCTION("""COMPUTED_VALUE"""),5359.0)</f>
        <v>5359</v>
      </c>
      <c r="X248" t="b">
        <f t="shared" ref="X248:Z248" si="472">ISBLANK(K248)</f>
        <v>1</v>
      </c>
      <c r="Y248" t="b">
        <f t="shared" si="472"/>
        <v>0</v>
      </c>
      <c r="Z248" t="b">
        <f t="shared" si="472"/>
        <v>0</v>
      </c>
      <c r="AA248">
        <f t="shared" ref="AA248:AC248" si="473">IF(X248=FALSE,1,0)</f>
        <v>0</v>
      </c>
      <c r="AB248">
        <f t="shared" si="473"/>
        <v>1</v>
      </c>
      <c r="AC248">
        <f t="shared" si="473"/>
        <v>1</v>
      </c>
      <c r="AD248">
        <f t="shared" si="6"/>
        <v>2</v>
      </c>
      <c r="AE248">
        <f t="shared" si="7"/>
        <v>1</v>
      </c>
      <c r="AF248">
        <f>if(iferror(vlookup($A248,'Description Database'!$E$2:$H$951,3,0),0)=TRUE,1,0)</f>
        <v>0</v>
      </c>
      <c r="AG248">
        <f>if(iferror(vlookup($A248,'Description Database'!$E$2:$H$951,4,0),0)=TRUE,1,0)</f>
        <v>0</v>
      </c>
    </row>
    <row r="249">
      <c r="A249" t="str">
        <f>IFERROR(__xludf.DUMMYFUNCTION("""COMPUTED_VALUE"""),"Vivo Z1 PRO (6 GB/128 GB)")</f>
        <v>Vivo Z1 PRO (6 GB/128 GB)</v>
      </c>
      <c r="B249" t="str">
        <f>IFERROR(__xludf.DUMMYFUNCTION("""COMPUTED_VALUE"""),"")</f>
        <v/>
      </c>
      <c r="C249" t="str">
        <f>IFERROR(__xludf.DUMMYFUNCTION("""COMPUTED_VALUE"""),"")</f>
        <v/>
      </c>
      <c r="D249" t="str">
        <f>IFERROR(__xludf.DUMMYFUNCTION("""COMPUTED_VALUE"""),"")</f>
        <v/>
      </c>
      <c r="E249" t="str">
        <f>IFERROR(__xludf.DUMMYFUNCTION("""COMPUTED_VALUE"""),"")</f>
        <v/>
      </c>
      <c r="F249" t="str">
        <f>IFERROR(__xludf.DUMMYFUNCTION("""COMPUTED_VALUE"""),"")</f>
        <v/>
      </c>
      <c r="G249" t="str">
        <f>IFERROR(__xludf.DUMMYFUNCTION("""COMPUTED_VALUE"""),"")</f>
        <v/>
      </c>
      <c r="H249" t="str">
        <f>IFERROR(__xludf.DUMMYFUNCTION("""COMPUTED_VALUE"""),"")</f>
        <v/>
      </c>
      <c r="I249" t="str">
        <f>IFERROR(__xludf.DUMMYFUNCTION("""COMPUTED_VALUE"""),"")</f>
        <v/>
      </c>
      <c r="J249">
        <f>IFERROR(__xludf.DUMMYFUNCTION("""COMPUTED_VALUE"""),0.0)</f>
        <v>0</v>
      </c>
      <c r="L249" s="250" t="str">
        <f>IFERROR(__xludf.DUMMYFUNCTION("""COMPUTED_VALUE"""),"")</f>
        <v/>
      </c>
      <c r="M249" s="250" t="str">
        <f>IFERROR(__xludf.DUMMYFUNCTION("""COMPUTED_VALUE"""),"")</f>
        <v/>
      </c>
      <c r="N249" s="250" t="str">
        <f>IFERROR(__xludf.DUMMYFUNCTION("""COMPUTED_VALUE"""),"")</f>
        <v/>
      </c>
      <c r="O249" s="250" t="str">
        <f>IFERROR(__xludf.DUMMYFUNCTION("""COMPUTED_VALUE"""),"")</f>
        <v/>
      </c>
      <c r="P249" s="250" t="str">
        <f>IFERROR(__xludf.DUMMYFUNCTION("""COMPUTED_VALUE"""),"")</f>
        <v/>
      </c>
      <c r="Q249" s="250" t="str">
        <f>IFERROR(__xludf.DUMMYFUNCTION("""COMPUTED_VALUE"""),"")</f>
        <v/>
      </c>
      <c r="R249" s="250" t="str">
        <f>IFERROR(__xludf.DUMMYFUNCTION("""COMPUTED_VALUE"""),"")</f>
        <v/>
      </c>
      <c r="U249" s="250">
        <f>IFERROR(__xludf.DUMMYFUNCTION("""COMPUTED_VALUE"""),11539.0)</f>
        <v>11539</v>
      </c>
      <c r="V249" s="250">
        <f>IFERROR(__xludf.DUMMYFUNCTION("""COMPUTED_VALUE"""),10989.0)</f>
        <v>10989</v>
      </c>
      <c r="W249" s="250">
        <f>IFERROR(__xludf.DUMMYFUNCTION("""COMPUTED_VALUE"""),9889.0)</f>
        <v>9889</v>
      </c>
      <c r="X249" t="b">
        <f t="shared" ref="X249:Z249" si="474">ISBLANK(K249)</f>
        <v>1</v>
      </c>
      <c r="Y249" t="b">
        <f t="shared" si="474"/>
        <v>0</v>
      </c>
      <c r="Z249" t="b">
        <f t="shared" si="474"/>
        <v>0</v>
      </c>
      <c r="AA249">
        <f t="shared" ref="AA249:AC249" si="475">IF(X249=FALSE,1,0)</f>
        <v>0</v>
      </c>
      <c r="AB249">
        <f t="shared" si="475"/>
        <v>1</v>
      </c>
      <c r="AC249">
        <f t="shared" si="475"/>
        <v>1</v>
      </c>
      <c r="AD249">
        <f t="shared" si="6"/>
        <v>2</v>
      </c>
      <c r="AE249">
        <f t="shared" si="7"/>
        <v>1</v>
      </c>
      <c r="AF249">
        <f>if(iferror(vlookup($A249,'Description Database'!$E$2:$H$951,3,0),0)=TRUE,1,0)</f>
        <v>0</v>
      </c>
      <c r="AG249">
        <f>if(iferror(vlookup($A249,'Description Database'!$E$2:$H$951,4,0),0)=TRUE,1,0)</f>
        <v>0</v>
      </c>
    </row>
    <row r="250">
      <c r="A250" t="str">
        <f>IFERROR(__xludf.DUMMYFUNCTION("""COMPUTED_VALUE"""),"Samsung Galaxy On7 Pro (2 GB/16 GB)")</f>
        <v>Samsung Galaxy On7 Pro (2 GB/16 GB)</v>
      </c>
      <c r="B250" t="str">
        <f>IFERROR(__xludf.DUMMYFUNCTION("""COMPUTED_VALUE"""),"")</f>
        <v/>
      </c>
      <c r="C250" t="str">
        <f>IFERROR(__xludf.DUMMYFUNCTION("""COMPUTED_VALUE"""),"")</f>
        <v/>
      </c>
      <c r="D250" t="str">
        <f>IFERROR(__xludf.DUMMYFUNCTION("""COMPUTED_VALUE"""),"")</f>
        <v/>
      </c>
      <c r="E250" t="str">
        <f>IFERROR(__xludf.DUMMYFUNCTION("""COMPUTED_VALUE"""),"")</f>
        <v/>
      </c>
      <c r="F250" t="str">
        <f>IFERROR(__xludf.DUMMYFUNCTION("""COMPUTED_VALUE"""),"")</f>
        <v/>
      </c>
      <c r="G250" t="str">
        <f>IFERROR(__xludf.DUMMYFUNCTION("""COMPUTED_VALUE"""),"")</f>
        <v/>
      </c>
      <c r="H250" t="str">
        <f>IFERROR(__xludf.DUMMYFUNCTION("""COMPUTED_VALUE"""),"")</f>
        <v/>
      </c>
      <c r="I250">
        <f>IFERROR(__xludf.DUMMYFUNCTION("""COMPUTED_VALUE"""),15.0)</f>
        <v>15</v>
      </c>
      <c r="J250">
        <f>IFERROR(__xludf.DUMMYFUNCTION("""COMPUTED_VALUE"""),15.0)</f>
        <v>15</v>
      </c>
      <c r="L250" s="250" t="str">
        <f>IFERROR(__xludf.DUMMYFUNCTION("""COMPUTED_VALUE"""),"")</f>
        <v/>
      </c>
      <c r="M250" s="250" t="str">
        <f>IFERROR(__xludf.DUMMYFUNCTION("""COMPUTED_VALUE"""),"")</f>
        <v/>
      </c>
      <c r="N250" s="250" t="str">
        <f>IFERROR(__xludf.DUMMYFUNCTION("""COMPUTED_VALUE"""),"")</f>
        <v/>
      </c>
      <c r="O250" s="250" t="str">
        <f>IFERROR(__xludf.DUMMYFUNCTION("""COMPUTED_VALUE"""),"")</f>
        <v/>
      </c>
      <c r="P250" s="250" t="str">
        <f>IFERROR(__xludf.DUMMYFUNCTION("""COMPUTED_VALUE"""),"")</f>
        <v/>
      </c>
      <c r="Q250" s="250" t="str">
        <f>IFERROR(__xludf.DUMMYFUNCTION("""COMPUTED_VALUE"""),"")</f>
        <v/>
      </c>
      <c r="R250" s="250" t="str">
        <f>IFERROR(__xludf.DUMMYFUNCTION("""COMPUTED_VALUE"""),"")</f>
        <v/>
      </c>
      <c r="U250" s="250">
        <f>IFERROR(__xludf.DUMMYFUNCTION("""COMPUTED_VALUE"""),3789.0)</f>
        <v>3789</v>
      </c>
      <c r="V250" s="250">
        <f>IFERROR(__xludf.DUMMYFUNCTION("""COMPUTED_VALUE"""),3599.0)</f>
        <v>3599</v>
      </c>
      <c r="W250" s="250">
        <f>IFERROR(__xludf.DUMMYFUNCTION("""COMPUTED_VALUE"""),3239.0)</f>
        <v>3239</v>
      </c>
      <c r="X250" t="b">
        <f t="shared" ref="X250:Z250" si="476">ISBLANK(K250)</f>
        <v>1</v>
      </c>
      <c r="Y250" t="b">
        <f t="shared" si="476"/>
        <v>0</v>
      </c>
      <c r="Z250" t="b">
        <f t="shared" si="476"/>
        <v>0</v>
      </c>
      <c r="AA250">
        <f t="shared" ref="AA250:AC250" si="477">IF(X250=FALSE,1,0)</f>
        <v>0</v>
      </c>
      <c r="AB250">
        <f t="shared" si="477"/>
        <v>1</v>
      </c>
      <c r="AC250">
        <f t="shared" si="477"/>
        <v>1</v>
      </c>
      <c r="AD250">
        <f t="shared" si="6"/>
        <v>2</v>
      </c>
      <c r="AE250">
        <f t="shared" si="7"/>
        <v>1</v>
      </c>
      <c r="AF250">
        <f>if(iferror(vlookup($A250,'Description Database'!$E$2:$H$951,3,0),0)=TRUE,1,0)</f>
        <v>0</v>
      </c>
      <c r="AG250">
        <f>if(iferror(vlookup($A250,'Description Database'!$E$2:$H$951,4,0),0)=TRUE,1,0)</f>
        <v>0</v>
      </c>
    </row>
    <row r="251">
      <c r="A251" t="str">
        <f>IFERROR(__xludf.DUMMYFUNCTION("""COMPUTED_VALUE"""),"Motorola Moto G5s Plus (4 GB/64 GB)")</f>
        <v>Motorola Moto G5s Plus (4 GB/64 GB)</v>
      </c>
      <c r="B251" t="str">
        <f>IFERROR(__xludf.DUMMYFUNCTION("""COMPUTED_VALUE"""),"")</f>
        <v/>
      </c>
      <c r="C251" t="str">
        <f>IFERROR(__xludf.DUMMYFUNCTION("""COMPUTED_VALUE"""),"")</f>
        <v/>
      </c>
      <c r="D251" t="str">
        <f>IFERROR(__xludf.DUMMYFUNCTION("""COMPUTED_VALUE"""),"")</f>
        <v/>
      </c>
      <c r="E251" t="str">
        <f>IFERROR(__xludf.DUMMYFUNCTION("""COMPUTED_VALUE"""),"")</f>
        <v/>
      </c>
      <c r="F251" t="str">
        <f>IFERROR(__xludf.DUMMYFUNCTION("""COMPUTED_VALUE"""),"")</f>
        <v/>
      </c>
      <c r="G251">
        <f>IFERROR(__xludf.DUMMYFUNCTION("""COMPUTED_VALUE"""),1.0)</f>
        <v>1</v>
      </c>
      <c r="H251" t="str">
        <f>IFERROR(__xludf.DUMMYFUNCTION("""COMPUTED_VALUE"""),"")</f>
        <v/>
      </c>
      <c r="I251">
        <f>IFERROR(__xludf.DUMMYFUNCTION("""COMPUTED_VALUE"""),36.0)</f>
        <v>36</v>
      </c>
      <c r="J251">
        <f>IFERROR(__xludf.DUMMYFUNCTION("""COMPUTED_VALUE"""),37.0)</f>
        <v>37</v>
      </c>
      <c r="L251" s="250" t="str">
        <f>IFERROR(__xludf.DUMMYFUNCTION("""COMPUTED_VALUE"""),"")</f>
        <v/>
      </c>
      <c r="M251" s="250" t="str">
        <f>IFERROR(__xludf.DUMMYFUNCTION("""COMPUTED_VALUE"""),"")</f>
        <v/>
      </c>
      <c r="N251" s="250" t="str">
        <f>IFERROR(__xludf.DUMMYFUNCTION("""COMPUTED_VALUE"""),"")</f>
        <v/>
      </c>
      <c r="O251" s="250" t="str">
        <f>IFERROR(__xludf.DUMMYFUNCTION("""COMPUTED_VALUE"""),"")</f>
        <v/>
      </c>
      <c r="P251" s="250" t="str">
        <f>IFERROR(__xludf.DUMMYFUNCTION("""COMPUTED_VALUE"""),"")</f>
        <v/>
      </c>
      <c r="Q251" s="250">
        <f>IFERROR(__xludf.DUMMYFUNCTION("""COMPUTED_VALUE"""),1979.0)</f>
        <v>1979</v>
      </c>
      <c r="R251" s="250" t="str">
        <f>IFERROR(__xludf.DUMMYFUNCTION("""COMPUTED_VALUE"""),"")</f>
        <v/>
      </c>
      <c r="U251" s="250">
        <f>IFERROR(__xludf.DUMMYFUNCTION("""COMPUTED_VALUE"""),4669.0)</f>
        <v>4669</v>
      </c>
      <c r="V251" s="250">
        <f>IFERROR(__xludf.DUMMYFUNCTION("""COMPUTED_VALUE"""),4439.0)</f>
        <v>4439</v>
      </c>
      <c r="W251" s="250">
        <f>IFERROR(__xludf.DUMMYFUNCTION("""COMPUTED_VALUE"""),4009.0)</f>
        <v>4009</v>
      </c>
      <c r="X251" t="b">
        <f t="shared" ref="X251:Z251" si="478">ISBLANK(K251)</f>
        <v>1</v>
      </c>
      <c r="Y251" t="b">
        <f t="shared" si="478"/>
        <v>0</v>
      </c>
      <c r="Z251" t="b">
        <f t="shared" si="478"/>
        <v>0</v>
      </c>
      <c r="AA251">
        <f t="shared" ref="AA251:AC251" si="479">IF(X251=FALSE,1,0)</f>
        <v>0</v>
      </c>
      <c r="AB251">
        <f t="shared" si="479"/>
        <v>1</v>
      </c>
      <c r="AC251">
        <f t="shared" si="479"/>
        <v>1</v>
      </c>
      <c r="AD251">
        <f t="shared" si="6"/>
        <v>2</v>
      </c>
      <c r="AE251">
        <f t="shared" si="7"/>
        <v>1</v>
      </c>
      <c r="AF251">
        <f>if(iferror(vlookup($A251,'Description Database'!$E$2:$H$951,3,0),0)=TRUE,1,0)</f>
        <v>0</v>
      </c>
      <c r="AG251">
        <f>if(iferror(vlookup($A251,'Description Database'!$E$2:$H$951,4,0),0)=TRUE,1,0)</f>
        <v>0</v>
      </c>
    </row>
    <row r="252">
      <c r="A252" t="str">
        <f>IFERROR(__xludf.DUMMYFUNCTION("""COMPUTED_VALUE"""),"Realme PHAB 2 PRO (6 GB/64 GB)")</f>
        <v>Realme PHAB 2 PRO (6 GB/64 GB)</v>
      </c>
      <c r="B252" t="str">
        <f>IFERROR(__xludf.DUMMYFUNCTION("""COMPUTED_VALUE"""),"")</f>
        <v/>
      </c>
      <c r="C252" t="str">
        <f>IFERROR(__xludf.DUMMYFUNCTION("""COMPUTED_VALUE"""),"")</f>
        <v/>
      </c>
      <c r="D252" t="str">
        <f>IFERROR(__xludf.DUMMYFUNCTION("""COMPUTED_VALUE"""),"")</f>
        <v/>
      </c>
      <c r="E252" t="str">
        <f>IFERROR(__xludf.DUMMYFUNCTION("""COMPUTED_VALUE"""),"")</f>
        <v/>
      </c>
      <c r="F252" t="str">
        <f>IFERROR(__xludf.DUMMYFUNCTION("""COMPUTED_VALUE"""),"")</f>
        <v/>
      </c>
      <c r="G252" t="str">
        <f>IFERROR(__xludf.DUMMYFUNCTION("""COMPUTED_VALUE"""),"")</f>
        <v/>
      </c>
      <c r="H252" t="str">
        <f>IFERROR(__xludf.DUMMYFUNCTION("""COMPUTED_VALUE"""),"")</f>
        <v/>
      </c>
      <c r="I252" t="str">
        <f>IFERROR(__xludf.DUMMYFUNCTION("""COMPUTED_VALUE"""),"")</f>
        <v/>
      </c>
      <c r="J252">
        <f>IFERROR(__xludf.DUMMYFUNCTION("""COMPUTED_VALUE"""),0.0)</f>
        <v>0</v>
      </c>
      <c r="L252" s="250" t="str">
        <f>IFERROR(__xludf.DUMMYFUNCTION("""COMPUTED_VALUE"""),"")</f>
        <v/>
      </c>
      <c r="M252" s="250" t="str">
        <f>IFERROR(__xludf.DUMMYFUNCTION("""COMPUTED_VALUE"""),"")</f>
        <v/>
      </c>
      <c r="N252" s="250" t="str">
        <f>IFERROR(__xludf.DUMMYFUNCTION("""COMPUTED_VALUE"""),"")</f>
        <v/>
      </c>
      <c r="O252" s="250" t="str">
        <f>IFERROR(__xludf.DUMMYFUNCTION("""COMPUTED_VALUE"""),"")</f>
        <v/>
      </c>
      <c r="P252" s="250" t="str">
        <f>IFERROR(__xludf.DUMMYFUNCTION("""COMPUTED_VALUE"""),"")</f>
        <v/>
      </c>
      <c r="Q252" s="250" t="str">
        <f>IFERROR(__xludf.DUMMYFUNCTION("""COMPUTED_VALUE"""),"")</f>
        <v/>
      </c>
      <c r="R252" s="250" t="str">
        <f>IFERROR(__xludf.DUMMYFUNCTION("""COMPUTED_VALUE"""),"")</f>
        <v/>
      </c>
      <c r="U252" s="250" t="str">
        <f>IFERROR(__xludf.DUMMYFUNCTION("""COMPUTED_VALUE"""),"#N/A")</f>
        <v>#N/A</v>
      </c>
      <c r="V252" s="250" t="str">
        <f>IFERROR(__xludf.DUMMYFUNCTION("""COMPUTED_VALUE"""),"#N/A")</f>
        <v>#N/A</v>
      </c>
      <c r="W252" s="250" t="str">
        <f>IFERROR(__xludf.DUMMYFUNCTION("""COMPUTED_VALUE"""),"#N/A")</f>
        <v>#N/A</v>
      </c>
      <c r="X252" t="b">
        <f t="shared" ref="X252:Z252" si="480">ISBLANK(K252)</f>
        <v>1</v>
      </c>
      <c r="Y252" t="b">
        <f t="shared" si="480"/>
        <v>0</v>
      </c>
      <c r="Z252" t="b">
        <f t="shared" si="480"/>
        <v>0</v>
      </c>
      <c r="AA252">
        <f t="shared" ref="AA252:AC252" si="481">IF(X252=FALSE,1,0)</f>
        <v>0</v>
      </c>
      <c r="AB252">
        <f t="shared" si="481"/>
        <v>1</v>
      </c>
      <c r="AC252">
        <f t="shared" si="481"/>
        <v>1</v>
      </c>
      <c r="AD252">
        <f t="shared" si="6"/>
        <v>2</v>
      </c>
      <c r="AE252">
        <f t="shared" si="7"/>
        <v>1</v>
      </c>
      <c r="AF252">
        <f>if(iferror(vlookup($A252,'Description Database'!$E$2:$H$951,3,0),0)=TRUE,1,0)</f>
        <v>0</v>
      </c>
      <c r="AG252">
        <f>if(iferror(vlookup($A252,'Description Database'!$E$2:$H$951,4,0),0)=TRUE,1,0)</f>
        <v>0</v>
      </c>
    </row>
    <row r="253">
      <c r="A253" t="str">
        <f>IFERROR(__xludf.DUMMYFUNCTION("""COMPUTED_VALUE"""),"Samsung Galaxy S7 (4 GB/32 GB)")</f>
        <v>Samsung Galaxy S7 (4 GB/32 GB)</v>
      </c>
      <c r="B253" t="str">
        <f>IFERROR(__xludf.DUMMYFUNCTION("""COMPUTED_VALUE"""),"")</f>
        <v/>
      </c>
      <c r="C253" t="str">
        <f>IFERROR(__xludf.DUMMYFUNCTION("""COMPUTED_VALUE"""),"")</f>
        <v/>
      </c>
      <c r="D253" t="str">
        <f>IFERROR(__xludf.DUMMYFUNCTION("""COMPUTED_VALUE"""),"")</f>
        <v/>
      </c>
      <c r="E253" t="str">
        <f>IFERROR(__xludf.DUMMYFUNCTION("""COMPUTED_VALUE"""),"")</f>
        <v/>
      </c>
      <c r="F253" t="str">
        <f>IFERROR(__xludf.DUMMYFUNCTION("""COMPUTED_VALUE"""),"")</f>
        <v/>
      </c>
      <c r="G253">
        <f>IFERROR(__xludf.DUMMYFUNCTION("""COMPUTED_VALUE"""),1.0)</f>
        <v>1</v>
      </c>
      <c r="H253" t="str">
        <f>IFERROR(__xludf.DUMMYFUNCTION("""COMPUTED_VALUE"""),"")</f>
        <v/>
      </c>
      <c r="I253">
        <f>IFERROR(__xludf.DUMMYFUNCTION("""COMPUTED_VALUE"""),3.0)</f>
        <v>3</v>
      </c>
      <c r="J253">
        <f>IFERROR(__xludf.DUMMYFUNCTION("""COMPUTED_VALUE"""),4.0)</f>
        <v>4</v>
      </c>
      <c r="L253" s="250" t="str">
        <f>IFERROR(__xludf.DUMMYFUNCTION("""COMPUTED_VALUE"""),"")</f>
        <v/>
      </c>
      <c r="M253" s="250" t="str">
        <f>IFERROR(__xludf.DUMMYFUNCTION("""COMPUTED_VALUE"""),"")</f>
        <v/>
      </c>
      <c r="N253" s="250" t="str">
        <f>IFERROR(__xludf.DUMMYFUNCTION("""COMPUTED_VALUE"""),"")</f>
        <v/>
      </c>
      <c r="O253" s="250" t="str">
        <f>IFERROR(__xludf.DUMMYFUNCTION("""COMPUTED_VALUE"""),"")</f>
        <v/>
      </c>
      <c r="P253" s="250" t="str">
        <f>IFERROR(__xludf.DUMMYFUNCTION("""COMPUTED_VALUE"""),"")</f>
        <v/>
      </c>
      <c r="Q253" s="250">
        <f>IFERROR(__xludf.DUMMYFUNCTION("""COMPUTED_VALUE"""),3679.0)</f>
        <v>3679</v>
      </c>
      <c r="R253" s="250" t="str">
        <f>IFERROR(__xludf.DUMMYFUNCTION("""COMPUTED_VALUE"""),"")</f>
        <v/>
      </c>
      <c r="U253" s="250">
        <f>IFERROR(__xludf.DUMMYFUNCTION("""COMPUTED_VALUE"""),7579.0)</f>
        <v>7579</v>
      </c>
      <c r="V253" s="250">
        <f>IFERROR(__xludf.DUMMYFUNCTION("""COMPUTED_VALUE"""),7219.0)</f>
        <v>7219</v>
      </c>
      <c r="W253" s="250">
        <f>IFERROR(__xludf.DUMMYFUNCTION("""COMPUTED_VALUE"""),6489.0)</f>
        <v>6489</v>
      </c>
      <c r="X253" t="b">
        <f t="shared" ref="X253:Z253" si="482">ISBLANK(K253)</f>
        <v>1</v>
      </c>
      <c r="Y253" t="b">
        <f t="shared" si="482"/>
        <v>0</v>
      </c>
      <c r="Z253" t="b">
        <f t="shared" si="482"/>
        <v>0</v>
      </c>
      <c r="AA253">
        <f t="shared" ref="AA253:AC253" si="483">IF(X253=FALSE,1,0)</f>
        <v>0</v>
      </c>
      <c r="AB253">
        <f t="shared" si="483"/>
        <v>1</v>
      </c>
      <c r="AC253">
        <f t="shared" si="483"/>
        <v>1</v>
      </c>
      <c r="AD253">
        <f t="shared" si="6"/>
        <v>2</v>
      </c>
      <c r="AE253">
        <f t="shared" si="7"/>
        <v>1</v>
      </c>
      <c r="AF253">
        <f>if(iferror(vlookup($A253,'Description Database'!$E$2:$H$951,3,0),0)=TRUE,1,0)</f>
        <v>0</v>
      </c>
      <c r="AG253">
        <f>if(iferror(vlookup($A253,'Description Database'!$E$2:$H$951,4,0),0)=TRUE,1,0)</f>
        <v>0</v>
      </c>
    </row>
    <row r="254">
      <c r="A254" t="str">
        <f>IFERROR(__xludf.DUMMYFUNCTION("""COMPUTED_VALUE"""),"Lenovo Vibe K5 Note (4 GB/32 GB)")</f>
        <v>Lenovo Vibe K5 Note (4 GB/32 GB)</v>
      </c>
      <c r="B254" t="str">
        <f>IFERROR(__xludf.DUMMYFUNCTION("""COMPUTED_VALUE"""),"")</f>
        <v/>
      </c>
      <c r="C254" t="str">
        <f>IFERROR(__xludf.DUMMYFUNCTION("""COMPUTED_VALUE"""),"")</f>
        <v/>
      </c>
      <c r="D254" t="str">
        <f>IFERROR(__xludf.DUMMYFUNCTION("""COMPUTED_VALUE"""),"")</f>
        <v/>
      </c>
      <c r="E254">
        <f>IFERROR(__xludf.DUMMYFUNCTION("""COMPUTED_VALUE"""),1.0)</f>
        <v>1</v>
      </c>
      <c r="F254">
        <f>IFERROR(__xludf.DUMMYFUNCTION("""COMPUTED_VALUE"""),1.0)</f>
        <v>1</v>
      </c>
      <c r="G254">
        <f>IFERROR(__xludf.DUMMYFUNCTION("""COMPUTED_VALUE"""),11.0)</f>
        <v>11</v>
      </c>
      <c r="H254">
        <f>IFERROR(__xludf.DUMMYFUNCTION("""COMPUTED_VALUE"""),2.0)</f>
        <v>2</v>
      </c>
      <c r="I254">
        <f>IFERROR(__xludf.DUMMYFUNCTION("""COMPUTED_VALUE"""),12.0)</f>
        <v>12</v>
      </c>
      <c r="J254">
        <f>IFERROR(__xludf.DUMMYFUNCTION("""COMPUTED_VALUE"""),27.0)</f>
        <v>27</v>
      </c>
      <c r="L254" s="250" t="str">
        <f>IFERROR(__xludf.DUMMYFUNCTION("""COMPUTED_VALUE"""),"")</f>
        <v/>
      </c>
      <c r="M254" s="250" t="str">
        <f>IFERROR(__xludf.DUMMYFUNCTION("""COMPUTED_VALUE"""),"")</f>
        <v/>
      </c>
      <c r="N254" s="250" t="str">
        <f>IFERROR(__xludf.DUMMYFUNCTION("""COMPUTED_VALUE"""),"")</f>
        <v/>
      </c>
      <c r="O254" s="250">
        <f>IFERROR(__xludf.DUMMYFUNCTION("""COMPUTED_VALUE"""),2994.0)</f>
        <v>2994</v>
      </c>
      <c r="P254" s="250">
        <f>IFERROR(__xludf.DUMMYFUNCTION("""COMPUTED_VALUE"""),2729.0)</f>
        <v>2729</v>
      </c>
      <c r="Q254" s="250">
        <f>IFERROR(__xludf.DUMMYFUNCTION("""COMPUTED_VALUE"""),1889.0)</f>
        <v>1889</v>
      </c>
      <c r="R254" s="250">
        <f>IFERROR(__xludf.DUMMYFUNCTION("""COMPUTED_VALUE"""),1439.0)</f>
        <v>1439</v>
      </c>
      <c r="U254" s="250">
        <f>IFERROR(__xludf.DUMMYFUNCTION("""COMPUTED_VALUE"""),4179.0)</f>
        <v>4179</v>
      </c>
      <c r="V254" s="250">
        <f>IFERROR(__xludf.DUMMYFUNCTION("""COMPUTED_VALUE"""),3989.0)</f>
        <v>3989</v>
      </c>
      <c r="W254" s="250">
        <f>IFERROR(__xludf.DUMMYFUNCTION("""COMPUTED_VALUE"""),3589.0)</f>
        <v>3589</v>
      </c>
      <c r="X254" t="b">
        <f t="shared" ref="X254:Z254" si="484">ISBLANK(K254)</f>
        <v>1</v>
      </c>
      <c r="Y254" t="b">
        <f t="shared" si="484"/>
        <v>0</v>
      </c>
      <c r="Z254" t="b">
        <f t="shared" si="484"/>
        <v>0</v>
      </c>
      <c r="AA254">
        <f t="shared" ref="AA254:AC254" si="485">IF(X254=FALSE,1,0)</f>
        <v>0</v>
      </c>
      <c r="AB254">
        <f t="shared" si="485"/>
        <v>1</v>
      </c>
      <c r="AC254">
        <f t="shared" si="485"/>
        <v>1</v>
      </c>
      <c r="AD254">
        <f t="shared" si="6"/>
        <v>2</v>
      </c>
      <c r="AE254">
        <f t="shared" si="7"/>
        <v>1</v>
      </c>
      <c r="AF254">
        <f>if(iferror(vlookup($A254,'Description Database'!$E$2:$H$951,3,0),0)=TRUE,1,0)</f>
        <v>0</v>
      </c>
      <c r="AG254">
        <f>if(iferror(vlookup($A254,'Description Database'!$E$2:$H$951,4,0),0)=TRUE,1,0)</f>
        <v>0</v>
      </c>
    </row>
    <row r="255">
      <c r="A255" t="str">
        <f>IFERROR(__xludf.DUMMYFUNCTION("""COMPUTED_VALUE"""),"Asus Zenfone 4 Selfie ZB553KL (3 GB/32 GB)")</f>
        <v>Asus Zenfone 4 Selfie ZB553KL (3 GB/32 GB)</v>
      </c>
      <c r="B255" t="str">
        <f>IFERROR(__xludf.DUMMYFUNCTION("""COMPUTED_VALUE"""),"")</f>
        <v/>
      </c>
      <c r="C255" t="str">
        <f>IFERROR(__xludf.DUMMYFUNCTION("""COMPUTED_VALUE"""),"")</f>
        <v/>
      </c>
      <c r="D255" t="str">
        <f>IFERROR(__xludf.DUMMYFUNCTION("""COMPUTED_VALUE"""),"")</f>
        <v/>
      </c>
      <c r="E255" t="str">
        <f>IFERROR(__xludf.DUMMYFUNCTION("""COMPUTED_VALUE"""),"")</f>
        <v/>
      </c>
      <c r="F255" t="str">
        <f>IFERROR(__xludf.DUMMYFUNCTION("""COMPUTED_VALUE"""),"")</f>
        <v/>
      </c>
      <c r="G255" t="str">
        <f>IFERROR(__xludf.DUMMYFUNCTION("""COMPUTED_VALUE"""),"")</f>
        <v/>
      </c>
      <c r="H255" t="str">
        <f>IFERROR(__xludf.DUMMYFUNCTION("""COMPUTED_VALUE"""),"")</f>
        <v/>
      </c>
      <c r="I255">
        <f>IFERROR(__xludf.DUMMYFUNCTION("""COMPUTED_VALUE"""),1.0)</f>
        <v>1</v>
      </c>
      <c r="J255">
        <f>IFERROR(__xludf.DUMMYFUNCTION("""COMPUTED_VALUE"""),1.0)</f>
        <v>1</v>
      </c>
      <c r="L255" s="250" t="str">
        <f>IFERROR(__xludf.DUMMYFUNCTION("""COMPUTED_VALUE"""),"")</f>
        <v/>
      </c>
      <c r="M255" s="250" t="str">
        <f>IFERROR(__xludf.DUMMYFUNCTION("""COMPUTED_VALUE"""),"")</f>
        <v/>
      </c>
      <c r="N255" s="250" t="str">
        <f>IFERROR(__xludf.DUMMYFUNCTION("""COMPUTED_VALUE"""),"")</f>
        <v/>
      </c>
      <c r="O255" s="250" t="str">
        <f>IFERROR(__xludf.DUMMYFUNCTION("""COMPUTED_VALUE"""),"")</f>
        <v/>
      </c>
      <c r="P255" s="250" t="str">
        <f>IFERROR(__xludf.DUMMYFUNCTION("""COMPUTED_VALUE"""),"")</f>
        <v/>
      </c>
      <c r="Q255" s="250" t="str">
        <f>IFERROR(__xludf.DUMMYFUNCTION("""COMPUTED_VALUE"""),"")</f>
        <v/>
      </c>
      <c r="R255" s="250" t="str">
        <f>IFERROR(__xludf.DUMMYFUNCTION("""COMPUTED_VALUE"""),"")</f>
        <v/>
      </c>
      <c r="U255" s="250">
        <f>IFERROR(__xludf.DUMMYFUNCTION("""COMPUTED_VALUE"""),4109.0)</f>
        <v>4109</v>
      </c>
      <c r="V255" s="250">
        <f>IFERROR(__xludf.DUMMYFUNCTION("""COMPUTED_VALUE"""),3909.0)</f>
        <v>3909</v>
      </c>
      <c r="W255" s="250">
        <f>IFERROR(__xludf.DUMMYFUNCTION("""COMPUTED_VALUE"""),3519.0)</f>
        <v>3519</v>
      </c>
      <c r="X255" t="b">
        <f t="shared" ref="X255:Z255" si="486">ISBLANK(K255)</f>
        <v>1</v>
      </c>
      <c r="Y255" t="b">
        <f t="shared" si="486"/>
        <v>0</v>
      </c>
      <c r="Z255" t="b">
        <f t="shared" si="486"/>
        <v>0</v>
      </c>
      <c r="AA255">
        <f t="shared" ref="AA255:AC255" si="487">IF(X255=FALSE,1,0)</f>
        <v>0</v>
      </c>
      <c r="AB255">
        <f t="shared" si="487"/>
        <v>1</v>
      </c>
      <c r="AC255">
        <f t="shared" si="487"/>
        <v>1</v>
      </c>
      <c r="AD255">
        <f t="shared" si="6"/>
        <v>2</v>
      </c>
      <c r="AE255">
        <f t="shared" si="7"/>
        <v>1</v>
      </c>
      <c r="AF255">
        <f>if(iferror(vlookup($A255,'Description Database'!$E$2:$H$951,3,0),0)=TRUE,1,0)</f>
        <v>0</v>
      </c>
      <c r="AG255">
        <f>if(iferror(vlookup($A255,'Description Database'!$E$2:$H$951,4,0),0)=TRUE,1,0)</f>
        <v>0</v>
      </c>
    </row>
    <row r="256">
      <c r="A256" t="str">
        <f>IFERROR(__xludf.DUMMYFUNCTION("""COMPUTED_VALUE"""),"Samsung Galaxy J7 (1.5 GB/16 GB)")</f>
        <v>Samsung Galaxy J7 (1.5 GB/16 GB)</v>
      </c>
      <c r="B256" t="str">
        <f>IFERROR(__xludf.DUMMYFUNCTION("""COMPUTED_VALUE"""),"")</f>
        <v/>
      </c>
      <c r="C256" t="str">
        <f>IFERROR(__xludf.DUMMYFUNCTION("""COMPUTED_VALUE"""),"")</f>
        <v/>
      </c>
      <c r="D256" t="str">
        <f>IFERROR(__xludf.DUMMYFUNCTION("""COMPUTED_VALUE"""),"")</f>
        <v/>
      </c>
      <c r="E256" t="str">
        <f>IFERROR(__xludf.DUMMYFUNCTION("""COMPUTED_VALUE"""),"")</f>
        <v/>
      </c>
      <c r="F256">
        <f>IFERROR(__xludf.DUMMYFUNCTION("""COMPUTED_VALUE"""),1.0)</f>
        <v>1</v>
      </c>
      <c r="G256">
        <f>IFERROR(__xludf.DUMMYFUNCTION("""COMPUTED_VALUE"""),1.0)</f>
        <v>1</v>
      </c>
      <c r="H256" t="str">
        <f>IFERROR(__xludf.DUMMYFUNCTION("""COMPUTED_VALUE"""),"")</f>
        <v/>
      </c>
      <c r="I256">
        <f>IFERROR(__xludf.DUMMYFUNCTION("""COMPUTED_VALUE"""),120.0)</f>
        <v>120</v>
      </c>
      <c r="J256">
        <f>IFERROR(__xludf.DUMMYFUNCTION("""COMPUTED_VALUE"""),122.0)</f>
        <v>122</v>
      </c>
      <c r="L256" s="250" t="str">
        <f>IFERROR(__xludf.DUMMYFUNCTION("""COMPUTED_VALUE"""),"")</f>
        <v/>
      </c>
      <c r="M256" s="250" t="str">
        <f>IFERROR(__xludf.DUMMYFUNCTION("""COMPUTED_VALUE"""),"")</f>
        <v/>
      </c>
      <c r="N256" s="250" t="str">
        <f>IFERROR(__xludf.DUMMYFUNCTION("""COMPUTED_VALUE"""),"")</f>
        <v/>
      </c>
      <c r="O256" s="250" t="str">
        <f>IFERROR(__xludf.DUMMYFUNCTION("""COMPUTED_VALUE"""),"")</f>
        <v/>
      </c>
      <c r="P256" s="250">
        <f>IFERROR(__xludf.DUMMYFUNCTION("""COMPUTED_VALUE"""),2529.0)</f>
        <v>2529</v>
      </c>
      <c r="Q256" s="250">
        <f>IFERROR(__xludf.DUMMYFUNCTION("""COMPUTED_VALUE"""),1389.0)</f>
        <v>1389</v>
      </c>
      <c r="R256" s="250" t="str">
        <f>IFERROR(__xludf.DUMMYFUNCTION("""COMPUTED_VALUE"""),"")</f>
        <v/>
      </c>
      <c r="U256" s="250">
        <f>IFERROR(__xludf.DUMMYFUNCTION("""COMPUTED_VALUE"""),3889.0)</f>
        <v>3889</v>
      </c>
      <c r="V256" s="250">
        <f>IFERROR(__xludf.DUMMYFUNCTION("""COMPUTED_VALUE"""),3699.0)</f>
        <v>3699</v>
      </c>
      <c r="W256" s="250">
        <f>IFERROR(__xludf.DUMMYFUNCTION("""COMPUTED_VALUE"""),3379.0)</f>
        <v>3379</v>
      </c>
      <c r="X256" t="b">
        <f t="shared" ref="X256:Z256" si="488">ISBLANK(K256)</f>
        <v>1</v>
      </c>
      <c r="Y256" t="b">
        <f t="shared" si="488"/>
        <v>0</v>
      </c>
      <c r="Z256" t="b">
        <f t="shared" si="488"/>
        <v>0</v>
      </c>
      <c r="AA256">
        <f t="shared" ref="AA256:AC256" si="489">IF(X256=FALSE,1,0)</f>
        <v>0</v>
      </c>
      <c r="AB256">
        <f t="shared" si="489"/>
        <v>1</v>
      </c>
      <c r="AC256">
        <f t="shared" si="489"/>
        <v>1</v>
      </c>
      <c r="AD256">
        <f t="shared" si="6"/>
        <v>2</v>
      </c>
      <c r="AE256">
        <f t="shared" si="7"/>
        <v>1</v>
      </c>
      <c r="AF256">
        <f>if(iferror(vlookup($A256,'Description Database'!$E$2:$H$951,3,0),0)=TRUE,1,0)</f>
        <v>0</v>
      </c>
      <c r="AG256">
        <f>if(iferror(vlookup($A256,'Description Database'!$E$2:$H$951,4,0),0)=TRUE,1,0)</f>
        <v>0</v>
      </c>
    </row>
    <row r="257">
      <c r="A257" t="str">
        <f>IFERROR(__xludf.DUMMYFUNCTION("""COMPUTED_VALUE"""),"Xiaomi REDMI 4A (3 GB/32 GB)")</f>
        <v>Xiaomi REDMI 4A (3 GB/32 GB)</v>
      </c>
      <c r="B257" t="str">
        <f>IFERROR(__xludf.DUMMYFUNCTION("""COMPUTED_VALUE"""),"")</f>
        <v/>
      </c>
      <c r="C257" t="str">
        <f>IFERROR(__xludf.DUMMYFUNCTION("""COMPUTED_VALUE"""),"")</f>
        <v/>
      </c>
      <c r="D257" t="str">
        <f>IFERROR(__xludf.DUMMYFUNCTION("""COMPUTED_VALUE"""),"")</f>
        <v/>
      </c>
      <c r="E257" t="str">
        <f>IFERROR(__xludf.DUMMYFUNCTION("""COMPUTED_VALUE"""),"")</f>
        <v/>
      </c>
      <c r="F257" t="str">
        <f>IFERROR(__xludf.DUMMYFUNCTION("""COMPUTED_VALUE"""),"")</f>
        <v/>
      </c>
      <c r="G257">
        <f>IFERROR(__xludf.DUMMYFUNCTION("""COMPUTED_VALUE"""),1.0)</f>
        <v>1</v>
      </c>
      <c r="H257" t="str">
        <f>IFERROR(__xludf.DUMMYFUNCTION("""COMPUTED_VALUE"""),"")</f>
        <v/>
      </c>
      <c r="I257">
        <f>IFERROR(__xludf.DUMMYFUNCTION("""COMPUTED_VALUE"""),17.0)</f>
        <v>17</v>
      </c>
      <c r="J257">
        <f>IFERROR(__xludf.DUMMYFUNCTION("""COMPUTED_VALUE"""),18.0)</f>
        <v>18</v>
      </c>
      <c r="L257" s="250" t="str">
        <f>IFERROR(__xludf.DUMMYFUNCTION("""COMPUTED_VALUE"""),"")</f>
        <v/>
      </c>
      <c r="M257" s="250" t="str">
        <f>IFERROR(__xludf.DUMMYFUNCTION("""COMPUTED_VALUE"""),"")</f>
        <v/>
      </c>
      <c r="N257" s="250" t="str">
        <f>IFERROR(__xludf.DUMMYFUNCTION("""COMPUTED_VALUE"""),"")</f>
        <v/>
      </c>
      <c r="O257" s="250" t="str">
        <f>IFERROR(__xludf.DUMMYFUNCTION("""COMPUTED_VALUE"""),"")</f>
        <v/>
      </c>
      <c r="P257" s="250" t="str">
        <f>IFERROR(__xludf.DUMMYFUNCTION("""COMPUTED_VALUE"""),"")</f>
        <v/>
      </c>
      <c r="Q257" s="250">
        <f>IFERROR(__xludf.DUMMYFUNCTION("""COMPUTED_VALUE"""),1849.0)</f>
        <v>1849</v>
      </c>
      <c r="R257" s="250" t="str">
        <f>IFERROR(__xludf.DUMMYFUNCTION("""COMPUTED_VALUE"""),"")</f>
        <v/>
      </c>
      <c r="U257" s="250">
        <f>IFERROR(__xludf.DUMMYFUNCTION("""COMPUTED_VALUE"""),3689.0)</f>
        <v>3689</v>
      </c>
      <c r="V257" s="250">
        <f>IFERROR(__xludf.DUMMYFUNCTION("""COMPUTED_VALUE"""),3509.0)</f>
        <v>3509</v>
      </c>
      <c r="W257" s="250">
        <f>IFERROR(__xludf.DUMMYFUNCTION("""COMPUTED_VALUE"""),3159.0)</f>
        <v>3159</v>
      </c>
      <c r="X257" t="b">
        <f t="shared" ref="X257:Z257" si="490">ISBLANK(K257)</f>
        <v>1</v>
      </c>
      <c r="Y257" t="b">
        <f t="shared" si="490"/>
        <v>0</v>
      </c>
      <c r="Z257" t="b">
        <f t="shared" si="490"/>
        <v>0</v>
      </c>
      <c r="AA257">
        <f t="shared" ref="AA257:AC257" si="491">IF(X257=FALSE,1,0)</f>
        <v>0</v>
      </c>
      <c r="AB257">
        <f t="shared" si="491"/>
        <v>1</v>
      </c>
      <c r="AC257">
        <f t="shared" si="491"/>
        <v>1</v>
      </c>
      <c r="AD257">
        <f t="shared" si="6"/>
        <v>2</v>
      </c>
      <c r="AE257">
        <f t="shared" si="7"/>
        <v>1</v>
      </c>
      <c r="AF257">
        <f>if(iferror(vlookup($A257,'Description Database'!$E$2:$H$951,3,0),0)=TRUE,1,0)</f>
        <v>0</v>
      </c>
      <c r="AG257">
        <f>if(iferror(vlookup($A257,'Description Database'!$E$2:$H$951,4,0),0)=TRUE,1,0)</f>
        <v>0</v>
      </c>
    </row>
    <row r="258">
      <c r="A258" t="str">
        <f>IFERROR(__xludf.DUMMYFUNCTION("""COMPUTED_VALUE"""),"Lenovo K8 NOTE (3 GB/32 GB)")</f>
        <v>Lenovo K8 NOTE (3 GB/32 GB)</v>
      </c>
      <c r="B258" t="str">
        <f>IFERROR(__xludf.DUMMYFUNCTION("""COMPUTED_VALUE"""),"")</f>
        <v/>
      </c>
      <c r="C258" t="str">
        <f>IFERROR(__xludf.DUMMYFUNCTION("""COMPUTED_VALUE"""),"")</f>
        <v/>
      </c>
      <c r="D258" t="str">
        <f>IFERROR(__xludf.DUMMYFUNCTION("""COMPUTED_VALUE"""),"")</f>
        <v/>
      </c>
      <c r="E258" t="str">
        <f>IFERROR(__xludf.DUMMYFUNCTION("""COMPUTED_VALUE"""),"")</f>
        <v/>
      </c>
      <c r="F258" t="str">
        <f>IFERROR(__xludf.DUMMYFUNCTION("""COMPUTED_VALUE"""),"")</f>
        <v/>
      </c>
      <c r="G258" t="str">
        <f>IFERROR(__xludf.DUMMYFUNCTION("""COMPUTED_VALUE"""),"")</f>
        <v/>
      </c>
      <c r="H258" t="str">
        <f>IFERROR(__xludf.DUMMYFUNCTION("""COMPUTED_VALUE"""),"")</f>
        <v/>
      </c>
      <c r="I258">
        <f>IFERROR(__xludf.DUMMYFUNCTION("""COMPUTED_VALUE"""),37.0)</f>
        <v>37</v>
      </c>
      <c r="J258">
        <f>IFERROR(__xludf.DUMMYFUNCTION("""COMPUTED_VALUE"""),37.0)</f>
        <v>37</v>
      </c>
      <c r="L258" s="250" t="str">
        <f>IFERROR(__xludf.DUMMYFUNCTION("""COMPUTED_VALUE"""),"")</f>
        <v/>
      </c>
      <c r="M258" s="250" t="str">
        <f>IFERROR(__xludf.DUMMYFUNCTION("""COMPUTED_VALUE"""),"")</f>
        <v/>
      </c>
      <c r="N258" s="250" t="str">
        <f>IFERROR(__xludf.DUMMYFUNCTION("""COMPUTED_VALUE"""),"")</f>
        <v/>
      </c>
      <c r="O258" s="250" t="str">
        <f>IFERROR(__xludf.DUMMYFUNCTION("""COMPUTED_VALUE"""),"")</f>
        <v/>
      </c>
      <c r="P258" s="250" t="str">
        <f>IFERROR(__xludf.DUMMYFUNCTION("""COMPUTED_VALUE"""),"")</f>
        <v/>
      </c>
      <c r="Q258" s="250" t="str">
        <f>IFERROR(__xludf.DUMMYFUNCTION("""COMPUTED_VALUE"""),"")</f>
        <v/>
      </c>
      <c r="R258" s="250" t="str">
        <f>IFERROR(__xludf.DUMMYFUNCTION("""COMPUTED_VALUE"""),"")</f>
        <v/>
      </c>
      <c r="U258" s="250">
        <f>IFERROR(__xludf.DUMMYFUNCTION("""COMPUTED_VALUE"""),3809.0)</f>
        <v>3809</v>
      </c>
      <c r="V258" s="250">
        <f>IFERROR(__xludf.DUMMYFUNCTION("""COMPUTED_VALUE"""),3619.0)</f>
        <v>3619</v>
      </c>
      <c r="W258" s="250">
        <f>IFERROR(__xludf.DUMMYFUNCTION("""COMPUTED_VALUE"""),3259.0)</f>
        <v>3259</v>
      </c>
      <c r="X258" t="b">
        <f t="shared" ref="X258:Z258" si="492">ISBLANK(K258)</f>
        <v>1</v>
      </c>
      <c r="Y258" t="b">
        <f t="shared" si="492"/>
        <v>0</v>
      </c>
      <c r="Z258" t="b">
        <f t="shared" si="492"/>
        <v>0</v>
      </c>
      <c r="AA258">
        <f t="shared" ref="AA258:AC258" si="493">IF(X258=FALSE,1,0)</f>
        <v>0</v>
      </c>
      <c r="AB258">
        <f t="shared" si="493"/>
        <v>1</v>
      </c>
      <c r="AC258">
        <f t="shared" si="493"/>
        <v>1</v>
      </c>
      <c r="AD258">
        <f t="shared" si="6"/>
        <v>2</v>
      </c>
      <c r="AE258">
        <f t="shared" si="7"/>
        <v>1</v>
      </c>
      <c r="AF258">
        <f>if(iferror(vlookup($A258,'Description Database'!$E$2:$H$951,3,0),0)=TRUE,1,0)</f>
        <v>0</v>
      </c>
      <c r="AG258">
        <f>if(iferror(vlookup($A258,'Description Database'!$E$2:$H$951,4,0),0)=TRUE,1,0)</f>
        <v>0</v>
      </c>
    </row>
    <row r="259">
      <c r="A259" t="str">
        <f>IFERROR(__xludf.DUMMYFUNCTION("""COMPUTED_VALUE"""),"Samsung GALAXY J5 PRIME (2 GB/16 GB)")</f>
        <v>Samsung GALAXY J5 PRIME (2 GB/16 GB)</v>
      </c>
      <c r="B259" t="str">
        <f>IFERROR(__xludf.DUMMYFUNCTION("""COMPUTED_VALUE"""),"")</f>
        <v/>
      </c>
      <c r="C259" t="str">
        <f>IFERROR(__xludf.DUMMYFUNCTION("""COMPUTED_VALUE"""),"")</f>
        <v/>
      </c>
      <c r="D259" t="str">
        <f>IFERROR(__xludf.DUMMYFUNCTION("""COMPUTED_VALUE"""),"")</f>
        <v/>
      </c>
      <c r="E259" t="str">
        <f>IFERROR(__xludf.DUMMYFUNCTION("""COMPUTED_VALUE"""),"")</f>
        <v/>
      </c>
      <c r="F259" t="str">
        <f>IFERROR(__xludf.DUMMYFUNCTION("""COMPUTED_VALUE"""),"")</f>
        <v/>
      </c>
      <c r="G259">
        <f>IFERROR(__xludf.DUMMYFUNCTION("""COMPUTED_VALUE"""),1.0)</f>
        <v>1</v>
      </c>
      <c r="H259" t="str">
        <f>IFERROR(__xludf.DUMMYFUNCTION("""COMPUTED_VALUE"""),"")</f>
        <v/>
      </c>
      <c r="I259">
        <f>IFERROR(__xludf.DUMMYFUNCTION("""COMPUTED_VALUE"""),5.0)</f>
        <v>5</v>
      </c>
      <c r="J259">
        <f>IFERROR(__xludf.DUMMYFUNCTION("""COMPUTED_VALUE"""),6.0)</f>
        <v>6</v>
      </c>
      <c r="L259" s="250" t="str">
        <f>IFERROR(__xludf.DUMMYFUNCTION("""COMPUTED_VALUE"""),"")</f>
        <v/>
      </c>
      <c r="M259" s="250" t="str">
        <f>IFERROR(__xludf.DUMMYFUNCTION("""COMPUTED_VALUE"""),"")</f>
        <v/>
      </c>
      <c r="N259" s="250" t="str">
        <f>IFERROR(__xludf.DUMMYFUNCTION("""COMPUTED_VALUE"""),"")</f>
        <v/>
      </c>
      <c r="O259" s="250" t="str">
        <f>IFERROR(__xludf.DUMMYFUNCTION("""COMPUTED_VALUE"""),"")</f>
        <v/>
      </c>
      <c r="P259" s="250" t="str">
        <f>IFERROR(__xludf.DUMMYFUNCTION("""COMPUTED_VALUE"""),"")</f>
        <v/>
      </c>
      <c r="Q259" s="250">
        <f>IFERROR(__xludf.DUMMYFUNCTION("""COMPUTED_VALUE"""),2059.0)</f>
        <v>2059</v>
      </c>
      <c r="R259" s="250" t="str">
        <f>IFERROR(__xludf.DUMMYFUNCTION("""COMPUTED_VALUE"""),"")</f>
        <v/>
      </c>
      <c r="U259" s="250">
        <f>IFERROR(__xludf.DUMMYFUNCTION("""COMPUTED_VALUE"""),4349.0)</f>
        <v>4349</v>
      </c>
      <c r="V259" s="250">
        <f>IFERROR(__xludf.DUMMYFUNCTION("""COMPUTED_VALUE"""),4139.0)</f>
        <v>4139</v>
      </c>
      <c r="W259" s="250">
        <f>IFERROR(__xludf.DUMMYFUNCTION("""COMPUTED_VALUE"""),3729.0)</f>
        <v>3729</v>
      </c>
      <c r="X259" t="b">
        <f t="shared" ref="X259:Z259" si="494">ISBLANK(K259)</f>
        <v>1</v>
      </c>
      <c r="Y259" t="b">
        <f t="shared" si="494"/>
        <v>0</v>
      </c>
      <c r="Z259" t="b">
        <f t="shared" si="494"/>
        <v>0</v>
      </c>
      <c r="AA259">
        <f t="shared" ref="AA259:AC259" si="495">IF(X259=FALSE,1,0)</f>
        <v>0</v>
      </c>
      <c r="AB259">
        <f t="shared" si="495"/>
        <v>1</v>
      </c>
      <c r="AC259">
        <f t="shared" si="495"/>
        <v>1</v>
      </c>
      <c r="AD259">
        <f t="shared" si="6"/>
        <v>2</v>
      </c>
      <c r="AE259">
        <f t="shared" si="7"/>
        <v>1</v>
      </c>
      <c r="AF259">
        <f>if(iferror(vlookup($A259,'Description Database'!$E$2:$H$951,3,0),0)=TRUE,1,0)</f>
        <v>0</v>
      </c>
      <c r="AG259">
        <f>if(iferror(vlookup($A259,'Description Database'!$E$2:$H$951,4,0),0)=TRUE,1,0)</f>
        <v>0</v>
      </c>
    </row>
    <row r="260">
      <c r="A260" t="str">
        <f>IFERROR(__xludf.DUMMYFUNCTION("""COMPUTED_VALUE"""),"Realme C2 (3 GB/32 GB)")</f>
        <v>Realme C2 (3 GB/32 GB)</v>
      </c>
      <c r="B260" t="str">
        <f>IFERROR(__xludf.DUMMYFUNCTION("""COMPUTED_VALUE"""),"")</f>
        <v/>
      </c>
      <c r="C260" t="str">
        <f>IFERROR(__xludf.DUMMYFUNCTION("""COMPUTED_VALUE"""),"")</f>
        <v/>
      </c>
      <c r="D260" t="str">
        <f>IFERROR(__xludf.DUMMYFUNCTION("""COMPUTED_VALUE"""),"")</f>
        <v/>
      </c>
      <c r="E260" t="str">
        <f>IFERROR(__xludf.DUMMYFUNCTION("""COMPUTED_VALUE"""),"")</f>
        <v/>
      </c>
      <c r="F260" t="str">
        <f>IFERROR(__xludf.DUMMYFUNCTION("""COMPUTED_VALUE"""),"")</f>
        <v/>
      </c>
      <c r="G260" t="str">
        <f>IFERROR(__xludf.DUMMYFUNCTION("""COMPUTED_VALUE"""),"")</f>
        <v/>
      </c>
      <c r="H260" t="str">
        <f>IFERROR(__xludf.DUMMYFUNCTION("""COMPUTED_VALUE"""),"")</f>
        <v/>
      </c>
      <c r="I260" t="str">
        <f>IFERROR(__xludf.DUMMYFUNCTION("""COMPUTED_VALUE"""),"")</f>
        <v/>
      </c>
      <c r="J260">
        <f>IFERROR(__xludf.DUMMYFUNCTION("""COMPUTED_VALUE"""),0.0)</f>
        <v>0</v>
      </c>
      <c r="L260" s="250" t="str">
        <f>IFERROR(__xludf.DUMMYFUNCTION("""COMPUTED_VALUE"""),"")</f>
        <v/>
      </c>
      <c r="M260" s="250" t="str">
        <f>IFERROR(__xludf.DUMMYFUNCTION("""COMPUTED_VALUE"""),"")</f>
        <v/>
      </c>
      <c r="N260" s="250" t="str">
        <f>IFERROR(__xludf.DUMMYFUNCTION("""COMPUTED_VALUE"""),"")</f>
        <v/>
      </c>
      <c r="O260" s="250" t="str">
        <f>IFERROR(__xludf.DUMMYFUNCTION("""COMPUTED_VALUE"""),"")</f>
        <v/>
      </c>
      <c r="P260" s="250" t="str">
        <f>IFERROR(__xludf.DUMMYFUNCTION("""COMPUTED_VALUE"""),"")</f>
        <v/>
      </c>
      <c r="Q260" s="250" t="str">
        <f>IFERROR(__xludf.DUMMYFUNCTION("""COMPUTED_VALUE"""),"")</f>
        <v/>
      </c>
      <c r="R260" s="250" t="str">
        <f>IFERROR(__xludf.DUMMYFUNCTION("""COMPUTED_VALUE"""),"")</f>
        <v/>
      </c>
      <c r="U260" s="250">
        <f>IFERROR(__xludf.DUMMYFUNCTION("""COMPUTED_VALUE"""),6809.0)</f>
        <v>6809</v>
      </c>
      <c r="V260" s="250">
        <f>IFERROR(__xludf.DUMMYFUNCTION("""COMPUTED_VALUE"""),6479.0)</f>
        <v>6479</v>
      </c>
      <c r="W260" s="250">
        <f>IFERROR(__xludf.DUMMYFUNCTION("""COMPUTED_VALUE"""),5929.0)</f>
        <v>5929</v>
      </c>
      <c r="X260" t="b">
        <f t="shared" ref="X260:Z260" si="496">ISBLANK(K260)</f>
        <v>1</v>
      </c>
      <c r="Y260" t="b">
        <f t="shared" si="496"/>
        <v>0</v>
      </c>
      <c r="Z260" t="b">
        <f t="shared" si="496"/>
        <v>0</v>
      </c>
      <c r="AA260">
        <f t="shared" ref="AA260:AC260" si="497">IF(X260=FALSE,1,0)</f>
        <v>0</v>
      </c>
      <c r="AB260">
        <f t="shared" si="497"/>
        <v>1</v>
      </c>
      <c r="AC260">
        <f t="shared" si="497"/>
        <v>1</v>
      </c>
      <c r="AD260">
        <f t="shared" si="6"/>
        <v>2</v>
      </c>
      <c r="AE260">
        <f t="shared" si="7"/>
        <v>1</v>
      </c>
      <c r="AF260">
        <f>if(iferror(vlookup($A260,'Description Database'!$E$2:$H$951,3,0),0)=TRUE,1,0)</f>
        <v>0</v>
      </c>
      <c r="AG260">
        <f>if(iferror(vlookup($A260,'Description Database'!$E$2:$H$951,4,0),0)=TRUE,1,0)</f>
        <v>0</v>
      </c>
    </row>
    <row r="261">
      <c r="A261" t="str">
        <f>IFERROR(__xludf.DUMMYFUNCTION("""COMPUTED_VALUE"""),"Xiaomi REDMI NOTE 7 PRO (6 GB/64 GB)")</f>
        <v>Xiaomi REDMI NOTE 7 PRO (6 GB/64 GB)</v>
      </c>
      <c r="B261" t="str">
        <f>IFERROR(__xludf.DUMMYFUNCTION("""COMPUTED_VALUE"""),"")</f>
        <v/>
      </c>
      <c r="C261" t="str">
        <f>IFERROR(__xludf.DUMMYFUNCTION("""COMPUTED_VALUE"""),"")</f>
        <v/>
      </c>
      <c r="D261" t="str">
        <f>IFERROR(__xludf.DUMMYFUNCTION("""COMPUTED_VALUE"""),"")</f>
        <v/>
      </c>
      <c r="E261" t="str">
        <f>IFERROR(__xludf.DUMMYFUNCTION("""COMPUTED_VALUE"""),"")</f>
        <v/>
      </c>
      <c r="F261" t="str">
        <f>IFERROR(__xludf.DUMMYFUNCTION("""COMPUTED_VALUE"""),"")</f>
        <v/>
      </c>
      <c r="G261" t="str">
        <f>IFERROR(__xludf.DUMMYFUNCTION("""COMPUTED_VALUE"""),"")</f>
        <v/>
      </c>
      <c r="H261" t="str">
        <f>IFERROR(__xludf.DUMMYFUNCTION("""COMPUTED_VALUE"""),"")</f>
        <v/>
      </c>
      <c r="I261" t="str">
        <f>IFERROR(__xludf.DUMMYFUNCTION("""COMPUTED_VALUE"""),"")</f>
        <v/>
      </c>
      <c r="J261">
        <f>IFERROR(__xludf.DUMMYFUNCTION("""COMPUTED_VALUE"""),0.0)</f>
        <v>0</v>
      </c>
      <c r="L261" s="250" t="str">
        <f>IFERROR(__xludf.DUMMYFUNCTION("""COMPUTED_VALUE"""),"")</f>
        <v/>
      </c>
      <c r="M261" s="250" t="str">
        <f>IFERROR(__xludf.DUMMYFUNCTION("""COMPUTED_VALUE"""),"")</f>
        <v/>
      </c>
      <c r="N261" s="250" t="str">
        <f>IFERROR(__xludf.DUMMYFUNCTION("""COMPUTED_VALUE"""),"")</f>
        <v/>
      </c>
      <c r="O261" s="250" t="str">
        <f>IFERROR(__xludf.DUMMYFUNCTION("""COMPUTED_VALUE"""),"")</f>
        <v/>
      </c>
      <c r="P261" s="250" t="str">
        <f>IFERROR(__xludf.DUMMYFUNCTION("""COMPUTED_VALUE"""),"")</f>
        <v/>
      </c>
      <c r="Q261" s="250" t="str">
        <f>IFERROR(__xludf.DUMMYFUNCTION("""COMPUTED_VALUE"""),"")</f>
        <v/>
      </c>
      <c r="R261" s="250" t="str">
        <f>IFERROR(__xludf.DUMMYFUNCTION("""COMPUTED_VALUE"""),"")</f>
        <v/>
      </c>
      <c r="U261" s="250">
        <f>IFERROR(__xludf.DUMMYFUNCTION("""COMPUTED_VALUE"""),9139.0)</f>
        <v>9139</v>
      </c>
      <c r="V261" s="250">
        <f>IFERROR(__xludf.DUMMYFUNCTION("""COMPUTED_VALUE"""),8699.0)</f>
        <v>8699</v>
      </c>
      <c r="W261" s="250">
        <f>IFERROR(__xludf.DUMMYFUNCTION("""COMPUTED_VALUE"""),7849.0)</f>
        <v>7849</v>
      </c>
      <c r="X261" t="b">
        <f t="shared" ref="X261:Z261" si="498">ISBLANK(K261)</f>
        <v>1</v>
      </c>
      <c r="Y261" t="b">
        <f t="shared" si="498"/>
        <v>0</v>
      </c>
      <c r="Z261" t="b">
        <f t="shared" si="498"/>
        <v>0</v>
      </c>
      <c r="AA261">
        <f t="shared" ref="AA261:AC261" si="499">IF(X261=FALSE,1,0)</f>
        <v>0</v>
      </c>
      <c r="AB261">
        <f t="shared" si="499"/>
        <v>1</v>
      </c>
      <c r="AC261">
        <f t="shared" si="499"/>
        <v>1</v>
      </c>
      <c r="AD261">
        <f t="shared" si="6"/>
        <v>2</v>
      </c>
      <c r="AE261">
        <f t="shared" si="7"/>
        <v>1</v>
      </c>
      <c r="AF261">
        <f>if(iferror(vlookup($A261,'Description Database'!$E$2:$H$951,3,0),0)=TRUE,1,0)</f>
        <v>0</v>
      </c>
      <c r="AG261">
        <f>if(iferror(vlookup($A261,'Description Database'!$E$2:$H$951,4,0),0)=TRUE,1,0)</f>
        <v>0</v>
      </c>
    </row>
    <row r="262">
      <c r="A262" t="str">
        <f>IFERROR(__xludf.DUMMYFUNCTION("""COMPUTED_VALUE"""),"Oppo F3 (4 GB/64 GB)")</f>
        <v>Oppo F3 (4 GB/64 GB)</v>
      </c>
      <c r="B262" t="str">
        <f>IFERROR(__xludf.DUMMYFUNCTION("""COMPUTED_VALUE"""),"")</f>
        <v/>
      </c>
      <c r="C262" t="str">
        <f>IFERROR(__xludf.DUMMYFUNCTION("""COMPUTED_VALUE"""),"")</f>
        <v/>
      </c>
      <c r="D262" t="str">
        <f>IFERROR(__xludf.DUMMYFUNCTION("""COMPUTED_VALUE"""),"")</f>
        <v/>
      </c>
      <c r="E262" t="str">
        <f>IFERROR(__xludf.DUMMYFUNCTION("""COMPUTED_VALUE"""),"")</f>
        <v/>
      </c>
      <c r="F262">
        <f>IFERROR(__xludf.DUMMYFUNCTION("""COMPUTED_VALUE"""),1.0)</f>
        <v>1</v>
      </c>
      <c r="G262">
        <f>IFERROR(__xludf.DUMMYFUNCTION("""COMPUTED_VALUE"""),2.0)</f>
        <v>2</v>
      </c>
      <c r="H262" t="str">
        <f>IFERROR(__xludf.DUMMYFUNCTION("""COMPUTED_VALUE"""),"")</f>
        <v/>
      </c>
      <c r="I262">
        <f>IFERROR(__xludf.DUMMYFUNCTION("""COMPUTED_VALUE"""),22.0)</f>
        <v>22</v>
      </c>
      <c r="J262">
        <f>IFERROR(__xludf.DUMMYFUNCTION("""COMPUTED_VALUE"""),25.0)</f>
        <v>25</v>
      </c>
      <c r="L262" s="250" t="str">
        <f>IFERROR(__xludf.DUMMYFUNCTION("""COMPUTED_VALUE"""),"")</f>
        <v/>
      </c>
      <c r="M262" s="250" t="str">
        <f>IFERROR(__xludf.DUMMYFUNCTION("""COMPUTED_VALUE"""),"")</f>
        <v/>
      </c>
      <c r="N262" s="250" t="str">
        <f>IFERROR(__xludf.DUMMYFUNCTION("""COMPUTED_VALUE"""),"")</f>
        <v/>
      </c>
      <c r="O262" s="250" t="str">
        <f>IFERROR(__xludf.DUMMYFUNCTION("""COMPUTED_VALUE"""),"")</f>
        <v/>
      </c>
      <c r="P262" s="250">
        <f>IFERROR(__xludf.DUMMYFUNCTION("""COMPUTED_VALUE"""),3879.0)</f>
        <v>3879</v>
      </c>
      <c r="Q262" s="250">
        <f>IFERROR(__xludf.DUMMYFUNCTION("""COMPUTED_VALUE"""),2679.0)</f>
        <v>2679</v>
      </c>
      <c r="R262" s="250" t="str">
        <f>IFERROR(__xludf.DUMMYFUNCTION("""COMPUTED_VALUE"""),"")</f>
        <v/>
      </c>
      <c r="U262" s="250">
        <f>IFERROR(__xludf.DUMMYFUNCTION("""COMPUTED_VALUE"""),5949.0)</f>
        <v>5949</v>
      </c>
      <c r="V262" s="250">
        <f>IFERROR(__xludf.DUMMYFUNCTION("""COMPUTED_VALUE"""),5669.0)</f>
        <v>5669</v>
      </c>
      <c r="W262" s="250">
        <f>IFERROR(__xludf.DUMMYFUNCTION("""COMPUTED_VALUE"""),5099.0)</f>
        <v>5099</v>
      </c>
      <c r="X262" t="b">
        <f t="shared" ref="X262:Z262" si="500">ISBLANK(K262)</f>
        <v>1</v>
      </c>
      <c r="Y262" t="b">
        <f t="shared" si="500"/>
        <v>0</v>
      </c>
      <c r="Z262" t="b">
        <f t="shared" si="500"/>
        <v>0</v>
      </c>
      <c r="AA262">
        <f t="shared" ref="AA262:AC262" si="501">IF(X262=FALSE,1,0)</f>
        <v>0</v>
      </c>
      <c r="AB262">
        <f t="shared" si="501"/>
        <v>1</v>
      </c>
      <c r="AC262">
        <f t="shared" si="501"/>
        <v>1</v>
      </c>
      <c r="AD262">
        <f t="shared" si="6"/>
        <v>2</v>
      </c>
      <c r="AE262">
        <f t="shared" si="7"/>
        <v>1</v>
      </c>
      <c r="AF262">
        <f>if(iferror(vlookup($A262,'Description Database'!$E$2:$H$951,3,0),0)=TRUE,1,0)</f>
        <v>0</v>
      </c>
      <c r="AG262">
        <f>if(iferror(vlookup($A262,'Description Database'!$E$2:$H$951,4,0),0)=TRUE,1,0)</f>
        <v>0</v>
      </c>
    </row>
    <row r="263">
      <c r="A263" t="str">
        <f>IFERROR(__xludf.DUMMYFUNCTION("""COMPUTED_VALUE"""),"Honor 7X (4 GB/32 GB)")</f>
        <v>Honor 7X (4 GB/32 GB)</v>
      </c>
      <c r="B263" t="str">
        <f>IFERROR(__xludf.DUMMYFUNCTION("""COMPUTED_VALUE"""),"")</f>
        <v/>
      </c>
      <c r="C263" t="str">
        <f>IFERROR(__xludf.DUMMYFUNCTION("""COMPUTED_VALUE"""),"")</f>
        <v/>
      </c>
      <c r="D263">
        <f>IFERROR(__xludf.DUMMYFUNCTION("""COMPUTED_VALUE"""),2.0)</f>
        <v>2</v>
      </c>
      <c r="E263" t="str">
        <f>IFERROR(__xludf.DUMMYFUNCTION("""COMPUTED_VALUE"""),"")</f>
        <v/>
      </c>
      <c r="F263">
        <f>IFERROR(__xludf.DUMMYFUNCTION("""COMPUTED_VALUE"""),3.0)</f>
        <v>3</v>
      </c>
      <c r="G263">
        <f>IFERROR(__xludf.DUMMYFUNCTION("""COMPUTED_VALUE"""),1.0)</f>
        <v>1</v>
      </c>
      <c r="H263" t="str">
        <f>IFERROR(__xludf.DUMMYFUNCTION("""COMPUTED_VALUE"""),"")</f>
        <v/>
      </c>
      <c r="I263">
        <f>IFERROR(__xludf.DUMMYFUNCTION("""COMPUTED_VALUE"""),1.0)</f>
        <v>1</v>
      </c>
      <c r="J263">
        <f>IFERROR(__xludf.DUMMYFUNCTION("""COMPUTED_VALUE"""),7.0)</f>
        <v>7</v>
      </c>
      <c r="L263" s="250" t="str">
        <f>IFERROR(__xludf.DUMMYFUNCTION("""COMPUTED_VALUE"""),"")</f>
        <v/>
      </c>
      <c r="M263" s="250" t="str">
        <f>IFERROR(__xludf.DUMMYFUNCTION("""COMPUTED_VALUE"""),"")</f>
        <v/>
      </c>
      <c r="N263" s="250">
        <f>IFERROR(__xludf.DUMMYFUNCTION("""COMPUTED_VALUE"""),4449.0)</f>
        <v>4449</v>
      </c>
      <c r="O263" s="250" t="str">
        <f>IFERROR(__xludf.DUMMYFUNCTION("""COMPUTED_VALUE"""),"")</f>
        <v/>
      </c>
      <c r="P263" s="250">
        <f>IFERROR(__xludf.DUMMYFUNCTION("""COMPUTED_VALUE"""),3709.0)</f>
        <v>3709</v>
      </c>
      <c r="Q263" s="250">
        <f>IFERROR(__xludf.DUMMYFUNCTION("""COMPUTED_VALUE"""),2729.0)</f>
        <v>2729</v>
      </c>
      <c r="R263" s="250" t="str">
        <f>IFERROR(__xludf.DUMMYFUNCTION("""COMPUTED_VALUE"""),"")</f>
        <v/>
      </c>
      <c r="U263" s="250">
        <f>IFERROR(__xludf.DUMMYFUNCTION("""COMPUTED_VALUE"""),5709.0)</f>
        <v>5709</v>
      </c>
      <c r="V263" s="250">
        <f>IFERROR(__xludf.DUMMYFUNCTION("""COMPUTED_VALUE"""),5439.0)</f>
        <v>5439</v>
      </c>
      <c r="W263" s="250">
        <f>IFERROR(__xludf.DUMMYFUNCTION("""COMPUTED_VALUE"""),4899.0)</f>
        <v>4899</v>
      </c>
      <c r="X263" t="b">
        <f t="shared" ref="X263:Z263" si="502">ISBLANK(K263)</f>
        <v>1</v>
      </c>
      <c r="Y263" t="b">
        <f t="shared" si="502"/>
        <v>0</v>
      </c>
      <c r="Z263" t="b">
        <f t="shared" si="502"/>
        <v>0</v>
      </c>
      <c r="AA263">
        <f t="shared" ref="AA263:AC263" si="503">IF(X263=FALSE,1,0)</f>
        <v>0</v>
      </c>
      <c r="AB263">
        <f t="shared" si="503"/>
        <v>1</v>
      </c>
      <c r="AC263">
        <f t="shared" si="503"/>
        <v>1</v>
      </c>
      <c r="AD263">
        <f t="shared" si="6"/>
        <v>2</v>
      </c>
      <c r="AE263">
        <f t="shared" si="7"/>
        <v>1</v>
      </c>
      <c r="AF263">
        <f>if(iferror(vlookup($A263,'Description Database'!$E$2:$H$951,3,0),0)=TRUE,1,0)</f>
        <v>0</v>
      </c>
      <c r="AG263">
        <f>if(iferror(vlookup($A263,'Description Database'!$E$2:$H$951,4,0),0)=TRUE,1,0)</f>
        <v>0</v>
      </c>
    </row>
    <row r="264">
      <c r="A264" t="str">
        <f>IFERROR(__xludf.DUMMYFUNCTION("""COMPUTED_VALUE"""),"Honor 8 Lite (4 GB/64 GB)")</f>
        <v>Honor 8 Lite (4 GB/64 GB)</v>
      </c>
      <c r="B264" t="str">
        <f>IFERROR(__xludf.DUMMYFUNCTION("""COMPUTED_VALUE"""),"")</f>
        <v/>
      </c>
      <c r="C264" t="str">
        <f>IFERROR(__xludf.DUMMYFUNCTION("""COMPUTED_VALUE"""),"")</f>
        <v/>
      </c>
      <c r="D264" t="str">
        <f>IFERROR(__xludf.DUMMYFUNCTION("""COMPUTED_VALUE"""),"")</f>
        <v/>
      </c>
      <c r="E264" t="str">
        <f>IFERROR(__xludf.DUMMYFUNCTION("""COMPUTED_VALUE"""),"")</f>
        <v/>
      </c>
      <c r="F264" t="str">
        <f>IFERROR(__xludf.DUMMYFUNCTION("""COMPUTED_VALUE"""),"")</f>
        <v/>
      </c>
      <c r="G264" t="str">
        <f>IFERROR(__xludf.DUMMYFUNCTION("""COMPUTED_VALUE"""),"")</f>
        <v/>
      </c>
      <c r="H264" t="str">
        <f>IFERROR(__xludf.DUMMYFUNCTION("""COMPUTED_VALUE"""),"")</f>
        <v/>
      </c>
      <c r="I264">
        <f>IFERROR(__xludf.DUMMYFUNCTION("""COMPUTED_VALUE"""),1.0)</f>
        <v>1</v>
      </c>
      <c r="J264">
        <f>IFERROR(__xludf.DUMMYFUNCTION("""COMPUTED_VALUE"""),1.0)</f>
        <v>1</v>
      </c>
      <c r="L264" s="250" t="str">
        <f>IFERROR(__xludf.DUMMYFUNCTION("""COMPUTED_VALUE"""),"")</f>
        <v/>
      </c>
      <c r="M264" s="250" t="str">
        <f>IFERROR(__xludf.DUMMYFUNCTION("""COMPUTED_VALUE"""),"")</f>
        <v/>
      </c>
      <c r="N264" s="250" t="str">
        <f>IFERROR(__xludf.DUMMYFUNCTION("""COMPUTED_VALUE"""),"")</f>
        <v/>
      </c>
      <c r="O264" s="250" t="str">
        <f>IFERROR(__xludf.DUMMYFUNCTION("""COMPUTED_VALUE"""),"")</f>
        <v/>
      </c>
      <c r="P264" s="250" t="str">
        <f>IFERROR(__xludf.DUMMYFUNCTION("""COMPUTED_VALUE"""),"")</f>
        <v/>
      </c>
      <c r="Q264" s="250" t="str">
        <f>IFERROR(__xludf.DUMMYFUNCTION("""COMPUTED_VALUE"""),"")</f>
        <v/>
      </c>
      <c r="R264" s="250" t="str">
        <f>IFERROR(__xludf.DUMMYFUNCTION("""COMPUTED_VALUE"""),"")</f>
        <v/>
      </c>
      <c r="U264" s="250">
        <f>IFERROR(__xludf.DUMMYFUNCTION("""COMPUTED_VALUE"""),5609.0)</f>
        <v>5609</v>
      </c>
      <c r="V264" s="250">
        <f>IFERROR(__xludf.DUMMYFUNCTION("""COMPUTED_VALUE"""),5339.0)</f>
        <v>5339</v>
      </c>
      <c r="W264" s="250">
        <f>IFERROR(__xludf.DUMMYFUNCTION("""COMPUTED_VALUE"""),4809.0)</f>
        <v>4809</v>
      </c>
      <c r="X264" t="b">
        <f t="shared" ref="X264:Z264" si="504">ISBLANK(K264)</f>
        <v>1</v>
      </c>
      <c r="Y264" t="b">
        <f t="shared" si="504"/>
        <v>0</v>
      </c>
      <c r="Z264" t="b">
        <f t="shared" si="504"/>
        <v>0</v>
      </c>
      <c r="AA264">
        <f t="shared" ref="AA264:AC264" si="505">IF(X264=FALSE,1,0)</f>
        <v>0</v>
      </c>
      <c r="AB264">
        <f t="shared" si="505"/>
        <v>1</v>
      </c>
      <c r="AC264">
        <f t="shared" si="505"/>
        <v>1</v>
      </c>
      <c r="AD264">
        <f t="shared" si="6"/>
        <v>2</v>
      </c>
      <c r="AE264">
        <f t="shared" si="7"/>
        <v>1</v>
      </c>
      <c r="AF264">
        <f>if(iferror(vlookup($A264,'Description Database'!$E$2:$H$951,3,0),0)=TRUE,1,0)</f>
        <v>0</v>
      </c>
      <c r="AG264">
        <f>if(iferror(vlookup($A264,'Description Database'!$E$2:$H$951,4,0),0)=TRUE,1,0)</f>
        <v>0</v>
      </c>
    </row>
    <row r="265">
      <c r="A265" t="str">
        <f>IFERROR(__xludf.DUMMYFUNCTION("""COMPUTED_VALUE"""),"Samsung Galaxy M40 (6 GB/128 GB)")</f>
        <v>Samsung Galaxy M40 (6 GB/128 GB)</v>
      </c>
      <c r="B265" t="str">
        <f>IFERROR(__xludf.DUMMYFUNCTION("""COMPUTED_VALUE"""),"")</f>
        <v/>
      </c>
      <c r="C265" t="str">
        <f>IFERROR(__xludf.DUMMYFUNCTION("""COMPUTED_VALUE"""),"")</f>
        <v/>
      </c>
      <c r="D265" t="str">
        <f>IFERROR(__xludf.DUMMYFUNCTION("""COMPUTED_VALUE"""),"")</f>
        <v/>
      </c>
      <c r="E265" t="str">
        <f>IFERROR(__xludf.DUMMYFUNCTION("""COMPUTED_VALUE"""),"")</f>
        <v/>
      </c>
      <c r="F265" t="str">
        <f>IFERROR(__xludf.DUMMYFUNCTION("""COMPUTED_VALUE"""),"")</f>
        <v/>
      </c>
      <c r="G265" t="str">
        <f>IFERROR(__xludf.DUMMYFUNCTION("""COMPUTED_VALUE"""),"")</f>
        <v/>
      </c>
      <c r="H265" t="str">
        <f>IFERROR(__xludf.DUMMYFUNCTION("""COMPUTED_VALUE"""),"")</f>
        <v/>
      </c>
      <c r="I265">
        <f>IFERROR(__xludf.DUMMYFUNCTION("""COMPUTED_VALUE"""),1.0)</f>
        <v>1</v>
      </c>
      <c r="J265">
        <f>IFERROR(__xludf.DUMMYFUNCTION("""COMPUTED_VALUE"""),1.0)</f>
        <v>1</v>
      </c>
      <c r="L265" s="250" t="str">
        <f>IFERROR(__xludf.DUMMYFUNCTION("""COMPUTED_VALUE"""),"")</f>
        <v/>
      </c>
      <c r="M265" s="250" t="str">
        <f>IFERROR(__xludf.DUMMYFUNCTION("""COMPUTED_VALUE"""),"")</f>
        <v/>
      </c>
      <c r="N265" s="250" t="str">
        <f>IFERROR(__xludf.DUMMYFUNCTION("""COMPUTED_VALUE"""),"")</f>
        <v/>
      </c>
      <c r="O265" s="250" t="str">
        <f>IFERROR(__xludf.DUMMYFUNCTION("""COMPUTED_VALUE"""),"")</f>
        <v/>
      </c>
      <c r="P265" s="250" t="str">
        <f>IFERROR(__xludf.DUMMYFUNCTION("""COMPUTED_VALUE"""),"")</f>
        <v/>
      </c>
      <c r="Q265" s="250" t="str">
        <f>IFERROR(__xludf.DUMMYFUNCTION("""COMPUTED_VALUE"""),"")</f>
        <v/>
      </c>
      <c r="R265" s="250" t="str">
        <f>IFERROR(__xludf.DUMMYFUNCTION("""COMPUTED_VALUE"""),"")</f>
        <v/>
      </c>
      <c r="U265" s="250">
        <f>IFERROR(__xludf.DUMMYFUNCTION("""COMPUTED_VALUE"""),9269.0)</f>
        <v>9269</v>
      </c>
      <c r="V265" s="250">
        <f>IFERROR(__xludf.DUMMYFUNCTION("""COMPUTED_VALUE"""),8829.0)</f>
        <v>8829</v>
      </c>
      <c r="W265" s="250">
        <f>IFERROR(__xludf.DUMMYFUNCTION("""COMPUTED_VALUE"""),7949.0)</f>
        <v>7949</v>
      </c>
      <c r="X265" t="b">
        <f t="shared" ref="X265:Z265" si="506">ISBLANK(K265)</f>
        <v>1</v>
      </c>
      <c r="Y265" t="b">
        <f t="shared" si="506"/>
        <v>0</v>
      </c>
      <c r="Z265" t="b">
        <f t="shared" si="506"/>
        <v>0</v>
      </c>
      <c r="AA265">
        <f t="shared" ref="AA265:AC265" si="507">IF(X265=FALSE,1,0)</f>
        <v>0</v>
      </c>
      <c r="AB265">
        <f t="shared" si="507"/>
        <v>1</v>
      </c>
      <c r="AC265">
        <f t="shared" si="507"/>
        <v>1</v>
      </c>
      <c r="AD265">
        <f t="shared" si="6"/>
        <v>2</v>
      </c>
      <c r="AE265">
        <f t="shared" si="7"/>
        <v>1</v>
      </c>
      <c r="AF265">
        <f>if(iferror(vlookup($A265,'Description Database'!$E$2:$H$951,3,0),0)=TRUE,1,0)</f>
        <v>0</v>
      </c>
      <c r="AG265">
        <f>if(iferror(vlookup($A265,'Description Database'!$E$2:$H$951,4,0),0)=TRUE,1,0)</f>
        <v>0</v>
      </c>
    </row>
    <row r="266">
      <c r="A266" t="str">
        <f>IFERROR(__xludf.DUMMYFUNCTION("""COMPUTED_VALUE"""),"OnePlus 2 (4 GB/64 GB)")</f>
        <v>OnePlus 2 (4 GB/64 GB)</v>
      </c>
      <c r="B266" t="str">
        <f>IFERROR(__xludf.DUMMYFUNCTION("""COMPUTED_VALUE"""),"")</f>
        <v/>
      </c>
      <c r="C266" t="str">
        <f>IFERROR(__xludf.DUMMYFUNCTION("""COMPUTED_VALUE"""),"")</f>
        <v/>
      </c>
      <c r="D266">
        <f>IFERROR(__xludf.DUMMYFUNCTION("""COMPUTED_VALUE"""),1.0)</f>
        <v>1</v>
      </c>
      <c r="E266" t="str">
        <f>IFERROR(__xludf.DUMMYFUNCTION("""COMPUTED_VALUE"""),"")</f>
        <v/>
      </c>
      <c r="F266">
        <f>IFERROR(__xludf.DUMMYFUNCTION("""COMPUTED_VALUE"""),1.0)</f>
        <v>1</v>
      </c>
      <c r="G266" t="str">
        <f>IFERROR(__xludf.DUMMYFUNCTION("""COMPUTED_VALUE"""),"")</f>
        <v/>
      </c>
      <c r="H266" t="str">
        <f>IFERROR(__xludf.DUMMYFUNCTION("""COMPUTED_VALUE"""),"")</f>
        <v/>
      </c>
      <c r="I266">
        <f>IFERROR(__xludf.DUMMYFUNCTION("""COMPUTED_VALUE"""),14.0)</f>
        <v>14</v>
      </c>
      <c r="J266">
        <f>IFERROR(__xludf.DUMMYFUNCTION("""COMPUTED_VALUE"""),16.0)</f>
        <v>16</v>
      </c>
      <c r="L266" s="250" t="str">
        <f>IFERROR(__xludf.DUMMYFUNCTION("""COMPUTED_VALUE"""),"")</f>
        <v/>
      </c>
      <c r="M266" s="250" t="str">
        <f>IFERROR(__xludf.DUMMYFUNCTION("""COMPUTED_VALUE"""),"")</f>
        <v/>
      </c>
      <c r="N266" s="250">
        <f>IFERROR(__xludf.DUMMYFUNCTION("""COMPUTED_VALUE"""),3619.0)</f>
        <v>3619</v>
      </c>
      <c r="O266" s="250" t="str">
        <f>IFERROR(__xludf.DUMMYFUNCTION("""COMPUTED_VALUE"""),"")</f>
        <v/>
      </c>
      <c r="P266" s="250">
        <f>IFERROR(__xludf.DUMMYFUNCTION("""COMPUTED_VALUE"""),3029.0)</f>
        <v>3029</v>
      </c>
      <c r="Q266" s="250" t="str">
        <f>IFERROR(__xludf.DUMMYFUNCTION("""COMPUTED_VALUE"""),"")</f>
        <v/>
      </c>
      <c r="R266" s="250" t="str">
        <f>IFERROR(__xludf.DUMMYFUNCTION("""COMPUTED_VALUE"""),"")</f>
        <v/>
      </c>
      <c r="U266" s="250">
        <f>IFERROR(__xludf.DUMMYFUNCTION("""COMPUTED_VALUE"""),4649.0)</f>
        <v>4649</v>
      </c>
      <c r="V266" s="250">
        <f>IFERROR(__xludf.DUMMYFUNCTION("""COMPUTED_VALUE"""),4429.0)</f>
        <v>4429</v>
      </c>
      <c r="W266" s="250">
        <f>IFERROR(__xludf.DUMMYFUNCTION("""COMPUTED_VALUE"""),3989.0)</f>
        <v>3989</v>
      </c>
      <c r="X266" t="b">
        <f t="shared" ref="X266:Z266" si="508">ISBLANK(K266)</f>
        <v>1</v>
      </c>
      <c r="Y266" t="b">
        <f t="shared" si="508"/>
        <v>0</v>
      </c>
      <c r="Z266" t="b">
        <f t="shared" si="508"/>
        <v>0</v>
      </c>
      <c r="AA266">
        <f t="shared" ref="AA266:AC266" si="509">IF(X266=FALSE,1,0)</f>
        <v>0</v>
      </c>
      <c r="AB266">
        <f t="shared" si="509"/>
        <v>1</v>
      </c>
      <c r="AC266">
        <f t="shared" si="509"/>
        <v>1</v>
      </c>
      <c r="AD266">
        <f t="shared" si="6"/>
        <v>2</v>
      </c>
      <c r="AE266">
        <f t="shared" si="7"/>
        <v>1</v>
      </c>
      <c r="AF266">
        <f>if(iferror(vlookup($A266,'Description Database'!$E$2:$H$951,3,0),0)=TRUE,1,0)</f>
        <v>0</v>
      </c>
      <c r="AG266">
        <f>if(iferror(vlookup($A266,'Description Database'!$E$2:$H$951,4,0),0)=TRUE,1,0)</f>
        <v>0</v>
      </c>
    </row>
    <row r="267">
      <c r="A267" t="str">
        <f>IFERROR(__xludf.DUMMYFUNCTION("""COMPUTED_VALUE"""),"Samsung GALAXY J1 (1 GB/4 GB)")</f>
        <v>Samsung GALAXY J1 (1 GB/4 GB)</v>
      </c>
      <c r="B267" t="str">
        <f>IFERROR(__xludf.DUMMYFUNCTION("""COMPUTED_VALUE"""),"")</f>
        <v/>
      </c>
      <c r="C267" t="str">
        <f>IFERROR(__xludf.DUMMYFUNCTION("""COMPUTED_VALUE"""),"")</f>
        <v/>
      </c>
      <c r="D267" t="str">
        <f>IFERROR(__xludf.DUMMYFUNCTION("""COMPUTED_VALUE"""),"")</f>
        <v/>
      </c>
      <c r="E267" t="str">
        <f>IFERROR(__xludf.DUMMYFUNCTION("""COMPUTED_VALUE"""),"")</f>
        <v/>
      </c>
      <c r="F267" t="str">
        <f>IFERROR(__xludf.DUMMYFUNCTION("""COMPUTED_VALUE"""),"")</f>
        <v/>
      </c>
      <c r="G267">
        <f>IFERROR(__xludf.DUMMYFUNCTION("""COMPUTED_VALUE"""),1.0)</f>
        <v>1</v>
      </c>
      <c r="H267" t="str">
        <f>IFERROR(__xludf.DUMMYFUNCTION("""COMPUTED_VALUE"""),"")</f>
        <v/>
      </c>
      <c r="I267">
        <f>IFERROR(__xludf.DUMMYFUNCTION("""COMPUTED_VALUE"""),2.0)</f>
        <v>2</v>
      </c>
      <c r="J267">
        <f>IFERROR(__xludf.DUMMYFUNCTION("""COMPUTED_VALUE"""),3.0)</f>
        <v>3</v>
      </c>
      <c r="L267" s="250" t="str">
        <f>IFERROR(__xludf.DUMMYFUNCTION("""COMPUTED_VALUE"""),"")</f>
        <v/>
      </c>
      <c r="M267" s="250" t="str">
        <f>IFERROR(__xludf.DUMMYFUNCTION("""COMPUTED_VALUE"""),"")</f>
        <v/>
      </c>
      <c r="N267" s="250" t="str">
        <f>IFERROR(__xludf.DUMMYFUNCTION("""COMPUTED_VALUE"""),"")</f>
        <v/>
      </c>
      <c r="O267" s="250" t="str">
        <f>IFERROR(__xludf.DUMMYFUNCTION("""COMPUTED_VALUE"""),"")</f>
        <v/>
      </c>
      <c r="P267" s="250" t="str">
        <f>IFERROR(__xludf.DUMMYFUNCTION("""COMPUTED_VALUE"""),"")</f>
        <v/>
      </c>
      <c r="Q267" s="250">
        <f>IFERROR(__xludf.DUMMYFUNCTION("""COMPUTED_VALUE"""),739.0)</f>
        <v>739</v>
      </c>
      <c r="R267" s="250" t="str">
        <f>IFERROR(__xludf.DUMMYFUNCTION("""COMPUTED_VALUE"""),"")</f>
        <v/>
      </c>
      <c r="U267" s="250">
        <f>IFERROR(__xludf.DUMMYFUNCTION("""COMPUTED_VALUE"""),1799.0)</f>
        <v>1799</v>
      </c>
      <c r="V267" s="250">
        <f>IFERROR(__xludf.DUMMYFUNCTION("""COMPUTED_VALUE"""),1709.0)</f>
        <v>1709</v>
      </c>
      <c r="W267" s="250">
        <f>IFERROR(__xludf.DUMMYFUNCTION("""COMPUTED_VALUE"""),1539.0)</f>
        <v>1539</v>
      </c>
      <c r="X267" t="b">
        <f t="shared" ref="X267:Z267" si="510">ISBLANK(K267)</f>
        <v>1</v>
      </c>
      <c r="Y267" t="b">
        <f t="shared" si="510"/>
        <v>0</v>
      </c>
      <c r="Z267" t="b">
        <f t="shared" si="510"/>
        <v>0</v>
      </c>
      <c r="AA267">
        <f t="shared" ref="AA267:AC267" si="511">IF(X267=FALSE,1,0)</f>
        <v>0</v>
      </c>
      <c r="AB267">
        <f t="shared" si="511"/>
        <v>1</v>
      </c>
      <c r="AC267">
        <f t="shared" si="511"/>
        <v>1</v>
      </c>
      <c r="AD267">
        <f t="shared" si="6"/>
        <v>2</v>
      </c>
      <c r="AE267">
        <f t="shared" si="7"/>
        <v>1</v>
      </c>
      <c r="AF267">
        <f>if(iferror(vlookup($A267,'Description Database'!$E$2:$H$951,3,0),0)=TRUE,1,0)</f>
        <v>0</v>
      </c>
      <c r="AG267">
        <f>if(iferror(vlookup($A267,'Description Database'!$E$2:$H$951,4,0),0)=TRUE,1,0)</f>
        <v>0</v>
      </c>
    </row>
    <row r="268">
      <c r="A268" t="str">
        <f>IFERROR(__xludf.DUMMYFUNCTION("""COMPUTED_VALUE"""),"Samsung GALAXY M10 (2 GB/16 GB)")</f>
        <v>Samsung GALAXY M10 (2 GB/16 GB)</v>
      </c>
      <c r="B268" t="str">
        <f>IFERROR(__xludf.DUMMYFUNCTION("""COMPUTED_VALUE"""),"")</f>
        <v/>
      </c>
      <c r="C268" t="str">
        <f>IFERROR(__xludf.DUMMYFUNCTION("""COMPUTED_VALUE"""),"")</f>
        <v/>
      </c>
      <c r="D268" t="str">
        <f>IFERROR(__xludf.DUMMYFUNCTION("""COMPUTED_VALUE"""),"")</f>
        <v/>
      </c>
      <c r="E268" t="str">
        <f>IFERROR(__xludf.DUMMYFUNCTION("""COMPUTED_VALUE"""),"")</f>
        <v/>
      </c>
      <c r="F268" t="str">
        <f>IFERROR(__xludf.DUMMYFUNCTION("""COMPUTED_VALUE"""),"")</f>
        <v/>
      </c>
      <c r="G268" t="str">
        <f>IFERROR(__xludf.DUMMYFUNCTION("""COMPUTED_VALUE"""),"")</f>
        <v/>
      </c>
      <c r="H268" t="str">
        <f>IFERROR(__xludf.DUMMYFUNCTION("""COMPUTED_VALUE"""),"")</f>
        <v/>
      </c>
      <c r="I268">
        <f>IFERROR(__xludf.DUMMYFUNCTION("""COMPUTED_VALUE"""),1.0)</f>
        <v>1</v>
      </c>
      <c r="J268">
        <f>IFERROR(__xludf.DUMMYFUNCTION("""COMPUTED_VALUE"""),1.0)</f>
        <v>1</v>
      </c>
      <c r="L268" s="250" t="str">
        <f>IFERROR(__xludf.DUMMYFUNCTION("""COMPUTED_VALUE"""),"")</f>
        <v/>
      </c>
      <c r="M268" s="250" t="str">
        <f>IFERROR(__xludf.DUMMYFUNCTION("""COMPUTED_VALUE"""),"")</f>
        <v/>
      </c>
      <c r="N268" s="250" t="str">
        <f>IFERROR(__xludf.DUMMYFUNCTION("""COMPUTED_VALUE"""),"")</f>
        <v/>
      </c>
      <c r="O268" s="250" t="str">
        <f>IFERROR(__xludf.DUMMYFUNCTION("""COMPUTED_VALUE"""),"")</f>
        <v/>
      </c>
      <c r="P268" s="250" t="str">
        <f>IFERROR(__xludf.DUMMYFUNCTION("""COMPUTED_VALUE"""),"")</f>
        <v/>
      </c>
      <c r="Q268" s="250" t="str">
        <f>IFERROR(__xludf.DUMMYFUNCTION("""COMPUTED_VALUE"""),"")</f>
        <v/>
      </c>
      <c r="R268" s="250" t="str">
        <f>IFERROR(__xludf.DUMMYFUNCTION("""COMPUTED_VALUE"""),"")</f>
        <v/>
      </c>
      <c r="U268" s="250">
        <f>IFERROR(__xludf.DUMMYFUNCTION("""COMPUTED_VALUE"""),5419.0)</f>
        <v>5419</v>
      </c>
      <c r="V268" s="250">
        <f>IFERROR(__xludf.DUMMYFUNCTION("""COMPUTED_VALUE"""),5149.0)</f>
        <v>5149</v>
      </c>
      <c r="W268" s="250">
        <f>IFERROR(__xludf.DUMMYFUNCTION("""COMPUTED_VALUE"""),4649.0)</f>
        <v>4649</v>
      </c>
      <c r="X268" t="b">
        <f t="shared" ref="X268:Z268" si="512">ISBLANK(K268)</f>
        <v>1</v>
      </c>
      <c r="Y268" t="b">
        <f t="shared" si="512"/>
        <v>0</v>
      </c>
      <c r="Z268" t="b">
        <f t="shared" si="512"/>
        <v>0</v>
      </c>
      <c r="AA268">
        <f t="shared" ref="AA268:AC268" si="513">IF(X268=FALSE,1,0)</f>
        <v>0</v>
      </c>
      <c r="AB268">
        <f t="shared" si="513"/>
        <v>1</v>
      </c>
      <c r="AC268">
        <f t="shared" si="513"/>
        <v>1</v>
      </c>
      <c r="AD268">
        <f t="shared" si="6"/>
        <v>2</v>
      </c>
      <c r="AE268">
        <f t="shared" si="7"/>
        <v>1</v>
      </c>
      <c r="AF268">
        <f>if(iferror(vlookup($A268,'Description Database'!$E$2:$H$951,3,0),0)=TRUE,1,0)</f>
        <v>0</v>
      </c>
      <c r="AG268">
        <f>if(iferror(vlookup($A268,'Description Database'!$E$2:$H$951,4,0),0)=TRUE,1,0)</f>
        <v>0</v>
      </c>
    </row>
    <row r="269">
      <c r="A269" t="str">
        <f>IFERROR(__xludf.DUMMYFUNCTION("""COMPUTED_VALUE"""),"GIONEE F103 PRO (3 GB/16 GB)")</f>
        <v>GIONEE F103 PRO (3 GB/16 GB)</v>
      </c>
      <c r="B269" t="str">
        <f>IFERROR(__xludf.DUMMYFUNCTION("""COMPUTED_VALUE"""),"")</f>
        <v/>
      </c>
      <c r="C269" t="str">
        <f>IFERROR(__xludf.DUMMYFUNCTION("""COMPUTED_VALUE"""),"")</f>
        <v/>
      </c>
      <c r="D269" t="str">
        <f>IFERROR(__xludf.DUMMYFUNCTION("""COMPUTED_VALUE"""),"")</f>
        <v/>
      </c>
      <c r="E269" t="str">
        <f>IFERROR(__xludf.DUMMYFUNCTION("""COMPUTED_VALUE"""),"")</f>
        <v/>
      </c>
      <c r="F269" t="str">
        <f>IFERROR(__xludf.DUMMYFUNCTION("""COMPUTED_VALUE"""),"")</f>
        <v/>
      </c>
      <c r="G269" t="str">
        <f>IFERROR(__xludf.DUMMYFUNCTION("""COMPUTED_VALUE"""),"")</f>
        <v/>
      </c>
      <c r="H269" t="str">
        <f>IFERROR(__xludf.DUMMYFUNCTION("""COMPUTED_VALUE"""),"")</f>
        <v/>
      </c>
      <c r="I269">
        <f>IFERROR(__xludf.DUMMYFUNCTION("""COMPUTED_VALUE"""),3.0)</f>
        <v>3</v>
      </c>
      <c r="J269">
        <f>IFERROR(__xludf.DUMMYFUNCTION("""COMPUTED_VALUE"""),3.0)</f>
        <v>3</v>
      </c>
      <c r="L269" s="250" t="str">
        <f>IFERROR(__xludf.DUMMYFUNCTION("""COMPUTED_VALUE"""),"")</f>
        <v/>
      </c>
      <c r="M269" s="250" t="str">
        <f>IFERROR(__xludf.DUMMYFUNCTION("""COMPUTED_VALUE"""),"")</f>
        <v/>
      </c>
      <c r="N269" s="250" t="str">
        <f>IFERROR(__xludf.DUMMYFUNCTION("""COMPUTED_VALUE"""),"")</f>
        <v/>
      </c>
      <c r="O269" s="250" t="str">
        <f>IFERROR(__xludf.DUMMYFUNCTION("""COMPUTED_VALUE"""),"")</f>
        <v/>
      </c>
      <c r="P269" s="250" t="str">
        <f>IFERROR(__xludf.DUMMYFUNCTION("""COMPUTED_VALUE"""),"")</f>
        <v/>
      </c>
      <c r="Q269" s="250" t="str">
        <f>IFERROR(__xludf.DUMMYFUNCTION("""COMPUTED_VALUE"""),"")</f>
        <v/>
      </c>
      <c r="R269" s="250" t="str">
        <f>IFERROR(__xludf.DUMMYFUNCTION("""COMPUTED_VALUE"""),"")</f>
        <v/>
      </c>
      <c r="U269" s="250">
        <f>IFERROR(__xludf.DUMMYFUNCTION("""COMPUTED_VALUE"""),2759.0)</f>
        <v>2759</v>
      </c>
      <c r="V269" s="250">
        <f>IFERROR(__xludf.DUMMYFUNCTION("""COMPUTED_VALUE"""),2629.0)</f>
        <v>2629</v>
      </c>
      <c r="W269" s="250">
        <f>IFERROR(__xludf.DUMMYFUNCTION("""COMPUTED_VALUE"""),2369.0)</f>
        <v>2369</v>
      </c>
      <c r="X269" t="b">
        <f t="shared" ref="X269:Z269" si="514">ISBLANK(K269)</f>
        <v>1</v>
      </c>
      <c r="Y269" t="b">
        <f t="shared" si="514"/>
        <v>0</v>
      </c>
      <c r="Z269" t="b">
        <f t="shared" si="514"/>
        <v>0</v>
      </c>
      <c r="AA269">
        <f t="shared" ref="AA269:AC269" si="515">IF(X269=FALSE,1,0)</f>
        <v>0</v>
      </c>
      <c r="AB269">
        <f t="shared" si="515"/>
        <v>1</v>
      </c>
      <c r="AC269">
        <f t="shared" si="515"/>
        <v>1</v>
      </c>
      <c r="AD269">
        <f t="shared" si="6"/>
        <v>2</v>
      </c>
      <c r="AE269">
        <f t="shared" si="7"/>
        <v>1</v>
      </c>
      <c r="AF269">
        <f>if(iferror(vlookup($A269,'Description Database'!$E$2:$H$951,3,0),0)=TRUE,1,0)</f>
        <v>0</v>
      </c>
      <c r="AG269">
        <f>if(iferror(vlookup($A269,'Description Database'!$E$2:$H$951,4,0),0)=TRUE,1,0)</f>
        <v>0</v>
      </c>
    </row>
    <row r="270">
      <c r="A270" t="str">
        <f>IFERROR(__xludf.DUMMYFUNCTION("""COMPUTED_VALUE"""),"Honor 4X (2 GB/8 GB)")</f>
        <v>Honor 4X (2 GB/8 GB)</v>
      </c>
      <c r="B270" t="str">
        <f>IFERROR(__xludf.DUMMYFUNCTION("""COMPUTED_VALUE"""),"")</f>
        <v/>
      </c>
      <c r="C270" t="str">
        <f>IFERROR(__xludf.DUMMYFUNCTION("""COMPUTED_VALUE"""),"")</f>
        <v/>
      </c>
      <c r="D270" t="str">
        <f>IFERROR(__xludf.DUMMYFUNCTION("""COMPUTED_VALUE"""),"")</f>
        <v/>
      </c>
      <c r="E270" t="str">
        <f>IFERROR(__xludf.DUMMYFUNCTION("""COMPUTED_VALUE"""),"")</f>
        <v/>
      </c>
      <c r="F270" t="str">
        <f>IFERROR(__xludf.DUMMYFUNCTION("""COMPUTED_VALUE"""),"")</f>
        <v/>
      </c>
      <c r="G270">
        <f>IFERROR(__xludf.DUMMYFUNCTION("""COMPUTED_VALUE"""),1.0)</f>
        <v>1</v>
      </c>
      <c r="H270" t="str">
        <f>IFERROR(__xludf.DUMMYFUNCTION("""COMPUTED_VALUE"""),"")</f>
        <v/>
      </c>
      <c r="I270">
        <f>IFERROR(__xludf.DUMMYFUNCTION("""COMPUTED_VALUE"""),4.0)</f>
        <v>4</v>
      </c>
      <c r="J270">
        <f>IFERROR(__xludf.DUMMYFUNCTION("""COMPUTED_VALUE"""),5.0)</f>
        <v>5</v>
      </c>
      <c r="L270" s="250" t="str">
        <f>IFERROR(__xludf.DUMMYFUNCTION("""COMPUTED_VALUE"""),"")</f>
        <v/>
      </c>
      <c r="M270" s="250" t="str">
        <f>IFERROR(__xludf.DUMMYFUNCTION("""COMPUTED_VALUE"""),"")</f>
        <v/>
      </c>
      <c r="N270" s="250" t="str">
        <f>IFERROR(__xludf.DUMMYFUNCTION("""COMPUTED_VALUE"""),"")</f>
        <v/>
      </c>
      <c r="O270" s="250" t="str">
        <f>IFERROR(__xludf.DUMMYFUNCTION("""COMPUTED_VALUE"""),"")</f>
        <v/>
      </c>
      <c r="P270" s="250" t="str">
        <f>IFERROR(__xludf.DUMMYFUNCTION("""COMPUTED_VALUE"""),"")</f>
        <v/>
      </c>
      <c r="Q270" s="250">
        <f>IFERROR(__xludf.DUMMYFUNCTION("""COMPUTED_VALUE"""),1369.0)</f>
        <v>1369</v>
      </c>
      <c r="R270" s="250" t="str">
        <f>IFERROR(__xludf.DUMMYFUNCTION("""COMPUTED_VALUE"""),"")</f>
        <v/>
      </c>
      <c r="U270" s="250">
        <f>IFERROR(__xludf.DUMMYFUNCTION("""COMPUTED_VALUE"""),2759.0)</f>
        <v>2759</v>
      </c>
      <c r="V270" s="250">
        <f>IFERROR(__xludf.DUMMYFUNCTION("""COMPUTED_VALUE"""),2629.0)</f>
        <v>2629</v>
      </c>
      <c r="W270" s="250">
        <f>IFERROR(__xludf.DUMMYFUNCTION("""COMPUTED_VALUE"""),2369.0)</f>
        <v>2369</v>
      </c>
      <c r="X270" t="b">
        <f t="shared" ref="X270:Z270" si="516">ISBLANK(K270)</f>
        <v>1</v>
      </c>
      <c r="Y270" t="b">
        <f t="shared" si="516"/>
        <v>0</v>
      </c>
      <c r="Z270" t="b">
        <f t="shared" si="516"/>
        <v>0</v>
      </c>
      <c r="AA270">
        <f t="shared" ref="AA270:AC270" si="517">IF(X270=FALSE,1,0)</f>
        <v>0</v>
      </c>
      <c r="AB270">
        <f t="shared" si="517"/>
        <v>1</v>
      </c>
      <c r="AC270">
        <f t="shared" si="517"/>
        <v>1</v>
      </c>
      <c r="AD270">
        <f t="shared" si="6"/>
        <v>2</v>
      </c>
      <c r="AE270">
        <f t="shared" si="7"/>
        <v>1</v>
      </c>
      <c r="AF270">
        <f>if(iferror(vlookup($A270,'Description Database'!$E$2:$H$951,3,0),0)=TRUE,1,0)</f>
        <v>0</v>
      </c>
      <c r="AG270">
        <f>if(iferror(vlookup($A270,'Description Database'!$E$2:$H$951,4,0),0)=TRUE,1,0)</f>
        <v>0</v>
      </c>
    </row>
    <row r="271">
      <c r="A271" t="str">
        <f>IFERROR(__xludf.DUMMYFUNCTION("""COMPUTED_VALUE"""),"Asus Zenfone Max Pro M1 (4 GB/64 GB)")</f>
        <v>Asus Zenfone Max Pro M1 (4 GB/64 GB)</v>
      </c>
      <c r="B271" t="str">
        <f>IFERROR(__xludf.DUMMYFUNCTION("""COMPUTED_VALUE"""),"")</f>
        <v/>
      </c>
      <c r="C271" t="str">
        <f>IFERROR(__xludf.DUMMYFUNCTION("""COMPUTED_VALUE"""),"")</f>
        <v/>
      </c>
      <c r="D271" t="str">
        <f>IFERROR(__xludf.DUMMYFUNCTION("""COMPUTED_VALUE"""),"")</f>
        <v/>
      </c>
      <c r="E271" t="str">
        <f>IFERROR(__xludf.DUMMYFUNCTION("""COMPUTED_VALUE"""),"")</f>
        <v/>
      </c>
      <c r="F271" t="str">
        <f>IFERROR(__xludf.DUMMYFUNCTION("""COMPUTED_VALUE"""),"")</f>
        <v/>
      </c>
      <c r="G271" t="str">
        <f>IFERROR(__xludf.DUMMYFUNCTION("""COMPUTED_VALUE"""),"")</f>
        <v/>
      </c>
      <c r="H271" t="str">
        <f>IFERROR(__xludf.DUMMYFUNCTION("""COMPUTED_VALUE"""),"")</f>
        <v/>
      </c>
      <c r="I271">
        <f>IFERROR(__xludf.DUMMYFUNCTION("""COMPUTED_VALUE"""),5.0)</f>
        <v>5</v>
      </c>
      <c r="J271">
        <f>IFERROR(__xludf.DUMMYFUNCTION("""COMPUTED_VALUE"""),5.0)</f>
        <v>5</v>
      </c>
      <c r="L271" s="250" t="str">
        <f>IFERROR(__xludf.DUMMYFUNCTION("""COMPUTED_VALUE"""),"")</f>
        <v/>
      </c>
      <c r="M271" s="250" t="str">
        <f>IFERROR(__xludf.DUMMYFUNCTION("""COMPUTED_VALUE"""),"")</f>
        <v/>
      </c>
      <c r="N271" s="250" t="str">
        <f>IFERROR(__xludf.DUMMYFUNCTION("""COMPUTED_VALUE"""),"")</f>
        <v/>
      </c>
      <c r="O271" s="250" t="str">
        <f>IFERROR(__xludf.DUMMYFUNCTION("""COMPUTED_VALUE"""),"")</f>
        <v/>
      </c>
      <c r="P271" s="250" t="str">
        <f>IFERROR(__xludf.DUMMYFUNCTION("""COMPUTED_VALUE"""),"")</f>
        <v/>
      </c>
      <c r="Q271" s="250" t="str">
        <f>IFERROR(__xludf.DUMMYFUNCTION("""COMPUTED_VALUE"""),"")</f>
        <v/>
      </c>
      <c r="R271" s="250" t="str">
        <f>IFERROR(__xludf.DUMMYFUNCTION("""COMPUTED_VALUE"""),"")</f>
        <v/>
      </c>
      <c r="U271" s="250">
        <f>IFERROR(__xludf.DUMMYFUNCTION("""COMPUTED_VALUE"""),5749.0)</f>
        <v>5749</v>
      </c>
      <c r="V271" s="250">
        <f>IFERROR(__xludf.DUMMYFUNCTION("""COMPUTED_VALUE"""),5469.0)</f>
        <v>5469</v>
      </c>
      <c r="W271" s="250">
        <f>IFERROR(__xludf.DUMMYFUNCTION("""COMPUTED_VALUE"""),4929.0)</f>
        <v>4929</v>
      </c>
      <c r="X271" t="b">
        <f t="shared" ref="X271:Z271" si="518">ISBLANK(K271)</f>
        <v>1</v>
      </c>
      <c r="Y271" t="b">
        <f t="shared" si="518"/>
        <v>0</v>
      </c>
      <c r="Z271" t="b">
        <f t="shared" si="518"/>
        <v>0</v>
      </c>
      <c r="AA271">
        <f t="shared" ref="AA271:AC271" si="519">IF(X271=FALSE,1,0)</f>
        <v>0</v>
      </c>
      <c r="AB271">
        <f t="shared" si="519"/>
        <v>1</v>
      </c>
      <c r="AC271">
        <f t="shared" si="519"/>
        <v>1</v>
      </c>
      <c r="AD271">
        <f t="shared" si="6"/>
        <v>2</v>
      </c>
      <c r="AE271">
        <f t="shared" si="7"/>
        <v>1</v>
      </c>
      <c r="AF271">
        <f>if(iferror(vlookup($A271,'Description Database'!$E$2:$H$951,3,0),0)=TRUE,1,0)</f>
        <v>0</v>
      </c>
      <c r="AG271">
        <f>if(iferror(vlookup($A271,'Description Database'!$E$2:$H$951,4,0),0)=TRUE,1,0)</f>
        <v>0</v>
      </c>
    </row>
    <row r="272">
      <c r="A272" t="str">
        <f>IFERROR(__xludf.DUMMYFUNCTION("""COMPUTED_VALUE"""),"Samsung GALAXY S7 (4 GB/32 GB)")</f>
        <v>Samsung GALAXY S7 (4 GB/32 GB)</v>
      </c>
      <c r="B272" t="str">
        <f>IFERROR(__xludf.DUMMYFUNCTION("""COMPUTED_VALUE"""),"")</f>
        <v/>
      </c>
      <c r="C272" t="str">
        <f>IFERROR(__xludf.DUMMYFUNCTION("""COMPUTED_VALUE"""),"")</f>
        <v/>
      </c>
      <c r="D272" t="str">
        <f>IFERROR(__xludf.DUMMYFUNCTION("""COMPUTED_VALUE"""),"")</f>
        <v/>
      </c>
      <c r="E272" t="str">
        <f>IFERROR(__xludf.DUMMYFUNCTION("""COMPUTED_VALUE"""),"")</f>
        <v/>
      </c>
      <c r="F272" t="str">
        <f>IFERROR(__xludf.DUMMYFUNCTION("""COMPUTED_VALUE"""),"")</f>
        <v/>
      </c>
      <c r="G272">
        <f>IFERROR(__xludf.DUMMYFUNCTION("""COMPUTED_VALUE"""),1.0)</f>
        <v>1</v>
      </c>
      <c r="H272" t="str">
        <f>IFERROR(__xludf.DUMMYFUNCTION("""COMPUTED_VALUE"""),"")</f>
        <v/>
      </c>
      <c r="I272">
        <f>IFERROR(__xludf.DUMMYFUNCTION("""COMPUTED_VALUE"""),3.0)</f>
        <v>3</v>
      </c>
      <c r="J272">
        <f>IFERROR(__xludf.DUMMYFUNCTION("""COMPUTED_VALUE"""),4.0)</f>
        <v>4</v>
      </c>
      <c r="L272" s="250" t="str">
        <f>IFERROR(__xludf.DUMMYFUNCTION("""COMPUTED_VALUE"""),"")</f>
        <v/>
      </c>
      <c r="M272" s="250" t="str">
        <f>IFERROR(__xludf.DUMMYFUNCTION("""COMPUTED_VALUE"""),"")</f>
        <v/>
      </c>
      <c r="N272" s="250" t="str">
        <f>IFERROR(__xludf.DUMMYFUNCTION("""COMPUTED_VALUE"""),"")</f>
        <v/>
      </c>
      <c r="O272" s="250" t="str">
        <f>IFERROR(__xludf.DUMMYFUNCTION("""COMPUTED_VALUE"""),"")</f>
        <v/>
      </c>
      <c r="P272" s="250" t="str">
        <f>IFERROR(__xludf.DUMMYFUNCTION("""COMPUTED_VALUE"""),"")</f>
        <v/>
      </c>
      <c r="Q272" s="250">
        <f>IFERROR(__xludf.DUMMYFUNCTION("""COMPUTED_VALUE"""),3679.0)</f>
        <v>3679</v>
      </c>
      <c r="R272" s="250" t="str">
        <f>IFERROR(__xludf.DUMMYFUNCTION("""COMPUTED_VALUE"""),"")</f>
        <v/>
      </c>
      <c r="U272" s="250">
        <f>IFERROR(__xludf.DUMMYFUNCTION("""COMPUTED_VALUE"""),7579.0)</f>
        <v>7579</v>
      </c>
      <c r="V272" s="250">
        <f>IFERROR(__xludf.DUMMYFUNCTION("""COMPUTED_VALUE"""),7219.0)</f>
        <v>7219</v>
      </c>
      <c r="W272" s="250">
        <f>IFERROR(__xludf.DUMMYFUNCTION("""COMPUTED_VALUE"""),6489.0)</f>
        <v>6489</v>
      </c>
      <c r="X272" t="b">
        <f t="shared" ref="X272:Z272" si="520">ISBLANK(K272)</f>
        <v>1</v>
      </c>
      <c r="Y272" t="b">
        <f t="shared" si="520"/>
        <v>0</v>
      </c>
      <c r="Z272" t="b">
        <f t="shared" si="520"/>
        <v>0</v>
      </c>
      <c r="AA272">
        <f t="shared" ref="AA272:AC272" si="521">IF(X272=FALSE,1,0)</f>
        <v>0</v>
      </c>
      <c r="AB272">
        <f t="shared" si="521"/>
        <v>1</v>
      </c>
      <c r="AC272">
        <f t="shared" si="521"/>
        <v>1</v>
      </c>
      <c r="AD272">
        <f t="shared" si="6"/>
        <v>2</v>
      </c>
      <c r="AE272">
        <f t="shared" si="7"/>
        <v>1</v>
      </c>
      <c r="AF272">
        <f>if(iferror(vlookup($A272,'Description Database'!$E$2:$H$951,3,0),0)=TRUE,1,0)</f>
        <v>0</v>
      </c>
      <c r="AG272">
        <f>if(iferror(vlookup($A272,'Description Database'!$E$2:$H$951,4,0),0)=TRUE,1,0)</f>
        <v>0</v>
      </c>
    </row>
    <row r="273">
      <c r="A273" t="str">
        <f>IFERROR(__xludf.DUMMYFUNCTION("""COMPUTED_VALUE"""),"Samsung GALAXY J6 (3 GB/32 GB)")</f>
        <v>Samsung GALAXY J6 (3 GB/32 GB)</v>
      </c>
      <c r="B273" t="str">
        <f>IFERROR(__xludf.DUMMYFUNCTION("""COMPUTED_VALUE"""),"")</f>
        <v/>
      </c>
      <c r="C273" t="str">
        <f>IFERROR(__xludf.DUMMYFUNCTION("""COMPUTED_VALUE"""),"")</f>
        <v/>
      </c>
      <c r="D273" t="str">
        <f>IFERROR(__xludf.DUMMYFUNCTION("""COMPUTED_VALUE"""),"")</f>
        <v/>
      </c>
      <c r="E273" t="str">
        <f>IFERROR(__xludf.DUMMYFUNCTION("""COMPUTED_VALUE"""),"")</f>
        <v/>
      </c>
      <c r="F273" t="str">
        <f>IFERROR(__xludf.DUMMYFUNCTION("""COMPUTED_VALUE"""),"")</f>
        <v/>
      </c>
      <c r="G273" t="str">
        <f>IFERROR(__xludf.DUMMYFUNCTION("""COMPUTED_VALUE"""),"")</f>
        <v/>
      </c>
      <c r="H273" t="str">
        <f>IFERROR(__xludf.DUMMYFUNCTION("""COMPUTED_VALUE"""),"")</f>
        <v/>
      </c>
      <c r="I273">
        <f>IFERROR(__xludf.DUMMYFUNCTION("""COMPUTED_VALUE"""),17.0)</f>
        <v>17</v>
      </c>
      <c r="J273">
        <f>IFERROR(__xludf.DUMMYFUNCTION("""COMPUTED_VALUE"""),17.0)</f>
        <v>17</v>
      </c>
      <c r="L273" s="250" t="str">
        <f>IFERROR(__xludf.DUMMYFUNCTION("""COMPUTED_VALUE"""),"")</f>
        <v/>
      </c>
      <c r="M273" s="250" t="str">
        <f>IFERROR(__xludf.DUMMYFUNCTION("""COMPUTED_VALUE"""),"")</f>
        <v/>
      </c>
      <c r="N273" s="250" t="str">
        <f>IFERROR(__xludf.DUMMYFUNCTION("""COMPUTED_VALUE"""),"")</f>
        <v/>
      </c>
      <c r="O273" s="250" t="str">
        <f>IFERROR(__xludf.DUMMYFUNCTION("""COMPUTED_VALUE"""),"")</f>
        <v/>
      </c>
      <c r="P273" s="250" t="str">
        <f>IFERROR(__xludf.DUMMYFUNCTION("""COMPUTED_VALUE"""),"")</f>
        <v/>
      </c>
      <c r="Q273" s="250" t="str">
        <f>IFERROR(__xludf.DUMMYFUNCTION("""COMPUTED_VALUE"""),"")</f>
        <v/>
      </c>
      <c r="R273" s="250" t="str">
        <f>IFERROR(__xludf.DUMMYFUNCTION("""COMPUTED_VALUE"""),"")</f>
        <v/>
      </c>
      <c r="U273" s="250">
        <f>IFERROR(__xludf.DUMMYFUNCTION("""COMPUTED_VALUE"""),5019.0)</f>
        <v>5019</v>
      </c>
      <c r="V273" s="250">
        <f>IFERROR(__xludf.DUMMYFUNCTION("""COMPUTED_VALUE"""),4779.0)</f>
        <v>4779</v>
      </c>
      <c r="W273" s="250">
        <f>IFERROR(__xludf.DUMMYFUNCTION("""COMPUTED_VALUE"""),4299.0)</f>
        <v>4299</v>
      </c>
      <c r="X273" t="b">
        <f t="shared" ref="X273:Z273" si="522">ISBLANK(K273)</f>
        <v>1</v>
      </c>
      <c r="Y273" t="b">
        <f t="shared" si="522"/>
        <v>0</v>
      </c>
      <c r="Z273" t="b">
        <f t="shared" si="522"/>
        <v>0</v>
      </c>
      <c r="AA273">
        <f t="shared" ref="AA273:AC273" si="523">IF(X273=FALSE,1,0)</f>
        <v>0</v>
      </c>
      <c r="AB273">
        <f t="shared" si="523"/>
        <v>1</v>
      </c>
      <c r="AC273">
        <f t="shared" si="523"/>
        <v>1</v>
      </c>
      <c r="AD273">
        <f t="shared" si="6"/>
        <v>2</v>
      </c>
      <c r="AE273">
        <f t="shared" si="7"/>
        <v>1</v>
      </c>
      <c r="AF273">
        <f>if(iferror(vlookup($A273,'Description Database'!$E$2:$H$951,3,0),0)=TRUE,1,0)</f>
        <v>0</v>
      </c>
      <c r="AG273">
        <f>if(iferror(vlookup($A273,'Description Database'!$E$2:$H$951,4,0),0)=TRUE,1,0)</f>
        <v>0</v>
      </c>
    </row>
    <row r="274">
      <c r="A274" t="str">
        <f>IFERROR(__xludf.DUMMYFUNCTION("""COMPUTED_VALUE"""),"Asus Zenfone Max M1 ZB555KL (3 GB/32 GB)")</f>
        <v>Asus Zenfone Max M1 ZB555KL (3 GB/32 GB)</v>
      </c>
      <c r="B274" t="str">
        <f>IFERROR(__xludf.DUMMYFUNCTION("""COMPUTED_VALUE"""),"")</f>
        <v/>
      </c>
      <c r="C274" t="str">
        <f>IFERROR(__xludf.DUMMYFUNCTION("""COMPUTED_VALUE"""),"")</f>
        <v/>
      </c>
      <c r="D274" t="str">
        <f>IFERROR(__xludf.DUMMYFUNCTION("""COMPUTED_VALUE"""),"")</f>
        <v/>
      </c>
      <c r="E274" t="str">
        <f>IFERROR(__xludf.DUMMYFUNCTION("""COMPUTED_VALUE"""),"")</f>
        <v/>
      </c>
      <c r="F274" t="str">
        <f>IFERROR(__xludf.DUMMYFUNCTION("""COMPUTED_VALUE"""),"")</f>
        <v/>
      </c>
      <c r="G274" t="str">
        <f>IFERROR(__xludf.DUMMYFUNCTION("""COMPUTED_VALUE"""),"")</f>
        <v/>
      </c>
      <c r="H274" t="str">
        <f>IFERROR(__xludf.DUMMYFUNCTION("""COMPUTED_VALUE"""),"")</f>
        <v/>
      </c>
      <c r="I274">
        <f>IFERROR(__xludf.DUMMYFUNCTION("""COMPUTED_VALUE"""),3.0)</f>
        <v>3</v>
      </c>
      <c r="J274">
        <f>IFERROR(__xludf.DUMMYFUNCTION("""COMPUTED_VALUE"""),3.0)</f>
        <v>3</v>
      </c>
      <c r="L274" s="250" t="str">
        <f>IFERROR(__xludf.DUMMYFUNCTION("""COMPUTED_VALUE"""),"")</f>
        <v/>
      </c>
      <c r="M274" s="250" t="str">
        <f>IFERROR(__xludf.DUMMYFUNCTION("""COMPUTED_VALUE"""),"")</f>
        <v/>
      </c>
      <c r="N274" s="250" t="str">
        <f>IFERROR(__xludf.DUMMYFUNCTION("""COMPUTED_VALUE"""),"")</f>
        <v/>
      </c>
      <c r="O274" s="250" t="str">
        <f>IFERROR(__xludf.DUMMYFUNCTION("""COMPUTED_VALUE"""),"")</f>
        <v/>
      </c>
      <c r="P274" s="250" t="str">
        <f>IFERROR(__xludf.DUMMYFUNCTION("""COMPUTED_VALUE"""),"")</f>
        <v/>
      </c>
      <c r="Q274" s="250" t="str">
        <f>IFERROR(__xludf.DUMMYFUNCTION("""COMPUTED_VALUE"""),"")</f>
        <v/>
      </c>
      <c r="R274" s="250" t="str">
        <f>IFERROR(__xludf.DUMMYFUNCTION("""COMPUTED_VALUE"""),"")</f>
        <v/>
      </c>
      <c r="U274" s="250">
        <f>IFERROR(__xludf.DUMMYFUNCTION("""COMPUTED_VALUE"""),4909.0)</f>
        <v>4909</v>
      </c>
      <c r="V274" s="250">
        <f>IFERROR(__xludf.DUMMYFUNCTION("""COMPUTED_VALUE"""),4669.0)</f>
        <v>4669</v>
      </c>
      <c r="W274" s="250">
        <f>IFERROR(__xludf.DUMMYFUNCTION("""COMPUTED_VALUE"""),4259.0)</f>
        <v>4259</v>
      </c>
      <c r="X274" t="b">
        <f t="shared" ref="X274:Z274" si="524">ISBLANK(K274)</f>
        <v>1</v>
      </c>
      <c r="Y274" t="b">
        <f t="shared" si="524"/>
        <v>0</v>
      </c>
      <c r="Z274" t="b">
        <f t="shared" si="524"/>
        <v>0</v>
      </c>
      <c r="AA274">
        <f t="shared" ref="AA274:AC274" si="525">IF(X274=FALSE,1,0)</f>
        <v>0</v>
      </c>
      <c r="AB274">
        <f t="shared" si="525"/>
        <v>1</v>
      </c>
      <c r="AC274">
        <f t="shared" si="525"/>
        <v>1</v>
      </c>
      <c r="AD274">
        <f t="shared" si="6"/>
        <v>2</v>
      </c>
      <c r="AE274">
        <f t="shared" si="7"/>
        <v>1</v>
      </c>
      <c r="AF274">
        <f>if(iferror(vlookup($A274,'Description Database'!$E$2:$H$951,3,0),0)=TRUE,1,0)</f>
        <v>0</v>
      </c>
      <c r="AG274">
        <f>if(iferror(vlookup($A274,'Description Database'!$E$2:$H$951,4,0),0)=TRUE,1,0)</f>
        <v>0</v>
      </c>
    </row>
    <row r="275">
      <c r="A275" t="str">
        <f>IFERROR(__xludf.DUMMYFUNCTION("""COMPUTED_VALUE"""),"Samsung Z4 (1 GB/8 GB)")</f>
        <v>Samsung Z4 (1 GB/8 GB)</v>
      </c>
      <c r="B275" t="str">
        <f>IFERROR(__xludf.DUMMYFUNCTION("""COMPUTED_VALUE"""),"")</f>
        <v/>
      </c>
      <c r="C275" t="str">
        <f>IFERROR(__xludf.DUMMYFUNCTION("""COMPUTED_VALUE"""),"")</f>
        <v/>
      </c>
      <c r="D275" t="str">
        <f>IFERROR(__xludf.DUMMYFUNCTION("""COMPUTED_VALUE"""),"")</f>
        <v/>
      </c>
      <c r="E275" t="str">
        <f>IFERROR(__xludf.DUMMYFUNCTION("""COMPUTED_VALUE"""),"")</f>
        <v/>
      </c>
      <c r="F275" t="str">
        <f>IFERROR(__xludf.DUMMYFUNCTION("""COMPUTED_VALUE"""),"")</f>
        <v/>
      </c>
      <c r="G275" t="str">
        <f>IFERROR(__xludf.DUMMYFUNCTION("""COMPUTED_VALUE"""),"")</f>
        <v/>
      </c>
      <c r="H275" t="str">
        <f>IFERROR(__xludf.DUMMYFUNCTION("""COMPUTED_VALUE"""),"")</f>
        <v/>
      </c>
      <c r="I275" t="str">
        <f>IFERROR(__xludf.DUMMYFUNCTION("""COMPUTED_VALUE"""),"")</f>
        <v/>
      </c>
      <c r="J275">
        <f>IFERROR(__xludf.DUMMYFUNCTION("""COMPUTED_VALUE"""),0.0)</f>
        <v>0</v>
      </c>
      <c r="L275" s="250" t="str">
        <f>IFERROR(__xludf.DUMMYFUNCTION("""COMPUTED_VALUE"""),"")</f>
        <v/>
      </c>
      <c r="M275" s="250" t="str">
        <f>IFERROR(__xludf.DUMMYFUNCTION("""COMPUTED_VALUE"""),"")</f>
        <v/>
      </c>
      <c r="N275" s="250" t="str">
        <f>IFERROR(__xludf.DUMMYFUNCTION("""COMPUTED_VALUE"""),"")</f>
        <v/>
      </c>
      <c r="O275" s="250" t="str">
        <f>IFERROR(__xludf.DUMMYFUNCTION("""COMPUTED_VALUE"""),"")</f>
        <v/>
      </c>
      <c r="P275" s="250" t="str">
        <f>IFERROR(__xludf.DUMMYFUNCTION("""COMPUTED_VALUE"""),"")</f>
        <v/>
      </c>
      <c r="Q275" s="250" t="str">
        <f>IFERROR(__xludf.DUMMYFUNCTION("""COMPUTED_VALUE"""),"")</f>
        <v/>
      </c>
      <c r="R275" s="250" t="str">
        <f>IFERROR(__xludf.DUMMYFUNCTION("""COMPUTED_VALUE"""),"")</f>
        <v/>
      </c>
      <c r="U275" s="250">
        <f>IFERROR(__xludf.DUMMYFUNCTION("""COMPUTED_VALUE"""),2069.0)</f>
        <v>2069</v>
      </c>
      <c r="V275" s="250">
        <f>IFERROR(__xludf.DUMMYFUNCTION("""COMPUTED_VALUE"""),1969.0)</f>
        <v>1969</v>
      </c>
      <c r="W275" s="250">
        <f>IFERROR(__xludf.DUMMYFUNCTION("""COMPUTED_VALUE"""),1769.0)</f>
        <v>1769</v>
      </c>
      <c r="X275" t="b">
        <f t="shared" ref="X275:Z275" si="526">ISBLANK(K275)</f>
        <v>1</v>
      </c>
      <c r="Y275" t="b">
        <f t="shared" si="526"/>
        <v>0</v>
      </c>
      <c r="Z275" t="b">
        <f t="shared" si="526"/>
        <v>0</v>
      </c>
      <c r="AA275">
        <f t="shared" ref="AA275:AC275" si="527">IF(X275=FALSE,1,0)</f>
        <v>0</v>
      </c>
      <c r="AB275">
        <f t="shared" si="527"/>
        <v>1</v>
      </c>
      <c r="AC275">
        <f t="shared" si="527"/>
        <v>1</v>
      </c>
      <c r="AD275">
        <f t="shared" si="6"/>
        <v>2</v>
      </c>
      <c r="AE275">
        <f t="shared" si="7"/>
        <v>1</v>
      </c>
      <c r="AF275">
        <f>if(iferror(vlookup($A275,'Description Database'!$E$2:$H$951,3,0),0)=TRUE,1,0)</f>
        <v>0</v>
      </c>
      <c r="AG275">
        <f>if(iferror(vlookup($A275,'Description Database'!$E$2:$H$951,4,0),0)=TRUE,1,0)</f>
        <v>0</v>
      </c>
    </row>
    <row r="276">
      <c r="A276" t="str">
        <f>IFERROR(__xludf.DUMMYFUNCTION("""COMPUTED_VALUE"""),"Nokia 5 (2 GB/16 GB)")</f>
        <v>Nokia 5 (2 GB/16 GB)</v>
      </c>
      <c r="B276" t="str">
        <f>IFERROR(__xludf.DUMMYFUNCTION("""COMPUTED_VALUE"""),"")</f>
        <v/>
      </c>
      <c r="C276" t="str">
        <f>IFERROR(__xludf.DUMMYFUNCTION("""COMPUTED_VALUE"""),"")</f>
        <v/>
      </c>
      <c r="D276" t="str">
        <f>IFERROR(__xludf.DUMMYFUNCTION("""COMPUTED_VALUE"""),"")</f>
        <v/>
      </c>
      <c r="E276" t="str">
        <f>IFERROR(__xludf.DUMMYFUNCTION("""COMPUTED_VALUE"""),"")</f>
        <v/>
      </c>
      <c r="F276" t="str">
        <f>IFERROR(__xludf.DUMMYFUNCTION("""COMPUTED_VALUE"""),"")</f>
        <v/>
      </c>
      <c r="G276" t="str">
        <f>IFERROR(__xludf.DUMMYFUNCTION("""COMPUTED_VALUE"""),"")</f>
        <v/>
      </c>
      <c r="H276" t="str">
        <f>IFERROR(__xludf.DUMMYFUNCTION("""COMPUTED_VALUE"""),"")</f>
        <v/>
      </c>
      <c r="I276" t="str">
        <f>IFERROR(__xludf.DUMMYFUNCTION("""COMPUTED_VALUE"""),"")</f>
        <v/>
      </c>
      <c r="J276">
        <f>IFERROR(__xludf.DUMMYFUNCTION("""COMPUTED_VALUE"""),0.0)</f>
        <v>0</v>
      </c>
      <c r="L276" s="250" t="str">
        <f>IFERROR(__xludf.DUMMYFUNCTION("""COMPUTED_VALUE"""),"")</f>
        <v/>
      </c>
      <c r="M276" s="250" t="str">
        <f>IFERROR(__xludf.DUMMYFUNCTION("""COMPUTED_VALUE"""),"")</f>
        <v/>
      </c>
      <c r="N276" s="250" t="str">
        <f>IFERROR(__xludf.DUMMYFUNCTION("""COMPUTED_VALUE"""),"")</f>
        <v/>
      </c>
      <c r="O276" s="250" t="str">
        <f>IFERROR(__xludf.DUMMYFUNCTION("""COMPUTED_VALUE"""),"")</f>
        <v/>
      </c>
      <c r="P276" s="250" t="str">
        <f>IFERROR(__xludf.DUMMYFUNCTION("""COMPUTED_VALUE"""),"")</f>
        <v/>
      </c>
      <c r="Q276" s="250" t="str">
        <f>IFERROR(__xludf.DUMMYFUNCTION("""COMPUTED_VALUE"""),"")</f>
        <v/>
      </c>
      <c r="R276" s="250" t="str">
        <f>IFERROR(__xludf.DUMMYFUNCTION("""COMPUTED_VALUE"""),"")</f>
        <v/>
      </c>
      <c r="U276" s="250">
        <f>IFERROR(__xludf.DUMMYFUNCTION("""COMPUTED_VALUE"""),3249.0)</f>
        <v>3249</v>
      </c>
      <c r="V276" s="250">
        <f>IFERROR(__xludf.DUMMYFUNCTION("""COMPUTED_VALUE"""),3089.0)</f>
        <v>3089</v>
      </c>
      <c r="W276" s="250">
        <f>IFERROR(__xludf.DUMMYFUNCTION("""COMPUTED_VALUE"""),2799.0)</f>
        <v>2799</v>
      </c>
      <c r="X276" t="b">
        <f t="shared" ref="X276:Z276" si="528">ISBLANK(K276)</f>
        <v>1</v>
      </c>
      <c r="Y276" t="b">
        <f t="shared" si="528"/>
        <v>0</v>
      </c>
      <c r="Z276" t="b">
        <f t="shared" si="528"/>
        <v>0</v>
      </c>
      <c r="AA276">
        <f t="shared" ref="AA276:AC276" si="529">IF(X276=FALSE,1,0)</f>
        <v>0</v>
      </c>
      <c r="AB276">
        <f t="shared" si="529"/>
        <v>1</v>
      </c>
      <c r="AC276">
        <f t="shared" si="529"/>
        <v>1</v>
      </c>
      <c r="AD276">
        <f t="shared" si="6"/>
        <v>2</v>
      </c>
      <c r="AE276">
        <f t="shared" si="7"/>
        <v>1</v>
      </c>
      <c r="AF276">
        <f>if(iferror(vlookup($A276,'Description Database'!$E$2:$H$951,3,0),0)=TRUE,1,0)</f>
        <v>0</v>
      </c>
      <c r="AG276">
        <f>if(iferror(vlookup($A276,'Description Database'!$E$2:$H$951,4,0),0)=TRUE,1,0)</f>
        <v>0</v>
      </c>
    </row>
    <row r="277">
      <c r="A277" t="str">
        <f>IFERROR(__xludf.DUMMYFUNCTION("""COMPUTED_VALUE"""),"GIONEE S6S (3 GB/32 GB)")</f>
        <v>GIONEE S6S (3 GB/32 GB)</v>
      </c>
      <c r="B277" t="str">
        <f>IFERROR(__xludf.DUMMYFUNCTION("""COMPUTED_VALUE"""),"")</f>
        <v/>
      </c>
      <c r="C277" t="str">
        <f>IFERROR(__xludf.DUMMYFUNCTION("""COMPUTED_VALUE"""),"")</f>
        <v/>
      </c>
      <c r="D277" t="str">
        <f>IFERROR(__xludf.DUMMYFUNCTION("""COMPUTED_VALUE"""),"")</f>
        <v/>
      </c>
      <c r="E277" t="str">
        <f>IFERROR(__xludf.DUMMYFUNCTION("""COMPUTED_VALUE"""),"")</f>
        <v/>
      </c>
      <c r="F277" t="str">
        <f>IFERROR(__xludf.DUMMYFUNCTION("""COMPUTED_VALUE"""),"")</f>
        <v/>
      </c>
      <c r="G277">
        <f>IFERROR(__xludf.DUMMYFUNCTION("""COMPUTED_VALUE"""),1.0)</f>
        <v>1</v>
      </c>
      <c r="H277" t="str">
        <f>IFERROR(__xludf.DUMMYFUNCTION("""COMPUTED_VALUE"""),"")</f>
        <v/>
      </c>
      <c r="I277" t="str">
        <f>IFERROR(__xludf.DUMMYFUNCTION("""COMPUTED_VALUE"""),"")</f>
        <v/>
      </c>
      <c r="J277">
        <f>IFERROR(__xludf.DUMMYFUNCTION("""COMPUTED_VALUE"""),1.0)</f>
        <v>1</v>
      </c>
      <c r="L277" s="250" t="str">
        <f>IFERROR(__xludf.DUMMYFUNCTION("""COMPUTED_VALUE"""),"")</f>
        <v/>
      </c>
      <c r="M277" s="250" t="str">
        <f>IFERROR(__xludf.DUMMYFUNCTION("""COMPUTED_VALUE"""),"")</f>
        <v/>
      </c>
      <c r="N277" s="250" t="str">
        <f>IFERROR(__xludf.DUMMYFUNCTION("""COMPUTED_VALUE"""),"")</f>
        <v/>
      </c>
      <c r="O277" s="250" t="str">
        <f>IFERROR(__xludf.DUMMYFUNCTION("""COMPUTED_VALUE"""),"")</f>
        <v/>
      </c>
      <c r="P277" s="250" t="str">
        <f>IFERROR(__xludf.DUMMYFUNCTION("""COMPUTED_VALUE"""),"")</f>
        <v/>
      </c>
      <c r="Q277" s="250">
        <f>IFERROR(__xludf.DUMMYFUNCTION("""COMPUTED_VALUE"""),1909.0)</f>
        <v>1909</v>
      </c>
      <c r="R277" s="250" t="str">
        <f>IFERROR(__xludf.DUMMYFUNCTION("""COMPUTED_VALUE"""),"")</f>
        <v/>
      </c>
      <c r="U277" s="250">
        <f>IFERROR(__xludf.DUMMYFUNCTION("""COMPUTED_VALUE"""),3859.0)</f>
        <v>3859</v>
      </c>
      <c r="V277" s="250">
        <f>IFERROR(__xludf.DUMMYFUNCTION("""COMPUTED_VALUE"""),3679.0)</f>
        <v>3679</v>
      </c>
      <c r="W277" s="250">
        <f>IFERROR(__xludf.DUMMYFUNCTION("""COMPUTED_VALUE"""),3299.0)</f>
        <v>3299</v>
      </c>
      <c r="X277" t="b">
        <f t="shared" ref="X277:Z277" si="530">ISBLANK(K277)</f>
        <v>1</v>
      </c>
      <c r="Y277" t="b">
        <f t="shared" si="530"/>
        <v>0</v>
      </c>
      <c r="Z277" t="b">
        <f t="shared" si="530"/>
        <v>0</v>
      </c>
      <c r="AA277">
        <f t="shared" ref="AA277:AC277" si="531">IF(X277=FALSE,1,0)</f>
        <v>0</v>
      </c>
      <c r="AB277">
        <f t="shared" si="531"/>
        <v>1</v>
      </c>
      <c r="AC277">
        <f t="shared" si="531"/>
        <v>1</v>
      </c>
      <c r="AD277">
        <f t="shared" si="6"/>
        <v>2</v>
      </c>
      <c r="AE277">
        <f t="shared" si="7"/>
        <v>1</v>
      </c>
      <c r="AF277">
        <f>if(iferror(vlookup($A277,'Description Database'!$E$2:$H$951,3,0),0)=TRUE,1,0)</f>
        <v>0</v>
      </c>
      <c r="AG277">
        <f>if(iferror(vlookup($A277,'Description Database'!$E$2:$H$951,4,0),0)=TRUE,1,0)</f>
        <v>0</v>
      </c>
    </row>
    <row r="278">
      <c r="A278" t="str">
        <f>IFERROR(__xludf.DUMMYFUNCTION("""COMPUTED_VALUE"""),"Samsung Galaxy J4 (3 GB/32 GB)")</f>
        <v>Samsung Galaxy J4 (3 GB/32 GB)</v>
      </c>
      <c r="B278" t="str">
        <f>IFERROR(__xludf.DUMMYFUNCTION("""COMPUTED_VALUE"""),"")</f>
        <v/>
      </c>
      <c r="C278" t="str">
        <f>IFERROR(__xludf.DUMMYFUNCTION("""COMPUTED_VALUE"""),"")</f>
        <v/>
      </c>
      <c r="D278" t="str">
        <f>IFERROR(__xludf.DUMMYFUNCTION("""COMPUTED_VALUE"""),"")</f>
        <v/>
      </c>
      <c r="E278" t="str">
        <f>IFERROR(__xludf.DUMMYFUNCTION("""COMPUTED_VALUE"""),"")</f>
        <v/>
      </c>
      <c r="F278" t="str">
        <f>IFERROR(__xludf.DUMMYFUNCTION("""COMPUTED_VALUE"""),"")</f>
        <v/>
      </c>
      <c r="G278" t="str">
        <f>IFERROR(__xludf.DUMMYFUNCTION("""COMPUTED_VALUE"""),"")</f>
        <v/>
      </c>
      <c r="H278" t="str">
        <f>IFERROR(__xludf.DUMMYFUNCTION("""COMPUTED_VALUE"""),"")</f>
        <v/>
      </c>
      <c r="I278">
        <f>IFERROR(__xludf.DUMMYFUNCTION("""COMPUTED_VALUE"""),1.0)</f>
        <v>1</v>
      </c>
      <c r="J278">
        <f>IFERROR(__xludf.DUMMYFUNCTION("""COMPUTED_VALUE"""),1.0)</f>
        <v>1</v>
      </c>
      <c r="L278" s="250" t="str">
        <f>IFERROR(__xludf.DUMMYFUNCTION("""COMPUTED_VALUE"""),"")</f>
        <v/>
      </c>
      <c r="M278" s="250" t="str">
        <f>IFERROR(__xludf.DUMMYFUNCTION("""COMPUTED_VALUE"""),"")</f>
        <v/>
      </c>
      <c r="N278" s="250" t="str">
        <f>IFERROR(__xludf.DUMMYFUNCTION("""COMPUTED_VALUE"""),"")</f>
        <v/>
      </c>
      <c r="O278" s="250" t="str">
        <f>IFERROR(__xludf.DUMMYFUNCTION("""COMPUTED_VALUE"""),"")</f>
        <v/>
      </c>
      <c r="P278" s="250" t="str">
        <f>IFERROR(__xludf.DUMMYFUNCTION("""COMPUTED_VALUE"""),"")</f>
        <v/>
      </c>
      <c r="Q278" s="250" t="str">
        <f>IFERROR(__xludf.DUMMYFUNCTION("""COMPUTED_VALUE"""),"")</f>
        <v/>
      </c>
      <c r="R278" s="250" t="str">
        <f>IFERROR(__xludf.DUMMYFUNCTION("""COMPUTED_VALUE"""),"")</f>
        <v/>
      </c>
      <c r="U278" s="250">
        <f>IFERROR(__xludf.DUMMYFUNCTION("""COMPUTED_VALUE"""),5019.0)</f>
        <v>5019</v>
      </c>
      <c r="V278" s="250">
        <f>IFERROR(__xludf.DUMMYFUNCTION("""COMPUTED_VALUE"""),4779.0)</f>
        <v>4779</v>
      </c>
      <c r="W278" s="250">
        <f>IFERROR(__xludf.DUMMYFUNCTION("""COMPUTED_VALUE"""),4289.0)</f>
        <v>4289</v>
      </c>
      <c r="X278" t="b">
        <f t="shared" ref="X278:Z278" si="532">ISBLANK(K278)</f>
        <v>1</v>
      </c>
      <c r="Y278" t="b">
        <f t="shared" si="532"/>
        <v>0</v>
      </c>
      <c r="Z278" t="b">
        <f t="shared" si="532"/>
        <v>0</v>
      </c>
      <c r="AA278">
        <f t="shared" ref="AA278:AC278" si="533">IF(X278=FALSE,1,0)</f>
        <v>0</v>
      </c>
      <c r="AB278">
        <f t="shared" si="533"/>
        <v>1</v>
      </c>
      <c r="AC278">
        <f t="shared" si="533"/>
        <v>1</v>
      </c>
      <c r="AD278">
        <f t="shared" si="6"/>
        <v>2</v>
      </c>
      <c r="AE278">
        <f t="shared" si="7"/>
        <v>1</v>
      </c>
      <c r="AF278">
        <f>if(iferror(vlookup($A278,'Description Database'!$E$2:$H$951,3,0),0)=TRUE,1,0)</f>
        <v>0</v>
      </c>
      <c r="AG278">
        <f>if(iferror(vlookup($A278,'Description Database'!$E$2:$H$951,4,0),0)=TRUE,1,0)</f>
        <v>0</v>
      </c>
    </row>
    <row r="279">
      <c r="A279" t="str">
        <f>IFERROR(__xludf.DUMMYFUNCTION("""COMPUTED_VALUE"""),"Coolpad Note 3 Lite")</f>
        <v>Coolpad Note 3 Lite</v>
      </c>
      <c r="B279" t="str">
        <f>IFERROR(__xludf.DUMMYFUNCTION("""COMPUTED_VALUE"""),"")</f>
        <v/>
      </c>
      <c r="C279" t="str">
        <f>IFERROR(__xludf.DUMMYFUNCTION("""COMPUTED_VALUE"""),"")</f>
        <v/>
      </c>
      <c r="D279" t="str">
        <f>IFERROR(__xludf.DUMMYFUNCTION("""COMPUTED_VALUE"""),"")</f>
        <v/>
      </c>
      <c r="E279" t="str">
        <f>IFERROR(__xludf.DUMMYFUNCTION("""COMPUTED_VALUE"""),"")</f>
        <v/>
      </c>
      <c r="F279">
        <f>IFERROR(__xludf.DUMMYFUNCTION("""COMPUTED_VALUE"""),3.0)</f>
        <v>3</v>
      </c>
      <c r="G279">
        <f>IFERROR(__xludf.DUMMYFUNCTION("""COMPUTED_VALUE"""),1.0)</f>
        <v>1</v>
      </c>
      <c r="H279" t="str">
        <f>IFERROR(__xludf.DUMMYFUNCTION("""COMPUTED_VALUE"""),"")</f>
        <v/>
      </c>
      <c r="I279">
        <f>IFERROR(__xludf.DUMMYFUNCTION("""COMPUTED_VALUE"""),1.0)</f>
        <v>1</v>
      </c>
      <c r="J279">
        <f>IFERROR(__xludf.DUMMYFUNCTION("""COMPUTED_VALUE"""),5.0)</f>
        <v>5</v>
      </c>
      <c r="L279" s="250" t="str">
        <f>IFERROR(__xludf.DUMMYFUNCTION("""COMPUTED_VALUE"""),"")</f>
        <v/>
      </c>
      <c r="M279" s="250" t="str">
        <f>IFERROR(__xludf.DUMMYFUNCTION("""COMPUTED_VALUE"""),"")</f>
        <v/>
      </c>
      <c r="N279" s="250" t="str">
        <f>IFERROR(__xludf.DUMMYFUNCTION("""COMPUTED_VALUE"""),"")</f>
        <v/>
      </c>
      <c r="O279" s="250" t="str">
        <f>IFERROR(__xludf.DUMMYFUNCTION("""COMPUTED_VALUE"""),"")</f>
        <v/>
      </c>
      <c r="P279" s="250">
        <f>IFERROR(__xludf.DUMMYFUNCTION("""COMPUTED_VALUE"""),1449.0)</f>
        <v>1449</v>
      </c>
      <c r="Q279" s="250">
        <f>IFERROR(__xludf.DUMMYFUNCTION("""COMPUTED_VALUE"""),1099.0)</f>
        <v>1099</v>
      </c>
      <c r="R279" s="250" t="str">
        <f>IFERROR(__xludf.DUMMYFUNCTION("""COMPUTED_VALUE"""),"")</f>
        <v/>
      </c>
      <c r="U279" s="250">
        <f>IFERROR(__xludf.DUMMYFUNCTION("""COMPUTED_VALUE"""),2229.0)</f>
        <v>2229</v>
      </c>
      <c r="V279" s="250">
        <f>IFERROR(__xludf.DUMMYFUNCTION("""COMPUTED_VALUE"""),2119.0)</f>
        <v>2119</v>
      </c>
      <c r="W279" s="250">
        <f>IFERROR(__xludf.DUMMYFUNCTION("""COMPUTED_VALUE"""),1909.0)</f>
        <v>1909</v>
      </c>
      <c r="X279" t="b">
        <f t="shared" ref="X279:Z279" si="534">ISBLANK(K279)</f>
        <v>1</v>
      </c>
      <c r="Y279" t="b">
        <f t="shared" si="534"/>
        <v>0</v>
      </c>
      <c r="Z279" t="b">
        <f t="shared" si="534"/>
        <v>0</v>
      </c>
      <c r="AA279">
        <f t="shared" ref="AA279:AC279" si="535">IF(X279=FALSE,1,0)</f>
        <v>0</v>
      </c>
      <c r="AB279">
        <f t="shared" si="535"/>
        <v>1</v>
      </c>
      <c r="AC279">
        <f t="shared" si="535"/>
        <v>1</v>
      </c>
      <c r="AD279">
        <f t="shared" si="6"/>
        <v>2</v>
      </c>
      <c r="AE279">
        <f t="shared" si="7"/>
        <v>1</v>
      </c>
      <c r="AF279">
        <f>if(iferror(vlookup($A279,'Description Database'!$E$2:$H$951,3,0),0)=TRUE,1,0)</f>
        <v>0</v>
      </c>
      <c r="AG279">
        <f>if(iferror(vlookup($A279,'Description Database'!$E$2:$H$951,4,0),0)=TRUE,1,0)</f>
        <v>0</v>
      </c>
    </row>
    <row r="280">
      <c r="A280" t="str">
        <f>IFERROR(__xludf.DUMMYFUNCTION("""COMPUTED_VALUE"""),"Samsung Galaxy On5 Pro (2 GB/16 GB)")</f>
        <v>Samsung Galaxy On5 Pro (2 GB/16 GB)</v>
      </c>
      <c r="B280" t="str">
        <f>IFERROR(__xludf.DUMMYFUNCTION("""COMPUTED_VALUE"""),"")</f>
        <v/>
      </c>
      <c r="C280" t="str">
        <f>IFERROR(__xludf.DUMMYFUNCTION("""COMPUTED_VALUE"""),"")</f>
        <v/>
      </c>
      <c r="D280" t="str">
        <f>IFERROR(__xludf.DUMMYFUNCTION("""COMPUTED_VALUE"""),"")</f>
        <v/>
      </c>
      <c r="E280" t="str">
        <f>IFERROR(__xludf.DUMMYFUNCTION("""COMPUTED_VALUE"""),"")</f>
        <v/>
      </c>
      <c r="F280">
        <f>IFERROR(__xludf.DUMMYFUNCTION("""COMPUTED_VALUE"""),1.0)</f>
        <v>1</v>
      </c>
      <c r="G280" t="str">
        <f>IFERROR(__xludf.DUMMYFUNCTION("""COMPUTED_VALUE"""),"")</f>
        <v/>
      </c>
      <c r="H280" t="str">
        <f>IFERROR(__xludf.DUMMYFUNCTION("""COMPUTED_VALUE"""),"")</f>
        <v/>
      </c>
      <c r="I280">
        <f>IFERROR(__xludf.DUMMYFUNCTION("""COMPUTED_VALUE"""),7.0)</f>
        <v>7</v>
      </c>
      <c r="J280">
        <f>IFERROR(__xludf.DUMMYFUNCTION("""COMPUTED_VALUE"""),8.0)</f>
        <v>8</v>
      </c>
      <c r="L280" s="250" t="str">
        <f>IFERROR(__xludf.DUMMYFUNCTION("""COMPUTED_VALUE"""),"")</f>
        <v/>
      </c>
      <c r="M280" s="250" t="str">
        <f>IFERROR(__xludf.DUMMYFUNCTION("""COMPUTED_VALUE"""),"")</f>
        <v/>
      </c>
      <c r="N280" s="250" t="str">
        <f>IFERROR(__xludf.DUMMYFUNCTION("""COMPUTED_VALUE"""),"")</f>
        <v/>
      </c>
      <c r="O280" s="250" t="str">
        <f>IFERROR(__xludf.DUMMYFUNCTION("""COMPUTED_VALUE"""),"")</f>
        <v/>
      </c>
      <c r="P280" s="250">
        <f>IFERROR(__xludf.DUMMYFUNCTION("""COMPUTED_VALUE"""),2229.0)</f>
        <v>2229</v>
      </c>
      <c r="Q280" s="250" t="str">
        <f>IFERROR(__xludf.DUMMYFUNCTION("""COMPUTED_VALUE"""),"")</f>
        <v/>
      </c>
      <c r="R280" s="250" t="str">
        <f>IFERROR(__xludf.DUMMYFUNCTION("""COMPUTED_VALUE"""),"")</f>
        <v/>
      </c>
      <c r="U280" s="250">
        <f>IFERROR(__xludf.DUMMYFUNCTION("""COMPUTED_VALUE"""),3409.0)</f>
        <v>3409</v>
      </c>
      <c r="V280" s="250">
        <f>IFERROR(__xludf.DUMMYFUNCTION("""COMPUTED_VALUE"""),3249.0)</f>
        <v>3249</v>
      </c>
      <c r="W280" s="250">
        <f>IFERROR(__xludf.DUMMYFUNCTION("""COMPUTED_VALUE"""),2929.0)</f>
        <v>2929</v>
      </c>
      <c r="X280" t="b">
        <f t="shared" ref="X280:Z280" si="536">ISBLANK(K280)</f>
        <v>1</v>
      </c>
      <c r="Y280" t="b">
        <f t="shared" si="536"/>
        <v>0</v>
      </c>
      <c r="Z280" t="b">
        <f t="shared" si="536"/>
        <v>0</v>
      </c>
      <c r="AA280">
        <f t="shared" ref="AA280:AC280" si="537">IF(X280=FALSE,1,0)</f>
        <v>0</v>
      </c>
      <c r="AB280">
        <f t="shared" si="537"/>
        <v>1</v>
      </c>
      <c r="AC280">
        <f t="shared" si="537"/>
        <v>1</v>
      </c>
      <c r="AD280">
        <f t="shared" si="6"/>
        <v>2</v>
      </c>
      <c r="AE280">
        <f t="shared" si="7"/>
        <v>1</v>
      </c>
      <c r="AF280">
        <f>if(iferror(vlookup($A280,'Description Database'!$E$2:$H$951,3,0),0)=TRUE,1,0)</f>
        <v>0</v>
      </c>
      <c r="AG280">
        <f>if(iferror(vlookup($A280,'Description Database'!$E$2:$H$951,4,0),0)=TRUE,1,0)</f>
        <v>0</v>
      </c>
    </row>
    <row r="281">
      <c r="A281" t="str">
        <f>IFERROR(__xludf.DUMMYFUNCTION("""COMPUTED_VALUE"""),"Samsung GALAXY M20 (3 GB/32 GB)")</f>
        <v>Samsung GALAXY M20 (3 GB/32 GB)</v>
      </c>
      <c r="B281" t="str">
        <f>IFERROR(__xludf.DUMMYFUNCTION("""COMPUTED_VALUE"""),"")</f>
        <v/>
      </c>
      <c r="C281" t="str">
        <f>IFERROR(__xludf.DUMMYFUNCTION("""COMPUTED_VALUE"""),"")</f>
        <v/>
      </c>
      <c r="D281" t="str">
        <f>IFERROR(__xludf.DUMMYFUNCTION("""COMPUTED_VALUE"""),"")</f>
        <v/>
      </c>
      <c r="E281" t="str">
        <f>IFERROR(__xludf.DUMMYFUNCTION("""COMPUTED_VALUE"""),"")</f>
        <v/>
      </c>
      <c r="F281" t="str">
        <f>IFERROR(__xludf.DUMMYFUNCTION("""COMPUTED_VALUE"""),"")</f>
        <v/>
      </c>
      <c r="G281" t="str">
        <f>IFERROR(__xludf.DUMMYFUNCTION("""COMPUTED_VALUE"""),"")</f>
        <v/>
      </c>
      <c r="H281" t="str">
        <f>IFERROR(__xludf.DUMMYFUNCTION("""COMPUTED_VALUE"""),"")</f>
        <v/>
      </c>
      <c r="I281">
        <f>IFERROR(__xludf.DUMMYFUNCTION("""COMPUTED_VALUE"""),4.0)</f>
        <v>4</v>
      </c>
      <c r="J281">
        <f>IFERROR(__xludf.DUMMYFUNCTION("""COMPUTED_VALUE"""),4.0)</f>
        <v>4</v>
      </c>
      <c r="L281" s="250" t="str">
        <f>IFERROR(__xludf.DUMMYFUNCTION("""COMPUTED_VALUE"""),"")</f>
        <v/>
      </c>
      <c r="M281" s="250" t="str">
        <f>IFERROR(__xludf.DUMMYFUNCTION("""COMPUTED_VALUE"""),"")</f>
        <v/>
      </c>
      <c r="N281" s="250" t="str">
        <f>IFERROR(__xludf.DUMMYFUNCTION("""COMPUTED_VALUE"""),"")</f>
        <v/>
      </c>
      <c r="O281" s="250" t="str">
        <f>IFERROR(__xludf.DUMMYFUNCTION("""COMPUTED_VALUE"""),"")</f>
        <v/>
      </c>
      <c r="P281" s="250" t="str">
        <f>IFERROR(__xludf.DUMMYFUNCTION("""COMPUTED_VALUE"""),"")</f>
        <v/>
      </c>
      <c r="Q281" s="250" t="str">
        <f>IFERROR(__xludf.DUMMYFUNCTION("""COMPUTED_VALUE"""),"")</f>
        <v/>
      </c>
      <c r="R281" s="250" t="str">
        <f>IFERROR(__xludf.DUMMYFUNCTION("""COMPUTED_VALUE"""),"")</f>
        <v/>
      </c>
      <c r="U281" s="250">
        <f>IFERROR(__xludf.DUMMYFUNCTION("""COMPUTED_VALUE"""),6419.0)</f>
        <v>6419</v>
      </c>
      <c r="V281" s="250">
        <f>IFERROR(__xludf.DUMMYFUNCTION("""COMPUTED_VALUE"""),6109.0)</f>
        <v>6109</v>
      </c>
      <c r="W281" s="250">
        <f>IFERROR(__xludf.DUMMYFUNCTION("""COMPUTED_VALUE"""),5499.0)</f>
        <v>5499</v>
      </c>
      <c r="X281" t="b">
        <f t="shared" ref="X281:Z281" si="538">ISBLANK(K281)</f>
        <v>1</v>
      </c>
      <c r="Y281" t="b">
        <f t="shared" si="538"/>
        <v>0</v>
      </c>
      <c r="Z281" t="b">
        <f t="shared" si="538"/>
        <v>0</v>
      </c>
      <c r="AA281">
        <f t="shared" ref="AA281:AC281" si="539">IF(X281=FALSE,1,0)</f>
        <v>0</v>
      </c>
      <c r="AB281">
        <f t="shared" si="539"/>
        <v>1</v>
      </c>
      <c r="AC281">
        <f t="shared" si="539"/>
        <v>1</v>
      </c>
      <c r="AD281">
        <f t="shared" si="6"/>
        <v>2</v>
      </c>
      <c r="AE281">
        <f t="shared" si="7"/>
        <v>1</v>
      </c>
      <c r="AF281">
        <f>if(iferror(vlookup($A281,'Description Database'!$E$2:$H$951,3,0),0)=TRUE,1,0)</f>
        <v>0</v>
      </c>
      <c r="AG281">
        <f>if(iferror(vlookup($A281,'Description Database'!$E$2:$H$951,4,0),0)=TRUE,1,0)</f>
        <v>0</v>
      </c>
    </row>
    <row r="282">
      <c r="A282" t="str">
        <f>IFERROR(__xludf.DUMMYFUNCTION("""COMPUTED_VALUE"""),"Asus Zenfone 2 Laser ZE601KL (3 GB/32 GB)")</f>
        <v>Asus Zenfone 2 Laser ZE601KL (3 GB/32 GB)</v>
      </c>
      <c r="B282" t="str">
        <f>IFERROR(__xludf.DUMMYFUNCTION("""COMPUTED_VALUE"""),"")</f>
        <v/>
      </c>
      <c r="C282" t="str">
        <f>IFERROR(__xludf.DUMMYFUNCTION("""COMPUTED_VALUE"""),"")</f>
        <v/>
      </c>
      <c r="D282" t="str">
        <f>IFERROR(__xludf.DUMMYFUNCTION("""COMPUTED_VALUE"""),"")</f>
        <v/>
      </c>
      <c r="E282" t="str">
        <f>IFERROR(__xludf.DUMMYFUNCTION("""COMPUTED_VALUE"""),"")</f>
        <v/>
      </c>
      <c r="F282" t="str">
        <f>IFERROR(__xludf.DUMMYFUNCTION("""COMPUTED_VALUE"""),"")</f>
        <v/>
      </c>
      <c r="G282">
        <f>IFERROR(__xludf.DUMMYFUNCTION("""COMPUTED_VALUE"""),1.0)</f>
        <v>1</v>
      </c>
      <c r="H282" t="str">
        <f>IFERROR(__xludf.DUMMYFUNCTION("""COMPUTED_VALUE"""),"")</f>
        <v/>
      </c>
      <c r="I282">
        <f>IFERROR(__xludf.DUMMYFUNCTION("""COMPUTED_VALUE"""),1.0)</f>
        <v>1</v>
      </c>
      <c r="J282">
        <f>IFERROR(__xludf.DUMMYFUNCTION("""COMPUTED_VALUE"""),2.0)</f>
        <v>2</v>
      </c>
      <c r="L282" s="250" t="str">
        <f>IFERROR(__xludf.DUMMYFUNCTION("""COMPUTED_VALUE"""),"")</f>
        <v/>
      </c>
      <c r="M282" s="250" t="str">
        <f>IFERROR(__xludf.DUMMYFUNCTION("""COMPUTED_VALUE"""),"")</f>
        <v/>
      </c>
      <c r="N282" s="250" t="str">
        <f>IFERROR(__xludf.DUMMYFUNCTION("""COMPUTED_VALUE"""),"")</f>
        <v/>
      </c>
      <c r="O282" s="250" t="str">
        <f>IFERROR(__xludf.DUMMYFUNCTION("""COMPUTED_VALUE"""),"")</f>
        <v/>
      </c>
      <c r="P282" s="250" t="str">
        <f>IFERROR(__xludf.DUMMYFUNCTION("""COMPUTED_VALUE"""),"")</f>
        <v/>
      </c>
      <c r="Q282" s="250">
        <f>IFERROR(__xludf.DUMMYFUNCTION("""COMPUTED_VALUE"""),1639.0)</f>
        <v>1639</v>
      </c>
      <c r="R282" s="250" t="str">
        <f>IFERROR(__xludf.DUMMYFUNCTION("""COMPUTED_VALUE"""),"")</f>
        <v/>
      </c>
      <c r="U282" s="250">
        <f>IFERROR(__xludf.DUMMYFUNCTION("""COMPUTED_VALUE"""),3299.0)</f>
        <v>3299</v>
      </c>
      <c r="V282" s="250">
        <f>IFERROR(__xludf.DUMMYFUNCTION("""COMPUTED_VALUE"""),3139.0)</f>
        <v>3139</v>
      </c>
      <c r="W282" s="250">
        <f>IFERROR(__xludf.DUMMYFUNCTION("""COMPUTED_VALUE"""),2829.0)</f>
        <v>2829</v>
      </c>
      <c r="X282" t="b">
        <f t="shared" ref="X282:Z282" si="540">ISBLANK(K282)</f>
        <v>1</v>
      </c>
      <c r="Y282" t="b">
        <f t="shared" si="540"/>
        <v>0</v>
      </c>
      <c r="Z282" t="b">
        <f t="shared" si="540"/>
        <v>0</v>
      </c>
      <c r="AA282">
        <f t="shared" ref="AA282:AC282" si="541">IF(X282=FALSE,1,0)</f>
        <v>0</v>
      </c>
      <c r="AB282">
        <f t="shared" si="541"/>
        <v>1</v>
      </c>
      <c r="AC282">
        <f t="shared" si="541"/>
        <v>1</v>
      </c>
      <c r="AD282">
        <f t="shared" si="6"/>
        <v>2</v>
      </c>
      <c r="AE282">
        <f t="shared" si="7"/>
        <v>1</v>
      </c>
      <c r="AF282">
        <f>if(iferror(vlookup($A282,'Description Database'!$E$2:$H$951,3,0),0)=TRUE,1,0)</f>
        <v>0</v>
      </c>
      <c r="AG282">
        <f>if(iferror(vlookup($A282,'Description Database'!$E$2:$H$951,4,0),0)=TRUE,1,0)</f>
        <v>0</v>
      </c>
    </row>
    <row r="283">
      <c r="A283" t="str">
        <f>IFERROR(__xludf.DUMMYFUNCTION("""COMPUTED_VALUE"""),"Oppo Neo 7 (1 GB/16 GB)")</f>
        <v>Oppo Neo 7 (1 GB/16 GB)</v>
      </c>
      <c r="B283" t="str">
        <f>IFERROR(__xludf.DUMMYFUNCTION("""COMPUTED_VALUE"""),"")</f>
        <v/>
      </c>
      <c r="C283" t="str">
        <f>IFERROR(__xludf.DUMMYFUNCTION("""COMPUTED_VALUE"""),"")</f>
        <v/>
      </c>
      <c r="D283" t="str">
        <f>IFERROR(__xludf.DUMMYFUNCTION("""COMPUTED_VALUE"""),"")</f>
        <v/>
      </c>
      <c r="E283" t="str">
        <f>IFERROR(__xludf.DUMMYFUNCTION("""COMPUTED_VALUE"""),"")</f>
        <v/>
      </c>
      <c r="F283">
        <f>IFERROR(__xludf.DUMMYFUNCTION("""COMPUTED_VALUE"""),1.0)</f>
        <v>1</v>
      </c>
      <c r="G283">
        <f>IFERROR(__xludf.DUMMYFUNCTION("""COMPUTED_VALUE"""),3.0)</f>
        <v>3</v>
      </c>
      <c r="H283" t="str">
        <f>IFERROR(__xludf.DUMMYFUNCTION("""COMPUTED_VALUE"""),"")</f>
        <v/>
      </c>
      <c r="I283">
        <f>IFERROR(__xludf.DUMMYFUNCTION("""COMPUTED_VALUE"""),11.0)</f>
        <v>11</v>
      </c>
      <c r="J283">
        <f>IFERROR(__xludf.DUMMYFUNCTION("""COMPUTED_VALUE"""),15.0)</f>
        <v>15</v>
      </c>
      <c r="L283" s="250" t="str">
        <f>IFERROR(__xludf.DUMMYFUNCTION("""COMPUTED_VALUE"""),"")</f>
        <v/>
      </c>
      <c r="M283" s="250" t="str">
        <f>IFERROR(__xludf.DUMMYFUNCTION("""COMPUTED_VALUE"""),"")</f>
        <v/>
      </c>
      <c r="N283" s="250" t="str">
        <f>IFERROR(__xludf.DUMMYFUNCTION("""COMPUTED_VALUE"""),"")</f>
        <v/>
      </c>
      <c r="O283" s="250" t="str">
        <f>IFERROR(__xludf.DUMMYFUNCTION("""COMPUTED_VALUE"""),"")</f>
        <v/>
      </c>
      <c r="P283" s="250">
        <f>IFERROR(__xludf.DUMMYFUNCTION("""COMPUTED_VALUE"""),2189.0)</f>
        <v>2189</v>
      </c>
      <c r="Q283" s="250">
        <f>IFERROR(__xludf.DUMMYFUNCTION("""COMPUTED_VALUE"""),1709.0)</f>
        <v>1709</v>
      </c>
      <c r="R283" s="250" t="str">
        <f>IFERROR(__xludf.DUMMYFUNCTION("""COMPUTED_VALUE"""),"")</f>
        <v/>
      </c>
      <c r="U283" s="250">
        <f>IFERROR(__xludf.DUMMYFUNCTION("""COMPUTED_VALUE"""),3369.0)</f>
        <v>3369</v>
      </c>
      <c r="V283" s="250">
        <f>IFERROR(__xludf.DUMMYFUNCTION("""COMPUTED_VALUE"""),3199.0)</f>
        <v>3199</v>
      </c>
      <c r="W283" s="250">
        <f>IFERROR(__xludf.DUMMYFUNCTION("""COMPUTED_VALUE"""),2889.0)</f>
        <v>2889</v>
      </c>
      <c r="X283" t="b">
        <f t="shared" ref="X283:Z283" si="542">ISBLANK(K283)</f>
        <v>1</v>
      </c>
      <c r="Y283" t="b">
        <f t="shared" si="542"/>
        <v>0</v>
      </c>
      <c r="Z283" t="b">
        <f t="shared" si="542"/>
        <v>0</v>
      </c>
      <c r="AA283">
        <f t="shared" ref="AA283:AC283" si="543">IF(X283=FALSE,1,0)</f>
        <v>0</v>
      </c>
      <c r="AB283">
        <f t="shared" si="543"/>
        <v>1</v>
      </c>
      <c r="AC283">
        <f t="shared" si="543"/>
        <v>1</v>
      </c>
      <c r="AD283">
        <f t="shared" si="6"/>
        <v>2</v>
      </c>
      <c r="AE283">
        <f t="shared" si="7"/>
        <v>1</v>
      </c>
      <c r="AF283">
        <f>if(iferror(vlookup($A283,'Description Database'!$E$2:$H$951,3,0),0)=TRUE,1,0)</f>
        <v>0</v>
      </c>
      <c r="AG283">
        <f>if(iferror(vlookup($A283,'Description Database'!$E$2:$H$951,4,0),0)=TRUE,1,0)</f>
        <v>0</v>
      </c>
    </row>
    <row r="284">
      <c r="A284" t="str">
        <f>IFERROR(__xludf.DUMMYFUNCTION("""COMPUTED_VALUE"""),"Samsung GALAXY J7 PRIME (4 GB/ 64GB)")</f>
        <v>Samsung GALAXY J7 PRIME (4 GB/ 64GB)</v>
      </c>
      <c r="B284" t="str">
        <f>IFERROR(__xludf.DUMMYFUNCTION("""COMPUTED_VALUE"""),"")</f>
        <v/>
      </c>
      <c r="C284" t="str">
        <f>IFERROR(__xludf.DUMMYFUNCTION("""COMPUTED_VALUE"""),"")</f>
        <v/>
      </c>
      <c r="D284" t="str">
        <f>IFERROR(__xludf.DUMMYFUNCTION("""COMPUTED_VALUE"""),"")</f>
        <v/>
      </c>
      <c r="E284" t="str">
        <f>IFERROR(__xludf.DUMMYFUNCTION("""COMPUTED_VALUE"""),"")</f>
        <v/>
      </c>
      <c r="F284" t="str">
        <f>IFERROR(__xludf.DUMMYFUNCTION("""COMPUTED_VALUE"""),"")</f>
        <v/>
      </c>
      <c r="G284" t="str">
        <f>IFERROR(__xludf.DUMMYFUNCTION("""COMPUTED_VALUE"""),"")</f>
        <v/>
      </c>
      <c r="H284" t="str">
        <f>IFERROR(__xludf.DUMMYFUNCTION("""COMPUTED_VALUE"""),"")</f>
        <v/>
      </c>
      <c r="I284" t="str">
        <f>IFERROR(__xludf.DUMMYFUNCTION("""COMPUTED_VALUE"""),"")</f>
        <v/>
      </c>
      <c r="J284">
        <f>IFERROR(__xludf.DUMMYFUNCTION("""COMPUTED_VALUE"""),0.0)</f>
        <v>0</v>
      </c>
      <c r="L284" s="250" t="str">
        <f>IFERROR(__xludf.DUMMYFUNCTION("""COMPUTED_VALUE"""),"")</f>
        <v/>
      </c>
      <c r="M284" s="250" t="str">
        <f>IFERROR(__xludf.DUMMYFUNCTION("""COMPUTED_VALUE"""),"")</f>
        <v/>
      </c>
      <c r="N284" s="250" t="str">
        <f>IFERROR(__xludf.DUMMYFUNCTION("""COMPUTED_VALUE"""),"")</f>
        <v/>
      </c>
      <c r="O284" s="250" t="str">
        <f>IFERROR(__xludf.DUMMYFUNCTION("""COMPUTED_VALUE"""),"")</f>
        <v/>
      </c>
      <c r="P284" s="250" t="str">
        <f>IFERROR(__xludf.DUMMYFUNCTION("""COMPUTED_VALUE"""),"")</f>
        <v/>
      </c>
      <c r="Q284" s="250" t="str">
        <f>IFERROR(__xludf.DUMMYFUNCTION("""COMPUTED_VALUE"""),"")</f>
        <v/>
      </c>
      <c r="R284" s="250" t="str">
        <f>IFERROR(__xludf.DUMMYFUNCTION("""COMPUTED_VALUE"""),"")</f>
        <v/>
      </c>
      <c r="U284" s="250" t="str">
        <f>IFERROR(__xludf.DUMMYFUNCTION("""COMPUTED_VALUE"""),"#N/A")</f>
        <v>#N/A</v>
      </c>
      <c r="V284" s="250" t="str">
        <f>IFERROR(__xludf.DUMMYFUNCTION("""COMPUTED_VALUE"""),"#N/A")</f>
        <v>#N/A</v>
      </c>
      <c r="W284" s="250" t="str">
        <f>IFERROR(__xludf.DUMMYFUNCTION("""COMPUTED_VALUE"""),"#N/A")</f>
        <v>#N/A</v>
      </c>
      <c r="X284" t="b">
        <f t="shared" ref="X284:Z284" si="544">ISBLANK(K284)</f>
        <v>1</v>
      </c>
      <c r="Y284" t="b">
        <f t="shared" si="544"/>
        <v>0</v>
      </c>
      <c r="Z284" t="b">
        <f t="shared" si="544"/>
        <v>0</v>
      </c>
      <c r="AA284">
        <f t="shared" ref="AA284:AC284" si="545">IF(X284=FALSE,1,0)</f>
        <v>0</v>
      </c>
      <c r="AB284">
        <f t="shared" si="545"/>
        <v>1</v>
      </c>
      <c r="AC284">
        <f t="shared" si="545"/>
        <v>1</v>
      </c>
      <c r="AD284">
        <f t="shared" si="6"/>
        <v>2</v>
      </c>
      <c r="AE284">
        <f t="shared" si="7"/>
        <v>1</v>
      </c>
      <c r="AF284">
        <f>if(iferror(vlookup($A284,'Description Database'!$E$2:$H$951,3,0),0)=TRUE,1,0)</f>
        <v>0</v>
      </c>
      <c r="AG284">
        <f>if(iferror(vlookup($A284,'Description Database'!$E$2:$H$951,4,0),0)=TRUE,1,0)</f>
        <v>0</v>
      </c>
    </row>
    <row r="285">
      <c r="A285" t="str">
        <f>IFERROR(__xludf.DUMMYFUNCTION("""COMPUTED_VALUE"""),"Oppo F1 (3 GB/16 GB)")</f>
        <v>Oppo F1 (3 GB/16 GB)</v>
      </c>
      <c r="B285" t="str">
        <f>IFERROR(__xludf.DUMMYFUNCTION("""COMPUTED_VALUE"""),"")</f>
        <v/>
      </c>
      <c r="C285" t="str">
        <f>IFERROR(__xludf.DUMMYFUNCTION("""COMPUTED_VALUE"""),"")</f>
        <v/>
      </c>
      <c r="D285" t="str">
        <f>IFERROR(__xludf.DUMMYFUNCTION("""COMPUTED_VALUE"""),"")</f>
        <v/>
      </c>
      <c r="E285" t="str">
        <f>IFERROR(__xludf.DUMMYFUNCTION("""COMPUTED_VALUE"""),"")</f>
        <v/>
      </c>
      <c r="F285" t="str">
        <f>IFERROR(__xludf.DUMMYFUNCTION("""COMPUTED_VALUE"""),"")</f>
        <v/>
      </c>
      <c r="G285" t="str">
        <f>IFERROR(__xludf.DUMMYFUNCTION("""COMPUTED_VALUE"""),"")</f>
        <v/>
      </c>
      <c r="H285" t="str">
        <f>IFERROR(__xludf.DUMMYFUNCTION("""COMPUTED_VALUE"""),"")</f>
        <v/>
      </c>
      <c r="I285">
        <f>IFERROR(__xludf.DUMMYFUNCTION("""COMPUTED_VALUE"""),13.0)</f>
        <v>13</v>
      </c>
      <c r="J285">
        <f>IFERROR(__xludf.DUMMYFUNCTION("""COMPUTED_VALUE"""),13.0)</f>
        <v>13</v>
      </c>
      <c r="L285" s="250" t="str">
        <f>IFERROR(__xludf.DUMMYFUNCTION("""COMPUTED_VALUE"""),"")</f>
        <v/>
      </c>
      <c r="M285" s="250" t="str">
        <f>IFERROR(__xludf.DUMMYFUNCTION("""COMPUTED_VALUE"""),"")</f>
        <v/>
      </c>
      <c r="N285" s="250" t="str">
        <f>IFERROR(__xludf.DUMMYFUNCTION("""COMPUTED_VALUE"""),"")</f>
        <v/>
      </c>
      <c r="O285" s="250" t="str">
        <f>IFERROR(__xludf.DUMMYFUNCTION("""COMPUTED_VALUE"""),"")</f>
        <v/>
      </c>
      <c r="P285" s="250" t="str">
        <f>IFERROR(__xludf.DUMMYFUNCTION("""COMPUTED_VALUE"""),"")</f>
        <v/>
      </c>
      <c r="Q285" s="250" t="str">
        <f>IFERROR(__xludf.DUMMYFUNCTION("""COMPUTED_VALUE"""),"")</f>
        <v/>
      </c>
      <c r="R285" s="250" t="str">
        <f>IFERROR(__xludf.DUMMYFUNCTION("""COMPUTED_VALUE"""),"")</f>
        <v/>
      </c>
      <c r="U285" s="250">
        <f>IFERROR(__xludf.DUMMYFUNCTION("""COMPUTED_VALUE"""),4329.0)</f>
        <v>4329</v>
      </c>
      <c r="V285" s="250">
        <f>IFERROR(__xludf.DUMMYFUNCTION("""COMPUTED_VALUE"""),4119.0)</f>
        <v>4119</v>
      </c>
      <c r="W285" s="250">
        <f>IFERROR(__xludf.DUMMYFUNCTION("""COMPUTED_VALUE"""),3709.0)</f>
        <v>3709</v>
      </c>
      <c r="X285" t="b">
        <f t="shared" ref="X285:Z285" si="546">ISBLANK(K285)</f>
        <v>1</v>
      </c>
      <c r="Y285" t="b">
        <f t="shared" si="546"/>
        <v>0</v>
      </c>
      <c r="Z285" t="b">
        <f t="shared" si="546"/>
        <v>0</v>
      </c>
      <c r="AA285">
        <f t="shared" ref="AA285:AC285" si="547">IF(X285=FALSE,1,0)</f>
        <v>0</v>
      </c>
      <c r="AB285">
        <f t="shared" si="547"/>
        <v>1</v>
      </c>
      <c r="AC285">
        <f t="shared" si="547"/>
        <v>1</v>
      </c>
      <c r="AD285">
        <f t="shared" si="6"/>
        <v>2</v>
      </c>
      <c r="AE285">
        <f t="shared" si="7"/>
        <v>1</v>
      </c>
      <c r="AF285">
        <f>if(iferror(vlookup($A285,'Description Database'!$E$2:$H$951,3,0),0)=TRUE,1,0)</f>
        <v>0</v>
      </c>
      <c r="AG285">
        <f>if(iferror(vlookup($A285,'Description Database'!$E$2:$H$951,4,0),0)=TRUE,1,0)</f>
        <v>0</v>
      </c>
    </row>
    <row r="286">
      <c r="A286" t="str">
        <f>IFERROR(__xludf.DUMMYFUNCTION("""COMPUTED_VALUE"""),"Nokia 6 (3 GB/32 GB)")</f>
        <v>Nokia 6 (3 GB/32 GB)</v>
      </c>
      <c r="B286" t="str">
        <f>IFERROR(__xludf.DUMMYFUNCTION("""COMPUTED_VALUE"""),"")</f>
        <v/>
      </c>
      <c r="C286" t="str">
        <f>IFERROR(__xludf.DUMMYFUNCTION("""COMPUTED_VALUE"""),"")</f>
        <v/>
      </c>
      <c r="D286" t="str">
        <f>IFERROR(__xludf.DUMMYFUNCTION("""COMPUTED_VALUE"""),"")</f>
        <v/>
      </c>
      <c r="E286" t="str">
        <f>IFERROR(__xludf.DUMMYFUNCTION("""COMPUTED_VALUE"""),"")</f>
        <v/>
      </c>
      <c r="F286" t="str">
        <f>IFERROR(__xludf.DUMMYFUNCTION("""COMPUTED_VALUE"""),"")</f>
        <v/>
      </c>
      <c r="G286" t="str">
        <f>IFERROR(__xludf.DUMMYFUNCTION("""COMPUTED_VALUE"""),"")</f>
        <v/>
      </c>
      <c r="H286" t="str">
        <f>IFERROR(__xludf.DUMMYFUNCTION("""COMPUTED_VALUE"""),"")</f>
        <v/>
      </c>
      <c r="I286">
        <f>IFERROR(__xludf.DUMMYFUNCTION("""COMPUTED_VALUE"""),5.0)</f>
        <v>5</v>
      </c>
      <c r="J286">
        <f>IFERROR(__xludf.DUMMYFUNCTION("""COMPUTED_VALUE"""),5.0)</f>
        <v>5</v>
      </c>
      <c r="L286" s="250" t="str">
        <f>IFERROR(__xludf.DUMMYFUNCTION("""COMPUTED_VALUE"""),"")</f>
        <v/>
      </c>
      <c r="M286" s="250" t="str">
        <f>IFERROR(__xludf.DUMMYFUNCTION("""COMPUTED_VALUE"""),"")</f>
        <v/>
      </c>
      <c r="N286" s="250" t="str">
        <f>IFERROR(__xludf.DUMMYFUNCTION("""COMPUTED_VALUE"""),"")</f>
        <v/>
      </c>
      <c r="O286" s="250" t="str">
        <f>IFERROR(__xludf.DUMMYFUNCTION("""COMPUTED_VALUE"""),"")</f>
        <v/>
      </c>
      <c r="P286" s="250" t="str">
        <f>IFERROR(__xludf.DUMMYFUNCTION("""COMPUTED_VALUE"""),"")</f>
        <v/>
      </c>
      <c r="Q286" s="250" t="str">
        <f>IFERROR(__xludf.DUMMYFUNCTION("""COMPUTED_VALUE"""),"")</f>
        <v/>
      </c>
      <c r="R286" s="250" t="str">
        <f>IFERROR(__xludf.DUMMYFUNCTION("""COMPUTED_VALUE"""),"")</f>
        <v/>
      </c>
      <c r="U286" s="250">
        <f>IFERROR(__xludf.DUMMYFUNCTION("""COMPUTED_VALUE"""),3489.0)</f>
        <v>3489</v>
      </c>
      <c r="V286" s="250">
        <f>IFERROR(__xludf.DUMMYFUNCTION("""COMPUTED_VALUE"""),3329.0)</f>
        <v>3329</v>
      </c>
      <c r="W286" s="250">
        <f>IFERROR(__xludf.DUMMYFUNCTION("""COMPUTED_VALUE"""),2999.0)</f>
        <v>2999</v>
      </c>
      <c r="X286" t="b">
        <f t="shared" ref="X286:Z286" si="548">ISBLANK(K286)</f>
        <v>1</v>
      </c>
      <c r="Y286" t="b">
        <f t="shared" si="548"/>
        <v>0</v>
      </c>
      <c r="Z286" t="b">
        <f t="shared" si="548"/>
        <v>0</v>
      </c>
      <c r="AA286">
        <f t="shared" ref="AA286:AC286" si="549">IF(X286=FALSE,1,0)</f>
        <v>0</v>
      </c>
      <c r="AB286">
        <f t="shared" si="549"/>
        <v>1</v>
      </c>
      <c r="AC286">
        <f t="shared" si="549"/>
        <v>1</v>
      </c>
      <c r="AD286">
        <f t="shared" si="6"/>
        <v>2</v>
      </c>
      <c r="AE286">
        <f t="shared" si="7"/>
        <v>1</v>
      </c>
      <c r="AF286">
        <f>if(iferror(vlookup($A286,'Description Database'!$E$2:$H$951,3,0),0)=TRUE,1,0)</f>
        <v>0</v>
      </c>
      <c r="AG286">
        <f>if(iferror(vlookup($A286,'Description Database'!$E$2:$H$951,4,0),0)=TRUE,1,0)</f>
        <v>1</v>
      </c>
    </row>
    <row r="287">
      <c r="A287" t="str">
        <f>IFERROR(__xludf.DUMMYFUNCTION("""COMPUTED_VALUE"""),"Samsung GALAXY M30 (4 GB/64 GB)")</f>
        <v>Samsung GALAXY M30 (4 GB/64 GB)</v>
      </c>
      <c r="B287" t="str">
        <f>IFERROR(__xludf.DUMMYFUNCTION("""COMPUTED_VALUE"""),"")</f>
        <v/>
      </c>
      <c r="C287" t="str">
        <f>IFERROR(__xludf.DUMMYFUNCTION("""COMPUTED_VALUE"""),"")</f>
        <v/>
      </c>
      <c r="D287" t="str">
        <f>IFERROR(__xludf.DUMMYFUNCTION("""COMPUTED_VALUE"""),"")</f>
        <v/>
      </c>
      <c r="E287" t="str">
        <f>IFERROR(__xludf.DUMMYFUNCTION("""COMPUTED_VALUE"""),"")</f>
        <v/>
      </c>
      <c r="F287">
        <f>IFERROR(__xludf.DUMMYFUNCTION("""COMPUTED_VALUE"""),1.0)</f>
        <v>1</v>
      </c>
      <c r="G287" t="str">
        <f>IFERROR(__xludf.DUMMYFUNCTION("""COMPUTED_VALUE"""),"")</f>
        <v/>
      </c>
      <c r="H287">
        <f>IFERROR(__xludf.DUMMYFUNCTION("""COMPUTED_VALUE"""),1.0)</f>
        <v>1</v>
      </c>
      <c r="I287">
        <f>IFERROR(__xludf.DUMMYFUNCTION("""COMPUTED_VALUE"""),12.0)</f>
        <v>12</v>
      </c>
      <c r="J287">
        <f>IFERROR(__xludf.DUMMYFUNCTION("""COMPUTED_VALUE"""),14.0)</f>
        <v>14</v>
      </c>
      <c r="L287" s="250" t="str">
        <f>IFERROR(__xludf.DUMMYFUNCTION("""COMPUTED_VALUE"""),"")</f>
        <v/>
      </c>
      <c r="M287" s="250" t="str">
        <f>IFERROR(__xludf.DUMMYFUNCTION("""COMPUTED_VALUE"""),"")</f>
        <v/>
      </c>
      <c r="N287" s="250" t="str">
        <f>IFERROR(__xludf.DUMMYFUNCTION("""COMPUTED_VALUE"""),"")</f>
        <v/>
      </c>
      <c r="O287" s="250" t="str">
        <f>IFERROR(__xludf.DUMMYFUNCTION("""COMPUTED_VALUE"""),"")</f>
        <v/>
      </c>
      <c r="P287" s="250">
        <f>IFERROR(__xludf.DUMMYFUNCTION("""COMPUTED_VALUE"""),4989.0)</f>
        <v>4989</v>
      </c>
      <c r="Q287" s="250" t="str">
        <f>IFERROR(__xludf.DUMMYFUNCTION("""COMPUTED_VALUE"""),"")</f>
        <v/>
      </c>
      <c r="R287" s="250">
        <f>IFERROR(__xludf.DUMMYFUNCTION("""COMPUTED_VALUE"""),2519.0)</f>
        <v>2519</v>
      </c>
      <c r="U287" s="250">
        <f>IFERROR(__xludf.DUMMYFUNCTION("""COMPUTED_VALUE"""),7699.0)</f>
        <v>7699</v>
      </c>
      <c r="V287" s="250">
        <f>IFERROR(__xludf.DUMMYFUNCTION("""COMPUTED_VALUE"""),7329.0)</f>
        <v>7329</v>
      </c>
      <c r="W287" s="250">
        <f>IFERROR(__xludf.DUMMYFUNCTION("""COMPUTED_VALUE"""),6589.0)</f>
        <v>6589</v>
      </c>
      <c r="X287" t="b">
        <f t="shared" ref="X287:Z287" si="550">ISBLANK(K287)</f>
        <v>1</v>
      </c>
      <c r="Y287" t="b">
        <f t="shared" si="550"/>
        <v>0</v>
      </c>
      <c r="Z287" t="b">
        <f t="shared" si="550"/>
        <v>0</v>
      </c>
      <c r="AA287">
        <f t="shared" ref="AA287:AC287" si="551">IF(X287=FALSE,1,0)</f>
        <v>0</v>
      </c>
      <c r="AB287">
        <f t="shared" si="551"/>
        <v>1</v>
      </c>
      <c r="AC287">
        <f t="shared" si="551"/>
        <v>1</v>
      </c>
      <c r="AD287">
        <f t="shared" si="6"/>
        <v>2</v>
      </c>
      <c r="AE287">
        <f t="shared" si="7"/>
        <v>1</v>
      </c>
      <c r="AF287">
        <f>if(iferror(vlookup($A287,'Description Database'!$E$2:$H$951,3,0),0)=TRUE,1,0)</f>
        <v>0</v>
      </c>
      <c r="AG287">
        <f>if(iferror(vlookup($A287,'Description Database'!$E$2:$H$951,4,0),0)=TRUE,1,0)</f>
        <v>0</v>
      </c>
    </row>
    <row r="288">
      <c r="A288" t="str">
        <f>IFERROR(__xludf.DUMMYFUNCTION("""COMPUTED_VALUE"""),"Samsung Galaxy A10 (2 GB/32 GB)")</f>
        <v>Samsung Galaxy A10 (2 GB/32 GB)</v>
      </c>
      <c r="B288" t="str">
        <f>IFERROR(__xludf.DUMMYFUNCTION("""COMPUTED_VALUE"""),"")</f>
        <v/>
      </c>
      <c r="C288" t="str">
        <f>IFERROR(__xludf.DUMMYFUNCTION("""COMPUTED_VALUE"""),"")</f>
        <v/>
      </c>
      <c r="D288" t="str">
        <f>IFERROR(__xludf.DUMMYFUNCTION("""COMPUTED_VALUE"""),"")</f>
        <v/>
      </c>
      <c r="E288" t="str">
        <f>IFERROR(__xludf.DUMMYFUNCTION("""COMPUTED_VALUE"""),"")</f>
        <v/>
      </c>
      <c r="F288" t="str">
        <f>IFERROR(__xludf.DUMMYFUNCTION("""COMPUTED_VALUE"""),"")</f>
        <v/>
      </c>
      <c r="G288">
        <f>IFERROR(__xludf.DUMMYFUNCTION("""COMPUTED_VALUE"""),1.0)</f>
        <v>1</v>
      </c>
      <c r="H288" t="str">
        <f>IFERROR(__xludf.DUMMYFUNCTION("""COMPUTED_VALUE"""),"")</f>
        <v/>
      </c>
      <c r="I288">
        <f>IFERROR(__xludf.DUMMYFUNCTION("""COMPUTED_VALUE"""),6.0)</f>
        <v>6</v>
      </c>
      <c r="J288">
        <f>IFERROR(__xludf.DUMMYFUNCTION("""COMPUTED_VALUE"""),7.0)</f>
        <v>7</v>
      </c>
      <c r="L288" s="250" t="str">
        <f>IFERROR(__xludf.DUMMYFUNCTION("""COMPUTED_VALUE"""),"")</f>
        <v/>
      </c>
      <c r="M288" s="250" t="str">
        <f>IFERROR(__xludf.DUMMYFUNCTION("""COMPUTED_VALUE"""),"")</f>
        <v/>
      </c>
      <c r="N288" s="250" t="str">
        <f>IFERROR(__xludf.DUMMYFUNCTION("""COMPUTED_VALUE"""),"")</f>
        <v/>
      </c>
      <c r="O288" s="250" t="str">
        <f>IFERROR(__xludf.DUMMYFUNCTION("""COMPUTED_VALUE"""),"")</f>
        <v/>
      </c>
      <c r="P288" s="250" t="str">
        <f>IFERROR(__xludf.DUMMYFUNCTION("""COMPUTED_VALUE"""),"")</f>
        <v/>
      </c>
      <c r="Q288" s="250">
        <f>IFERROR(__xludf.DUMMYFUNCTION("""COMPUTED_VALUE"""),2449.0)</f>
        <v>2449</v>
      </c>
      <c r="R288" s="250" t="str">
        <f>IFERROR(__xludf.DUMMYFUNCTION("""COMPUTED_VALUE"""),"")</f>
        <v/>
      </c>
      <c r="U288" s="250">
        <f>IFERROR(__xludf.DUMMYFUNCTION("""COMPUTED_VALUE"""),5659.0)</f>
        <v>5659</v>
      </c>
      <c r="V288" s="250">
        <f>IFERROR(__xludf.DUMMYFUNCTION("""COMPUTED_VALUE"""),5379.0)</f>
        <v>5379</v>
      </c>
      <c r="W288" s="250">
        <f>IFERROR(__xludf.DUMMYFUNCTION("""COMPUTED_VALUE"""),4849.0)</f>
        <v>4849</v>
      </c>
      <c r="X288" t="b">
        <f t="shared" ref="X288:Z288" si="552">ISBLANK(K288)</f>
        <v>1</v>
      </c>
      <c r="Y288" t="b">
        <f t="shared" si="552"/>
        <v>0</v>
      </c>
      <c r="Z288" t="b">
        <f t="shared" si="552"/>
        <v>0</v>
      </c>
      <c r="AA288">
        <f t="shared" ref="AA288:AC288" si="553">IF(X288=FALSE,1,0)</f>
        <v>0</v>
      </c>
      <c r="AB288">
        <f t="shared" si="553"/>
        <v>1</v>
      </c>
      <c r="AC288">
        <f t="shared" si="553"/>
        <v>1</v>
      </c>
      <c r="AD288">
        <f t="shared" si="6"/>
        <v>2</v>
      </c>
      <c r="AE288">
        <f t="shared" si="7"/>
        <v>1</v>
      </c>
      <c r="AF288">
        <f>if(iferror(vlookup($A288,'Description Database'!$E$2:$H$951,3,0),0)=TRUE,1,0)</f>
        <v>0</v>
      </c>
      <c r="AG288">
        <f>if(iferror(vlookup($A288,'Description Database'!$E$2:$H$951,4,0),0)=TRUE,1,0)</f>
        <v>0</v>
      </c>
    </row>
    <row r="289">
      <c r="A289" t="str">
        <f>IFERROR(__xludf.DUMMYFUNCTION("""COMPUTED_VALUE"""),"Samsung GALAXY E7 (2 GB/16 GB)")</f>
        <v>Samsung GALAXY E7 (2 GB/16 GB)</v>
      </c>
      <c r="B289" t="str">
        <f>IFERROR(__xludf.DUMMYFUNCTION("""COMPUTED_VALUE"""),"")</f>
        <v/>
      </c>
      <c r="C289" t="str">
        <f>IFERROR(__xludf.DUMMYFUNCTION("""COMPUTED_VALUE"""),"")</f>
        <v/>
      </c>
      <c r="D289" t="str">
        <f>IFERROR(__xludf.DUMMYFUNCTION("""COMPUTED_VALUE"""),"")</f>
        <v/>
      </c>
      <c r="E289" t="str">
        <f>IFERROR(__xludf.DUMMYFUNCTION("""COMPUTED_VALUE"""),"")</f>
        <v/>
      </c>
      <c r="F289">
        <f>IFERROR(__xludf.DUMMYFUNCTION("""COMPUTED_VALUE"""),1.0)</f>
        <v>1</v>
      </c>
      <c r="G289" t="str">
        <f>IFERROR(__xludf.DUMMYFUNCTION("""COMPUTED_VALUE"""),"")</f>
        <v/>
      </c>
      <c r="H289" t="str">
        <f>IFERROR(__xludf.DUMMYFUNCTION("""COMPUTED_VALUE"""),"")</f>
        <v/>
      </c>
      <c r="I289">
        <f>IFERROR(__xludf.DUMMYFUNCTION("""COMPUTED_VALUE"""),6.0)</f>
        <v>6</v>
      </c>
      <c r="J289">
        <f>IFERROR(__xludf.DUMMYFUNCTION("""COMPUTED_VALUE"""),7.0)</f>
        <v>7</v>
      </c>
      <c r="L289" s="250" t="str">
        <f>IFERROR(__xludf.DUMMYFUNCTION("""COMPUTED_VALUE"""),"")</f>
        <v/>
      </c>
      <c r="M289" s="250" t="str">
        <f>IFERROR(__xludf.DUMMYFUNCTION("""COMPUTED_VALUE"""),"")</f>
        <v/>
      </c>
      <c r="N289" s="250" t="str">
        <f>IFERROR(__xludf.DUMMYFUNCTION("""COMPUTED_VALUE"""),"")</f>
        <v/>
      </c>
      <c r="O289" s="250" t="str">
        <f>IFERROR(__xludf.DUMMYFUNCTION("""COMPUTED_VALUE"""),"")</f>
        <v/>
      </c>
      <c r="P289" s="250">
        <f>IFERROR(__xludf.DUMMYFUNCTION("""COMPUTED_VALUE"""),1289.0)</f>
        <v>1289</v>
      </c>
      <c r="Q289" s="250" t="str">
        <f>IFERROR(__xludf.DUMMYFUNCTION("""COMPUTED_VALUE"""),"")</f>
        <v/>
      </c>
      <c r="R289" s="250" t="str">
        <f>IFERROR(__xludf.DUMMYFUNCTION("""COMPUTED_VALUE"""),"")</f>
        <v/>
      </c>
      <c r="U289" s="250">
        <f>IFERROR(__xludf.DUMMYFUNCTION("""COMPUTED_VALUE"""),1979.0)</f>
        <v>1979</v>
      </c>
      <c r="V289" s="250">
        <f>IFERROR(__xludf.DUMMYFUNCTION("""COMPUTED_VALUE"""),1879.0)</f>
        <v>1879</v>
      </c>
      <c r="W289" s="250">
        <f>IFERROR(__xludf.DUMMYFUNCTION("""COMPUTED_VALUE"""),1699.0)</f>
        <v>1699</v>
      </c>
      <c r="X289" t="b">
        <f t="shared" ref="X289:Z289" si="554">ISBLANK(K289)</f>
        <v>1</v>
      </c>
      <c r="Y289" t="b">
        <f t="shared" si="554"/>
        <v>0</v>
      </c>
      <c r="Z289" t="b">
        <f t="shared" si="554"/>
        <v>0</v>
      </c>
      <c r="AA289">
        <f t="shared" ref="AA289:AC289" si="555">IF(X289=FALSE,1,0)</f>
        <v>0</v>
      </c>
      <c r="AB289">
        <f t="shared" si="555"/>
        <v>1</v>
      </c>
      <c r="AC289">
        <f t="shared" si="555"/>
        <v>1</v>
      </c>
      <c r="AD289">
        <f t="shared" si="6"/>
        <v>2</v>
      </c>
      <c r="AE289">
        <f t="shared" si="7"/>
        <v>1</v>
      </c>
      <c r="AF289">
        <f>if(iferror(vlookup($A289,'Description Database'!$E$2:$H$951,3,0),0)=TRUE,1,0)</f>
        <v>0</v>
      </c>
      <c r="AG289">
        <f>if(iferror(vlookup($A289,'Description Database'!$E$2:$H$951,4,0),0)=TRUE,1,0)</f>
        <v>0</v>
      </c>
    </row>
    <row r="290">
      <c r="A290" t="str">
        <f>IFERROR(__xludf.DUMMYFUNCTION("""COMPUTED_VALUE"""),"Honor Play (6 GB/64 GB)")</f>
        <v>Honor Play (6 GB/64 GB)</v>
      </c>
      <c r="B290" t="str">
        <f>IFERROR(__xludf.DUMMYFUNCTION("""COMPUTED_VALUE"""),"")</f>
        <v/>
      </c>
      <c r="C290" t="str">
        <f>IFERROR(__xludf.DUMMYFUNCTION("""COMPUTED_VALUE"""),"")</f>
        <v/>
      </c>
      <c r="D290" t="str">
        <f>IFERROR(__xludf.DUMMYFUNCTION("""COMPUTED_VALUE"""),"")</f>
        <v/>
      </c>
      <c r="E290" t="str">
        <f>IFERROR(__xludf.DUMMYFUNCTION("""COMPUTED_VALUE"""),"")</f>
        <v/>
      </c>
      <c r="F290" t="str">
        <f>IFERROR(__xludf.DUMMYFUNCTION("""COMPUTED_VALUE"""),"")</f>
        <v/>
      </c>
      <c r="G290" t="str">
        <f>IFERROR(__xludf.DUMMYFUNCTION("""COMPUTED_VALUE"""),"")</f>
        <v/>
      </c>
      <c r="H290" t="str">
        <f>IFERROR(__xludf.DUMMYFUNCTION("""COMPUTED_VALUE"""),"")</f>
        <v/>
      </c>
      <c r="I290">
        <f>IFERROR(__xludf.DUMMYFUNCTION("""COMPUTED_VALUE"""),1.0)</f>
        <v>1</v>
      </c>
      <c r="J290">
        <f>IFERROR(__xludf.DUMMYFUNCTION("""COMPUTED_VALUE"""),1.0)</f>
        <v>1</v>
      </c>
      <c r="L290" s="250" t="str">
        <f>IFERROR(__xludf.DUMMYFUNCTION("""COMPUTED_VALUE"""),"")</f>
        <v/>
      </c>
      <c r="M290" s="250" t="str">
        <f>IFERROR(__xludf.DUMMYFUNCTION("""COMPUTED_VALUE"""),"")</f>
        <v/>
      </c>
      <c r="N290" s="250" t="str">
        <f>IFERROR(__xludf.DUMMYFUNCTION("""COMPUTED_VALUE"""),"")</f>
        <v/>
      </c>
      <c r="O290" s="250" t="str">
        <f>IFERROR(__xludf.DUMMYFUNCTION("""COMPUTED_VALUE"""),"")</f>
        <v/>
      </c>
      <c r="P290" s="250" t="str">
        <f>IFERROR(__xludf.DUMMYFUNCTION("""COMPUTED_VALUE"""),"")</f>
        <v/>
      </c>
      <c r="Q290" s="250" t="str">
        <f>IFERROR(__xludf.DUMMYFUNCTION("""COMPUTED_VALUE"""),"")</f>
        <v/>
      </c>
      <c r="R290" s="250" t="str">
        <f>IFERROR(__xludf.DUMMYFUNCTION("""COMPUTED_VALUE"""),"")</f>
        <v/>
      </c>
      <c r="U290" s="250">
        <f>IFERROR(__xludf.DUMMYFUNCTION("""COMPUTED_VALUE"""),8219.0)</f>
        <v>8219</v>
      </c>
      <c r="V290" s="250">
        <f>IFERROR(__xludf.DUMMYFUNCTION("""COMPUTED_VALUE"""),7819.0)</f>
        <v>7819</v>
      </c>
      <c r="W290" s="250">
        <f>IFERROR(__xludf.DUMMYFUNCTION("""COMPUTED_VALUE"""),7039.0)</f>
        <v>7039</v>
      </c>
      <c r="X290" t="b">
        <f t="shared" ref="X290:Z290" si="556">ISBLANK(K290)</f>
        <v>1</v>
      </c>
      <c r="Y290" t="b">
        <f t="shared" si="556"/>
        <v>0</v>
      </c>
      <c r="Z290" t="b">
        <f t="shared" si="556"/>
        <v>0</v>
      </c>
      <c r="AA290">
        <f t="shared" ref="AA290:AC290" si="557">IF(X290=FALSE,1,0)</f>
        <v>0</v>
      </c>
      <c r="AB290">
        <f t="shared" si="557"/>
        <v>1</v>
      </c>
      <c r="AC290">
        <f t="shared" si="557"/>
        <v>1</v>
      </c>
      <c r="AD290">
        <f t="shared" si="6"/>
        <v>2</v>
      </c>
      <c r="AE290">
        <f t="shared" si="7"/>
        <v>1</v>
      </c>
      <c r="AF290">
        <f>if(iferror(vlookup($A290,'Description Database'!$E$2:$H$951,3,0),0)=TRUE,1,0)</f>
        <v>0</v>
      </c>
      <c r="AG290">
        <f>if(iferror(vlookup($A290,'Description Database'!$E$2:$H$951,4,0),0)=TRUE,1,0)</f>
        <v>0</v>
      </c>
    </row>
    <row r="291">
      <c r="A291" t="str">
        <f>IFERROR(__xludf.DUMMYFUNCTION("""COMPUTED_VALUE"""),"Motorola Moto G Turbo Edition (2 GB/16 GB)")</f>
        <v>Motorola Moto G Turbo Edition (2 GB/16 GB)</v>
      </c>
      <c r="B291" t="str">
        <f>IFERROR(__xludf.DUMMYFUNCTION("""COMPUTED_VALUE"""),"")</f>
        <v/>
      </c>
      <c r="C291" t="str">
        <f>IFERROR(__xludf.DUMMYFUNCTION("""COMPUTED_VALUE"""),"")</f>
        <v/>
      </c>
      <c r="D291" t="str">
        <f>IFERROR(__xludf.DUMMYFUNCTION("""COMPUTED_VALUE"""),"")</f>
        <v/>
      </c>
      <c r="E291" t="str">
        <f>IFERROR(__xludf.DUMMYFUNCTION("""COMPUTED_VALUE"""),"")</f>
        <v/>
      </c>
      <c r="F291">
        <f>IFERROR(__xludf.DUMMYFUNCTION("""COMPUTED_VALUE"""),1.0)</f>
        <v>1</v>
      </c>
      <c r="G291" t="str">
        <f>IFERROR(__xludf.DUMMYFUNCTION("""COMPUTED_VALUE"""),"")</f>
        <v/>
      </c>
      <c r="H291" t="str">
        <f>IFERROR(__xludf.DUMMYFUNCTION("""COMPUTED_VALUE"""),"")</f>
        <v/>
      </c>
      <c r="I291">
        <f>IFERROR(__xludf.DUMMYFUNCTION("""COMPUTED_VALUE"""),18.0)</f>
        <v>18</v>
      </c>
      <c r="J291">
        <f>IFERROR(__xludf.DUMMYFUNCTION("""COMPUTED_VALUE"""),19.0)</f>
        <v>19</v>
      </c>
      <c r="L291" s="250" t="str">
        <f>IFERROR(__xludf.DUMMYFUNCTION("""COMPUTED_VALUE"""),"")</f>
        <v/>
      </c>
      <c r="M291" s="250" t="str">
        <f>IFERROR(__xludf.DUMMYFUNCTION("""COMPUTED_VALUE"""),"")</f>
        <v/>
      </c>
      <c r="N291" s="250" t="str">
        <f>IFERROR(__xludf.DUMMYFUNCTION("""COMPUTED_VALUE"""),"")</f>
        <v/>
      </c>
      <c r="O291" s="250" t="str">
        <f>IFERROR(__xludf.DUMMYFUNCTION("""COMPUTED_VALUE"""),"")</f>
        <v/>
      </c>
      <c r="P291" s="250">
        <f>IFERROR(__xludf.DUMMYFUNCTION("""COMPUTED_VALUE"""),1599.0)</f>
        <v>1599</v>
      </c>
      <c r="Q291" s="250" t="str">
        <f>IFERROR(__xludf.DUMMYFUNCTION("""COMPUTED_VALUE"""),"")</f>
        <v/>
      </c>
      <c r="R291" s="250" t="str">
        <f>IFERROR(__xludf.DUMMYFUNCTION("""COMPUTED_VALUE"""),"")</f>
        <v/>
      </c>
      <c r="U291" s="250">
        <f>IFERROR(__xludf.DUMMYFUNCTION("""COMPUTED_VALUE"""),2469.0)</f>
        <v>2469</v>
      </c>
      <c r="V291" s="250">
        <f>IFERROR(__xludf.DUMMYFUNCTION("""COMPUTED_VALUE"""),2349.0)</f>
        <v>2349</v>
      </c>
      <c r="W291" s="250">
        <f>IFERROR(__xludf.DUMMYFUNCTION("""COMPUTED_VALUE"""),2099.0)</f>
        <v>2099</v>
      </c>
      <c r="X291" t="b">
        <f t="shared" ref="X291:Z291" si="558">ISBLANK(K291)</f>
        <v>1</v>
      </c>
      <c r="Y291" t="b">
        <f t="shared" si="558"/>
        <v>0</v>
      </c>
      <c r="Z291" t="b">
        <f t="shared" si="558"/>
        <v>0</v>
      </c>
      <c r="AA291">
        <f t="shared" ref="AA291:AC291" si="559">IF(X291=FALSE,1,0)</f>
        <v>0</v>
      </c>
      <c r="AB291">
        <f t="shared" si="559"/>
        <v>1</v>
      </c>
      <c r="AC291">
        <f t="shared" si="559"/>
        <v>1</v>
      </c>
      <c r="AD291">
        <f t="shared" si="6"/>
        <v>2</v>
      </c>
      <c r="AE291">
        <f t="shared" si="7"/>
        <v>1</v>
      </c>
      <c r="AF291">
        <f>if(iferror(vlookup($A291,'Description Database'!$E$2:$H$951,3,0),0)=TRUE,1,0)</f>
        <v>0</v>
      </c>
      <c r="AG291">
        <f>if(iferror(vlookup($A291,'Description Database'!$E$2:$H$951,4,0),0)=TRUE,1,0)</f>
        <v>0</v>
      </c>
    </row>
    <row r="292">
      <c r="A292" t="str">
        <f>IFERROR(__xludf.DUMMYFUNCTION("""COMPUTED_VALUE"""),"Samsung Galaxy J5 (1.5 GB/8 GB)")</f>
        <v>Samsung Galaxy J5 (1.5 GB/8 GB)</v>
      </c>
      <c r="B292" t="str">
        <f>IFERROR(__xludf.DUMMYFUNCTION("""COMPUTED_VALUE"""),"")</f>
        <v/>
      </c>
      <c r="C292" t="str">
        <f>IFERROR(__xludf.DUMMYFUNCTION("""COMPUTED_VALUE"""),"")</f>
        <v/>
      </c>
      <c r="D292" t="str">
        <f>IFERROR(__xludf.DUMMYFUNCTION("""COMPUTED_VALUE"""),"")</f>
        <v/>
      </c>
      <c r="E292" t="str">
        <f>IFERROR(__xludf.DUMMYFUNCTION("""COMPUTED_VALUE"""),"")</f>
        <v/>
      </c>
      <c r="F292" t="str">
        <f>IFERROR(__xludf.DUMMYFUNCTION("""COMPUTED_VALUE"""),"")</f>
        <v/>
      </c>
      <c r="G292">
        <f>IFERROR(__xludf.DUMMYFUNCTION("""COMPUTED_VALUE"""),1.0)</f>
        <v>1</v>
      </c>
      <c r="H292" t="str">
        <f>IFERROR(__xludf.DUMMYFUNCTION("""COMPUTED_VALUE"""),"")</f>
        <v/>
      </c>
      <c r="I292">
        <f>IFERROR(__xludf.DUMMYFUNCTION("""COMPUTED_VALUE"""),33.0)</f>
        <v>33</v>
      </c>
      <c r="J292">
        <f>IFERROR(__xludf.DUMMYFUNCTION("""COMPUTED_VALUE"""),34.0)</f>
        <v>34</v>
      </c>
      <c r="L292" s="250" t="str">
        <f>IFERROR(__xludf.DUMMYFUNCTION("""COMPUTED_VALUE"""),"")</f>
        <v/>
      </c>
      <c r="M292" s="250" t="str">
        <f>IFERROR(__xludf.DUMMYFUNCTION("""COMPUTED_VALUE"""),"")</f>
        <v/>
      </c>
      <c r="N292" s="250" t="str">
        <f>IFERROR(__xludf.DUMMYFUNCTION("""COMPUTED_VALUE"""),"")</f>
        <v/>
      </c>
      <c r="O292" s="250" t="str">
        <f>IFERROR(__xludf.DUMMYFUNCTION("""COMPUTED_VALUE"""),"")</f>
        <v/>
      </c>
      <c r="P292" s="250" t="str">
        <f>IFERROR(__xludf.DUMMYFUNCTION("""COMPUTED_VALUE"""),"")</f>
        <v/>
      </c>
      <c r="Q292" s="250">
        <f>IFERROR(__xludf.DUMMYFUNCTION("""COMPUTED_VALUE"""),1329.0)</f>
        <v>1329</v>
      </c>
      <c r="R292" s="250" t="str">
        <f>IFERROR(__xludf.DUMMYFUNCTION("""COMPUTED_VALUE"""),"")</f>
        <v/>
      </c>
      <c r="U292" s="250">
        <f>IFERROR(__xludf.DUMMYFUNCTION("""COMPUTED_VALUE"""),3149.0)</f>
        <v>3149</v>
      </c>
      <c r="V292" s="250">
        <f>IFERROR(__xludf.DUMMYFUNCTION("""COMPUTED_VALUE"""),2999.0)</f>
        <v>2999</v>
      </c>
      <c r="W292" s="250">
        <f>IFERROR(__xludf.DUMMYFUNCTION("""COMPUTED_VALUE"""),2699.0)</f>
        <v>2699</v>
      </c>
      <c r="X292" t="b">
        <f t="shared" ref="X292:Z292" si="560">ISBLANK(K292)</f>
        <v>1</v>
      </c>
      <c r="Y292" t="b">
        <f t="shared" si="560"/>
        <v>0</v>
      </c>
      <c r="Z292" t="b">
        <f t="shared" si="560"/>
        <v>0</v>
      </c>
      <c r="AA292">
        <f t="shared" ref="AA292:AC292" si="561">IF(X292=FALSE,1,0)</f>
        <v>0</v>
      </c>
      <c r="AB292">
        <f t="shared" si="561"/>
        <v>1</v>
      </c>
      <c r="AC292">
        <f t="shared" si="561"/>
        <v>1</v>
      </c>
      <c r="AD292">
        <f t="shared" si="6"/>
        <v>2</v>
      </c>
      <c r="AE292">
        <f t="shared" si="7"/>
        <v>1</v>
      </c>
      <c r="AF292">
        <f>if(iferror(vlookup($A292,'Description Database'!$E$2:$H$951,3,0),0)=TRUE,1,0)</f>
        <v>0</v>
      </c>
      <c r="AG292">
        <f>if(iferror(vlookup($A292,'Description Database'!$E$2:$H$951,4,0),0)=TRUE,1,0)</f>
        <v>0</v>
      </c>
    </row>
    <row r="293">
      <c r="A293" t="str">
        <f>IFERROR(__xludf.DUMMYFUNCTION("""COMPUTED_VALUE"""),"Lenovo A5000 (1 GB/8 GB)")</f>
        <v>Lenovo A5000 (1 GB/8 GB)</v>
      </c>
      <c r="B293" t="str">
        <f>IFERROR(__xludf.DUMMYFUNCTION("""COMPUTED_VALUE"""),"")</f>
        <v/>
      </c>
      <c r="C293" t="str">
        <f>IFERROR(__xludf.DUMMYFUNCTION("""COMPUTED_VALUE"""),"")</f>
        <v/>
      </c>
      <c r="D293" t="str">
        <f>IFERROR(__xludf.DUMMYFUNCTION("""COMPUTED_VALUE"""),"")</f>
        <v/>
      </c>
      <c r="E293" t="str">
        <f>IFERROR(__xludf.DUMMYFUNCTION("""COMPUTED_VALUE"""),"")</f>
        <v/>
      </c>
      <c r="F293" t="str">
        <f>IFERROR(__xludf.DUMMYFUNCTION("""COMPUTED_VALUE"""),"")</f>
        <v/>
      </c>
      <c r="G293" t="str">
        <f>IFERROR(__xludf.DUMMYFUNCTION("""COMPUTED_VALUE"""),"")</f>
        <v/>
      </c>
      <c r="H293" t="str">
        <f>IFERROR(__xludf.DUMMYFUNCTION("""COMPUTED_VALUE"""),"")</f>
        <v/>
      </c>
      <c r="I293" t="str">
        <f>IFERROR(__xludf.DUMMYFUNCTION("""COMPUTED_VALUE"""),"")</f>
        <v/>
      </c>
      <c r="J293">
        <f>IFERROR(__xludf.DUMMYFUNCTION("""COMPUTED_VALUE"""),0.0)</f>
        <v>0</v>
      </c>
      <c r="L293" s="250" t="str">
        <f>IFERROR(__xludf.DUMMYFUNCTION("""COMPUTED_VALUE"""),"")</f>
        <v/>
      </c>
      <c r="M293" s="250" t="str">
        <f>IFERROR(__xludf.DUMMYFUNCTION("""COMPUTED_VALUE"""),"")</f>
        <v/>
      </c>
      <c r="N293" s="250" t="str">
        <f>IFERROR(__xludf.DUMMYFUNCTION("""COMPUTED_VALUE"""),"")</f>
        <v/>
      </c>
      <c r="O293" s="250" t="str">
        <f>IFERROR(__xludf.DUMMYFUNCTION("""COMPUTED_VALUE"""),"")</f>
        <v/>
      </c>
      <c r="P293" s="250" t="str">
        <f>IFERROR(__xludf.DUMMYFUNCTION("""COMPUTED_VALUE"""),"")</f>
        <v/>
      </c>
      <c r="Q293" s="250" t="str">
        <f>IFERROR(__xludf.DUMMYFUNCTION("""COMPUTED_VALUE"""),"")</f>
        <v/>
      </c>
      <c r="R293" s="250" t="str">
        <f>IFERROR(__xludf.DUMMYFUNCTION("""COMPUTED_VALUE"""),"")</f>
        <v/>
      </c>
      <c r="U293" s="250">
        <f>IFERROR(__xludf.DUMMYFUNCTION("""COMPUTED_VALUE"""),1679.0)</f>
        <v>1679</v>
      </c>
      <c r="V293" s="250">
        <f>IFERROR(__xludf.DUMMYFUNCTION("""COMPUTED_VALUE"""),1589.0)</f>
        <v>1589</v>
      </c>
      <c r="W293" s="250">
        <f>IFERROR(__xludf.DUMMYFUNCTION("""COMPUTED_VALUE"""),1419.0)</f>
        <v>1419</v>
      </c>
      <c r="X293" t="b">
        <f t="shared" ref="X293:Z293" si="562">ISBLANK(K293)</f>
        <v>1</v>
      </c>
      <c r="Y293" t="b">
        <f t="shared" si="562"/>
        <v>0</v>
      </c>
      <c r="Z293" t="b">
        <f t="shared" si="562"/>
        <v>0</v>
      </c>
      <c r="AA293">
        <f t="shared" ref="AA293:AC293" si="563">IF(X293=FALSE,1,0)</f>
        <v>0</v>
      </c>
      <c r="AB293">
        <f t="shared" si="563"/>
        <v>1</v>
      </c>
      <c r="AC293">
        <f t="shared" si="563"/>
        <v>1</v>
      </c>
      <c r="AD293">
        <f t="shared" si="6"/>
        <v>2</v>
      </c>
      <c r="AE293">
        <f t="shared" si="7"/>
        <v>1</v>
      </c>
      <c r="AF293">
        <f>if(iferror(vlookup($A293,'Description Database'!$E$2:$H$951,3,0),0)=TRUE,1,0)</f>
        <v>0</v>
      </c>
      <c r="AG293">
        <f>if(iferror(vlookup($A293,'Description Database'!$E$2:$H$951,4,0),0)=TRUE,1,0)</f>
        <v>0</v>
      </c>
    </row>
    <row r="294">
      <c r="A294" t="str">
        <f>IFERROR(__xludf.DUMMYFUNCTION("""COMPUTED_VALUE"""),"Asus Zenfone Max (2 GB/32 GB)")</f>
        <v>Asus Zenfone Max (2 GB/32 GB)</v>
      </c>
      <c r="B294" t="str">
        <f>IFERROR(__xludf.DUMMYFUNCTION("""COMPUTED_VALUE"""),"")</f>
        <v/>
      </c>
      <c r="C294" t="str">
        <f>IFERROR(__xludf.DUMMYFUNCTION("""COMPUTED_VALUE"""),"")</f>
        <v/>
      </c>
      <c r="D294" t="str">
        <f>IFERROR(__xludf.DUMMYFUNCTION("""COMPUTED_VALUE"""),"")</f>
        <v/>
      </c>
      <c r="E294" t="str">
        <f>IFERROR(__xludf.DUMMYFUNCTION("""COMPUTED_VALUE"""),"")</f>
        <v/>
      </c>
      <c r="F294" t="str">
        <f>IFERROR(__xludf.DUMMYFUNCTION("""COMPUTED_VALUE"""),"")</f>
        <v/>
      </c>
      <c r="G294" t="str">
        <f>IFERROR(__xludf.DUMMYFUNCTION("""COMPUTED_VALUE"""),"")</f>
        <v/>
      </c>
      <c r="H294" t="str">
        <f>IFERROR(__xludf.DUMMYFUNCTION("""COMPUTED_VALUE"""),"")</f>
        <v/>
      </c>
      <c r="I294">
        <f>IFERROR(__xludf.DUMMYFUNCTION("""COMPUTED_VALUE"""),1.0)</f>
        <v>1</v>
      </c>
      <c r="J294">
        <f>IFERROR(__xludf.DUMMYFUNCTION("""COMPUTED_VALUE"""),1.0)</f>
        <v>1</v>
      </c>
      <c r="L294" s="250" t="str">
        <f>IFERROR(__xludf.DUMMYFUNCTION("""COMPUTED_VALUE"""),"")</f>
        <v/>
      </c>
      <c r="M294" s="250" t="str">
        <f>IFERROR(__xludf.DUMMYFUNCTION("""COMPUTED_VALUE"""),"")</f>
        <v/>
      </c>
      <c r="N294" s="250" t="str">
        <f>IFERROR(__xludf.DUMMYFUNCTION("""COMPUTED_VALUE"""),"")</f>
        <v/>
      </c>
      <c r="O294" s="250" t="str">
        <f>IFERROR(__xludf.DUMMYFUNCTION("""COMPUTED_VALUE"""),"")</f>
        <v/>
      </c>
      <c r="P294" s="250" t="str">
        <f>IFERROR(__xludf.DUMMYFUNCTION("""COMPUTED_VALUE"""),"")</f>
        <v/>
      </c>
      <c r="Q294" s="250" t="str">
        <f>IFERROR(__xludf.DUMMYFUNCTION("""COMPUTED_VALUE"""),"")</f>
        <v/>
      </c>
      <c r="R294" s="250" t="str">
        <f>IFERROR(__xludf.DUMMYFUNCTION("""COMPUTED_VALUE"""),"")</f>
        <v/>
      </c>
      <c r="U294" s="250">
        <f>IFERROR(__xludf.DUMMYFUNCTION("""COMPUTED_VALUE"""),2419.0)</f>
        <v>2419</v>
      </c>
      <c r="V294" s="250">
        <f>IFERROR(__xludf.DUMMYFUNCTION("""COMPUTED_VALUE"""),2299.0)</f>
        <v>2299</v>
      </c>
      <c r="W294" s="250">
        <f>IFERROR(__xludf.DUMMYFUNCTION("""COMPUTED_VALUE"""),2059.0)</f>
        <v>2059</v>
      </c>
      <c r="X294" t="b">
        <f t="shared" ref="X294:Z294" si="564">ISBLANK(K294)</f>
        <v>1</v>
      </c>
      <c r="Y294" t="b">
        <f t="shared" si="564"/>
        <v>0</v>
      </c>
      <c r="Z294" t="b">
        <f t="shared" si="564"/>
        <v>0</v>
      </c>
      <c r="AA294">
        <f t="shared" ref="AA294:AC294" si="565">IF(X294=FALSE,1,0)</f>
        <v>0</v>
      </c>
      <c r="AB294">
        <f t="shared" si="565"/>
        <v>1</v>
      </c>
      <c r="AC294">
        <f t="shared" si="565"/>
        <v>1</v>
      </c>
      <c r="AD294">
        <f t="shared" si="6"/>
        <v>2</v>
      </c>
      <c r="AE294">
        <f t="shared" si="7"/>
        <v>1</v>
      </c>
      <c r="AF294">
        <f>if(iferror(vlookup($A294,'Description Database'!$E$2:$H$951,3,0),0)=TRUE,1,0)</f>
        <v>0</v>
      </c>
      <c r="AG294">
        <f>if(iferror(vlookup($A294,'Description Database'!$E$2:$H$951,4,0),0)=TRUE,1,0)</f>
        <v>0</v>
      </c>
    </row>
    <row r="295">
      <c r="A295" t="str">
        <f>IFERROR(__xludf.DUMMYFUNCTION("""COMPUTED_VALUE"""),"Oppo R7 LITE (2 GB/16GB)")</f>
        <v>Oppo R7 LITE (2 GB/16GB)</v>
      </c>
      <c r="B295" t="str">
        <f>IFERROR(__xludf.DUMMYFUNCTION("""COMPUTED_VALUE"""),"")</f>
        <v/>
      </c>
      <c r="C295" t="str">
        <f>IFERROR(__xludf.DUMMYFUNCTION("""COMPUTED_VALUE"""),"")</f>
        <v/>
      </c>
      <c r="D295" t="str">
        <f>IFERROR(__xludf.DUMMYFUNCTION("""COMPUTED_VALUE"""),"")</f>
        <v/>
      </c>
      <c r="E295" t="str">
        <f>IFERROR(__xludf.DUMMYFUNCTION("""COMPUTED_VALUE"""),"")</f>
        <v/>
      </c>
      <c r="F295" t="str">
        <f>IFERROR(__xludf.DUMMYFUNCTION("""COMPUTED_VALUE"""),"")</f>
        <v/>
      </c>
      <c r="G295" t="str">
        <f>IFERROR(__xludf.DUMMYFUNCTION("""COMPUTED_VALUE"""),"")</f>
        <v/>
      </c>
      <c r="H295" t="str">
        <f>IFERROR(__xludf.DUMMYFUNCTION("""COMPUTED_VALUE"""),"")</f>
        <v/>
      </c>
      <c r="I295" t="str">
        <f>IFERROR(__xludf.DUMMYFUNCTION("""COMPUTED_VALUE"""),"")</f>
        <v/>
      </c>
      <c r="J295">
        <f>IFERROR(__xludf.DUMMYFUNCTION("""COMPUTED_VALUE"""),0.0)</f>
        <v>0</v>
      </c>
      <c r="L295" s="250" t="str">
        <f>IFERROR(__xludf.DUMMYFUNCTION("""COMPUTED_VALUE"""),"")</f>
        <v/>
      </c>
      <c r="M295" s="250" t="str">
        <f>IFERROR(__xludf.DUMMYFUNCTION("""COMPUTED_VALUE"""),"")</f>
        <v/>
      </c>
      <c r="N295" s="250" t="str">
        <f>IFERROR(__xludf.DUMMYFUNCTION("""COMPUTED_VALUE"""),"")</f>
        <v/>
      </c>
      <c r="O295" s="250" t="str">
        <f>IFERROR(__xludf.DUMMYFUNCTION("""COMPUTED_VALUE"""),"")</f>
        <v/>
      </c>
      <c r="P295" s="250" t="str">
        <f>IFERROR(__xludf.DUMMYFUNCTION("""COMPUTED_VALUE"""),"")</f>
        <v/>
      </c>
      <c r="Q295" s="250" t="str">
        <f>IFERROR(__xludf.DUMMYFUNCTION("""COMPUTED_VALUE"""),"")</f>
        <v/>
      </c>
      <c r="R295" s="250" t="str">
        <f>IFERROR(__xludf.DUMMYFUNCTION("""COMPUTED_VALUE"""),"")</f>
        <v/>
      </c>
      <c r="U295" s="250" t="str">
        <f>IFERROR(__xludf.DUMMYFUNCTION("""COMPUTED_VALUE"""),"#N/A")</f>
        <v>#N/A</v>
      </c>
      <c r="V295" s="250" t="str">
        <f>IFERROR(__xludf.DUMMYFUNCTION("""COMPUTED_VALUE"""),"#N/A")</f>
        <v>#N/A</v>
      </c>
      <c r="W295" s="250" t="str">
        <f>IFERROR(__xludf.DUMMYFUNCTION("""COMPUTED_VALUE"""),"#N/A")</f>
        <v>#N/A</v>
      </c>
      <c r="X295" t="b">
        <f t="shared" ref="X295:Z295" si="566">ISBLANK(K295)</f>
        <v>1</v>
      </c>
      <c r="Y295" t="b">
        <f t="shared" si="566"/>
        <v>0</v>
      </c>
      <c r="Z295" t="b">
        <f t="shared" si="566"/>
        <v>0</v>
      </c>
      <c r="AA295">
        <f t="shared" ref="AA295:AC295" si="567">IF(X295=FALSE,1,0)</f>
        <v>0</v>
      </c>
      <c r="AB295">
        <f t="shared" si="567"/>
        <v>1</v>
      </c>
      <c r="AC295">
        <f t="shared" si="567"/>
        <v>1</v>
      </c>
      <c r="AD295">
        <f t="shared" si="6"/>
        <v>2</v>
      </c>
      <c r="AE295">
        <f t="shared" si="7"/>
        <v>1</v>
      </c>
      <c r="AF295">
        <f>if(iferror(vlookup($A295,'Description Database'!$E$2:$H$951,3,0),0)=TRUE,1,0)</f>
        <v>0</v>
      </c>
      <c r="AG295">
        <f>if(iferror(vlookup($A295,'Description Database'!$E$2:$H$951,4,0),0)=TRUE,1,0)</f>
        <v>0</v>
      </c>
    </row>
    <row r="296">
      <c r="A296" t="str">
        <f>IFERROR(__xludf.DUMMYFUNCTION("""COMPUTED_VALUE"""),"Motorola REDMI 5 (3 GB/32GB)")</f>
        <v>Motorola REDMI 5 (3 GB/32GB)</v>
      </c>
      <c r="B296" t="str">
        <f>IFERROR(__xludf.DUMMYFUNCTION("""COMPUTED_VALUE"""),"")</f>
        <v/>
      </c>
      <c r="C296" t="str">
        <f>IFERROR(__xludf.DUMMYFUNCTION("""COMPUTED_VALUE"""),"")</f>
        <v/>
      </c>
      <c r="D296" t="str">
        <f>IFERROR(__xludf.DUMMYFUNCTION("""COMPUTED_VALUE"""),"")</f>
        <v/>
      </c>
      <c r="E296" t="str">
        <f>IFERROR(__xludf.DUMMYFUNCTION("""COMPUTED_VALUE"""),"")</f>
        <v/>
      </c>
      <c r="F296" t="str">
        <f>IFERROR(__xludf.DUMMYFUNCTION("""COMPUTED_VALUE"""),"")</f>
        <v/>
      </c>
      <c r="G296" t="str">
        <f>IFERROR(__xludf.DUMMYFUNCTION("""COMPUTED_VALUE"""),"")</f>
        <v/>
      </c>
      <c r="H296" t="str">
        <f>IFERROR(__xludf.DUMMYFUNCTION("""COMPUTED_VALUE"""),"")</f>
        <v/>
      </c>
      <c r="I296" t="str">
        <f>IFERROR(__xludf.DUMMYFUNCTION("""COMPUTED_VALUE"""),"")</f>
        <v/>
      </c>
      <c r="J296">
        <f>IFERROR(__xludf.DUMMYFUNCTION("""COMPUTED_VALUE"""),0.0)</f>
        <v>0</v>
      </c>
      <c r="L296" s="250" t="str">
        <f>IFERROR(__xludf.DUMMYFUNCTION("""COMPUTED_VALUE"""),"")</f>
        <v/>
      </c>
      <c r="M296" s="250" t="str">
        <f>IFERROR(__xludf.DUMMYFUNCTION("""COMPUTED_VALUE"""),"")</f>
        <v/>
      </c>
      <c r="N296" s="250" t="str">
        <f>IFERROR(__xludf.DUMMYFUNCTION("""COMPUTED_VALUE"""),"")</f>
        <v/>
      </c>
      <c r="O296" s="250" t="str">
        <f>IFERROR(__xludf.DUMMYFUNCTION("""COMPUTED_VALUE"""),"")</f>
        <v/>
      </c>
      <c r="P296" s="250" t="str">
        <f>IFERROR(__xludf.DUMMYFUNCTION("""COMPUTED_VALUE"""),"")</f>
        <v/>
      </c>
      <c r="Q296" s="250" t="str">
        <f>IFERROR(__xludf.DUMMYFUNCTION("""COMPUTED_VALUE"""),"")</f>
        <v/>
      </c>
      <c r="R296" s="250" t="str">
        <f>IFERROR(__xludf.DUMMYFUNCTION("""COMPUTED_VALUE"""),"")</f>
        <v/>
      </c>
      <c r="U296" s="250" t="str">
        <f>IFERROR(__xludf.DUMMYFUNCTION("""COMPUTED_VALUE"""),"#N/A")</f>
        <v>#N/A</v>
      </c>
      <c r="V296" s="250" t="str">
        <f>IFERROR(__xludf.DUMMYFUNCTION("""COMPUTED_VALUE"""),"#N/A")</f>
        <v>#N/A</v>
      </c>
      <c r="W296" s="250" t="str">
        <f>IFERROR(__xludf.DUMMYFUNCTION("""COMPUTED_VALUE"""),"#N/A")</f>
        <v>#N/A</v>
      </c>
      <c r="X296" t="b">
        <f t="shared" ref="X296:Z296" si="568">ISBLANK(K296)</f>
        <v>1</v>
      </c>
      <c r="Y296" t="b">
        <f t="shared" si="568"/>
        <v>0</v>
      </c>
      <c r="Z296" t="b">
        <f t="shared" si="568"/>
        <v>0</v>
      </c>
      <c r="AA296">
        <f t="shared" ref="AA296:AC296" si="569">IF(X296=FALSE,1,0)</f>
        <v>0</v>
      </c>
      <c r="AB296">
        <f t="shared" si="569"/>
        <v>1</v>
      </c>
      <c r="AC296">
        <f t="shared" si="569"/>
        <v>1</v>
      </c>
      <c r="AD296">
        <f t="shared" si="6"/>
        <v>2</v>
      </c>
      <c r="AE296">
        <f t="shared" si="7"/>
        <v>1</v>
      </c>
      <c r="AF296">
        <f>if(iferror(vlookup($A296,'Description Database'!$E$2:$H$951,3,0),0)=TRUE,1,0)</f>
        <v>0</v>
      </c>
      <c r="AG296">
        <f>if(iferror(vlookup($A296,'Description Database'!$E$2:$H$951,4,0),0)=TRUE,1,0)</f>
        <v>0</v>
      </c>
    </row>
    <row r="297">
      <c r="A297" t="str">
        <f>IFERROR(__xludf.DUMMYFUNCTION("""COMPUTED_VALUE"""),"GIONEE P7 MAX (3 GB/32GB)")</f>
        <v>GIONEE P7 MAX (3 GB/32GB)</v>
      </c>
      <c r="B297" t="str">
        <f>IFERROR(__xludf.DUMMYFUNCTION("""COMPUTED_VALUE"""),"")</f>
        <v/>
      </c>
      <c r="C297" t="str">
        <f>IFERROR(__xludf.DUMMYFUNCTION("""COMPUTED_VALUE"""),"")</f>
        <v/>
      </c>
      <c r="D297" t="str">
        <f>IFERROR(__xludf.DUMMYFUNCTION("""COMPUTED_VALUE"""),"")</f>
        <v/>
      </c>
      <c r="E297" t="str">
        <f>IFERROR(__xludf.DUMMYFUNCTION("""COMPUTED_VALUE"""),"")</f>
        <v/>
      </c>
      <c r="F297" t="str">
        <f>IFERROR(__xludf.DUMMYFUNCTION("""COMPUTED_VALUE"""),"")</f>
        <v/>
      </c>
      <c r="G297" t="str">
        <f>IFERROR(__xludf.DUMMYFUNCTION("""COMPUTED_VALUE"""),"")</f>
        <v/>
      </c>
      <c r="H297" t="str">
        <f>IFERROR(__xludf.DUMMYFUNCTION("""COMPUTED_VALUE"""),"")</f>
        <v/>
      </c>
      <c r="I297">
        <f>IFERROR(__xludf.DUMMYFUNCTION("""COMPUTED_VALUE"""),1.0)</f>
        <v>1</v>
      </c>
      <c r="J297">
        <f>IFERROR(__xludf.DUMMYFUNCTION("""COMPUTED_VALUE"""),1.0)</f>
        <v>1</v>
      </c>
      <c r="L297" s="250" t="str">
        <f>IFERROR(__xludf.DUMMYFUNCTION("""COMPUTED_VALUE"""),"")</f>
        <v/>
      </c>
      <c r="M297" s="250" t="str">
        <f>IFERROR(__xludf.DUMMYFUNCTION("""COMPUTED_VALUE"""),"")</f>
        <v/>
      </c>
      <c r="N297" s="250" t="str">
        <f>IFERROR(__xludf.DUMMYFUNCTION("""COMPUTED_VALUE"""),"")</f>
        <v/>
      </c>
      <c r="O297" s="250" t="str">
        <f>IFERROR(__xludf.DUMMYFUNCTION("""COMPUTED_VALUE"""),"")</f>
        <v/>
      </c>
      <c r="P297" s="250" t="str">
        <f>IFERROR(__xludf.DUMMYFUNCTION("""COMPUTED_VALUE"""),"")</f>
        <v/>
      </c>
      <c r="Q297" s="250" t="str">
        <f>IFERROR(__xludf.DUMMYFUNCTION("""COMPUTED_VALUE"""),"")</f>
        <v/>
      </c>
      <c r="R297" s="250" t="str">
        <f>IFERROR(__xludf.DUMMYFUNCTION("""COMPUTED_VALUE"""),"")</f>
        <v/>
      </c>
      <c r="U297" s="250" t="str">
        <f>IFERROR(__xludf.DUMMYFUNCTION("""COMPUTED_VALUE"""),"#N/A")</f>
        <v>#N/A</v>
      </c>
      <c r="V297" s="250" t="str">
        <f>IFERROR(__xludf.DUMMYFUNCTION("""COMPUTED_VALUE"""),"#N/A")</f>
        <v>#N/A</v>
      </c>
      <c r="W297" s="250" t="str">
        <f>IFERROR(__xludf.DUMMYFUNCTION("""COMPUTED_VALUE"""),"#N/A")</f>
        <v>#N/A</v>
      </c>
      <c r="X297" t="b">
        <f t="shared" ref="X297:Z297" si="570">ISBLANK(K297)</f>
        <v>1</v>
      </c>
      <c r="Y297" t="b">
        <f t="shared" si="570"/>
        <v>0</v>
      </c>
      <c r="Z297" t="b">
        <f t="shared" si="570"/>
        <v>0</v>
      </c>
      <c r="AA297">
        <f t="shared" ref="AA297:AC297" si="571">IF(X297=FALSE,1,0)</f>
        <v>0</v>
      </c>
      <c r="AB297">
        <f t="shared" si="571"/>
        <v>1</v>
      </c>
      <c r="AC297">
        <f t="shared" si="571"/>
        <v>1</v>
      </c>
      <c r="AD297">
        <f t="shared" si="6"/>
        <v>2</v>
      </c>
      <c r="AE297">
        <f t="shared" si="7"/>
        <v>1</v>
      </c>
      <c r="AF297">
        <f>if(iferror(vlookup($A297,'Description Database'!$E$2:$H$951,3,0),0)=TRUE,1,0)</f>
        <v>0</v>
      </c>
      <c r="AG297">
        <f>if(iferror(vlookup($A297,'Description Database'!$E$2:$H$951,4,0),0)=TRUE,1,0)</f>
        <v>0</v>
      </c>
    </row>
    <row r="298">
      <c r="A298" t="str">
        <f>IFERROR(__xludf.DUMMYFUNCTION("""COMPUTED_VALUE"""),"Infinix Note 4 (3 GB/32 GB)")</f>
        <v>Infinix Note 4 (3 GB/32 GB)</v>
      </c>
      <c r="B298" t="str">
        <f>IFERROR(__xludf.DUMMYFUNCTION("""COMPUTED_VALUE"""),"")</f>
        <v/>
      </c>
      <c r="C298" t="str">
        <f>IFERROR(__xludf.DUMMYFUNCTION("""COMPUTED_VALUE"""),"")</f>
        <v/>
      </c>
      <c r="D298" t="str">
        <f>IFERROR(__xludf.DUMMYFUNCTION("""COMPUTED_VALUE"""),"")</f>
        <v/>
      </c>
      <c r="E298" t="str">
        <f>IFERROR(__xludf.DUMMYFUNCTION("""COMPUTED_VALUE"""),"")</f>
        <v/>
      </c>
      <c r="F298" t="str">
        <f>IFERROR(__xludf.DUMMYFUNCTION("""COMPUTED_VALUE"""),"")</f>
        <v/>
      </c>
      <c r="G298">
        <f>IFERROR(__xludf.DUMMYFUNCTION("""COMPUTED_VALUE"""),1.0)</f>
        <v>1</v>
      </c>
      <c r="H298" t="str">
        <f>IFERROR(__xludf.DUMMYFUNCTION("""COMPUTED_VALUE"""),"")</f>
        <v/>
      </c>
      <c r="I298">
        <f>IFERROR(__xludf.DUMMYFUNCTION("""COMPUTED_VALUE"""),3.0)</f>
        <v>3</v>
      </c>
      <c r="J298">
        <f>IFERROR(__xludf.DUMMYFUNCTION("""COMPUTED_VALUE"""),4.0)</f>
        <v>4</v>
      </c>
      <c r="L298" s="250" t="str">
        <f>IFERROR(__xludf.DUMMYFUNCTION("""COMPUTED_VALUE"""),"")</f>
        <v/>
      </c>
      <c r="M298" s="250" t="str">
        <f>IFERROR(__xludf.DUMMYFUNCTION("""COMPUTED_VALUE"""),"")</f>
        <v/>
      </c>
      <c r="N298" s="250" t="str">
        <f>IFERROR(__xludf.DUMMYFUNCTION("""COMPUTED_VALUE"""),"")</f>
        <v/>
      </c>
      <c r="O298" s="250" t="str">
        <f>IFERROR(__xludf.DUMMYFUNCTION("""COMPUTED_VALUE"""),"")</f>
        <v/>
      </c>
      <c r="P298" s="250" t="str">
        <f>IFERROR(__xludf.DUMMYFUNCTION("""COMPUTED_VALUE"""),"")</f>
        <v/>
      </c>
      <c r="Q298" s="250">
        <f>IFERROR(__xludf.DUMMYFUNCTION("""COMPUTED_VALUE"""),1629.0)</f>
        <v>1629</v>
      </c>
      <c r="R298" s="250" t="str">
        <f>IFERROR(__xludf.DUMMYFUNCTION("""COMPUTED_VALUE"""),"")</f>
        <v/>
      </c>
      <c r="U298" s="250">
        <f>IFERROR(__xludf.DUMMYFUNCTION("""COMPUTED_VALUE"""),3289.0)</f>
        <v>3289</v>
      </c>
      <c r="V298" s="250">
        <f>IFERROR(__xludf.DUMMYFUNCTION("""COMPUTED_VALUE"""),3129.0)</f>
        <v>3129</v>
      </c>
      <c r="W298" s="250">
        <f>IFERROR(__xludf.DUMMYFUNCTION("""COMPUTED_VALUE"""),2819.0)</f>
        <v>2819</v>
      </c>
      <c r="X298" t="b">
        <f t="shared" ref="X298:Z298" si="572">ISBLANK(K298)</f>
        <v>1</v>
      </c>
      <c r="Y298" t="b">
        <f t="shared" si="572"/>
        <v>0</v>
      </c>
      <c r="Z298" t="b">
        <f t="shared" si="572"/>
        <v>0</v>
      </c>
      <c r="AA298">
        <f t="shared" ref="AA298:AC298" si="573">IF(X298=FALSE,1,0)</f>
        <v>0</v>
      </c>
      <c r="AB298">
        <f t="shared" si="573"/>
        <v>1</v>
      </c>
      <c r="AC298">
        <f t="shared" si="573"/>
        <v>1</v>
      </c>
      <c r="AD298">
        <f t="shared" si="6"/>
        <v>2</v>
      </c>
      <c r="AE298">
        <f t="shared" si="7"/>
        <v>1</v>
      </c>
      <c r="AF298">
        <f>if(iferror(vlookup($A298,'Description Database'!$E$2:$H$951,3,0),0)=TRUE,1,0)</f>
        <v>0</v>
      </c>
      <c r="AG298">
        <f>if(iferror(vlookup($A298,'Description Database'!$E$2:$H$951,4,0),0)=TRUE,1,0)</f>
        <v>0</v>
      </c>
    </row>
    <row r="299">
      <c r="A299" t="str">
        <f>IFERROR(__xludf.DUMMYFUNCTION("""COMPUTED_VALUE"""),"Gionee P5L 16 GB")</f>
        <v>Gionee P5L 16 GB</v>
      </c>
      <c r="B299" t="str">
        <f>IFERROR(__xludf.DUMMYFUNCTION("""COMPUTED_VALUE"""),"")</f>
        <v/>
      </c>
      <c r="C299" t="str">
        <f>IFERROR(__xludf.DUMMYFUNCTION("""COMPUTED_VALUE"""),"")</f>
        <v/>
      </c>
      <c r="D299" t="str">
        <f>IFERROR(__xludf.DUMMYFUNCTION("""COMPUTED_VALUE"""),"")</f>
        <v/>
      </c>
      <c r="E299" t="str">
        <f>IFERROR(__xludf.DUMMYFUNCTION("""COMPUTED_VALUE"""),"")</f>
        <v/>
      </c>
      <c r="F299">
        <f>IFERROR(__xludf.DUMMYFUNCTION("""COMPUTED_VALUE"""),1.0)</f>
        <v>1</v>
      </c>
      <c r="G299" t="str">
        <f>IFERROR(__xludf.DUMMYFUNCTION("""COMPUTED_VALUE"""),"")</f>
        <v/>
      </c>
      <c r="H299" t="str">
        <f>IFERROR(__xludf.DUMMYFUNCTION("""COMPUTED_VALUE"""),"")</f>
        <v/>
      </c>
      <c r="I299">
        <f>IFERROR(__xludf.DUMMYFUNCTION("""COMPUTED_VALUE"""),1.0)</f>
        <v>1</v>
      </c>
      <c r="J299">
        <f>IFERROR(__xludf.DUMMYFUNCTION("""COMPUTED_VALUE"""),2.0)</f>
        <v>2</v>
      </c>
      <c r="L299" s="250" t="str">
        <f>IFERROR(__xludf.DUMMYFUNCTION("""COMPUTED_VALUE"""),"")</f>
        <v/>
      </c>
      <c r="M299" s="250" t="str">
        <f>IFERROR(__xludf.DUMMYFUNCTION("""COMPUTED_VALUE"""),"")</f>
        <v/>
      </c>
      <c r="N299" s="250" t="str">
        <f>IFERROR(__xludf.DUMMYFUNCTION("""COMPUTED_VALUE"""),"")</f>
        <v/>
      </c>
      <c r="O299" s="250" t="str">
        <f>IFERROR(__xludf.DUMMYFUNCTION("""COMPUTED_VALUE"""),"")</f>
        <v/>
      </c>
      <c r="P299" s="250">
        <f>IFERROR(__xludf.DUMMYFUNCTION("""COMPUTED_VALUE"""),1239.0)</f>
        <v>1239</v>
      </c>
      <c r="Q299" s="250" t="str">
        <f>IFERROR(__xludf.DUMMYFUNCTION("""COMPUTED_VALUE"""),"")</f>
        <v/>
      </c>
      <c r="R299" s="250" t="str">
        <f>IFERROR(__xludf.DUMMYFUNCTION("""COMPUTED_VALUE"""),"")</f>
        <v/>
      </c>
      <c r="U299" s="250">
        <f>IFERROR(__xludf.DUMMYFUNCTION("""COMPUTED_VALUE"""),1919.0)</f>
        <v>1919</v>
      </c>
      <c r="V299" s="250">
        <f>IFERROR(__xludf.DUMMYFUNCTION("""COMPUTED_VALUE"""),1819.0)</f>
        <v>1819</v>
      </c>
      <c r="W299" s="250">
        <f>IFERROR(__xludf.DUMMYFUNCTION("""COMPUTED_VALUE"""),1639.0)</f>
        <v>1639</v>
      </c>
      <c r="X299" t="b">
        <f t="shared" ref="X299:Z299" si="574">ISBLANK(K299)</f>
        <v>1</v>
      </c>
      <c r="Y299" t="b">
        <f t="shared" si="574"/>
        <v>0</v>
      </c>
      <c r="Z299" t="b">
        <f t="shared" si="574"/>
        <v>0</v>
      </c>
      <c r="AA299">
        <f t="shared" ref="AA299:AC299" si="575">IF(X299=FALSE,1,0)</f>
        <v>0</v>
      </c>
      <c r="AB299">
        <f t="shared" si="575"/>
        <v>1</v>
      </c>
      <c r="AC299">
        <f t="shared" si="575"/>
        <v>1</v>
      </c>
      <c r="AD299">
        <f t="shared" si="6"/>
        <v>2</v>
      </c>
      <c r="AE299">
        <f t="shared" si="7"/>
        <v>1</v>
      </c>
      <c r="AF299">
        <f>if(iferror(vlookup($A299,'Description Database'!$E$2:$H$951,3,0),0)=TRUE,1,0)</f>
        <v>0</v>
      </c>
      <c r="AG299">
        <f>if(iferror(vlookup($A299,'Description Database'!$E$2:$H$951,4,0),0)=TRUE,1,0)</f>
        <v>0</v>
      </c>
    </row>
    <row r="300">
      <c r="A300" t="str">
        <f>IFERROR(__xludf.DUMMYFUNCTION("""COMPUTED_VALUE"""),"Coolpad NOTE 5 (4 GB/32 GB)")</f>
        <v>Coolpad NOTE 5 (4 GB/32 GB)</v>
      </c>
      <c r="B300" t="str">
        <f>IFERROR(__xludf.DUMMYFUNCTION("""COMPUTED_VALUE"""),"")</f>
        <v/>
      </c>
      <c r="C300" t="str">
        <f>IFERROR(__xludf.DUMMYFUNCTION("""COMPUTED_VALUE"""),"")</f>
        <v/>
      </c>
      <c r="D300" t="str">
        <f>IFERROR(__xludf.DUMMYFUNCTION("""COMPUTED_VALUE"""),"")</f>
        <v/>
      </c>
      <c r="E300" t="str">
        <f>IFERROR(__xludf.DUMMYFUNCTION("""COMPUTED_VALUE"""),"")</f>
        <v/>
      </c>
      <c r="F300" t="str">
        <f>IFERROR(__xludf.DUMMYFUNCTION("""COMPUTED_VALUE"""),"")</f>
        <v/>
      </c>
      <c r="G300" t="str">
        <f>IFERROR(__xludf.DUMMYFUNCTION("""COMPUTED_VALUE"""),"")</f>
        <v/>
      </c>
      <c r="H300" t="str">
        <f>IFERROR(__xludf.DUMMYFUNCTION("""COMPUTED_VALUE"""),"")</f>
        <v/>
      </c>
      <c r="I300">
        <f>IFERROR(__xludf.DUMMYFUNCTION("""COMPUTED_VALUE"""),1.0)</f>
        <v>1</v>
      </c>
      <c r="J300">
        <f>IFERROR(__xludf.DUMMYFUNCTION("""COMPUTED_VALUE"""),1.0)</f>
        <v>1</v>
      </c>
      <c r="L300" s="250" t="str">
        <f>IFERROR(__xludf.DUMMYFUNCTION("""COMPUTED_VALUE"""),"")</f>
        <v/>
      </c>
      <c r="M300" s="250" t="str">
        <f>IFERROR(__xludf.DUMMYFUNCTION("""COMPUTED_VALUE"""),"")</f>
        <v/>
      </c>
      <c r="N300" s="250" t="str">
        <f>IFERROR(__xludf.DUMMYFUNCTION("""COMPUTED_VALUE"""),"")</f>
        <v/>
      </c>
      <c r="O300" s="250" t="str">
        <f>IFERROR(__xludf.DUMMYFUNCTION("""COMPUTED_VALUE"""),"")</f>
        <v/>
      </c>
      <c r="P300" s="250" t="str">
        <f>IFERROR(__xludf.DUMMYFUNCTION("""COMPUTED_VALUE"""),"")</f>
        <v/>
      </c>
      <c r="Q300" s="250" t="str">
        <f>IFERROR(__xludf.DUMMYFUNCTION("""COMPUTED_VALUE"""),"")</f>
        <v/>
      </c>
      <c r="R300" s="250" t="str">
        <f>IFERROR(__xludf.DUMMYFUNCTION("""COMPUTED_VALUE"""),"")</f>
        <v/>
      </c>
      <c r="U300" s="250">
        <f>IFERROR(__xludf.DUMMYFUNCTION("""COMPUTED_VALUE"""),3019.0)</f>
        <v>3019</v>
      </c>
      <c r="V300" s="250">
        <f>IFERROR(__xludf.DUMMYFUNCTION("""COMPUTED_VALUE"""),2869.0)</f>
        <v>2869</v>
      </c>
      <c r="W300" s="250">
        <f>IFERROR(__xludf.DUMMYFUNCTION("""COMPUTED_VALUE"""),2589.0)</f>
        <v>2589</v>
      </c>
      <c r="X300" t="b">
        <f t="shared" ref="X300:Z300" si="576">ISBLANK(K300)</f>
        <v>1</v>
      </c>
      <c r="Y300" t="b">
        <f t="shared" si="576"/>
        <v>0</v>
      </c>
      <c r="Z300" t="b">
        <f t="shared" si="576"/>
        <v>0</v>
      </c>
      <c r="AA300">
        <f t="shared" ref="AA300:AC300" si="577">IF(X300=FALSE,1,0)</f>
        <v>0</v>
      </c>
      <c r="AB300">
        <f t="shared" si="577"/>
        <v>1</v>
      </c>
      <c r="AC300">
        <f t="shared" si="577"/>
        <v>1</v>
      </c>
      <c r="AD300">
        <f t="shared" si="6"/>
        <v>2</v>
      </c>
      <c r="AE300">
        <f t="shared" si="7"/>
        <v>1</v>
      </c>
      <c r="AF300">
        <f>if(iferror(vlookup($A300,'Description Database'!$E$2:$H$951,3,0),0)=TRUE,1,0)</f>
        <v>0</v>
      </c>
      <c r="AG300">
        <f>if(iferror(vlookup($A300,'Description Database'!$E$2:$H$951,4,0),0)=TRUE,1,0)</f>
        <v>0</v>
      </c>
    </row>
    <row r="301">
      <c r="A301" t="str">
        <f>IFERROR(__xludf.DUMMYFUNCTION("""COMPUTED_VALUE"""),"Panasonic Eluga L2 (1 GB/8 GB)")</f>
        <v>Panasonic Eluga L2 (1 GB/8 GB)</v>
      </c>
      <c r="B301" t="str">
        <f>IFERROR(__xludf.DUMMYFUNCTION("""COMPUTED_VALUE"""),"")</f>
        <v/>
      </c>
      <c r="C301" t="str">
        <f>IFERROR(__xludf.DUMMYFUNCTION("""COMPUTED_VALUE"""),"")</f>
        <v/>
      </c>
      <c r="D301" t="str">
        <f>IFERROR(__xludf.DUMMYFUNCTION("""COMPUTED_VALUE"""),"")</f>
        <v/>
      </c>
      <c r="E301" t="str">
        <f>IFERROR(__xludf.DUMMYFUNCTION("""COMPUTED_VALUE"""),"")</f>
        <v/>
      </c>
      <c r="F301" t="str">
        <f>IFERROR(__xludf.DUMMYFUNCTION("""COMPUTED_VALUE"""),"")</f>
        <v/>
      </c>
      <c r="G301" t="str">
        <f>IFERROR(__xludf.DUMMYFUNCTION("""COMPUTED_VALUE"""),"")</f>
        <v/>
      </c>
      <c r="H301" t="str">
        <f>IFERROR(__xludf.DUMMYFUNCTION("""COMPUTED_VALUE"""),"")</f>
        <v/>
      </c>
      <c r="I301" t="str">
        <f>IFERROR(__xludf.DUMMYFUNCTION("""COMPUTED_VALUE"""),"")</f>
        <v/>
      </c>
      <c r="J301">
        <f>IFERROR(__xludf.DUMMYFUNCTION("""COMPUTED_VALUE"""),0.0)</f>
        <v>0</v>
      </c>
      <c r="L301" s="250" t="str">
        <f>IFERROR(__xludf.DUMMYFUNCTION("""COMPUTED_VALUE"""),"")</f>
        <v/>
      </c>
      <c r="M301" s="250" t="str">
        <f>IFERROR(__xludf.DUMMYFUNCTION("""COMPUTED_VALUE"""),"")</f>
        <v/>
      </c>
      <c r="N301" s="250" t="str">
        <f>IFERROR(__xludf.DUMMYFUNCTION("""COMPUTED_VALUE"""),"")</f>
        <v/>
      </c>
      <c r="O301" s="250" t="str">
        <f>IFERROR(__xludf.DUMMYFUNCTION("""COMPUTED_VALUE"""),"")</f>
        <v/>
      </c>
      <c r="P301" s="250" t="str">
        <f>IFERROR(__xludf.DUMMYFUNCTION("""COMPUTED_VALUE"""),"")</f>
        <v/>
      </c>
      <c r="Q301" s="250" t="str">
        <f>IFERROR(__xludf.DUMMYFUNCTION("""COMPUTED_VALUE"""),"")</f>
        <v/>
      </c>
      <c r="R301" s="250" t="str">
        <f>IFERROR(__xludf.DUMMYFUNCTION("""COMPUTED_VALUE"""),"")</f>
        <v/>
      </c>
      <c r="U301" s="250">
        <f>IFERROR(__xludf.DUMMYFUNCTION("""COMPUTED_VALUE"""),1789.0)</f>
        <v>1789</v>
      </c>
      <c r="V301" s="250">
        <f>IFERROR(__xludf.DUMMYFUNCTION("""COMPUTED_VALUE"""),1699.0)</f>
        <v>1699</v>
      </c>
      <c r="W301" s="250">
        <f>IFERROR(__xludf.DUMMYFUNCTION("""COMPUTED_VALUE"""),1529.0)</f>
        <v>1529</v>
      </c>
      <c r="X301" t="b">
        <f t="shared" ref="X301:Z301" si="578">ISBLANK(K301)</f>
        <v>1</v>
      </c>
      <c r="Y301" t="b">
        <f t="shared" si="578"/>
        <v>0</v>
      </c>
      <c r="Z301" t="b">
        <f t="shared" si="578"/>
        <v>0</v>
      </c>
      <c r="AA301">
        <f t="shared" ref="AA301:AC301" si="579">IF(X301=FALSE,1,0)</f>
        <v>0</v>
      </c>
      <c r="AB301">
        <f t="shared" si="579"/>
        <v>1</v>
      </c>
      <c r="AC301">
        <f t="shared" si="579"/>
        <v>1</v>
      </c>
      <c r="AD301">
        <f t="shared" si="6"/>
        <v>2</v>
      </c>
      <c r="AE301">
        <f t="shared" si="7"/>
        <v>1</v>
      </c>
      <c r="AF301">
        <f>if(iferror(vlookup($A301,'Description Database'!$E$2:$H$951,3,0),0)=TRUE,1,0)</f>
        <v>0</v>
      </c>
      <c r="AG301">
        <f>if(iferror(vlookup($A301,'Description Database'!$E$2:$H$951,4,0),0)=TRUE,1,0)</f>
        <v>0</v>
      </c>
    </row>
    <row r="302">
      <c r="A302" t="str">
        <f>IFERROR(__xludf.DUMMYFUNCTION("""COMPUTED_VALUE"""),"Meizu M3 Note (3 GB/32 GB)")</f>
        <v>Meizu M3 Note (3 GB/32 GB)</v>
      </c>
      <c r="B302" t="str">
        <f>IFERROR(__xludf.DUMMYFUNCTION("""COMPUTED_VALUE"""),"")</f>
        <v/>
      </c>
      <c r="C302" t="str">
        <f>IFERROR(__xludf.DUMMYFUNCTION("""COMPUTED_VALUE"""),"")</f>
        <v/>
      </c>
      <c r="D302" t="str">
        <f>IFERROR(__xludf.DUMMYFUNCTION("""COMPUTED_VALUE"""),"")</f>
        <v/>
      </c>
      <c r="E302" t="str">
        <f>IFERROR(__xludf.DUMMYFUNCTION("""COMPUTED_VALUE"""),"")</f>
        <v/>
      </c>
      <c r="F302" t="str">
        <f>IFERROR(__xludf.DUMMYFUNCTION("""COMPUTED_VALUE"""),"")</f>
        <v/>
      </c>
      <c r="G302" t="str">
        <f>IFERROR(__xludf.DUMMYFUNCTION("""COMPUTED_VALUE"""),"")</f>
        <v/>
      </c>
      <c r="H302" t="str">
        <f>IFERROR(__xludf.DUMMYFUNCTION("""COMPUTED_VALUE"""),"")</f>
        <v/>
      </c>
      <c r="I302" t="str">
        <f>IFERROR(__xludf.DUMMYFUNCTION("""COMPUTED_VALUE"""),"")</f>
        <v/>
      </c>
      <c r="J302">
        <f>IFERROR(__xludf.DUMMYFUNCTION("""COMPUTED_VALUE"""),0.0)</f>
        <v>0</v>
      </c>
      <c r="L302" s="250" t="str">
        <f>IFERROR(__xludf.DUMMYFUNCTION("""COMPUTED_VALUE"""),"")</f>
        <v/>
      </c>
      <c r="M302" s="250" t="str">
        <f>IFERROR(__xludf.DUMMYFUNCTION("""COMPUTED_VALUE"""),"")</f>
        <v/>
      </c>
      <c r="N302" s="250" t="str">
        <f>IFERROR(__xludf.DUMMYFUNCTION("""COMPUTED_VALUE"""),"")</f>
        <v/>
      </c>
      <c r="O302" s="250" t="str">
        <f>IFERROR(__xludf.DUMMYFUNCTION("""COMPUTED_VALUE"""),"")</f>
        <v/>
      </c>
      <c r="P302" s="250" t="str">
        <f>IFERROR(__xludf.DUMMYFUNCTION("""COMPUTED_VALUE"""),"")</f>
        <v/>
      </c>
      <c r="Q302" s="250" t="str">
        <f>IFERROR(__xludf.DUMMYFUNCTION("""COMPUTED_VALUE"""),"")</f>
        <v/>
      </c>
      <c r="R302" s="250" t="str">
        <f>IFERROR(__xludf.DUMMYFUNCTION("""COMPUTED_VALUE"""),"")</f>
        <v/>
      </c>
      <c r="U302" s="250">
        <f>IFERROR(__xludf.DUMMYFUNCTION("""COMPUTED_VALUE"""),3459.0)</f>
        <v>3459</v>
      </c>
      <c r="V302" s="250">
        <f>IFERROR(__xludf.DUMMYFUNCTION("""COMPUTED_VALUE"""),3289.0)</f>
        <v>3289</v>
      </c>
      <c r="W302" s="250">
        <f>IFERROR(__xludf.DUMMYFUNCTION("""COMPUTED_VALUE"""),2959.0)</f>
        <v>2959</v>
      </c>
      <c r="X302" t="b">
        <f t="shared" ref="X302:Z302" si="580">ISBLANK(K302)</f>
        <v>1</v>
      </c>
      <c r="Y302" t="b">
        <f t="shared" si="580"/>
        <v>0</v>
      </c>
      <c r="Z302" t="b">
        <f t="shared" si="580"/>
        <v>0</v>
      </c>
      <c r="AA302">
        <f t="shared" ref="AA302:AC302" si="581">IF(X302=FALSE,1,0)</f>
        <v>0</v>
      </c>
      <c r="AB302">
        <f t="shared" si="581"/>
        <v>1</v>
      </c>
      <c r="AC302">
        <f t="shared" si="581"/>
        <v>1</v>
      </c>
      <c r="AD302">
        <f t="shared" si="6"/>
        <v>2</v>
      </c>
      <c r="AE302">
        <f t="shared" si="7"/>
        <v>1</v>
      </c>
      <c r="AF302">
        <f>if(iferror(vlookup($A302,'Description Database'!$E$2:$H$951,3,0),0)=TRUE,1,0)</f>
        <v>0</v>
      </c>
      <c r="AG302">
        <f>if(iferror(vlookup($A302,'Description Database'!$E$2:$H$951,4,0),0)=TRUE,1,0)</f>
        <v>0</v>
      </c>
    </row>
    <row r="303">
      <c r="A303" t="str">
        <f>IFERROR(__xludf.DUMMYFUNCTION("""COMPUTED_VALUE"""),"Nokia 5.1+ (3 GB/32GB)")</f>
        <v>Nokia 5.1+ (3 GB/32GB)</v>
      </c>
      <c r="B303" t="str">
        <f>IFERROR(__xludf.DUMMYFUNCTION("""COMPUTED_VALUE"""),"")</f>
        <v/>
      </c>
      <c r="C303" t="str">
        <f>IFERROR(__xludf.DUMMYFUNCTION("""COMPUTED_VALUE"""),"")</f>
        <v/>
      </c>
      <c r="D303" t="str">
        <f>IFERROR(__xludf.DUMMYFUNCTION("""COMPUTED_VALUE"""),"")</f>
        <v/>
      </c>
      <c r="E303" t="str">
        <f>IFERROR(__xludf.DUMMYFUNCTION("""COMPUTED_VALUE"""),"")</f>
        <v/>
      </c>
      <c r="F303" t="str">
        <f>IFERROR(__xludf.DUMMYFUNCTION("""COMPUTED_VALUE"""),"")</f>
        <v/>
      </c>
      <c r="G303">
        <f>IFERROR(__xludf.DUMMYFUNCTION("""COMPUTED_VALUE"""),1.0)</f>
        <v>1</v>
      </c>
      <c r="H303" t="str">
        <f>IFERROR(__xludf.DUMMYFUNCTION("""COMPUTED_VALUE"""),"")</f>
        <v/>
      </c>
      <c r="I303">
        <f>IFERROR(__xludf.DUMMYFUNCTION("""COMPUTED_VALUE"""),37.0)</f>
        <v>37</v>
      </c>
      <c r="J303">
        <f>IFERROR(__xludf.DUMMYFUNCTION("""COMPUTED_VALUE"""),38.0)</f>
        <v>38</v>
      </c>
      <c r="L303" s="250" t="str">
        <f>IFERROR(__xludf.DUMMYFUNCTION("""COMPUTED_VALUE"""),"")</f>
        <v/>
      </c>
      <c r="M303" s="250" t="str">
        <f>IFERROR(__xludf.DUMMYFUNCTION("""COMPUTED_VALUE"""),"")</f>
        <v/>
      </c>
      <c r="N303" s="250" t="str">
        <f>IFERROR(__xludf.DUMMYFUNCTION("""COMPUTED_VALUE"""),"")</f>
        <v/>
      </c>
      <c r="O303" s="250" t="str">
        <f>IFERROR(__xludf.DUMMYFUNCTION("""COMPUTED_VALUE"""),"")</f>
        <v/>
      </c>
      <c r="P303" s="250" t="str">
        <f>IFERROR(__xludf.DUMMYFUNCTION("""COMPUTED_VALUE"""),"")</f>
        <v/>
      </c>
      <c r="Q303" s="250" t="str">
        <f>IFERROR(__xludf.DUMMYFUNCTION("""COMPUTED_VALUE"""),"#N/A")</f>
        <v>#N/A</v>
      </c>
      <c r="R303" s="250" t="str">
        <f>IFERROR(__xludf.DUMMYFUNCTION("""COMPUTED_VALUE"""),"")</f>
        <v/>
      </c>
      <c r="U303" s="250" t="str">
        <f>IFERROR(__xludf.DUMMYFUNCTION("""COMPUTED_VALUE"""),"#N/A")</f>
        <v>#N/A</v>
      </c>
      <c r="V303" s="250" t="str">
        <f>IFERROR(__xludf.DUMMYFUNCTION("""COMPUTED_VALUE"""),"#N/A")</f>
        <v>#N/A</v>
      </c>
      <c r="W303" s="250" t="str">
        <f>IFERROR(__xludf.DUMMYFUNCTION("""COMPUTED_VALUE"""),"#N/A")</f>
        <v>#N/A</v>
      </c>
      <c r="X303" t="b">
        <f t="shared" ref="X303:Z303" si="582">ISBLANK(K303)</f>
        <v>1</v>
      </c>
      <c r="Y303" t="b">
        <f t="shared" si="582"/>
        <v>0</v>
      </c>
      <c r="Z303" t="b">
        <f t="shared" si="582"/>
        <v>0</v>
      </c>
      <c r="AA303">
        <f t="shared" ref="AA303:AC303" si="583">IF(X303=FALSE,1,0)</f>
        <v>0</v>
      </c>
      <c r="AB303">
        <f t="shared" si="583"/>
        <v>1</v>
      </c>
      <c r="AC303">
        <f t="shared" si="583"/>
        <v>1</v>
      </c>
      <c r="AD303">
        <f t="shared" si="6"/>
        <v>2</v>
      </c>
      <c r="AE303">
        <f t="shared" si="7"/>
        <v>1</v>
      </c>
      <c r="AF303">
        <f>if(iferror(vlookup($A303,'Description Database'!$E$2:$H$951,3,0),0)=TRUE,1,0)</f>
        <v>0</v>
      </c>
      <c r="AG303">
        <f>if(iferror(vlookup($A303,'Description Database'!$E$2:$H$951,4,0),0)=TRUE,1,0)</f>
        <v>0</v>
      </c>
    </row>
    <row r="304">
      <c r="A304" t="str">
        <f>IFERROR(__xludf.DUMMYFUNCTION("""COMPUTED_VALUE"""),"Motorola MOTO G5S+ (3 GB/32GB)")</f>
        <v>Motorola MOTO G5S+ (3 GB/32GB)</v>
      </c>
      <c r="B304" t="str">
        <f>IFERROR(__xludf.DUMMYFUNCTION("""COMPUTED_VALUE"""),"")</f>
        <v/>
      </c>
      <c r="C304" t="str">
        <f>IFERROR(__xludf.DUMMYFUNCTION("""COMPUTED_VALUE"""),"")</f>
        <v/>
      </c>
      <c r="D304" t="str">
        <f>IFERROR(__xludf.DUMMYFUNCTION("""COMPUTED_VALUE"""),"")</f>
        <v/>
      </c>
      <c r="E304" t="str">
        <f>IFERROR(__xludf.DUMMYFUNCTION("""COMPUTED_VALUE"""),"")</f>
        <v/>
      </c>
      <c r="F304" t="str">
        <f>IFERROR(__xludf.DUMMYFUNCTION("""COMPUTED_VALUE"""),"")</f>
        <v/>
      </c>
      <c r="G304" t="str">
        <f>IFERROR(__xludf.DUMMYFUNCTION("""COMPUTED_VALUE"""),"")</f>
        <v/>
      </c>
      <c r="H304" t="str">
        <f>IFERROR(__xludf.DUMMYFUNCTION("""COMPUTED_VALUE"""),"")</f>
        <v/>
      </c>
      <c r="I304">
        <f>IFERROR(__xludf.DUMMYFUNCTION("""COMPUTED_VALUE"""),4.0)</f>
        <v>4</v>
      </c>
      <c r="J304">
        <f>IFERROR(__xludf.DUMMYFUNCTION("""COMPUTED_VALUE"""),4.0)</f>
        <v>4</v>
      </c>
      <c r="L304" s="250" t="str">
        <f>IFERROR(__xludf.DUMMYFUNCTION("""COMPUTED_VALUE"""),"")</f>
        <v/>
      </c>
      <c r="M304" s="250" t="str">
        <f>IFERROR(__xludf.DUMMYFUNCTION("""COMPUTED_VALUE"""),"")</f>
        <v/>
      </c>
      <c r="N304" s="250" t="str">
        <f>IFERROR(__xludf.DUMMYFUNCTION("""COMPUTED_VALUE"""),"")</f>
        <v/>
      </c>
      <c r="O304" s="250" t="str">
        <f>IFERROR(__xludf.DUMMYFUNCTION("""COMPUTED_VALUE"""),"")</f>
        <v/>
      </c>
      <c r="P304" s="250" t="str">
        <f>IFERROR(__xludf.DUMMYFUNCTION("""COMPUTED_VALUE"""),"")</f>
        <v/>
      </c>
      <c r="Q304" s="250" t="str">
        <f>IFERROR(__xludf.DUMMYFUNCTION("""COMPUTED_VALUE"""),"")</f>
        <v/>
      </c>
      <c r="R304" s="250" t="str">
        <f>IFERROR(__xludf.DUMMYFUNCTION("""COMPUTED_VALUE"""),"")</f>
        <v/>
      </c>
      <c r="U304" s="250" t="str">
        <f>IFERROR(__xludf.DUMMYFUNCTION("""COMPUTED_VALUE"""),"#N/A")</f>
        <v>#N/A</v>
      </c>
      <c r="V304" s="250" t="str">
        <f>IFERROR(__xludf.DUMMYFUNCTION("""COMPUTED_VALUE"""),"#N/A")</f>
        <v>#N/A</v>
      </c>
      <c r="W304" s="250" t="str">
        <f>IFERROR(__xludf.DUMMYFUNCTION("""COMPUTED_VALUE"""),"#N/A")</f>
        <v>#N/A</v>
      </c>
      <c r="X304" t="b">
        <f t="shared" ref="X304:Z304" si="584">ISBLANK(K304)</f>
        <v>1</v>
      </c>
      <c r="Y304" t="b">
        <f t="shared" si="584"/>
        <v>0</v>
      </c>
      <c r="Z304" t="b">
        <f t="shared" si="584"/>
        <v>0</v>
      </c>
      <c r="AA304">
        <f t="shared" ref="AA304:AC304" si="585">IF(X304=FALSE,1,0)</f>
        <v>0</v>
      </c>
      <c r="AB304">
        <f t="shared" si="585"/>
        <v>1</v>
      </c>
      <c r="AC304">
        <f t="shared" si="585"/>
        <v>1</v>
      </c>
      <c r="AD304">
        <f t="shared" si="6"/>
        <v>2</v>
      </c>
      <c r="AE304">
        <f t="shared" si="7"/>
        <v>1</v>
      </c>
      <c r="AF304">
        <f>if(iferror(vlookup($A304,'Description Database'!$E$2:$H$951,3,0),0)=TRUE,1,0)</f>
        <v>0</v>
      </c>
      <c r="AG304">
        <f>if(iferror(vlookup($A304,'Description Database'!$E$2:$H$951,4,0),0)=TRUE,1,0)</f>
        <v>0</v>
      </c>
    </row>
    <row r="305">
      <c r="A305" t="str">
        <f>IFERROR(__xludf.DUMMYFUNCTION("""COMPUTED_VALUE"""),"Lenovo Vibe K5 Plus (3 GB/16 GB)")</f>
        <v>Lenovo Vibe K5 Plus (3 GB/16 GB)</v>
      </c>
      <c r="B305" t="str">
        <f>IFERROR(__xludf.DUMMYFUNCTION("""COMPUTED_VALUE"""),"")</f>
        <v/>
      </c>
      <c r="C305">
        <f>IFERROR(__xludf.DUMMYFUNCTION("""COMPUTED_VALUE"""),1.0)</f>
        <v>1</v>
      </c>
      <c r="D305">
        <f>IFERROR(__xludf.DUMMYFUNCTION("""COMPUTED_VALUE"""),1.0)</f>
        <v>1</v>
      </c>
      <c r="E305" t="str">
        <f>IFERROR(__xludf.DUMMYFUNCTION("""COMPUTED_VALUE"""),"")</f>
        <v/>
      </c>
      <c r="F305">
        <f>IFERROR(__xludf.DUMMYFUNCTION("""COMPUTED_VALUE"""),1.0)</f>
        <v>1</v>
      </c>
      <c r="G305" t="str">
        <f>IFERROR(__xludf.DUMMYFUNCTION("""COMPUTED_VALUE"""),"")</f>
        <v/>
      </c>
      <c r="H305">
        <f>IFERROR(__xludf.DUMMYFUNCTION("""COMPUTED_VALUE"""),1.0)</f>
        <v>1</v>
      </c>
      <c r="I305">
        <f>IFERROR(__xludf.DUMMYFUNCTION("""COMPUTED_VALUE"""),16.0)</f>
        <v>16</v>
      </c>
      <c r="J305">
        <f>IFERROR(__xludf.DUMMYFUNCTION("""COMPUTED_VALUE"""),20.0)</f>
        <v>20</v>
      </c>
      <c r="L305" s="250" t="str">
        <f>IFERROR(__xludf.DUMMYFUNCTION("""COMPUTED_VALUE"""),"")</f>
        <v/>
      </c>
      <c r="M305" s="250">
        <f>IFERROR(__xludf.DUMMYFUNCTION("""COMPUTED_VALUE"""),2719.0)</f>
        <v>2719</v>
      </c>
      <c r="N305" s="250">
        <f>IFERROR(__xludf.DUMMYFUNCTION("""COMPUTED_VALUE"""),2449.0)</f>
        <v>2449</v>
      </c>
      <c r="O305" s="250" t="str">
        <f>IFERROR(__xludf.DUMMYFUNCTION("""COMPUTED_VALUE"""),"")</f>
        <v/>
      </c>
      <c r="P305" s="250">
        <f>IFERROR(__xludf.DUMMYFUNCTION("""COMPUTED_VALUE"""),2039.0)</f>
        <v>2039</v>
      </c>
      <c r="Q305" s="250" t="str">
        <f>IFERROR(__xludf.DUMMYFUNCTION("""COMPUTED_VALUE"""),"")</f>
        <v/>
      </c>
      <c r="R305" s="250">
        <f>IFERROR(__xludf.DUMMYFUNCTION("""COMPUTED_VALUE"""),1079.0)</f>
        <v>1079</v>
      </c>
      <c r="U305" s="250">
        <f>IFERROR(__xludf.DUMMYFUNCTION("""COMPUTED_VALUE"""),3149.0)</f>
        <v>3149</v>
      </c>
      <c r="V305" s="250">
        <f>IFERROR(__xludf.DUMMYFUNCTION("""COMPUTED_VALUE"""),2999.0)</f>
        <v>2999</v>
      </c>
      <c r="W305" s="250">
        <f>IFERROR(__xludf.DUMMYFUNCTION("""COMPUTED_VALUE"""),2699.0)</f>
        <v>2699</v>
      </c>
      <c r="X305" t="b">
        <f t="shared" ref="X305:Z305" si="586">ISBLANK(K305)</f>
        <v>1</v>
      </c>
      <c r="Y305" t="b">
        <f t="shared" si="586"/>
        <v>0</v>
      </c>
      <c r="Z305" t="b">
        <f t="shared" si="586"/>
        <v>0</v>
      </c>
      <c r="AA305">
        <f t="shared" ref="AA305:AC305" si="587">IF(X305=FALSE,1,0)</f>
        <v>0</v>
      </c>
      <c r="AB305">
        <f t="shared" si="587"/>
        <v>1</v>
      </c>
      <c r="AC305">
        <f t="shared" si="587"/>
        <v>1</v>
      </c>
      <c r="AD305">
        <f t="shared" si="6"/>
        <v>2</v>
      </c>
      <c r="AE305">
        <f t="shared" si="7"/>
        <v>1</v>
      </c>
      <c r="AF305">
        <f>if(iferror(vlookup($A305,'Description Database'!$E$2:$H$951,3,0),0)=TRUE,1,0)</f>
        <v>0</v>
      </c>
      <c r="AG305">
        <f>if(iferror(vlookup($A305,'Description Database'!$E$2:$H$951,4,0),0)=TRUE,1,0)</f>
        <v>0</v>
      </c>
    </row>
    <row r="306">
      <c r="A306" t="str">
        <f>IFERROR(__xludf.DUMMYFUNCTION("""COMPUTED_VALUE"""),"Xiaomi Redmi Y3 (3 GB/32 GB)")</f>
        <v>Xiaomi Redmi Y3 (3 GB/32 GB)</v>
      </c>
      <c r="B306" t="str">
        <f>IFERROR(__xludf.DUMMYFUNCTION("""COMPUTED_VALUE"""),"")</f>
        <v/>
      </c>
      <c r="C306" t="str">
        <f>IFERROR(__xludf.DUMMYFUNCTION("""COMPUTED_VALUE"""),"")</f>
        <v/>
      </c>
      <c r="D306">
        <f>IFERROR(__xludf.DUMMYFUNCTION("""COMPUTED_VALUE"""),6.0)</f>
        <v>6</v>
      </c>
      <c r="E306">
        <f>IFERROR(__xludf.DUMMYFUNCTION("""COMPUTED_VALUE"""),1.0)</f>
        <v>1</v>
      </c>
      <c r="F306">
        <f>IFERROR(__xludf.DUMMYFUNCTION("""COMPUTED_VALUE"""),2.0)</f>
        <v>2</v>
      </c>
      <c r="G306" t="str">
        <f>IFERROR(__xludf.DUMMYFUNCTION("""COMPUTED_VALUE"""),"")</f>
        <v/>
      </c>
      <c r="H306" t="str">
        <f>IFERROR(__xludf.DUMMYFUNCTION("""COMPUTED_VALUE"""),"")</f>
        <v/>
      </c>
      <c r="I306">
        <f>IFERROR(__xludf.DUMMYFUNCTION("""COMPUTED_VALUE"""),16.0)</f>
        <v>16</v>
      </c>
      <c r="J306">
        <f>IFERROR(__xludf.DUMMYFUNCTION("""COMPUTED_VALUE"""),25.0)</f>
        <v>25</v>
      </c>
      <c r="L306" s="250" t="str">
        <f>IFERROR(__xludf.DUMMYFUNCTION("""COMPUTED_VALUE"""),"")</f>
        <v/>
      </c>
      <c r="M306" s="250" t="str">
        <f>IFERROR(__xludf.DUMMYFUNCTION("""COMPUTED_VALUE"""),"")</f>
        <v/>
      </c>
      <c r="N306" s="250">
        <f>IFERROR(__xludf.DUMMYFUNCTION("""COMPUTED_VALUE"""),5709.0)</f>
        <v>5709</v>
      </c>
      <c r="O306" s="250">
        <f>IFERROR(__xludf.DUMMYFUNCTION("""COMPUTED_VALUE"""),5204.0)</f>
        <v>5204</v>
      </c>
      <c r="P306" s="250">
        <f>IFERROR(__xludf.DUMMYFUNCTION("""COMPUTED_VALUE"""),4699.0)</f>
        <v>4699</v>
      </c>
      <c r="Q306" s="250" t="str">
        <f>IFERROR(__xludf.DUMMYFUNCTION("""COMPUTED_VALUE"""),"")</f>
        <v/>
      </c>
      <c r="R306" s="250" t="str">
        <f>IFERROR(__xludf.DUMMYFUNCTION("""COMPUTED_VALUE"""),"")</f>
        <v/>
      </c>
      <c r="U306" s="250">
        <f>IFERROR(__xludf.DUMMYFUNCTION("""COMPUTED_VALUE"""),7239.0)</f>
        <v>7239</v>
      </c>
      <c r="V306" s="250">
        <f>IFERROR(__xludf.DUMMYFUNCTION("""COMPUTED_VALUE"""),6889.0)</f>
        <v>6889</v>
      </c>
      <c r="W306" s="250">
        <f>IFERROR(__xludf.DUMMYFUNCTION("""COMPUTED_VALUE"""),6279.0)</f>
        <v>6279</v>
      </c>
      <c r="X306" t="b">
        <f t="shared" ref="X306:Z306" si="588">ISBLANK(K306)</f>
        <v>1</v>
      </c>
      <c r="Y306" t="b">
        <f t="shared" si="588"/>
        <v>0</v>
      </c>
      <c r="Z306" t="b">
        <f t="shared" si="588"/>
        <v>0</v>
      </c>
      <c r="AA306">
        <f t="shared" ref="AA306:AC306" si="589">IF(X306=FALSE,1,0)</f>
        <v>0</v>
      </c>
      <c r="AB306">
        <f t="shared" si="589"/>
        <v>1</v>
      </c>
      <c r="AC306">
        <f t="shared" si="589"/>
        <v>1</v>
      </c>
      <c r="AD306">
        <f t="shared" si="6"/>
        <v>2</v>
      </c>
      <c r="AE306">
        <f t="shared" si="7"/>
        <v>1</v>
      </c>
      <c r="AF306">
        <f>if(iferror(vlookup($A306,'Description Database'!$E$2:$H$951,3,0),0)=TRUE,1,0)</f>
        <v>0</v>
      </c>
      <c r="AG306">
        <f>if(iferror(vlookup($A306,'Description Database'!$E$2:$H$951,4,0),0)=TRUE,1,0)</f>
        <v>0</v>
      </c>
    </row>
    <row r="307">
      <c r="A307" t="str">
        <f>IFERROR(__xludf.DUMMYFUNCTION("""COMPUTED_VALUE"""),"Xiaomi REDMI 6 PRO (4 GB/32GB)")</f>
        <v>Xiaomi REDMI 6 PRO (4 GB/32GB)</v>
      </c>
      <c r="B307" t="str">
        <f>IFERROR(__xludf.DUMMYFUNCTION("""COMPUTED_VALUE"""),"")</f>
        <v/>
      </c>
      <c r="C307" t="str">
        <f>IFERROR(__xludf.DUMMYFUNCTION("""COMPUTED_VALUE"""),"")</f>
        <v/>
      </c>
      <c r="D307" t="str">
        <f>IFERROR(__xludf.DUMMYFUNCTION("""COMPUTED_VALUE"""),"")</f>
        <v/>
      </c>
      <c r="E307" t="str">
        <f>IFERROR(__xludf.DUMMYFUNCTION("""COMPUTED_VALUE"""),"")</f>
        <v/>
      </c>
      <c r="F307" t="str">
        <f>IFERROR(__xludf.DUMMYFUNCTION("""COMPUTED_VALUE"""),"")</f>
        <v/>
      </c>
      <c r="G307" t="str">
        <f>IFERROR(__xludf.DUMMYFUNCTION("""COMPUTED_VALUE"""),"")</f>
        <v/>
      </c>
      <c r="H307" t="str">
        <f>IFERROR(__xludf.DUMMYFUNCTION("""COMPUTED_VALUE"""),"")</f>
        <v/>
      </c>
      <c r="I307" t="str">
        <f>IFERROR(__xludf.DUMMYFUNCTION("""COMPUTED_VALUE"""),"")</f>
        <v/>
      </c>
      <c r="J307">
        <f>IFERROR(__xludf.DUMMYFUNCTION("""COMPUTED_VALUE"""),0.0)</f>
        <v>0</v>
      </c>
      <c r="L307" s="250" t="str">
        <f>IFERROR(__xludf.DUMMYFUNCTION("""COMPUTED_VALUE"""),"")</f>
        <v/>
      </c>
      <c r="M307" s="250" t="str">
        <f>IFERROR(__xludf.DUMMYFUNCTION("""COMPUTED_VALUE"""),"")</f>
        <v/>
      </c>
      <c r="N307" s="250" t="str">
        <f>IFERROR(__xludf.DUMMYFUNCTION("""COMPUTED_VALUE"""),"")</f>
        <v/>
      </c>
      <c r="O307" s="250" t="str">
        <f>IFERROR(__xludf.DUMMYFUNCTION("""COMPUTED_VALUE"""),"")</f>
        <v/>
      </c>
      <c r="P307" s="250" t="str">
        <f>IFERROR(__xludf.DUMMYFUNCTION("""COMPUTED_VALUE"""),"")</f>
        <v/>
      </c>
      <c r="Q307" s="250" t="str">
        <f>IFERROR(__xludf.DUMMYFUNCTION("""COMPUTED_VALUE"""),"")</f>
        <v/>
      </c>
      <c r="R307" s="250" t="str">
        <f>IFERROR(__xludf.DUMMYFUNCTION("""COMPUTED_VALUE"""),"")</f>
        <v/>
      </c>
      <c r="U307" s="250" t="str">
        <f>IFERROR(__xludf.DUMMYFUNCTION("""COMPUTED_VALUE"""),"#N/A")</f>
        <v>#N/A</v>
      </c>
      <c r="V307" s="250" t="str">
        <f>IFERROR(__xludf.DUMMYFUNCTION("""COMPUTED_VALUE"""),"#N/A")</f>
        <v>#N/A</v>
      </c>
      <c r="W307" s="250" t="str">
        <f>IFERROR(__xludf.DUMMYFUNCTION("""COMPUTED_VALUE"""),"#N/A")</f>
        <v>#N/A</v>
      </c>
      <c r="X307" t="b">
        <f t="shared" ref="X307:Z307" si="590">ISBLANK(K307)</f>
        <v>1</v>
      </c>
      <c r="Y307" t="b">
        <f t="shared" si="590"/>
        <v>0</v>
      </c>
      <c r="Z307" t="b">
        <f t="shared" si="590"/>
        <v>0</v>
      </c>
      <c r="AA307">
        <f t="shared" ref="AA307:AC307" si="591">IF(X307=FALSE,1,0)</f>
        <v>0</v>
      </c>
      <c r="AB307">
        <f t="shared" si="591"/>
        <v>1</v>
      </c>
      <c r="AC307">
        <f t="shared" si="591"/>
        <v>1</v>
      </c>
      <c r="AD307">
        <f t="shared" si="6"/>
        <v>2</v>
      </c>
      <c r="AE307">
        <f t="shared" si="7"/>
        <v>1</v>
      </c>
      <c r="AF307">
        <f>if(iferror(vlookup($A307,'Description Database'!$E$2:$H$951,3,0),0)=TRUE,1,0)</f>
        <v>0</v>
      </c>
      <c r="AG307">
        <f>if(iferror(vlookup($A307,'Description Database'!$E$2:$H$951,4,0),0)=TRUE,1,0)</f>
        <v>0</v>
      </c>
    </row>
    <row r="308">
      <c r="A308" t="str">
        <f>IFERROR(__xludf.DUMMYFUNCTION("""COMPUTED_VALUE"""),"Samsung GALAXY S7 EDGE (4 GB/32GB)")</f>
        <v>Samsung GALAXY S7 EDGE (4 GB/32GB)</v>
      </c>
      <c r="B308" t="str">
        <f>IFERROR(__xludf.DUMMYFUNCTION("""COMPUTED_VALUE"""),"")</f>
        <v/>
      </c>
      <c r="C308" t="str">
        <f>IFERROR(__xludf.DUMMYFUNCTION("""COMPUTED_VALUE"""),"")</f>
        <v/>
      </c>
      <c r="D308" t="str">
        <f>IFERROR(__xludf.DUMMYFUNCTION("""COMPUTED_VALUE"""),"")</f>
        <v/>
      </c>
      <c r="E308" t="str">
        <f>IFERROR(__xludf.DUMMYFUNCTION("""COMPUTED_VALUE"""),"")</f>
        <v/>
      </c>
      <c r="F308" t="str">
        <f>IFERROR(__xludf.DUMMYFUNCTION("""COMPUTED_VALUE"""),"")</f>
        <v/>
      </c>
      <c r="G308" t="str">
        <f>IFERROR(__xludf.DUMMYFUNCTION("""COMPUTED_VALUE"""),"")</f>
        <v/>
      </c>
      <c r="H308" t="str">
        <f>IFERROR(__xludf.DUMMYFUNCTION("""COMPUTED_VALUE"""),"")</f>
        <v/>
      </c>
      <c r="I308">
        <f>IFERROR(__xludf.DUMMYFUNCTION("""COMPUTED_VALUE"""),1.0)</f>
        <v>1</v>
      </c>
      <c r="J308">
        <f>IFERROR(__xludf.DUMMYFUNCTION("""COMPUTED_VALUE"""),1.0)</f>
        <v>1</v>
      </c>
      <c r="L308" s="250" t="str">
        <f>IFERROR(__xludf.DUMMYFUNCTION("""COMPUTED_VALUE"""),"")</f>
        <v/>
      </c>
      <c r="M308" s="250" t="str">
        <f>IFERROR(__xludf.DUMMYFUNCTION("""COMPUTED_VALUE"""),"")</f>
        <v/>
      </c>
      <c r="N308" s="250" t="str">
        <f>IFERROR(__xludf.DUMMYFUNCTION("""COMPUTED_VALUE"""),"")</f>
        <v/>
      </c>
      <c r="O308" s="250" t="str">
        <f>IFERROR(__xludf.DUMMYFUNCTION("""COMPUTED_VALUE"""),"")</f>
        <v/>
      </c>
      <c r="P308" s="250" t="str">
        <f>IFERROR(__xludf.DUMMYFUNCTION("""COMPUTED_VALUE"""),"")</f>
        <v/>
      </c>
      <c r="Q308" s="250" t="str">
        <f>IFERROR(__xludf.DUMMYFUNCTION("""COMPUTED_VALUE"""),"")</f>
        <v/>
      </c>
      <c r="R308" s="250" t="str">
        <f>IFERROR(__xludf.DUMMYFUNCTION("""COMPUTED_VALUE"""),"")</f>
        <v/>
      </c>
      <c r="U308" s="250" t="str">
        <f>IFERROR(__xludf.DUMMYFUNCTION("""COMPUTED_VALUE"""),"#N/A")</f>
        <v>#N/A</v>
      </c>
      <c r="V308" s="250" t="str">
        <f>IFERROR(__xludf.DUMMYFUNCTION("""COMPUTED_VALUE"""),"#N/A")</f>
        <v>#N/A</v>
      </c>
      <c r="W308" s="250" t="str">
        <f>IFERROR(__xludf.DUMMYFUNCTION("""COMPUTED_VALUE"""),"#N/A")</f>
        <v>#N/A</v>
      </c>
      <c r="X308" t="b">
        <f t="shared" ref="X308:Z308" si="592">ISBLANK(K308)</f>
        <v>1</v>
      </c>
      <c r="Y308" t="b">
        <f t="shared" si="592"/>
        <v>0</v>
      </c>
      <c r="Z308" t="b">
        <f t="shared" si="592"/>
        <v>0</v>
      </c>
      <c r="AA308">
        <f t="shared" ref="AA308:AC308" si="593">IF(X308=FALSE,1,0)</f>
        <v>0</v>
      </c>
      <c r="AB308">
        <f t="shared" si="593"/>
        <v>1</v>
      </c>
      <c r="AC308">
        <f t="shared" si="593"/>
        <v>1</v>
      </c>
      <c r="AD308">
        <f t="shared" si="6"/>
        <v>2</v>
      </c>
      <c r="AE308">
        <f t="shared" si="7"/>
        <v>1</v>
      </c>
      <c r="AF308">
        <f>if(iferror(vlookup($A308,'Description Database'!$E$2:$H$951,3,0),0)=TRUE,1,0)</f>
        <v>0</v>
      </c>
      <c r="AG308">
        <f>if(iferror(vlookup($A308,'Description Database'!$E$2:$H$951,4,0),0)=TRUE,1,0)</f>
        <v>0</v>
      </c>
    </row>
    <row r="309">
      <c r="A309" t="str">
        <f>IFERROR(__xludf.DUMMYFUNCTION("""COMPUTED_VALUE"""),"Samsung GALAXY ON7 PRO (1 GB/8 GB)")</f>
        <v>Samsung GALAXY ON7 PRO (1 GB/8 GB)</v>
      </c>
      <c r="B309" t="str">
        <f>IFERROR(__xludf.DUMMYFUNCTION("""COMPUTED_VALUE"""),"")</f>
        <v/>
      </c>
      <c r="C309" t="str">
        <f>IFERROR(__xludf.DUMMYFUNCTION("""COMPUTED_VALUE"""),"")</f>
        <v/>
      </c>
      <c r="D309" t="str">
        <f>IFERROR(__xludf.DUMMYFUNCTION("""COMPUTED_VALUE"""),"")</f>
        <v/>
      </c>
      <c r="E309" t="str">
        <f>IFERROR(__xludf.DUMMYFUNCTION("""COMPUTED_VALUE"""),"")</f>
        <v/>
      </c>
      <c r="F309" t="str">
        <f>IFERROR(__xludf.DUMMYFUNCTION("""COMPUTED_VALUE"""),"")</f>
        <v/>
      </c>
      <c r="G309" t="str">
        <f>IFERROR(__xludf.DUMMYFUNCTION("""COMPUTED_VALUE"""),"")</f>
        <v/>
      </c>
      <c r="H309" t="str">
        <f>IFERROR(__xludf.DUMMYFUNCTION("""COMPUTED_VALUE"""),"")</f>
        <v/>
      </c>
      <c r="I309">
        <f>IFERROR(__xludf.DUMMYFUNCTION("""COMPUTED_VALUE"""),1.0)</f>
        <v>1</v>
      </c>
      <c r="J309">
        <f>IFERROR(__xludf.DUMMYFUNCTION("""COMPUTED_VALUE"""),1.0)</f>
        <v>1</v>
      </c>
      <c r="L309" s="250" t="str">
        <f>IFERROR(__xludf.DUMMYFUNCTION("""COMPUTED_VALUE"""),"")</f>
        <v/>
      </c>
      <c r="M309" s="250" t="str">
        <f>IFERROR(__xludf.DUMMYFUNCTION("""COMPUTED_VALUE"""),"")</f>
        <v/>
      </c>
      <c r="N309" s="250" t="str">
        <f>IFERROR(__xludf.DUMMYFUNCTION("""COMPUTED_VALUE"""),"")</f>
        <v/>
      </c>
      <c r="O309" s="250" t="str">
        <f>IFERROR(__xludf.DUMMYFUNCTION("""COMPUTED_VALUE"""),"")</f>
        <v/>
      </c>
      <c r="P309" s="250" t="str">
        <f>IFERROR(__xludf.DUMMYFUNCTION("""COMPUTED_VALUE"""),"")</f>
        <v/>
      </c>
      <c r="Q309" s="250" t="str">
        <f>IFERROR(__xludf.DUMMYFUNCTION("""COMPUTED_VALUE"""),"")</f>
        <v/>
      </c>
      <c r="R309" s="250" t="str">
        <f>IFERROR(__xludf.DUMMYFUNCTION("""COMPUTED_VALUE"""),"")</f>
        <v/>
      </c>
      <c r="U309" s="250" t="str">
        <f>IFERROR(__xludf.DUMMYFUNCTION("""COMPUTED_VALUE"""),"#N/A")</f>
        <v>#N/A</v>
      </c>
      <c r="V309" s="250" t="str">
        <f>IFERROR(__xludf.DUMMYFUNCTION("""COMPUTED_VALUE"""),"#N/A")</f>
        <v>#N/A</v>
      </c>
      <c r="W309" s="250" t="str">
        <f>IFERROR(__xludf.DUMMYFUNCTION("""COMPUTED_VALUE"""),"#N/A")</f>
        <v>#N/A</v>
      </c>
      <c r="X309" t="b">
        <f t="shared" ref="X309:Z309" si="594">ISBLANK(K309)</f>
        <v>1</v>
      </c>
      <c r="Y309" t="b">
        <f t="shared" si="594"/>
        <v>0</v>
      </c>
      <c r="Z309" t="b">
        <f t="shared" si="594"/>
        <v>0</v>
      </c>
      <c r="AA309">
        <f t="shared" ref="AA309:AC309" si="595">IF(X309=FALSE,1,0)</f>
        <v>0</v>
      </c>
      <c r="AB309">
        <f t="shared" si="595"/>
        <v>1</v>
      </c>
      <c r="AC309">
        <f t="shared" si="595"/>
        <v>1</v>
      </c>
      <c r="AD309">
        <f t="shared" si="6"/>
        <v>2</v>
      </c>
      <c r="AE309">
        <f t="shared" si="7"/>
        <v>1</v>
      </c>
      <c r="AF309">
        <f>if(iferror(vlookup($A309,'Description Database'!$E$2:$H$951,3,0),0)=TRUE,1,0)</f>
        <v>0</v>
      </c>
      <c r="AG309">
        <f>if(iferror(vlookup($A309,'Description Database'!$E$2:$H$951,4,0),0)=TRUE,1,0)</f>
        <v>0</v>
      </c>
    </row>
    <row r="310">
      <c r="A310" t="str">
        <f>IFERROR(__xludf.DUMMYFUNCTION("""COMPUTED_VALUE"""),"Samsung GALAXY J5 PRIME (3 GB/32 GB)")</f>
        <v>Samsung GALAXY J5 PRIME (3 GB/32 GB)</v>
      </c>
      <c r="B310" t="str">
        <f>IFERROR(__xludf.DUMMYFUNCTION("""COMPUTED_VALUE"""),"")</f>
        <v/>
      </c>
      <c r="C310" t="str">
        <f>IFERROR(__xludf.DUMMYFUNCTION("""COMPUTED_VALUE"""),"")</f>
        <v/>
      </c>
      <c r="D310" t="str">
        <f>IFERROR(__xludf.DUMMYFUNCTION("""COMPUTED_VALUE"""),"")</f>
        <v/>
      </c>
      <c r="E310" t="str">
        <f>IFERROR(__xludf.DUMMYFUNCTION("""COMPUTED_VALUE"""),"")</f>
        <v/>
      </c>
      <c r="F310" t="str">
        <f>IFERROR(__xludf.DUMMYFUNCTION("""COMPUTED_VALUE"""),"")</f>
        <v/>
      </c>
      <c r="G310">
        <f>IFERROR(__xludf.DUMMYFUNCTION("""COMPUTED_VALUE"""),1.0)</f>
        <v>1</v>
      </c>
      <c r="H310" t="str">
        <f>IFERROR(__xludf.DUMMYFUNCTION("""COMPUTED_VALUE"""),"")</f>
        <v/>
      </c>
      <c r="I310">
        <f>IFERROR(__xludf.DUMMYFUNCTION("""COMPUTED_VALUE"""),2.0)</f>
        <v>2</v>
      </c>
      <c r="J310">
        <f>IFERROR(__xludf.DUMMYFUNCTION("""COMPUTED_VALUE"""),3.0)</f>
        <v>3</v>
      </c>
      <c r="L310" s="250" t="str">
        <f>IFERROR(__xludf.DUMMYFUNCTION("""COMPUTED_VALUE"""),"")</f>
        <v/>
      </c>
      <c r="M310" s="250" t="str">
        <f>IFERROR(__xludf.DUMMYFUNCTION("""COMPUTED_VALUE"""),"")</f>
        <v/>
      </c>
      <c r="N310" s="250" t="str">
        <f>IFERROR(__xludf.DUMMYFUNCTION("""COMPUTED_VALUE"""),"")</f>
        <v/>
      </c>
      <c r="O310" s="250" t="str">
        <f>IFERROR(__xludf.DUMMYFUNCTION("""COMPUTED_VALUE"""),"")</f>
        <v/>
      </c>
      <c r="P310" s="250" t="str">
        <f>IFERROR(__xludf.DUMMYFUNCTION("""COMPUTED_VALUE"""),"")</f>
        <v/>
      </c>
      <c r="Q310" s="250">
        <f>IFERROR(__xludf.DUMMYFUNCTION("""COMPUTED_VALUE"""),2189.0)</f>
        <v>2189</v>
      </c>
      <c r="R310" s="250" t="str">
        <f>IFERROR(__xludf.DUMMYFUNCTION("""COMPUTED_VALUE"""),"")</f>
        <v/>
      </c>
      <c r="U310" s="250">
        <f>IFERROR(__xludf.DUMMYFUNCTION("""COMPUTED_VALUE"""),4839.0)</f>
        <v>4839</v>
      </c>
      <c r="V310" s="250">
        <f>IFERROR(__xludf.DUMMYFUNCTION("""COMPUTED_VALUE"""),4609.0)</f>
        <v>4609</v>
      </c>
      <c r="W310" s="250">
        <f>IFERROR(__xludf.DUMMYFUNCTION("""COMPUTED_VALUE"""),4149.0)</f>
        <v>4149</v>
      </c>
      <c r="X310" t="b">
        <f t="shared" ref="X310:Z310" si="596">ISBLANK(K310)</f>
        <v>1</v>
      </c>
      <c r="Y310" t="b">
        <f t="shared" si="596"/>
        <v>0</v>
      </c>
      <c r="Z310" t="b">
        <f t="shared" si="596"/>
        <v>0</v>
      </c>
      <c r="AA310">
        <f t="shared" ref="AA310:AC310" si="597">IF(X310=FALSE,1,0)</f>
        <v>0</v>
      </c>
      <c r="AB310">
        <f t="shared" si="597"/>
        <v>1</v>
      </c>
      <c r="AC310">
        <f t="shared" si="597"/>
        <v>1</v>
      </c>
      <c r="AD310">
        <f t="shared" si="6"/>
        <v>2</v>
      </c>
      <c r="AE310">
        <f t="shared" si="7"/>
        <v>1</v>
      </c>
      <c r="AF310">
        <f>if(iferror(vlookup($A310,'Description Database'!$E$2:$H$951,3,0),0)=TRUE,1,0)</f>
        <v>0</v>
      </c>
      <c r="AG310">
        <f>if(iferror(vlookup($A310,'Description Database'!$E$2:$H$951,4,0),0)=TRUE,1,0)</f>
        <v>0</v>
      </c>
    </row>
    <row r="311">
      <c r="A311" t="str">
        <f>IFERROR(__xludf.DUMMYFUNCTION("""COMPUTED_VALUE"""),"Samsung GALAXY J6 (4 GB/64 GB)")</f>
        <v>Samsung GALAXY J6 (4 GB/64 GB)</v>
      </c>
      <c r="B311" t="str">
        <f>IFERROR(__xludf.DUMMYFUNCTION("""COMPUTED_VALUE"""),"")</f>
        <v/>
      </c>
      <c r="C311" t="str">
        <f>IFERROR(__xludf.DUMMYFUNCTION("""COMPUTED_VALUE"""),"")</f>
        <v/>
      </c>
      <c r="D311" t="str">
        <f>IFERROR(__xludf.DUMMYFUNCTION("""COMPUTED_VALUE"""),"")</f>
        <v/>
      </c>
      <c r="E311" t="str">
        <f>IFERROR(__xludf.DUMMYFUNCTION("""COMPUTED_VALUE"""),"")</f>
        <v/>
      </c>
      <c r="F311">
        <f>IFERROR(__xludf.DUMMYFUNCTION("""COMPUTED_VALUE"""),1.0)</f>
        <v>1</v>
      </c>
      <c r="G311" t="str">
        <f>IFERROR(__xludf.DUMMYFUNCTION("""COMPUTED_VALUE"""),"")</f>
        <v/>
      </c>
      <c r="H311" t="str">
        <f>IFERROR(__xludf.DUMMYFUNCTION("""COMPUTED_VALUE"""),"")</f>
        <v/>
      </c>
      <c r="I311">
        <f>IFERROR(__xludf.DUMMYFUNCTION("""COMPUTED_VALUE"""),7.0)</f>
        <v>7</v>
      </c>
      <c r="J311">
        <f>IFERROR(__xludf.DUMMYFUNCTION("""COMPUTED_VALUE"""),8.0)</f>
        <v>8</v>
      </c>
      <c r="L311" s="250" t="str">
        <f>IFERROR(__xludf.DUMMYFUNCTION("""COMPUTED_VALUE"""),"")</f>
        <v/>
      </c>
      <c r="M311" s="250" t="str">
        <f>IFERROR(__xludf.DUMMYFUNCTION("""COMPUTED_VALUE"""),"")</f>
        <v/>
      </c>
      <c r="N311" s="250" t="str">
        <f>IFERROR(__xludf.DUMMYFUNCTION("""COMPUTED_VALUE"""),"")</f>
        <v/>
      </c>
      <c r="O311" s="250" t="str">
        <f>IFERROR(__xludf.DUMMYFUNCTION("""COMPUTED_VALUE"""),"")</f>
        <v/>
      </c>
      <c r="P311" s="250">
        <f>IFERROR(__xludf.DUMMYFUNCTION("""COMPUTED_VALUE"""),3959.0)</f>
        <v>3959</v>
      </c>
      <c r="Q311" s="250" t="str">
        <f>IFERROR(__xludf.DUMMYFUNCTION("""COMPUTED_VALUE"""),"")</f>
        <v/>
      </c>
      <c r="R311" s="250" t="str">
        <f>IFERROR(__xludf.DUMMYFUNCTION("""COMPUTED_VALUE"""),"")</f>
        <v/>
      </c>
      <c r="U311" s="250">
        <f>IFERROR(__xludf.DUMMYFUNCTION("""COMPUTED_VALUE"""),6079.0)</f>
        <v>6079</v>
      </c>
      <c r="V311" s="250">
        <f>IFERROR(__xludf.DUMMYFUNCTION("""COMPUTED_VALUE"""),5779.0)</f>
        <v>5779</v>
      </c>
      <c r="W311" s="250">
        <f>IFERROR(__xludf.DUMMYFUNCTION("""COMPUTED_VALUE"""),5209.0)</f>
        <v>5209</v>
      </c>
      <c r="X311" t="b">
        <f t="shared" ref="X311:Z311" si="598">ISBLANK(K311)</f>
        <v>1</v>
      </c>
      <c r="Y311" t="b">
        <f t="shared" si="598"/>
        <v>0</v>
      </c>
      <c r="Z311" t="b">
        <f t="shared" si="598"/>
        <v>0</v>
      </c>
      <c r="AA311">
        <f t="shared" ref="AA311:AC311" si="599">IF(X311=FALSE,1,0)</f>
        <v>0</v>
      </c>
      <c r="AB311">
        <f t="shared" si="599"/>
        <v>1</v>
      </c>
      <c r="AC311">
        <f t="shared" si="599"/>
        <v>1</v>
      </c>
      <c r="AD311">
        <f t="shared" si="6"/>
        <v>2</v>
      </c>
      <c r="AE311">
        <f t="shared" si="7"/>
        <v>1</v>
      </c>
      <c r="AF311">
        <f>if(iferror(vlookup($A311,'Description Database'!$E$2:$H$951,3,0),0)=TRUE,1,0)</f>
        <v>0</v>
      </c>
      <c r="AG311">
        <f>if(iferror(vlookup($A311,'Description Database'!$E$2:$H$951,4,0),0)=TRUE,1,0)</f>
        <v>0</v>
      </c>
    </row>
    <row r="312">
      <c r="A312" t="str">
        <f>IFERROR(__xludf.DUMMYFUNCTION("""COMPUTED_VALUE"""),"Motorola MOTO E3 POWER (2 GB/16 GB)")</f>
        <v>Motorola MOTO E3 POWER (2 GB/16 GB)</v>
      </c>
      <c r="B312" t="str">
        <f>IFERROR(__xludf.DUMMYFUNCTION("""COMPUTED_VALUE"""),"")</f>
        <v/>
      </c>
      <c r="C312" t="str">
        <f>IFERROR(__xludf.DUMMYFUNCTION("""COMPUTED_VALUE"""),"")</f>
        <v/>
      </c>
      <c r="D312" t="str">
        <f>IFERROR(__xludf.DUMMYFUNCTION("""COMPUTED_VALUE"""),"")</f>
        <v/>
      </c>
      <c r="E312" t="str">
        <f>IFERROR(__xludf.DUMMYFUNCTION("""COMPUTED_VALUE"""),"")</f>
        <v/>
      </c>
      <c r="F312" t="str">
        <f>IFERROR(__xludf.DUMMYFUNCTION("""COMPUTED_VALUE"""),"")</f>
        <v/>
      </c>
      <c r="G312">
        <f>IFERROR(__xludf.DUMMYFUNCTION("""COMPUTED_VALUE"""),3.0)</f>
        <v>3</v>
      </c>
      <c r="H312" t="str">
        <f>IFERROR(__xludf.DUMMYFUNCTION("""COMPUTED_VALUE"""),"")</f>
        <v/>
      </c>
      <c r="I312">
        <f>IFERROR(__xludf.DUMMYFUNCTION("""COMPUTED_VALUE"""),62.0)</f>
        <v>62</v>
      </c>
      <c r="J312">
        <f>IFERROR(__xludf.DUMMYFUNCTION("""COMPUTED_VALUE"""),65.0)</f>
        <v>65</v>
      </c>
      <c r="L312" s="250" t="str">
        <f>IFERROR(__xludf.DUMMYFUNCTION("""COMPUTED_VALUE"""),"")</f>
        <v/>
      </c>
      <c r="M312" s="250" t="str">
        <f>IFERROR(__xludf.DUMMYFUNCTION("""COMPUTED_VALUE"""),"")</f>
        <v/>
      </c>
      <c r="N312" s="250" t="str">
        <f>IFERROR(__xludf.DUMMYFUNCTION("""COMPUTED_VALUE"""),"")</f>
        <v/>
      </c>
      <c r="O312" s="250" t="str">
        <f>IFERROR(__xludf.DUMMYFUNCTION("""COMPUTED_VALUE"""),"")</f>
        <v/>
      </c>
      <c r="P312" s="250" t="str">
        <f>IFERROR(__xludf.DUMMYFUNCTION("""COMPUTED_VALUE"""),"")</f>
        <v/>
      </c>
      <c r="Q312" s="250">
        <f>IFERROR(__xludf.DUMMYFUNCTION("""COMPUTED_VALUE"""),1289.0)</f>
        <v>1289</v>
      </c>
      <c r="R312" s="250" t="str">
        <f>IFERROR(__xludf.DUMMYFUNCTION("""COMPUTED_VALUE"""),"")</f>
        <v/>
      </c>
      <c r="U312" s="250">
        <f>IFERROR(__xludf.DUMMYFUNCTION("""COMPUTED_VALUE"""),2779.0)</f>
        <v>2779</v>
      </c>
      <c r="V312" s="250">
        <f>IFERROR(__xludf.DUMMYFUNCTION("""COMPUTED_VALUE"""),2639.0)</f>
        <v>2639</v>
      </c>
      <c r="W312" s="250">
        <f>IFERROR(__xludf.DUMMYFUNCTION("""COMPUTED_VALUE"""),2409.0)</f>
        <v>2409</v>
      </c>
      <c r="X312" t="b">
        <f t="shared" ref="X312:Z312" si="600">ISBLANK(K312)</f>
        <v>1</v>
      </c>
      <c r="Y312" t="b">
        <f t="shared" si="600"/>
        <v>0</v>
      </c>
      <c r="Z312" t="b">
        <f t="shared" si="600"/>
        <v>0</v>
      </c>
      <c r="AA312">
        <f t="shared" ref="AA312:AC312" si="601">IF(X312=FALSE,1,0)</f>
        <v>0</v>
      </c>
      <c r="AB312">
        <f t="shared" si="601"/>
        <v>1</v>
      </c>
      <c r="AC312">
        <f t="shared" si="601"/>
        <v>1</v>
      </c>
      <c r="AD312">
        <f t="shared" si="6"/>
        <v>2</v>
      </c>
      <c r="AE312">
        <f t="shared" si="7"/>
        <v>1</v>
      </c>
      <c r="AF312">
        <f>if(iferror(vlookup($A312,'Description Database'!$E$2:$H$951,3,0),0)=TRUE,1,0)</f>
        <v>0</v>
      </c>
      <c r="AG312">
        <f>if(iferror(vlookup($A312,'Description Database'!$E$2:$H$951,4,0),0)=TRUE,1,0)</f>
        <v>0</v>
      </c>
    </row>
    <row r="313">
      <c r="A313" t="str">
        <f>IFERROR(__xludf.DUMMYFUNCTION("""COMPUTED_VALUE"""),"Lenovo K6 Note (3 GB/32 GB)")</f>
        <v>Lenovo K6 Note (3 GB/32 GB)</v>
      </c>
      <c r="B313" t="str">
        <f>IFERROR(__xludf.DUMMYFUNCTION("""COMPUTED_VALUE"""),"")</f>
        <v/>
      </c>
      <c r="C313" t="str">
        <f>IFERROR(__xludf.DUMMYFUNCTION("""COMPUTED_VALUE"""),"")</f>
        <v/>
      </c>
      <c r="D313" t="str">
        <f>IFERROR(__xludf.DUMMYFUNCTION("""COMPUTED_VALUE"""),"")</f>
        <v/>
      </c>
      <c r="E313" t="str">
        <f>IFERROR(__xludf.DUMMYFUNCTION("""COMPUTED_VALUE"""),"")</f>
        <v/>
      </c>
      <c r="F313">
        <f>IFERROR(__xludf.DUMMYFUNCTION("""COMPUTED_VALUE"""),1.0)</f>
        <v>1</v>
      </c>
      <c r="G313" t="str">
        <f>IFERROR(__xludf.DUMMYFUNCTION("""COMPUTED_VALUE"""),"")</f>
        <v/>
      </c>
      <c r="H313" t="str">
        <f>IFERROR(__xludf.DUMMYFUNCTION("""COMPUTED_VALUE"""),"")</f>
        <v/>
      </c>
      <c r="I313">
        <f>IFERROR(__xludf.DUMMYFUNCTION("""COMPUTED_VALUE"""),8.0)</f>
        <v>8</v>
      </c>
      <c r="J313">
        <f>IFERROR(__xludf.DUMMYFUNCTION("""COMPUTED_VALUE"""),9.0)</f>
        <v>9</v>
      </c>
      <c r="L313" s="250" t="str">
        <f>IFERROR(__xludf.DUMMYFUNCTION("""COMPUTED_VALUE"""),"")</f>
        <v/>
      </c>
      <c r="M313" s="250" t="str">
        <f>IFERROR(__xludf.DUMMYFUNCTION("""COMPUTED_VALUE"""),"")</f>
        <v/>
      </c>
      <c r="N313" s="250" t="str">
        <f>IFERROR(__xludf.DUMMYFUNCTION("""COMPUTED_VALUE"""),"")</f>
        <v/>
      </c>
      <c r="O313" s="250" t="str">
        <f>IFERROR(__xludf.DUMMYFUNCTION("""COMPUTED_VALUE"""),"")</f>
        <v/>
      </c>
      <c r="P313" s="250">
        <f>IFERROR(__xludf.DUMMYFUNCTION("""COMPUTED_VALUE"""),2379.0)</f>
        <v>2379</v>
      </c>
      <c r="Q313" s="250" t="str">
        <f>IFERROR(__xludf.DUMMYFUNCTION("""COMPUTED_VALUE"""),"")</f>
        <v/>
      </c>
      <c r="R313" s="250" t="str">
        <f>IFERROR(__xludf.DUMMYFUNCTION("""COMPUTED_VALUE"""),"")</f>
        <v/>
      </c>
      <c r="U313" s="250">
        <f>IFERROR(__xludf.DUMMYFUNCTION("""COMPUTED_VALUE"""),3679.0)</f>
        <v>3679</v>
      </c>
      <c r="V313" s="250">
        <f>IFERROR(__xludf.DUMMYFUNCTION("""COMPUTED_VALUE"""),3499.0)</f>
        <v>3499</v>
      </c>
      <c r="W313" s="250">
        <f>IFERROR(__xludf.DUMMYFUNCTION("""COMPUTED_VALUE"""),3149.0)</f>
        <v>3149</v>
      </c>
      <c r="X313" t="b">
        <f t="shared" ref="X313:Z313" si="602">ISBLANK(K313)</f>
        <v>1</v>
      </c>
      <c r="Y313" t="b">
        <f t="shared" si="602"/>
        <v>0</v>
      </c>
      <c r="Z313" t="b">
        <f t="shared" si="602"/>
        <v>0</v>
      </c>
      <c r="AA313">
        <f t="shared" ref="AA313:AC313" si="603">IF(X313=FALSE,1,0)</f>
        <v>0</v>
      </c>
      <c r="AB313">
        <f t="shared" si="603"/>
        <v>1</v>
      </c>
      <c r="AC313">
        <f t="shared" si="603"/>
        <v>1</v>
      </c>
      <c r="AD313">
        <f t="shared" si="6"/>
        <v>2</v>
      </c>
      <c r="AE313">
        <f t="shared" si="7"/>
        <v>1</v>
      </c>
      <c r="AF313">
        <f>if(iferror(vlookup($A313,'Description Database'!$E$2:$H$951,3,0),0)=TRUE,1,0)</f>
        <v>0</v>
      </c>
      <c r="AG313">
        <f>if(iferror(vlookup($A313,'Description Database'!$E$2:$H$951,4,0),0)=TRUE,1,0)</f>
        <v>0</v>
      </c>
    </row>
    <row r="314">
      <c r="A314" t="str">
        <f>IFERROR(__xludf.DUMMYFUNCTION("""COMPUTED_VALUE"""),"Alcatel U5(2 GB 16GB)")</f>
        <v>Alcatel U5(2 GB 16GB)</v>
      </c>
      <c r="B314" t="str">
        <f>IFERROR(__xludf.DUMMYFUNCTION("""COMPUTED_VALUE"""),"")</f>
        <v/>
      </c>
      <c r="C314" t="str">
        <f>IFERROR(__xludf.DUMMYFUNCTION("""COMPUTED_VALUE"""),"")</f>
        <v/>
      </c>
      <c r="D314" t="str">
        <f>IFERROR(__xludf.DUMMYFUNCTION("""COMPUTED_VALUE"""),"")</f>
        <v/>
      </c>
      <c r="E314" t="str">
        <f>IFERROR(__xludf.DUMMYFUNCTION("""COMPUTED_VALUE"""),"")</f>
        <v/>
      </c>
      <c r="F314" t="str">
        <f>IFERROR(__xludf.DUMMYFUNCTION("""COMPUTED_VALUE"""),"")</f>
        <v/>
      </c>
      <c r="G314" t="str">
        <f>IFERROR(__xludf.DUMMYFUNCTION("""COMPUTED_VALUE"""),"")</f>
        <v/>
      </c>
      <c r="H314" t="str">
        <f>IFERROR(__xludf.DUMMYFUNCTION("""COMPUTED_VALUE"""),"")</f>
        <v/>
      </c>
      <c r="I314" t="str">
        <f>IFERROR(__xludf.DUMMYFUNCTION("""COMPUTED_VALUE"""),"")</f>
        <v/>
      </c>
      <c r="J314">
        <f>IFERROR(__xludf.DUMMYFUNCTION("""COMPUTED_VALUE"""),0.0)</f>
        <v>0</v>
      </c>
      <c r="L314" s="250" t="str">
        <f>IFERROR(__xludf.DUMMYFUNCTION("""COMPUTED_VALUE"""),"")</f>
        <v/>
      </c>
      <c r="M314" s="250" t="str">
        <f>IFERROR(__xludf.DUMMYFUNCTION("""COMPUTED_VALUE"""),"")</f>
        <v/>
      </c>
      <c r="N314" s="250" t="str">
        <f>IFERROR(__xludf.DUMMYFUNCTION("""COMPUTED_VALUE"""),"")</f>
        <v/>
      </c>
      <c r="O314" s="250" t="str">
        <f>IFERROR(__xludf.DUMMYFUNCTION("""COMPUTED_VALUE"""),"")</f>
        <v/>
      </c>
      <c r="P314" s="250" t="str">
        <f>IFERROR(__xludf.DUMMYFUNCTION("""COMPUTED_VALUE"""),"")</f>
        <v/>
      </c>
      <c r="Q314" s="250" t="str">
        <f>IFERROR(__xludf.DUMMYFUNCTION("""COMPUTED_VALUE"""),"")</f>
        <v/>
      </c>
      <c r="R314" s="250" t="str">
        <f>IFERROR(__xludf.DUMMYFUNCTION("""COMPUTED_VALUE"""),"")</f>
        <v/>
      </c>
      <c r="U314" s="250" t="str">
        <f>IFERROR(__xludf.DUMMYFUNCTION("""COMPUTED_VALUE"""),"#N/A")</f>
        <v>#N/A</v>
      </c>
      <c r="V314" s="250" t="str">
        <f>IFERROR(__xludf.DUMMYFUNCTION("""COMPUTED_VALUE"""),"#N/A")</f>
        <v>#N/A</v>
      </c>
      <c r="W314" s="250" t="str">
        <f>IFERROR(__xludf.DUMMYFUNCTION("""COMPUTED_VALUE"""),"#N/A")</f>
        <v>#N/A</v>
      </c>
      <c r="X314" t="b">
        <f t="shared" ref="X314:Z314" si="604">ISBLANK(K314)</f>
        <v>1</v>
      </c>
      <c r="Y314" t="b">
        <f t="shared" si="604"/>
        <v>0</v>
      </c>
      <c r="Z314" t="b">
        <f t="shared" si="604"/>
        <v>0</v>
      </c>
      <c r="AA314">
        <f t="shared" ref="AA314:AC314" si="605">IF(X314=FALSE,1,0)</f>
        <v>0</v>
      </c>
      <c r="AB314">
        <f t="shared" si="605"/>
        <v>1</v>
      </c>
      <c r="AC314">
        <f t="shared" si="605"/>
        <v>1</v>
      </c>
      <c r="AD314">
        <f t="shared" si="6"/>
        <v>2</v>
      </c>
      <c r="AE314">
        <f t="shared" si="7"/>
        <v>1</v>
      </c>
      <c r="AF314">
        <f>if(iferror(vlookup($A314,'Description Database'!$E$2:$H$951,3,0),0)=TRUE,1,0)</f>
        <v>0</v>
      </c>
      <c r="AG314">
        <f>if(iferror(vlookup($A314,'Description Database'!$E$2:$H$951,4,0),0)=TRUE,1,0)</f>
        <v>0</v>
      </c>
    </row>
    <row r="315">
      <c r="A315" t="str">
        <f>IFERROR(__xludf.DUMMYFUNCTION("""COMPUTED_VALUE"""),"Lenovo Z2 PLUS (4 GB/64 GB)")</f>
        <v>Lenovo Z2 PLUS (4 GB/64 GB)</v>
      </c>
      <c r="B315" t="str">
        <f>IFERROR(__xludf.DUMMYFUNCTION("""COMPUTED_VALUE"""),"")</f>
        <v/>
      </c>
      <c r="C315" t="str">
        <f>IFERROR(__xludf.DUMMYFUNCTION("""COMPUTED_VALUE"""),"")</f>
        <v/>
      </c>
      <c r="D315" t="str">
        <f>IFERROR(__xludf.DUMMYFUNCTION("""COMPUTED_VALUE"""),"")</f>
        <v/>
      </c>
      <c r="E315" t="str">
        <f>IFERROR(__xludf.DUMMYFUNCTION("""COMPUTED_VALUE"""),"")</f>
        <v/>
      </c>
      <c r="F315" t="str">
        <f>IFERROR(__xludf.DUMMYFUNCTION("""COMPUTED_VALUE"""),"")</f>
        <v/>
      </c>
      <c r="G315">
        <f>IFERROR(__xludf.DUMMYFUNCTION("""COMPUTED_VALUE"""),1.0)</f>
        <v>1</v>
      </c>
      <c r="H315" t="str">
        <f>IFERROR(__xludf.DUMMYFUNCTION("""COMPUTED_VALUE"""),"")</f>
        <v/>
      </c>
      <c r="I315">
        <f>IFERROR(__xludf.DUMMYFUNCTION("""COMPUTED_VALUE"""),1.0)</f>
        <v>1</v>
      </c>
      <c r="J315">
        <f>IFERROR(__xludf.DUMMYFUNCTION("""COMPUTED_VALUE"""),2.0)</f>
        <v>2</v>
      </c>
      <c r="L315" s="250" t="str">
        <f>IFERROR(__xludf.DUMMYFUNCTION("""COMPUTED_VALUE"""),"")</f>
        <v/>
      </c>
      <c r="M315" s="250" t="str">
        <f>IFERROR(__xludf.DUMMYFUNCTION("""COMPUTED_VALUE"""),"")</f>
        <v/>
      </c>
      <c r="N315" s="250" t="str">
        <f>IFERROR(__xludf.DUMMYFUNCTION("""COMPUTED_VALUE"""),"")</f>
        <v/>
      </c>
      <c r="O315" s="250" t="str">
        <f>IFERROR(__xludf.DUMMYFUNCTION("""COMPUTED_VALUE"""),"")</f>
        <v/>
      </c>
      <c r="P315" s="250" t="str">
        <f>IFERROR(__xludf.DUMMYFUNCTION("""COMPUTED_VALUE"""),"")</f>
        <v/>
      </c>
      <c r="Q315" s="250">
        <f>IFERROR(__xludf.DUMMYFUNCTION("""COMPUTED_VALUE"""),1789.0)</f>
        <v>1789</v>
      </c>
      <c r="R315" s="250" t="str">
        <f>IFERROR(__xludf.DUMMYFUNCTION("""COMPUTED_VALUE"""),"")</f>
        <v/>
      </c>
      <c r="U315" s="250">
        <f>IFERROR(__xludf.DUMMYFUNCTION("""COMPUTED_VALUE"""),3559.0)</f>
        <v>3559</v>
      </c>
      <c r="V315" s="250">
        <f>IFERROR(__xludf.DUMMYFUNCTION("""COMPUTED_VALUE"""),3379.0)</f>
        <v>3379</v>
      </c>
      <c r="W315" s="250">
        <f>IFERROR(__xludf.DUMMYFUNCTION("""COMPUTED_VALUE"""),3039.0)</f>
        <v>3039</v>
      </c>
      <c r="X315" t="b">
        <f t="shared" ref="X315:Z315" si="606">ISBLANK(K315)</f>
        <v>1</v>
      </c>
      <c r="Y315" t="b">
        <f t="shared" si="606"/>
        <v>0</v>
      </c>
      <c r="Z315" t="b">
        <f t="shared" si="606"/>
        <v>0</v>
      </c>
      <c r="AA315">
        <f t="shared" ref="AA315:AC315" si="607">IF(X315=FALSE,1,0)</f>
        <v>0</v>
      </c>
      <c r="AB315">
        <f t="shared" si="607"/>
        <v>1</v>
      </c>
      <c r="AC315">
        <f t="shared" si="607"/>
        <v>1</v>
      </c>
      <c r="AD315">
        <f t="shared" si="6"/>
        <v>2</v>
      </c>
      <c r="AE315">
        <f t="shared" si="7"/>
        <v>1</v>
      </c>
      <c r="AF315">
        <f>if(iferror(vlookup($A315,'Description Database'!$E$2:$H$951,3,0),0)=TRUE,1,0)</f>
        <v>0</v>
      </c>
      <c r="AG315">
        <f>if(iferror(vlookup($A315,'Description Database'!$E$2:$H$951,4,0),0)=TRUE,1,0)</f>
        <v>0</v>
      </c>
    </row>
    <row r="316">
      <c r="A316" t="str">
        <f>IFERROR(__xludf.DUMMYFUNCTION("""COMPUTED_VALUE"""),"Lenovo K8 PLUS (3 GB/32 GB)")</f>
        <v>Lenovo K8 PLUS (3 GB/32 GB)</v>
      </c>
      <c r="B316" t="str">
        <f>IFERROR(__xludf.DUMMYFUNCTION("""COMPUTED_VALUE"""),"")</f>
        <v/>
      </c>
      <c r="C316" t="str">
        <f>IFERROR(__xludf.DUMMYFUNCTION("""COMPUTED_VALUE"""),"")</f>
        <v/>
      </c>
      <c r="D316">
        <f>IFERROR(__xludf.DUMMYFUNCTION("""COMPUTED_VALUE"""),2.0)</f>
        <v>2</v>
      </c>
      <c r="E316">
        <f>IFERROR(__xludf.DUMMYFUNCTION("""COMPUTED_VALUE"""),1.0)</f>
        <v>1</v>
      </c>
      <c r="F316" t="str">
        <f>IFERROR(__xludf.DUMMYFUNCTION("""COMPUTED_VALUE"""),"")</f>
        <v/>
      </c>
      <c r="G316">
        <f>IFERROR(__xludf.DUMMYFUNCTION("""COMPUTED_VALUE"""),1.0)</f>
        <v>1</v>
      </c>
      <c r="H316" t="str">
        <f>IFERROR(__xludf.DUMMYFUNCTION("""COMPUTED_VALUE"""),"")</f>
        <v/>
      </c>
      <c r="I316">
        <f>IFERROR(__xludf.DUMMYFUNCTION("""COMPUTED_VALUE"""),41.0)</f>
        <v>41</v>
      </c>
      <c r="J316">
        <f>IFERROR(__xludf.DUMMYFUNCTION("""COMPUTED_VALUE"""),45.0)</f>
        <v>45</v>
      </c>
      <c r="L316" s="250" t="str">
        <f>IFERROR(__xludf.DUMMYFUNCTION("""COMPUTED_VALUE"""),"")</f>
        <v/>
      </c>
      <c r="M316" s="250" t="str">
        <f>IFERROR(__xludf.DUMMYFUNCTION("""COMPUTED_VALUE"""),"")</f>
        <v/>
      </c>
      <c r="N316" s="250">
        <f>IFERROR(__xludf.DUMMYFUNCTION("""COMPUTED_VALUE"""),3059.0)</f>
        <v>3059</v>
      </c>
      <c r="O316" s="250">
        <f>IFERROR(__xludf.DUMMYFUNCTION("""COMPUTED_VALUE"""),2784.0)</f>
        <v>2784</v>
      </c>
      <c r="P316" s="250" t="str">
        <f>IFERROR(__xludf.DUMMYFUNCTION("""COMPUTED_VALUE"""),"")</f>
        <v/>
      </c>
      <c r="Q316" s="250">
        <f>IFERROR(__xludf.DUMMYFUNCTION("""COMPUTED_VALUE"""),1659.0)</f>
        <v>1659</v>
      </c>
      <c r="R316" s="250" t="str">
        <f>IFERROR(__xludf.DUMMYFUNCTION("""COMPUTED_VALUE"""),"")</f>
        <v/>
      </c>
      <c r="U316" s="250">
        <f>IFERROR(__xludf.DUMMYFUNCTION("""COMPUTED_VALUE"""),3859.0)</f>
        <v>3859</v>
      </c>
      <c r="V316" s="250">
        <f>IFERROR(__xludf.DUMMYFUNCTION("""COMPUTED_VALUE"""),3679.0)</f>
        <v>3679</v>
      </c>
      <c r="W316" s="250">
        <f>IFERROR(__xludf.DUMMYFUNCTION("""COMPUTED_VALUE"""),3369.0)</f>
        <v>3369</v>
      </c>
      <c r="X316" t="b">
        <f t="shared" ref="X316:Z316" si="608">ISBLANK(K316)</f>
        <v>1</v>
      </c>
      <c r="Y316" t="b">
        <f t="shared" si="608"/>
        <v>0</v>
      </c>
      <c r="Z316" t="b">
        <f t="shared" si="608"/>
        <v>0</v>
      </c>
      <c r="AA316">
        <f t="shared" ref="AA316:AC316" si="609">IF(X316=FALSE,1,0)</f>
        <v>0</v>
      </c>
      <c r="AB316">
        <f t="shared" si="609"/>
        <v>1</v>
      </c>
      <c r="AC316">
        <f t="shared" si="609"/>
        <v>1</v>
      </c>
      <c r="AD316">
        <f t="shared" si="6"/>
        <v>2</v>
      </c>
      <c r="AE316">
        <f t="shared" si="7"/>
        <v>1</v>
      </c>
      <c r="AF316">
        <f>if(iferror(vlookup($A316,'Description Database'!$E$2:$H$951,3,0),0)=TRUE,1,0)</f>
        <v>0</v>
      </c>
      <c r="AG316">
        <f>if(iferror(vlookup($A316,'Description Database'!$E$2:$H$951,4,0),0)=TRUE,1,0)</f>
        <v>0</v>
      </c>
    </row>
    <row r="317">
      <c r="A317" t="str">
        <f>IFERROR(__xludf.DUMMYFUNCTION("""COMPUTED_VALUE"""),"Xiaomi REDMI 3S PRIME (3 GB/32 GB)")</f>
        <v>Xiaomi REDMI 3S PRIME (3 GB/32 GB)</v>
      </c>
      <c r="B317" t="str">
        <f>IFERROR(__xludf.DUMMYFUNCTION("""COMPUTED_VALUE"""),"")</f>
        <v/>
      </c>
      <c r="C317" t="str">
        <f>IFERROR(__xludf.DUMMYFUNCTION("""COMPUTED_VALUE"""),"")</f>
        <v/>
      </c>
      <c r="D317" t="str">
        <f>IFERROR(__xludf.DUMMYFUNCTION("""COMPUTED_VALUE"""),"")</f>
        <v/>
      </c>
      <c r="E317" t="str">
        <f>IFERROR(__xludf.DUMMYFUNCTION("""COMPUTED_VALUE"""),"")</f>
        <v/>
      </c>
      <c r="F317">
        <f>IFERROR(__xludf.DUMMYFUNCTION("""COMPUTED_VALUE"""),2.0)</f>
        <v>2</v>
      </c>
      <c r="G317" t="str">
        <f>IFERROR(__xludf.DUMMYFUNCTION("""COMPUTED_VALUE"""),"")</f>
        <v/>
      </c>
      <c r="H317">
        <f>IFERROR(__xludf.DUMMYFUNCTION("""COMPUTED_VALUE"""),1.0)</f>
        <v>1</v>
      </c>
      <c r="I317">
        <f>IFERROR(__xludf.DUMMYFUNCTION("""COMPUTED_VALUE"""),93.0)</f>
        <v>93</v>
      </c>
      <c r="J317">
        <f>IFERROR(__xludf.DUMMYFUNCTION("""COMPUTED_VALUE"""),96.0)</f>
        <v>96</v>
      </c>
      <c r="L317" s="250" t="str">
        <f>IFERROR(__xludf.DUMMYFUNCTION("""COMPUTED_VALUE"""),"")</f>
        <v/>
      </c>
      <c r="M317" s="250" t="str">
        <f>IFERROR(__xludf.DUMMYFUNCTION("""COMPUTED_VALUE"""),"")</f>
        <v/>
      </c>
      <c r="N317" s="250" t="str">
        <f>IFERROR(__xludf.DUMMYFUNCTION("""COMPUTED_VALUE"""),"")</f>
        <v/>
      </c>
      <c r="O317" s="250" t="str">
        <f>IFERROR(__xludf.DUMMYFUNCTION("""COMPUTED_VALUE"""),"")</f>
        <v/>
      </c>
      <c r="P317" s="250">
        <f>IFERROR(__xludf.DUMMYFUNCTION("""COMPUTED_VALUE"""),2779.0)</f>
        <v>2779</v>
      </c>
      <c r="Q317" s="250" t="str">
        <f>IFERROR(__xludf.DUMMYFUNCTION("""COMPUTED_VALUE"""),"")</f>
        <v/>
      </c>
      <c r="R317" s="250">
        <f>IFERROR(__xludf.DUMMYFUNCTION("""COMPUTED_VALUE"""),1469.0)</f>
        <v>1469</v>
      </c>
      <c r="U317" s="250">
        <f>IFERROR(__xludf.DUMMYFUNCTION("""COMPUTED_VALUE"""),4269.0)</f>
        <v>4269</v>
      </c>
      <c r="V317" s="250">
        <f>IFERROR(__xludf.DUMMYFUNCTION("""COMPUTED_VALUE"""),4059.0)</f>
        <v>4059</v>
      </c>
      <c r="W317" s="250">
        <f>IFERROR(__xludf.DUMMYFUNCTION("""COMPUTED_VALUE"""),3709.0)</f>
        <v>3709</v>
      </c>
      <c r="X317" t="b">
        <f t="shared" ref="X317:Z317" si="610">ISBLANK(K317)</f>
        <v>1</v>
      </c>
      <c r="Y317" t="b">
        <f t="shared" si="610"/>
        <v>0</v>
      </c>
      <c r="Z317" t="b">
        <f t="shared" si="610"/>
        <v>0</v>
      </c>
      <c r="AA317">
        <f t="shared" ref="AA317:AC317" si="611">IF(X317=FALSE,1,0)</f>
        <v>0</v>
      </c>
      <c r="AB317">
        <f t="shared" si="611"/>
        <v>1</v>
      </c>
      <c r="AC317">
        <f t="shared" si="611"/>
        <v>1</v>
      </c>
      <c r="AD317">
        <f t="shared" si="6"/>
        <v>2</v>
      </c>
      <c r="AE317">
        <f t="shared" si="7"/>
        <v>1</v>
      </c>
      <c r="AF317">
        <f>if(iferror(vlookup($A317,'Description Database'!$E$2:$H$951,3,0),0)=TRUE,1,0)</f>
        <v>0</v>
      </c>
      <c r="AG317">
        <f>if(iferror(vlookup($A317,'Description Database'!$E$2:$H$951,4,0),0)=TRUE,1,0)</f>
        <v>0</v>
      </c>
    </row>
    <row r="318">
      <c r="A318" t="str">
        <f>IFERROR(__xludf.DUMMYFUNCTION("""COMPUTED_VALUE"""),"Xiaomi REDMI 3S (3 GB/32 GB)")</f>
        <v>Xiaomi REDMI 3S (3 GB/32 GB)</v>
      </c>
      <c r="B318" t="str">
        <f>IFERROR(__xludf.DUMMYFUNCTION("""COMPUTED_VALUE"""),"")</f>
        <v/>
      </c>
      <c r="C318" t="str">
        <f>IFERROR(__xludf.DUMMYFUNCTION("""COMPUTED_VALUE"""),"")</f>
        <v/>
      </c>
      <c r="D318" t="str">
        <f>IFERROR(__xludf.DUMMYFUNCTION("""COMPUTED_VALUE"""),"")</f>
        <v/>
      </c>
      <c r="E318" t="str">
        <f>IFERROR(__xludf.DUMMYFUNCTION("""COMPUTED_VALUE"""),"")</f>
        <v/>
      </c>
      <c r="F318" t="str">
        <f>IFERROR(__xludf.DUMMYFUNCTION("""COMPUTED_VALUE"""),"")</f>
        <v/>
      </c>
      <c r="G318" t="str">
        <f>IFERROR(__xludf.DUMMYFUNCTION("""COMPUTED_VALUE"""),"")</f>
        <v/>
      </c>
      <c r="H318" t="str">
        <f>IFERROR(__xludf.DUMMYFUNCTION("""COMPUTED_VALUE"""),"")</f>
        <v/>
      </c>
      <c r="I318">
        <f>IFERROR(__xludf.DUMMYFUNCTION("""COMPUTED_VALUE"""),3.0)</f>
        <v>3</v>
      </c>
      <c r="J318">
        <f>IFERROR(__xludf.DUMMYFUNCTION("""COMPUTED_VALUE"""),3.0)</f>
        <v>3</v>
      </c>
      <c r="L318" s="250" t="str">
        <f>IFERROR(__xludf.DUMMYFUNCTION("""COMPUTED_VALUE"""),"")</f>
        <v/>
      </c>
      <c r="M318" s="250" t="str">
        <f>IFERROR(__xludf.DUMMYFUNCTION("""COMPUTED_VALUE"""),"")</f>
        <v/>
      </c>
      <c r="N318" s="250" t="str">
        <f>IFERROR(__xludf.DUMMYFUNCTION("""COMPUTED_VALUE"""),"")</f>
        <v/>
      </c>
      <c r="O318" s="250" t="str">
        <f>IFERROR(__xludf.DUMMYFUNCTION("""COMPUTED_VALUE"""),"")</f>
        <v/>
      </c>
      <c r="P318" s="250" t="str">
        <f>IFERROR(__xludf.DUMMYFUNCTION("""COMPUTED_VALUE"""),"")</f>
        <v/>
      </c>
      <c r="Q318" s="250" t="str">
        <f>IFERROR(__xludf.DUMMYFUNCTION("""COMPUTED_VALUE"""),"")</f>
        <v/>
      </c>
      <c r="R318" s="250" t="str">
        <f>IFERROR(__xludf.DUMMYFUNCTION("""COMPUTED_VALUE"""),"")</f>
        <v/>
      </c>
      <c r="U318" s="250">
        <f>IFERROR(__xludf.DUMMYFUNCTION("""COMPUTED_VALUE"""),3849.0)</f>
        <v>3849</v>
      </c>
      <c r="V318" s="250">
        <f>IFERROR(__xludf.DUMMYFUNCTION("""COMPUTED_VALUE"""),3669.0)</f>
        <v>3669</v>
      </c>
      <c r="W318" s="250">
        <f>IFERROR(__xludf.DUMMYFUNCTION("""COMPUTED_VALUE"""),3299.0)</f>
        <v>3299</v>
      </c>
      <c r="X318" t="b">
        <f t="shared" ref="X318:Z318" si="612">ISBLANK(K318)</f>
        <v>1</v>
      </c>
      <c r="Y318" t="b">
        <f t="shared" si="612"/>
        <v>0</v>
      </c>
      <c r="Z318" t="b">
        <f t="shared" si="612"/>
        <v>0</v>
      </c>
      <c r="AA318">
        <f t="shared" ref="AA318:AC318" si="613">IF(X318=FALSE,1,0)</f>
        <v>0</v>
      </c>
      <c r="AB318">
        <f t="shared" si="613"/>
        <v>1</v>
      </c>
      <c r="AC318">
        <f t="shared" si="613"/>
        <v>1</v>
      </c>
      <c r="AD318">
        <f t="shared" si="6"/>
        <v>2</v>
      </c>
      <c r="AE318">
        <f t="shared" si="7"/>
        <v>1</v>
      </c>
      <c r="AF318">
        <f>if(iferror(vlookup($A318,'Description Database'!$E$2:$H$951,3,0),0)=TRUE,1,0)</f>
        <v>0</v>
      </c>
      <c r="AG318">
        <f>if(iferror(vlookup($A318,'Description Database'!$E$2:$H$951,4,0),0)=TRUE,1,0)</f>
        <v>0</v>
      </c>
    </row>
    <row r="319">
      <c r="A319" t="str">
        <f>IFERROR(__xludf.DUMMYFUNCTION("""COMPUTED_VALUE"""),"Samsung Galaxy J5 (1.5 GB/16 GB)")</f>
        <v>Samsung Galaxy J5 (1.5 GB/16 GB)</v>
      </c>
      <c r="B319" t="str">
        <f>IFERROR(__xludf.DUMMYFUNCTION("""COMPUTED_VALUE"""),"")</f>
        <v/>
      </c>
      <c r="C319" t="str">
        <f>IFERROR(__xludf.DUMMYFUNCTION("""COMPUTED_VALUE"""),"")</f>
        <v/>
      </c>
      <c r="D319" t="str">
        <f>IFERROR(__xludf.DUMMYFUNCTION("""COMPUTED_VALUE"""),"")</f>
        <v/>
      </c>
      <c r="E319" t="str">
        <f>IFERROR(__xludf.DUMMYFUNCTION("""COMPUTED_VALUE"""),"")</f>
        <v/>
      </c>
      <c r="F319" t="str">
        <f>IFERROR(__xludf.DUMMYFUNCTION("""COMPUTED_VALUE"""),"")</f>
        <v/>
      </c>
      <c r="G319" t="str">
        <f>IFERROR(__xludf.DUMMYFUNCTION("""COMPUTED_VALUE"""),"")</f>
        <v/>
      </c>
      <c r="H319" t="str">
        <f>IFERROR(__xludf.DUMMYFUNCTION("""COMPUTED_VALUE"""),"")</f>
        <v/>
      </c>
      <c r="I319">
        <f>IFERROR(__xludf.DUMMYFUNCTION("""COMPUTED_VALUE"""),11.0)</f>
        <v>11</v>
      </c>
      <c r="J319">
        <f>IFERROR(__xludf.DUMMYFUNCTION("""COMPUTED_VALUE"""),11.0)</f>
        <v>11</v>
      </c>
      <c r="L319" s="250" t="str">
        <f>IFERROR(__xludf.DUMMYFUNCTION("""COMPUTED_VALUE"""),"")</f>
        <v/>
      </c>
      <c r="M319" s="250" t="str">
        <f>IFERROR(__xludf.DUMMYFUNCTION("""COMPUTED_VALUE"""),"")</f>
        <v/>
      </c>
      <c r="N319" s="250" t="str">
        <f>IFERROR(__xludf.DUMMYFUNCTION("""COMPUTED_VALUE"""),"")</f>
        <v/>
      </c>
      <c r="O319" s="250" t="str">
        <f>IFERROR(__xludf.DUMMYFUNCTION("""COMPUTED_VALUE"""),"")</f>
        <v/>
      </c>
      <c r="P319" s="250" t="str">
        <f>IFERROR(__xludf.DUMMYFUNCTION("""COMPUTED_VALUE"""),"")</f>
        <v/>
      </c>
      <c r="Q319" s="250" t="str">
        <f>IFERROR(__xludf.DUMMYFUNCTION("""COMPUTED_VALUE"""),"")</f>
        <v/>
      </c>
      <c r="R319" s="250" t="str">
        <f>IFERROR(__xludf.DUMMYFUNCTION("""COMPUTED_VALUE"""),"")</f>
        <v/>
      </c>
      <c r="U319" s="250">
        <f>IFERROR(__xludf.DUMMYFUNCTION("""COMPUTED_VALUE"""),3619.0)</f>
        <v>3619</v>
      </c>
      <c r="V319" s="250">
        <f>IFERROR(__xludf.DUMMYFUNCTION("""COMPUTED_VALUE"""),3449.0)</f>
        <v>3449</v>
      </c>
      <c r="W319" s="250">
        <f>IFERROR(__xludf.DUMMYFUNCTION("""COMPUTED_VALUE"""),3089.0)</f>
        <v>3089</v>
      </c>
      <c r="X319" t="b">
        <f t="shared" ref="X319:Z319" si="614">ISBLANK(K319)</f>
        <v>1</v>
      </c>
      <c r="Y319" t="b">
        <f t="shared" si="614"/>
        <v>0</v>
      </c>
      <c r="Z319" t="b">
        <f t="shared" si="614"/>
        <v>0</v>
      </c>
      <c r="AA319">
        <f t="shared" ref="AA319:AC319" si="615">IF(X319=FALSE,1,0)</f>
        <v>0</v>
      </c>
      <c r="AB319">
        <f t="shared" si="615"/>
        <v>1</v>
      </c>
      <c r="AC319">
        <f t="shared" si="615"/>
        <v>1</v>
      </c>
      <c r="AD319">
        <f t="shared" si="6"/>
        <v>2</v>
      </c>
      <c r="AE319">
        <f t="shared" si="7"/>
        <v>1</v>
      </c>
      <c r="AF319">
        <f>if(iferror(vlookup($A319,'Description Database'!$E$2:$H$951,3,0),0)=TRUE,1,0)</f>
        <v>0</v>
      </c>
      <c r="AG319">
        <f>if(iferror(vlookup($A319,'Description Database'!$E$2:$H$951,4,0),0)=TRUE,1,0)</f>
        <v>0</v>
      </c>
    </row>
    <row r="320">
      <c r="A320" t="str">
        <f>IFERROR(__xludf.DUMMYFUNCTION("""COMPUTED_VALUE"""),"Motorola MOTO G (1 GB/8 GB)")</f>
        <v>Motorola MOTO G (1 GB/8 GB)</v>
      </c>
      <c r="B320" t="str">
        <f>IFERROR(__xludf.DUMMYFUNCTION("""COMPUTED_VALUE"""),"")</f>
        <v/>
      </c>
      <c r="C320" t="str">
        <f>IFERROR(__xludf.DUMMYFUNCTION("""COMPUTED_VALUE"""),"")</f>
        <v/>
      </c>
      <c r="D320" t="str">
        <f>IFERROR(__xludf.DUMMYFUNCTION("""COMPUTED_VALUE"""),"")</f>
        <v/>
      </c>
      <c r="E320" t="str">
        <f>IFERROR(__xludf.DUMMYFUNCTION("""COMPUTED_VALUE"""),"")</f>
        <v/>
      </c>
      <c r="F320" t="str">
        <f>IFERROR(__xludf.DUMMYFUNCTION("""COMPUTED_VALUE"""),"")</f>
        <v/>
      </c>
      <c r="G320" t="str">
        <f>IFERROR(__xludf.DUMMYFUNCTION("""COMPUTED_VALUE"""),"")</f>
        <v/>
      </c>
      <c r="H320" t="str">
        <f>IFERROR(__xludf.DUMMYFUNCTION("""COMPUTED_VALUE"""),"")</f>
        <v/>
      </c>
      <c r="I320" t="str">
        <f>IFERROR(__xludf.DUMMYFUNCTION("""COMPUTED_VALUE"""),"")</f>
        <v/>
      </c>
      <c r="J320">
        <f>IFERROR(__xludf.DUMMYFUNCTION("""COMPUTED_VALUE"""),0.0)</f>
        <v>0</v>
      </c>
      <c r="L320" s="250" t="str">
        <f>IFERROR(__xludf.DUMMYFUNCTION("""COMPUTED_VALUE"""),"")</f>
        <v/>
      </c>
      <c r="M320" s="250" t="str">
        <f>IFERROR(__xludf.DUMMYFUNCTION("""COMPUTED_VALUE"""),"")</f>
        <v/>
      </c>
      <c r="N320" s="250" t="str">
        <f>IFERROR(__xludf.DUMMYFUNCTION("""COMPUTED_VALUE"""),"")</f>
        <v/>
      </c>
      <c r="O320" s="250" t="str">
        <f>IFERROR(__xludf.DUMMYFUNCTION("""COMPUTED_VALUE"""),"")</f>
        <v/>
      </c>
      <c r="P320" s="250" t="str">
        <f>IFERROR(__xludf.DUMMYFUNCTION("""COMPUTED_VALUE"""),"")</f>
        <v/>
      </c>
      <c r="Q320" s="250" t="str">
        <f>IFERROR(__xludf.DUMMYFUNCTION("""COMPUTED_VALUE"""),"")</f>
        <v/>
      </c>
      <c r="R320" s="250" t="str">
        <f>IFERROR(__xludf.DUMMYFUNCTION("""COMPUTED_VALUE"""),"")</f>
        <v/>
      </c>
      <c r="U320" s="250" t="str">
        <f>IFERROR(__xludf.DUMMYFUNCTION("""COMPUTED_VALUE"""),"#N/A")</f>
        <v>#N/A</v>
      </c>
      <c r="V320" s="250" t="str">
        <f>IFERROR(__xludf.DUMMYFUNCTION("""COMPUTED_VALUE"""),"#N/A")</f>
        <v>#N/A</v>
      </c>
      <c r="W320" s="250" t="str">
        <f>IFERROR(__xludf.DUMMYFUNCTION("""COMPUTED_VALUE"""),"#N/A")</f>
        <v>#N/A</v>
      </c>
      <c r="X320" t="b">
        <f t="shared" ref="X320:Z320" si="616">ISBLANK(K320)</f>
        <v>1</v>
      </c>
      <c r="Y320" t="b">
        <f t="shared" si="616"/>
        <v>0</v>
      </c>
      <c r="Z320" t="b">
        <f t="shared" si="616"/>
        <v>0</v>
      </c>
      <c r="AA320">
        <f t="shared" ref="AA320:AC320" si="617">IF(X320=FALSE,1,0)</f>
        <v>0</v>
      </c>
      <c r="AB320">
        <f t="shared" si="617"/>
        <v>1</v>
      </c>
      <c r="AC320">
        <f t="shared" si="617"/>
        <v>1</v>
      </c>
      <c r="AD320">
        <f t="shared" si="6"/>
        <v>2</v>
      </c>
      <c r="AE320">
        <f t="shared" si="7"/>
        <v>1</v>
      </c>
      <c r="AF320">
        <f>if(iferror(vlookup($A320,'Description Database'!$E$2:$H$951,3,0),0)=TRUE,1,0)</f>
        <v>0</v>
      </c>
      <c r="AG320">
        <f>if(iferror(vlookup($A320,'Description Database'!$E$2:$H$951,4,0),0)=TRUE,1,0)</f>
        <v>0</v>
      </c>
    </row>
    <row r="321">
      <c r="A321" t="str">
        <f>IFERROR(__xludf.DUMMYFUNCTION("""COMPUTED_VALUE"""),"Motorola MOTO G5 (3 GB/16 GB)")</f>
        <v>Motorola MOTO G5 (3 GB/16 GB)</v>
      </c>
      <c r="B321" t="str">
        <f>IFERROR(__xludf.DUMMYFUNCTION("""COMPUTED_VALUE"""),"")</f>
        <v/>
      </c>
      <c r="C321" t="str">
        <f>IFERROR(__xludf.DUMMYFUNCTION("""COMPUTED_VALUE"""),"")</f>
        <v/>
      </c>
      <c r="D321" t="str">
        <f>IFERROR(__xludf.DUMMYFUNCTION("""COMPUTED_VALUE"""),"")</f>
        <v/>
      </c>
      <c r="E321" t="str">
        <f>IFERROR(__xludf.DUMMYFUNCTION("""COMPUTED_VALUE"""),"")</f>
        <v/>
      </c>
      <c r="F321" t="str">
        <f>IFERROR(__xludf.DUMMYFUNCTION("""COMPUTED_VALUE"""),"")</f>
        <v/>
      </c>
      <c r="G321" t="str">
        <f>IFERROR(__xludf.DUMMYFUNCTION("""COMPUTED_VALUE"""),"")</f>
        <v/>
      </c>
      <c r="H321" t="str">
        <f>IFERROR(__xludf.DUMMYFUNCTION("""COMPUTED_VALUE"""),"")</f>
        <v/>
      </c>
      <c r="I321">
        <f>IFERROR(__xludf.DUMMYFUNCTION("""COMPUTED_VALUE"""),6.0)</f>
        <v>6</v>
      </c>
      <c r="J321">
        <f>IFERROR(__xludf.DUMMYFUNCTION("""COMPUTED_VALUE"""),6.0)</f>
        <v>6</v>
      </c>
      <c r="L321" s="250" t="str">
        <f>IFERROR(__xludf.DUMMYFUNCTION("""COMPUTED_VALUE"""),"")</f>
        <v/>
      </c>
      <c r="M321" s="250" t="str">
        <f>IFERROR(__xludf.DUMMYFUNCTION("""COMPUTED_VALUE"""),"")</f>
        <v/>
      </c>
      <c r="N321" s="250" t="str">
        <f>IFERROR(__xludf.DUMMYFUNCTION("""COMPUTED_VALUE"""),"")</f>
        <v/>
      </c>
      <c r="O321" s="250" t="str">
        <f>IFERROR(__xludf.DUMMYFUNCTION("""COMPUTED_VALUE"""),"")</f>
        <v/>
      </c>
      <c r="P321" s="250" t="str">
        <f>IFERROR(__xludf.DUMMYFUNCTION("""COMPUTED_VALUE"""),"")</f>
        <v/>
      </c>
      <c r="Q321" s="250" t="str">
        <f>IFERROR(__xludf.DUMMYFUNCTION("""COMPUTED_VALUE"""),"")</f>
        <v/>
      </c>
      <c r="R321" s="250" t="str">
        <f>IFERROR(__xludf.DUMMYFUNCTION("""COMPUTED_VALUE"""),"")</f>
        <v/>
      </c>
      <c r="U321" s="250">
        <f>IFERROR(__xludf.DUMMYFUNCTION("""COMPUTED_VALUE"""),3259.0)</f>
        <v>3259</v>
      </c>
      <c r="V321" s="250">
        <f>IFERROR(__xludf.DUMMYFUNCTION("""COMPUTED_VALUE"""),3109.0)</f>
        <v>3109</v>
      </c>
      <c r="W321" s="250">
        <f>IFERROR(__xludf.DUMMYFUNCTION("""COMPUTED_VALUE"""),2839.0)</f>
        <v>2839</v>
      </c>
      <c r="X321" t="b">
        <f t="shared" ref="X321:Z321" si="618">ISBLANK(K321)</f>
        <v>1</v>
      </c>
      <c r="Y321" t="b">
        <f t="shared" si="618"/>
        <v>0</v>
      </c>
      <c r="Z321" t="b">
        <f t="shared" si="618"/>
        <v>0</v>
      </c>
      <c r="AA321">
        <f t="shared" ref="AA321:AC321" si="619">IF(X321=FALSE,1,0)</f>
        <v>0</v>
      </c>
      <c r="AB321">
        <f t="shared" si="619"/>
        <v>1</v>
      </c>
      <c r="AC321">
        <f t="shared" si="619"/>
        <v>1</v>
      </c>
      <c r="AD321">
        <f t="shared" si="6"/>
        <v>2</v>
      </c>
      <c r="AE321">
        <f t="shared" si="7"/>
        <v>1</v>
      </c>
      <c r="AF321">
        <f>if(iferror(vlookup($A321,'Description Database'!$E$2:$H$951,3,0),0)=TRUE,1,0)</f>
        <v>0</v>
      </c>
      <c r="AG321">
        <f>if(iferror(vlookup($A321,'Description Database'!$E$2:$H$951,4,0),0)=TRUE,1,0)</f>
        <v>0</v>
      </c>
    </row>
    <row r="322">
      <c r="A322" t="str">
        <f>IFERROR(__xludf.DUMMYFUNCTION("""COMPUTED_VALUE"""),"Nokia 5.1 (3 GB/32 GB)")</f>
        <v>Nokia 5.1 (3 GB/32 GB)</v>
      </c>
      <c r="B322" t="str">
        <f>IFERROR(__xludf.DUMMYFUNCTION("""COMPUTED_VALUE"""),"")</f>
        <v/>
      </c>
      <c r="C322" t="str">
        <f>IFERROR(__xludf.DUMMYFUNCTION("""COMPUTED_VALUE"""),"")</f>
        <v/>
      </c>
      <c r="D322" t="str">
        <f>IFERROR(__xludf.DUMMYFUNCTION("""COMPUTED_VALUE"""),"")</f>
        <v/>
      </c>
      <c r="E322" t="str">
        <f>IFERROR(__xludf.DUMMYFUNCTION("""COMPUTED_VALUE"""),"")</f>
        <v/>
      </c>
      <c r="F322" t="str">
        <f>IFERROR(__xludf.DUMMYFUNCTION("""COMPUTED_VALUE"""),"")</f>
        <v/>
      </c>
      <c r="G322" t="str">
        <f>IFERROR(__xludf.DUMMYFUNCTION("""COMPUTED_VALUE"""),"")</f>
        <v/>
      </c>
      <c r="H322" t="str">
        <f>IFERROR(__xludf.DUMMYFUNCTION("""COMPUTED_VALUE"""),"")</f>
        <v/>
      </c>
      <c r="I322" t="str">
        <f>IFERROR(__xludf.DUMMYFUNCTION("""COMPUTED_VALUE"""),"")</f>
        <v/>
      </c>
      <c r="J322">
        <f>IFERROR(__xludf.DUMMYFUNCTION("""COMPUTED_VALUE"""),0.0)</f>
        <v>0</v>
      </c>
      <c r="L322" s="250" t="str">
        <f>IFERROR(__xludf.DUMMYFUNCTION("""COMPUTED_VALUE"""),"")</f>
        <v/>
      </c>
      <c r="M322" s="250" t="str">
        <f>IFERROR(__xludf.DUMMYFUNCTION("""COMPUTED_VALUE"""),"")</f>
        <v/>
      </c>
      <c r="N322" s="250" t="str">
        <f>IFERROR(__xludf.DUMMYFUNCTION("""COMPUTED_VALUE"""),"")</f>
        <v/>
      </c>
      <c r="O322" s="250" t="str">
        <f>IFERROR(__xludf.DUMMYFUNCTION("""COMPUTED_VALUE"""),"")</f>
        <v/>
      </c>
      <c r="P322" s="250" t="str">
        <f>IFERROR(__xludf.DUMMYFUNCTION("""COMPUTED_VALUE"""),"")</f>
        <v/>
      </c>
      <c r="Q322" s="250" t="str">
        <f>IFERROR(__xludf.DUMMYFUNCTION("""COMPUTED_VALUE"""),"")</f>
        <v/>
      </c>
      <c r="R322" s="250" t="str">
        <f>IFERROR(__xludf.DUMMYFUNCTION("""COMPUTED_VALUE"""),"")</f>
        <v/>
      </c>
      <c r="U322" s="250">
        <f>IFERROR(__xludf.DUMMYFUNCTION("""COMPUTED_VALUE"""),4909.0)</f>
        <v>4909</v>
      </c>
      <c r="V322" s="250">
        <f>IFERROR(__xludf.DUMMYFUNCTION("""COMPUTED_VALUE"""),4669.0)</f>
        <v>4669</v>
      </c>
      <c r="W322" s="250">
        <f>IFERROR(__xludf.DUMMYFUNCTION("""COMPUTED_VALUE"""),4189.0)</f>
        <v>4189</v>
      </c>
      <c r="X322" t="b">
        <f t="shared" ref="X322:Z322" si="620">ISBLANK(K322)</f>
        <v>1</v>
      </c>
      <c r="Y322" t="b">
        <f t="shared" si="620"/>
        <v>0</v>
      </c>
      <c r="Z322" t="b">
        <f t="shared" si="620"/>
        <v>0</v>
      </c>
      <c r="AA322">
        <f t="shared" ref="AA322:AC322" si="621">IF(X322=FALSE,1,0)</f>
        <v>0</v>
      </c>
      <c r="AB322">
        <f t="shared" si="621"/>
        <v>1</v>
      </c>
      <c r="AC322">
        <f t="shared" si="621"/>
        <v>1</v>
      </c>
      <c r="AD322">
        <f t="shared" si="6"/>
        <v>2</v>
      </c>
      <c r="AE322">
        <f t="shared" si="7"/>
        <v>1</v>
      </c>
      <c r="AF322">
        <f>if(iferror(vlookup($A322,'Description Database'!$E$2:$H$951,3,0),0)=TRUE,1,0)</f>
        <v>0</v>
      </c>
      <c r="AG322">
        <f>if(iferror(vlookup($A322,'Description Database'!$E$2:$H$951,4,0),0)=TRUE,1,0)</f>
        <v>0</v>
      </c>
    </row>
    <row r="323">
      <c r="A323" t="str">
        <f>IFERROR(__xludf.DUMMYFUNCTION("""COMPUTED_VALUE"""),"Honor 9N (4 GB/128 GB)")</f>
        <v>Honor 9N (4 GB/128 GB)</v>
      </c>
      <c r="B323" t="str">
        <f>IFERROR(__xludf.DUMMYFUNCTION("""COMPUTED_VALUE"""),"")</f>
        <v/>
      </c>
      <c r="C323" t="str">
        <f>IFERROR(__xludf.DUMMYFUNCTION("""COMPUTED_VALUE"""),"")</f>
        <v/>
      </c>
      <c r="D323" t="str">
        <f>IFERROR(__xludf.DUMMYFUNCTION("""COMPUTED_VALUE"""),"")</f>
        <v/>
      </c>
      <c r="E323" t="str">
        <f>IFERROR(__xludf.DUMMYFUNCTION("""COMPUTED_VALUE"""),"")</f>
        <v/>
      </c>
      <c r="F323" t="str">
        <f>IFERROR(__xludf.DUMMYFUNCTION("""COMPUTED_VALUE"""),"")</f>
        <v/>
      </c>
      <c r="G323" t="str">
        <f>IFERROR(__xludf.DUMMYFUNCTION("""COMPUTED_VALUE"""),"")</f>
        <v/>
      </c>
      <c r="H323" t="str">
        <f>IFERROR(__xludf.DUMMYFUNCTION("""COMPUTED_VALUE"""),"")</f>
        <v/>
      </c>
      <c r="I323" t="str">
        <f>IFERROR(__xludf.DUMMYFUNCTION("""COMPUTED_VALUE"""),"")</f>
        <v/>
      </c>
      <c r="J323">
        <f>IFERROR(__xludf.DUMMYFUNCTION("""COMPUTED_VALUE"""),0.0)</f>
        <v>0</v>
      </c>
      <c r="L323" s="250" t="str">
        <f>IFERROR(__xludf.DUMMYFUNCTION("""COMPUTED_VALUE"""),"")</f>
        <v/>
      </c>
      <c r="M323" s="250" t="str">
        <f>IFERROR(__xludf.DUMMYFUNCTION("""COMPUTED_VALUE"""),"")</f>
        <v/>
      </c>
      <c r="N323" s="250" t="str">
        <f>IFERROR(__xludf.DUMMYFUNCTION("""COMPUTED_VALUE"""),"")</f>
        <v/>
      </c>
      <c r="O323" s="250" t="str">
        <f>IFERROR(__xludf.DUMMYFUNCTION("""COMPUTED_VALUE"""),"")</f>
        <v/>
      </c>
      <c r="P323" s="250" t="str">
        <f>IFERROR(__xludf.DUMMYFUNCTION("""COMPUTED_VALUE"""),"")</f>
        <v/>
      </c>
      <c r="Q323" s="250" t="str">
        <f>IFERROR(__xludf.DUMMYFUNCTION("""COMPUTED_VALUE"""),"")</f>
        <v/>
      </c>
      <c r="R323" s="250" t="str">
        <f>IFERROR(__xludf.DUMMYFUNCTION("""COMPUTED_VALUE"""),"")</f>
        <v/>
      </c>
      <c r="U323" s="250">
        <f>IFERROR(__xludf.DUMMYFUNCTION("""COMPUTED_VALUE"""),6599.0)</f>
        <v>6599</v>
      </c>
      <c r="V323" s="250">
        <f>IFERROR(__xludf.DUMMYFUNCTION("""COMPUTED_VALUE"""),6279.0)</f>
        <v>6279</v>
      </c>
      <c r="W323" s="250">
        <f>IFERROR(__xludf.DUMMYFUNCTION("""COMPUTED_VALUE"""),5669.0)</f>
        <v>5669</v>
      </c>
      <c r="X323" t="b">
        <f t="shared" ref="X323:Z323" si="622">ISBLANK(K323)</f>
        <v>1</v>
      </c>
      <c r="Y323" t="b">
        <f t="shared" si="622"/>
        <v>0</v>
      </c>
      <c r="Z323" t="b">
        <f t="shared" si="622"/>
        <v>0</v>
      </c>
      <c r="AA323">
        <f t="shared" ref="AA323:AC323" si="623">IF(X323=FALSE,1,0)</f>
        <v>0</v>
      </c>
      <c r="AB323">
        <f t="shared" si="623"/>
        <v>1</v>
      </c>
      <c r="AC323">
        <f t="shared" si="623"/>
        <v>1</v>
      </c>
      <c r="AD323">
        <f t="shared" si="6"/>
        <v>2</v>
      </c>
      <c r="AE323">
        <f t="shared" si="7"/>
        <v>1</v>
      </c>
      <c r="AF323">
        <f>if(iferror(vlookup($A323,'Description Database'!$E$2:$H$951,3,0),0)=TRUE,1,0)</f>
        <v>0</v>
      </c>
      <c r="AG323">
        <f>if(iferror(vlookup($A323,'Description Database'!$E$2:$H$951,4,0),0)=TRUE,1,0)</f>
        <v>0</v>
      </c>
    </row>
    <row r="324">
      <c r="A324" t="str">
        <f>IFERROR(__xludf.DUMMYFUNCTION("""COMPUTED_VALUE"""),"Xiaomi REDMI S2 (4 GB/64 GB)")</f>
        <v>Xiaomi REDMI S2 (4 GB/64 GB)</v>
      </c>
      <c r="B324" t="str">
        <f>IFERROR(__xludf.DUMMYFUNCTION("""COMPUTED_VALUE"""),"")</f>
        <v/>
      </c>
      <c r="C324" t="str">
        <f>IFERROR(__xludf.DUMMYFUNCTION("""COMPUTED_VALUE"""),"")</f>
        <v/>
      </c>
      <c r="D324" t="str">
        <f>IFERROR(__xludf.DUMMYFUNCTION("""COMPUTED_VALUE"""),"")</f>
        <v/>
      </c>
      <c r="E324" t="str">
        <f>IFERROR(__xludf.DUMMYFUNCTION("""COMPUTED_VALUE"""),"")</f>
        <v/>
      </c>
      <c r="F324" t="str">
        <f>IFERROR(__xludf.DUMMYFUNCTION("""COMPUTED_VALUE"""),"")</f>
        <v/>
      </c>
      <c r="G324" t="str">
        <f>IFERROR(__xludf.DUMMYFUNCTION("""COMPUTED_VALUE"""),"")</f>
        <v/>
      </c>
      <c r="H324" t="str">
        <f>IFERROR(__xludf.DUMMYFUNCTION("""COMPUTED_VALUE"""),"")</f>
        <v/>
      </c>
      <c r="I324" t="str">
        <f>IFERROR(__xludf.DUMMYFUNCTION("""COMPUTED_VALUE"""),"")</f>
        <v/>
      </c>
      <c r="J324">
        <f>IFERROR(__xludf.DUMMYFUNCTION("""COMPUTED_VALUE"""),0.0)</f>
        <v>0</v>
      </c>
      <c r="L324" s="250" t="str">
        <f>IFERROR(__xludf.DUMMYFUNCTION("""COMPUTED_VALUE"""),"")</f>
        <v/>
      </c>
      <c r="M324" s="250" t="str">
        <f>IFERROR(__xludf.DUMMYFUNCTION("""COMPUTED_VALUE"""),"")</f>
        <v/>
      </c>
      <c r="N324" s="250" t="str">
        <f>IFERROR(__xludf.DUMMYFUNCTION("""COMPUTED_VALUE"""),"")</f>
        <v/>
      </c>
      <c r="O324" s="250" t="str">
        <f>IFERROR(__xludf.DUMMYFUNCTION("""COMPUTED_VALUE"""),"")</f>
        <v/>
      </c>
      <c r="P324" s="250" t="str">
        <f>IFERROR(__xludf.DUMMYFUNCTION("""COMPUTED_VALUE"""),"")</f>
        <v/>
      </c>
      <c r="Q324" s="250" t="str">
        <f>IFERROR(__xludf.DUMMYFUNCTION("""COMPUTED_VALUE"""),"")</f>
        <v/>
      </c>
      <c r="R324" s="250" t="str">
        <f>IFERROR(__xludf.DUMMYFUNCTION("""COMPUTED_VALUE"""),"")</f>
        <v/>
      </c>
      <c r="U324" s="250" t="str">
        <f>IFERROR(__xludf.DUMMYFUNCTION("""COMPUTED_VALUE"""),"#N/A")</f>
        <v>#N/A</v>
      </c>
      <c r="V324" s="250" t="str">
        <f>IFERROR(__xludf.DUMMYFUNCTION("""COMPUTED_VALUE"""),"#N/A")</f>
        <v>#N/A</v>
      </c>
      <c r="W324" s="250" t="str">
        <f>IFERROR(__xludf.DUMMYFUNCTION("""COMPUTED_VALUE"""),"#N/A")</f>
        <v>#N/A</v>
      </c>
      <c r="X324" t="b">
        <f t="shared" ref="X324:Z324" si="624">ISBLANK(K324)</f>
        <v>1</v>
      </c>
      <c r="Y324" t="b">
        <f t="shared" si="624"/>
        <v>0</v>
      </c>
      <c r="Z324" t="b">
        <f t="shared" si="624"/>
        <v>0</v>
      </c>
      <c r="AA324">
        <f t="shared" ref="AA324:AC324" si="625">IF(X324=FALSE,1,0)</f>
        <v>0</v>
      </c>
      <c r="AB324">
        <f t="shared" si="625"/>
        <v>1</v>
      </c>
      <c r="AC324">
        <f t="shared" si="625"/>
        <v>1</v>
      </c>
      <c r="AD324">
        <f t="shared" si="6"/>
        <v>2</v>
      </c>
      <c r="AE324">
        <f t="shared" si="7"/>
        <v>1</v>
      </c>
      <c r="AF324">
        <f>if(iferror(vlookup($A324,'Description Database'!$E$2:$H$951,3,0),0)=TRUE,1,0)</f>
        <v>0</v>
      </c>
      <c r="AG324">
        <f>if(iferror(vlookup($A324,'Description Database'!$E$2:$H$951,4,0),0)=TRUE,1,0)</f>
        <v>0</v>
      </c>
    </row>
    <row r="325">
      <c r="A325" t="str">
        <f>IFERROR(__xludf.DUMMYFUNCTION("""COMPUTED_VALUE"""),"Nokia 6.1 Plus (4 GB/64 GB)")</f>
        <v>Nokia 6.1 Plus (4 GB/64 GB)</v>
      </c>
      <c r="B325" t="str">
        <f>IFERROR(__xludf.DUMMYFUNCTION("""COMPUTED_VALUE"""),"")</f>
        <v/>
      </c>
      <c r="C325" t="str">
        <f>IFERROR(__xludf.DUMMYFUNCTION("""COMPUTED_VALUE"""),"")</f>
        <v/>
      </c>
      <c r="D325" t="str">
        <f>IFERROR(__xludf.DUMMYFUNCTION("""COMPUTED_VALUE"""),"")</f>
        <v/>
      </c>
      <c r="E325" t="str">
        <f>IFERROR(__xludf.DUMMYFUNCTION("""COMPUTED_VALUE"""),"")</f>
        <v/>
      </c>
      <c r="F325">
        <f>IFERROR(__xludf.DUMMYFUNCTION("""COMPUTED_VALUE"""),1.0)</f>
        <v>1</v>
      </c>
      <c r="G325" t="str">
        <f>IFERROR(__xludf.DUMMYFUNCTION("""COMPUTED_VALUE"""),"")</f>
        <v/>
      </c>
      <c r="H325" t="str">
        <f>IFERROR(__xludf.DUMMYFUNCTION("""COMPUTED_VALUE"""),"")</f>
        <v/>
      </c>
      <c r="I325">
        <f>IFERROR(__xludf.DUMMYFUNCTION("""COMPUTED_VALUE"""),32.0)</f>
        <v>32</v>
      </c>
      <c r="J325">
        <f>IFERROR(__xludf.DUMMYFUNCTION("""COMPUTED_VALUE"""),33.0)</f>
        <v>33</v>
      </c>
      <c r="L325" s="250" t="str">
        <f>IFERROR(__xludf.DUMMYFUNCTION("""COMPUTED_VALUE"""),"")</f>
        <v/>
      </c>
      <c r="M325" s="250" t="str">
        <f>IFERROR(__xludf.DUMMYFUNCTION("""COMPUTED_VALUE"""),"")</f>
        <v/>
      </c>
      <c r="N325" s="250" t="str">
        <f>IFERROR(__xludf.DUMMYFUNCTION("""COMPUTED_VALUE"""),"")</f>
        <v/>
      </c>
      <c r="O325" s="250" t="str">
        <f>IFERROR(__xludf.DUMMYFUNCTION("""COMPUTED_VALUE"""),"")</f>
        <v/>
      </c>
      <c r="P325" s="250">
        <f>IFERROR(__xludf.DUMMYFUNCTION("""COMPUTED_VALUE"""),3849.0)</f>
        <v>3849</v>
      </c>
      <c r="Q325" s="250" t="str">
        <f>IFERROR(__xludf.DUMMYFUNCTION("""COMPUTED_VALUE"""),"")</f>
        <v/>
      </c>
      <c r="R325" s="250" t="str">
        <f>IFERROR(__xludf.DUMMYFUNCTION("""COMPUTED_VALUE"""),"")</f>
        <v/>
      </c>
      <c r="U325" s="250">
        <f>IFERROR(__xludf.DUMMYFUNCTION("""COMPUTED_VALUE"""),5909.0)</f>
        <v>5909</v>
      </c>
      <c r="V325" s="250">
        <f>IFERROR(__xludf.DUMMYFUNCTION("""COMPUTED_VALUE"""),5619.0)</f>
        <v>5619</v>
      </c>
      <c r="W325" s="250">
        <f>IFERROR(__xludf.DUMMYFUNCTION("""COMPUTED_VALUE"""),5059.0)</f>
        <v>5059</v>
      </c>
      <c r="X325" t="b">
        <f t="shared" ref="X325:Z325" si="626">ISBLANK(K325)</f>
        <v>1</v>
      </c>
      <c r="Y325" t="b">
        <f t="shared" si="626"/>
        <v>0</v>
      </c>
      <c r="Z325" t="b">
        <f t="shared" si="626"/>
        <v>0</v>
      </c>
      <c r="AA325">
        <f t="shared" ref="AA325:AC325" si="627">IF(X325=FALSE,1,0)</f>
        <v>0</v>
      </c>
      <c r="AB325">
        <f t="shared" si="627"/>
        <v>1</v>
      </c>
      <c r="AC325">
        <f t="shared" si="627"/>
        <v>1</v>
      </c>
      <c r="AD325">
        <f t="shared" si="6"/>
        <v>2</v>
      </c>
      <c r="AE325">
        <f t="shared" si="7"/>
        <v>1</v>
      </c>
      <c r="AF325">
        <f>if(iferror(vlookup($A325,'Description Database'!$E$2:$H$951,3,0),0)=TRUE,1,0)</f>
        <v>0</v>
      </c>
      <c r="AG325">
        <f>if(iferror(vlookup($A325,'Description Database'!$E$2:$H$951,4,0),0)=TRUE,1,0)</f>
        <v>0</v>
      </c>
    </row>
    <row r="326">
      <c r="A326" t="str">
        <f>IFERROR(__xludf.DUMMYFUNCTION("""COMPUTED_VALUE"""),"Oppo A83 (3 GB/32 GB)")</f>
        <v>Oppo A83 (3 GB/32 GB)</v>
      </c>
      <c r="B326" t="str">
        <f>IFERROR(__xludf.DUMMYFUNCTION("""COMPUTED_VALUE"""),"")</f>
        <v/>
      </c>
      <c r="C326" t="str">
        <f>IFERROR(__xludf.DUMMYFUNCTION("""COMPUTED_VALUE"""),"")</f>
        <v/>
      </c>
      <c r="D326" t="str">
        <f>IFERROR(__xludf.DUMMYFUNCTION("""COMPUTED_VALUE"""),"")</f>
        <v/>
      </c>
      <c r="E326" t="str">
        <f>IFERROR(__xludf.DUMMYFUNCTION("""COMPUTED_VALUE"""),"")</f>
        <v/>
      </c>
      <c r="F326" t="str">
        <f>IFERROR(__xludf.DUMMYFUNCTION("""COMPUTED_VALUE"""),"")</f>
        <v/>
      </c>
      <c r="G326" t="str">
        <f>IFERROR(__xludf.DUMMYFUNCTION("""COMPUTED_VALUE"""),"")</f>
        <v/>
      </c>
      <c r="H326" t="str">
        <f>IFERROR(__xludf.DUMMYFUNCTION("""COMPUTED_VALUE"""),"")</f>
        <v/>
      </c>
      <c r="I326">
        <f>IFERROR(__xludf.DUMMYFUNCTION("""COMPUTED_VALUE"""),5.0)</f>
        <v>5</v>
      </c>
      <c r="J326">
        <f>IFERROR(__xludf.DUMMYFUNCTION("""COMPUTED_VALUE"""),5.0)</f>
        <v>5</v>
      </c>
      <c r="L326" s="250" t="str">
        <f>IFERROR(__xludf.DUMMYFUNCTION("""COMPUTED_VALUE"""),"")</f>
        <v/>
      </c>
      <c r="M326" s="250" t="str">
        <f>IFERROR(__xludf.DUMMYFUNCTION("""COMPUTED_VALUE"""),"")</f>
        <v/>
      </c>
      <c r="N326" s="250" t="str">
        <f>IFERROR(__xludf.DUMMYFUNCTION("""COMPUTED_VALUE"""),"")</f>
        <v/>
      </c>
      <c r="O326" s="250" t="str">
        <f>IFERROR(__xludf.DUMMYFUNCTION("""COMPUTED_VALUE"""),"")</f>
        <v/>
      </c>
      <c r="P326" s="250" t="str">
        <f>IFERROR(__xludf.DUMMYFUNCTION("""COMPUTED_VALUE"""),"")</f>
        <v/>
      </c>
      <c r="Q326" s="250" t="str">
        <f>IFERROR(__xludf.DUMMYFUNCTION("""COMPUTED_VALUE"""),"")</f>
        <v/>
      </c>
      <c r="R326" s="250" t="str">
        <f>IFERROR(__xludf.DUMMYFUNCTION("""COMPUTED_VALUE"""),"")</f>
        <v/>
      </c>
      <c r="U326" s="250">
        <f>IFERROR(__xludf.DUMMYFUNCTION("""COMPUTED_VALUE"""),5479.0)</f>
        <v>5479</v>
      </c>
      <c r="V326" s="250">
        <f>IFERROR(__xludf.DUMMYFUNCTION("""COMPUTED_VALUE"""),5219.0)</f>
        <v>5219</v>
      </c>
      <c r="W326" s="250">
        <f>IFERROR(__xludf.DUMMYFUNCTION("""COMPUTED_VALUE"""),4779.0)</f>
        <v>4779</v>
      </c>
      <c r="X326" t="b">
        <f t="shared" ref="X326:Z326" si="628">ISBLANK(K326)</f>
        <v>1</v>
      </c>
      <c r="Y326" t="b">
        <f t="shared" si="628"/>
        <v>0</v>
      </c>
      <c r="Z326" t="b">
        <f t="shared" si="628"/>
        <v>0</v>
      </c>
      <c r="AA326">
        <f t="shared" ref="AA326:AC326" si="629">IF(X326=FALSE,1,0)</f>
        <v>0</v>
      </c>
      <c r="AB326">
        <f t="shared" si="629"/>
        <v>1</v>
      </c>
      <c r="AC326">
        <f t="shared" si="629"/>
        <v>1</v>
      </c>
      <c r="AD326">
        <f t="shared" si="6"/>
        <v>2</v>
      </c>
      <c r="AE326">
        <f t="shared" si="7"/>
        <v>1</v>
      </c>
      <c r="AF326">
        <f>if(iferror(vlookup($A326,'Description Database'!$E$2:$H$951,3,0),0)=TRUE,1,0)</f>
        <v>0</v>
      </c>
      <c r="AG326">
        <f>if(iferror(vlookup($A326,'Description Database'!$E$2:$H$951,4,0),0)=TRUE,1,0)</f>
        <v>0</v>
      </c>
    </row>
    <row r="327">
      <c r="B327" t="str">
        <f>IFERROR(__xludf.DUMMYFUNCTION("""COMPUTED_VALUE"""),"")</f>
        <v/>
      </c>
      <c r="C327" t="str">
        <f>IFERROR(__xludf.DUMMYFUNCTION("""COMPUTED_VALUE"""),"")</f>
        <v/>
      </c>
      <c r="D327" t="str">
        <f>IFERROR(__xludf.DUMMYFUNCTION("""COMPUTED_VALUE"""),"")</f>
        <v/>
      </c>
      <c r="E327" t="str">
        <f>IFERROR(__xludf.DUMMYFUNCTION("""COMPUTED_VALUE"""),"")</f>
        <v/>
      </c>
      <c r="F327" t="str">
        <f>IFERROR(__xludf.DUMMYFUNCTION("""COMPUTED_VALUE"""),"")</f>
        <v/>
      </c>
      <c r="G327" t="str">
        <f>IFERROR(__xludf.DUMMYFUNCTION("""COMPUTED_VALUE"""),"")</f>
        <v/>
      </c>
      <c r="H327" t="str">
        <f>IFERROR(__xludf.DUMMYFUNCTION("""COMPUTED_VALUE"""),"")</f>
        <v/>
      </c>
      <c r="I327" t="str">
        <f>IFERROR(__xludf.DUMMYFUNCTION("""COMPUTED_VALUE"""),"")</f>
        <v/>
      </c>
      <c r="J327">
        <f>IFERROR(__xludf.DUMMYFUNCTION("""COMPUTED_VALUE"""),0.0)</f>
        <v>0</v>
      </c>
      <c r="L327" s="250" t="str">
        <f>IFERROR(__xludf.DUMMYFUNCTION("""COMPUTED_VALUE"""),"")</f>
        <v/>
      </c>
      <c r="M327" s="250" t="str">
        <f>IFERROR(__xludf.DUMMYFUNCTION("""COMPUTED_VALUE"""),"")</f>
        <v/>
      </c>
      <c r="N327" s="250" t="str">
        <f>IFERROR(__xludf.DUMMYFUNCTION("""COMPUTED_VALUE"""),"")</f>
        <v/>
      </c>
      <c r="O327" s="250" t="str">
        <f>IFERROR(__xludf.DUMMYFUNCTION("""COMPUTED_VALUE"""),"")</f>
        <v/>
      </c>
      <c r="P327" s="250" t="str">
        <f>IFERROR(__xludf.DUMMYFUNCTION("""COMPUTED_VALUE"""),"")</f>
        <v/>
      </c>
      <c r="Q327" s="250" t="str">
        <f>IFERROR(__xludf.DUMMYFUNCTION("""COMPUTED_VALUE"""),"")</f>
        <v/>
      </c>
      <c r="R327" s="250" t="str">
        <f>IFERROR(__xludf.DUMMYFUNCTION("""COMPUTED_VALUE"""),"")</f>
        <v/>
      </c>
      <c r="U327" s="250" t="str">
        <f>IFERROR(__xludf.DUMMYFUNCTION("""COMPUTED_VALUE"""),"#N/A")</f>
        <v>#N/A</v>
      </c>
      <c r="V327" s="250" t="str">
        <f>IFERROR(__xludf.DUMMYFUNCTION("""COMPUTED_VALUE"""),"#N/A")</f>
        <v>#N/A</v>
      </c>
      <c r="W327" s="250" t="str">
        <f>IFERROR(__xludf.DUMMYFUNCTION("""COMPUTED_VALUE"""),"#N/A")</f>
        <v>#N/A</v>
      </c>
      <c r="X327" t="b">
        <f t="shared" ref="X327:Z327" si="630">ISBLANK(K327)</f>
        <v>1</v>
      </c>
      <c r="Y327" t="b">
        <f t="shared" si="630"/>
        <v>0</v>
      </c>
      <c r="Z327" t="b">
        <f t="shared" si="630"/>
        <v>0</v>
      </c>
      <c r="AA327">
        <f t="shared" ref="AA327:AC327" si="631">IF(X327=FALSE,1,0)</f>
        <v>0</v>
      </c>
      <c r="AB327">
        <f t="shared" si="631"/>
        <v>1</v>
      </c>
      <c r="AC327">
        <f t="shared" si="631"/>
        <v>1</v>
      </c>
      <c r="AD327">
        <f t="shared" si="6"/>
        <v>2</v>
      </c>
      <c r="AE327">
        <f t="shared" si="7"/>
        <v>1</v>
      </c>
      <c r="AF327">
        <f>if(iferror(vlookup($A327,'Description Database'!$E$2:$H$951,3,0),0)=TRUE,1,0)</f>
        <v>0</v>
      </c>
      <c r="AG327">
        <f>if(iferror(vlookup($A327,'Description Database'!$E$2:$H$951,4,0),0)=TRUE,1,0)</f>
        <v>0</v>
      </c>
    </row>
    <row r="328">
      <c r="A328" t="str">
        <f>IFERROR(__xludf.DUMMYFUNCTION("""COMPUTED_VALUE"""),"Oppo F3 Plus (4 GB/64 GB)")</f>
        <v>Oppo F3 Plus (4 GB/64 GB)</v>
      </c>
      <c r="B328" t="str">
        <f>IFERROR(__xludf.DUMMYFUNCTION("""COMPUTED_VALUE"""),"")</f>
        <v/>
      </c>
      <c r="C328" t="str">
        <f>IFERROR(__xludf.DUMMYFUNCTION("""COMPUTED_VALUE"""),"")</f>
        <v/>
      </c>
      <c r="D328">
        <f>IFERROR(__xludf.DUMMYFUNCTION("""COMPUTED_VALUE"""),1.0)</f>
        <v>1</v>
      </c>
      <c r="E328" t="str">
        <f>IFERROR(__xludf.DUMMYFUNCTION("""COMPUTED_VALUE"""),"")</f>
        <v/>
      </c>
      <c r="F328">
        <f>IFERROR(__xludf.DUMMYFUNCTION("""COMPUTED_VALUE"""),1.0)</f>
        <v>1</v>
      </c>
      <c r="G328" t="str">
        <f>IFERROR(__xludf.DUMMYFUNCTION("""COMPUTED_VALUE"""),"")</f>
        <v/>
      </c>
      <c r="H328" t="str">
        <f>IFERROR(__xludf.DUMMYFUNCTION("""COMPUTED_VALUE"""),"")</f>
        <v/>
      </c>
      <c r="I328">
        <f>IFERROR(__xludf.DUMMYFUNCTION("""COMPUTED_VALUE"""),21.0)</f>
        <v>21</v>
      </c>
      <c r="J328">
        <f>IFERROR(__xludf.DUMMYFUNCTION("""COMPUTED_VALUE"""),23.0)</f>
        <v>23</v>
      </c>
      <c r="L328" s="250" t="str">
        <f>IFERROR(__xludf.DUMMYFUNCTION("""COMPUTED_VALUE"""),"")</f>
        <v/>
      </c>
      <c r="M328" s="250" t="str">
        <f>IFERROR(__xludf.DUMMYFUNCTION("""COMPUTED_VALUE"""),"")</f>
        <v/>
      </c>
      <c r="N328" s="250">
        <f>IFERROR(__xludf.DUMMYFUNCTION("""COMPUTED_VALUE"""),5119.0)</f>
        <v>5119</v>
      </c>
      <c r="O328" s="250" t="str">
        <f>IFERROR(__xludf.DUMMYFUNCTION("""COMPUTED_VALUE"""),"")</f>
        <v/>
      </c>
      <c r="P328" s="250">
        <f>IFERROR(__xludf.DUMMYFUNCTION("""COMPUTED_VALUE"""),4279.0)</f>
        <v>4279</v>
      </c>
      <c r="Q328" s="250" t="str">
        <f>IFERROR(__xludf.DUMMYFUNCTION("""COMPUTED_VALUE"""),"")</f>
        <v/>
      </c>
      <c r="R328" s="250" t="str">
        <f>IFERROR(__xludf.DUMMYFUNCTION("""COMPUTED_VALUE"""),"")</f>
        <v/>
      </c>
      <c r="U328" s="250">
        <f>IFERROR(__xludf.DUMMYFUNCTION("""COMPUTED_VALUE"""),6579.0)</f>
        <v>6579</v>
      </c>
      <c r="V328" s="250">
        <f>IFERROR(__xludf.DUMMYFUNCTION("""COMPUTED_VALUE"""),6259.0)</f>
        <v>6259</v>
      </c>
      <c r="W328" s="250">
        <f>IFERROR(__xludf.DUMMYFUNCTION("""COMPUTED_VALUE"""),5639.0)</f>
        <v>5639</v>
      </c>
      <c r="X328" t="b">
        <f t="shared" ref="X328:Z328" si="632">ISBLANK(K328)</f>
        <v>1</v>
      </c>
      <c r="Y328" t="b">
        <f t="shared" si="632"/>
        <v>0</v>
      </c>
      <c r="Z328" t="b">
        <f t="shared" si="632"/>
        <v>0</v>
      </c>
      <c r="AA328">
        <f t="shared" ref="AA328:AC328" si="633">IF(X328=FALSE,1,0)</f>
        <v>0</v>
      </c>
      <c r="AB328">
        <f t="shared" si="633"/>
        <v>1</v>
      </c>
      <c r="AC328">
        <f t="shared" si="633"/>
        <v>1</v>
      </c>
      <c r="AD328">
        <f t="shared" si="6"/>
        <v>2</v>
      </c>
      <c r="AE328">
        <f t="shared" si="7"/>
        <v>1</v>
      </c>
      <c r="AF328">
        <f>if(iferror(vlookup($A328,'Description Database'!$E$2:$H$951,3,0),0)=TRUE,1,0)</f>
        <v>0</v>
      </c>
      <c r="AG328">
        <f>if(iferror(vlookup($A328,'Description Database'!$E$2:$H$951,4,0),0)=TRUE,1,0)</f>
        <v>0</v>
      </c>
    </row>
    <row r="329">
      <c r="A329" t="str">
        <f>IFERROR(__xludf.DUMMYFUNCTION("""COMPUTED_VALUE"""),"Nokia 2 (1 GB/8 GB)")</f>
        <v>Nokia 2 (1 GB/8 GB)</v>
      </c>
      <c r="B329" t="str">
        <f>IFERROR(__xludf.DUMMYFUNCTION("""COMPUTED_VALUE"""),"")</f>
        <v/>
      </c>
      <c r="C329" t="str">
        <f>IFERROR(__xludf.DUMMYFUNCTION("""COMPUTED_VALUE"""),"")</f>
        <v/>
      </c>
      <c r="D329" t="str">
        <f>IFERROR(__xludf.DUMMYFUNCTION("""COMPUTED_VALUE"""),"")</f>
        <v/>
      </c>
      <c r="E329" t="str">
        <f>IFERROR(__xludf.DUMMYFUNCTION("""COMPUTED_VALUE"""),"")</f>
        <v/>
      </c>
      <c r="F329" t="str">
        <f>IFERROR(__xludf.DUMMYFUNCTION("""COMPUTED_VALUE"""),"")</f>
        <v/>
      </c>
      <c r="G329" t="str">
        <f>IFERROR(__xludf.DUMMYFUNCTION("""COMPUTED_VALUE"""),"")</f>
        <v/>
      </c>
      <c r="H329" t="str">
        <f>IFERROR(__xludf.DUMMYFUNCTION("""COMPUTED_VALUE"""),"")</f>
        <v/>
      </c>
      <c r="I329">
        <f>IFERROR(__xludf.DUMMYFUNCTION("""COMPUTED_VALUE"""),8.0)</f>
        <v>8</v>
      </c>
      <c r="J329">
        <f>IFERROR(__xludf.DUMMYFUNCTION("""COMPUTED_VALUE"""),8.0)</f>
        <v>8</v>
      </c>
      <c r="L329" s="250" t="str">
        <f>IFERROR(__xludf.DUMMYFUNCTION("""COMPUTED_VALUE"""),"")</f>
        <v/>
      </c>
      <c r="M329" s="250" t="str">
        <f>IFERROR(__xludf.DUMMYFUNCTION("""COMPUTED_VALUE"""),"")</f>
        <v/>
      </c>
      <c r="N329" s="250" t="str">
        <f>IFERROR(__xludf.DUMMYFUNCTION("""COMPUTED_VALUE"""),"")</f>
        <v/>
      </c>
      <c r="O329" s="250" t="str">
        <f>IFERROR(__xludf.DUMMYFUNCTION("""COMPUTED_VALUE"""),"")</f>
        <v/>
      </c>
      <c r="P329" s="250" t="str">
        <f>IFERROR(__xludf.DUMMYFUNCTION("""COMPUTED_VALUE"""),"")</f>
        <v/>
      </c>
      <c r="Q329" s="250" t="str">
        <f>IFERROR(__xludf.DUMMYFUNCTION("""COMPUTED_VALUE"""),"")</f>
        <v/>
      </c>
      <c r="R329" s="250" t="str">
        <f>IFERROR(__xludf.DUMMYFUNCTION("""COMPUTED_VALUE"""),"")</f>
        <v/>
      </c>
      <c r="U329" s="250">
        <f>IFERROR(__xludf.DUMMYFUNCTION("""COMPUTED_VALUE"""),2969.0)</f>
        <v>2969</v>
      </c>
      <c r="V329" s="250">
        <f>IFERROR(__xludf.DUMMYFUNCTION("""COMPUTED_VALUE"""),2829.0)</f>
        <v>2829</v>
      </c>
      <c r="W329" s="250">
        <f>IFERROR(__xludf.DUMMYFUNCTION("""COMPUTED_VALUE"""),2539.0)</f>
        <v>2539</v>
      </c>
      <c r="X329" t="b">
        <f t="shared" ref="X329:Z329" si="634">ISBLANK(K329)</f>
        <v>1</v>
      </c>
      <c r="Y329" t="b">
        <f t="shared" si="634"/>
        <v>0</v>
      </c>
      <c r="Z329" t="b">
        <f t="shared" si="634"/>
        <v>0</v>
      </c>
      <c r="AA329">
        <f t="shared" ref="AA329:AC329" si="635">IF(X329=FALSE,1,0)</f>
        <v>0</v>
      </c>
      <c r="AB329">
        <f t="shared" si="635"/>
        <v>1</v>
      </c>
      <c r="AC329">
        <f t="shared" si="635"/>
        <v>1</v>
      </c>
      <c r="AD329">
        <f t="shared" si="6"/>
        <v>2</v>
      </c>
      <c r="AE329">
        <f t="shared" si="7"/>
        <v>1</v>
      </c>
      <c r="AF329">
        <f>if(iferror(vlookup($A329,'Description Database'!$E$2:$H$951,3,0),0)=TRUE,1,0)</f>
        <v>0</v>
      </c>
      <c r="AG329">
        <f>if(iferror(vlookup($A329,'Description Database'!$E$2:$H$951,4,0),0)=TRUE,1,0)</f>
        <v>0</v>
      </c>
    </row>
    <row r="330">
      <c r="A330" t="str">
        <f>IFERROR(__xludf.DUMMYFUNCTION("""COMPUTED_VALUE"""),"Samsung Galaxy J4 (2 GB/16 GB)")</f>
        <v>Samsung Galaxy J4 (2 GB/16 GB)</v>
      </c>
      <c r="B330" t="str">
        <f>IFERROR(__xludf.DUMMYFUNCTION("""COMPUTED_VALUE"""),"")</f>
        <v/>
      </c>
      <c r="C330" t="str">
        <f>IFERROR(__xludf.DUMMYFUNCTION("""COMPUTED_VALUE"""),"")</f>
        <v/>
      </c>
      <c r="D330" t="str">
        <f>IFERROR(__xludf.DUMMYFUNCTION("""COMPUTED_VALUE"""),"")</f>
        <v/>
      </c>
      <c r="E330" t="str">
        <f>IFERROR(__xludf.DUMMYFUNCTION("""COMPUTED_VALUE"""),"")</f>
        <v/>
      </c>
      <c r="F330" t="str">
        <f>IFERROR(__xludf.DUMMYFUNCTION("""COMPUTED_VALUE"""),"")</f>
        <v/>
      </c>
      <c r="G330">
        <f>IFERROR(__xludf.DUMMYFUNCTION("""COMPUTED_VALUE"""),1.0)</f>
        <v>1</v>
      </c>
      <c r="H330" t="str">
        <f>IFERROR(__xludf.DUMMYFUNCTION("""COMPUTED_VALUE"""),"")</f>
        <v/>
      </c>
      <c r="I330">
        <f>IFERROR(__xludf.DUMMYFUNCTION("""COMPUTED_VALUE"""),8.0)</f>
        <v>8</v>
      </c>
      <c r="J330">
        <f>IFERROR(__xludf.DUMMYFUNCTION("""COMPUTED_VALUE"""),9.0)</f>
        <v>9</v>
      </c>
      <c r="L330" s="250" t="str">
        <f>IFERROR(__xludf.DUMMYFUNCTION("""COMPUTED_VALUE"""),"")</f>
        <v/>
      </c>
      <c r="M330" s="250" t="str">
        <f>IFERROR(__xludf.DUMMYFUNCTION("""COMPUTED_VALUE"""),"")</f>
        <v/>
      </c>
      <c r="N330" s="250" t="str">
        <f>IFERROR(__xludf.DUMMYFUNCTION("""COMPUTED_VALUE"""),"")</f>
        <v/>
      </c>
      <c r="O330" s="250" t="str">
        <f>IFERROR(__xludf.DUMMYFUNCTION("""COMPUTED_VALUE"""),"")</f>
        <v/>
      </c>
      <c r="P330" s="250" t="str">
        <f>IFERROR(__xludf.DUMMYFUNCTION("""COMPUTED_VALUE"""),"")</f>
        <v/>
      </c>
      <c r="Q330" s="250">
        <f>IFERROR(__xludf.DUMMYFUNCTION("""COMPUTED_VALUE"""),1689.0)</f>
        <v>1689</v>
      </c>
      <c r="R330" s="250" t="str">
        <f>IFERROR(__xludf.DUMMYFUNCTION("""COMPUTED_VALUE"""),"")</f>
        <v/>
      </c>
      <c r="U330" s="250">
        <f>IFERROR(__xludf.DUMMYFUNCTION("""COMPUTED_VALUE"""),4289.0)</f>
        <v>4289</v>
      </c>
      <c r="V330" s="250">
        <f>IFERROR(__xludf.DUMMYFUNCTION("""COMPUTED_VALUE"""),4079.0)</f>
        <v>4079</v>
      </c>
      <c r="W330" s="250">
        <f>IFERROR(__xludf.DUMMYFUNCTION("""COMPUTED_VALUE"""),3729.0)</f>
        <v>3729</v>
      </c>
      <c r="X330" t="b">
        <f t="shared" ref="X330:Z330" si="636">ISBLANK(K330)</f>
        <v>1</v>
      </c>
      <c r="Y330" t="b">
        <f t="shared" si="636"/>
        <v>0</v>
      </c>
      <c r="Z330" t="b">
        <f t="shared" si="636"/>
        <v>0</v>
      </c>
      <c r="AA330">
        <f t="shared" ref="AA330:AC330" si="637">IF(X330=FALSE,1,0)</f>
        <v>0</v>
      </c>
      <c r="AB330">
        <f t="shared" si="637"/>
        <v>1</v>
      </c>
      <c r="AC330">
        <f t="shared" si="637"/>
        <v>1</v>
      </c>
      <c r="AD330">
        <f t="shared" si="6"/>
        <v>2</v>
      </c>
      <c r="AE330">
        <f t="shared" si="7"/>
        <v>1</v>
      </c>
      <c r="AF330">
        <f>if(iferror(vlookup($A330,'Description Database'!$E$2:$H$951,3,0),0)=TRUE,1,0)</f>
        <v>0</v>
      </c>
      <c r="AG330">
        <f>if(iferror(vlookup($A330,'Description Database'!$E$2:$H$951,4,0),0)=TRUE,1,0)</f>
        <v>0</v>
      </c>
    </row>
    <row r="331">
      <c r="A331" t="str">
        <f>IFERROR(__xludf.DUMMYFUNCTION("""COMPUTED_VALUE"""),"Honor 6X (4 GB/64 GB)")</f>
        <v>Honor 6X (4 GB/64 GB)</v>
      </c>
      <c r="B331" t="str">
        <f>IFERROR(__xludf.DUMMYFUNCTION("""COMPUTED_VALUE"""),"")</f>
        <v/>
      </c>
      <c r="C331" t="str">
        <f>IFERROR(__xludf.DUMMYFUNCTION("""COMPUTED_VALUE"""),"")</f>
        <v/>
      </c>
      <c r="D331" t="str">
        <f>IFERROR(__xludf.DUMMYFUNCTION("""COMPUTED_VALUE"""),"")</f>
        <v/>
      </c>
      <c r="E331" t="str">
        <f>IFERROR(__xludf.DUMMYFUNCTION("""COMPUTED_VALUE"""),"")</f>
        <v/>
      </c>
      <c r="F331">
        <f>IFERROR(__xludf.DUMMYFUNCTION("""COMPUTED_VALUE"""),3.0)</f>
        <v>3</v>
      </c>
      <c r="G331">
        <f>IFERROR(__xludf.DUMMYFUNCTION("""COMPUTED_VALUE"""),6.0)</f>
        <v>6</v>
      </c>
      <c r="H331" t="str">
        <f>IFERROR(__xludf.DUMMYFUNCTION("""COMPUTED_VALUE"""),"")</f>
        <v/>
      </c>
      <c r="I331">
        <f>IFERROR(__xludf.DUMMYFUNCTION("""COMPUTED_VALUE"""),1.0)</f>
        <v>1</v>
      </c>
      <c r="J331">
        <f>IFERROR(__xludf.DUMMYFUNCTION("""COMPUTED_VALUE"""),10.0)</f>
        <v>10</v>
      </c>
      <c r="L331" s="250" t="str">
        <f>IFERROR(__xludf.DUMMYFUNCTION("""COMPUTED_VALUE"""),"")</f>
        <v/>
      </c>
      <c r="M331" s="250" t="str">
        <f>IFERROR(__xludf.DUMMYFUNCTION("""COMPUTED_VALUE"""),"")</f>
        <v/>
      </c>
      <c r="N331" s="250" t="str">
        <f>IFERROR(__xludf.DUMMYFUNCTION("""COMPUTED_VALUE"""),"")</f>
        <v/>
      </c>
      <c r="O331" s="250" t="str">
        <f>IFERROR(__xludf.DUMMYFUNCTION("""COMPUTED_VALUE"""),"")</f>
        <v/>
      </c>
      <c r="P331" s="250">
        <f>IFERROR(__xludf.DUMMYFUNCTION("""COMPUTED_VALUE"""),3179.0)</f>
        <v>3179</v>
      </c>
      <c r="Q331" s="250">
        <f>IFERROR(__xludf.DUMMYFUNCTION("""COMPUTED_VALUE"""),2329.0)</f>
        <v>2329</v>
      </c>
      <c r="R331" s="250" t="str">
        <f>IFERROR(__xludf.DUMMYFUNCTION("""COMPUTED_VALUE"""),"")</f>
        <v/>
      </c>
      <c r="U331" s="250">
        <f>IFERROR(__xludf.DUMMYFUNCTION("""COMPUTED_VALUE"""),4909.0)</f>
        <v>4909</v>
      </c>
      <c r="V331" s="250">
        <f>IFERROR(__xludf.DUMMYFUNCTION("""COMPUTED_VALUE"""),4669.0)</f>
        <v>4669</v>
      </c>
      <c r="W331" s="250">
        <f>IFERROR(__xludf.DUMMYFUNCTION("""COMPUTED_VALUE"""),4209.0)</f>
        <v>4209</v>
      </c>
      <c r="X331" t="b">
        <f t="shared" ref="X331:Z331" si="638">ISBLANK(K331)</f>
        <v>1</v>
      </c>
      <c r="Y331" t="b">
        <f t="shared" si="638"/>
        <v>0</v>
      </c>
      <c r="Z331" t="b">
        <f t="shared" si="638"/>
        <v>0</v>
      </c>
      <c r="AA331">
        <f t="shared" ref="AA331:AC331" si="639">IF(X331=FALSE,1,0)</f>
        <v>0</v>
      </c>
      <c r="AB331">
        <f t="shared" si="639"/>
        <v>1</v>
      </c>
      <c r="AC331">
        <f t="shared" si="639"/>
        <v>1</v>
      </c>
      <c r="AD331">
        <f t="shared" si="6"/>
        <v>2</v>
      </c>
      <c r="AE331">
        <f t="shared" si="7"/>
        <v>1</v>
      </c>
      <c r="AF331">
        <f>if(iferror(vlookup($A331,'Description Database'!$E$2:$H$951,3,0),0)=TRUE,1,0)</f>
        <v>0</v>
      </c>
      <c r="AG331">
        <f>if(iferror(vlookup($A331,'Description Database'!$E$2:$H$951,4,0),0)=TRUE,1,0)</f>
        <v>0</v>
      </c>
    </row>
    <row r="332">
      <c r="A332" t="str">
        <f>IFERROR(__xludf.DUMMYFUNCTION("""COMPUTED_VALUE"""),"Motorola Moto E5 Plus (3 GB/32 GB)")</f>
        <v>Motorola Moto E5 Plus (3 GB/32 GB)</v>
      </c>
      <c r="B332" t="str">
        <f>IFERROR(__xludf.DUMMYFUNCTION("""COMPUTED_VALUE"""),"")</f>
        <v/>
      </c>
      <c r="C332" t="str">
        <f>IFERROR(__xludf.DUMMYFUNCTION("""COMPUTED_VALUE"""),"")</f>
        <v/>
      </c>
      <c r="D332" t="str">
        <f>IFERROR(__xludf.DUMMYFUNCTION("""COMPUTED_VALUE"""),"")</f>
        <v/>
      </c>
      <c r="E332" t="str">
        <f>IFERROR(__xludf.DUMMYFUNCTION("""COMPUTED_VALUE"""),"")</f>
        <v/>
      </c>
      <c r="F332" t="str">
        <f>IFERROR(__xludf.DUMMYFUNCTION("""COMPUTED_VALUE"""),"")</f>
        <v/>
      </c>
      <c r="G332">
        <f>IFERROR(__xludf.DUMMYFUNCTION("""COMPUTED_VALUE"""),2.0)</f>
        <v>2</v>
      </c>
      <c r="H332" t="str">
        <f>IFERROR(__xludf.DUMMYFUNCTION("""COMPUTED_VALUE"""),"")</f>
        <v/>
      </c>
      <c r="I332">
        <f>IFERROR(__xludf.DUMMYFUNCTION("""COMPUTED_VALUE"""),13.0)</f>
        <v>13</v>
      </c>
      <c r="J332">
        <f>IFERROR(__xludf.DUMMYFUNCTION("""COMPUTED_VALUE"""),15.0)</f>
        <v>15</v>
      </c>
      <c r="L332" s="250" t="str">
        <f>IFERROR(__xludf.DUMMYFUNCTION("""COMPUTED_VALUE"""),"")</f>
        <v/>
      </c>
      <c r="M332" s="250" t="str">
        <f>IFERROR(__xludf.DUMMYFUNCTION("""COMPUTED_VALUE"""),"")</f>
        <v/>
      </c>
      <c r="N332" s="250" t="str">
        <f>IFERROR(__xludf.DUMMYFUNCTION("""COMPUTED_VALUE"""),"")</f>
        <v/>
      </c>
      <c r="O332" s="250" t="str">
        <f>IFERROR(__xludf.DUMMYFUNCTION("""COMPUTED_VALUE"""),"")</f>
        <v/>
      </c>
      <c r="P332" s="250" t="str">
        <f>IFERROR(__xludf.DUMMYFUNCTION("""COMPUTED_VALUE"""),"")</f>
        <v/>
      </c>
      <c r="Q332" s="250">
        <f>IFERROR(__xludf.DUMMYFUNCTION("""COMPUTED_VALUE"""),2469.0)</f>
        <v>2469</v>
      </c>
      <c r="R332" s="250" t="str">
        <f>IFERROR(__xludf.DUMMYFUNCTION("""COMPUTED_VALUE"""),"")</f>
        <v/>
      </c>
      <c r="U332" s="250">
        <f>IFERROR(__xludf.DUMMYFUNCTION("""COMPUTED_VALUE"""),4989.0)</f>
        <v>4989</v>
      </c>
      <c r="V332" s="250">
        <f>IFERROR(__xludf.DUMMYFUNCTION("""COMPUTED_VALUE"""),4739.0)</f>
        <v>4739</v>
      </c>
      <c r="W332" s="250">
        <f>IFERROR(__xludf.DUMMYFUNCTION("""COMPUTED_VALUE"""),4259.0)</f>
        <v>4259</v>
      </c>
      <c r="X332" t="b">
        <f t="shared" ref="X332:Z332" si="640">ISBLANK(K332)</f>
        <v>1</v>
      </c>
      <c r="Y332" t="b">
        <f t="shared" si="640"/>
        <v>0</v>
      </c>
      <c r="Z332" t="b">
        <f t="shared" si="640"/>
        <v>0</v>
      </c>
      <c r="AA332">
        <f t="shared" ref="AA332:AC332" si="641">IF(X332=FALSE,1,0)</f>
        <v>0</v>
      </c>
      <c r="AB332">
        <f t="shared" si="641"/>
        <v>1</v>
      </c>
      <c r="AC332">
        <f t="shared" si="641"/>
        <v>1</v>
      </c>
      <c r="AD332">
        <f t="shared" si="6"/>
        <v>2</v>
      </c>
      <c r="AE332">
        <f t="shared" si="7"/>
        <v>1</v>
      </c>
      <c r="AF332">
        <f>if(iferror(vlookup($A332,'Description Database'!$E$2:$H$951,3,0),0)=TRUE,1,0)</f>
        <v>0</v>
      </c>
      <c r="AG332">
        <f>if(iferror(vlookup($A332,'Description Database'!$E$2:$H$951,4,0),0)=TRUE,1,0)</f>
        <v>0</v>
      </c>
    </row>
    <row r="333">
      <c r="A333" t="str">
        <f>IFERROR(__xludf.DUMMYFUNCTION("""COMPUTED_VALUE"""),"Motorola MOTO X4 (6 GB/64 GB)")</f>
        <v>Motorola MOTO X4 (6 GB/64 GB)</v>
      </c>
      <c r="B333" t="str">
        <f>IFERROR(__xludf.DUMMYFUNCTION("""COMPUTED_VALUE"""),"")</f>
        <v/>
      </c>
      <c r="C333" t="str">
        <f>IFERROR(__xludf.DUMMYFUNCTION("""COMPUTED_VALUE"""),"")</f>
        <v/>
      </c>
      <c r="D333" t="str">
        <f>IFERROR(__xludf.DUMMYFUNCTION("""COMPUTED_VALUE"""),"")</f>
        <v/>
      </c>
      <c r="E333" t="str">
        <f>IFERROR(__xludf.DUMMYFUNCTION("""COMPUTED_VALUE"""),"")</f>
        <v/>
      </c>
      <c r="F333" t="str">
        <f>IFERROR(__xludf.DUMMYFUNCTION("""COMPUTED_VALUE"""),"")</f>
        <v/>
      </c>
      <c r="G333" t="str">
        <f>IFERROR(__xludf.DUMMYFUNCTION("""COMPUTED_VALUE"""),"")</f>
        <v/>
      </c>
      <c r="H333" t="str">
        <f>IFERROR(__xludf.DUMMYFUNCTION("""COMPUTED_VALUE"""),"")</f>
        <v/>
      </c>
      <c r="I333">
        <f>IFERROR(__xludf.DUMMYFUNCTION("""COMPUTED_VALUE"""),7.0)</f>
        <v>7</v>
      </c>
      <c r="J333">
        <f>IFERROR(__xludf.DUMMYFUNCTION("""COMPUTED_VALUE"""),7.0)</f>
        <v>7</v>
      </c>
      <c r="L333" s="250" t="str">
        <f>IFERROR(__xludf.DUMMYFUNCTION("""COMPUTED_VALUE"""),"")</f>
        <v/>
      </c>
      <c r="M333" s="250" t="str">
        <f>IFERROR(__xludf.DUMMYFUNCTION("""COMPUTED_VALUE"""),"")</f>
        <v/>
      </c>
      <c r="N333" s="250" t="str">
        <f>IFERROR(__xludf.DUMMYFUNCTION("""COMPUTED_VALUE"""),"")</f>
        <v/>
      </c>
      <c r="O333" s="250" t="str">
        <f>IFERROR(__xludf.DUMMYFUNCTION("""COMPUTED_VALUE"""),"")</f>
        <v/>
      </c>
      <c r="P333" s="250" t="str">
        <f>IFERROR(__xludf.DUMMYFUNCTION("""COMPUTED_VALUE"""),"")</f>
        <v/>
      </c>
      <c r="Q333" s="250" t="str">
        <f>IFERROR(__xludf.DUMMYFUNCTION("""COMPUTED_VALUE"""),"")</f>
        <v/>
      </c>
      <c r="R333" s="250" t="str">
        <f>IFERROR(__xludf.DUMMYFUNCTION("""COMPUTED_VALUE"""),"")</f>
        <v/>
      </c>
      <c r="U333" s="250">
        <f>IFERROR(__xludf.DUMMYFUNCTION("""COMPUTED_VALUE"""),5639.0)</f>
        <v>5639</v>
      </c>
      <c r="V333" s="250">
        <f>IFERROR(__xludf.DUMMYFUNCTION("""COMPUTED_VALUE"""),5359.0)</f>
        <v>5359</v>
      </c>
      <c r="W333" s="250">
        <f>IFERROR(__xludf.DUMMYFUNCTION("""COMPUTED_VALUE"""),4829.0)</f>
        <v>4829</v>
      </c>
      <c r="X333" t="b">
        <f t="shared" ref="X333:Z333" si="642">ISBLANK(K333)</f>
        <v>1</v>
      </c>
      <c r="Y333" t="b">
        <f t="shared" si="642"/>
        <v>0</v>
      </c>
      <c r="Z333" t="b">
        <f t="shared" si="642"/>
        <v>0</v>
      </c>
      <c r="AA333">
        <f t="shared" ref="AA333:AC333" si="643">IF(X333=FALSE,1,0)</f>
        <v>0</v>
      </c>
      <c r="AB333">
        <f t="shared" si="643"/>
        <v>1</v>
      </c>
      <c r="AC333">
        <f t="shared" si="643"/>
        <v>1</v>
      </c>
      <c r="AD333">
        <f t="shared" si="6"/>
        <v>2</v>
      </c>
      <c r="AE333">
        <f t="shared" si="7"/>
        <v>1</v>
      </c>
      <c r="AF333">
        <f>if(iferror(vlookup($A333,'Description Database'!$E$2:$H$951,3,0),0)=TRUE,1,0)</f>
        <v>0</v>
      </c>
      <c r="AG333">
        <f>if(iferror(vlookup($A333,'Description Database'!$E$2:$H$951,4,0),0)=TRUE,1,0)</f>
        <v>0</v>
      </c>
    </row>
    <row r="334">
      <c r="A334" t="str">
        <f>IFERROR(__xludf.DUMMYFUNCTION("""COMPUTED_VALUE"""),"Xiaomi REDMI 7 (3 GB/32 GB)")</f>
        <v>Xiaomi REDMI 7 (3 GB/32 GB)</v>
      </c>
      <c r="B334" t="str">
        <f>IFERROR(__xludf.DUMMYFUNCTION("""COMPUTED_VALUE"""),"")</f>
        <v/>
      </c>
      <c r="C334" t="str">
        <f>IFERROR(__xludf.DUMMYFUNCTION("""COMPUTED_VALUE"""),"")</f>
        <v/>
      </c>
      <c r="D334" t="str">
        <f>IFERROR(__xludf.DUMMYFUNCTION("""COMPUTED_VALUE"""),"")</f>
        <v/>
      </c>
      <c r="E334" t="str">
        <f>IFERROR(__xludf.DUMMYFUNCTION("""COMPUTED_VALUE"""),"")</f>
        <v/>
      </c>
      <c r="F334">
        <f>IFERROR(__xludf.DUMMYFUNCTION("""COMPUTED_VALUE"""),1.0)</f>
        <v>1</v>
      </c>
      <c r="G334" t="str">
        <f>IFERROR(__xludf.DUMMYFUNCTION("""COMPUTED_VALUE"""),"")</f>
        <v/>
      </c>
      <c r="H334" t="str">
        <f>IFERROR(__xludf.DUMMYFUNCTION("""COMPUTED_VALUE"""),"")</f>
        <v/>
      </c>
      <c r="I334">
        <f>IFERROR(__xludf.DUMMYFUNCTION("""COMPUTED_VALUE"""),13.0)</f>
        <v>13</v>
      </c>
      <c r="J334">
        <f>IFERROR(__xludf.DUMMYFUNCTION("""COMPUTED_VALUE"""),14.0)</f>
        <v>14</v>
      </c>
      <c r="L334" s="250" t="str">
        <f>IFERROR(__xludf.DUMMYFUNCTION("""COMPUTED_VALUE"""),"")</f>
        <v/>
      </c>
      <c r="M334" s="250" t="str">
        <f>IFERROR(__xludf.DUMMYFUNCTION("""COMPUTED_VALUE"""),"")</f>
        <v/>
      </c>
      <c r="N334" s="250" t="str">
        <f>IFERROR(__xludf.DUMMYFUNCTION("""COMPUTED_VALUE"""),"")</f>
        <v/>
      </c>
      <c r="O334" s="250" t="str">
        <f>IFERROR(__xludf.DUMMYFUNCTION("""COMPUTED_VALUE"""),"")</f>
        <v/>
      </c>
      <c r="P334" s="250">
        <f>IFERROR(__xludf.DUMMYFUNCTION("""COMPUTED_VALUE"""),4459.0)</f>
        <v>4459</v>
      </c>
      <c r="Q334" s="250" t="str">
        <f>IFERROR(__xludf.DUMMYFUNCTION("""COMPUTED_VALUE"""),"")</f>
        <v/>
      </c>
      <c r="R334" s="250" t="str">
        <f>IFERROR(__xludf.DUMMYFUNCTION("""COMPUTED_VALUE"""),"")</f>
        <v/>
      </c>
      <c r="U334" s="250">
        <f>IFERROR(__xludf.DUMMYFUNCTION("""COMPUTED_VALUE"""),6869.0)</f>
        <v>6869</v>
      </c>
      <c r="V334" s="250">
        <f>IFERROR(__xludf.DUMMYFUNCTION("""COMPUTED_VALUE"""),6539.0)</f>
        <v>6539</v>
      </c>
      <c r="W334" s="250">
        <f>IFERROR(__xludf.DUMMYFUNCTION("""COMPUTED_VALUE"""),5889.0)</f>
        <v>5889</v>
      </c>
      <c r="X334" t="b">
        <f t="shared" ref="X334:Z334" si="644">ISBLANK(K334)</f>
        <v>1</v>
      </c>
      <c r="Y334" t="b">
        <f t="shared" si="644"/>
        <v>0</v>
      </c>
      <c r="Z334" t="b">
        <f t="shared" si="644"/>
        <v>0</v>
      </c>
      <c r="AA334">
        <f t="shared" ref="AA334:AC334" si="645">IF(X334=FALSE,1,0)</f>
        <v>0</v>
      </c>
      <c r="AB334">
        <f t="shared" si="645"/>
        <v>1</v>
      </c>
      <c r="AC334">
        <f t="shared" si="645"/>
        <v>1</v>
      </c>
      <c r="AD334">
        <f t="shared" si="6"/>
        <v>2</v>
      </c>
      <c r="AE334">
        <f t="shared" si="7"/>
        <v>1</v>
      </c>
      <c r="AF334">
        <f>if(iferror(vlookup($A334,'Description Database'!$E$2:$H$951,3,0),0)=TRUE,1,0)</f>
        <v>0</v>
      </c>
      <c r="AG334">
        <f>if(iferror(vlookup($A334,'Description Database'!$E$2:$H$951,4,0),0)=TRUE,1,0)</f>
        <v>0</v>
      </c>
    </row>
    <row r="335">
      <c r="A335" t="str">
        <f>IFERROR(__xludf.DUMMYFUNCTION("""COMPUTED_VALUE"""),"Samsung GALAXY ON5 (1 GB/16 GB)")</f>
        <v>Samsung GALAXY ON5 (1 GB/16 GB)</v>
      </c>
      <c r="B335" t="str">
        <f>IFERROR(__xludf.DUMMYFUNCTION("""COMPUTED_VALUE"""),"")</f>
        <v/>
      </c>
      <c r="C335" t="str">
        <f>IFERROR(__xludf.DUMMYFUNCTION("""COMPUTED_VALUE"""),"")</f>
        <v/>
      </c>
      <c r="D335" t="str">
        <f>IFERROR(__xludf.DUMMYFUNCTION("""COMPUTED_VALUE"""),"")</f>
        <v/>
      </c>
      <c r="E335" t="str">
        <f>IFERROR(__xludf.DUMMYFUNCTION("""COMPUTED_VALUE"""),"")</f>
        <v/>
      </c>
      <c r="F335" t="str">
        <f>IFERROR(__xludf.DUMMYFUNCTION("""COMPUTED_VALUE"""),"")</f>
        <v/>
      </c>
      <c r="G335" t="str">
        <f>IFERROR(__xludf.DUMMYFUNCTION("""COMPUTED_VALUE"""),"")</f>
        <v/>
      </c>
      <c r="H335" t="str">
        <f>IFERROR(__xludf.DUMMYFUNCTION("""COMPUTED_VALUE"""),"")</f>
        <v/>
      </c>
      <c r="I335" t="str">
        <f>IFERROR(__xludf.DUMMYFUNCTION("""COMPUTED_VALUE"""),"")</f>
        <v/>
      </c>
      <c r="J335">
        <f>IFERROR(__xludf.DUMMYFUNCTION("""COMPUTED_VALUE"""),0.0)</f>
        <v>0</v>
      </c>
      <c r="L335" s="250" t="str">
        <f>IFERROR(__xludf.DUMMYFUNCTION("""COMPUTED_VALUE"""),"")</f>
        <v/>
      </c>
      <c r="M335" s="250" t="str">
        <f>IFERROR(__xludf.DUMMYFUNCTION("""COMPUTED_VALUE"""),"")</f>
        <v/>
      </c>
      <c r="N335" s="250" t="str">
        <f>IFERROR(__xludf.DUMMYFUNCTION("""COMPUTED_VALUE"""),"")</f>
        <v/>
      </c>
      <c r="O335" s="250" t="str">
        <f>IFERROR(__xludf.DUMMYFUNCTION("""COMPUTED_VALUE"""),"")</f>
        <v/>
      </c>
      <c r="P335" s="250" t="str">
        <f>IFERROR(__xludf.DUMMYFUNCTION("""COMPUTED_VALUE"""),"")</f>
        <v/>
      </c>
      <c r="Q335" s="250" t="str">
        <f>IFERROR(__xludf.DUMMYFUNCTION("""COMPUTED_VALUE"""),"")</f>
        <v/>
      </c>
      <c r="R335" s="250" t="str">
        <f>IFERROR(__xludf.DUMMYFUNCTION("""COMPUTED_VALUE"""),"")</f>
        <v/>
      </c>
      <c r="U335" s="250" t="str">
        <f>IFERROR(__xludf.DUMMYFUNCTION("""COMPUTED_VALUE"""),"#N/A")</f>
        <v>#N/A</v>
      </c>
      <c r="V335" s="250" t="str">
        <f>IFERROR(__xludf.DUMMYFUNCTION("""COMPUTED_VALUE"""),"#N/A")</f>
        <v>#N/A</v>
      </c>
      <c r="W335" s="250" t="str">
        <f>IFERROR(__xludf.DUMMYFUNCTION("""COMPUTED_VALUE"""),"#N/A")</f>
        <v>#N/A</v>
      </c>
      <c r="X335" t="b">
        <f t="shared" ref="X335:Z335" si="646">ISBLANK(K335)</f>
        <v>1</v>
      </c>
      <c r="Y335" t="b">
        <f t="shared" si="646"/>
        <v>0</v>
      </c>
      <c r="Z335" t="b">
        <f t="shared" si="646"/>
        <v>0</v>
      </c>
      <c r="AA335">
        <f t="shared" ref="AA335:AC335" si="647">IF(X335=FALSE,1,0)</f>
        <v>0</v>
      </c>
      <c r="AB335">
        <f t="shared" si="647"/>
        <v>1</v>
      </c>
      <c r="AC335">
        <f t="shared" si="647"/>
        <v>1</v>
      </c>
      <c r="AD335">
        <f t="shared" si="6"/>
        <v>2</v>
      </c>
      <c r="AE335">
        <f t="shared" si="7"/>
        <v>1</v>
      </c>
      <c r="AF335">
        <f>if(iferror(vlookup($A335,'Description Database'!$E$2:$H$951,3,0),0)=TRUE,1,0)</f>
        <v>0</v>
      </c>
      <c r="AG335">
        <f>if(iferror(vlookup($A335,'Description Database'!$E$2:$H$951,4,0),0)=TRUE,1,0)</f>
        <v>0</v>
      </c>
    </row>
    <row r="336">
      <c r="A336" t="str">
        <f>IFERROR(__xludf.DUMMYFUNCTION("""COMPUTED_VALUE"""),"Samsung GALAXY J6 (2 GB/16GB)")</f>
        <v>Samsung GALAXY J6 (2 GB/16GB)</v>
      </c>
      <c r="B336" t="str">
        <f>IFERROR(__xludf.DUMMYFUNCTION("""COMPUTED_VALUE"""),"")</f>
        <v/>
      </c>
      <c r="C336" t="str">
        <f>IFERROR(__xludf.DUMMYFUNCTION("""COMPUTED_VALUE"""),"")</f>
        <v/>
      </c>
      <c r="D336" t="str">
        <f>IFERROR(__xludf.DUMMYFUNCTION("""COMPUTED_VALUE"""),"")</f>
        <v/>
      </c>
      <c r="E336" t="str">
        <f>IFERROR(__xludf.DUMMYFUNCTION("""COMPUTED_VALUE"""),"")</f>
        <v/>
      </c>
      <c r="F336" t="str">
        <f>IFERROR(__xludf.DUMMYFUNCTION("""COMPUTED_VALUE"""),"")</f>
        <v/>
      </c>
      <c r="G336" t="str">
        <f>IFERROR(__xludf.DUMMYFUNCTION("""COMPUTED_VALUE"""),"")</f>
        <v/>
      </c>
      <c r="H336" t="str">
        <f>IFERROR(__xludf.DUMMYFUNCTION("""COMPUTED_VALUE"""),"")</f>
        <v/>
      </c>
      <c r="I336" t="str">
        <f>IFERROR(__xludf.DUMMYFUNCTION("""COMPUTED_VALUE"""),"")</f>
        <v/>
      </c>
      <c r="J336">
        <f>IFERROR(__xludf.DUMMYFUNCTION("""COMPUTED_VALUE"""),0.0)</f>
        <v>0</v>
      </c>
      <c r="L336" s="250" t="str">
        <f>IFERROR(__xludf.DUMMYFUNCTION("""COMPUTED_VALUE"""),"")</f>
        <v/>
      </c>
      <c r="M336" s="250" t="str">
        <f>IFERROR(__xludf.DUMMYFUNCTION("""COMPUTED_VALUE"""),"")</f>
        <v/>
      </c>
      <c r="N336" s="250" t="str">
        <f>IFERROR(__xludf.DUMMYFUNCTION("""COMPUTED_VALUE"""),"")</f>
        <v/>
      </c>
      <c r="O336" s="250" t="str">
        <f>IFERROR(__xludf.DUMMYFUNCTION("""COMPUTED_VALUE"""),"")</f>
        <v/>
      </c>
      <c r="P336" s="250" t="str">
        <f>IFERROR(__xludf.DUMMYFUNCTION("""COMPUTED_VALUE"""),"")</f>
        <v/>
      </c>
      <c r="Q336" s="250" t="str">
        <f>IFERROR(__xludf.DUMMYFUNCTION("""COMPUTED_VALUE"""),"")</f>
        <v/>
      </c>
      <c r="R336" s="250" t="str">
        <f>IFERROR(__xludf.DUMMYFUNCTION("""COMPUTED_VALUE"""),"")</f>
        <v/>
      </c>
      <c r="U336" s="250" t="str">
        <f>IFERROR(__xludf.DUMMYFUNCTION("""COMPUTED_VALUE"""),"#N/A")</f>
        <v>#N/A</v>
      </c>
      <c r="V336" s="250" t="str">
        <f>IFERROR(__xludf.DUMMYFUNCTION("""COMPUTED_VALUE"""),"#N/A")</f>
        <v>#N/A</v>
      </c>
      <c r="W336" s="250" t="str">
        <f>IFERROR(__xludf.DUMMYFUNCTION("""COMPUTED_VALUE"""),"#N/A")</f>
        <v>#N/A</v>
      </c>
      <c r="X336" t="b">
        <f t="shared" ref="X336:Z336" si="648">ISBLANK(K336)</f>
        <v>1</v>
      </c>
      <c r="Y336" t="b">
        <f t="shared" si="648"/>
        <v>0</v>
      </c>
      <c r="Z336" t="b">
        <f t="shared" si="648"/>
        <v>0</v>
      </c>
      <c r="AA336">
        <f t="shared" ref="AA336:AC336" si="649">IF(X336=FALSE,1,0)</f>
        <v>0</v>
      </c>
      <c r="AB336">
        <f t="shared" si="649"/>
        <v>1</v>
      </c>
      <c r="AC336">
        <f t="shared" si="649"/>
        <v>1</v>
      </c>
      <c r="AD336">
        <f t="shared" si="6"/>
        <v>2</v>
      </c>
      <c r="AE336">
        <f t="shared" si="7"/>
        <v>1</v>
      </c>
      <c r="AF336">
        <f>if(iferror(vlookup($A336,'Description Database'!$E$2:$H$951,3,0),0)=TRUE,1,0)</f>
        <v>0</v>
      </c>
      <c r="AG336">
        <f>if(iferror(vlookup($A336,'Description Database'!$E$2:$H$951,4,0),0)=TRUE,1,0)</f>
        <v>0</v>
      </c>
    </row>
    <row r="337">
      <c r="A337" t="str">
        <f>IFERROR(__xludf.DUMMYFUNCTION("""COMPUTED_VALUE"""),"Vivo Y17 (4 GB/128 GB)")</f>
        <v>Vivo Y17 (4 GB/128 GB)</v>
      </c>
      <c r="B337" t="str">
        <f>IFERROR(__xludf.DUMMYFUNCTION("""COMPUTED_VALUE"""),"")</f>
        <v/>
      </c>
      <c r="C337" t="str">
        <f>IFERROR(__xludf.DUMMYFUNCTION("""COMPUTED_VALUE"""),"")</f>
        <v/>
      </c>
      <c r="D337" t="str">
        <f>IFERROR(__xludf.DUMMYFUNCTION("""COMPUTED_VALUE"""),"")</f>
        <v/>
      </c>
      <c r="E337" t="str">
        <f>IFERROR(__xludf.DUMMYFUNCTION("""COMPUTED_VALUE"""),"")</f>
        <v/>
      </c>
      <c r="F337" t="str">
        <f>IFERROR(__xludf.DUMMYFUNCTION("""COMPUTED_VALUE"""),"")</f>
        <v/>
      </c>
      <c r="G337">
        <f>IFERROR(__xludf.DUMMYFUNCTION("""COMPUTED_VALUE"""),1.0)</f>
        <v>1</v>
      </c>
      <c r="H337" t="str">
        <f>IFERROR(__xludf.DUMMYFUNCTION("""COMPUTED_VALUE"""),"")</f>
        <v/>
      </c>
      <c r="I337">
        <f>IFERROR(__xludf.DUMMYFUNCTION("""COMPUTED_VALUE"""),1.0)</f>
        <v>1</v>
      </c>
      <c r="J337">
        <f>IFERROR(__xludf.DUMMYFUNCTION("""COMPUTED_VALUE"""),2.0)</f>
        <v>2</v>
      </c>
      <c r="L337" s="250" t="str">
        <f>IFERROR(__xludf.DUMMYFUNCTION("""COMPUTED_VALUE"""),"")</f>
        <v/>
      </c>
      <c r="M337" s="250" t="str">
        <f>IFERROR(__xludf.DUMMYFUNCTION("""COMPUTED_VALUE"""),"")</f>
        <v/>
      </c>
      <c r="N337" s="250" t="str">
        <f>IFERROR(__xludf.DUMMYFUNCTION("""COMPUTED_VALUE"""),"")</f>
        <v/>
      </c>
      <c r="O337" s="250" t="str">
        <f>IFERROR(__xludf.DUMMYFUNCTION("""COMPUTED_VALUE"""),"")</f>
        <v/>
      </c>
      <c r="P337" s="250" t="str">
        <f>IFERROR(__xludf.DUMMYFUNCTION("""COMPUTED_VALUE"""),"")</f>
        <v/>
      </c>
      <c r="Q337" s="250">
        <f>IFERROR(__xludf.DUMMYFUNCTION("""COMPUTED_VALUE"""),4919.0)</f>
        <v>4919</v>
      </c>
      <c r="R337" s="250" t="str">
        <f>IFERROR(__xludf.DUMMYFUNCTION("""COMPUTED_VALUE"""),"")</f>
        <v/>
      </c>
      <c r="U337" s="250">
        <f>IFERROR(__xludf.DUMMYFUNCTION("""COMPUTED_VALUE"""),10049.0)</f>
        <v>10049</v>
      </c>
      <c r="V337" s="250">
        <f>IFERROR(__xludf.DUMMYFUNCTION("""COMPUTED_VALUE"""),9559.0)</f>
        <v>9559</v>
      </c>
      <c r="W337" s="250">
        <f>IFERROR(__xludf.DUMMYFUNCTION("""COMPUTED_VALUE"""),8609.0)</f>
        <v>8609</v>
      </c>
      <c r="X337" t="b">
        <f t="shared" ref="X337:Z337" si="650">ISBLANK(K337)</f>
        <v>1</v>
      </c>
      <c r="Y337" t="b">
        <f t="shared" si="650"/>
        <v>0</v>
      </c>
      <c r="Z337" t="b">
        <f t="shared" si="650"/>
        <v>0</v>
      </c>
      <c r="AA337">
        <f t="shared" ref="AA337:AC337" si="651">IF(X337=FALSE,1,0)</f>
        <v>0</v>
      </c>
      <c r="AB337">
        <f t="shared" si="651"/>
        <v>1</v>
      </c>
      <c r="AC337">
        <f t="shared" si="651"/>
        <v>1</v>
      </c>
      <c r="AD337">
        <f t="shared" si="6"/>
        <v>2</v>
      </c>
      <c r="AE337">
        <f t="shared" si="7"/>
        <v>1</v>
      </c>
      <c r="AF337">
        <f>if(iferror(vlookup($A337,'Description Database'!$E$2:$H$951,3,0),0)=TRUE,1,0)</f>
        <v>0</v>
      </c>
      <c r="AG337">
        <f>if(iferror(vlookup($A337,'Description Database'!$E$2:$H$951,4,0),0)=TRUE,1,0)</f>
        <v>0</v>
      </c>
    </row>
    <row r="338">
      <c r="A338" t="str">
        <f>IFERROR(__xludf.DUMMYFUNCTION("""COMPUTED_VALUE"""),"Vivo V9 YOUTH (4 GB/32 GB)")</f>
        <v>Vivo V9 YOUTH (4 GB/32 GB)</v>
      </c>
      <c r="B338" t="str">
        <f>IFERROR(__xludf.DUMMYFUNCTION("""COMPUTED_VALUE"""),"")</f>
        <v/>
      </c>
      <c r="C338" t="str">
        <f>IFERROR(__xludf.DUMMYFUNCTION("""COMPUTED_VALUE"""),"")</f>
        <v/>
      </c>
      <c r="D338" t="str">
        <f>IFERROR(__xludf.DUMMYFUNCTION("""COMPUTED_VALUE"""),"")</f>
        <v/>
      </c>
      <c r="E338" t="str">
        <f>IFERROR(__xludf.DUMMYFUNCTION("""COMPUTED_VALUE"""),"")</f>
        <v/>
      </c>
      <c r="F338" t="str">
        <f>IFERROR(__xludf.DUMMYFUNCTION("""COMPUTED_VALUE"""),"")</f>
        <v/>
      </c>
      <c r="G338">
        <f>IFERROR(__xludf.DUMMYFUNCTION("""COMPUTED_VALUE"""),1.0)</f>
        <v>1</v>
      </c>
      <c r="H338" t="str">
        <f>IFERROR(__xludf.DUMMYFUNCTION("""COMPUTED_VALUE"""),"")</f>
        <v/>
      </c>
      <c r="I338" t="str">
        <f>IFERROR(__xludf.DUMMYFUNCTION("""COMPUTED_VALUE"""),"")</f>
        <v/>
      </c>
      <c r="J338">
        <f>IFERROR(__xludf.DUMMYFUNCTION("""COMPUTED_VALUE"""),1.0)</f>
        <v>1</v>
      </c>
      <c r="L338" s="250" t="str">
        <f>IFERROR(__xludf.DUMMYFUNCTION("""COMPUTED_VALUE"""),"")</f>
        <v/>
      </c>
      <c r="M338" s="250" t="str">
        <f>IFERROR(__xludf.DUMMYFUNCTION("""COMPUTED_VALUE"""),"")</f>
        <v/>
      </c>
      <c r="N338" s="250" t="str">
        <f>IFERROR(__xludf.DUMMYFUNCTION("""COMPUTED_VALUE"""),"")</f>
        <v/>
      </c>
      <c r="O338" s="250" t="str">
        <f>IFERROR(__xludf.DUMMYFUNCTION("""COMPUTED_VALUE"""),"")</f>
        <v/>
      </c>
      <c r="P338" s="250" t="str">
        <f>IFERROR(__xludf.DUMMYFUNCTION("""COMPUTED_VALUE"""),"")</f>
        <v/>
      </c>
      <c r="Q338" s="250">
        <f>IFERROR(__xludf.DUMMYFUNCTION("""COMPUTED_VALUE"""),3199.0)</f>
        <v>3199</v>
      </c>
      <c r="R338" s="250" t="str">
        <f>IFERROR(__xludf.DUMMYFUNCTION("""COMPUTED_VALUE"""),"")</f>
        <v/>
      </c>
      <c r="U338" s="250">
        <f>IFERROR(__xludf.DUMMYFUNCTION("""COMPUTED_VALUE"""),7149.0)</f>
        <v>7149</v>
      </c>
      <c r="V338" s="250">
        <f>IFERROR(__xludf.DUMMYFUNCTION("""COMPUTED_VALUE"""),6809.0)</f>
        <v>6809</v>
      </c>
      <c r="W338" s="250">
        <f>IFERROR(__xludf.DUMMYFUNCTION("""COMPUTED_VALUE"""),6219.0)</f>
        <v>6219</v>
      </c>
      <c r="X338" t="b">
        <f t="shared" ref="X338:Z338" si="652">ISBLANK(K338)</f>
        <v>1</v>
      </c>
      <c r="Y338" t="b">
        <f t="shared" si="652"/>
        <v>0</v>
      </c>
      <c r="Z338" t="b">
        <f t="shared" si="652"/>
        <v>0</v>
      </c>
      <c r="AA338">
        <f t="shared" ref="AA338:AC338" si="653">IF(X338=FALSE,1,0)</f>
        <v>0</v>
      </c>
      <c r="AB338">
        <f t="shared" si="653"/>
        <v>1</v>
      </c>
      <c r="AC338">
        <f t="shared" si="653"/>
        <v>1</v>
      </c>
      <c r="AD338">
        <f t="shared" si="6"/>
        <v>2</v>
      </c>
      <c r="AE338">
        <f t="shared" si="7"/>
        <v>1</v>
      </c>
      <c r="AF338">
        <f>if(iferror(vlookup($A338,'Description Database'!$E$2:$H$951,3,0),0)=TRUE,1,0)</f>
        <v>0</v>
      </c>
      <c r="AG338">
        <f>if(iferror(vlookup($A338,'Description Database'!$E$2:$H$951,4,0),0)=TRUE,1,0)</f>
        <v>0</v>
      </c>
    </row>
    <row r="339">
      <c r="A339" t="str">
        <f>IFERROR(__xludf.DUMMYFUNCTION("""COMPUTED_VALUE"""),"Xiaomi REDMI 6A (2 GB/32 GB)")</f>
        <v>Xiaomi REDMI 6A (2 GB/32 GB)</v>
      </c>
      <c r="B339" t="str">
        <f>IFERROR(__xludf.DUMMYFUNCTION("""COMPUTED_VALUE"""),"")</f>
        <v/>
      </c>
      <c r="C339" t="str">
        <f>IFERROR(__xludf.DUMMYFUNCTION("""COMPUTED_VALUE"""),"")</f>
        <v/>
      </c>
      <c r="D339" t="str">
        <f>IFERROR(__xludf.DUMMYFUNCTION("""COMPUTED_VALUE"""),"")</f>
        <v/>
      </c>
      <c r="E339" t="str">
        <f>IFERROR(__xludf.DUMMYFUNCTION("""COMPUTED_VALUE"""),"")</f>
        <v/>
      </c>
      <c r="F339" t="str">
        <f>IFERROR(__xludf.DUMMYFUNCTION("""COMPUTED_VALUE"""),"")</f>
        <v/>
      </c>
      <c r="G339" t="str">
        <f>IFERROR(__xludf.DUMMYFUNCTION("""COMPUTED_VALUE"""),"")</f>
        <v/>
      </c>
      <c r="H339" t="str">
        <f>IFERROR(__xludf.DUMMYFUNCTION("""COMPUTED_VALUE"""),"")</f>
        <v/>
      </c>
      <c r="I339">
        <f>IFERROR(__xludf.DUMMYFUNCTION("""COMPUTED_VALUE"""),3.0)</f>
        <v>3</v>
      </c>
      <c r="J339">
        <f>IFERROR(__xludf.DUMMYFUNCTION("""COMPUTED_VALUE"""),3.0)</f>
        <v>3</v>
      </c>
      <c r="L339" s="250" t="str">
        <f>IFERROR(__xludf.DUMMYFUNCTION("""COMPUTED_VALUE"""),"")</f>
        <v/>
      </c>
      <c r="M339" s="250" t="str">
        <f>IFERROR(__xludf.DUMMYFUNCTION("""COMPUTED_VALUE"""),"")</f>
        <v/>
      </c>
      <c r="N339" s="250" t="str">
        <f>IFERROR(__xludf.DUMMYFUNCTION("""COMPUTED_VALUE"""),"")</f>
        <v/>
      </c>
      <c r="O339" s="250" t="str">
        <f>IFERROR(__xludf.DUMMYFUNCTION("""COMPUTED_VALUE"""),"")</f>
        <v/>
      </c>
      <c r="P339" s="250" t="str">
        <f>IFERROR(__xludf.DUMMYFUNCTION("""COMPUTED_VALUE"""),"")</f>
        <v/>
      </c>
      <c r="Q339" s="250" t="str">
        <f>IFERROR(__xludf.DUMMYFUNCTION("""COMPUTED_VALUE"""),"")</f>
        <v/>
      </c>
      <c r="R339" s="250" t="str">
        <f>IFERROR(__xludf.DUMMYFUNCTION("""COMPUTED_VALUE"""),"")</f>
        <v/>
      </c>
      <c r="U339" s="250">
        <f>IFERROR(__xludf.DUMMYFUNCTION("""COMPUTED_VALUE"""),5159.0)</f>
        <v>5159</v>
      </c>
      <c r="V339" s="250">
        <f>IFERROR(__xludf.DUMMYFUNCTION("""COMPUTED_VALUE"""),4909.0)</f>
        <v>4909</v>
      </c>
      <c r="W339" s="250">
        <f>IFERROR(__xludf.DUMMYFUNCTION("""COMPUTED_VALUE"""),4489.0)</f>
        <v>4489</v>
      </c>
      <c r="X339" t="b">
        <f t="shared" ref="X339:Z339" si="654">ISBLANK(K339)</f>
        <v>1</v>
      </c>
      <c r="Y339" t="b">
        <f t="shared" si="654"/>
        <v>0</v>
      </c>
      <c r="Z339" t="b">
        <f t="shared" si="654"/>
        <v>0</v>
      </c>
      <c r="AA339">
        <f t="shared" ref="AA339:AC339" si="655">IF(X339=FALSE,1,0)</f>
        <v>0</v>
      </c>
      <c r="AB339">
        <f t="shared" si="655"/>
        <v>1</v>
      </c>
      <c r="AC339">
        <f t="shared" si="655"/>
        <v>1</v>
      </c>
      <c r="AD339">
        <f t="shared" si="6"/>
        <v>2</v>
      </c>
      <c r="AE339">
        <f t="shared" si="7"/>
        <v>1</v>
      </c>
      <c r="AF339">
        <f>if(iferror(vlookup($A339,'Description Database'!$E$2:$H$951,3,0),0)=TRUE,1,0)</f>
        <v>0</v>
      </c>
      <c r="AG339">
        <f>if(iferror(vlookup($A339,'Description Database'!$E$2:$H$951,4,0),0)=TRUE,1,0)</f>
        <v>0</v>
      </c>
    </row>
    <row r="340">
      <c r="A340" t="str">
        <f>IFERROR(__xludf.DUMMYFUNCTION("""COMPUTED_VALUE"""),"Oppo A37f (2 GB/16 GB)")</f>
        <v>Oppo A37f (2 GB/16 GB)</v>
      </c>
      <c r="B340" t="str">
        <f>IFERROR(__xludf.DUMMYFUNCTION("""COMPUTED_VALUE"""),"")</f>
        <v/>
      </c>
      <c r="C340" t="str">
        <f>IFERROR(__xludf.DUMMYFUNCTION("""COMPUTED_VALUE"""),"")</f>
        <v/>
      </c>
      <c r="D340" t="str">
        <f>IFERROR(__xludf.DUMMYFUNCTION("""COMPUTED_VALUE"""),"")</f>
        <v/>
      </c>
      <c r="E340" t="str">
        <f>IFERROR(__xludf.DUMMYFUNCTION("""COMPUTED_VALUE"""),"")</f>
        <v/>
      </c>
      <c r="F340">
        <f>IFERROR(__xludf.DUMMYFUNCTION("""COMPUTED_VALUE"""),1.0)</f>
        <v>1</v>
      </c>
      <c r="G340">
        <f>IFERROR(__xludf.DUMMYFUNCTION("""COMPUTED_VALUE"""),1.0)</f>
        <v>1</v>
      </c>
      <c r="H340" t="str">
        <f>IFERROR(__xludf.DUMMYFUNCTION("""COMPUTED_VALUE"""),"")</f>
        <v/>
      </c>
      <c r="I340">
        <f>IFERROR(__xludf.DUMMYFUNCTION("""COMPUTED_VALUE"""),23.0)</f>
        <v>23</v>
      </c>
      <c r="J340">
        <f>IFERROR(__xludf.DUMMYFUNCTION("""COMPUTED_VALUE"""),25.0)</f>
        <v>25</v>
      </c>
      <c r="L340" s="250" t="str">
        <f>IFERROR(__xludf.DUMMYFUNCTION("""COMPUTED_VALUE"""),"")</f>
        <v/>
      </c>
      <c r="M340" s="250" t="str">
        <f>IFERROR(__xludf.DUMMYFUNCTION("""COMPUTED_VALUE"""),"")</f>
        <v/>
      </c>
      <c r="N340" s="250" t="str">
        <f>IFERROR(__xludf.DUMMYFUNCTION("""COMPUTED_VALUE"""),"")</f>
        <v/>
      </c>
      <c r="O340" s="250" t="str">
        <f>IFERROR(__xludf.DUMMYFUNCTION("""COMPUTED_VALUE"""),"")</f>
        <v/>
      </c>
      <c r="P340" s="250">
        <f>IFERROR(__xludf.DUMMYFUNCTION("""COMPUTED_VALUE"""),2669.0)</f>
        <v>2669</v>
      </c>
      <c r="Q340" s="250">
        <f>IFERROR(__xludf.DUMMYFUNCTION("""COMPUTED_VALUE"""),2099.0)</f>
        <v>2099</v>
      </c>
      <c r="R340" s="250" t="str">
        <f>IFERROR(__xludf.DUMMYFUNCTION("""COMPUTED_VALUE"""),"")</f>
        <v/>
      </c>
      <c r="U340" s="250">
        <f>IFERROR(__xludf.DUMMYFUNCTION("""COMPUTED_VALUE"""),4129.0)</f>
        <v>4129</v>
      </c>
      <c r="V340" s="250">
        <f>IFERROR(__xludf.DUMMYFUNCTION("""COMPUTED_VALUE"""),3929.0)</f>
        <v>3929</v>
      </c>
      <c r="W340" s="250">
        <f>IFERROR(__xludf.DUMMYFUNCTION("""COMPUTED_VALUE"""),3549.0)</f>
        <v>3549</v>
      </c>
      <c r="X340" t="b">
        <f t="shared" ref="X340:Z340" si="656">ISBLANK(K340)</f>
        <v>1</v>
      </c>
      <c r="Y340" t="b">
        <f t="shared" si="656"/>
        <v>0</v>
      </c>
      <c r="Z340" t="b">
        <f t="shared" si="656"/>
        <v>0</v>
      </c>
      <c r="AA340">
        <f t="shared" ref="AA340:AC340" si="657">IF(X340=FALSE,1,0)</f>
        <v>0</v>
      </c>
      <c r="AB340">
        <f t="shared" si="657"/>
        <v>1</v>
      </c>
      <c r="AC340">
        <f t="shared" si="657"/>
        <v>1</v>
      </c>
      <c r="AD340">
        <f t="shared" si="6"/>
        <v>2</v>
      </c>
      <c r="AE340">
        <f t="shared" si="7"/>
        <v>1</v>
      </c>
      <c r="AF340">
        <f>if(iferror(vlookup($A340,'Description Database'!$E$2:$H$951,3,0),0)=TRUE,1,0)</f>
        <v>0</v>
      </c>
      <c r="AG340">
        <f>if(iferror(vlookup($A340,'Description Database'!$E$2:$H$951,4,0),0)=TRUE,1,0)</f>
        <v>0</v>
      </c>
    </row>
    <row r="341">
      <c r="A341" t="str">
        <f>IFERROR(__xludf.DUMMYFUNCTION("""COMPUTED_VALUE"""),"SAMSUNG GALAXY GRAND PRIME 4G (1 GB/8 GB)")</f>
        <v>SAMSUNG GALAXY GRAND PRIME 4G (1 GB/8 GB)</v>
      </c>
      <c r="B341" t="str">
        <f>IFERROR(__xludf.DUMMYFUNCTION("""COMPUTED_VALUE"""),"")</f>
        <v/>
      </c>
      <c r="C341" t="str">
        <f>IFERROR(__xludf.DUMMYFUNCTION("""COMPUTED_VALUE"""),"")</f>
        <v/>
      </c>
      <c r="D341" t="str">
        <f>IFERROR(__xludf.DUMMYFUNCTION("""COMPUTED_VALUE"""),"")</f>
        <v/>
      </c>
      <c r="E341" t="str">
        <f>IFERROR(__xludf.DUMMYFUNCTION("""COMPUTED_VALUE"""),"")</f>
        <v/>
      </c>
      <c r="F341" t="str">
        <f>IFERROR(__xludf.DUMMYFUNCTION("""COMPUTED_VALUE"""),"")</f>
        <v/>
      </c>
      <c r="G341" t="str">
        <f>IFERROR(__xludf.DUMMYFUNCTION("""COMPUTED_VALUE"""),"")</f>
        <v/>
      </c>
      <c r="H341" t="str">
        <f>IFERROR(__xludf.DUMMYFUNCTION("""COMPUTED_VALUE"""),"")</f>
        <v/>
      </c>
      <c r="I341">
        <f>IFERROR(__xludf.DUMMYFUNCTION("""COMPUTED_VALUE"""),6.0)</f>
        <v>6</v>
      </c>
      <c r="J341">
        <f>IFERROR(__xludf.DUMMYFUNCTION("""COMPUTED_VALUE"""),6.0)</f>
        <v>6</v>
      </c>
      <c r="L341" s="250" t="str">
        <f>IFERROR(__xludf.DUMMYFUNCTION("""COMPUTED_VALUE"""),"")</f>
        <v/>
      </c>
      <c r="M341" s="250" t="str">
        <f>IFERROR(__xludf.DUMMYFUNCTION("""COMPUTED_VALUE"""),"")</f>
        <v/>
      </c>
      <c r="N341" s="250" t="str">
        <f>IFERROR(__xludf.DUMMYFUNCTION("""COMPUTED_VALUE"""),"")</f>
        <v/>
      </c>
      <c r="O341" s="250" t="str">
        <f>IFERROR(__xludf.DUMMYFUNCTION("""COMPUTED_VALUE"""),"")</f>
        <v/>
      </c>
      <c r="P341" s="250" t="str">
        <f>IFERROR(__xludf.DUMMYFUNCTION("""COMPUTED_VALUE"""),"")</f>
        <v/>
      </c>
      <c r="Q341" s="250" t="str">
        <f>IFERROR(__xludf.DUMMYFUNCTION("""COMPUTED_VALUE"""),"")</f>
        <v/>
      </c>
      <c r="R341" s="250" t="str">
        <f>IFERROR(__xludf.DUMMYFUNCTION("""COMPUTED_VALUE"""),"")</f>
        <v/>
      </c>
      <c r="U341" s="250">
        <f>IFERROR(__xludf.DUMMYFUNCTION("""COMPUTED_VALUE"""),2399.0)</f>
        <v>2399</v>
      </c>
      <c r="V341" s="250">
        <f>IFERROR(__xludf.DUMMYFUNCTION("""COMPUTED_VALUE"""),2279.0)</f>
        <v>2279</v>
      </c>
      <c r="W341" s="250">
        <f>IFERROR(__xludf.DUMMYFUNCTION("""COMPUTED_VALUE"""),2049.0)</f>
        <v>2049</v>
      </c>
      <c r="X341" t="b">
        <f t="shared" ref="X341:Z341" si="658">ISBLANK(K341)</f>
        <v>1</v>
      </c>
      <c r="Y341" t="b">
        <f t="shared" si="658"/>
        <v>0</v>
      </c>
      <c r="Z341" t="b">
        <f t="shared" si="658"/>
        <v>0</v>
      </c>
      <c r="AA341">
        <f t="shared" ref="AA341:AC341" si="659">IF(X341=FALSE,1,0)</f>
        <v>0</v>
      </c>
      <c r="AB341">
        <f t="shared" si="659"/>
        <v>1</v>
      </c>
      <c r="AC341">
        <f t="shared" si="659"/>
        <v>1</v>
      </c>
      <c r="AD341">
        <f t="shared" si="6"/>
        <v>2</v>
      </c>
      <c r="AE341">
        <f t="shared" si="7"/>
        <v>1</v>
      </c>
      <c r="AF341">
        <f>if(iferror(vlookup($A341,'Description Database'!$E$2:$H$951,3,0),0)=TRUE,1,0)</f>
        <v>0</v>
      </c>
      <c r="AG341">
        <f>if(iferror(vlookup($A341,'Description Database'!$E$2:$H$951,4,0),0)=TRUE,1,0)</f>
        <v>0</v>
      </c>
    </row>
    <row r="342">
      <c r="A342" t="str">
        <f>IFERROR(__xludf.DUMMYFUNCTION("""COMPUTED_VALUE"""),"LENOVO VIBE K4 NOTE (2 GB/16 GB)")</f>
        <v>LENOVO VIBE K4 NOTE (2 GB/16 GB)</v>
      </c>
      <c r="B342" t="str">
        <f>IFERROR(__xludf.DUMMYFUNCTION("""COMPUTED_VALUE"""),"")</f>
        <v/>
      </c>
      <c r="C342" t="str">
        <f>IFERROR(__xludf.DUMMYFUNCTION("""COMPUTED_VALUE"""),"")</f>
        <v/>
      </c>
      <c r="D342" t="str">
        <f>IFERROR(__xludf.DUMMYFUNCTION("""COMPUTED_VALUE"""),"")</f>
        <v/>
      </c>
      <c r="E342" t="str">
        <f>IFERROR(__xludf.DUMMYFUNCTION("""COMPUTED_VALUE"""),"")</f>
        <v/>
      </c>
      <c r="F342" t="str">
        <f>IFERROR(__xludf.DUMMYFUNCTION("""COMPUTED_VALUE"""),"")</f>
        <v/>
      </c>
      <c r="G342" t="str">
        <f>IFERROR(__xludf.DUMMYFUNCTION("""COMPUTED_VALUE"""),"")</f>
        <v/>
      </c>
      <c r="H342" t="str">
        <f>IFERROR(__xludf.DUMMYFUNCTION("""COMPUTED_VALUE"""),"")</f>
        <v/>
      </c>
      <c r="I342">
        <f>IFERROR(__xludf.DUMMYFUNCTION("""COMPUTED_VALUE"""),4.0)</f>
        <v>4</v>
      </c>
      <c r="J342">
        <f>IFERROR(__xludf.DUMMYFUNCTION("""COMPUTED_VALUE"""),4.0)</f>
        <v>4</v>
      </c>
      <c r="L342" s="250" t="str">
        <f>IFERROR(__xludf.DUMMYFUNCTION("""COMPUTED_VALUE"""),"")</f>
        <v/>
      </c>
      <c r="M342" s="250" t="str">
        <f>IFERROR(__xludf.DUMMYFUNCTION("""COMPUTED_VALUE"""),"")</f>
        <v/>
      </c>
      <c r="N342" s="250" t="str">
        <f>IFERROR(__xludf.DUMMYFUNCTION("""COMPUTED_VALUE"""),"")</f>
        <v/>
      </c>
      <c r="O342" s="250" t="str">
        <f>IFERROR(__xludf.DUMMYFUNCTION("""COMPUTED_VALUE"""),"")</f>
        <v/>
      </c>
      <c r="P342" s="250" t="str">
        <f>IFERROR(__xludf.DUMMYFUNCTION("""COMPUTED_VALUE"""),"")</f>
        <v/>
      </c>
      <c r="Q342" s="250" t="str">
        <f>IFERROR(__xludf.DUMMYFUNCTION("""COMPUTED_VALUE"""),"")</f>
        <v/>
      </c>
      <c r="R342" s="250" t="str">
        <f>IFERROR(__xludf.DUMMYFUNCTION("""COMPUTED_VALUE"""),"")</f>
        <v/>
      </c>
      <c r="U342" s="250" t="str">
        <f>IFERROR(__xludf.DUMMYFUNCTION("""COMPUTED_VALUE"""),"#N/A")</f>
        <v>#N/A</v>
      </c>
      <c r="V342" s="250" t="str">
        <f>IFERROR(__xludf.DUMMYFUNCTION("""COMPUTED_VALUE"""),"#N/A")</f>
        <v>#N/A</v>
      </c>
      <c r="W342" s="250" t="str">
        <f>IFERROR(__xludf.DUMMYFUNCTION("""COMPUTED_VALUE"""),"#N/A")</f>
        <v>#N/A</v>
      </c>
      <c r="X342" t="b">
        <f t="shared" ref="X342:Z342" si="660">ISBLANK(K342)</f>
        <v>1</v>
      </c>
      <c r="Y342" t="b">
        <f t="shared" si="660"/>
        <v>0</v>
      </c>
      <c r="Z342" t="b">
        <f t="shared" si="660"/>
        <v>0</v>
      </c>
      <c r="AA342">
        <f t="shared" ref="AA342:AC342" si="661">IF(X342=FALSE,1,0)</f>
        <v>0</v>
      </c>
      <c r="AB342">
        <f t="shared" si="661"/>
        <v>1</v>
      </c>
      <c r="AC342">
        <f t="shared" si="661"/>
        <v>1</v>
      </c>
      <c r="AD342">
        <f t="shared" si="6"/>
        <v>2</v>
      </c>
      <c r="AE342">
        <f t="shared" si="7"/>
        <v>1</v>
      </c>
      <c r="AF342">
        <f>if(iferror(vlookup($A342,'Description Database'!$E$2:$H$951,3,0),0)=TRUE,1,0)</f>
        <v>0</v>
      </c>
      <c r="AG342">
        <f>if(iferror(vlookup($A342,'Description Database'!$E$2:$H$951,4,0),0)=TRUE,1,0)</f>
        <v>0</v>
      </c>
    </row>
    <row r="343">
      <c r="A343" t="str">
        <f>IFERROR(__xludf.DUMMYFUNCTION("""COMPUTED_VALUE"""),"GOOGLE PIXEL 2 (4 GB/64 GB)")</f>
        <v>GOOGLE PIXEL 2 (4 GB/64 GB)</v>
      </c>
      <c r="B343" t="str">
        <f>IFERROR(__xludf.DUMMYFUNCTION("""COMPUTED_VALUE"""),"")</f>
        <v/>
      </c>
      <c r="C343" t="str">
        <f>IFERROR(__xludf.DUMMYFUNCTION("""COMPUTED_VALUE"""),"")</f>
        <v/>
      </c>
      <c r="D343" t="str">
        <f>IFERROR(__xludf.DUMMYFUNCTION("""COMPUTED_VALUE"""),"")</f>
        <v/>
      </c>
      <c r="E343" t="str">
        <f>IFERROR(__xludf.DUMMYFUNCTION("""COMPUTED_VALUE"""),"")</f>
        <v/>
      </c>
      <c r="F343" t="str">
        <f>IFERROR(__xludf.DUMMYFUNCTION("""COMPUTED_VALUE"""),"")</f>
        <v/>
      </c>
      <c r="G343" t="str">
        <f>IFERROR(__xludf.DUMMYFUNCTION("""COMPUTED_VALUE"""),"")</f>
        <v/>
      </c>
      <c r="H343" t="str">
        <f>IFERROR(__xludf.DUMMYFUNCTION("""COMPUTED_VALUE"""),"")</f>
        <v/>
      </c>
      <c r="I343" t="str">
        <f>IFERROR(__xludf.DUMMYFUNCTION("""COMPUTED_VALUE"""),"")</f>
        <v/>
      </c>
      <c r="J343">
        <f>IFERROR(__xludf.DUMMYFUNCTION("""COMPUTED_VALUE"""),0.0)</f>
        <v>0</v>
      </c>
      <c r="L343" s="250" t="str">
        <f>IFERROR(__xludf.DUMMYFUNCTION("""COMPUTED_VALUE"""),"")</f>
        <v/>
      </c>
      <c r="M343" s="250" t="str">
        <f>IFERROR(__xludf.DUMMYFUNCTION("""COMPUTED_VALUE"""),"")</f>
        <v/>
      </c>
      <c r="N343" s="250" t="str">
        <f>IFERROR(__xludf.DUMMYFUNCTION("""COMPUTED_VALUE"""),"")</f>
        <v/>
      </c>
      <c r="O343" s="250" t="str">
        <f>IFERROR(__xludf.DUMMYFUNCTION("""COMPUTED_VALUE"""),"")</f>
        <v/>
      </c>
      <c r="P343" s="250" t="str">
        <f>IFERROR(__xludf.DUMMYFUNCTION("""COMPUTED_VALUE"""),"")</f>
        <v/>
      </c>
      <c r="Q343" s="250" t="str">
        <f>IFERROR(__xludf.DUMMYFUNCTION("""COMPUTED_VALUE"""),"")</f>
        <v/>
      </c>
      <c r="R343" s="250" t="str">
        <f>IFERROR(__xludf.DUMMYFUNCTION("""COMPUTED_VALUE"""),"")</f>
        <v/>
      </c>
      <c r="U343" s="250">
        <f>IFERROR(__xludf.DUMMYFUNCTION("""COMPUTED_VALUE"""),7449.0)</f>
        <v>7449</v>
      </c>
      <c r="V343" s="250">
        <f>IFERROR(__xludf.DUMMYFUNCTION("""COMPUTED_VALUE"""),7089.0)</f>
        <v>7089</v>
      </c>
      <c r="W343" s="250">
        <f>IFERROR(__xludf.DUMMYFUNCTION("""COMPUTED_VALUE"""),6369.0)</f>
        <v>6369</v>
      </c>
      <c r="X343" t="b">
        <f t="shared" ref="X343:Z343" si="662">ISBLANK(K343)</f>
        <v>1</v>
      </c>
      <c r="Y343" t="b">
        <f t="shared" si="662"/>
        <v>0</v>
      </c>
      <c r="Z343" t="b">
        <f t="shared" si="662"/>
        <v>0</v>
      </c>
      <c r="AA343">
        <f t="shared" ref="AA343:AC343" si="663">IF(X343=FALSE,1,0)</f>
        <v>0</v>
      </c>
      <c r="AB343">
        <f t="shared" si="663"/>
        <v>1</v>
      </c>
      <c r="AC343">
        <f t="shared" si="663"/>
        <v>1</v>
      </c>
      <c r="AD343">
        <f t="shared" si="6"/>
        <v>2</v>
      </c>
      <c r="AE343">
        <f t="shared" si="7"/>
        <v>1</v>
      </c>
      <c r="AF343">
        <f>if(iferror(vlookup($A343,'Description Database'!$E$2:$H$951,3,0),0)=TRUE,1,0)</f>
        <v>0</v>
      </c>
      <c r="AG343">
        <f>if(iferror(vlookup($A343,'Description Database'!$E$2:$H$951,4,0),0)=TRUE,1,0)</f>
        <v>0</v>
      </c>
    </row>
    <row r="344">
      <c r="A344" t="str">
        <f>IFERROR(__xludf.DUMMYFUNCTION("""COMPUTED_VALUE"""),"OPPO MIRROR 5 (2 GB/16 GB)")</f>
        <v>OPPO MIRROR 5 (2 GB/16 GB)</v>
      </c>
      <c r="B344" t="str">
        <f>IFERROR(__xludf.DUMMYFUNCTION("""COMPUTED_VALUE"""),"")</f>
        <v/>
      </c>
      <c r="C344" t="str">
        <f>IFERROR(__xludf.DUMMYFUNCTION("""COMPUTED_VALUE"""),"")</f>
        <v/>
      </c>
      <c r="D344" t="str">
        <f>IFERROR(__xludf.DUMMYFUNCTION("""COMPUTED_VALUE"""),"")</f>
        <v/>
      </c>
      <c r="E344" t="str">
        <f>IFERROR(__xludf.DUMMYFUNCTION("""COMPUTED_VALUE"""),"")</f>
        <v/>
      </c>
      <c r="F344" t="str">
        <f>IFERROR(__xludf.DUMMYFUNCTION("""COMPUTED_VALUE"""),"")</f>
        <v/>
      </c>
      <c r="G344" t="str">
        <f>IFERROR(__xludf.DUMMYFUNCTION("""COMPUTED_VALUE"""),"")</f>
        <v/>
      </c>
      <c r="H344" t="str">
        <f>IFERROR(__xludf.DUMMYFUNCTION("""COMPUTED_VALUE"""),"")</f>
        <v/>
      </c>
      <c r="I344" t="str">
        <f>IFERROR(__xludf.DUMMYFUNCTION("""COMPUTED_VALUE"""),"")</f>
        <v/>
      </c>
      <c r="J344">
        <f>IFERROR(__xludf.DUMMYFUNCTION("""COMPUTED_VALUE"""),0.0)</f>
        <v>0</v>
      </c>
      <c r="L344" s="250" t="str">
        <f>IFERROR(__xludf.DUMMYFUNCTION("""COMPUTED_VALUE"""),"")</f>
        <v/>
      </c>
      <c r="M344" s="250" t="str">
        <f>IFERROR(__xludf.DUMMYFUNCTION("""COMPUTED_VALUE"""),"")</f>
        <v/>
      </c>
      <c r="N344" s="250" t="str">
        <f>IFERROR(__xludf.DUMMYFUNCTION("""COMPUTED_VALUE"""),"")</f>
        <v/>
      </c>
      <c r="O344" s="250" t="str">
        <f>IFERROR(__xludf.DUMMYFUNCTION("""COMPUTED_VALUE"""),"")</f>
        <v/>
      </c>
      <c r="P344" s="250" t="str">
        <f>IFERROR(__xludf.DUMMYFUNCTION("""COMPUTED_VALUE"""),"")</f>
        <v/>
      </c>
      <c r="Q344" s="250" t="str">
        <f>IFERROR(__xludf.DUMMYFUNCTION("""COMPUTED_VALUE"""),"")</f>
        <v/>
      </c>
      <c r="R344" s="250" t="str">
        <f>IFERROR(__xludf.DUMMYFUNCTION("""COMPUTED_VALUE"""),"")</f>
        <v/>
      </c>
      <c r="U344" s="250">
        <f>IFERROR(__xludf.DUMMYFUNCTION("""COMPUTED_VALUE"""),2139.0)</f>
        <v>2139</v>
      </c>
      <c r="V344" s="250">
        <f>IFERROR(__xludf.DUMMYFUNCTION("""COMPUTED_VALUE"""),2029.0)</f>
        <v>2029</v>
      </c>
      <c r="W344" s="250">
        <f>IFERROR(__xludf.DUMMYFUNCTION("""COMPUTED_VALUE"""),1829.0)</f>
        <v>1829</v>
      </c>
      <c r="X344" t="b">
        <f t="shared" ref="X344:Z344" si="664">ISBLANK(K344)</f>
        <v>1</v>
      </c>
      <c r="Y344" t="b">
        <f t="shared" si="664"/>
        <v>0</v>
      </c>
      <c r="Z344" t="b">
        <f t="shared" si="664"/>
        <v>0</v>
      </c>
      <c r="AA344">
        <f t="shared" ref="AA344:AC344" si="665">IF(X344=FALSE,1,0)</f>
        <v>0</v>
      </c>
      <c r="AB344">
        <f t="shared" si="665"/>
        <v>1</v>
      </c>
      <c r="AC344">
        <f t="shared" si="665"/>
        <v>1</v>
      </c>
      <c r="AD344">
        <f t="shared" si="6"/>
        <v>2</v>
      </c>
      <c r="AE344">
        <f t="shared" si="7"/>
        <v>1</v>
      </c>
      <c r="AF344">
        <f>if(iferror(vlookup($A344,'Description Database'!$E$2:$H$951,3,0),0)=TRUE,1,0)</f>
        <v>0</v>
      </c>
      <c r="AG344">
        <f>if(iferror(vlookup($A344,'Description Database'!$E$2:$H$951,4,0),0)=TRUE,1,0)</f>
        <v>0</v>
      </c>
    </row>
    <row r="345">
      <c r="A345" t="str">
        <f>IFERROR(__xludf.DUMMYFUNCTION("""COMPUTED_VALUE"""),"Motorola MOTO X STYLE (3 GB/32 GB)")</f>
        <v>Motorola MOTO X STYLE (3 GB/32 GB)</v>
      </c>
      <c r="B345" t="str">
        <f>IFERROR(__xludf.DUMMYFUNCTION("""COMPUTED_VALUE"""),"")</f>
        <v/>
      </c>
      <c r="C345" t="str">
        <f>IFERROR(__xludf.DUMMYFUNCTION("""COMPUTED_VALUE"""),"")</f>
        <v/>
      </c>
      <c r="D345" t="str">
        <f>IFERROR(__xludf.DUMMYFUNCTION("""COMPUTED_VALUE"""),"")</f>
        <v/>
      </c>
      <c r="E345" t="str">
        <f>IFERROR(__xludf.DUMMYFUNCTION("""COMPUTED_VALUE"""),"")</f>
        <v/>
      </c>
      <c r="F345" t="str">
        <f>IFERROR(__xludf.DUMMYFUNCTION("""COMPUTED_VALUE"""),"")</f>
        <v/>
      </c>
      <c r="G345" t="str">
        <f>IFERROR(__xludf.DUMMYFUNCTION("""COMPUTED_VALUE"""),"")</f>
        <v/>
      </c>
      <c r="H345" t="str">
        <f>IFERROR(__xludf.DUMMYFUNCTION("""COMPUTED_VALUE"""),"")</f>
        <v/>
      </c>
      <c r="I345">
        <f>IFERROR(__xludf.DUMMYFUNCTION("""COMPUTED_VALUE"""),11.0)</f>
        <v>11</v>
      </c>
      <c r="J345">
        <f>IFERROR(__xludf.DUMMYFUNCTION("""COMPUTED_VALUE"""),11.0)</f>
        <v>11</v>
      </c>
      <c r="L345" s="250" t="str">
        <f>IFERROR(__xludf.DUMMYFUNCTION("""COMPUTED_VALUE"""),"")</f>
        <v/>
      </c>
      <c r="M345" s="250" t="str">
        <f>IFERROR(__xludf.DUMMYFUNCTION("""COMPUTED_VALUE"""),"")</f>
        <v/>
      </c>
      <c r="N345" s="250" t="str">
        <f>IFERROR(__xludf.DUMMYFUNCTION("""COMPUTED_VALUE"""),"")</f>
        <v/>
      </c>
      <c r="O345" s="250" t="str">
        <f>IFERROR(__xludf.DUMMYFUNCTION("""COMPUTED_VALUE"""),"")</f>
        <v/>
      </c>
      <c r="P345" s="250" t="str">
        <f>IFERROR(__xludf.DUMMYFUNCTION("""COMPUTED_VALUE"""),"")</f>
        <v/>
      </c>
      <c r="Q345" s="250" t="str">
        <f>IFERROR(__xludf.DUMMYFUNCTION("""COMPUTED_VALUE"""),"")</f>
        <v/>
      </c>
      <c r="R345" s="250" t="str">
        <f>IFERROR(__xludf.DUMMYFUNCTION("""COMPUTED_VALUE"""),"")</f>
        <v/>
      </c>
      <c r="U345" s="250">
        <f>IFERROR(__xludf.DUMMYFUNCTION("""COMPUTED_VALUE"""),2719.0)</f>
        <v>2719</v>
      </c>
      <c r="V345" s="250">
        <f>IFERROR(__xludf.DUMMYFUNCTION("""COMPUTED_VALUE"""),2589.0)</f>
        <v>2589</v>
      </c>
      <c r="W345" s="250">
        <f>IFERROR(__xludf.DUMMYFUNCTION("""COMPUTED_VALUE"""),2339.0)</f>
        <v>2339</v>
      </c>
      <c r="X345" t="b">
        <f t="shared" ref="X345:Z345" si="666">ISBLANK(K345)</f>
        <v>1</v>
      </c>
      <c r="Y345" t="b">
        <f t="shared" si="666"/>
        <v>0</v>
      </c>
      <c r="Z345" t="b">
        <f t="shared" si="666"/>
        <v>0</v>
      </c>
      <c r="AA345">
        <f t="shared" ref="AA345:AC345" si="667">IF(X345=FALSE,1,0)</f>
        <v>0</v>
      </c>
      <c r="AB345">
        <f t="shared" si="667"/>
        <v>1</v>
      </c>
      <c r="AC345">
        <f t="shared" si="667"/>
        <v>1</v>
      </c>
      <c r="AD345">
        <f t="shared" si="6"/>
        <v>2</v>
      </c>
      <c r="AE345">
        <f t="shared" si="7"/>
        <v>1</v>
      </c>
      <c r="AF345">
        <f>if(iferror(vlookup($A345,'Description Database'!$E$2:$H$951,3,0),0)=TRUE,1,0)</f>
        <v>0</v>
      </c>
      <c r="AG345">
        <f>if(iferror(vlookup($A345,'Description Database'!$E$2:$H$951,4,0),0)=TRUE,1,0)</f>
        <v>0</v>
      </c>
    </row>
    <row r="346">
      <c r="A346" t="str">
        <f>IFERROR(__xludf.DUMMYFUNCTION("""COMPUTED_VALUE"""),"MOTOROLA MOTO G3 (1 GB/8 GB)")</f>
        <v>MOTOROLA MOTO G3 (1 GB/8 GB)</v>
      </c>
      <c r="B346" t="str">
        <f>IFERROR(__xludf.DUMMYFUNCTION("""COMPUTED_VALUE"""),"")</f>
        <v/>
      </c>
      <c r="C346" t="str">
        <f>IFERROR(__xludf.DUMMYFUNCTION("""COMPUTED_VALUE"""),"")</f>
        <v/>
      </c>
      <c r="D346" t="str">
        <f>IFERROR(__xludf.DUMMYFUNCTION("""COMPUTED_VALUE"""),"")</f>
        <v/>
      </c>
      <c r="E346" t="str">
        <f>IFERROR(__xludf.DUMMYFUNCTION("""COMPUTED_VALUE"""),"")</f>
        <v/>
      </c>
      <c r="F346" t="str">
        <f>IFERROR(__xludf.DUMMYFUNCTION("""COMPUTED_VALUE"""),"")</f>
        <v/>
      </c>
      <c r="G346" t="str">
        <f>IFERROR(__xludf.DUMMYFUNCTION("""COMPUTED_VALUE"""),"")</f>
        <v/>
      </c>
      <c r="H346" t="str">
        <f>IFERROR(__xludf.DUMMYFUNCTION("""COMPUTED_VALUE"""),"")</f>
        <v/>
      </c>
      <c r="I346" t="str">
        <f>IFERROR(__xludf.DUMMYFUNCTION("""COMPUTED_VALUE"""),"")</f>
        <v/>
      </c>
      <c r="J346">
        <f>IFERROR(__xludf.DUMMYFUNCTION("""COMPUTED_VALUE"""),0.0)</f>
        <v>0</v>
      </c>
      <c r="L346" s="250" t="str">
        <f>IFERROR(__xludf.DUMMYFUNCTION("""COMPUTED_VALUE"""),"")</f>
        <v/>
      </c>
      <c r="M346" s="250" t="str">
        <f>IFERROR(__xludf.DUMMYFUNCTION("""COMPUTED_VALUE"""),"")</f>
        <v/>
      </c>
      <c r="N346" s="250" t="str">
        <f>IFERROR(__xludf.DUMMYFUNCTION("""COMPUTED_VALUE"""),"")</f>
        <v/>
      </c>
      <c r="O346" s="250" t="str">
        <f>IFERROR(__xludf.DUMMYFUNCTION("""COMPUTED_VALUE"""),"")</f>
        <v/>
      </c>
      <c r="P346" s="250" t="str">
        <f>IFERROR(__xludf.DUMMYFUNCTION("""COMPUTED_VALUE"""),"")</f>
        <v/>
      </c>
      <c r="Q346" s="250" t="str">
        <f>IFERROR(__xludf.DUMMYFUNCTION("""COMPUTED_VALUE"""),"")</f>
        <v/>
      </c>
      <c r="R346" s="250" t="str">
        <f>IFERROR(__xludf.DUMMYFUNCTION("""COMPUTED_VALUE"""),"")</f>
        <v/>
      </c>
      <c r="U346" s="250" t="str">
        <f>IFERROR(__xludf.DUMMYFUNCTION("""COMPUTED_VALUE"""),"#N/A")</f>
        <v>#N/A</v>
      </c>
      <c r="V346" s="250" t="str">
        <f>IFERROR(__xludf.DUMMYFUNCTION("""COMPUTED_VALUE"""),"#N/A")</f>
        <v>#N/A</v>
      </c>
      <c r="W346" s="250" t="str">
        <f>IFERROR(__xludf.DUMMYFUNCTION("""COMPUTED_VALUE"""),"#N/A")</f>
        <v>#N/A</v>
      </c>
      <c r="X346" t="b">
        <f t="shared" ref="X346:Z346" si="668">ISBLANK(K346)</f>
        <v>1</v>
      </c>
      <c r="Y346" t="b">
        <f t="shared" si="668"/>
        <v>0</v>
      </c>
      <c r="Z346" t="b">
        <f t="shared" si="668"/>
        <v>0</v>
      </c>
      <c r="AA346">
        <f t="shared" ref="AA346:AC346" si="669">IF(X346=FALSE,1,0)</f>
        <v>0</v>
      </c>
      <c r="AB346">
        <f t="shared" si="669"/>
        <v>1</v>
      </c>
      <c r="AC346">
        <f t="shared" si="669"/>
        <v>1</v>
      </c>
      <c r="AD346">
        <f t="shared" si="6"/>
        <v>2</v>
      </c>
      <c r="AE346">
        <f t="shared" si="7"/>
        <v>1</v>
      </c>
      <c r="AF346">
        <f>if(iferror(vlookup($A346,'Description Database'!$E$2:$H$951,3,0),0)=TRUE,1,0)</f>
        <v>0</v>
      </c>
      <c r="AG346">
        <f>if(iferror(vlookup($A346,'Description Database'!$E$2:$H$951,4,0),0)=TRUE,1,0)</f>
        <v>0</v>
      </c>
    </row>
    <row r="347">
      <c r="A347" t="str">
        <f>IFERROR(__xludf.DUMMYFUNCTION("""COMPUTED_VALUE"""),"SAMSUNG GALAXY GRAND PRIME (1 GB/8 GB)")</f>
        <v>SAMSUNG GALAXY GRAND PRIME (1 GB/8 GB)</v>
      </c>
      <c r="B347" t="str">
        <f>IFERROR(__xludf.DUMMYFUNCTION("""COMPUTED_VALUE"""),"")</f>
        <v/>
      </c>
      <c r="C347" t="str">
        <f>IFERROR(__xludf.DUMMYFUNCTION("""COMPUTED_VALUE"""),"")</f>
        <v/>
      </c>
      <c r="D347" t="str">
        <f>IFERROR(__xludf.DUMMYFUNCTION("""COMPUTED_VALUE"""),"")</f>
        <v/>
      </c>
      <c r="E347" t="str">
        <f>IFERROR(__xludf.DUMMYFUNCTION("""COMPUTED_VALUE"""),"")</f>
        <v/>
      </c>
      <c r="F347" t="str">
        <f>IFERROR(__xludf.DUMMYFUNCTION("""COMPUTED_VALUE"""),"")</f>
        <v/>
      </c>
      <c r="G347" t="str">
        <f>IFERROR(__xludf.DUMMYFUNCTION("""COMPUTED_VALUE"""),"")</f>
        <v/>
      </c>
      <c r="H347" t="str">
        <f>IFERROR(__xludf.DUMMYFUNCTION("""COMPUTED_VALUE"""),"")</f>
        <v/>
      </c>
      <c r="I347">
        <f>IFERROR(__xludf.DUMMYFUNCTION("""COMPUTED_VALUE"""),1.0)</f>
        <v>1</v>
      </c>
      <c r="J347">
        <f>IFERROR(__xludf.DUMMYFUNCTION("""COMPUTED_VALUE"""),1.0)</f>
        <v>1</v>
      </c>
      <c r="L347" s="250" t="str">
        <f>IFERROR(__xludf.DUMMYFUNCTION("""COMPUTED_VALUE"""),"")</f>
        <v/>
      </c>
      <c r="M347" s="250" t="str">
        <f>IFERROR(__xludf.DUMMYFUNCTION("""COMPUTED_VALUE"""),"")</f>
        <v/>
      </c>
      <c r="N347" s="250" t="str">
        <f>IFERROR(__xludf.DUMMYFUNCTION("""COMPUTED_VALUE"""),"")</f>
        <v/>
      </c>
      <c r="O347" s="250" t="str">
        <f>IFERROR(__xludf.DUMMYFUNCTION("""COMPUTED_VALUE"""),"")</f>
        <v/>
      </c>
      <c r="P347" s="250" t="str">
        <f>IFERROR(__xludf.DUMMYFUNCTION("""COMPUTED_VALUE"""),"")</f>
        <v/>
      </c>
      <c r="Q347" s="250" t="str">
        <f>IFERROR(__xludf.DUMMYFUNCTION("""COMPUTED_VALUE"""),"")</f>
        <v/>
      </c>
      <c r="R347" s="250" t="str">
        <f>IFERROR(__xludf.DUMMYFUNCTION("""COMPUTED_VALUE"""),"")</f>
        <v/>
      </c>
      <c r="U347" s="250">
        <f>IFERROR(__xludf.DUMMYFUNCTION("""COMPUTED_VALUE"""),1679.0)</f>
        <v>1679</v>
      </c>
      <c r="V347" s="250">
        <f>IFERROR(__xludf.DUMMYFUNCTION("""COMPUTED_VALUE"""),1589.0)</f>
        <v>1589</v>
      </c>
      <c r="W347" s="250">
        <f>IFERROR(__xludf.DUMMYFUNCTION("""COMPUTED_VALUE"""),1429.0)</f>
        <v>1429</v>
      </c>
      <c r="X347" t="b">
        <f t="shared" ref="X347:Z347" si="670">ISBLANK(K347)</f>
        <v>1</v>
      </c>
      <c r="Y347" t="b">
        <f t="shared" si="670"/>
        <v>0</v>
      </c>
      <c r="Z347" t="b">
        <f t="shared" si="670"/>
        <v>0</v>
      </c>
      <c r="AA347">
        <f t="shared" ref="AA347:AC347" si="671">IF(X347=FALSE,1,0)</f>
        <v>0</v>
      </c>
      <c r="AB347">
        <f t="shared" si="671"/>
        <v>1</v>
      </c>
      <c r="AC347">
        <f t="shared" si="671"/>
        <v>1</v>
      </c>
      <c r="AD347">
        <f t="shared" si="6"/>
        <v>2</v>
      </c>
      <c r="AE347">
        <f t="shared" si="7"/>
        <v>1</v>
      </c>
      <c r="AF347">
        <f>if(iferror(vlookup($A347,'Description Database'!$E$2:$H$951,3,0),0)=TRUE,1,0)</f>
        <v>0</v>
      </c>
      <c r="AG347">
        <f>if(iferror(vlookup($A347,'Description Database'!$E$2:$H$951,4,0),0)=TRUE,1,0)</f>
        <v>0</v>
      </c>
    </row>
    <row r="348">
      <c r="A348" t="str">
        <f>IFERROR(__xludf.DUMMYFUNCTION("""COMPUTED_VALUE"""),"MOTOROLA MOTO G4 PLUS (2 GB/16 GB)")</f>
        <v>MOTOROLA MOTO G4 PLUS (2 GB/16 GB)</v>
      </c>
      <c r="B348" t="str">
        <f>IFERROR(__xludf.DUMMYFUNCTION("""COMPUTED_VALUE"""),"")</f>
        <v/>
      </c>
      <c r="C348" t="str">
        <f>IFERROR(__xludf.DUMMYFUNCTION("""COMPUTED_VALUE"""),"")</f>
        <v/>
      </c>
      <c r="D348" t="str">
        <f>IFERROR(__xludf.DUMMYFUNCTION("""COMPUTED_VALUE"""),"")</f>
        <v/>
      </c>
      <c r="E348" t="str">
        <f>IFERROR(__xludf.DUMMYFUNCTION("""COMPUTED_VALUE"""),"")</f>
        <v/>
      </c>
      <c r="F348" t="str">
        <f>IFERROR(__xludf.DUMMYFUNCTION("""COMPUTED_VALUE"""),"")</f>
        <v/>
      </c>
      <c r="G348" t="str">
        <f>IFERROR(__xludf.DUMMYFUNCTION("""COMPUTED_VALUE"""),"")</f>
        <v/>
      </c>
      <c r="H348" t="str">
        <f>IFERROR(__xludf.DUMMYFUNCTION("""COMPUTED_VALUE"""),"")</f>
        <v/>
      </c>
      <c r="I348">
        <f>IFERROR(__xludf.DUMMYFUNCTION("""COMPUTED_VALUE"""),62.0)</f>
        <v>62</v>
      </c>
      <c r="J348">
        <f>IFERROR(__xludf.DUMMYFUNCTION("""COMPUTED_VALUE"""),62.0)</f>
        <v>62</v>
      </c>
      <c r="L348" s="250" t="str">
        <f>IFERROR(__xludf.DUMMYFUNCTION("""COMPUTED_VALUE"""),"")</f>
        <v/>
      </c>
      <c r="M348" s="250" t="str">
        <f>IFERROR(__xludf.DUMMYFUNCTION("""COMPUTED_VALUE"""),"")</f>
        <v/>
      </c>
      <c r="N348" s="250" t="str">
        <f>IFERROR(__xludf.DUMMYFUNCTION("""COMPUTED_VALUE"""),"")</f>
        <v/>
      </c>
      <c r="O348" s="250" t="str">
        <f>IFERROR(__xludf.DUMMYFUNCTION("""COMPUTED_VALUE"""),"")</f>
        <v/>
      </c>
      <c r="P348" s="250" t="str">
        <f>IFERROR(__xludf.DUMMYFUNCTION("""COMPUTED_VALUE"""),"")</f>
        <v/>
      </c>
      <c r="Q348" s="250" t="str">
        <f>IFERROR(__xludf.DUMMYFUNCTION("""COMPUTED_VALUE"""),"")</f>
        <v/>
      </c>
      <c r="R348" s="250" t="str">
        <f>IFERROR(__xludf.DUMMYFUNCTION("""COMPUTED_VALUE"""),"")</f>
        <v/>
      </c>
      <c r="U348" s="250">
        <f>IFERROR(__xludf.DUMMYFUNCTION("""COMPUTED_VALUE"""),2569.0)</f>
        <v>2569</v>
      </c>
      <c r="V348" s="250">
        <f>IFERROR(__xludf.DUMMYFUNCTION("""COMPUTED_VALUE"""),2449.0)</f>
        <v>2449</v>
      </c>
      <c r="W348" s="250">
        <f>IFERROR(__xludf.DUMMYFUNCTION("""COMPUTED_VALUE"""),2189.0)</f>
        <v>2189</v>
      </c>
      <c r="X348" t="b">
        <f t="shared" ref="X348:Z348" si="672">ISBLANK(K348)</f>
        <v>1</v>
      </c>
      <c r="Y348" t="b">
        <f t="shared" si="672"/>
        <v>0</v>
      </c>
      <c r="Z348" t="b">
        <f t="shared" si="672"/>
        <v>0</v>
      </c>
      <c r="AA348">
        <f t="shared" ref="AA348:AC348" si="673">IF(X348=FALSE,1,0)</f>
        <v>0</v>
      </c>
      <c r="AB348">
        <f t="shared" si="673"/>
        <v>1</v>
      </c>
      <c r="AC348">
        <f t="shared" si="673"/>
        <v>1</v>
      </c>
      <c r="AD348">
        <f t="shared" si="6"/>
        <v>2</v>
      </c>
      <c r="AE348">
        <f t="shared" si="7"/>
        <v>1</v>
      </c>
      <c r="AF348">
        <f>if(iferror(vlookup($A348,'Description Database'!$E$2:$H$951,3,0),0)=TRUE,1,0)</f>
        <v>0</v>
      </c>
      <c r="AG348">
        <f>if(iferror(vlookup($A348,'Description Database'!$E$2:$H$951,4,0),0)=TRUE,1,0)</f>
        <v>0</v>
      </c>
    </row>
    <row r="349">
      <c r="A349" t="str">
        <f>IFERROR(__xludf.DUMMYFUNCTION("""COMPUTED_VALUE"""),"Lenovo A7000 Turbo (2 GB/16 GB)")</f>
        <v>Lenovo A7000 Turbo (2 GB/16 GB)</v>
      </c>
      <c r="B349" t="str">
        <f>IFERROR(__xludf.DUMMYFUNCTION("""COMPUTED_VALUE"""),"")</f>
        <v/>
      </c>
      <c r="C349" t="str">
        <f>IFERROR(__xludf.DUMMYFUNCTION("""COMPUTED_VALUE"""),"")</f>
        <v/>
      </c>
      <c r="D349" t="str">
        <f>IFERROR(__xludf.DUMMYFUNCTION("""COMPUTED_VALUE"""),"")</f>
        <v/>
      </c>
      <c r="E349" t="str">
        <f>IFERROR(__xludf.DUMMYFUNCTION("""COMPUTED_VALUE"""),"")</f>
        <v/>
      </c>
      <c r="F349" t="str">
        <f>IFERROR(__xludf.DUMMYFUNCTION("""COMPUTED_VALUE"""),"")</f>
        <v/>
      </c>
      <c r="G349" t="str">
        <f>IFERROR(__xludf.DUMMYFUNCTION("""COMPUTED_VALUE"""),"")</f>
        <v/>
      </c>
      <c r="H349" t="str">
        <f>IFERROR(__xludf.DUMMYFUNCTION("""COMPUTED_VALUE"""),"")</f>
        <v/>
      </c>
      <c r="I349" t="str">
        <f>IFERROR(__xludf.DUMMYFUNCTION("""COMPUTED_VALUE"""),"")</f>
        <v/>
      </c>
      <c r="J349">
        <f>IFERROR(__xludf.DUMMYFUNCTION("""COMPUTED_VALUE"""),0.0)</f>
        <v>0</v>
      </c>
      <c r="L349" s="250" t="str">
        <f>IFERROR(__xludf.DUMMYFUNCTION("""COMPUTED_VALUE"""),"")</f>
        <v/>
      </c>
      <c r="M349" s="250" t="str">
        <f>IFERROR(__xludf.DUMMYFUNCTION("""COMPUTED_VALUE"""),"")</f>
        <v/>
      </c>
      <c r="N349" s="250" t="str">
        <f>IFERROR(__xludf.DUMMYFUNCTION("""COMPUTED_VALUE"""),"")</f>
        <v/>
      </c>
      <c r="O349" s="250" t="str">
        <f>IFERROR(__xludf.DUMMYFUNCTION("""COMPUTED_VALUE"""),"")</f>
        <v/>
      </c>
      <c r="P349" s="250" t="str">
        <f>IFERROR(__xludf.DUMMYFUNCTION("""COMPUTED_VALUE"""),"")</f>
        <v/>
      </c>
      <c r="Q349" s="250" t="str">
        <f>IFERROR(__xludf.DUMMYFUNCTION("""COMPUTED_VALUE"""),"")</f>
        <v/>
      </c>
      <c r="R349" s="250" t="str">
        <f>IFERROR(__xludf.DUMMYFUNCTION("""COMPUTED_VALUE"""),"")</f>
        <v/>
      </c>
      <c r="U349" s="250">
        <f>IFERROR(__xludf.DUMMYFUNCTION("""COMPUTED_VALUE"""),2319.0)</f>
        <v>2319</v>
      </c>
      <c r="V349" s="250">
        <f>IFERROR(__xludf.DUMMYFUNCTION("""COMPUTED_VALUE"""),2209.0)</f>
        <v>2209</v>
      </c>
      <c r="W349" s="250">
        <f>IFERROR(__xludf.DUMMYFUNCTION("""COMPUTED_VALUE"""),1989.0)</f>
        <v>1989</v>
      </c>
      <c r="X349" t="b">
        <f t="shared" ref="X349:Z349" si="674">ISBLANK(K349)</f>
        <v>1</v>
      </c>
      <c r="Y349" t="b">
        <f t="shared" si="674"/>
        <v>0</v>
      </c>
      <c r="Z349" t="b">
        <f t="shared" si="674"/>
        <v>0</v>
      </c>
      <c r="AA349">
        <f t="shared" ref="AA349:AC349" si="675">IF(X349=FALSE,1,0)</f>
        <v>0</v>
      </c>
      <c r="AB349">
        <f t="shared" si="675"/>
        <v>1</v>
      </c>
      <c r="AC349">
        <f t="shared" si="675"/>
        <v>1</v>
      </c>
      <c r="AD349">
        <f t="shared" si="6"/>
        <v>2</v>
      </c>
      <c r="AE349">
        <f t="shared" si="7"/>
        <v>1</v>
      </c>
      <c r="AF349">
        <f>if(iferror(vlookup($A349,'Description Database'!$E$2:$H$951,3,0),0)=TRUE,1,0)</f>
        <v>0</v>
      </c>
      <c r="AG349">
        <f>if(iferror(vlookup($A349,'Description Database'!$E$2:$H$951,4,0),0)=TRUE,1,0)</f>
        <v>0</v>
      </c>
    </row>
    <row r="350">
      <c r="A350" t="str">
        <f>IFERROR(__xludf.DUMMYFUNCTION("""COMPUTED_VALUE"""),"Honor 8 Pro (6 GB/128 GB)")</f>
        <v>Honor 8 Pro (6 GB/128 GB)</v>
      </c>
      <c r="B350" t="str">
        <f>IFERROR(__xludf.DUMMYFUNCTION("""COMPUTED_VALUE"""),"")</f>
        <v/>
      </c>
      <c r="C350" t="str">
        <f>IFERROR(__xludf.DUMMYFUNCTION("""COMPUTED_VALUE"""),"")</f>
        <v/>
      </c>
      <c r="D350" t="str">
        <f>IFERROR(__xludf.DUMMYFUNCTION("""COMPUTED_VALUE"""),"")</f>
        <v/>
      </c>
      <c r="E350" t="str">
        <f>IFERROR(__xludf.DUMMYFUNCTION("""COMPUTED_VALUE"""),"")</f>
        <v/>
      </c>
      <c r="F350" t="str">
        <f>IFERROR(__xludf.DUMMYFUNCTION("""COMPUTED_VALUE"""),"")</f>
        <v/>
      </c>
      <c r="G350" t="str">
        <f>IFERROR(__xludf.DUMMYFUNCTION("""COMPUTED_VALUE"""),"")</f>
        <v/>
      </c>
      <c r="H350" t="str">
        <f>IFERROR(__xludf.DUMMYFUNCTION("""COMPUTED_VALUE"""),"")</f>
        <v/>
      </c>
      <c r="I350" t="str">
        <f>IFERROR(__xludf.DUMMYFUNCTION("""COMPUTED_VALUE"""),"")</f>
        <v/>
      </c>
      <c r="J350">
        <f>IFERROR(__xludf.DUMMYFUNCTION("""COMPUTED_VALUE"""),0.0)</f>
        <v>0</v>
      </c>
      <c r="L350" s="250" t="str">
        <f>IFERROR(__xludf.DUMMYFUNCTION("""COMPUTED_VALUE"""),"")</f>
        <v/>
      </c>
      <c r="M350" s="250" t="str">
        <f>IFERROR(__xludf.DUMMYFUNCTION("""COMPUTED_VALUE"""),"")</f>
        <v/>
      </c>
      <c r="N350" s="250" t="str">
        <f>IFERROR(__xludf.DUMMYFUNCTION("""COMPUTED_VALUE"""),"")</f>
        <v/>
      </c>
      <c r="O350" s="250" t="str">
        <f>IFERROR(__xludf.DUMMYFUNCTION("""COMPUTED_VALUE"""),"")</f>
        <v/>
      </c>
      <c r="P350" s="250" t="str">
        <f>IFERROR(__xludf.DUMMYFUNCTION("""COMPUTED_VALUE"""),"")</f>
        <v/>
      </c>
      <c r="Q350" s="250" t="str">
        <f>IFERROR(__xludf.DUMMYFUNCTION("""COMPUTED_VALUE"""),"")</f>
        <v/>
      </c>
      <c r="R350" s="250" t="str">
        <f>IFERROR(__xludf.DUMMYFUNCTION("""COMPUTED_VALUE"""),"")</f>
        <v/>
      </c>
      <c r="U350" s="250">
        <f>IFERROR(__xludf.DUMMYFUNCTION("""COMPUTED_VALUE"""),7449.0)</f>
        <v>7449</v>
      </c>
      <c r="V350" s="250">
        <f>IFERROR(__xludf.DUMMYFUNCTION("""COMPUTED_VALUE"""),7089.0)</f>
        <v>7089</v>
      </c>
      <c r="W350" s="250">
        <f>IFERROR(__xludf.DUMMYFUNCTION("""COMPUTED_VALUE"""),6369.0)</f>
        <v>6369</v>
      </c>
      <c r="X350" t="b">
        <f t="shared" ref="X350:Z350" si="676">ISBLANK(K350)</f>
        <v>1</v>
      </c>
      <c r="Y350" t="b">
        <f t="shared" si="676"/>
        <v>0</v>
      </c>
      <c r="Z350" t="b">
        <f t="shared" si="676"/>
        <v>0</v>
      </c>
      <c r="AA350">
        <f t="shared" ref="AA350:AC350" si="677">IF(X350=FALSE,1,0)</f>
        <v>0</v>
      </c>
      <c r="AB350">
        <f t="shared" si="677"/>
        <v>1</v>
      </c>
      <c r="AC350">
        <f t="shared" si="677"/>
        <v>1</v>
      </c>
      <c r="AD350">
        <f t="shared" si="6"/>
        <v>2</v>
      </c>
      <c r="AE350">
        <f t="shared" si="7"/>
        <v>1</v>
      </c>
      <c r="AF350">
        <f>if(iferror(vlookup($A350,'Description Database'!$E$2:$H$951,3,0),0)=TRUE,1,0)</f>
        <v>0</v>
      </c>
      <c r="AG350">
        <f>if(iferror(vlookup($A350,'Description Database'!$E$2:$H$951,4,0),0)=TRUE,1,0)</f>
        <v>0</v>
      </c>
    </row>
    <row r="351">
      <c r="A351" t="str">
        <f>IFERROR(__xludf.DUMMYFUNCTION("""COMPUTED_VALUE"""),"Nokia 3.1 Plus (3 GB/32 GB)")</f>
        <v>Nokia 3.1 Plus (3 GB/32 GB)</v>
      </c>
      <c r="B351" t="str">
        <f>IFERROR(__xludf.DUMMYFUNCTION("""COMPUTED_VALUE"""),"")</f>
        <v/>
      </c>
      <c r="C351" t="str">
        <f>IFERROR(__xludf.DUMMYFUNCTION("""COMPUTED_VALUE"""),"")</f>
        <v/>
      </c>
      <c r="D351" t="str">
        <f>IFERROR(__xludf.DUMMYFUNCTION("""COMPUTED_VALUE"""),"")</f>
        <v/>
      </c>
      <c r="E351" t="str">
        <f>IFERROR(__xludf.DUMMYFUNCTION("""COMPUTED_VALUE"""),"")</f>
        <v/>
      </c>
      <c r="F351" t="str">
        <f>IFERROR(__xludf.DUMMYFUNCTION("""COMPUTED_VALUE"""),"")</f>
        <v/>
      </c>
      <c r="G351" t="str">
        <f>IFERROR(__xludf.DUMMYFUNCTION("""COMPUTED_VALUE"""),"")</f>
        <v/>
      </c>
      <c r="H351" t="str">
        <f>IFERROR(__xludf.DUMMYFUNCTION("""COMPUTED_VALUE"""),"")</f>
        <v/>
      </c>
      <c r="I351">
        <f>IFERROR(__xludf.DUMMYFUNCTION("""COMPUTED_VALUE"""),1.0)</f>
        <v>1</v>
      </c>
      <c r="J351">
        <f>IFERROR(__xludf.DUMMYFUNCTION("""COMPUTED_VALUE"""),1.0)</f>
        <v>1</v>
      </c>
      <c r="L351" s="250" t="str">
        <f>IFERROR(__xludf.DUMMYFUNCTION("""COMPUTED_VALUE"""),"")</f>
        <v/>
      </c>
      <c r="M351" s="250" t="str">
        <f>IFERROR(__xludf.DUMMYFUNCTION("""COMPUTED_VALUE"""),"")</f>
        <v/>
      </c>
      <c r="N351" s="250" t="str">
        <f>IFERROR(__xludf.DUMMYFUNCTION("""COMPUTED_VALUE"""),"")</f>
        <v/>
      </c>
      <c r="O351" s="250" t="str">
        <f>IFERROR(__xludf.DUMMYFUNCTION("""COMPUTED_VALUE"""),"")</f>
        <v/>
      </c>
      <c r="P351" s="250" t="str">
        <f>IFERROR(__xludf.DUMMYFUNCTION("""COMPUTED_VALUE"""),"")</f>
        <v/>
      </c>
      <c r="Q351" s="250" t="str">
        <f>IFERROR(__xludf.DUMMYFUNCTION("""COMPUTED_VALUE"""),"")</f>
        <v/>
      </c>
      <c r="R351" s="250" t="str">
        <f>IFERROR(__xludf.DUMMYFUNCTION("""COMPUTED_VALUE"""),"")</f>
        <v/>
      </c>
      <c r="U351" s="250">
        <f>IFERROR(__xludf.DUMMYFUNCTION("""COMPUTED_VALUE"""),4799.0)</f>
        <v>4799</v>
      </c>
      <c r="V351" s="250">
        <f>IFERROR(__xludf.DUMMYFUNCTION("""COMPUTED_VALUE"""),4569.0)</f>
        <v>4569</v>
      </c>
      <c r="W351" s="250">
        <f>IFERROR(__xludf.DUMMYFUNCTION("""COMPUTED_VALUE"""),4109.0)</f>
        <v>4109</v>
      </c>
      <c r="X351" t="b">
        <f t="shared" ref="X351:Z351" si="678">ISBLANK(K351)</f>
        <v>1</v>
      </c>
      <c r="Y351" t="b">
        <f t="shared" si="678"/>
        <v>0</v>
      </c>
      <c r="Z351" t="b">
        <f t="shared" si="678"/>
        <v>0</v>
      </c>
      <c r="AA351">
        <f t="shared" ref="AA351:AC351" si="679">IF(X351=FALSE,1,0)</f>
        <v>0</v>
      </c>
      <c r="AB351">
        <f t="shared" si="679"/>
        <v>1</v>
      </c>
      <c r="AC351">
        <f t="shared" si="679"/>
        <v>1</v>
      </c>
      <c r="AD351">
        <f t="shared" si="6"/>
        <v>2</v>
      </c>
      <c r="AE351">
        <f t="shared" si="7"/>
        <v>1</v>
      </c>
      <c r="AF351">
        <f>if(iferror(vlookup($A351,'Description Database'!$E$2:$H$951,3,0),0)=TRUE,1,0)</f>
        <v>0</v>
      </c>
      <c r="AG351">
        <f>if(iferror(vlookup($A351,'Description Database'!$E$2:$H$951,4,0),0)=TRUE,1,0)</f>
        <v>0</v>
      </c>
    </row>
    <row r="352">
      <c r="A352" t="str">
        <f>IFERROR(__xludf.DUMMYFUNCTION("""COMPUTED_VALUE"""),"MOTOROLA MOTO G5 PLUS (3 GB/16 GB)")</f>
        <v>MOTOROLA MOTO G5 PLUS (3 GB/16 GB)</v>
      </c>
      <c r="B352" t="str">
        <f>IFERROR(__xludf.DUMMYFUNCTION("""COMPUTED_VALUE"""),"")</f>
        <v/>
      </c>
      <c r="C352" t="str">
        <f>IFERROR(__xludf.DUMMYFUNCTION("""COMPUTED_VALUE"""),"")</f>
        <v/>
      </c>
      <c r="D352" t="str">
        <f>IFERROR(__xludf.DUMMYFUNCTION("""COMPUTED_VALUE"""),"")</f>
        <v/>
      </c>
      <c r="E352" t="str">
        <f>IFERROR(__xludf.DUMMYFUNCTION("""COMPUTED_VALUE"""),"")</f>
        <v/>
      </c>
      <c r="F352" t="str">
        <f>IFERROR(__xludf.DUMMYFUNCTION("""COMPUTED_VALUE"""),"")</f>
        <v/>
      </c>
      <c r="G352" t="str">
        <f>IFERROR(__xludf.DUMMYFUNCTION("""COMPUTED_VALUE"""),"")</f>
        <v/>
      </c>
      <c r="H352" t="str">
        <f>IFERROR(__xludf.DUMMYFUNCTION("""COMPUTED_VALUE"""),"")</f>
        <v/>
      </c>
      <c r="I352">
        <f>IFERROR(__xludf.DUMMYFUNCTION("""COMPUTED_VALUE"""),10.0)</f>
        <v>10</v>
      </c>
      <c r="J352">
        <f>IFERROR(__xludf.DUMMYFUNCTION("""COMPUTED_VALUE"""),10.0)</f>
        <v>10</v>
      </c>
      <c r="L352" s="250" t="str">
        <f>IFERROR(__xludf.DUMMYFUNCTION("""COMPUTED_VALUE"""),"")</f>
        <v/>
      </c>
      <c r="M352" s="250" t="str">
        <f>IFERROR(__xludf.DUMMYFUNCTION("""COMPUTED_VALUE"""),"")</f>
        <v/>
      </c>
      <c r="N352" s="250" t="str">
        <f>IFERROR(__xludf.DUMMYFUNCTION("""COMPUTED_VALUE"""),"")</f>
        <v/>
      </c>
      <c r="O352" s="250" t="str">
        <f>IFERROR(__xludf.DUMMYFUNCTION("""COMPUTED_VALUE"""),"")</f>
        <v/>
      </c>
      <c r="P352" s="250" t="str">
        <f>IFERROR(__xludf.DUMMYFUNCTION("""COMPUTED_VALUE"""),"")</f>
        <v/>
      </c>
      <c r="Q352" s="250" t="str">
        <f>IFERROR(__xludf.DUMMYFUNCTION("""COMPUTED_VALUE"""),"")</f>
        <v/>
      </c>
      <c r="R352" s="250" t="str">
        <f>IFERROR(__xludf.DUMMYFUNCTION("""COMPUTED_VALUE"""),"")</f>
        <v/>
      </c>
      <c r="U352" s="250">
        <f>IFERROR(__xludf.DUMMYFUNCTION("""COMPUTED_VALUE"""),3139.0)</f>
        <v>3139</v>
      </c>
      <c r="V352" s="250">
        <f>IFERROR(__xludf.DUMMYFUNCTION("""COMPUTED_VALUE"""),2979.0)</f>
        <v>2979</v>
      </c>
      <c r="W352" s="250">
        <f>IFERROR(__xludf.DUMMYFUNCTION("""COMPUTED_VALUE"""),2689.0)</f>
        <v>2689</v>
      </c>
      <c r="X352" t="b">
        <f t="shared" ref="X352:Z352" si="680">ISBLANK(K352)</f>
        <v>1</v>
      </c>
      <c r="Y352" t="b">
        <f t="shared" si="680"/>
        <v>0</v>
      </c>
      <c r="Z352" t="b">
        <f t="shared" si="680"/>
        <v>0</v>
      </c>
      <c r="AA352">
        <f t="shared" ref="AA352:AC352" si="681">IF(X352=FALSE,1,0)</f>
        <v>0</v>
      </c>
      <c r="AB352">
        <f t="shared" si="681"/>
        <v>1</v>
      </c>
      <c r="AC352">
        <f t="shared" si="681"/>
        <v>1</v>
      </c>
      <c r="AD352">
        <f t="shared" si="6"/>
        <v>2</v>
      </c>
      <c r="AE352">
        <f t="shared" si="7"/>
        <v>1</v>
      </c>
      <c r="AF352">
        <f>if(iferror(vlookup($A352,'Description Database'!$E$2:$H$951,3,0),0)=TRUE,1,0)</f>
        <v>0</v>
      </c>
      <c r="AG352">
        <f>if(iferror(vlookup($A352,'Description Database'!$E$2:$H$951,4,0),0)=TRUE,1,0)</f>
        <v>0</v>
      </c>
    </row>
    <row r="353">
      <c r="A353" t="str">
        <f>IFERROR(__xludf.DUMMYFUNCTION("""COMPUTED_VALUE"""),"Vivo Y93 (3 GB/64 GB)")</f>
        <v>Vivo Y93 (3 GB/64 GB)</v>
      </c>
      <c r="B353" t="str">
        <f>IFERROR(__xludf.DUMMYFUNCTION("""COMPUTED_VALUE"""),"")</f>
        <v/>
      </c>
      <c r="C353" t="str">
        <f>IFERROR(__xludf.DUMMYFUNCTION("""COMPUTED_VALUE"""),"")</f>
        <v/>
      </c>
      <c r="D353" t="str">
        <f>IFERROR(__xludf.DUMMYFUNCTION("""COMPUTED_VALUE"""),"")</f>
        <v/>
      </c>
      <c r="E353" t="str">
        <f>IFERROR(__xludf.DUMMYFUNCTION("""COMPUTED_VALUE"""),"")</f>
        <v/>
      </c>
      <c r="F353" t="str">
        <f>IFERROR(__xludf.DUMMYFUNCTION("""COMPUTED_VALUE"""),"")</f>
        <v/>
      </c>
      <c r="G353" t="str">
        <f>IFERROR(__xludf.DUMMYFUNCTION("""COMPUTED_VALUE"""),"")</f>
        <v/>
      </c>
      <c r="H353" t="str">
        <f>IFERROR(__xludf.DUMMYFUNCTION("""COMPUTED_VALUE"""),"")</f>
        <v/>
      </c>
      <c r="I353">
        <f>IFERROR(__xludf.DUMMYFUNCTION("""COMPUTED_VALUE"""),6.0)</f>
        <v>6</v>
      </c>
      <c r="J353">
        <f>IFERROR(__xludf.DUMMYFUNCTION("""COMPUTED_VALUE"""),6.0)</f>
        <v>6</v>
      </c>
      <c r="L353" s="250" t="str">
        <f>IFERROR(__xludf.DUMMYFUNCTION("""COMPUTED_VALUE"""),"")</f>
        <v/>
      </c>
      <c r="M353" s="250" t="str">
        <f>IFERROR(__xludf.DUMMYFUNCTION("""COMPUTED_VALUE"""),"")</f>
        <v/>
      </c>
      <c r="N353" s="250" t="str">
        <f>IFERROR(__xludf.DUMMYFUNCTION("""COMPUTED_VALUE"""),"")</f>
        <v/>
      </c>
      <c r="O353" s="250" t="str">
        <f>IFERROR(__xludf.DUMMYFUNCTION("""COMPUTED_VALUE"""),"")</f>
        <v/>
      </c>
      <c r="P353" s="250" t="str">
        <f>IFERROR(__xludf.DUMMYFUNCTION("""COMPUTED_VALUE"""),"")</f>
        <v/>
      </c>
      <c r="Q353" s="250" t="str">
        <f>IFERROR(__xludf.DUMMYFUNCTION("""COMPUTED_VALUE"""),"")</f>
        <v/>
      </c>
      <c r="R353" s="250" t="str">
        <f>IFERROR(__xludf.DUMMYFUNCTION("""COMPUTED_VALUE"""),"")</f>
        <v/>
      </c>
      <c r="U353" s="250">
        <f>IFERROR(__xludf.DUMMYFUNCTION("""COMPUTED_VALUE"""),7459.0)</f>
        <v>7459</v>
      </c>
      <c r="V353" s="250">
        <f>IFERROR(__xludf.DUMMYFUNCTION("""COMPUTED_VALUE"""),7099.0)</f>
        <v>7099</v>
      </c>
      <c r="W353" s="250">
        <f>IFERROR(__xludf.DUMMYFUNCTION("""COMPUTED_VALUE"""),6479.0)</f>
        <v>6479</v>
      </c>
      <c r="X353" t="b">
        <f t="shared" ref="X353:Z353" si="682">ISBLANK(K353)</f>
        <v>1</v>
      </c>
      <c r="Y353" t="b">
        <f t="shared" si="682"/>
        <v>0</v>
      </c>
      <c r="Z353" t="b">
        <f t="shared" si="682"/>
        <v>0</v>
      </c>
      <c r="AA353">
        <f t="shared" ref="AA353:AC353" si="683">IF(X353=FALSE,1,0)</f>
        <v>0</v>
      </c>
      <c r="AB353">
        <f t="shared" si="683"/>
        <v>1</v>
      </c>
      <c r="AC353">
        <f t="shared" si="683"/>
        <v>1</v>
      </c>
      <c r="AD353">
        <f t="shared" si="6"/>
        <v>2</v>
      </c>
      <c r="AE353">
        <f t="shared" si="7"/>
        <v>1</v>
      </c>
      <c r="AF353">
        <f>if(iferror(vlookup($A353,'Description Database'!$E$2:$H$951,3,0),0)=TRUE,1,0)</f>
        <v>0</v>
      </c>
      <c r="AG353">
        <f>if(iferror(vlookup($A353,'Description Database'!$E$2:$H$951,4,0),0)=TRUE,1,0)</f>
        <v>0</v>
      </c>
    </row>
    <row r="354">
      <c r="A354" t="str">
        <f>IFERROR(__xludf.DUMMYFUNCTION("""COMPUTED_VALUE"""),"Vivo Y53 (3 GB/64 GB)")</f>
        <v>Vivo Y53 (3 GB/64 GB)</v>
      </c>
      <c r="B354" t="str">
        <f>IFERROR(__xludf.DUMMYFUNCTION("""COMPUTED_VALUE"""),"")</f>
        <v/>
      </c>
      <c r="C354" t="str">
        <f>IFERROR(__xludf.DUMMYFUNCTION("""COMPUTED_VALUE"""),"")</f>
        <v/>
      </c>
      <c r="D354" t="str">
        <f>IFERROR(__xludf.DUMMYFUNCTION("""COMPUTED_VALUE"""),"")</f>
        <v/>
      </c>
      <c r="E354" t="str">
        <f>IFERROR(__xludf.DUMMYFUNCTION("""COMPUTED_VALUE"""),"")</f>
        <v/>
      </c>
      <c r="F354" t="str">
        <f>IFERROR(__xludf.DUMMYFUNCTION("""COMPUTED_VALUE"""),"")</f>
        <v/>
      </c>
      <c r="G354" t="str">
        <f>IFERROR(__xludf.DUMMYFUNCTION("""COMPUTED_VALUE"""),"")</f>
        <v/>
      </c>
      <c r="H354" t="str">
        <f>IFERROR(__xludf.DUMMYFUNCTION("""COMPUTED_VALUE"""),"")</f>
        <v/>
      </c>
      <c r="I354" t="str">
        <f>IFERROR(__xludf.DUMMYFUNCTION("""COMPUTED_VALUE"""),"")</f>
        <v/>
      </c>
      <c r="J354">
        <f>IFERROR(__xludf.DUMMYFUNCTION("""COMPUTED_VALUE"""),0.0)</f>
        <v>0</v>
      </c>
      <c r="L354" s="250" t="str">
        <f>IFERROR(__xludf.DUMMYFUNCTION("""COMPUTED_VALUE"""),"")</f>
        <v/>
      </c>
      <c r="M354" s="250" t="str">
        <f>IFERROR(__xludf.DUMMYFUNCTION("""COMPUTED_VALUE"""),"")</f>
        <v/>
      </c>
      <c r="N354" s="250" t="str">
        <f>IFERROR(__xludf.DUMMYFUNCTION("""COMPUTED_VALUE"""),"")</f>
        <v/>
      </c>
      <c r="O354" s="250" t="str">
        <f>IFERROR(__xludf.DUMMYFUNCTION("""COMPUTED_VALUE"""),"")</f>
        <v/>
      </c>
      <c r="P354" s="250" t="str">
        <f>IFERROR(__xludf.DUMMYFUNCTION("""COMPUTED_VALUE"""),"")</f>
        <v/>
      </c>
      <c r="Q354" s="250" t="str">
        <f>IFERROR(__xludf.DUMMYFUNCTION("""COMPUTED_VALUE"""),"")</f>
        <v/>
      </c>
      <c r="R354" s="250" t="str">
        <f>IFERROR(__xludf.DUMMYFUNCTION("""COMPUTED_VALUE"""),"")</f>
        <v/>
      </c>
      <c r="U354" s="250" t="str">
        <f>IFERROR(__xludf.DUMMYFUNCTION("""COMPUTED_VALUE"""),"#N/A")</f>
        <v>#N/A</v>
      </c>
      <c r="V354" s="250" t="str">
        <f>IFERROR(__xludf.DUMMYFUNCTION("""COMPUTED_VALUE"""),"#N/A")</f>
        <v>#N/A</v>
      </c>
      <c r="W354" s="250" t="str">
        <f>IFERROR(__xludf.DUMMYFUNCTION("""COMPUTED_VALUE"""),"#N/A")</f>
        <v>#N/A</v>
      </c>
      <c r="X354" t="b">
        <f t="shared" ref="X354:Z354" si="684">ISBLANK(K354)</f>
        <v>1</v>
      </c>
      <c r="Y354" t="b">
        <f t="shared" si="684"/>
        <v>0</v>
      </c>
      <c r="Z354" t="b">
        <f t="shared" si="684"/>
        <v>0</v>
      </c>
      <c r="AA354">
        <f t="shared" ref="AA354:AC354" si="685">IF(X354=FALSE,1,0)</f>
        <v>0</v>
      </c>
      <c r="AB354">
        <f t="shared" si="685"/>
        <v>1</v>
      </c>
      <c r="AC354">
        <f t="shared" si="685"/>
        <v>1</v>
      </c>
      <c r="AD354">
        <f t="shared" si="6"/>
        <v>2</v>
      </c>
      <c r="AE354">
        <f t="shared" si="7"/>
        <v>1</v>
      </c>
      <c r="AF354">
        <f>if(iferror(vlookup($A354,'Description Database'!$E$2:$H$951,3,0),0)=TRUE,1,0)</f>
        <v>0</v>
      </c>
      <c r="AG354">
        <f>if(iferror(vlookup($A354,'Description Database'!$E$2:$H$951,4,0),0)=TRUE,1,0)</f>
        <v>0</v>
      </c>
    </row>
    <row r="355">
      <c r="A355" t="str">
        <f>IFERROR(__xludf.DUMMYFUNCTION("""COMPUTED_VALUE"""),"Vivo Y53 (3 GB/32 GB)")</f>
        <v>Vivo Y53 (3 GB/32 GB)</v>
      </c>
      <c r="B355" t="str">
        <f>IFERROR(__xludf.DUMMYFUNCTION("""COMPUTED_VALUE"""),"")</f>
        <v/>
      </c>
      <c r="C355" t="str">
        <f>IFERROR(__xludf.DUMMYFUNCTION("""COMPUTED_VALUE"""),"")</f>
        <v/>
      </c>
      <c r="D355" t="str">
        <f>IFERROR(__xludf.DUMMYFUNCTION("""COMPUTED_VALUE"""),"")</f>
        <v/>
      </c>
      <c r="E355" t="str">
        <f>IFERROR(__xludf.DUMMYFUNCTION("""COMPUTED_VALUE"""),"")</f>
        <v/>
      </c>
      <c r="F355" t="str">
        <f>IFERROR(__xludf.DUMMYFUNCTION("""COMPUTED_VALUE"""),"")</f>
        <v/>
      </c>
      <c r="G355" t="str">
        <f>IFERROR(__xludf.DUMMYFUNCTION("""COMPUTED_VALUE"""),"")</f>
        <v/>
      </c>
      <c r="H355" t="str">
        <f>IFERROR(__xludf.DUMMYFUNCTION("""COMPUTED_VALUE"""),"")</f>
        <v/>
      </c>
      <c r="I355" t="str">
        <f>IFERROR(__xludf.DUMMYFUNCTION("""COMPUTED_VALUE"""),"")</f>
        <v/>
      </c>
      <c r="J355">
        <f>IFERROR(__xludf.DUMMYFUNCTION("""COMPUTED_VALUE"""),0.0)</f>
        <v>0</v>
      </c>
      <c r="L355" s="250" t="str">
        <f>IFERROR(__xludf.DUMMYFUNCTION("""COMPUTED_VALUE"""),"")</f>
        <v/>
      </c>
      <c r="M355" s="250" t="str">
        <f>IFERROR(__xludf.DUMMYFUNCTION("""COMPUTED_VALUE"""),"")</f>
        <v/>
      </c>
      <c r="N355" s="250" t="str">
        <f>IFERROR(__xludf.DUMMYFUNCTION("""COMPUTED_VALUE"""),"")</f>
        <v/>
      </c>
      <c r="O355" s="250" t="str">
        <f>IFERROR(__xludf.DUMMYFUNCTION("""COMPUTED_VALUE"""),"")</f>
        <v/>
      </c>
      <c r="P355" s="250" t="str">
        <f>IFERROR(__xludf.DUMMYFUNCTION("""COMPUTED_VALUE"""),"")</f>
        <v/>
      </c>
      <c r="Q355" s="250" t="str">
        <f>IFERROR(__xludf.DUMMYFUNCTION("""COMPUTED_VALUE"""),"")</f>
        <v/>
      </c>
      <c r="R355" s="250" t="str">
        <f>IFERROR(__xludf.DUMMYFUNCTION("""COMPUTED_VALUE"""),"")</f>
        <v/>
      </c>
      <c r="U355" s="250" t="str">
        <f>IFERROR(__xludf.DUMMYFUNCTION("""COMPUTED_VALUE"""),"#N/A")</f>
        <v>#N/A</v>
      </c>
      <c r="V355" s="250" t="str">
        <f>IFERROR(__xludf.DUMMYFUNCTION("""COMPUTED_VALUE"""),"#N/A")</f>
        <v>#N/A</v>
      </c>
      <c r="W355" s="250" t="str">
        <f>IFERROR(__xludf.DUMMYFUNCTION("""COMPUTED_VALUE"""),"#N/A")</f>
        <v>#N/A</v>
      </c>
      <c r="X355" t="b">
        <f t="shared" ref="X355:Z355" si="686">ISBLANK(K355)</f>
        <v>1</v>
      </c>
      <c r="Y355" t="b">
        <f t="shared" si="686"/>
        <v>0</v>
      </c>
      <c r="Z355" t="b">
        <f t="shared" si="686"/>
        <v>0</v>
      </c>
      <c r="AA355">
        <f t="shared" ref="AA355:AC355" si="687">IF(X355=FALSE,1,0)</f>
        <v>0</v>
      </c>
      <c r="AB355">
        <f t="shared" si="687"/>
        <v>1</v>
      </c>
      <c r="AC355">
        <f t="shared" si="687"/>
        <v>1</v>
      </c>
      <c r="AD355">
        <f t="shared" si="6"/>
        <v>2</v>
      </c>
      <c r="AE355">
        <f t="shared" si="7"/>
        <v>1</v>
      </c>
      <c r="AF355">
        <f>if(iferror(vlookup($A355,'Description Database'!$E$2:$H$951,3,0),0)=TRUE,1,0)</f>
        <v>0</v>
      </c>
      <c r="AG355">
        <f>if(iferror(vlookup($A355,'Description Database'!$E$2:$H$951,4,0),0)=TRUE,1,0)</f>
        <v>0</v>
      </c>
    </row>
    <row r="356">
      <c r="A356" t="str">
        <f>IFERROR(__xludf.DUMMYFUNCTION("""COMPUTED_VALUE"""),"Xiaomi REDMI 4A (4 GB/64 GB)")</f>
        <v>Xiaomi REDMI 4A (4 GB/64 GB)</v>
      </c>
      <c r="B356" t="str">
        <f>IFERROR(__xludf.DUMMYFUNCTION("""COMPUTED_VALUE"""),"")</f>
        <v/>
      </c>
      <c r="C356" t="str">
        <f>IFERROR(__xludf.DUMMYFUNCTION("""COMPUTED_VALUE"""),"")</f>
        <v/>
      </c>
      <c r="D356" t="str">
        <f>IFERROR(__xludf.DUMMYFUNCTION("""COMPUTED_VALUE"""),"")</f>
        <v/>
      </c>
      <c r="E356" t="str">
        <f>IFERROR(__xludf.DUMMYFUNCTION("""COMPUTED_VALUE"""),"")</f>
        <v/>
      </c>
      <c r="F356" t="str">
        <f>IFERROR(__xludf.DUMMYFUNCTION("""COMPUTED_VALUE"""),"")</f>
        <v/>
      </c>
      <c r="G356" t="str">
        <f>IFERROR(__xludf.DUMMYFUNCTION("""COMPUTED_VALUE"""),"")</f>
        <v/>
      </c>
      <c r="H356" t="str">
        <f>IFERROR(__xludf.DUMMYFUNCTION("""COMPUTED_VALUE"""),"")</f>
        <v/>
      </c>
      <c r="I356" t="str">
        <f>IFERROR(__xludf.DUMMYFUNCTION("""COMPUTED_VALUE"""),"")</f>
        <v/>
      </c>
      <c r="J356">
        <f>IFERROR(__xludf.DUMMYFUNCTION("""COMPUTED_VALUE"""),0.0)</f>
        <v>0</v>
      </c>
      <c r="L356" s="250" t="str">
        <f>IFERROR(__xludf.DUMMYFUNCTION("""COMPUTED_VALUE"""),"")</f>
        <v/>
      </c>
      <c r="M356" s="250" t="str">
        <f>IFERROR(__xludf.DUMMYFUNCTION("""COMPUTED_VALUE"""),"")</f>
        <v/>
      </c>
      <c r="N356" s="250" t="str">
        <f>IFERROR(__xludf.DUMMYFUNCTION("""COMPUTED_VALUE"""),"")</f>
        <v/>
      </c>
      <c r="O356" s="250" t="str">
        <f>IFERROR(__xludf.DUMMYFUNCTION("""COMPUTED_VALUE"""),"")</f>
        <v/>
      </c>
      <c r="P356" s="250" t="str">
        <f>IFERROR(__xludf.DUMMYFUNCTION("""COMPUTED_VALUE"""),"")</f>
        <v/>
      </c>
      <c r="Q356" s="250" t="str">
        <f>IFERROR(__xludf.DUMMYFUNCTION("""COMPUTED_VALUE"""),"")</f>
        <v/>
      </c>
      <c r="R356" s="250" t="str">
        <f>IFERROR(__xludf.DUMMYFUNCTION("""COMPUTED_VALUE"""),"")</f>
        <v/>
      </c>
      <c r="U356" s="250" t="str">
        <f>IFERROR(__xludf.DUMMYFUNCTION("""COMPUTED_VALUE"""),"#N/A")</f>
        <v>#N/A</v>
      </c>
      <c r="V356" s="250" t="str">
        <f>IFERROR(__xludf.DUMMYFUNCTION("""COMPUTED_VALUE"""),"#N/A")</f>
        <v>#N/A</v>
      </c>
      <c r="W356" s="250" t="str">
        <f>IFERROR(__xludf.DUMMYFUNCTION("""COMPUTED_VALUE"""),"#N/A")</f>
        <v>#N/A</v>
      </c>
      <c r="X356" t="b">
        <f t="shared" ref="X356:Z356" si="688">ISBLANK(K356)</f>
        <v>1</v>
      </c>
      <c r="Y356" t="b">
        <f t="shared" si="688"/>
        <v>0</v>
      </c>
      <c r="Z356" t="b">
        <f t="shared" si="688"/>
        <v>0</v>
      </c>
      <c r="AA356">
        <f t="shared" ref="AA356:AC356" si="689">IF(X356=FALSE,1,0)</f>
        <v>0</v>
      </c>
      <c r="AB356">
        <f t="shared" si="689"/>
        <v>1</v>
      </c>
      <c r="AC356">
        <f t="shared" si="689"/>
        <v>1</v>
      </c>
      <c r="AD356">
        <f t="shared" si="6"/>
        <v>2</v>
      </c>
      <c r="AE356">
        <f t="shared" si="7"/>
        <v>1</v>
      </c>
      <c r="AF356">
        <f>if(iferror(vlookup($A356,'Description Database'!$E$2:$H$951,3,0),0)=TRUE,1,0)</f>
        <v>0</v>
      </c>
      <c r="AG356">
        <f>if(iferror(vlookup($A356,'Description Database'!$E$2:$H$951,4,0),0)=TRUE,1,0)</f>
        <v>0</v>
      </c>
    </row>
    <row r="357">
      <c r="A357" t="str">
        <f>IFERROR(__xludf.DUMMYFUNCTION("""COMPUTED_VALUE"""),"OnePlus X (3 GB/16 GB)")</f>
        <v>OnePlus X (3 GB/16 GB)</v>
      </c>
      <c r="B357" t="str">
        <f>IFERROR(__xludf.DUMMYFUNCTION("""COMPUTED_VALUE"""),"")</f>
        <v/>
      </c>
      <c r="C357" t="str">
        <f>IFERROR(__xludf.DUMMYFUNCTION("""COMPUTED_VALUE"""),"")</f>
        <v/>
      </c>
      <c r="D357" t="str">
        <f>IFERROR(__xludf.DUMMYFUNCTION("""COMPUTED_VALUE"""),"")</f>
        <v/>
      </c>
      <c r="E357" t="str">
        <f>IFERROR(__xludf.DUMMYFUNCTION("""COMPUTED_VALUE"""),"")</f>
        <v/>
      </c>
      <c r="F357" t="str">
        <f>IFERROR(__xludf.DUMMYFUNCTION("""COMPUTED_VALUE"""),"")</f>
        <v/>
      </c>
      <c r="G357" t="str">
        <f>IFERROR(__xludf.DUMMYFUNCTION("""COMPUTED_VALUE"""),"")</f>
        <v/>
      </c>
      <c r="H357" t="str">
        <f>IFERROR(__xludf.DUMMYFUNCTION("""COMPUTED_VALUE"""),"")</f>
        <v/>
      </c>
      <c r="I357" t="str">
        <f>IFERROR(__xludf.DUMMYFUNCTION("""COMPUTED_VALUE"""),"")</f>
        <v/>
      </c>
      <c r="J357">
        <f>IFERROR(__xludf.DUMMYFUNCTION("""COMPUTED_VALUE"""),0.0)</f>
        <v>0</v>
      </c>
      <c r="L357" s="250" t="str">
        <f>IFERROR(__xludf.DUMMYFUNCTION("""COMPUTED_VALUE"""),"")</f>
        <v/>
      </c>
      <c r="M357" s="250" t="str">
        <f>IFERROR(__xludf.DUMMYFUNCTION("""COMPUTED_VALUE"""),"")</f>
        <v/>
      </c>
      <c r="N357" s="250" t="str">
        <f>IFERROR(__xludf.DUMMYFUNCTION("""COMPUTED_VALUE"""),"")</f>
        <v/>
      </c>
      <c r="O357" s="250" t="str">
        <f>IFERROR(__xludf.DUMMYFUNCTION("""COMPUTED_VALUE"""),"")</f>
        <v/>
      </c>
      <c r="P357" s="250" t="str">
        <f>IFERROR(__xludf.DUMMYFUNCTION("""COMPUTED_VALUE"""),"")</f>
        <v/>
      </c>
      <c r="Q357" s="250" t="str">
        <f>IFERROR(__xludf.DUMMYFUNCTION("""COMPUTED_VALUE"""),"")</f>
        <v/>
      </c>
      <c r="R357" s="250" t="str">
        <f>IFERROR(__xludf.DUMMYFUNCTION("""COMPUTED_VALUE"""),"")</f>
        <v/>
      </c>
      <c r="U357" s="250">
        <f>IFERROR(__xludf.DUMMYFUNCTION("""COMPUTED_VALUE"""),3939.0)</f>
        <v>3939</v>
      </c>
      <c r="V357" s="250">
        <f>IFERROR(__xludf.DUMMYFUNCTION("""COMPUTED_VALUE"""),3749.0)</f>
        <v>3749</v>
      </c>
      <c r="W357" s="250">
        <f>IFERROR(__xludf.DUMMYFUNCTION("""COMPUTED_VALUE"""),3379.0)</f>
        <v>3379</v>
      </c>
      <c r="X357" t="b">
        <f t="shared" ref="X357:Z357" si="690">ISBLANK(K357)</f>
        <v>1</v>
      </c>
      <c r="Y357" t="b">
        <f t="shared" si="690"/>
        <v>0</v>
      </c>
      <c r="Z357" t="b">
        <f t="shared" si="690"/>
        <v>0</v>
      </c>
      <c r="AA357">
        <f t="shared" ref="AA357:AC357" si="691">IF(X357=FALSE,1,0)</f>
        <v>0</v>
      </c>
      <c r="AB357">
        <f t="shared" si="691"/>
        <v>1</v>
      </c>
      <c r="AC357">
        <f t="shared" si="691"/>
        <v>1</v>
      </c>
      <c r="AD357">
        <f t="shared" si="6"/>
        <v>2</v>
      </c>
      <c r="AE357">
        <f t="shared" si="7"/>
        <v>1</v>
      </c>
      <c r="AF357">
        <f>if(iferror(vlookup($A357,'Description Database'!$E$2:$H$951,3,0),0)=TRUE,1,0)</f>
        <v>0</v>
      </c>
      <c r="AG357">
        <f>if(iferror(vlookup($A357,'Description Database'!$E$2:$H$951,4,0),0)=TRUE,1,0)</f>
        <v>0</v>
      </c>
    </row>
    <row r="358">
      <c r="A358" t="str">
        <f>IFERROR(__xludf.DUMMYFUNCTION("""COMPUTED_VALUE"""),"Vivo V9 YOUTH (4 GB/64 GB)")</f>
        <v>Vivo V9 YOUTH (4 GB/64 GB)</v>
      </c>
      <c r="B358" t="str">
        <f>IFERROR(__xludf.DUMMYFUNCTION("""COMPUTED_VALUE"""),"")</f>
        <v/>
      </c>
      <c r="C358" t="str">
        <f>IFERROR(__xludf.DUMMYFUNCTION("""COMPUTED_VALUE"""),"")</f>
        <v/>
      </c>
      <c r="D358" t="str">
        <f>IFERROR(__xludf.DUMMYFUNCTION("""COMPUTED_VALUE"""),"")</f>
        <v/>
      </c>
      <c r="E358" t="str">
        <f>IFERROR(__xludf.DUMMYFUNCTION("""COMPUTED_VALUE"""),"")</f>
        <v/>
      </c>
      <c r="F358" t="str">
        <f>IFERROR(__xludf.DUMMYFUNCTION("""COMPUTED_VALUE"""),"")</f>
        <v/>
      </c>
      <c r="G358" t="str">
        <f>IFERROR(__xludf.DUMMYFUNCTION("""COMPUTED_VALUE"""),"")</f>
        <v/>
      </c>
      <c r="H358" t="str">
        <f>IFERROR(__xludf.DUMMYFUNCTION("""COMPUTED_VALUE"""),"")</f>
        <v/>
      </c>
      <c r="I358" t="str">
        <f>IFERROR(__xludf.DUMMYFUNCTION("""COMPUTED_VALUE"""),"")</f>
        <v/>
      </c>
      <c r="J358">
        <f>IFERROR(__xludf.DUMMYFUNCTION("""COMPUTED_VALUE"""),0.0)</f>
        <v>0</v>
      </c>
      <c r="L358" s="250" t="str">
        <f>IFERROR(__xludf.DUMMYFUNCTION("""COMPUTED_VALUE"""),"")</f>
        <v/>
      </c>
      <c r="M358" s="250" t="str">
        <f>IFERROR(__xludf.DUMMYFUNCTION("""COMPUTED_VALUE"""),"")</f>
        <v/>
      </c>
      <c r="N358" s="250" t="str">
        <f>IFERROR(__xludf.DUMMYFUNCTION("""COMPUTED_VALUE"""),"")</f>
        <v/>
      </c>
      <c r="O358" s="250" t="str">
        <f>IFERROR(__xludf.DUMMYFUNCTION("""COMPUTED_VALUE"""),"")</f>
        <v/>
      </c>
      <c r="P358" s="250" t="str">
        <f>IFERROR(__xludf.DUMMYFUNCTION("""COMPUTED_VALUE"""),"")</f>
        <v/>
      </c>
      <c r="Q358" s="250" t="str">
        <f>IFERROR(__xludf.DUMMYFUNCTION("""COMPUTED_VALUE"""),"")</f>
        <v/>
      </c>
      <c r="R358" s="250" t="str">
        <f>IFERROR(__xludf.DUMMYFUNCTION("""COMPUTED_VALUE"""),"")</f>
        <v/>
      </c>
      <c r="U358" s="250" t="str">
        <f>IFERROR(__xludf.DUMMYFUNCTION("""COMPUTED_VALUE"""),"#N/A")</f>
        <v>#N/A</v>
      </c>
      <c r="V358" s="250" t="str">
        <f>IFERROR(__xludf.DUMMYFUNCTION("""COMPUTED_VALUE"""),"#N/A")</f>
        <v>#N/A</v>
      </c>
      <c r="W358" s="250" t="str">
        <f>IFERROR(__xludf.DUMMYFUNCTION("""COMPUTED_VALUE"""),"#N/A")</f>
        <v>#N/A</v>
      </c>
      <c r="X358" t="b">
        <f t="shared" ref="X358:Z358" si="692">ISBLANK(K358)</f>
        <v>1</v>
      </c>
      <c r="Y358" t="b">
        <f t="shared" si="692"/>
        <v>0</v>
      </c>
      <c r="Z358" t="b">
        <f t="shared" si="692"/>
        <v>0</v>
      </c>
      <c r="AA358">
        <f t="shared" ref="AA358:AC358" si="693">IF(X358=FALSE,1,0)</f>
        <v>0</v>
      </c>
      <c r="AB358">
        <f t="shared" si="693"/>
        <v>1</v>
      </c>
      <c r="AC358">
        <f t="shared" si="693"/>
        <v>1</v>
      </c>
      <c r="AD358">
        <f t="shared" si="6"/>
        <v>2</v>
      </c>
      <c r="AE358">
        <f t="shared" si="7"/>
        <v>1</v>
      </c>
      <c r="AF358">
        <f>if(iferror(vlookup($A358,'Description Database'!$E$2:$H$951,3,0),0)=TRUE,1,0)</f>
        <v>0</v>
      </c>
      <c r="AG358">
        <f>if(iferror(vlookup($A358,'Description Database'!$E$2:$H$951,4,0),0)=TRUE,1,0)</f>
        <v>0</v>
      </c>
    </row>
    <row r="359">
      <c r="A359" t="str">
        <f>IFERROR(__xludf.DUMMYFUNCTION("""COMPUTED_VALUE"""),"Samsung Galaxy J1 Ace (512 MB/4 GB)")</f>
        <v>Samsung Galaxy J1 Ace (512 MB/4 GB)</v>
      </c>
      <c r="B359" t="str">
        <f>IFERROR(__xludf.DUMMYFUNCTION("""COMPUTED_VALUE"""),"")</f>
        <v/>
      </c>
      <c r="C359" t="str">
        <f>IFERROR(__xludf.DUMMYFUNCTION("""COMPUTED_VALUE"""),"")</f>
        <v/>
      </c>
      <c r="D359" t="str">
        <f>IFERROR(__xludf.DUMMYFUNCTION("""COMPUTED_VALUE"""),"")</f>
        <v/>
      </c>
      <c r="E359" t="str">
        <f>IFERROR(__xludf.DUMMYFUNCTION("""COMPUTED_VALUE"""),"")</f>
        <v/>
      </c>
      <c r="F359" t="str">
        <f>IFERROR(__xludf.DUMMYFUNCTION("""COMPUTED_VALUE"""),"")</f>
        <v/>
      </c>
      <c r="G359" t="str">
        <f>IFERROR(__xludf.DUMMYFUNCTION("""COMPUTED_VALUE"""),"")</f>
        <v/>
      </c>
      <c r="H359" t="str">
        <f>IFERROR(__xludf.DUMMYFUNCTION("""COMPUTED_VALUE"""),"")</f>
        <v/>
      </c>
      <c r="I359">
        <f>IFERROR(__xludf.DUMMYFUNCTION("""COMPUTED_VALUE"""),4.0)</f>
        <v>4</v>
      </c>
      <c r="J359">
        <f>IFERROR(__xludf.DUMMYFUNCTION("""COMPUTED_VALUE"""),4.0)</f>
        <v>4</v>
      </c>
      <c r="L359" s="250" t="str">
        <f>IFERROR(__xludf.DUMMYFUNCTION("""COMPUTED_VALUE"""),"")</f>
        <v/>
      </c>
      <c r="M359" s="250" t="str">
        <f>IFERROR(__xludf.DUMMYFUNCTION("""COMPUTED_VALUE"""),"")</f>
        <v/>
      </c>
      <c r="N359" s="250" t="str">
        <f>IFERROR(__xludf.DUMMYFUNCTION("""COMPUTED_VALUE"""),"")</f>
        <v/>
      </c>
      <c r="O359" s="250" t="str">
        <f>IFERROR(__xludf.DUMMYFUNCTION("""COMPUTED_VALUE"""),"")</f>
        <v/>
      </c>
      <c r="P359" s="250" t="str">
        <f>IFERROR(__xludf.DUMMYFUNCTION("""COMPUTED_VALUE"""),"")</f>
        <v/>
      </c>
      <c r="Q359" s="250" t="str">
        <f>IFERROR(__xludf.DUMMYFUNCTION("""COMPUTED_VALUE"""),"")</f>
        <v/>
      </c>
      <c r="R359" s="250" t="str">
        <f>IFERROR(__xludf.DUMMYFUNCTION("""COMPUTED_VALUE"""),"")</f>
        <v/>
      </c>
      <c r="U359" s="250">
        <f>IFERROR(__xludf.DUMMYFUNCTION("""COMPUTED_VALUE"""),1439.0)</f>
        <v>1439</v>
      </c>
      <c r="V359" s="250">
        <f>IFERROR(__xludf.DUMMYFUNCTION("""COMPUTED_VALUE"""),1369.0)</f>
        <v>1369</v>
      </c>
      <c r="W359" s="250">
        <f>IFERROR(__xludf.DUMMYFUNCTION("""COMPUTED_VALUE"""),1239.0)</f>
        <v>1239</v>
      </c>
      <c r="X359" t="b">
        <f t="shared" ref="X359:Z359" si="694">ISBLANK(K359)</f>
        <v>1</v>
      </c>
      <c r="Y359" t="b">
        <f t="shared" si="694"/>
        <v>0</v>
      </c>
      <c r="Z359" t="b">
        <f t="shared" si="694"/>
        <v>0</v>
      </c>
      <c r="AA359">
        <f t="shared" ref="AA359:AC359" si="695">IF(X359=FALSE,1,0)</f>
        <v>0</v>
      </c>
      <c r="AB359">
        <f t="shared" si="695"/>
        <v>1</v>
      </c>
      <c r="AC359">
        <f t="shared" si="695"/>
        <v>1</v>
      </c>
      <c r="AD359">
        <f t="shared" si="6"/>
        <v>2</v>
      </c>
      <c r="AE359">
        <f t="shared" si="7"/>
        <v>1</v>
      </c>
      <c r="AF359">
        <f>if(iferror(vlookup($A359,'Description Database'!$E$2:$H$951,3,0),0)=TRUE,1,0)</f>
        <v>0</v>
      </c>
      <c r="AG359">
        <f>if(iferror(vlookup($A359,'Description Database'!$E$2:$H$951,4,0),0)=TRUE,1,0)</f>
        <v>0</v>
      </c>
    </row>
    <row r="360">
      <c r="A360" t="str">
        <f>IFERROR(__xludf.DUMMYFUNCTION("""COMPUTED_VALUE"""),"Xiaomi REDMI NOTE 4G (2 GB/8 GB)")</f>
        <v>Xiaomi REDMI NOTE 4G (2 GB/8 GB)</v>
      </c>
      <c r="B360" t="str">
        <f>IFERROR(__xludf.DUMMYFUNCTION("""COMPUTED_VALUE"""),"")</f>
        <v/>
      </c>
      <c r="C360" t="str">
        <f>IFERROR(__xludf.DUMMYFUNCTION("""COMPUTED_VALUE"""),"")</f>
        <v/>
      </c>
      <c r="D360" t="str">
        <f>IFERROR(__xludf.DUMMYFUNCTION("""COMPUTED_VALUE"""),"")</f>
        <v/>
      </c>
      <c r="E360" t="str">
        <f>IFERROR(__xludf.DUMMYFUNCTION("""COMPUTED_VALUE"""),"")</f>
        <v/>
      </c>
      <c r="F360" t="str">
        <f>IFERROR(__xludf.DUMMYFUNCTION("""COMPUTED_VALUE"""),"")</f>
        <v/>
      </c>
      <c r="G360" t="str">
        <f>IFERROR(__xludf.DUMMYFUNCTION("""COMPUTED_VALUE"""),"")</f>
        <v/>
      </c>
      <c r="H360" t="str">
        <f>IFERROR(__xludf.DUMMYFUNCTION("""COMPUTED_VALUE"""),"")</f>
        <v/>
      </c>
      <c r="I360">
        <f>IFERROR(__xludf.DUMMYFUNCTION("""COMPUTED_VALUE"""),9.0)</f>
        <v>9</v>
      </c>
      <c r="J360">
        <f>IFERROR(__xludf.DUMMYFUNCTION("""COMPUTED_VALUE"""),9.0)</f>
        <v>9</v>
      </c>
      <c r="L360" s="250" t="str">
        <f>IFERROR(__xludf.DUMMYFUNCTION("""COMPUTED_VALUE"""),"")</f>
        <v/>
      </c>
      <c r="M360" s="250" t="str">
        <f>IFERROR(__xludf.DUMMYFUNCTION("""COMPUTED_VALUE"""),"")</f>
        <v/>
      </c>
      <c r="N360" s="250" t="str">
        <f>IFERROR(__xludf.DUMMYFUNCTION("""COMPUTED_VALUE"""),"")</f>
        <v/>
      </c>
      <c r="O360" s="250" t="str">
        <f>IFERROR(__xludf.DUMMYFUNCTION("""COMPUTED_VALUE"""),"")</f>
        <v/>
      </c>
      <c r="P360" s="250" t="str">
        <f>IFERROR(__xludf.DUMMYFUNCTION("""COMPUTED_VALUE"""),"")</f>
        <v/>
      </c>
      <c r="Q360" s="250" t="str">
        <f>IFERROR(__xludf.DUMMYFUNCTION("""COMPUTED_VALUE"""),"")</f>
        <v/>
      </c>
      <c r="R360" s="250" t="str">
        <f>IFERROR(__xludf.DUMMYFUNCTION("""COMPUTED_VALUE"""),"")</f>
        <v/>
      </c>
      <c r="U360" s="250">
        <f>IFERROR(__xludf.DUMMYFUNCTION("""COMPUTED_VALUE"""),2379.0)</f>
        <v>2379</v>
      </c>
      <c r="V360" s="250">
        <f>IFERROR(__xludf.DUMMYFUNCTION("""COMPUTED_VALUE"""),2259.0)</f>
        <v>2259</v>
      </c>
      <c r="W360" s="250">
        <f>IFERROR(__xludf.DUMMYFUNCTION("""COMPUTED_VALUE"""),2029.0)</f>
        <v>2029</v>
      </c>
      <c r="X360" t="b">
        <f t="shared" ref="X360:Z360" si="696">ISBLANK(K360)</f>
        <v>1</v>
      </c>
      <c r="Y360" t="b">
        <f t="shared" si="696"/>
        <v>0</v>
      </c>
      <c r="Z360" t="b">
        <f t="shared" si="696"/>
        <v>0</v>
      </c>
      <c r="AA360">
        <f t="shared" ref="AA360:AC360" si="697">IF(X360=FALSE,1,0)</f>
        <v>0</v>
      </c>
      <c r="AB360">
        <f t="shared" si="697"/>
        <v>1</v>
      </c>
      <c r="AC360">
        <f t="shared" si="697"/>
        <v>1</v>
      </c>
      <c r="AD360">
        <f t="shared" si="6"/>
        <v>2</v>
      </c>
      <c r="AE360">
        <f t="shared" si="7"/>
        <v>1</v>
      </c>
      <c r="AF360">
        <f>if(iferror(vlookup($A360,'Description Database'!$E$2:$H$951,3,0),0)=TRUE,1,0)</f>
        <v>0</v>
      </c>
      <c r="AG360">
        <f>if(iferror(vlookup($A360,'Description Database'!$E$2:$H$951,4,0),0)=TRUE,1,0)</f>
        <v>0</v>
      </c>
    </row>
    <row r="361">
      <c r="A361" t="str">
        <f>IFERROR(__xludf.DUMMYFUNCTION("""COMPUTED_VALUE"""),"LETV LE MAX 2 (3 GB/32 GB)")</f>
        <v>LETV LE MAX 2 (3 GB/32 GB)</v>
      </c>
      <c r="B361" t="str">
        <f>IFERROR(__xludf.DUMMYFUNCTION("""COMPUTED_VALUE"""),"")</f>
        <v/>
      </c>
      <c r="C361" t="str">
        <f>IFERROR(__xludf.DUMMYFUNCTION("""COMPUTED_VALUE"""),"")</f>
        <v/>
      </c>
      <c r="D361" t="str">
        <f>IFERROR(__xludf.DUMMYFUNCTION("""COMPUTED_VALUE"""),"")</f>
        <v/>
      </c>
      <c r="E361" t="str">
        <f>IFERROR(__xludf.DUMMYFUNCTION("""COMPUTED_VALUE"""),"")</f>
        <v/>
      </c>
      <c r="F361" t="str">
        <f>IFERROR(__xludf.DUMMYFUNCTION("""COMPUTED_VALUE"""),"")</f>
        <v/>
      </c>
      <c r="G361" t="str">
        <f>IFERROR(__xludf.DUMMYFUNCTION("""COMPUTED_VALUE"""),"")</f>
        <v/>
      </c>
      <c r="H361" t="str">
        <f>IFERROR(__xludf.DUMMYFUNCTION("""COMPUTED_VALUE"""),"")</f>
        <v/>
      </c>
      <c r="I361" t="str">
        <f>IFERROR(__xludf.DUMMYFUNCTION("""COMPUTED_VALUE"""),"")</f>
        <v/>
      </c>
      <c r="J361">
        <f>IFERROR(__xludf.DUMMYFUNCTION("""COMPUTED_VALUE"""),0.0)</f>
        <v>0</v>
      </c>
      <c r="L361" s="250" t="str">
        <f>IFERROR(__xludf.DUMMYFUNCTION("""COMPUTED_VALUE"""),"")</f>
        <v/>
      </c>
      <c r="M361" s="250" t="str">
        <f>IFERROR(__xludf.DUMMYFUNCTION("""COMPUTED_VALUE"""),"")</f>
        <v/>
      </c>
      <c r="N361" s="250" t="str">
        <f>IFERROR(__xludf.DUMMYFUNCTION("""COMPUTED_VALUE"""),"")</f>
        <v/>
      </c>
      <c r="O361" s="250" t="str">
        <f>IFERROR(__xludf.DUMMYFUNCTION("""COMPUTED_VALUE"""),"")</f>
        <v/>
      </c>
      <c r="P361" s="250" t="str">
        <f>IFERROR(__xludf.DUMMYFUNCTION("""COMPUTED_VALUE"""),"")</f>
        <v/>
      </c>
      <c r="Q361" s="250" t="str">
        <f>IFERROR(__xludf.DUMMYFUNCTION("""COMPUTED_VALUE"""),"")</f>
        <v/>
      </c>
      <c r="R361" s="250" t="str">
        <f>IFERROR(__xludf.DUMMYFUNCTION("""COMPUTED_VALUE"""),"")</f>
        <v/>
      </c>
      <c r="U361" s="250" t="str">
        <f>IFERROR(__xludf.DUMMYFUNCTION("""COMPUTED_VALUE"""),"#N/A")</f>
        <v>#N/A</v>
      </c>
      <c r="V361" s="250" t="str">
        <f>IFERROR(__xludf.DUMMYFUNCTION("""COMPUTED_VALUE"""),"#N/A")</f>
        <v>#N/A</v>
      </c>
      <c r="W361" s="250" t="str">
        <f>IFERROR(__xludf.DUMMYFUNCTION("""COMPUTED_VALUE"""),"#N/A")</f>
        <v>#N/A</v>
      </c>
      <c r="X361" t="b">
        <f t="shared" ref="X361:Z361" si="698">ISBLANK(K361)</f>
        <v>1</v>
      </c>
      <c r="Y361" t="b">
        <f t="shared" si="698"/>
        <v>0</v>
      </c>
      <c r="Z361" t="b">
        <f t="shared" si="698"/>
        <v>0</v>
      </c>
      <c r="AA361">
        <f t="shared" ref="AA361:AC361" si="699">IF(X361=FALSE,1,0)</f>
        <v>0</v>
      </c>
      <c r="AB361">
        <f t="shared" si="699"/>
        <v>1</v>
      </c>
      <c r="AC361">
        <f t="shared" si="699"/>
        <v>1</v>
      </c>
      <c r="AD361">
        <f t="shared" si="6"/>
        <v>2</v>
      </c>
      <c r="AE361">
        <f t="shared" si="7"/>
        <v>1</v>
      </c>
      <c r="AF361">
        <f>if(iferror(vlookup($A361,'Description Database'!$E$2:$H$951,3,0),0)=TRUE,1,0)</f>
        <v>0</v>
      </c>
      <c r="AG361">
        <f>if(iferror(vlookup($A361,'Description Database'!$E$2:$H$951,4,0),0)=TRUE,1,0)</f>
        <v>0</v>
      </c>
    </row>
    <row r="362">
      <c r="A362" t="str">
        <f>IFERROR(__xludf.DUMMYFUNCTION("""COMPUTED_VALUE"""),"Samsung GALAXY ON5 (2 GB/16 GB)")</f>
        <v>Samsung GALAXY ON5 (2 GB/16 GB)</v>
      </c>
      <c r="B362" t="str">
        <f>IFERROR(__xludf.DUMMYFUNCTION("""COMPUTED_VALUE"""),"")</f>
        <v/>
      </c>
      <c r="C362" t="str">
        <f>IFERROR(__xludf.DUMMYFUNCTION("""COMPUTED_VALUE"""),"")</f>
        <v/>
      </c>
      <c r="D362" t="str">
        <f>IFERROR(__xludf.DUMMYFUNCTION("""COMPUTED_VALUE"""),"")</f>
        <v/>
      </c>
      <c r="E362" t="str">
        <f>IFERROR(__xludf.DUMMYFUNCTION("""COMPUTED_VALUE"""),"")</f>
        <v/>
      </c>
      <c r="F362" t="str">
        <f>IFERROR(__xludf.DUMMYFUNCTION("""COMPUTED_VALUE"""),"")</f>
        <v/>
      </c>
      <c r="G362" t="str">
        <f>IFERROR(__xludf.DUMMYFUNCTION("""COMPUTED_VALUE"""),"")</f>
        <v/>
      </c>
      <c r="H362" t="str">
        <f>IFERROR(__xludf.DUMMYFUNCTION("""COMPUTED_VALUE"""),"")</f>
        <v/>
      </c>
      <c r="I362" t="str">
        <f>IFERROR(__xludf.DUMMYFUNCTION("""COMPUTED_VALUE"""),"")</f>
        <v/>
      </c>
      <c r="J362">
        <f>IFERROR(__xludf.DUMMYFUNCTION("""COMPUTED_VALUE"""),0.0)</f>
        <v>0</v>
      </c>
      <c r="L362" s="250" t="str">
        <f>IFERROR(__xludf.DUMMYFUNCTION("""COMPUTED_VALUE"""),"")</f>
        <v/>
      </c>
      <c r="M362" s="250" t="str">
        <f>IFERROR(__xludf.DUMMYFUNCTION("""COMPUTED_VALUE"""),"")</f>
        <v/>
      </c>
      <c r="N362" s="250" t="str">
        <f>IFERROR(__xludf.DUMMYFUNCTION("""COMPUTED_VALUE"""),"")</f>
        <v/>
      </c>
      <c r="O362" s="250" t="str">
        <f>IFERROR(__xludf.DUMMYFUNCTION("""COMPUTED_VALUE"""),"")</f>
        <v/>
      </c>
      <c r="P362" s="250" t="str">
        <f>IFERROR(__xludf.DUMMYFUNCTION("""COMPUTED_VALUE"""),"")</f>
        <v/>
      </c>
      <c r="Q362" s="250" t="str">
        <f>IFERROR(__xludf.DUMMYFUNCTION("""COMPUTED_VALUE"""),"")</f>
        <v/>
      </c>
      <c r="R362" s="250" t="str">
        <f>IFERROR(__xludf.DUMMYFUNCTION("""COMPUTED_VALUE"""),"")</f>
        <v/>
      </c>
      <c r="U362" s="250" t="str">
        <f>IFERROR(__xludf.DUMMYFUNCTION("""COMPUTED_VALUE"""),"#N/A")</f>
        <v>#N/A</v>
      </c>
      <c r="V362" s="250" t="str">
        <f>IFERROR(__xludf.DUMMYFUNCTION("""COMPUTED_VALUE"""),"#N/A")</f>
        <v>#N/A</v>
      </c>
      <c r="W362" s="250" t="str">
        <f>IFERROR(__xludf.DUMMYFUNCTION("""COMPUTED_VALUE"""),"#N/A")</f>
        <v>#N/A</v>
      </c>
      <c r="X362" t="b">
        <f t="shared" ref="X362:Z362" si="700">ISBLANK(K362)</f>
        <v>1</v>
      </c>
      <c r="Y362" t="b">
        <f t="shared" si="700"/>
        <v>0</v>
      </c>
      <c r="Z362" t="b">
        <f t="shared" si="700"/>
        <v>0</v>
      </c>
      <c r="AA362">
        <f t="shared" ref="AA362:AC362" si="701">IF(X362=FALSE,1,0)</f>
        <v>0</v>
      </c>
      <c r="AB362">
        <f t="shared" si="701"/>
        <v>1</v>
      </c>
      <c r="AC362">
        <f t="shared" si="701"/>
        <v>1</v>
      </c>
      <c r="AD362">
        <f t="shared" si="6"/>
        <v>2</v>
      </c>
      <c r="AE362">
        <f t="shared" si="7"/>
        <v>1</v>
      </c>
      <c r="AF362">
        <f>if(iferror(vlookup($A362,'Description Database'!$E$2:$H$951,3,0),0)=TRUE,1,0)</f>
        <v>0</v>
      </c>
      <c r="AG362">
        <f>if(iferror(vlookup($A362,'Description Database'!$E$2:$H$951,4,0),0)=TRUE,1,0)</f>
        <v>0</v>
      </c>
    </row>
    <row r="363">
      <c r="A363" t="str">
        <f>IFERROR(__xludf.DUMMYFUNCTION("""COMPUTED_VALUE"""),"Coolpad Note 3 Lite (2 GB/16 GB)")</f>
        <v>Coolpad Note 3 Lite (2 GB/16 GB)</v>
      </c>
      <c r="B363" t="str">
        <f>IFERROR(__xludf.DUMMYFUNCTION("""COMPUTED_VALUE"""),"")</f>
        <v/>
      </c>
      <c r="C363" t="str">
        <f>IFERROR(__xludf.DUMMYFUNCTION("""COMPUTED_VALUE"""),"")</f>
        <v/>
      </c>
      <c r="D363" t="str">
        <f>IFERROR(__xludf.DUMMYFUNCTION("""COMPUTED_VALUE"""),"")</f>
        <v/>
      </c>
      <c r="E363" t="str">
        <f>IFERROR(__xludf.DUMMYFUNCTION("""COMPUTED_VALUE"""),"")</f>
        <v/>
      </c>
      <c r="F363" t="str">
        <f>IFERROR(__xludf.DUMMYFUNCTION("""COMPUTED_VALUE"""),"")</f>
        <v/>
      </c>
      <c r="G363" t="str">
        <f>IFERROR(__xludf.DUMMYFUNCTION("""COMPUTED_VALUE"""),"")</f>
        <v/>
      </c>
      <c r="H363" t="str">
        <f>IFERROR(__xludf.DUMMYFUNCTION("""COMPUTED_VALUE"""),"")</f>
        <v/>
      </c>
      <c r="I363">
        <f>IFERROR(__xludf.DUMMYFUNCTION("""COMPUTED_VALUE"""),2.0)</f>
        <v>2</v>
      </c>
      <c r="J363">
        <f>IFERROR(__xludf.DUMMYFUNCTION("""COMPUTED_VALUE"""),2.0)</f>
        <v>2</v>
      </c>
      <c r="L363" s="250" t="str">
        <f>IFERROR(__xludf.DUMMYFUNCTION("""COMPUTED_VALUE"""),"")</f>
        <v/>
      </c>
      <c r="M363" s="250" t="str">
        <f>IFERROR(__xludf.DUMMYFUNCTION("""COMPUTED_VALUE"""),"")</f>
        <v/>
      </c>
      <c r="N363" s="250" t="str">
        <f>IFERROR(__xludf.DUMMYFUNCTION("""COMPUTED_VALUE"""),"")</f>
        <v/>
      </c>
      <c r="O363" s="250" t="str">
        <f>IFERROR(__xludf.DUMMYFUNCTION("""COMPUTED_VALUE"""),"")</f>
        <v/>
      </c>
      <c r="P363" s="250" t="str">
        <f>IFERROR(__xludf.DUMMYFUNCTION("""COMPUTED_VALUE"""),"")</f>
        <v/>
      </c>
      <c r="Q363" s="250" t="str">
        <f>IFERROR(__xludf.DUMMYFUNCTION("""COMPUTED_VALUE"""),"")</f>
        <v/>
      </c>
      <c r="R363" s="250" t="str">
        <f>IFERROR(__xludf.DUMMYFUNCTION("""COMPUTED_VALUE"""),"")</f>
        <v/>
      </c>
      <c r="U363" s="250" t="str">
        <f>IFERROR(__xludf.DUMMYFUNCTION("""COMPUTED_VALUE"""),"#N/A")</f>
        <v>#N/A</v>
      </c>
      <c r="V363" s="250" t="str">
        <f>IFERROR(__xludf.DUMMYFUNCTION("""COMPUTED_VALUE"""),"#N/A")</f>
        <v>#N/A</v>
      </c>
      <c r="W363" s="250" t="str">
        <f>IFERROR(__xludf.DUMMYFUNCTION("""COMPUTED_VALUE"""),"#N/A")</f>
        <v>#N/A</v>
      </c>
      <c r="X363" t="b">
        <f t="shared" ref="X363:Z363" si="702">ISBLANK(K363)</f>
        <v>1</v>
      </c>
      <c r="Y363" t="b">
        <f t="shared" si="702"/>
        <v>0</v>
      </c>
      <c r="Z363" t="b">
        <f t="shared" si="702"/>
        <v>0</v>
      </c>
      <c r="AA363">
        <f t="shared" ref="AA363:AC363" si="703">IF(X363=FALSE,1,0)</f>
        <v>0</v>
      </c>
      <c r="AB363">
        <f t="shared" si="703"/>
        <v>1</v>
      </c>
      <c r="AC363">
        <f t="shared" si="703"/>
        <v>1</v>
      </c>
      <c r="AD363">
        <f t="shared" si="6"/>
        <v>2</v>
      </c>
      <c r="AE363">
        <f t="shared" si="7"/>
        <v>1</v>
      </c>
      <c r="AF363">
        <f>if(iferror(vlookup($A363,'Description Database'!$E$2:$H$951,3,0),0)=TRUE,1,0)</f>
        <v>0</v>
      </c>
      <c r="AG363">
        <f>if(iferror(vlookup($A363,'Description Database'!$E$2:$H$951,4,0),0)=TRUE,1,0)</f>
        <v>0</v>
      </c>
    </row>
    <row r="364">
      <c r="A364" t="str">
        <f>IFERROR(__xludf.DUMMYFUNCTION("""COMPUTED_VALUE"""),"Motorola MOTO Z PLAY (3 GB/32 GB)")</f>
        <v>Motorola MOTO Z PLAY (3 GB/32 GB)</v>
      </c>
      <c r="B364" t="str">
        <f>IFERROR(__xludf.DUMMYFUNCTION("""COMPUTED_VALUE"""),"")</f>
        <v/>
      </c>
      <c r="C364" t="str">
        <f>IFERROR(__xludf.DUMMYFUNCTION("""COMPUTED_VALUE"""),"")</f>
        <v/>
      </c>
      <c r="D364" t="str">
        <f>IFERROR(__xludf.DUMMYFUNCTION("""COMPUTED_VALUE"""),"")</f>
        <v/>
      </c>
      <c r="E364" t="str">
        <f>IFERROR(__xludf.DUMMYFUNCTION("""COMPUTED_VALUE"""),"")</f>
        <v/>
      </c>
      <c r="F364" t="str">
        <f>IFERROR(__xludf.DUMMYFUNCTION("""COMPUTED_VALUE"""),"")</f>
        <v/>
      </c>
      <c r="G364" t="str">
        <f>IFERROR(__xludf.DUMMYFUNCTION("""COMPUTED_VALUE"""),"")</f>
        <v/>
      </c>
      <c r="H364" t="str">
        <f>IFERROR(__xludf.DUMMYFUNCTION("""COMPUTED_VALUE"""),"")</f>
        <v/>
      </c>
      <c r="I364">
        <f>IFERROR(__xludf.DUMMYFUNCTION("""COMPUTED_VALUE"""),4.0)</f>
        <v>4</v>
      </c>
      <c r="J364">
        <f>IFERROR(__xludf.DUMMYFUNCTION("""COMPUTED_VALUE"""),4.0)</f>
        <v>4</v>
      </c>
      <c r="L364" s="250" t="str">
        <f>IFERROR(__xludf.DUMMYFUNCTION("""COMPUTED_VALUE"""),"")</f>
        <v/>
      </c>
      <c r="M364" s="250" t="str">
        <f>IFERROR(__xludf.DUMMYFUNCTION("""COMPUTED_VALUE"""),"")</f>
        <v/>
      </c>
      <c r="N364" s="250" t="str">
        <f>IFERROR(__xludf.DUMMYFUNCTION("""COMPUTED_VALUE"""),"")</f>
        <v/>
      </c>
      <c r="O364" s="250" t="str">
        <f>IFERROR(__xludf.DUMMYFUNCTION("""COMPUTED_VALUE"""),"")</f>
        <v/>
      </c>
      <c r="P364" s="250" t="str">
        <f>IFERROR(__xludf.DUMMYFUNCTION("""COMPUTED_VALUE"""),"")</f>
        <v/>
      </c>
      <c r="Q364" s="250" t="str">
        <f>IFERROR(__xludf.DUMMYFUNCTION("""COMPUTED_VALUE"""),"")</f>
        <v/>
      </c>
      <c r="R364" s="250" t="str">
        <f>IFERROR(__xludf.DUMMYFUNCTION("""COMPUTED_VALUE"""),"")</f>
        <v/>
      </c>
      <c r="U364" s="250">
        <f>IFERROR(__xludf.DUMMYFUNCTION("""COMPUTED_VALUE"""),4179.0)</f>
        <v>4179</v>
      </c>
      <c r="V364" s="250">
        <f>IFERROR(__xludf.DUMMYFUNCTION("""COMPUTED_VALUE"""),3989.0)</f>
        <v>3989</v>
      </c>
      <c r="W364" s="250">
        <f>IFERROR(__xludf.DUMMYFUNCTION("""COMPUTED_VALUE"""),3589.0)</f>
        <v>3589</v>
      </c>
      <c r="X364" t="b">
        <f t="shared" ref="X364:Z364" si="704">ISBLANK(K364)</f>
        <v>1</v>
      </c>
      <c r="Y364" t="b">
        <f t="shared" si="704"/>
        <v>0</v>
      </c>
      <c r="Z364" t="b">
        <f t="shared" si="704"/>
        <v>0</v>
      </c>
      <c r="AA364">
        <f t="shared" ref="AA364:AC364" si="705">IF(X364=FALSE,1,0)</f>
        <v>0</v>
      </c>
      <c r="AB364">
        <f t="shared" si="705"/>
        <v>1</v>
      </c>
      <c r="AC364">
        <f t="shared" si="705"/>
        <v>1</v>
      </c>
      <c r="AD364">
        <f t="shared" si="6"/>
        <v>2</v>
      </c>
      <c r="AE364">
        <f t="shared" si="7"/>
        <v>1</v>
      </c>
      <c r="AF364">
        <f>if(iferror(vlookup($A364,'Description Database'!$E$2:$H$951,3,0),0)=TRUE,1,0)</f>
        <v>0</v>
      </c>
      <c r="AG364">
        <f>if(iferror(vlookup($A364,'Description Database'!$E$2:$H$951,4,0),0)=TRUE,1,0)</f>
        <v>0</v>
      </c>
    </row>
    <row r="365">
      <c r="A365" t="str">
        <f>IFERROR(__xludf.DUMMYFUNCTION("""COMPUTED_VALUE"""),"Samsung GALAXY ON NXT (4 GB/32 GB)")</f>
        <v>Samsung GALAXY ON NXT (4 GB/32 GB)</v>
      </c>
      <c r="B365" t="str">
        <f>IFERROR(__xludf.DUMMYFUNCTION("""COMPUTED_VALUE"""),"")</f>
        <v/>
      </c>
      <c r="C365" t="str">
        <f>IFERROR(__xludf.DUMMYFUNCTION("""COMPUTED_VALUE"""),"")</f>
        <v/>
      </c>
      <c r="D365" t="str">
        <f>IFERROR(__xludf.DUMMYFUNCTION("""COMPUTED_VALUE"""),"")</f>
        <v/>
      </c>
      <c r="E365" t="str">
        <f>IFERROR(__xludf.DUMMYFUNCTION("""COMPUTED_VALUE"""),"")</f>
        <v/>
      </c>
      <c r="F365" t="str">
        <f>IFERROR(__xludf.DUMMYFUNCTION("""COMPUTED_VALUE"""),"")</f>
        <v/>
      </c>
      <c r="G365" t="str">
        <f>IFERROR(__xludf.DUMMYFUNCTION("""COMPUTED_VALUE"""),"")</f>
        <v/>
      </c>
      <c r="H365" t="str">
        <f>IFERROR(__xludf.DUMMYFUNCTION("""COMPUTED_VALUE"""),"")</f>
        <v/>
      </c>
      <c r="I365">
        <f>IFERROR(__xludf.DUMMYFUNCTION("""COMPUTED_VALUE"""),1.0)</f>
        <v>1</v>
      </c>
      <c r="J365">
        <f>IFERROR(__xludf.DUMMYFUNCTION("""COMPUTED_VALUE"""),1.0)</f>
        <v>1</v>
      </c>
      <c r="L365" s="250" t="str">
        <f>IFERROR(__xludf.DUMMYFUNCTION("""COMPUTED_VALUE"""),"")</f>
        <v/>
      </c>
      <c r="M365" s="250" t="str">
        <f>IFERROR(__xludf.DUMMYFUNCTION("""COMPUTED_VALUE"""),"")</f>
        <v/>
      </c>
      <c r="N365" s="250" t="str">
        <f>IFERROR(__xludf.DUMMYFUNCTION("""COMPUTED_VALUE"""),"")</f>
        <v/>
      </c>
      <c r="O365" s="250" t="str">
        <f>IFERROR(__xludf.DUMMYFUNCTION("""COMPUTED_VALUE"""),"")</f>
        <v/>
      </c>
      <c r="P365" s="250" t="str">
        <f>IFERROR(__xludf.DUMMYFUNCTION("""COMPUTED_VALUE"""),"")</f>
        <v/>
      </c>
      <c r="Q365" s="250" t="str">
        <f>IFERROR(__xludf.DUMMYFUNCTION("""COMPUTED_VALUE"""),"")</f>
        <v/>
      </c>
      <c r="R365" s="250" t="str">
        <f>IFERROR(__xludf.DUMMYFUNCTION("""COMPUTED_VALUE"""),"")</f>
        <v/>
      </c>
      <c r="U365" s="250" t="str">
        <f>IFERROR(__xludf.DUMMYFUNCTION("""COMPUTED_VALUE"""),"#N/A")</f>
        <v>#N/A</v>
      </c>
      <c r="V365" s="250" t="str">
        <f>IFERROR(__xludf.DUMMYFUNCTION("""COMPUTED_VALUE"""),"#N/A")</f>
        <v>#N/A</v>
      </c>
      <c r="W365" s="250" t="str">
        <f>IFERROR(__xludf.DUMMYFUNCTION("""COMPUTED_VALUE"""),"#N/A")</f>
        <v>#N/A</v>
      </c>
      <c r="X365" t="b">
        <f t="shared" ref="X365:Z365" si="706">ISBLANK(K365)</f>
        <v>1</v>
      </c>
      <c r="Y365" t="b">
        <f t="shared" si="706"/>
        <v>0</v>
      </c>
      <c r="Z365" t="b">
        <f t="shared" si="706"/>
        <v>0</v>
      </c>
      <c r="AA365">
        <f t="shared" ref="AA365:AC365" si="707">IF(X365=FALSE,1,0)</f>
        <v>0</v>
      </c>
      <c r="AB365">
        <f t="shared" si="707"/>
        <v>1</v>
      </c>
      <c r="AC365">
        <f t="shared" si="707"/>
        <v>1</v>
      </c>
      <c r="AD365">
        <f t="shared" si="6"/>
        <v>2</v>
      </c>
      <c r="AE365">
        <f t="shared" si="7"/>
        <v>1</v>
      </c>
      <c r="AF365">
        <f>if(iferror(vlookup($A365,'Description Database'!$E$2:$H$951,3,0),0)=TRUE,1,0)</f>
        <v>0</v>
      </c>
      <c r="AG365">
        <f>if(iferror(vlookup($A365,'Description Database'!$E$2:$H$951,4,0),0)=TRUE,1,0)</f>
        <v>0</v>
      </c>
    </row>
    <row r="366">
      <c r="A366" t="str">
        <f>IFERROR(__xludf.DUMMYFUNCTION("""COMPUTED_VALUE"""),"Lenovo PHAB 2 (3 GB/32 GB)")</f>
        <v>Lenovo PHAB 2 (3 GB/32 GB)</v>
      </c>
      <c r="B366" t="str">
        <f>IFERROR(__xludf.DUMMYFUNCTION("""COMPUTED_VALUE"""),"")</f>
        <v/>
      </c>
      <c r="C366" t="str">
        <f>IFERROR(__xludf.DUMMYFUNCTION("""COMPUTED_VALUE"""),"")</f>
        <v/>
      </c>
      <c r="D366" t="str">
        <f>IFERROR(__xludf.DUMMYFUNCTION("""COMPUTED_VALUE"""),"")</f>
        <v/>
      </c>
      <c r="E366" t="str">
        <f>IFERROR(__xludf.DUMMYFUNCTION("""COMPUTED_VALUE"""),"")</f>
        <v/>
      </c>
      <c r="F366" t="str">
        <f>IFERROR(__xludf.DUMMYFUNCTION("""COMPUTED_VALUE"""),"")</f>
        <v/>
      </c>
      <c r="G366" t="str">
        <f>IFERROR(__xludf.DUMMYFUNCTION("""COMPUTED_VALUE"""),"")</f>
        <v/>
      </c>
      <c r="H366" t="str">
        <f>IFERROR(__xludf.DUMMYFUNCTION("""COMPUTED_VALUE"""),"")</f>
        <v/>
      </c>
      <c r="I366">
        <f>IFERROR(__xludf.DUMMYFUNCTION("""COMPUTED_VALUE"""),1.0)</f>
        <v>1</v>
      </c>
      <c r="J366">
        <f>IFERROR(__xludf.DUMMYFUNCTION("""COMPUTED_VALUE"""),1.0)</f>
        <v>1</v>
      </c>
      <c r="L366" s="250" t="str">
        <f>IFERROR(__xludf.DUMMYFUNCTION("""COMPUTED_VALUE"""),"")</f>
        <v/>
      </c>
      <c r="M366" s="250" t="str">
        <f>IFERROR(__xludf.DUMMYFUNCTION("""COMPUTED_VALUE"""),"")</f>
        <v/>
      </c>
      <c r="N366" s="250" t="str">
        <f>IFERROR(__xludf.DUMMYFUNCTION("""COMPUTED_VALUE"""),"")</f>
        <v/>
      </c>
      <c r="O366" s="250" t="str">
        <f>IFERROR(__xludf.DUMMYFUNCTION("""COMPUTED_VALUE"""),"")</f>
        <v/>
      </c>
      <c r="P366" s="250" t="str">
        <f>IFERROR(__xludf.DUMMYFUNCTION("""COMPUTED_VALUE"""),"")</f>
        <v/>
      </c>
      <c r="Q366" s="250" t="str">
        <f>IFERROR(__xludf.DUMMYFUNCTION("""COMPUTED_VALUE"""),"")</f>
        <v/>
      </c>
      <c r="R366" s="250" t="str">
        <f>IFERROR(__xludf.DUMMYFUNCTION("""COMPUTED_VALUE"""),"")</f>
        <v/>
      </c>
      <c r="U366" s="250">
        <f>IFERROR(__xludf.DUMMYFUNCTION("""COMPUTED_VALUE"""),4049.0)</f>
        <v>4049</v>
      </c>
      <c r="V366" s="250">
        <f>IFERROR(__xludf.DUMMYFUNCTION("""COMPUTED_VALUE"""),3849.0)</f>
        <v>3849</v>
      </c>
      <c r="W366" s="250">
        <f>IFERROR(__xludf.DUMMYFUNCTION("""COMPUTED_VALUE"""),3469.0)</f>
        <v>3469</v>
      </c>
      <c r="X366" t="b">
        <f t="shared" ref="X366:Z366" si="708">ISBLANK(K366)</f>
        <v>1</v>
      </c>
      <c r="Y366" t="b">
        <f t="shared" si="708"/>
        <v>0</v>
      </c>
      <c r="Z366" t="b">
        <f t="shared" si="708"/>
        <v>0</v>
      </c>
      <c r="AA366">
        <f t="shared" ref="AA366:AC366" si="709">IF(X366=FALSE,1,0)</f>
        <v>0</v>
      </c>
      <c r="AB366">
        <f t="shared" si="709"/>
        <v>1</v>
      </c>
      <c r="AC366">
        <f t="shared" si="709"/>
        <v>1</v>
      </c>
      <c r="AD366">
        <f t="shared" si="6"/>
        <v>2</v>
      </c>
      <c r="AE366">
        <f t="shared" si="7"/>
        <v>1</v>
      </c>
      <c r="AF366">
        <f>if(iferror(vlookup($A366,'Description Database'!$E$2:$H$951,3,0),0)=TRUE,1,0)</f>
        <v>0</v>
      </c>
      <c r="AG366">
        <f>if(iferror(vlookup($A366,'Description Database'!$E$2:$H$951,4,0),0)=TRUE,1,0)</f>
        <v>0</v>
      </c>
    </row>
    <row r="367">
      <c r="A367" t="str">
        <f>IFERROR(__xludf.DUMMYFUNCTION("""COMPUTED_VALUE"""),"ASUS ZENFONE MAX PRO M2 (4 GB/64 GB)")</f>
        <v>ASUS ZENFONE MAX PRO M2 (4 GB/64 GB)</v>
      </c>
      <c r="B367" t="str">
        <f>IFERROR(__xludf.DUMMYFUNCTION("""COMPUTED_VALUE"""),"")</f>
        <v/>
      </c>
      <c r="C367" t="str">
        <f>IFERROR(__xludf.DUMMYFUNCTION("""COMPUTED_VALUE"""),"")</f>
        <v/>
      </c>
      <c r="D367" t="str">
        <f>IFERROR(__xludf.DUMMYFUNCTION("""COMPUTED_VALUE"""),"")</f>
        <v/>
      </c>
      <c r="E367">
        <f>IFERROR(__xludf.DUMMYFUNCTION("""COMPUTED_VALUE"""),1.0)</f>
        <v>1</v>
      </c>
      <c r="F367" t="str">
        <f>IFERROR(__xludf.DUMMYFUNCTION("""COMPUTED_VALUE"""),"")</f>
        <v/>
      </c>
      <c r="G367">
        <f>IFERROR(__xludf.DUMMYFUNCTION("""COMPUTED_VALUE"""),1.0)</f>
        <v>1</v>
      </c>
      <c r="H367" t="str">
        <f>IFERROR(__xludf.DUMMYFUNCTION("""COMPUTED_VALUE"""),"")</f>
        <v/>
      </c>
      <c r="I367">
        <f>IFERROR(__xludf.DUMMYFUNCTION("""COMPUTED_VALUE"""),1.0)</f>
        <v>1</v>
      </c>
      <c r="J367">
        <f>IFERROR(__xludf.DUMMYFUNCTION("""COMPUTED_VALUE"""),3.0)</f>
        <v>3</v>
      </c>
      <c r="L367" s="250" t="str">
        <f>IFERROR(__xludf.DUMMYFUNCTION("""COMPUTED_VALUE"""),"")</f>
        <v/>
      </c>
      <c r="M367" s="250" t="str">
        <f>IFERROR(__xludf.DUMMYFUNCTION("""COMPUTED_VALUE"""),"")</f>
        <v/>
      </c>
      <c r="N367" s="250" t="str">
        <f>IFERROR(__xludf.DUMMYFUNCTION("""COMPUTED_VALUE"""),"")</f>
        <v/>
      </c>
      <c r="O367" s="250">
        <f>IFERROR(__xludf.DUMMYFUNCTION("""COMPUTED_VALUE"""),5239.0)</f>
        <v>5239</v>
      </c>
      <c r="P367" s="250" t="str">
        <f>IFERROR(__xludf.DUMMYFUNCTION("""COMPUTED_VALUE"""),"")</f>
        <v/>
      </c>
      <c r="Q367" s="250">
        <f>IFERROR(__xludf.DUMMYFUNCTION("""COMPUTED_VALUE"""),3519.0)</f>
        <v>3519</v>
      </c>
      <c r="R367" s="250" t="str">
        <f>IFERROR(__xludf.DUMMYFUNCTION("""COMPUTED_VALUE"""),"")</f>
        <v/>
      </c>
      <c r="U367" s="250">
        <f>IFERROR(__xludf.DUMMYFUNCTION("""COMPUTED_VALUE"""),7289.0)</f>
        <v>7289</v>
      </c>
      <c r="V367" s="250">
        <f>IFERROR(__xludf.DUMMYFUNCTION("""COMPUTED_VALUE"""),6929.0)</f>
        <v>6929</v>
      </c>
      <c r="W367" s="250">
        <f>IFERROR(__xludf.DUMMYFUNCTION("""COMPUTED_VALUE"""),6329.0)</f>
        <v>6329</v>
      </c>
      <c r="X367" t="b">
        <f t="shared" ref="X367:Z367" si="710">ISBLANK(K367)</f>
        <v>1</v>
      </c>
      <c r="Y367" t="b">
        <f t="shared" si="710"/>
        <v>0</v>
      </c>
      <c r="Z367" t="b">
        <f t="shared" si="710"/>
        <v>0</v>
      </c>
      <c r="AA367">
        <f t="shared" ref="AA367:AC367" si="711">IF(X367=FALSE,1,0)</f>
        <v>0</v>
      </c>
      <c r="AB367">
        <f t="shared" si="711"/>
        <v>1</v>
      </c>
      <c r="AC367">
        <f t="shared" si="711"/>
        <v>1</v>
      </c>
      <c r="AD367">
        <f t="shared" si="6"/>
        <v>2</v>
      </c>
      <c r="AE367">
        <f t="shared" si="7"/>
        <v>1</v>
      </c>
      <c r="AF367">
        <f>if(iferror(vlookup($A367,'Description Database'!$E$2:$H$951,3,0),0)=TRUE,1,0)</f>
        <v>0</v>
      </c>
      <c r="AG367">
        <f>if(iferror(vlookup($A367,'Description Database'!$E$2:$H$951,4,0),0)=TRUE,1,0)</f>
        <v>0</v>
      </c>
    </row>
    <row r="368">
      <c r="A368" t="str">
        <f>IFERROR(__xludf.DUMMYFUNCTION("""COMPUTED_VALUE"""),"Google NEXUS 5 (2 GB/16 GB)")</f>
        <v>Google NEXUS 5 (2 GB/16 GB)</v>
      </c>
      <c r="B368" t="str">
        <f>IFERROR(__xludf.DUMMYFUNCTION("""COMPUTED_VALUE"""),"")</f>
        <v/>
      </c>
      <c r="C368" t="str">
        <f>IFERROR(__xludf.DUMMYFUNCTION("""COMPUTED_VALUE"""),"")</f>
        <v/>
      </c>
      <c r="D368" t="str">
        <f>IFERROR(__xludf.DUMMYFUNCTION("""COMPUTED_VALUE"""),"")</f>
        <v/>
      </c>
      <c r="E368" t="str">
        <f>IFERROR(__xludf.DUMMYFUNCTION("""COMPUTED_VALUE"""),"")</f>
        <v/>
      </c>
      <c r="F368" t="str">
        <f>IFERROR(__xludf.DUMMYFUNCTION("""COMPUTED_VALUE"""),"")</f>
        <v/>
      </c>
      <c r="G368" t="str">
        <f>IFERROR(__xludf.DUMMYFUNCTION("""COMPUTED_VALUE"""),"")</f>
        <v/>
      </c>
      <c r="H368" t="str">
        <f>IFERROR(__xludf.DUMMYFUNCTION("""COMPUTED_VALUE"""),"")</f>
        <v/>
      </c>
      <c r="I368">
        <f>IFERROR(__xludf.DUMMYFUNCTION("""COMPUTED_VALUE"""),1.0)</f>
        <v>1</v>
      </c>
      <c r="J368">
        <f>IFERROR(__xludf.DUMMYFUNCTION("""COMPUTED_VALUE"""),1.0)</f>
        <v>1</v>
      </c>
      <c r="L368" s="250" t="str">
        <f>IFERROR(__xludf.DUMMYFUNCTION("""COMPUTED_VALUE"""),"")</f>
        <v/>
      </c>
      <c r="M368" s="250" t="str">
        <f>IFERROR(__xludf.DUMMYFUNCTION("""COMPUTED_VALUE"""),"")</f>
        <v/>
      </c>
      <c r="N368" s="250" t="str">
        <f>IFERROR(__xludf.DUMMYFUNCTION("""COMPUTED_VALUE"""),"")</f>
        <v/>
      </c>
      <c r="O368" s="250" t="str">
        <f>IFERROR(__xludf.DUMMYFUNCTION("""COMPUTED_VALUE"""),"")</f>
        <v/>
      </c>
      <c r="P368" s="250" t="str">
        <f>IFERROR(__xludf.DUMMYFUNCTION("""COMPUTED_VALUE"""),"")</f>
        <v/>
      </c>
      <c r="Q368" s="250" t="str">
        <f>IFERROR(__xludf.DUMMYFUNCTION("""COMPUTED_VALUE"""),"")</f>
        <v/>
      </c>
      <c r="R368" s="250" t="str">
        <f>IFERROR(__xludf.DUMMYFUNCTION("""COMPUTED_VALUE"""),"")</f>
        <v/>
      </c>
      <c r="U368" s="250" t="str">
        <f>IFERROR(__xludf.DUMMYFUNCTION("""COMPUTED_VALUE"""),"#N/A")</f>
        <v>#N/A</v>
      </c>
      <c r="V368" s="250" t="str">
        <f>IFERROR(__xludf.DUMMYFUNCTION("""COMPUTED_VALUE"""),"#N/A")</f>
        <v>#N/A</v>
      </c>
      <c r="W368" s="250" t="str">
        <f>IFERROR(__xludf.DUMMYFUNCTION("""COMPUTED_VALUE"""),"#N/A")</f>
        <v>#N/A</v>
      </c>
      <c r="X368" t="b">
        <f t="shared" ref="X368:Z368" si="712">ISBLANK(K368)</f>
        <v>1</v>
      </c>
      <c r="Y368" t="b">
        <f t="shared" si="712"/>
        <v>0</v>
      </c>
      <c r="Z368" t="b">
        <f t="shared" si="712"/>
        <v>0</v>
      </c>
      <c r="AA368">
        <f t="shared" ref="AA368:AC368" si="713">IF(X368=FALSE,1,0)</f>
        <v>0</v>
      </c>
      <c r="AB368">
        <f t="shared" si="713"/>
        <v>1</v>
      </c>
      <c r="AC368">
        <f t="shared" si="713"/>
        <v>1</v>
      </c>
      <c r="AD368">
        <f t="shared" si="6"/>
        <v>2</v>
      </c>
      <c r="AE368">
        <f t="shared" si="7"/>
        <v>1</v>
      </c>
      <c r="AF368">
        <f>if(iferror(vlookup($A368,'Description Database'!$E$2:$H$951,3,0),0)=TRUE,1,0)</f>
        <v>0</v>
      </c>
      <c r="AG368">
        <f>if(iferror(vlookup($A368,'Description Database'!$E$2:$H$951,4,0),0)=TRUE,1,0)</f>
        <v>0</v>
      </c>
    </row>
    <row r="369">
      <c r="A369" t="str">
        <f>IFERROR(__xludf.DUMMYFUNCTION("""COMPUTED_VALUE"""),"ASUS ZENFONE 2 (2 GB/16 GB)")</f>
        <v>ASUS ZENFONE 2 (2 GB/16 GB)</v>
      </c>
      <c r="B369" t="str">
        <f>IFERROR(__xludf.DUMMYFUNCTION("""COMPUTED_VALUE"""),"")</f>
        <v/>
      </c>
      <c r="C369" t="str">
        <f>IFERROR(__xludf.DUMMYFUNCTION("""COMPUTED_VALUE"""),"")</f>
        <v/>
      </c>
      <c r="D369" t="str">
        <f>IFERROR(__xludf.DUMMYFUNCTION("""COMPUTED_VALUE"""),"")</f>
        <v/>
      </c>
      <c r="E369" t="str">
        <f>IFERROR(__xludf.DUMMYFUNCTION("""COMPUTED_VALUE"""),"")</f>
        <v/>
      </c>
      <c r="F369" t="str">
        <f>IFERROR(__xludf.DUMMYFUNCTION("""COMPUTED_VALUE"""),"")</f>
        <v/>
      </c>
      <c r="G369" t="str">
        <f>IFERROR(__xludf.DUMMYFUNCTION("""COMPUTED_VALUE"""),"")</f>
        <v/>
      </c>
      <c r="H369" t="str">
        <f>IFERROR(__xludf.DUMMYFUNCTION("""COMPUTED_VALUE"""),"")</f>
        <v/>
      </c>
      <c r="I369">
        <f>IFERROR(__xludf.DUMMYFUNCTION("""COMPUTED_VALUE"""),4.0)</f>
        <v>4</v>
      </c>
      <c r="J369">
        <f>IFERROR(__xludf.DUMMYFUNCTION("""COMPUTED_VALUE"""),4.0)</f>
        <v>4</v>
      </c>
      <c r="L369" s="250" t="str">
        <f>IFERROR(__xludf.DUMMYFUNCTION("""COMPUTED_VALUE"""),"")</f>
        <v/>
      </c>
      <c r="M369" s="250" t="str">
        <f>IFERROR(__xludf.DUMMYFUNCTION("""COMPUTED_VALUE"""),"")</f>
        <v/>
      </c>
      <c r="N369" s="250" t="str">
        <f>IFERROR(__xludf.DUMMYFUNCTION("""COMPUTED_VALUE"""),"")</f>
        <v/>
      </c>
      <c r="O369" s="250" t="str">
        <f>IFERROR(__xludf.DUMMYFUNCTION("""COMPUTED_VALUE"""),"")</f>
        <v/>
      </c>
      <c r="P369" s="250" t="str">
        <f>IFERROR(__xludf.DUMMYFUNCTION("""COMPUTED_VALUE"""),"")</f>
        <v/>
      </c>
      <c r="Q369" s="250" t="str">
        <f>IFERROR(__xludf.DUMMYFUNCTION("""COMPUTED_VALUE"""),"")</f>
        <v/>
      </c>
      <c r="R369" s="250" t="str">
        <f>IFERROR(__xludf.DUMMYFUNCTION("""COMPUTED_VALUE"""),"")</f>
        <v/>
      </c>
      <c r="U369" s="250" t="str">
        <f>IFERROR(__xludf.DUMMYFUNCTION("""COMPUTED_VALUE"""),"#N/A")</f>
        <v>#N/A</v>
      </c>
      <c r="V369" s="250" t="str">
        <f>IFERROR(__xludf.DUMMYFUNCTION("""COMPUTED_VALUE"""),"#N/A")</f>
        <v>#N/A</v>
      </c>
      <c r="W369" s="250" t="str">
        <f>IFERROR(__xludf.DUMMYFUNCTION("""COMPUTED_VALUE"""),"#N/A")</f>
        <v>#N/A</v>
      </c>
      <c r="X369" t="b">
        <f t="shared" ref="X369:Z369" si="714">ISBLANK(K369)</f>
        <v>1</v>
      </c>
      <c r="Y369" t="b">
        <f t="shared" si="714"/>
        <v>0</v>
      </c>
      <c r="Z369" t="b">
        <f t="shared" si="714"/>
        <v>0</v>
      </c>
      <c r="AA369">
        <f t="shared" ref="AA369:AC369" si="715">IF(X369=FALSE,1,0)</f>
        <v>0</v>
      </c>
      <c r="AB369">
        <f t="shared" si="715"/>
        <v>1</v>
      </c>
      <c r="AC369">
        <f t="shared" si="715"/>
        <v>1</v>
      </c>
      <c r="AD369">
        <f t="shared" si="6"/>
        <v>2</v>
      </c>
      <c r="AE369">
        <f t="shared" si="7"/>
        <v>1</v>
      </c>
      <c r="AF369">
        <f>if(iferror(vlookup($A369,'Description Database'!$E$2:$H$951,3,0),0)=TRUE,1,0)</f>
        <v>0</v>
      </c>
      <c r="AG369">
        <f>if(iferror(vlookup($A369,'Description Database'!$E$2:$H$951,4,0),0)=TRUE,1,0)</f>
        <v>0</v>
      </c>
    </row>
    <row r="370">
      <c r="A370" t="str">
        <f>IFERROR(__xludf.DUMMYFUNCTION("""COMPUTED_VALUE"""),"Samsung Galaxy Grand Max (1.5 GB/16 GB)")</f>
        <v>Samsung Galaxy Grand Max (1.5 GB/16 GB)</v>
      </c>
      <c r="B370" t="str">
        <f>IFERROR(__xludf.DUMMYFUNCTION("""COMPUTED_VALUE"""),"")</f>
        <v/>
      </c>
      <c r="C370" t="str">
        <f>IFERROR(__xludf.DUMMYFUNCTION("""COMPUTED_VALUE"""),"")</f>
        <v/>
      </c>
      <c r="D370" t="str">
        <f>IFERROR(__xludf.DUMMYFUNCTION("""COMPUTED_VALUE"""),"")</f>
        <v/>
      </c>
      <c r="E370" t="str">
        <f>IFERROR(__xludf.DUMMYFUNCTION("""COMPUTED_VALUE"""),"")</f>
        <v/>
      </c>
      <c r="F370" t="str">
        <f>IFERROR(__xludf.DUMMYFUNCTION("""COMPUTED_VALUE"""),"")</f>
        <v/>
      </c>
      <c r="G370" t="str">
        <f>IFERROR(__xludf.DUMMYFUNCTION("""COMPUTED_VALUE"""),"")</f>
        <v/>
      </c>
      <c r="H370" t="str">
        <f>IFERROR(__xludf.DUMMYFUNCTION("""COMPUTED_VALUE"""),"")</f>
        <v/>
      </c>
      <c r="I370">
        <f>IFERROR(__xludf.DUMMYFUNCTION("""COMPUTED_VALUE"""),1.0)</f>
        <v>1</v>
      </c>
      <c r="J370">
        <f>IFERROR(__xludf.DUMMYFUNCTION("""COMPUTED_VALUE"""),1.0)</f>
        <v>1</v>
      </c>
      <c r="L370" s="250" t="str">
        <f>IFERROR(__xludf.DUMMYFUNCTION("""COMPUTED_VALUE"""),"")</f>
        <v/>
      </c>
      <c r="M370" s="250" t="str">
        <f>IFERROR(__xludf.DUMMYFUNCTION("""COMPUTED_VALUE"""),"")</f>
        <v/>
      </c>
      <c r="N370" s="250" t="str">
        <f>IFERROR(__xludf.DUMMYFUNCTION("""COMPUTED_VALUE"""),"")</f>
        <v/>
      </c>
      <c r="O370" s="250" t="str">
        <f>IFERROR(__xludf.DUMMYFUNCTION("""COMPUTED_VALUE"""),"")</f>
        <v/>
      </c>
      <c r="P370" s="250" t="str">
        <f>IFERROR(__xludf.DUMMYFUNCTION("""COMPUTED_VALUE"""),"")</f>
        <v/>
      </c>
      <c r="Q370" s="250" t="str">
        <f>IFERROR(__xludf.DUMMYFUNCTION("""COMPUTED_VALUE"""),"")</f>
        <v/>
      </c>
      <c r="R370" s="250" t="str">
        <f>IFERROR(__xludf.DUMMYFUNCTION("""COMPUTED_VALUE"""),"")</f>
        <v/>
      </c>
      <c r="U370" s="250">
        <f>IFERROR(__xludf.DUMMYFUNCTION("""COMPUTED_VALUE"""),1769.0)</f>
        <v>1769</v>
      </c>
      <c r="V370" s="250">
        <f>IFERROR(__xludf.DUMMYFUNCTION("""COMPUTED_VALUE"""),1689.0)</f>
        <v>1689</v>
      </c>
      <c r="W370" s="250">
        <f>IFERROR(__xludf.DUMMYFUNCTION("""COMPUTED_VALUE"""),1519.0)</f>
        <v>1519</v>
      </c>
      <c r="X370" t="b">
        <f t="shared" ref="X370:Z370" si="716">ISBLANK(K370)</f>
        <v>1</v>
      </c>
      <c r="Y370" t="b">
        <f t="shared" si="716"/>
        <v>0</v>
      </c>
      <c r="Z370" t="b">
        <f t="shared" si="716"/>
        <v>0</v>
      </c>
      <c r="AA370">
        <f t="shared" ref="AA370:AC370" si="717">IF(X370=FALSE,1,0)</f>
        <v>0</v>
      </c>
      <c r="AB370">
        <f t="shared" si="717"/>
        <v>1</v>
      </c>
      <c r="AC370">
        <f t="shared" si="717"/>
        <v>1</v>
      </c>
      <c r="AD370">
        <f t="shared" si="6"/>
        <v>2</v>
      </c>
      <c r="AE370">
        <f t="shared" si="7"/>
        <v>1</v>
      </c>
      <c r="AF370">
        <f>if(iferror(vlookup($A370,'Description Database'!$E$2:$H$951,3,0),0)=TRUE,1,0)</f>
        <v>0</v>
      </c>
      <c r="AG370">
        <f>if(iferror(vlookup($A370,'Description Database'!$E$2:$H$951,4,0),0)=TRUE,1,0)</f>
        <v>0</v>
      </c>
    </row>
    <row r="371">
      <c r="A371" t="str">
        <f>IFERROR(__xludf.DUMMYFUNCTION("""COMPUTED_VALUE"""),"Samsung GALAXY J7 PRO (3 GB/64 GB)")</f>
        <v>Samsung GALAXY J7 PRO (3 GB/64 GB)</v>
      </c>
      <c r="B371" t="str">
        <f>IFERROR(__xludf.DUMMYFUNCTION("""COMPUTED_VALUE"""),"")</f>
        <v/>
      </c>
      <c r="C371" t="str">
        <f>IFERROR(__xludf.DUMMYFUNCTION("""COMPUTED_VALUE"""),"")</f>
        <v/>
      </c>
      <c r="D371" t="str">
        <f>IFERROR(__xludf.DUMMYFUNCTION("""COMPUTED_VALUE"""),"")</f>
        <v/>
      </c>
      <c r="E371" t="str">
        <f>IFERROR(__xludf.DUMMYFUNCTION("""COMPUTED_VALUE"""),"")</f>
        <v/>
      </c>
      <c r="F371" t="str">
        <f>IFERROR(__xludf.DUMMYFUNCTION("""COMPUTED_VALUE"""),"")</f>
        <v/>
      </c>
      <c r="G371" t="str">
        <f>IFERROR(__xludf.DUMMYFUNCTION("""COMPUTED_VALUE"""),"")</f>
        <v/>
      </c>
      <c r="H371" t="str">
        <f>IFERROR(__xludf.DUMMYFUNCTION("""COMPUTED_VALUE"""),"")</f>
        <v/>
      </c>
      <c r="I371">
        <f>IFERROR(__xludf.DUMMYFUNCTION("""COMPUTED_VALUE"""),4.0)</f>
        <v>4</v>
      </c>
      <c r="J371">
        <f>IFERROR(__xludf.DUMMYFUNCTION("""COMPUTED_VALUE"""),4.0)</f>
        <v>4</v>
      </c>
      <c r="L371" s="250" t="str">
        <f>IFERROR(__xludf.DUMMYFUNCTION("""COMPUTED_VALUE"""),"")</f>
        <v/>
      </c>
      <c r="M371" s="250" t="str">
        <f>IFERROR(__xludf.DUMMYFUNCTION("""COMPUTED_VALUE"""),"")</f>
        <v/>
      </c>
      <c r="N371" s="250" t="str">
        <f>IFERROR(__xludf.DUMMYFUNCTION("""COMPUTED_VALUE"""),"")</f>
        <v/>
      </c>
      <c r="O371" s="250" t="str">
        <f>IFERROR(__xludf.DUMMYFUNCTION("""COMPUTED_VALUE"""),"")</f>
        <v/>
      </c>
      <c r="P371" s="250" t="str">
        <f>IFERROR(__xludf.DUMMYFUNCTION("""COMPUTED_VALUE"""),"")</f>
        <v/>
      </c>
      <c r="Q371" s="250" t="str">
        <f>IFERROR(__xludf.DUMMYFUNCTION("""COMPUTED_VALUE"""),"")</f>
        <v/>
      </c>
      <c r="R371" s="250" t="str">
        <f>IFERROR(__xludf.DUMMYFUNCTION("""COMPUTED_VALUE"""),"")</f>
        <v/>
      </c>
      <c r="U371" s="250">
        <f>IFERROR(__xludf.DUMMYFUNCTION("""COMPUTED_VALUE"""),4909.0)</f>
        <v>4909</v>
      </c>
      <c r="V371" s="250">
        <f>IFERROR(__xludf.DUMMYFUNCTION("""COMPUTED_VALUE"""),4669.0)</f>
        <v>4669</v>
      </c>
      <c r="W371" s="250">
        <f>IFERROR(__xludf.DUMMYFUNCTION("""COMPUTED_VALUE"""),4209.0)</f>
        <v>4209</v>
      </c>
      <c r="X371" t="b">
        <f t="shared" ref="X371:Z371" si="718">ISBLANK(K371)</f>
        <v>1</v>
      </c>
      <c r="Y371" t="b">
        <f t="shared" si="718"/>
        <v>0</v>
      </c>
      <c r="Z371" t="b">
        <f t="shared" si="718"/>
        <v>0</v>
      </c>
      <c r="AA371">
        <f t="shared" ref="AA371:AC371" si="719">IF(X371=FALSE,1,0)</f>
        <v>0</v>
      </c>
      <c r="AB371">
        <f t="shared" si="719"/>
        <v>1</v>
      </c>
      <c r="AC371">
        <f t="shared" si="719"/>
        <v>1</v>
      </c>
      <c r="AD371">
        <f t="shared" si="6"/>
        <v>2</v>
      </c>
      <c r="AE371">
        <f t="shared" si="7"/>
        <v>1</v>
      </c>
      <c r="AF371">
        <f>if(iferror(vlookup($A371,'Description Database'!$E$2:$H$951,3,0),0)=TRUE,1,0)</f>
        <v>0</v>
      </c>
      <c r="AG371">
        <f>if(iferror(vlookup($A371,'Description Database'!$E$2:$H$951,4,0),0)=TRUE,1,0)</f>
        <v>0</v>
      </c>
    </row>
    <row r="372">
      <c r="A372" t="str">
        <f>IFERROR(__xludf.DUMMYFUNCTION("""COMPUTED_VALUE"""),"Nokia 7 PLUS (4 GB/64 GB)")</f>
        <v>Nokia 7 PLUS (4 GB/64 GB)</v>
      </c>
      <c r="B372" t="str">
        <f>IFERROR(__xludf.DUMMYFUNCTION("""COMPUTED_VALUE"""),"")</f>
        <v/>
      </c>
      <c r="C372" t="str">
        <f>IFERROR(__xludf.DUMMYFUNCTION("""COMPUTED_VALUE"""),"")</f>
        <v/>
      </c>
      <c r="D372" t="str">
        <f>IFERROR(__xludf.DUMMYFUNCTION("""COMPUTED_VALUE"""),"")</f>
        <v/>
      </c>
      <c r="E372" t="str">
        <f>IFERROR(__xludf.DUMMYFUNCTION("""COMPUTED_VALUE"""),"")</f>
        <v/>
      </c>
      <c r="F372" t="str">
        <f>IFERROR(__xludf.DUMMYFUNCTION("""COMPUTED_VALUE"""),"")</f>
        <v/>
      </c>
      <c r="G372" t="str">
        <f>IFERROR(__xludf.DUMMYFUNCTION("""COMPUTED_VALUE"""),"")</f>
        <v/>
      </c>
      <c r="H372" t="str">
        <f>IFERROR(__xludf.DUMMYFUNCTION("""COMPUTED_VALUE"""),"")</f>
        <v/>
      </c>
      <c r="I372">
        <f>IFERROR(__xludf.DUMMYFUNCTION("""COMPUTED_VALUE"""),1.0)</f>
        <v>1</v>
      </c>
      <c r="J372">
        <f>IFERROR(__xludf.DUMMYFUNCTION("""COMPUTED_VALUE"""),1.0)</f>
        <v>1</v>
      </c>
      <c r="L372" s="250" t="str">
        <f>IFERROR(__xludf.DUMMYFUNCTION("""COMPUTED_VALUE"""),"")</f>
        <v/>
      </c>
      <c r="M372" s="250" t="str">
        <f>IFERROR(__xludf.DUMMYFUNCTION("""COMPUTED_VALUE"""),"")</f>
        <v/>
      </c>
      <c r="N372" s="250" t="str">
        <f>IFERROR(__xludf.DUMMYFUNCTION("""COMPUTED_VALUE"""),"")</f>
        <v/>
      </c>
      <c r="O372" s="250" t="str">
        <f>IFERROR(__xludf.DUMMYFUNCTION("""COMPUTED_VALUE"""),"")</f>
        <v/>
      </c>
      <c r="P372" s="250" t="str">
        <f>IFERROR(__xludf.DUMMYFUNCTION("""COMPUTED_VALUE"""),"")</f>
        <v/>
      </c>
      <c r="Q372" s="250" t="str">
        <f>IFERROR(__xludf.DUMMYFUNCTION("""COMPUTED_VALUE"""),"")</f>
        <v/>
      </c>
      <c r="R372" s="250" t="str">
        <f>IFERROR(__xludf.DUMMYFUNCTION("""COMPUTED_VALUE"""),"")</f>
        <v/>
      </c>
      <c r="U372" s="250">
        <f>IFERROR(__xludf.DUMMYFUNCTION("""COMPUTED_VALUE"""),5549.0)</f>
        <v>5549</v>
      </c>
      <c r="V372" s="250">
        <f>IFERROR(__xludf.DUMMYFUNCTION("""COMPUTED_VALUE"""),5279.0)</f>
        <v>5279</v>
      </c>
      <c r="W372" s="250">
        <f>IFERROR(__xludf.DUMMYFUNCTION("""COMPUTED_VALUE"""),4759.0)</f>
        <v>4759</v>
      </c>
      <c r="X372" t="b">
        <f t="shared" ref="X372:Z372" si="720">ISBLANK(K372)</f>
        <v>1</v>
      </c>
      <c r="Y372" t="b">
        <f t="shared" si="720"/>
        <v>0</v>
      </c>
      <c r="Z372" t="b">
        <f t="shared" si="720"/>
        <v>0</v>
      </c>
      <c r="AA372">
        <f t="shared" ref="AA372:AC372" si="721">IF(X372=FALSE,1,0)</f>
        <v>0</v>
      </c>
      <c r="AB372">
        <f t="shared" si="721"/>
        <v>1</v>
      </c>
      <c r="AC372">
        <f t="shared" si="721"/>
        <v>1</v>
      </c>
      <c r="AD372">
        <f t="shared" si="6"/>
        <v>2</v>
      </c>
      <c r="AE372">
        <f t="shared" si="7"/>
        <v>1</v>
      </c>
      <c r="AF372">
        <f>if(iferror(vlookup($A372,'Description Database'!$E$2:$H$951,3,0),0)=TRUE,1,0)</f>
        <v>0</v>
      </c>
      <c r="AG372">
        <f>if(iferror(vlookup($A372,'Description Database'!$E$2:$H$951,4,0),0)=TRUE,1,0)</f>
        <v>0</v>
      </c>
    </row>
    <row r="373">
      <c r="A373" t="str">
        <f>IFERROR(__xludf.DUMMYFUNCTION("""COMPUTED_VALUE"""),"Samsung GALAXY NOTE 5 (4 GB/32 GB)")</f>
        <v>Samsung GALAXY NOTE 5 (4 GB/32 GB)</v>
      </c>
      <c r="B373" t="str">
        <f>IFERROR(__xludf.DUMMYFUNCTION("""COMPUTED_VALUE"""),"")</f>
        <v/>
      </c>
      <c r="C373" t="str">
        <f>IFERROR(__xludf.DUMMYFUNCTION("""COMPUTED_VALUE"""),"")</f>
        <v/>
      </c>
      <c r="D373" t="str">
        <f>IFERROR(__xludf.DUMMYFUNCTION("""COMPUTED_VALUE"""),"")</f>
        <v/>
      </c>
      <c r="E373" t="str">
        <f>IFERROR(__xludf.DUMMYFUNCTION("""COMPUTED_VALUE"""),"")</f>
        <v/>
      </c>
      <c r="F373" t="str">
        <f>IFERROR(__xludf.DUMMYFUNCTION("""COMPUTED_VALUE"""),"")</f>
        <v/>
      </c>
      <c r="G373" t="str">
        <f>IFERROR(__xludf.DUMMYFUNCTION("""COMPUTED_VALUE"""),"")</f>
        <v/>
      </c>
      <c r="H373" t="str">
        <f>IFERROR(__xludf.DUMMYFUNCTION("""COMPUTED_VALUE"""),"")</f>
        <v/>
      </c>
      <c r="I373" t="str">
        <f>IFERROR(__xludf.DUMMYFUNCTION("""COMPUTED_VALUE"""),"")</f>
        <v/>
      </c>
      <c r="J373">
        <f>IFERROR(__xludf.DUMMYFUNCTION("""COMPUTED_VALUE"""),0.0)</f>
        <v>0</v>
      </c>
      <c r="L373" s="250" t="str">
        <f>IFERROR(__xludf.DUMMYFUNCTION("""COMPUTED_VALUE"""),"")</f>
        <v/>
      </c>
      <c r="M373" s="250" t="str">
        <f>IFERROR(__xludf.DUMMYFUNCTION("""COMPUTED_VALUE"""),"")</f>
        <v/>
      </c>
      <c r="N373" s="250" t="str">
        <f>IFERROR(__xludf.DUMMYFUNCTION("""COMPUTED_VALUE"""),"")</f>
        <v/>
      </c>
      <c r="O373" s="250" t="str">
        <f>IFERROR(__xludf.DUMMYFUNCTION("""COMPUTED_VALUE"""),"")</f>
        <v/>
      </c>
      <c r="P373" s="250" t="str">
        <f>IFERROR(__xludf.DUMMYFUNCTION("""COMPUTED_VALUE"""),"")</f>
        <v/>
      </c>
      <c r="Q373" s="250" t="str">
        <f>IFERROR(__xludf.DUMMYFUNCTION("""COMPUTED_VALUE"""),"")</f>
        <v/>
      </c>
      <c r="R373" s="250" t="str">
        <f>IFERROR(__xludf.DUMMYFUNCTION("""COMPUTED_VALUE"""),"")</f>
        <v/>
      </c>
      <c r="U373" s="250">
        <f>IFERROR(__xludf.DUMMYFUNCTION("""COMPUTED_VALUE"""),6649.0)</f>
        <v>6649</v>
      </c>
      <c r="V373" s="250">
        <f>IFERROR(__xludf.DUMMYFUNCTION("""COMPUTED_VALUE"""),6329.0)</f>
        <v>6329</v>
      </c>
      <c r="W373" s="250">
        <f>IFERROR(__xludf.DUMMYFUNCTION("""COMPUTED_VALUE"""),5699.0)</f>
        <v>5699</v>
      </c>
      <c r="X373" t="b">
        <f t="shared" ref="X373:Z373" si="722">ISBLANK(K373)</f>
        <v>1</v>
      </c>
      <c r="Y373" t="b">
        <f t="shared" si="722"/>
        <v>0</v>
      </c>
      <c r="Z373" t="b">
        <f t="shared" si="722"/>
        <v>0</v>
      </c>
      <c r="AA373">
        <f t="shared" ref="AA373:AC373" si="723">IF(X373=FALSE,1,0)</f>
        <v>0</v>
      </c>
      <c r="AB373">
        <f t="shared" si="723"/>
        <v>1</v>
      </c>
      <c r="AC373">
        <f t="shared" si="723"/>
        <v>1</v>
      </c>
      <c r="AD373">
        <f t="shared" si="6"/>
        <v>2</v>
      </c>
      <c r="AE373">
        <f t="shared" si="7"/>
        <v>1</v>
      </c>
      <c r="AF373">
        <f>if(iferror(vlookup($A373,'Description Database'!$E$2:$H$951,3,0),0)=TRUE,1,0)</f>
        <v>0</v>
      </c>
      <c r="AG373">
        <f>if(iferror(vlookup($A373,'Description Database'!$E$2:$H$951,4,0),0)=TRUE,1,0)</f>
        <v>0</v>
      </c>
    </row>
    <row r="374">
      <c r="A374" t="str">
        <f>IFERROR(__xludf.DUMMYFUNCTION("""COMPUTED_VALUE"""),"Motorola MOTO G5 PLUS (3 GB/32 GB)")</f>
        <v>Motorola MOTO G5 PLUS (3 GB/32 GB)</v>
      </c>
      <c r="B374" t="str">
        <f>IFERROR(__xludf.DUMMYFUNCTION("""COMPUTED_VALUE"""),"")</f>
        <v/>
      </c>
      <c r="C374" t="str">
        <f>IFERROR(__xludf.DUMMYFUNCTION("""COMPUTED_VALUE"""),"")</f>
        <v/>
      </c>
      <c r="D374" t="str">
        <f>IFERROR(__xludf.DUMMYFUNCTION("""COMPUTED_VALUE"""),"")</f>
        <v/>
      </c>
      <c r="E374" t="str">
        <f>IFERROR(__xludf.DUMMYFUNCTION("""COMPUTED_VALUE"""),"")</f>
        <v/>
      </c>
      <c r="F374" t="str">
        <f>IFERROR(__xludf.DUMMYFUNCTION("""COMPUTED_VALUE"""),"")</f>
        <v/>
      </c>
      <c r="G374" t="str">
        <f>IFERROR(__xludf.DUMMYFUNCTION("""COMPUTED_VALUE"""),"")</f>
        <v/>
      </c>
      <c r="H374">
        <f>IFERROR(__xludf.DUMMYFUNCTION("""COMPUTED_VALUE"""),1.0)</f>
        <v>1</v>
      </c>
      <c r="I374">
        <f>IFERROR(__xludf.DUMMYFUNCTION("""COMPUTED_VALUE"""),16.0)</f>
        <v>16</v>
      </c>
      <c r="J374">
        <f>IFERROR(__xludf.DUMMYFUNCTION("""COMPUTED_VALUE"""),17.0)</f>
        <v>17</v>
      </c>
      <c r="L374" s="250" t="str">
        <f>IFERROR(__xludf.DUMMYFUNCTION("""COMPUTED_VALUE"""),"")</f>
        <v/>
      </c>
      <c r="M374" s="250" t="str">
        <f>IFERROR(__xludf.DUMMYFUNCTION("""COMPUTED_VALUE"""),"")</f>
        <v/>
      </c>
      <c r="N374" s="250" t="str">
        <f>IFERROR(__xludf.DUMMYFUNCTION("""COMPUTED_VALUE"""),"")</f>
        <v/>
      </c>
      <c r="O374" s="250" t="str">
        <f>IFERROR(__xludf.DUMMYFUNCTION("""COMPUTED_VALUE"""),"")</f>
        <v/>
      </c>
      <c r="P374" s="250" t="str">
        <f>IFERROR(__xludf.DUMMYFUNCTION("""COMPUTED_VALUE"""),"")</f>
        <v/>
      </c>
      <c r="Q374" s="250" t="str">
        <f>IFERROR(__xludf.DUMMYFUNCTION("""COMPUTED_VALUE"""),"")</f>
        <v/>
      </c>
      <c r="R374" s="250" t="str">
        <f>IFERROR(__xludf.DUMMYFUNCTION("""COMPUTED_VALUE"""),"#N/A")</f>
        <v>#N/A</v>
      </c>
      <c r="U374" s="250" t="str">
        <f>IFERROR(__xludf.DUMMYFUNCTION("""COMPUTED_VALUE"""),"#N/A")</f>
        <v>#N/A</v>
      </c>
      <c r="V374" s="250" t="str">
        <f>IFERROR(__xludf.DUMMYFUNCTION("""COMPUTED_VALUE"""),"#N/A")</f>
        <v>#N/A</v>
      </c>
      <c r="W374" s="250" t="str">
        <f>IFERROR(__xludf.DUMMYFUNCTION("""COMPUTED_VALUE"""),"#N/A")</f>
        <v>#N/A</v>
      </c>
      <c r="X374" t="b">
        <f t="shared" ref="X374:Z374" si="724">ISBLANK(K374)</f>
        <v>1</v>
      </c>
      <c r="Y374" t="b">
        <f t="shared" si="724"/>
        <v>0</v>
      </c>
      <c r="Z374" t="b">
        <f t="shared" si="724"/>
        <v>0</v>
      </c>
      <c r="AA374">
        <f t="shared" ref="AA374:AC374" si="725">IF(X374=FALSE,1,0)</f>
        <v>0</v>
      </c>
      <c r="AB374">
        <f t="shared" si="725"/>
        <v>1</v>
      </c>
      <c r="AC374">
        <f t="shared" si="725"/>
        <v>1</v>
      </c>
      <c r="AD374">
        <f t="shared" si="6"/>
        <v>2</v>
      </c>
      <c r="AE374">
        <f t="shared" si="7"/>
        <v>1</v>
      </c>
      <c r="AF374">
        <f>if(iferror(vlookup($A374,'Description Database'!$E$2:$H$951,3,0),0)=TRUE,1,0)</f>
        <v>0</v>
      </c>
      <c r="AG374">
        <f>if(iferror(vlookup($A374,'Description Database'!$E$2:$H$951,4,0),0)=TRUE,1,0)</f>
        <v>0</v>
      </c>
    </row>
    <row r="375">
      <c r="A375" t="str">
        <f>IFERROR(__xludf.DUMMYFUNCTION("""COMPUTED_VALUE"""),"GIONEE E7 (3 GB/32 GB)")</f>
        <v>GIONEE E7 (3 GB/32 GB)</v>
      </c>
      <c r="B375" t="str">
        <f>IFERROR(__xludf.DUMMYFUNCTION("""COMPUTED_VALUE"""),"")</f>
        <v/>
      </c>
      <c r="C375" t="str">
        <f>IFERROR(__xludf.DUMMYFUNCTION("""COMPUTED_VALUE"""),"")</f>
        <v/>
      </c>
      <c r="D375" t="str">
        <f>IFERROR(__xludf.DUMMYFUNCTION("""COMPUTED_VALUE"""),"")</f>
        <v/>
      </c>
      <c r="E375" t="str">
        <f>IFERROR(__xludf.DUMMYFUNCTION("""COMPUTED_VALUE"""),"")</f>
        <v/>
      </c>
      <c r="F375" t="str">
        <f>IFERROR(__xludf.DUMMYFUNCTION("""COMPUTED_VALUE"""),"")</f>
        <v/>
      </c>
      <c r="G375" t="str">
        <f>IFERROR(__xludf.DUMMYFUNCTION("""COMPUTED_VALUE"""),"")</f>
        <v/>
      </c>
      <c r="H375" t="str">
        <f>IFERROR(__xludf.DUMMYFUNCTION("""COMPUTED_VALUE"""),"")</f>
        <v/>
      </c>
      <c r="I375" t="str">
        <f>IFERROR(__xludf.DUMMYFUNCTION("""COMPUTED_VALUE"""),"")</f>
        <v/>
      </c>
      <c r="J375">
        <f>IFERROR(__xludf.DUMMYFUNCTION("""COMPUTED_VALUE"""),0.0)</f>
        <v>0</v>
      </c>
      <c r="L375" s="250" t="str">
        <f>IFERROR(__xludf.DUMMYFUNCTION("""COMPUTED_VALUE"""),"")</f>
        <v/>
      </c>
      <c r="M375" s="250" t="str">
        <f>IFERROR(__xludf.DUMMYFUNCTION("""COMPUTED_VALUE"""),"")</f>
        <v/>
      </c>
      <c r="N375" s="250" t="str">
        <f>IFERROR(__xludf.DUMMYFUNCTION("""COMPUTED_VALUE"""),"")</f>
        <v/>
      </c>
      <c r="O375" s="250" t="str">
        <f>IFERROR(__xludf.DUMMYFUNCTION("""COMPUTED_VALUE"""),"")</f>
        <v/>
      </c>
      <c r="P375" s="250" t="str">
        <f>IFERROR(__xludf.DUMMYFUNCTION("""COMPUTED_VALUE"""),"")</f>
        <v/>
      </c>
      <c r="Q375" s="250" t="str">
        <f>IFERROR(__xludf.DUMMYFUNCTION("""COMPUTED_VALUE"""),"")</f>
        <v/>
      </c>
      <c r="R375" s="250" t="str">
        <f>IFERROR(__xludf.DUMMYFUNCTION("""COMPUTED_VALUE"""),"")</f>
        <v/>
      </c>
      <c r="U375" s="250" t="str">
        <f>IFERROR(__xludf.DUMMYFUNCTION("""COMPUTED_VALUE"""),"#N/A")</f>
        <v>#N/A</v>
      </c>
      <c r="V375" s="250" t="str">
        <f>IFERROR(__xludf.DUMMYFUNCTION("""COMPUTED_VALUE"""),"#N/A")</f>
        <v>#N/A</v>
      </c>
      <c r="W375" s="250" t="str">
        <f>IFERROR(__xludf.DUMMYFUNCTION("""COMPUTED_VALUE"""),"#N/A")</f>
        <v>#N/A</v>
      </c>
      <c r="X375" t="b">
        <f t="shared" ref="X375:Z375" si="726">ISBLANK(K375)</f>
        <v>1</v>
      </c>
      <c r="Y375" t="b">
        <f t="shared" si="726"/>
        <v>0</v>
      </c>
      <c r="Z375" t="b">
        <f t="shared" si="726"/>
        <v>0</v>
      </c>
      <c r="AA375">
        <f t="shared" ref="AA375:AC375" si="727">IF(X375=FALSE,1,0)</f>
        <v>0</v>
      </c>
      <c r="AB375">
        <f t="shared" si="727"/>
        <v>1</v>
      </c>
      <c r="AC375">
        <f t="shared" si="727"/>
        <v>1</v>
      </c>
      <c r="AD375">
        <f t="shared" si="6"/>
        <v>2</v>
      </c>
      <c r="AE375">
        <f t="shared" si="7"/>
        <v>1</v>
      </c>
      <c r="AF375">
        <f>if(iferror(vlookup($A375,'Description Database'!$E$2:$H$951,3,0),0)=TRUE,1,0)</f>
        <v>0</v>
      </c>
      <c r="AG375">
        <f>if(iferror(vlookup($A375,'Description Database'!$E$2:$H$951,4,0),0)=TRUE,1,0)</f>
        <v>0</v>
      </c>
    </row>
    <row r="376">
      <c r="A376" t="str">
        <f>IFERROR(__xludf.DUMMYFUNCTION("""COMPUTED_VALUE"""),"Samsung GALAXY J7 (2 GB/16 GB)")</f>
        <v>Samsung GALAXY J7 (2 GB/16 GB)</v>
      </c>
      <c r="B376" t="str">
        <f>IFERROR(__xludf.DUMMYFUNCTION("""COMPUTED_VALUE"""),"")</f>
        <v/>
      </c>
      <c r="C376" t="str">
        <f>IFERROR(__xludf.DUMMYFUNCTION("""COMPUTED_VALUE"""),"")</f>
        <v/>
      </c>
      <c r="D376" t="str">
        <f>IFERROR(__xludf.DUMMYFUNCTION("""COMPUTED_VALUE"""),"")</f>
        <v/>
      </c>
      <c r="E376" t="str">
        <f>IFERROR(__xludf.DUMMYFUNCTION("""COMPUTED_VALUE"""),"")</f>
        <v/>
      </c>
      <c r="F376" t="str">
        <f>IFERROR(__xludf.DUMMYFUNCTION("""COMPUTED_VALUE"""),"")</f>
        <v/>
      </c>
      <c r="G376" t="str">
        <f>IFERROR(__xludf.DUMMYFUNCTION("""COMPUTED_VALUE"""),"")</f>
        <v/>
      </c>
      <c r="H376" t="str">
        <f>IFERROR(__xludf.DUMMYFUNCTION("""COMPUTED_VALUE"""),"")</f>
        <v/>
      </c>
      <c r="I376">
        <f>IFERROR(__xludf.DUMMYFUNCTION("""COMPUTED_VALUE"""),2.0)</f>
        <v>2</v>
      </c>
      <c r="J376">
        <f>IFERROR(__xludf.DUMMYFUNCTION("""COMPUTED_VALUE"""),2.0)</f>
        <v>2</v>
      </c>
      <c r="L376" s="250" t="str">
        <f>IFERROR(__xludf.DUMMYFUNCTION("""COMPUTED_VALUE"""),"")</f>
        <v/>
      </c>
      <c r="M376" s="250" t="str">
        <f>IFERROR(__xludf.DUMMYFUNCTION("""COMPUTED_VALUE"""),"")</f>
        <v/>
      </c>
      <c r="N376" s="250" t="str">
        <f>IFERROR(__xludf.DUMMYFUNCTION("""COMPUTED_VALUE"""),"")</f>
        <v/>
      </c>
      <c r="O376" s="250" t="str">
        <f>IFERROR(__xludf.DUMMYFUNCTION("""COMPUTED_VALUE"""),"")</f>
        <v/>
      </c>
      <c r="P376" s="250" t="str">
        <f>IFERROR(__xludf.DUMMYFUNCTION("""COMPUTED_VALUE"""),"")</f>
        <v/>
      </c>
      <c r="Q376" s="250" t="str">
        <f>IFERROR(__xludf.DUMMYFUNCTION("""COMPUTED_VALUE"""),"")</f>
        <v/>
      </c>
      <c r="R376" s="250" t="str">
        <f>IFERROR(__xludf.DUMMYFUNCTION("""COMPUTED_VALUE"""),"")</f>
        <v/>
      </c>
      <c r="U376" s="250" t="str">
        <f>IFERROR(__xludf.DUMMYFUNCTION("""COMPUTED_VALUE"""),"#N/A")</f>
        <v>#N/A</v>
      </c>
      <c r="V376" s="250" t="str">
        <f>IFERROR(__xludf.DUMMYFUNCTION("""COMPUTED_VALUE"""),"#N/A")</f>
        <v>#N/A</v>
      </c>
      <c r="W376" s="250" t="str">
        <f>IFERROR(__xludf.DUMMYFUNCTION("""COMPUTED_VALUE"""),"#N/A")</f>
        <v>#N/A</v>
      </c>
      <c r="X376" t="b">
        <f t="shared" ref="X376:Z376" si="728">ISBLANK(K376)</f>
        <v>1</v>
      </c>
      <c r="Y376" t="b">
        <f t="shared" si="728"/>
        <v>0</v>
      </c>
      <c r="Z376" t="b">
        <f t="shared" si="728"/>
        <v>0</v>
      </c>
      <c r="AA376">
        <f t="shared" ref="AA376:AC376" si="729">IF(X376=FALSE,1,0)</f>
        <v>0</v>
      </c>
      <c r="AB376">
        <f t="shared" si="729"/>
        <v>1</v>
      </c>
      <c r="AC376">
        <f t="shared" si="729"/>
        <v>1</v>
      </c>
      <c r="AD376">
        <f t="shared" si="6"/>
        <v>2</v>
      </c>
      <c r="AE376">
        <f t="shared" si="7"/>
        <v>1</v>
      </c>
      <c r="AF376">
        <f>if(iferror(vlookup($A376,'Description Database'!$E$2:$H$951,3,0),0)=TRUE,1,0)</f>
        <v>0</v>
      </c>
      <c r="AG376">
        <f>if(iferror(vlookup($A376,'Description Database'!$E$2:$H$951,4,0),0)=TRUE,1,0)</f>
        <v>0</v>
      </c>
    </row>
    <row r="377">
      <c r="A377" t="str">
        <f>IFERROR(__xludf.DUMMYFUNCTION("""COMPUTED_VALUE"""),"ASUS ZENFONE 2 (4 GB/32 GB)")</f>
        <v>ASUS ZENFONE 2 (4 GB/32 GB)</v>
      </c>
      <c r="B377" t="str">
        <f>IFERROR(__xludf.DUMMYFUNCTION("""COMPUTED_VALUE"""),"")</f>
        <v/>
      </c>
      <c r="C377" t="str">
        <f>IFERROR(__xludf.DUMMYFUNCTION("""COMPUTED_VALUE"""),"")</f>
        <v/>
      </c>
      <c r="D377" t="str">
        <f>IFERROR(__xludf.DUMMYFUNCTION("""COMPUTED_VALUE"""),"")</f>
        <v/>
      </c>
      <c r="E377" t="str">
        <f>IFERROR(__xludf.DUMMYFUNCTION("""COMPUTED_VALUE"""),"")</f>
        <v/>
      </c>
      <c r="F377" t="str">
        <f>IFERROR(__xludf.DUMMYFUNCTION("""COMPUTED_VALUE"""),"")</f>
        <v/>
      </c>
      <c r="G377" t="str">
        <f>IFERROR(__xludf.DUMMYFUNCTION("""COMPUTED_VALUE"""),"")</f>
        <v/>
      </c>
      <c r="H377" t="str">
        <f>IFERROR(__xludf.DUMMYFUNCTION("""COMPUTED_VALUE"""),"")</f>
        <v/>
      </c>
      <c r="I377">
        <f>IFERROR(__xludf.DUMMYFUNCTION("""COMPUTED_VALUE"""),1.0)</f>
        <v>1</v>
      </c>
      <c r="J377">
        <f>IFERROR(__xludf.DUMMYFUNCTION("""COMPUTED_VALUE"""),1.0)</f>
        <v>1</v>
      </c>
      <c r="L377" s="250" t="str">
        <f>IFERROR(__xludf.DUMMYFUNCTION("""COMPUTED_VALUE"""),"")</f>
        <v/>
      </c>
      <c r="M377" s="250" t="str">
        <f>IFERROR(__xludf.DUMMYFUNCTION("""COMPUTED_VALUE"""),"")</f>
        <v/>
      </c>
      <c r="N377" s="250" t="str">
        <f>IFERROR(__xludf.DUMMYFUNCTION("""COMPUTED_VALUE"""),"")</f>
        <v/>
      </c>
      <c r="O377" s="250" t="str">
        <f>IFERROR(__xludf.DUMMYFUNCTION("""COMPUTED_VALUE"""),"")</f>
        <v/>
      </c>
      <c r="P377" s="250" t="str">
        <f>IFERROR(__xludf.DUMMYFUNCTION("""COMPUTED_VALUE"""),"")</f>
        <v/>
      </c>
      <c r="Q377" s="250" t="str">
        <f>IFERROR(__xludf.DUMMYFUNCTION("""COMPUTED_VALUE"""),"")</f>
        <v/>
      </c>
      <c r="R377" s="250" t="str">
        <f>IFERROR(__xludf.DUMMYFUNCTION("""COMPUTED_VALUE"""),"")</f>
        <v/>
      </c>
      <c r="U377" s="250" t="str">
        <f>IFERROR(__xludf.DUMMYFUNCTION("""COMPUTED_VALUE"""),"#N/A")</f>
        <v>#N/A</v>
      </c>
      <c r="V377" s="250" t="str">
        <f>IFERROR(__xludf.DUMMYFUNCTION("""COMPUTED_VALUE"""),"#N/A")</f>
        <v>#N/A</v>
      </c>
      <c r="W377" s="250" t="str">
        <f>IFERROR(__xludf.DUMMYFUNCTION("""COMPUTED_VALUE"""),"#N/A")</f>
        <v>#N/A</v>
      </c>
      <c r="X377" t="b">
        <f t="shared" ref="X377:Z377" si="730">ISBLANK(K377)</f>
        <v>1</v>
      </c>
      <c r="Y377" t="b">
        <f t="shared" si="730"/>
        <v>0</v>
      </c>
      <c r="Z377" t="b">
        <f t="shared" si="730"/>
        <v>0</v>
      </c>
      <c r="AA377">
        <f t="shared" ref="AA377:AC377" si="731">IF(X377=FALSE,1,0)</f>
        <v>0</v>
      </c>
      <c r="AB377">
        <f t="shared" si="731"/>
        <v>1</v>
      </c>
      <c r="AC377">
        <f t="shared" si="731"/>
        <v>1</v>
      </c>
      <c r="AD377">
        <f t="shared" si="6"/>
        <v>2</v>
      </c>
      <c r="AE377">
        <f t="shared" si="7"/>
        <v>1</v>
      </c>
      <c r="AF377">
        <f>if(iferror(vlookup($A377,'Description Database'!$E$2:$H$951,3,0),0)=TRUE,1,0)</f>
        <v>0</v>
      </c>
      <c r="AG377">
        <f>if(iferror(vlookup($A377,'Description Database'!$E$2:$H$951,4,0),0)=TRUE,1,0)</f>
        <v>0</v>
      </c>
    </row>
    <row r="378">
      <c r="A378" t="str">
        <f>IFERROR(__xludf.DUMMYFUNCTION("""COMPUTED_VALUE"""),"Samsung GALAXY S6 (3 GB/32 GB)")</f>
        <v>Samsung GALAXY S6 (3 GB/32 GB)</v>
      </c>
      <c r="B378" t="str">
        <f>IFERROR(__xludf.DUMMYFUNCTION("""COMPUTED_VALUE"""),"")</f>
        <v/>
      </c>
      <c r="C378" t="str">
        <f>IFERROR(__xludf.DUMMYFUNCTION("""COMPUTED_VALUE"""),"")</f>
        <v/>
      </c>
      <c r="D378" t="str">
        <f>IFERROR(__xludf.DUMMYFUNCTION("""COMPUTED_VALUE"""),"")</f>
        <v/>
      </c>
      <c r="E378" t="str">
        <f>IFERROR(__xludf.DUMMYFUNCTION("""COMPUTED_VALUE"""),"")</f>
        <v/>
      </c>
      <c r="F378" t="str">
        <f>IFERROR(__xludf.DUMMYFUNCTION("""COMPUTED_VALUE"""),"")</f>
        <v/>
      </c>
      <c r="G378">
        <f>IFERROR(__xludf.DUMMYFUNCTION("""COMPUTED_VALUE"""),2.0)</f>
        <v>2</v>
      </c>
      <c r="H378">
        <f>IFERROR(__xludf.DUMMYFUNCTION("""COMPUTED_VALUE"""),1.0)</f>
        <v>1</v>
      </c>
      <c r="I378">
        <f>IFERROR(__xludf.DUMMYFUNCTION("""COMPUTED_VALUE"""),9.0)</f>
        <v>9</v>
      </c>
      <c r="J378">
        <f>IFERROR(__xludf.DUMMYFUNCTION("""COMPUTED_VALUE"""),12.0)</f>
        <v>12</v>
      </c>
      <c r="L378" s="250" t="str">
        <f>IFERROR(__xludf.DUMMYFUNCTION("""COMPUTED_VALUE"""),"")</f>
        <v/>
      </c>
      <c r="M378" s="250" t="str">
        <f>IFERROR(__xludf.DUMMYFUNCTION("""COMPUTED_VALUE"""),"")</f>
        <v/>
      </c>
      <c r="N378" s="250" t="str">
        <f>IFERROR(__xludf.DUMMYFUNCTION("""COMPUTED_VALUE"""),"")</f>
        <v/>
      </c>
      <c r="O378" s="250" t="str">
        <f>IFERROR(__xludf.DUMMYFUNCTION("""COMPUTED_VALUE"""),"")</f>
        <v/>
      </c>
      <c r="P378" s="250" t="str">
        <f>IFERROR(__xludf.DUMMYFUNCTION("""COMPUTED_VALUE"""),"")</f>
        <v/>
      </c>
      <c r="Q378" s="250">
        <f>IFERROR(__xludf.DUMMYFUNCTION("""COMPUTED_VALUE"""),2179.0)</f>
        <v>2179</v>
      </c>
      <c r="R378" s="250">
        <f>IFERROR(__xludf.DUMMYFUNCTION("""COMPUTED_VALUE"""),1459.0)</f>
        <v>1459</v>
      </c>
      <c r="U378" s="250">
        <f>IFERROR(__xludf.DUMMYFUNCTION("""COMPUTED_VALUE"""),4629.0)</f>
        <v>4629</v>
      </c>
      <c r="V378" s="250">
        <f>IFERROR(__xludf.DUMMYFUNCTION("""COMPUTED_VALUE"""),4409.0)</f>
        <v>4409</v>
      </c>
      <c r="W378" s="250">
        <f>IFERROR(__xludf.DUMMYFUNCTION("""COMPUTED_VALUE"""),3969.0)</f>
        <v>3969</v>
      </c>
      <c r="X378" t="b">
        <f t="shared" ref="X378:Z378" si="732">ISBLANK(K378)</f>
        <v>1</v>
      </c>
      <c r="Y378" t="b">
        <f t="shared" si="732"/>
        <v>0</v>
      </c>
      <c r="Z378" t="b">
        <f t="shared" si="732"/>
        <v>0</v>
      </c>
      <c r="AA378">
        <f t="shared" ref="AA378:AC378" si="733">IF(X378=FALSE,1,0)</f>
        <v>0</v>
      </c>
      <c r="AB378">
        <f t="shared" si="733"/>
        <v>1</v>
      </c>
      <c r="AC378">
        <f t="shared" si="733"/>
        <v>1</v>
      </c>
      <c r="AD378">
        <f t="shared" si="6"/>
        <v>2</v>
      </c>
      <c r="AE378">
        <f t="shared" si="7"/>
        <v>1</v>
      </c>
      <c r="AF378">
        <f>if(iferror(vlookup($A378,'Description Database'!$E$2:$H$951,3,0),0)=TRUE,1,0)</f>
        <v>0</v>
      </c>
      <c r="AG378">
        <f>if(iferror(vlookup($A378,'Description Database'!$E$2:$H$951,4,0),0)=TRUE,1,0)</f>
        <v>0</v>
      </c>
    </row>
    <row r="379">
      <c r="A379" t="str">
        <f>IFERROR(__xludf.DUMMYFUNCTION("""COMPUTED_VALUE"""),"Xiaomi Redmi 7 (2 GB/32 GB)")</f>
        <v>Xiaomi Redmi 7 (2 GB/32 GB)</v>
      </c>
      <c r="B379" t="str">
        <f>IFERROR(__xludf.DUMMYFUNCTION("""COMPUTED_VALUE"""),"")</f>
        <v/>
      </c>
      <c r="C379" t="str">
        <f>IFERROR(__xludf.DUMMYFUNCTION("""COMPUTED_VALUE"""),"")</f>
        <v/>
      </c>
      <c r="D379" t="str">
        <f>IFERROR(__xludf.DUMMYFUNCTION("""COMPUTED_VALUE"""),"")</f>
        <v/>
      </c>
      <c r="E379" t="str">
        <f>IFERROR(__xludf.DUMMYFUNCTION("""COMPUTED_VALUE"""),"")</f>
        <v/>
      </c>
      <c r="F379" t="str">
        <f>IFERROR(__xludf.DUMMYFUNCTION("""COMPUTED_VALUE"""),"")</f>
        <v/>
      </c>
      <c r="G379">
        <f>IFERROR(__xludf.DUMMYFUNCTION("""COMPUTED_VALUE"""),1.0)</f>
        <v>1</v>
      </c>
      <c r="H379" t="str">
        <f>IFERROR(__xludf.DUMMYFUNCTION("""COMPUTED_VALUE"""),"")</f>
        <v/>
      </c>
      <c r="I379">
        <f>IFERROR(__xludf.DUMMYFUNCTION("""COMPUTED_VALUE"""),5.0)</f>
        <v>5</v>
      </c>
      <c r="J379">
        <f>IFERROR(__xludf.DUMMYFUNCTION("""COMPUTED_VALUE"""),6.0)</f>
        <v>6</v>
      </c>
      <c r="L379" s="250" t="str">
        <f>IFERROR(__xludf.DUMMYFUNCTION("""COMPUTED_VALUE"""),"")</f>
        <v/>
      </c>
      <c r="M379" s="250" t="str">
        <f>IFERROR(__xludf.DUMMYFUNCTION("""COMPUTED_VALUE"""),"")</f>
        <v/>
      </c>
      <c r="N379" s="250" t="str">
        <f>IFERROR(__xludf.DUMMYFUNCTION("""COMPUTED_VALUE"""),"")</f>
        <v/>
      </c>
      <c r="O379" s="250" t="str">
        <f>IFERROR(__xludf.DUMMYFUNCTION("""COMPUTED_VALUE"""),"")</f>
        <v/>
      </c>
      <c r="P379" s="250" t="str">
        <f>IFERROR(__xludf.DUMMYFUNCTION("""COMPUTED_VALUE"""),"")</f>
        <v/>
      </c>
      <c r="Q379" s="250">
        <f>IFERROR(__xludf.DUMMYFUNCTION("""COMPUTED_VALUE"""),3159.0)</f>
        <v>3159</v>
      </c>
      <c r="R379" s="250" t="str">
        <f>IFERROR(__xludf.DUMMYFUNCTION("""COMPUTED_VALUE"""),"")</f>
        <v/>
      </c>
      <c r="U379" s="250">
        <f>IFERROR(__xludf.DUMMYFUNCTION("""COMPUTED_VALUE"""),6349.0)</f>
        <v>6349</v>
      </c>
      <c r="V379" s="250">
        <f>IFERROR(__xludf.DUMMYFUNCTION("""COMPUTED_VALUE"""),6039.0)</f>
        <v>6039</v>
      </c>
      <c r="W379" s="250">
        <f>IFERROR(__xludf.DUMMYFUNCTION("""COMPUTED_VALUE"""),5439.0)</f>
        <v>5439</v>
      </c>
      <c r="X379" t="b">
        <f t="shared" ref="X379:Z379" si="734">ISBLANK(K379)</f>
        <v>1</v>
      </c>
      <c r="Y379" t="b">
        <f t="shared" si="734"/>
        <v>0</v>
      </c>
      <c r="Z379" t="b">
        <f t="shared" si="734"/>
        <v>0</v>
      </c>
      <c r="AA379">
        <f t="shared" ref="AA379:AC379" si="735">IF(X379=FALSE,1,0)</f>
        <v>0</v>
      </c>
      <c r="AB379">
        <f t="shared" si="735"/>
        <v>1</v>
      </c>
      <c r="AC379">
        <f t="shared" si="735"/>
        <v>1</v>
      </c>
      <c r="AD379">
        <f t="shared" si="6"/>
        <v>2</v>
      </c>
      <c r="AE379">
        <f t="shared" si="7"/>
        <v>1</v>
      </c>
      <c r="AF379">
        <f>if(iferror(vlookup($A379,'Description Database'!$E$2:$H$951,3,0),0)=TRUE,1,0)</f>
        <v>0</v>
      </c>
      <c r="AG379">
        <f>if(iferror(vlookup($A379,'Description Database'!$E$2:$H$951,4,0),0)=TRUE,1,0)</f>
        <v>1</v>
      </c>
    </row>
    <row r="380">
      <c r="A380" t="str">
        <f>IFERROR(__xludf.DUMMYFUNCTION("""COMPUTED_VALUE"""),"Realme XT (4 GB/64 GB)")</f>
        <v>Realme XT (4 GB/64 GB)</v>
      </c>
      <c r="B380" t="str">
        <f>IFERROR(__xludf.DUMMYFUNCTION("""COMPUTED_VALUE"""),"")</f>
        <v/>
      </c>
      <c r="C380" t="str">
        <f>IFERROR(__xludf.DUMMYFUNCTION("""COMPUTED_VALUE"""),"")</f>
        <v/>
      </c>
      <c r="D380" t="str">
        <f>IFERROR(__xludf.DUMMYFUNCTION("""COMPUTED_VALUE"""),"")</f>
        <v/>
      </c>
      <c r="E380" t="str">
        <f>IFERROR(__xludf.DUMMYFUNCTION("""COMPUTED_VALUE"""),"")</f>
        <v/>
      </c>
      <c r="F380" t="str">
        <f>IFERROR(__xludf.DUMMYFUNCTION("""COMPUTED_VALUE"""),"")</f>
        <v/>
      </c>
      <c r="G380" t="str">
        <f>IFERROR(__xludf.DUMMYFUNCTION("""COMPUTED_VALUE"""),"")</f>
        <v/>
      </c>
      <c r="H380" t="str">
        <f>IFERROR(__xludf.DUMMYFUNCTION("""COMPUTED_VALUE"""),"")</f>
        <v/>
      </c>
      <c r="I380" t="str">
        <f>IFERROR(__xludf.DUMMYFUNCTION("""COMPUTED_VALUE"""),"")</f>
        <v/>
      </c>
      <c r="J380">
        <f>IFERROR(__xludf.DUMMYFUNCTION("""COMPUTED_VALUE"""),0.0)</f>
        <v>0</v>
      </c>
      <c r="L380" s="250" t="str">
        <f>IFERROR(__xludf.DUMMYFUNCTION("""COMPUTED_VALUE"""),"")</f>
        <v/>
      </c>
      <c r="M380" s="250" t="str">
        <f>IFERROR(__xludf.DUMMYFUNCTION("""COMPUTED_VALUE"""),"")</f>
        <v/>
      </c>
      <c r="N380" s="250" t="str">
        <f>IFERROR(__xludf.DUMMYFUNCTION("""COMPUTED_VALUE"""),"")</f>
        <v/>
      </c>
      <c r="O380" s="250" t="str">
        <f>IFERROR(__xludf.DUMMYFUNCTION("""COMPUTED_VALUE"""),"")</f>
        <v/>
      </c>
      <c r="P380" s="250" t="str">
        <f>IFERROR(__xludf.DUMMYFUNCTION("""COMPUTED_VALUE"""),"")</f>
        <v/>
      </c>
      <c r="Q380" s="250" t="str">
        <f>IFERROR(__xludf.DUMMYFUNCTION("""COMPUTED_VALUE"""),"")</f>
        <v/>
      </c>
      <c r="R380" s="250" t="str">
        <f>IFERROR(__xludf.DUMMYFUNCTION("""COMPUTED_VALUE"""),"")</f>
        <v/>
      </c>
      <c r="U380" s="250">
        <f>IFERROR(__xludf.DUMMYFUNCTION("""COMPUTED_VALUE"""),11249.0)</f>
        <v>11249</v>
      </c>
      <c r="V380" s="250">
        <f>IFERROR(__xludf.DUMMYFUNCTION("""COMPUTED_VALUE"""),10709.0)</f>
        <v>10709</v>
      </c>
      <c r="W380" s="250">
        <f>IFERROR(__xludf.DUMMYFUNCTION("""COMPUTED_VALUE"""),9639.0)</f>
        <v>9639</v>
      </c>
      <c r="X380" t="b">
        <f t="shared" ref="X380:Z380" si="736">ISBLANK(K380)</f>
        <v>1</v>
      </c>
      <c r="Y380" t="b">
        <f t="shared" si="736"/>
        <v>0</v>
      </c>
      <c r="Z380" t="b">
        <f t="shared" si="736"/>
        <v>0</v>
      </c>
      <c r="AA380">
        <f t="shared" ref="AA380:AC380" si="737">IF(X380=FALSE,1,0)</f>
        <v>0</v>
      </c>
      <c r="AB380">
        <f t="shared" si="737"/>
        <v>1</v>
      </c>
      <c r="AC380">
        <f t="shared" si="737"/>
        <v>1</v>
      </c>
      <c r="AD380">
        <f t="shared" si="6"/>
        <v>2</v>
      </c>
      <c r="AE380">
        <f t="shared" si="7"/>
        <v>1</v>
      </c>
      <c r="AF380">
        <f>if(iferror(vlookup($A380,'Description Database'!$E$2:$H$951,3,0),0)=TRUE,1,0)</f>
        <v>0</v>
      </c>
      <c r="AG380">
        <f>if(iferror(vlookup($A380,'Description Database'!$E$2:$H$951,4,0),0)=TRUE,1,0)</f>
        <v>0</v>
      </c>
    </row>
    <row r="381">
      <c r="A381" t="str">
        <f>IFERROR(__xludf.DUMMYFUNCTION("""COMPUTED_VALUE"""),"Realme XT( 6 GB/64G B)")</f>
        <v>Realme XT( 6 GB/64G B)</v>
      </c>
      <c r="B381" t="str">
        <f>IFERROR(__xludf.DUMMYFUNCTION("""COMPUTED_VALUE"""),"")</f>
        <v/>
      </c>
      <c r="C381" t="str">
        <f>IFERROR(__xludf.DUMMYFUNCTION("""COMPUTED_VALUE"""),"")</f>
        <v/>
      </c>
      <c r="D381" t="str">
        <f>IFERROR(__xludf.DUMMYFUNCTION("""COMPUTED_VALUE"""),"")</f>
        <v/>
      </c>
      <c r="E381" t="str">
        <f>IFERROR(__xludf.DUMMYFUNCTION("""COMPUTED_VALUE"""),"")</f>
        <v/>
      </c>
      <c r="F381" t="str">
        <f>IFERROR(__xludf.DUMMYFUNCTION("""COMPUTED_VALUE"""),"")</f>
        <v/>
      </c>
      <c r="G381" t="str">
        <f>IFERROR(__xludf.DUMMYFUNCTION("""COMPUTED_VALUE"""),"")</f>
        <v/>
      </c>
      <c r="H381" t="str">
        <f>IFERROR(__xludf.DUMMYFUNCTION("""COMPUTED_VALUE"""),"")</f>
        <v/>
      </c>
      <c r="I381" t="str">
        <f>IFERROR(__xludf.DUMMYFUNCTION("""COMPUTED_VALUE"""),"")</f>
        <v/>
      </c>
      <c r="J381">
        <f>IFERROR(__xludf.DUMMYFUNCTION("""COMPUTED_VALUE"""),0.0)</f>
        <v>0</v>
      </c>
      <c r="L381" s="250" t="str">
        <f>IFERROR(__xludf.DUMMYFUNCTION("""COMPUTED_VALUE"""),"")</f>
        <v/>
      </c>
      <c r="M381" s="250" t="str">
        <f>IFERROR(__xludf.DUMMYFUNCTION("""COMPUTED_VALUE"""),"")</f>
        <v/>
      </c>
      <c r="N381" s="250" t="str">
        <f>IFERROR(__xludf.DUMMYFUNCTION("""COMPUTED_VALUE"""),"")</f>
        <v/>
      </c>
      <c r="O381" s="250" t="str">
        <f>IFERROR(__xludf.DUMMYFUNCTION("""COMPUTED_VALUE"""),"")</f>
        <v/>
      </c>
      <c r="P381" s="250" t="str">
        <f>IFERROR(__xludf.DUMMYFUNCTION("""COMPUTED_VALUE"""),"")</f>
        <v/>
      </c>
      <c r="Q381" s="250" t="str">
        <f>IFERROR(__xludf.DUMMYFUNCTION("""COMPUTED_VALUE"""),"")</f>
        <v/>
      </c>
      <c r="R381" s="250" t="str">
        <f>IFERROR(__xludf.DUMMYFUNCTION("""COMPUTED_VALUE"""),"")</f>
        <v/>
      </c>
      <c r="U381" s="250" t="str">
        <f>IFERROR(__xludf.DUMMYFUNCTION("""COMPUTED_VALUE"""),"#N/A")</f>
        <v>#N/A</v>
      </c>
      <c r="V381" s="250" t="str">
        <f>IFERROR(__xludf.DUMMYFUNCTION("""COMPUTED_VALUE"""),"#N/A")</f>
        <v>#N/A</v>
      </c>
      <c r="W381" s="250" t="str">
        <f>IFERROR(__xludf.DUMMYFUNCTION("""COMPUTED_VALUE"""),"#N/A")</f>
        <v>#N/A</v>
      </c>
      <c r="X381" t="b">
        <f t="shared" ref="X381:Z381" si="738">ISBLANK(K381)</f>
        <v>1</v>
      </c>
      <c r="Y381" t="b">
        <f t="shared" si="738"/>
        <v>0</v>
      </c>
      <c r="Z381" t="b">
        <f t="shared" si="738"/>
        <v>0</v>
      </c>
      <c r="AA381">
        <f t="shared" ref="AA381:AC381" si="739">IF(X381=FALSE,1,0)</f>
        <v>0</v>
      </c>
      <c r="AB381">
        <f t="shared" si="739"/>
        <v>1</v>
      </c>
      <c r="AC381">
        <f t="shared" si="739"/>
        <v>1</v>
      </c>
      <c r="AD381">
        <f t="shared" si="6"/>
        <v>2</v>
      </c>
      <c r="AE381">
        <f t="shared" si="7"/>
        <v>1</v>
      </c>
      <c r="AF381">
        <f>if(iferror(vlookup($A381,'Description Database'!$E$2:$H$951,3,0),0)=TRUE,1,0)</f>
        <v>0</v>
      </c>
      <c r="AG381">
        <f>if(iferror(vlookup($A381,'Description Database'!$E$2:$H$951,4,0),0)=TRUE,1,0)</f>
        <v>0</v>
      </c>
    </row>
    <row r="382">
      <c r="A382" t="str">
        <f>IFERROR(__xludf.DUMMYFUNCTION("""COMPUTED_VALUE"""),"Xiaomi A3 (6 GB/128 GB)")</f>
        <v>Xiaomi A3 (6 GB/128 GB)</v>
      </c>
      <c r="B382" t="str">
        <f>IFERROR(__xludf.DUMMYFUNCTION("""COMPUTED_VALUE"""),"")</f>
        <v/>
      </c>
      <c r="C382" t="str">
        <f>IFERROR(__xludf.DUMMYFUNCTION("""COMPUTED_VALUE"""),"")</f>
        <v/>
      </c>
      <c r="D382" t="str">
        <f>IFERROR(__xludf.DUMMYFUNCTION("""COMPUTED_VALUE"""),"")</f>
        <v/>
      </c>
      <c r="E382" t="str">
        <f>IFERROR(__xludf.DUMMYFUNCTION("""COMPUTED_VALUE"""),"")</f>
        <v/>
      </c>
      <c r="F382" t="str">
        <f>IFERROR(__xludf.DUMMYFUNCTION("""COMPUTED_VALUE"""),"")</f>
        <v/>
      </c>
      <c r="G382" t="str">
        <f>IFERROR(__xludf.DUMMYFUNCTION("""COMPUTED_VALUE"""),"")</f>
        <v/>
      </c>
      <c r="H382" t="str">
        <f>IFERROR(__xludf.DUMMYFUNCTION("""COMPUTED_VALUE"""),"")</f>
        <v/>
      </c>
      <c r="I382" t="str">
        <f>IFERROR(__xludf.DUMMYFUNCTION("""COMPUTED_VALUE"""),"")</f>
        <v/>
      </c>
      <c r="J382">
        <f>IFERROR(__xludf.DUMMYFUNCTION("""COMPUTED_VALUE"""),0.0)</f>
        <v>0</v>
      </c>
      <c r="L382" s="250" t="str">
        <f>IFERROR(__xludf.DUMMYFUNCTION("""COMPUTED_VALUE"""),"")</f>
        <v/>
      </c>
      <c r="M382" s="250" t="str">
        <f>IFERROR(__xludf.DUMMYFUNCTION("""COMPUTED_VALUE"""),"")</f>
        <v/>
      </c>
      <c r="N382" s="250" t="str">
        <f>IFERROR(__xludf.DUMMYFUNCTION("""COMPUTED_VALUE"""),"")</f>
        <v/>
      </c>
      <c r="O382" s="250" t="str">
        <f>IFERROR(__xludf.DUMMYFUNCTION("""COMPUTED_VALUE"""),"")</f>
        <v/>
      </c>
      <c r="P382" s="250" t="str">
        <f>IFERROR(__xludf.DUMMYFUNCTION("""COMPUTED_VALUE"""),"")</f>
        <v/>
      </c>
      <c r="Q382" s="250" t="str">
        <f>IFERROR(__xludf.DUMMYFUNCTION("""COMPUTED_VALUE"""),"")</f>
        <v/>
      </c>
      <c r="R382" s="250" t="str">
        <f>IFERROR(__xludf.DUMMYFUNCTION("""COMPUTED_VALUE"""),"")</f>
        <v/>
      </c>
      <c r="U382" s="250" t="str">
        <f>IFERROR(__xludf.DUMMYFUNCTION("""COMPUTED_VALUE"""),"#N/A")</f>
        <v>#N/A</v>
      </c>
      <c r="V382" s="250" t="str">
        <f>IFERROR(__xludf.DUMMYFUNCTION("""COMPUTED_VALUE"""),"#N/A")</f>
        <v>#N/A</v>
      </c>
      <c r="W382" s="250" t="str">
        <f>IFERROR(__xludf.DUMMYFUNCTION("""COMPUTED_VALUE"""),"#N/A")</f>
        <v>#N/A</v>
      </c>
      <c r="X382" t="b">
        <f t="shared" ref="X382:Z382" si="740">ISBLANK(K382)</f>
        <v>1</v>
      </c>
      <c r="Y382" t="b">
        <f t="shared" si="740"/>
        <v>0</v>
      </c>
      <c r="Z382" t="b">
        <f t="shared" si="740"/>
        <v>0</v>
      </c>
      <c r="AA382">
        <f t="shared" ref="AA382:AC382" si="741">IF(X382=FALSE,1,0)</f>
        <v>0</v>
      </c>
      <c r="AB382">
        <f t="shared" si="741"/>
        <v>1</v>
      </c>
      <c r="AC382">
        <f t="shared" si="741"/>
        <v>1</v>
      </c>
      <c r="AD382">
        <f t="shared" si="6"/>
        <v>2</v>
      </c>
      <c r="AE382">
        <f t="shared" si="7"/>
        <v>1</v>
      </c>
      <c r="AF382">
        <f>if(iferror(vlookup($A382,'Description Database'!$E$2:$H$951,3,0),0)=TRUE,1,0)</f>
        <v>0</v>
      </c>
      <c r="AG382">
        <f>if(iferror(vlookup($A382,'Description Database'!$E$2:$H$951,4,0),0)=TRUE,1,0)</f>
        <v>0</v>
      </c>
    </row>
    <row r="383">
      <c r="A383" t="str">
        <f>IFERROR(__xludf.DUMMYFUNCTION("""COMPUTED_VALUE"""),"Xiaomi REDMI NOTE 4 (3 GB/64 GB)")</f>
        <v>Xiaomi REDMI NOTE 4 (3 GB/64 GB)</v>
      </c>
      <c r="B383" t="str">
        <f>IFERROR(__xludf.DUMMYFUNCTION("""COMPUTED_VALUE"""),"")</f>
        <v/>
      </c>
      <c r="C383" t="str">
        <f>IFERROR(__xludf.DUMMYFUNCTION("""COMPUTED_VALUE"""),"")</f>
        <v/>
      </c>
      <c r="D383" t="str">
        <f>IFERROR(__xludf.DUMMYFUNCTION("""COMPUTED_VALUE"""),"")</f>
        <v/>
      </c>
      <c r="E383" t="str">
        <f>IFERROR(__xludf.DUMMYFUNCTION("""COMPUTED_VALUE"""),"")</f>
        <v/>
      </c>
      <c r="F383" t="str">
        <f>IFERROR(__xludf.DUMMYFUNCTION("""COMPUTED_VALUE"""),"")</f>
        <v/>
      </c>
      <c r="G383" t="str">
        <f>IFERROR(__xludf.DUMMYFUNCTION("""COMPUTED_VALUE"""),"")</f>
        <v/>
      </c>
      <c r="H383" t="str">
        <f>IFERROR(__xludf.DUMMYFUNCTION("""COMPUTED_VALUE"""),"")</f>
        <v/>
      </c>
      <c r="I383" t="str">
        <f>IFERROR(__xludf.DUMMYFUNCTION("""COMPUTED_VALUE"""),"")</f>
        <v/>
      </c>
      <c r="J383">
        <f>IFERROR(__xludf.DUMMYFUNCTION("""COMPUTED_VALUE"""),0.0)</f>
        <v>0</v>
      </c>
      <c r="L383" s="250" t="str">
        <f>IFERROR(__xludf.DUMMYFUNCTION("""COMPUTED_VALUE"""),"")</f>
        <v/>
      </c>
      <c r="M383" s="250" t="str">
        <f>IFERROR(__xludf.DUMMYFUNCTION("""COMPUTED_VALUE"""),"")</f>
        <v/>
      </c>
      <c r="N383" s="250" t="str">
        <f>IFERROR(__xludf.DUMMYFUNCTION("""COMPUTED_VALUE"""),"")</f>
        <v/>
      </c>
      <c r="O383" s="250" t="str">
        <f>IFERROR(__xludf.DUMMYFUNCTION("""COMPUTED_VALUE"""),"")</f>
        <v/>
      </c>
      <c r="P383" s="250" t="str">
        <f>IFERROR(__xludf.DUMMYFUNCTION("""COMPUTED_VALUE"""),"")</f>
        <v/>
      </c>
      <c r="Q383" s="250" t="str">
        <f>IFERROR(__xludf.DUMMYFUNCTION("""COMPUTED_VALUE"""),"")</f>
        <v/>
      </c>
      <c r="R383" s="250" t="str">
        <f>IFERROR(__xludf.DUMMYFUNCTION("""COMPUTED_VALUE"""),"")</f>
        <v/>
      </c>
      <c r="U383" s="250" t="str">
        <f>IFERROR(__xludf.DUMMYFUNCTION("""COMPUTED_VALUE"""),"#N/A")</f>
        <v>#N/A</v>
      </c>
      <c r="V383" s="250" t="str">
        <f>IFERROR(__xludf.DUMMYFUNCTION("""COMPUTED_VALUE"""),"#N/A")</f>
        <v>#N/A</v>
      </c>
      <c r="W383" s="250" t="str">
        <f>IFERROR(__xludf.DUMMYFUNCTION("""COMPUTED_VALUE"""),"#N/A")</f>
        <v>#N/A</v>
      </c>
      <c r="X383" t="b">
        <f t="shared" ref="X383:Z383" si="742">ISBLANK(K383)</f>
        <v>1</v>
      </c>
      <c r="Y383" t="b">
        <f t="shared" si="742"/>
        <v>0</v>
      </c>
      <c r="Z383" t="b">
        <f t="shared" si="742"/>
        <v>0</v>
      </c>
      <c r="AA383">
        <f t="shared" ref="AA383:AC383" si="743">IF(X383=FALSE,1,0)</f>
        <v>0</v>
      </c>
      <c r="AB383">
        <f t="shared" si="743"/>
        <v>1</v>
      </c>
      <c r="AC383">
        <f t="shared" si="743"/>
        <v>1</v>
      </c>
      <c r="AD383">
        <f t="shared" si="6"/>
        <v>2</v>
      </c>
      <c r="AE383">
        <f t="shared" si="7"/>
        <v>1</v>
      </c>
      <c r="AF383">
        <f>if(iferror(vlookup($A383,'Description Database'!$E$2:$H$951,3,0),0)=TRUE,1,0)</f>
        <v>0</v>
      </c>
      <c r="AG383">
        <f>if(iferror(vlookup($A383,'Description Database'!$E$2:$H$951,4,0),0)=TRUE,1,0)</f>
        <v>0</v>
      </c>
    </row>
    <row r="384">
      <c r="A384" t="str">
        <f>IFERROR(__xludf.DUMMYFUNCTION("""COMPUTED_VALUE"""),"Xiaomi K5 NOTE (3 GB/32 GB)")</f>
        <v>Xiaomi K5 NOTE (3 GB/32 GB)</v>
      </c>
      <c r="B384" t="str">
        <f>IFERROR(__xludf.DUMMYFUNCTION("""COMPUTED_VALUE"""),"")</f>
        <v/>
      </c>
      <c r="C384" t="str">
        <f>IFERROR(__xludf.DUMMYFUNCTION("""COMPUTED_VALUE"""),"")</f>
        <v/>
      </c>
      <c r="D384" t="str">
        <f>IFERROR(__xludf.DUMMYFUNCTION("""COMPUTED_VALUE"""),"")</f>
        <v/>
      </c>
      <c r="E384" t="str">
        <f>IFERROR(__xludf.DUMMYFUNCTION("""COMPUTED_VALUE"""),"")</f>
        <v/>
      </c>
      <c r="F384" t="str">
        <f>IFERROR(__xludf.DUMMYFUNCTION("""COMPUTED_VALUE"""),"")</f>
        <v/>
      </c>
      <c r="G384" t="str">
        <f>IFERROR(__xludf.DUMMYFUNCTION("""COMPUTED_VALUE"""),"")</f>
        <v/>
      </c>
      <c r="H384" t="str">
        <f>IFERROR(__xludf.DUMMYFUNCTION("""COMPUTED_VALUE"""),"")</f>
        <v/>
      </c>
      <c r="I384" t="str">
        <f>IFERROR(__xludf.DUMMYFUNCTION("""COMPUTED_VALUE"""),"")</f>
        <v/>
      </c>
      <c r="J384">
        <f>IFERROR(__xludf.DUMMYFUNCTION("""COMPUTED_VALUE"""),0.0)</f>
        <v>0</v>
      </c>
      <c r="L384" s="250" t="str">
        <f>IFERROR(__xludf.DUMMYFUNCTION("""COMPUTED_VALUE"""),"")</f>
        <v/>
      </c>
      <c r="M384" s="250" t="str">
        <f>IFERROR(__xludf.DUMMYFUNCTION("""COMPUTED_VALUE"""),"")</f>
        <v/>
      </c>
      <c r="N384" s="250" t="str">
        <f>IFERROR(__xludf.DUMMYFUNCTION("""COMPUTED_VALUE"""),"")</f>
        <v/>
      </c>
      <c r="O384" s="250" t="str">
        <f>IFERROR(__xludf.DUMMYFUNCTION("""COMPUTED_VALUE"""),"")</f>
        <v/>
      </c>
      <c r="P384" s="250" t="str">
        <f>IFERROR(__xludf.DUMMYFUNCTION("""COMPUTED_VALUE"""),"")</f>
        <v/>
      </c>
      <c r="Q384" s="250" t="str">
        <f>IFERROR(__xludf.DUMMYFUNCTION("""COMPUTED_VALUE"""),"")</f>
        <v/>
      </c>
      <c r="R384" s="250" t="str">
        <f>IFERROR(__xludf.DUMMYFUNCTION("""COMPUTED_VALUE"""),"")</f>
        <v/>
      </c>
      <c r="U384" s="250" t="str">
        <f>IFERROR(__xludf.DUMMYFUNCTION("""COMPUTED_VALUE"""),"#N/A")</f>
        <v>#N/A</v>
      </c>
      <c r="V384" s="250" t="str">
        <f>IFERROR(__xludf.DUMMYFUNCTION("""COMPUTED_VALUE"""),"#N/A")</f>
        <v>#N/A</v>
      </c>
      <c r="W384" s="250" t="str">
        <f>IFERROR(__xludf.DUMMYFUNCTION("""COMPUTED_VALUE"""),"#N/A")</f>
        <v>#N/A</v>
      </c>
      <c r="X384" t="b">
        <f t="shared" ref="X384:Z384" si="744">ISBLANK(K384)</f>
        <v>1</v>
      </c>
      <c r="Y384" t="b">
        <f t="shared" si="744"/>
        <v>0</v>
      </c>
      <c r="Z384" t="b">
        <f t="shared" si="744"/>
        <v>0</v>
      </c>
      <c r="AA384">
        <f t="shared" ref="AA384:AC384" si="745">IF(X384=FALSE,1,0)</f>
        <v>0</v>
      </c>
      <c r="AB384">
        <f t="shared" si="745"/>
        <v>1</v>
      </c>
      <c r="AC384">
        <f t="shared" si="745"/>
        <v>1</v>
      </c>
      <c r="AD384">
        <f t="shared" si="6"/>
        <v>2</v>
      </c>
      <c r="AE384">
        <f t="shared" si="7"/>
        <v>1</v>
      </c>
      <c r="AF384">
        <f>if(iferror(vlookup($A384,'Description Database'!$E$2:$H$951,3,0),0)=TRUE,1,0)</f>
        <v>0</v>
      </c>
      <c r="AG384">
        <f>if(iferror(vlookup($A384,'Description Database'!$E$2:$H$951,4,0),0)=TRUE,1,0)</f>
        <v>0</v>
      </c>
    </row>
    <row r="385">
      <c r="A385" t="str">
        <f>IFERROR(__xludf.DUMMYFUNCTION("""COMPUTED_VALUE"""),"Lenovo VIBE K5 (2 GB/16 GB)")</f>
        <v>Lenovo VIBE K5 (2 GB/16 GB)</v>
      </c>
      <c r="B385" t="str">
        <f>IFERROR(__xludf.DUMMYFUNCTION("""COMPUTED_VALUE"""),"")</f>
        <v/>
      </c>
      <c r="C385" t="str">
        <f>IFERROR(__xludf.DUMMYFUNCTION("""COMPUTED_VALUE"""),"")</f>
        <v/>
      </c>
      <c r="D385" t="str">
        <f>IFERROR(__xludf.DUMMYFUNCTION("""COMPUTED_VALUE"""),"")</f>
        <v/>
      </c>
      <c r="E385">
        <f>IFERROR(__xludf.DUMMYFUNCTION("""COMPUTED_VALUE"""),1.0)</f>
        <v>1</v>
      </c>
      <c r="F385">
        <f>IFERROR(__xludf.DUMMYFUNCTION("""COMPUTED_VALUE"""),2.0)</f>
        <v>2</v>
      </c>
      <c r="G385">
        <f>IFERROR(__xludf.DUMMYFUNCTION("""COMPUTED_VALUE"""),2.0)</f>
        <v>2</v>
      </c>
      <c r="H385" t="str">
        <f>IFERROR(__xludf.DUMMYFUNCTION("""COMPUTED_VALUE"""),"")</f>
        <v/>
      </c>
      <c r="I385">
        <f>IFERROR(__xludf.DUMMYFUNCTION("""COMPUTED_VALUE"""),27.0)</f>
        <v>27</v>
      </c>
      <c r="J385">
        <f>IFERROR(__xludf.DUMMYFUNCTION("""COMPUTED_VALUE"""),32.0)</f>
        <v>32</v>
      </c>
      <c r="L385" s="250" t="str">
        <f>IFERROR(__xludf.DUMMYFUNCTION("""COMPUTED_VALUE"""),"")</f>
        <v/>
      </c>
      <c r="M385" s="250" t="str">
        <f>IFERROR(__xludf.DUMMYFUNCTION("""COMPUTED_VALUE"""),"")</f>
        <v/>
      </c>
      <c r="N385" s="250" t="str">
        <f>IFERROR(__xludf.DUMMYFUNCTION("""COMPUTED_VALUE"""),"")</f>
        <v/>
      </c>
      <c r="O385" s="250">
        <f>IFERROR(__xludf.DUMMYFUNCTION("""COMPUTED_VALUE"""),1984.0)</f>
        <v>1984</v>
      </c>
      <c r="P385" s="250">
        <f>IFERROR(__xludf.DUMMYFUNCTION("""COMPUTED_VALUE"""),1799.0)</f>
        <v>1799</v>
      </c>
      <c r="Q385" s="250">
        <f>IFERROR(__xludf.DUMMYFUNCTION("""COMPUTED_VALUE"""),1299.0)</f>
        <v>1299</v>
      </c>
      <c r="R385" s="250" t="str">
        <f>IFERROR(__xludf.DUMMYFUNCTION("""COMPUTED_VALUE"""),"")</f>
        <v/>
      </c>
      <c r="U385" s="250">
        <f>IFERROR(__xludf.DUMMYFUNCTION("""COMPUTED_VALUE"""),2779.0)</f>
        <v>2779</v>
      </c>
      <c r="V385" s="250">
        <f>IFERROR(__xludf.DUMMYFUNCTION("""COMPUTED_VALUE"""),2639.0)</f>
        <v>2639</v>
      </c>
      <c r="W385" s="250">
        <f>IFERROR(__xludf.DUMMYFUNCTION("""COMPUTED_VALUE"""),2389.0)</f>
        <v>2389</v>
      </c>
      <c r="X385" t="b">
        <f t="shared" ref="X385:Z385" si="746">ISBLANK(K385)</f>
        <v>1</v>
      </c>
      <c r="Y385" t="b">
        <f t="shared" si="746"/>
        <v>0</v>
      </c>
      <c r="Z385" t="b">
        <f t="shared" si="746"/>
        <v>0</v>
      </c>
      <c r="AA385">
        <f t="shared" ref="AA385:AC385" si="747">IF(X385=FALSE,1,0)</f>
        <v>0</v>
      </c>
      <c r="AB385">
        <f t="shared" si="747"/>
        <v>1</v>
      </c>
      <c r="AC385">
        <f t="shared" si="747"/>
        <v>1</v>
      </c>
      <c r="AD385">
        <f t="shared" si="6"/>
        <v>2</v>
      </c>
      <c r="AE385">
        <f t="shared" si="7"/>
        <v>1</v>
      </c>
      <c r="AF385">
        <f>if(iferror(vlookup($A385,'Description Database'!$E$2:$H$951,3,0),0)=TRUE,1,0)</f>
        <v>0</v>
      </c>
      <c r="AG385">
        <f>if(iferror(vlookup($A385,'Description Database'!$E$2:$H$951,4,0),0)=TRUE,1,0)</f>
        <v>0</v>
      </c>
    </row>
    <row r="386">
      <c r="A386" t="str">
        <f>IFERROR(__xludf.DUMMYFUNCTION("""COMPUTED_VALUE"""),"Vivo V9 PRO (6 GB/64 GB)")</f>
        <v>Vivo V9 PRO (6 GB/64 GB)</v>
      </c>
      <c r="B386" t="str">
        <f>IFERROR(__xludf.DUMMYFUNCTION("""COMPUTED_VALUE"""),"")</f>
        <v/>
      </c>
      <c r="C386" t="str">
        <f>IFERROR(__xludf.DUMMYFUNCTION("""COMPUTED_VALUE"""),"")</f>
        <v/>
      </c>
      <c r="D386" t="str">
        <f>IFERROR(__xludf.DUMMYFUNCTION("""COMPUTED_VALUE"""),"")</f>
        <v/>
      </c>
      <c r="E386" t="str">
        <f>IFERROR(__xludf.DUMMYFUNCTION("""COMPUTED_VALUE"""),"")</f>
        <v/>
      </c>
      <c r="F386">
        <f>IFERROR(__xludf.DUMMYFUNCTION("""COMPUTED_VALUE"""),1.0)</f>
        <v>1</v>
      </c>
      <c r="G386">
        <f>IFERROR(__xludf.DUMMYFUNCTION("""COMPUTED_VALUE"""),1.0)</f>
        <v>1</v>
      </c>
      <c r="H386" t="str">
        <f>IFERROR(__xludf.DUMMYFUNCTION("""COMPUTED_VALUE"""),"")</f>
        <v/>
      </c>
      <c r="I386">
        <f>IFERROR(__xludf.DUMMYFUNCTION("""COMPUTED_VALUE"""),1.0)</f>
        <v>1</v>
      </c>
      <c r="J386">
        <f>IFERROR(__xludf.DUMMYFUNCTION("""COMPUTED_VALUE"""),3.0)</f>
        <v>3</v>
      </c>
      <c r="L386" s="250" t="str">
        <f>IFERROR(__xludf.DUMMYFUNCTION("""COMPUTED_VALUE"""),"")</f>
        <v/>
      </c>
      <c r="M386" s="250" t="str">
        <f>IFERROR(__xludf.DUMMYFUNCTION("""COMPUTED_VALUE"""),"")</f>
        <v/>
      </c>
      <c r="N386" s="250" t="str">
        <f>IFERROR(__xludf.DUMMYFUNCTION("""COMPUTED_VALUE"""),"")</f>
        <v/>
      </c>
      <c r="O386" s="250" t="str">
        <f>IFERROR(__xludf.DUMMYFUNCTION("""COMPUTED_VALUE"""),"")</f>
        <v/>
      </c>
      <c r="P386" s="250">
        <f>IFERROR(__xludf.DUMMYFUNCTION("""COMPUTED_VALUE"""),5609.0)</f>
        <v>5609</v>
      </c>
      <c r="Q386" s="250">
        <f>IFERROR(__xludf.DUMMYFUNCTION("""COMPUTED_VALUE"""),4069.0)</f>
        <v>4069</v>
      </c>
      <c r="R386" s="250" t="str">
        <f>IFERROR(__xludf.DUMMYFUNCTION("""COMPUTED_VALUE"""),"")</f>
        <v/>
      </c>
      <c r="U386" s="250">
        <f>IFERROR(__xludf.DUMMYFUNCTION("""COMPUTED_VALUE"""),8639.0)</f>
        <v>8639</v>
      </c>
      <c r="V386" s="250">
        <f>IFERROR(__xludf.DUMMYFUNCTION("""COMPUTED_VALUE"""),8219.0)</f>
        <v>8219</v>
      </c>
      <c r="W386" s="250">
        <f>IFERROR(__xludf.DUMMYFUNCTION("""COMPUTED_VALUE"""),7409.0)</f>
        <v>7409</v>
      </c>
      <c r="X386" t="b">
        <f t="shared" ref="X386:Z386" si="748">ISBLANK(K386)</f>
        <v>1</v>
      </c>
      <c r="Y386" t="b">
        <f t="shared" si="748"/>
        <v>0</v>
      </c>
      <c r="Z386" t="b">
        <f t="shared" si="748"/>
        <v>0</v>
      </c>
      <c r="AA386">
        <f t="shared" ref="AA386:AC386" si="749">IF(X386=FALSE,1,0)</f>
        <v>0</v>
      </c>
      <c r="AB386">
        <f t="shared" si="749"/>
        <v>1</v>
      </c>
      <c r="AC386">
        <f t="shared" si="749"/>
        <v>1</v>
      </c>
      <c r="AD386">
        <f t="shared" si="6"/>
        <v>2</v>
      </c>
      <c r="AE386">
        <f t="shared" si="7"/>
        <v>1</v>
      </c>
      <c r="AF386">
        <f>if(iferror(vlookup($A386,'Description Database'!$E$2:$H$951,3,0),0)=TRUE,1,0)</f>
        <v>0</v>
      </c>
      <c r="AG386">
        <f>if(iferror(vlookup($A386,'Description Database'!$E$2:$H$951,4,0),0)=TRUE,1,0)</f>
        <v>0</v>
      </c>
    </row>
    <row r="387">
      <c r="A387" t="str">
        <f>IFERROR(__xludf.DUMMYFUNCTION("""COMPUTED_VALUE"""),"Oppo RENO 2Z (8 GB/256 GB)")</f>
        <v>Oppo RENO 2Z (8 GB/256 GB)</v>
      </c>
      <c r="B387" t="str">
        <f>IFERROR(__xludf.DUMMYFUNCTION("""COMPUTED_VALUE"""),"")</f>
        <v/>
      </c>
      <c r="C387" t="str">
        <f>IFERROR(__xludf.DUMMYFUNCTION("""COMPUTED_VALUE"""),"")</f>
        <v/>
      </c>
      <c r="D387" t="str">
        <f>IFERROR(__xludf.DUMMYFUNCTION("""COMPUTED_VALUE"""),"")</f>
        <v/>
      </c>
      <c r="E387" t="str">
        <f>IFERROR(__xludf.DUMMYFUNCTION("""COMPUTED_VALUE"""),"")</f>
        <v/>
      </c>
      <c r="F387" t="str">
        <f>IFERROR(__xludf.DUMMYFUNCTION("""COMPUTED_VALUE"""),"")</f>
        <v/>
      </c>
      <c r="G387" t="str">
        <f>IFERROR(__xludf.DUMMYFUNCTION("""COMPUTED_VALUE"""),"")</f>
        <v/>
      </c>
      <c r="H387" t="str">
        <f>IFERROR(__xludf.DUMMYFUNCTION("""COMPUTED_VALUE"""),"")</f>
        <v/>
      </c>
      <c r="I387" t="str">
        <f>IFERROR(__xludf.DUMMYFUNCTION("""COMPUTED_VALUE"""),"")</f>
        <v/>
      </c>
      <c r="J387">
        <f>IFERROR(__xludf.DUMMYFUNCTION("""COMPUTED_VALUE"""),0.0)</f>
        <v>0</v>
      </c>
      <c r="L387" s="250" t="str">
        <f>IFERROR(__xludf.DUMMYFUNCTION("""COMPUTED_VALUE"""),"")</f>
        <v/>
      </c>
      <c r="M387" s="250" t="str">
        <f>IFERROR(__xludf.DUMMYFUNCTION("""COMPUTED_VALUE"""),"")</f>
        <v/>
      </c>
      <c r="N387" s="250" t="str">
        <f>IFERROR(__xludf.DUMMYFUNCTION("""COMPUTED_VALUE"""),"")</f>
        <v/>
      </c>
      <c r="O387" s="250" t="str">
        <f>IFERROR(__xludf.DUMMYFUNCTION("""COMPUTED_VALUE"""),"")</f>
        <v/>
      </c>
      <c r="P387" s="250" t="str">
        <f>IFERROR(__xludf.DUMMYFUNCTION("""COMPUTED_VALUE"""),"")</f>
        <v/>
      </c>
      <c r="Q387" s="250" t="str">
        <f>IFERROR(__xludf.DUMMYFUNCTION("""COMPUTED_VALUE"""),"")</f>
        <v/>
      </c>
      <c r="R387" s="250" t="str">
        <f>IFERROR(__xludf.DUMMYFUNCTION("""COMPUTED_VALUE"""),"")</f>
        <v/>
      </c>
      <c r="U387" s="250">
        <f>IFERROR(__xludf.DUMMYFUNCTION("""COMPUTED_VALUE"""),15469.0)</f>
        <v>15469</v>
      </c>
      <c r="V387" s="250">
        <f>IFERROR(__xludf.DUMMYFUNCTION("""COMPUTED_VALUE"""),14729.0)</f>
        <v>14729</v>
      </c>
      <c r="W387" s="250">
        <f>IFERROR(__xludf.DUMMYFUNCTION("""COMPUTED_VALUE"""),13259.0)</f>
        <v>13259</v>
      </c>
      <c r="X387" t="b">
        <f t="shared" ref="X387:Z387" si="750">ISBLANK(K387)</f>
        <v>1</v>
      </c>
      <c r="Y387" t="b">
        <f t="shared" si="750"/>
        <v>0</v>
      </c>
      <c r="Z387" t="b">
        <f t="shared" si="750"/>
        <v>0</v>
      </c>
      <c r="AA387">
        <f t="shared" ref="AA387:AC387" si="751">IF(X387=FALSE,1,0)</f>
        <v>0</v>
      </c>
      <c r="AB387">
        <f t="shared" si="751"/>
        <v>1</v>
      </c>
      <c r="AC387">
        <f t="shared" si="751"/>
        <v>1</v>
      </c>
      <c r="AD387">
        <f t="shared" si="6"/>
        <v>2</v>
      </c>
      <c r="AE387">
        <f t="shared" si="7"/>
        <v>1</v>
      </c>
      <c r="AF387">
        <f>if(iferror(vlookup($A387,'Description Database'!$E$2:$H$951,3,0),0)=TRUE,1,0)</f>
        <v>0</v>
      </c>
      <c r="AG387">
        <f>if(iferror(vlookup($A387,'Description Database'!$E$2:$H$951,4,0),0)=TRUE,1,0)</f>
        <v>0</v>
      </c>
    </row>
    <row r="388">
      <c r="A388" t="str">
        <f>IFERROR(__xludf.DUMMYFUNCTION("""COMPUTED_VALUE"""),"Oppo F11 PRO (6 GB/64 GB)")</f>
        <v>Oppo F11 PRO (6 GB/64 GB)</v>
      </c>
      <c r="B388" t="str">
        <f>IFERROR(__xludf.DUMMYFUNCTION("""COMPUTED_VALUE"""),"")</f>
        <v/>
      </c>
      <c r="C388" t="str">
        <f>IFERROR(__xludf.DUMMYFUNCTION("""COMPUTED_VALUE"""),"")</f>
        <v/>
      </c>
      <c r="D388" t="str">
        <f>IFERROR(__xludf.DUMMYFUNCTION("""COMPUTED_VALUE"""),"")</f>
        <v/>
      </c>
      <c r="E388" t="str">
        <f>IFERROR(__xludf.DUMMYFUNCTION("""COMPUTED_VALUE"""),"")</f>
        <v/>
      </c>
      <c r="F388" t="str">
        <f>IFERROR(__xludf.DUMMYFUNCTION("""COMPUTED_VALUE"""),"")</f>
        <v/>
      </c>
      <c r="G388" t="str">
        <f>IFERROR(__xludf.DUMMYFUNCTION("""COMPUTED_VALUE"""),"")</f>
        <v/>
      </c>
      <c r="H388" t="str">
        <f>IFERROR(__xludf.DUMMYFUNCTION("""COMPUTED_VALUE"""),"")</f>
        <v/>
      </c>
      <c r="I388">
        <f>IFERROR(__xludf.DUMMYFUNCTION("""COMPUTED_VALUE"""),4.0)</f>
        <v>4</v>
      </c>
      <c r="J388">
        <f>IFERROR(__xludf.DUMMYFUNCTION("""COMPUTED_VALUE"""),4.0)</f>
        <v>4</v>
      </c>
      <c r="L388" s="250" t="str">
        <f>IFERROR(__xludf.DUMMYFUNCTION("""COMPUTED_VALUE"""),"")</f>
        <v/>
      </c>
      <c r="M388" s="250" t="str">
        <f>IFERROR(__xludf.DUMMYFUNCTION("""COMPUTED_VALUE"""),"")</f>
        <v/>
      </c>
      <c r="N388" s="250" t="str">
        <f>IFERROR(__xludf.DUMMYFUNCTION("""COMPUTED_VALUE"""),"")</f>
        <v/>
      </c>
      <c r="O388" s="250" t="str">
        <f>IFERROR(__xludf.DUMMYFUNCTION("""COMPUTED_VALUE"""),"")</f>
        <v/>
      </c>
      <c r="P388" s="250" t="str">
        <f>IFERROR(__xludf.DUMMYFUNCTION("""COMPUTED_VALUE"""),"")</f>
        <v/>
      </c>
      <c r="Q388" s="250" t="str">
        <f>IFERROR(__xludf.DUMMYFUNCTION("""COMPUTED_VALUE"""),"")</f>
        <v/>
      </c>
      <c r="R388" s="250" t="str">
        <f>IFERROR(__xludf.DUMMYFUNCTION("""COMPUTED_VALUE"""),"")</f>
        <v/>
      </c>
      <c r="U388" s="250">
        <f>IFERROR(__xludf.DUMMYFUNCTION("""COMPUTED_VALUE"""),11409.0)</f>
        <v>11409</v>
      </c>
      <c r="V388" s="250">
        <f>IFERROR(__xludf.DUMMYFUNCTION("""COMPUTED_VALUE"""),10859.0)</f>
        <v>10859</v>
      </c>
      <c r="W388" s="250">
        <f>IFERROR(__xludf.DUMMYFUNCTION("""COMPUTED_VALUE"""),9769.0)</f>
        <v>9769</v>
      </c>
      <c r="X388" t="b">
        <f t="shared" ref="X388:Z388" si="752">ISBLANK(K388)</f>
        <v>1</v>
      </c>
      <c r="Y388" t="b">
        <f t="shared" si="752"/>
        <v>0</v>
      </c>
      <c r="Z388" t="b">
        <f t="shared" si="752"/>
        <v>0</v>
      </c>
      <c r="AA388">
        <f t="shared" ref="AA388:AC388" si="753">IF(X388=FALSE,1,0)</f>
        <v>0</v>
      </c>
      <c r="AB388">
        <f t="shared" si="753"/>
        <v>1</v>
      </c>
      <c r="AC388">
        <f t="shared" si="753"/>
        <v>1</v>
      </c>
      <c r="AD388">
        <f t="shared" si="6"/>
        <v>2</v>
      </c>
      <c r="AE388">
        <f t="shared" si="7"/>
        <v>1</v>
      </c>
      <c r="AF388">
        <f>if(iferror(vlookup($A388,'Description Database'!$E$2:$H$951,3,0),0)=TRUE,1,0)</f>
        <v>0</v>
      </c>
      <c r="AG388">
        <f>if(iferror(vlookup($A388,'Description Database'!$E$2:$H$951,4,0),0)=TRUE,1,0)</f>
        <v>0</v>
      </c>
    </row>
    <row r="389">
      <c r="A389" t="str">
        <f>IFERROR(__xludf.DUMMYFUNCTION("""COMPUTED_VALUE"""),"Oppo a31 (6 GB/128 GB)")</f>
        <v>Oppo a31 (6 GB/128 GB)</v>
      </c>
      <c r="B389" t="str">
        <f>IFERROR(__xludf.DUMMYFUNCTION("""COMPUTED_VALUE"""),"")</f>
        <v/>
      </c>
      <c r="C389" t="str">
        <f>IFERROR(__xludf.DUMMYFUNCTION("""COMPUTED_VALUE"""),"")</f>
        <v/>
      </c>
      <c r="D389" t="str">
        <f>IFERROR(__xludf.DUMMYFUNCTION("""COMPUTED_VALUE"""),"")</f>
        <v/>
      </c>
      <c r="E389" t="str">
        <f>IFERROR(__xludf.DUMMYFUNCTION("""COMPUTED_VALUE"""),"")</f>
        <v/>
      </c>
      <c r="F389" t="str">
        <f>IFERROR(__xludf.DUMMYFUNCTION("""COMPUTED_VALUE"""),"")</f>
        <v/>
      </c>
      <c r="G389" t="str">
        <f>IFERROR(__xludf.DUMMYFUNCTION("""COMPUTED_VALUE"""),"")</f>
        <v/>
      </c>
      <c r="H389" t="str">
        <f>IFERROR(__xludf.DUMMYFUNCTION("""COMPUTED_VALUE"""),"")</f>
        <v/>
      </c>
      <c r="I389" t="str">
        <f>IFERROR(__xludf.DUMMYFUNCTION("""COMPUTED_VALUE"""),"")</f>
        <v/>
      </c>
      <c r="J389">
        <f>IFERROR(__xludf.DUMMYFUNCTION("""COMPUTED_VALUE"""),0.0)</f>
        <v>0</v>
      </c>
      <c r="L389" s="250" t="str">
        <f>IFERROR(__xludf.DUMMYFUNCTION("""COMPUTED_VALUE"""),"")</f>
        <v/>
      </c>
      <c r="M389" s="250" t="str">
        <f>IFERROR(__xludf.DUMMYFUNCTION("""COMPUTED_VALUE"""),"")</f>
        <v/>
      </c>
      <c r="N389" s="250" t="str">
        <f>IFERROR(__xludf.DUMMYFUNCTION("""COMPUTED_VALUE"""),"")</f>
        <v/>
      </c>
      <c r="O389" s="250" t="str">
        <f>IFERROR(__xludf.DUMMYFUNCTION("""COMPUTED_VALUE"""),"")</f>
        <v/>
      </c>
      <c r="P389" s="250" t="str">
        <f>IFERROR(__xludf.DUMMYFUNCTION("""COMPUTED_VALUE"""),"")</f>
        <v/>
      </c>
      <c r="Q389" s="250" t="str">
        <f>IFERROR(__xludf.DUMMYFUNCTION("""COMPUTED_VALUE"""),"")</f>
        <v/>
      </c>
      <c r="R389" s="250" t="str">
        <f>IFERROR(__xludf.DUMMYFUNCTION("""COMPUTED_VALUE"""),"")</f>
        <v/>
      </c>
      <c r="U389" s="250">
        <f>IFERROR(__xludf.DUMMYFUNCTION("""COMPUTED_VALUE"""),10239.0)</f>
        <v>10239</v>
      </c>
      <c r="V389" s="250">
        <f>IFERROR(__xludf.DUMMYFUNCTION("""COMPUTED_VALUE"""),9749.0)</f>
        <v>9749</v>
      </c>
      <c r="W389" s="250">
        <f>IFERROR(__xludf.DUMMYFUNCTION("""COMPUTED_VALUE"""),8769.0)</f>
        <v>8769</v>
      </c>
      <c r="X389" t="b">
        <f t="shared" ref="X389:Z389" si="754">ISBLANK(K389)</f>
        <v>1</v>
      </c>
      <c r="Y389" t="b">
        <f t="shared" si="754"/>
        <v>0</v>
      </c>
      <c r="Z389" t="b">
        <f t="shared" si="754"/>
        <v>0</v>
      </c>
      <c r="AA389">
        <f t="shared" ref="AA389:AC389" si="755">IF(X389=FALSE,1,0)</f>
        <v>0</v>
      </c>
      <c r="AB389">
        <f t="shared" si="755"/>
        <v>1</v>
      </c>
      <c r="AC389">
        <f t="shared" si="755"/>
        <v>1</v>
      </c>
      <c r="AD389">
        <f t="shared" si="6"/>
        <v>2</v>
      </c>
      <c r="AE389">
        <f t="shared" si="7"/>
        <v>1</v>
      </c>
      <c r="AF389">
        <f>if(iferror(vlookup($A389,'Description Database'!$E$2:$H$951,3,0),0)=TRUE,1,0)</f>
        <v>0</v>
      </c>
      <c r="AG389">
        <f>if(iferror(vlookup($A389,'Description Database'!$E$2:$H$951,4,0),0)=TRUE,1,0)</f>
        <v>0</v>
      </c>
    </row>
    <row r="390">
      <c r="A390" t="str">
        <f>IFERROR(__xludf.DUMMYFUNCTION("""COMPUTED_VALUE"""),"Oppo F9 PRO (6 GB/128 GB)")</f>
        <v>Oppo F9 PRO (6 GB/128 GB)</v>
      </c>
      <c r="B390" t="str">
        <f>IFERROR(__xludf.DUMMYFUNCTION("""COMPUTED_VALUE"""),"")</f>
        <v/>
      </c>
      <c r="C390" t="str">
        <f>IFERROR(__xludf.DUMMYFUNCTION("""COMPUTED_VALUE"""),"")</f>
        <v/>
      </c>
      <c r="D390" t="str">
        <f>IFERROR(__xludf.DUMMYFUNCTION("""COMPUTED_VALUE"""),"")</f>
        <v/>
      </c>
      <c r="E390" t="str">
        <f>IFERROR(__xludf.DUMMYFUNCTION("""COMPUTED_VALUE"""),"")</f>
        <v/>
      </c>
      <c r="F390">
        <f>IFERROR(__xludf.DUMMYFUNCTION("""COMPUTED_VALUE"""),1.0)</f>
        <v>1</v>
      </c>
      <c r="G390" t="str">
        <f>IFERROR(__xludf.DUMMYFUNCTION("""COMPUTED_VALUE"""),"")</f>
        <v/>
      </c>
      <c r="H390" t="str">
        <f>IFERROR(__xludf.DUMMYFUNCTION("""COMPUTED_VALUE"""),"")</f>
        <v/>
      </c>
      <c r="I390">
        <f>IFERROR(__xludf.DUMMYFUNCTION("""COMPUTED_VALUE"""),1.0)</f>
        <v>1</v>
      </c>
      <c r="J390">
        <f>IFERROR(__xludf.DUMMYFUNCTION("""COMPUTED_VALUE"""),2.0)</f>
        <v>2</v>
      </c>
      <c r="L390" s="250" t="str">
        <f>IFERROR(__xludf.DUMMYFUNCTION("""COMPUTED_VALUE"""),"")</f>
        <v/>
      </c>
      <c r="M390" s="250" t="str">
        <f>IFERROR(__xludf.DUMMYFUNCTION("""COMPUTED_VALUE"""),"")</f>
        <v/>
      </c>
      <c r="N390" s="250" t="str">
        <f>IFERROR(__xludf.DUMMYFUNCTION("""COMPUTED_VALUE"""),"")</f>
        <v/>
      </c>
      <c r="O390" s="250" t="str">
        <f>IFERROR(__xludf.DUMMYFUNCTION("""COMPUTED_VALUE"""),"")</f>
        <v/>
      </c>
      <c r="P390" s="250">
        <f>IFERROR(__xludf.DUMMYFUNCTION("""COMPUTED_VALUE"""),6539.0)</f>
        <v>6539</v>
      </c>
      <c r="Q390" s="250" t="str">
        <f>IFERROR(__xludf.DUMMYFUNCTION("""COMPUTED_VALUE"""),"")</f>
        <v/>
      </c>
      <c r="R390" s="250" t="str">
        <f>IFERROR(__xludf.DUMMYFUNCTION("""COMPUTED_VALUE"""),"")</f>
        <v/>
      </c>
      <c r="U390" s="250">
        <f>IFERROR(__xludf.DUMMYFUNCTION("""COMPUTED_VALUE"""),10059.0)</f>
        <v>10059</v>
      </c>
      <c r="V390" s="250">
        <f>IFERROR(__xludf.DUMMYFUNCTION("""COMPUTED_VALUE"""),9569.0)</f>
        <v>9569</v>
      </c>
      <c r="W390" s="250">
        <f>IFERROR(__xludf.DUMMYFUNCTION("""COMPUTED_VALUE"""),8619.0)</f>
        <v>8619</v>
      </c>
      <c r="X390" t="b">
        <f t="shared" ref="X390:Z390" si="756">ISBLANK(K390)</f>
        <v>1</v>
      </c>
      <c r="Y390" t="b">
        <f t="shared" si="756"/>
        <v>0</v>
      </c>
      <c r="Z390" t="b">
        <f t="shared" si="756"/>
        <v>0</v>
      </c>
      <c r="AA390">
        <f t="shared" ref="AA390:AC390" si="757">IF(X390=FALSE,1,0)</f>
        <v>0</v>
      </c>
      <c r="AB390">
        <f t="shared" si="757"/>
        <v>1</v>
      </c>
      <c r="AC390">
        <f t="shared" si="757"/>
        <v>1</v>
      </c>
      <c r="AD390">
        <f t="shared" si="6"/>
        <v>2</v>
      </c>
      <c r="AE390">
        <f t="shared" si="7"/>
        <v>1</v>
      </c>
      <c r="AF390">
        <f>if(iferror(vlookup($A390,'Description Database'!$E$2:$H$951,3,0),0)=TRUE,1,0)</f>
        <v>0</v>
      </c>
      <c r="AG390">
        <f>if(iferror(vlookup($A390,'Description Database'!$E$2:$H$951,4,0),0)=TRUE,1,0)</f>
        <v>0</v>
      </c>
    </row>
    <row r="391">
      <c r="A391" t="str">
        <f>IFERROR(__xludf.DUMMYFUNCTION("""COMPUTED_VALUE"""),"Oppo A5S (3 GB/32 GB)")</f>
        <v>Oppo A5S (3 GB/32 GB)</v>
      </c>
      <c r="B391" t="str">
        <f>IFERROR(__xludf.DUMMYFUNCTION("""COMPUTED_VALUE"""),"")</f>
        <v/>
      </c>
      <c r="C391" t="str">
        <f>IFERROR(__xludf.DUMMYFUNCTION("""COMPUTED_VALUE"""),"")</f>
        <v/>
      </c>
      <c r="D391" t="str">
        <f>IFERROR(__xludf.DUMMYFUNCTION("""COMPUTED_VALUE"""),"")</f>
        <v/>
      </c>
      <c r="E391" t="str">
        <f>IFERROR(__xludf.DUMMYFUNCTION("""COMPUTED_VALUE"""),"")</f>
        <v/>
      </c>
      <c r="F391" t="str">
        <f>IFERROR(__xludf.DUMMYFUNCTION("""COMPUTED_VALUE"""),"")</f>
        <v/>
      </c>
      <c r="G391" t="str">
        <f>IFERROR(__xludf.DUMMYFUNCTION("""COMPUTED_VALUE"""),"")</f>
        <v/>
      </c>
      <c r="H391" t="str">
        <f>IFERROR(__xludf.DUMMYFUNCTION("""COMPUTED_VALUE"""),"")</f>
        <v/>
      </c>
      <c r="I391">
        <f>IFERROR(__xludf.DUMMYFUNCTION("""COMPUTED_VALUE"""),7.0)</f>
        <v>7</v>
      </c>
      <c r="J391">
        <f>IFERROR(__xludf.DUMMYFUNCTION("""COMPUTED_VALUE"""),7.0)</f>
        <v>7</v>
      </c>
      <c r="L391" s="250" t="str">
        <f>IFERROR(__xludf.DUMMYFUNCTION("""COMPUTED_VALUE"""),"")</f>
        <v/>
      </c>
      <c r="M391" s="250" t="str">
        <f>IFERROR(__xludf.DUMMYFUNCTION("""COMPUTED_VALUE"""),"")</f>
        <v/>
      </c>
      <c r="N391" s="250" t="str">
        <f>IFERROR(__xludf.DUMMYFUNCTION("""COMPUTED_VALUE"""),"")</f>
        <v/>
      </c>
      <c r="O391" s="250" t="str">
        <f>IFERROR(__xludf.DUMMYFUNCTION("""COMPUTED_VALUE"""),"")</f>
        <v/>
      </c>
      <c r="P391" s="250" t="str">
        <f>IFERROR(__xludf.DUMMYFUNCTION("""COMPUTED_VALUE"""),"")</f>
        <v/>
      </c>
      <c r="Q391" s="250" t="str">
        <f>IFERROR(__xludf.DUMMYFUNCTION("""COMPUTED_VALUE"""),"")</f>
        <v/>
      </c>
      <c r="R391" s="250" t="str">
        <f>IFERROR(__xludf.DUMMYFUNCTION("""COMPUTED_VALUE"""),"")</f>
        <v/>
      </c>
      <c r="U391" s="250">
        <f>IFERROR(__xludf.DUMMYFUNCTION("""COMPUTED_VALUE"""),7349.0)</f>
        <v>7349</v>
      </c>
      <c r="V391" s="250">
        <f>IFERROR(__xludf.DUMMYFUNCTION("""COMPUTED_VALUE"""),6999.0)</f>
        <v>6999</v>
      </c>
      <c r="W391" s="250">
        <f>IFERROR(__xludf.DUMMYFUNCTION("""COMPUTED_VALUE"""),6379.0)</f>
        <v>6379</v>
      </c>
      <c r="X391" t="b">
        <f t="shared" ref="X391:Z391" si="758">ISBLANK(K391)</f>
        <v>1</v>
      </c>
      <c r="Y391" t="b">
        <f t="shared" si="758"/>
        <v>0</v>
      </c>
      <c r="Z391" t="b">
        <f t="shared" si="758"/>
        <v>0</v>
      </c>
      <c r="AA391">
        <f t="shared" ref="AA391:AC391" si="759">IF(X391=FALSE,1,0)</f>
        <v>0</v>
      </c>
      <c r="AB391">
        <f t="shared" si="759"/>
        <v>1</v>
      </c>
      <c r="AC391">
        <f t="shared" si="759"/>
        <v>1</v>
      </c>
      <c r="AD391">
        <f t="shared" si="6"/>
        <v>2</v>
      </c>
      <c r="AE391">
        <f t="shared" si="7"/>
        <v>1</v>
      </c>
      <c r="AF391">
        <f>if(iferror(vlookup($A391,'Description Database'!$E$2:$H$951,3,0),0)=TRUE,1,0)</f>
        <v>0</v>
      </c>
      <c r="AG391">
        <f>if(iferror(vlookup($A391,'Description Database'!$E$2:$H$951,4,0),0)=TRUE,1,0)</f>
        <v>0</v>
      </c>
    </row>
    <row r="392">
      <c r="A392" t="str">
        <f>IFERROR(__xludf.DUMMYFUNCTION("""COMPUTED_VALUE"""),"Xiaomi MI A3 (4 GB/64 GB)")</f>
        <v>Xiaomi MI A3 (4 GB/64 GB)</v>
      </c>
      <c r="B392" t="str">
        <f>IFERROR(__xludf.DUMMYFUNCTION("""COMPUTED_VALUE"""),"")</f>
        <v/>
      </c>
      <c r="C392" t="str">
        <f>IFERROR(__xludf.DUMMYFUNCTION("""COMPUTED_VALUE"""),"")</f>
        <v/>
      </c>
      <c r="D392" t="str">
        <f>IFERROR(__xludf.DUMMYFUNCTION("""COMPUTED_VALUE"""),"")</f>
        <v/>
      </c>
      <c r="E392" t="str">
        <f>IFERROR(__xludf.DUMMYFUNCTION("""COMPUTED_VALUE"""),"")</f>
        <v/>
      </c>
      <c r="F392">
        <f>IFERROR(__xludf.DUMMYFUNCTION("""COMPUTED_VALUE"""),1.0)</f>
        <v>1</v>
      </c>
      <c r="G392">
        <f>IFERROR(__xludf.DUMMYFUNCTION("""COMPUTED_VALUE"""),3.0)</f>
        <v>3</v>
      </c>
      <c r="H392">
        <f>IFERROR(__xludf.DUMMYFUNCTION("""COMPUTED_VALUE"""),3.0)</f>
        <v>3</v>
      </c>
      <c r="I392">
        <f>IFERROR(__xludf.DUMMYFUNCTION("""COMPUTED_VALUE"""),19.0)</f>
        <v>19</v>
      </c>
      <c r="J392">
        <f>IFERROR(__xludf.DUMMYFUNCTION("""COMPUTED_VALUE"""),26.0)</f>
        <v>26</v>
      </c>
      <c r="L392" s="250" t="str">
        <f>IFERROR(__xludf.DUMMYFUNCTION("""COMPUTED_VALUE"""),"")</f>
        <v/>
      </c>
      <c r="M392" s="250" t="str">
        <f>IFERROR(__xludf.DUMMYFUNCTION("""COMPUTED_VALUE"""),"")</f>
        <v/>
      </c>
      <c r="N392" s="250" t="str">
        <f>IFERROR(__xludf.DUMMYFUNCTION("""COMPUTED_VALUE"""),"")</f>
        <v/>
      </c>
      <c r="O392" s="250" t="str">
        <f>IFERROR(__xludf.DUMMYFUNCTION("""COMPUTED_VALUE"""),"")</f>
        <v/>
      </c>
      <c r="P392" s="250">
        <f>IFERROR(__xludf.DUMMYFUNCTION("""COMPUTED_VALUE"""),5999.0)</f>
        <v>5999</v>
      </c>
      <c r="Q392" s="250">
        <f>IFERROR(__xludf.DUMMYFUNCTION("""COMPUTED_VALUE"""),4519.0)</f>
        <v>4519</v>
      </c>
      <c r="R392" s="250">
        <f>IFERROR(__xludf.DUMMYFUNCTION("""COMPUTED_VALUE"""),3169.0)</f>
        <v>3169</v>
      </c>
      <c r="U392" s="250">
        <f>IFERROR(__xludf.DUMMYFUNCTION("""COMPUTED_VALUE"""),9239.0)</f>
        <v>9239</v>
      </c>
      <c r="V392" s="250">
        <f>IFERROR(__xludf.DUMMYFUNCTION("""COMPUTED_VALUE"""),8799.0)</f>
        <v>8799</v>
      </c>
      <c r="W392" s="250">
        <f>IFERROR(__xludf.DUMMYFUNCTION("""COMPUTED_VALUE"""),8039.0)</f>
        <v>8039</v>
      </c>
      <c r="X392" t="b">
        <f t="shared" ref="X392:Z392" si="760">ISBLANK(K392)</f>
        <v>1</v>
      </c>
      <c r="Y392" t="b">
        <f t="shared" si="760"/>
        <v>0</v>
      </c>
      <c r="Z392" t="b">
        <f t="shared" si="760"/>
        <v>0</v>
      </c>
      <c r="AA392">
        <f t="shared" ref="AA392:AC392" si="761">IF(X392=FALSE,1,0)</f>
        <v>0</v>
      </c>
      <c r="AB392">
        <f t="shared" si="761"/>
        <v>1</v>
      </c>
      <c r="AC392">
        <f t="shared" si="761"/>
        <v>1</v>
      </c>
      <c r="AD392">
        <f t="shared" si="6"/>
        <v>2</v>
      </c>
      <c r="AE392">
        <f t="shared" si="7"/>
        <v>1</v>
      </c>
      <c r="AF392">
        <f>if(iferror(vlookup($A392,'Description Database'!$E$2:$H$951,3,0),0)=TRUE,1,0)</f>
        <v>0</v>
      </c>
      <c r="AG392">
        <f>if(iferror(vlookup($A392,'Description Database'!$E$2:$H$951,4,0),0)=TRUE,1,0)</f>
        <v>0</v>
      </c>
    </row>
    <row r="393">
      <c r="A393" t="str">
        <f>IFERROR(__xludf.DUMMYFUNCTION("""COMPUTED_VALUE"""),"Vivo V7 Plus (4 GB/64 GB)")</f>
        <v>Vivo V7 Plus (4 GB/64 GB)</v>
      </c>
      <c r="B393" t="str">
        <f>IFERROR(__xludf.DUMMYFUNCTION("""COMPUTED_VALUE"""),"")</f>
        <v/>
      </c>
      <c r="C393" t="str">
        <f>IFERROR(__xludf.DUMMYFUNCTION("""COMPUTED_VALUE"""),"")</f>
        <v/>
      </c>
      <c r="D393" t="str">
        <f>IFERROR(__xludf.DUMMYFUNCTION("""COMPUTED_VALUE"""),"")</f>
        <v/>
      </c>
      <c r="E393" t="str">
        <f>IFERROR(__xludf.DUMMYFUNCTION("""COMPUTED_VALUE"""),"")</f>
        <v/>
      </c>
      <c r="F393">
        <f>IFERROR(__xludf.DUMMYFUNCTION("""COMPUTED_VALUE"""),2.0)</f>
        <v>2</v>
      </c>
      <c r="G393">
        <f>IFERROR(__xludf.DUMMYFUNCTION("""COMPUTED_VALUE"""),1.0)</f>
        <v>1</v>
      </c>
      <c r="H393" t="str">
        <f>IFERROR(__xludf.DUMMYFUNCTION("""COMPUTED_VALUE"""),"")</f>
        <v/>
      </c>
      <c r="I393">
        <f>IFERROR(__xludf.DUMMYFUNCTION("""COMPUTED_VALUE"""),3.0)</f>
        <v>3</v>
      </c>
      <c r="J393">
        <f>IFERROR(__xludf.DUMMYFUNCTION("""COMPUTED_VALUE"""),6.0)</f>
        <v>6</v>
      </c>
      <c r="L393" s="250" t="str">
        <f>IFERROR(__xludf.DUMMYFUNCTION("""COMPUTED_VALUE"""),"")</f>
        <v/>
      </c>
      <c r="M393" s="250" t="str">
        <f>IFERROR(__xludf.DUMMYFUNCTION("""COMPUTED_VALUE"""),"")</f>
        <v/>
      </c>
      <c r="N393" s="250" t="str">
        <f>IFERROR(__xludf.DUMMYFUNCTION("""COMPUTED_VALUE"""),"")</f>
        <v/>
      </c>
      <c r="O393" s="250" t="str">
        <f>IFERROR(__xludf.DUMMYFUNCTION("""COMPUTED_VALUE"""),"")</f>
        <v/>
      </c>
      <c r="P393" s="250">
        <f>IFERROR(__xludf.DUMMYFUNCTION("""COMPUTED_VALUE"""),4569.0)</f>
        <v>4569</v>
      </c>
      <c r="Q393" s="250">
        <f>IFERROR(__xludf.DUMMYFUNCTION("""COMPUTED_VALUE"""),3169.0)</f>
        <v>3169</v>
      </c>
      <c r="R393" s="250" t="str">
        <f>IFERROR(__xludf.DUMMYFUNCTION("""COMPUTED_VALUE"""),"")</f>
        <v/>
      </c>
      <c r="U393" s="250">
        <f>IFERROR(__xludf.DUMMYFUNCTION("""COMPUTED_VALUE"""),6999.0)</f>
        <v>6999</v>
      </c>
      <c r="V393" s="250">
        <f>IFERROR(__xludf.DUMMYFUNCTION("""COMPUTED_VALUE"""),6659.0)</f>
        <v>6659</v>
      </c>
      <c r="W393" s="250">
        <f>IFERROR(__xludf.DUMMYFUNCTION("""COMPUTED_VALUE"""),6099.0)</f>
        <v>6099</v>
      </c>
      <c r="X393" t="b">
        <f t="shared" ref="X393:Z393" si="762">ISBLANK(K393)</f>
        <v>1</v>
      </c>
      <c r="Y393" t="b">
        <f t="shared" si="762"/>
        <v>0</v>
      </c>
      <c r="Z393" t="b">
        <f t="shared" si="762"/>
        <v>0</v>
      </c>
      <c r="AA393">
        <f t="shared" ref="AA393:AC393" si="763">IF(X393=FALSE,1,0)</f>
        <v>0</v>
      </c>
      <c r="AB393">
        <f t="shared" si="763"/>
        <v>1</v>
      </c>
      <c r="AC393">
        <f t="shared" si="763"/>
        <v>1</v>
      </c>
      <c r="AD393">
        <f t="shared" si="6"/>
        <v>2</v>
      </c>
      <c r="AE393">
        <f t="shared" si="7"/>
        <v>1</v>
      </c>
      <c r="AF393">
        <f>if(iferror(vlookup($A393,'Description Database'!$E$2:$H$951,3,0),0)=TRUE,1,0)</f>
        <v>0</v>
      </c>
      <c r="AG393">
        <f>if(iferror(vlookup($A393,'Description Database'!$E$2:$H$951,4,0),0)=TRUE,1,0)</f>
        <v>1</v>
      </c>
    </row>
    <row r="394">
      <c r="A394" t="str">
        <f>IFERROR(__xludf.DUMMYFUNCTION("""COMPUTED_VALUE"""),"Samsung Galaxy J2 2018 (2 GB/16 GB)")</f>
        <v>Samsung Galaxy J2 2018 (2 GB/16 GB)</v>
      </c>
      <c r="B394" t="str">
        <f>IFERROR(__xludf.DUMMYFUNCTION("""COMPUTED_VALUE"""),"")</f>
        <v/>
      </c>
      <c r="C394" t="str">
        <f>IFERROR(__xludf.DUMMYFUNCTION("""COMPUTED_VALUE"""),"")</f>
        <v/>
      </c>
      <c r="D394" t="str">
        <f>IFERROR(__xludf.DUMMYFUNCTION("""COMPUTED_VALUE"""),"")</f>
        <v/>
      </c>
      <c r="E394" t="str">
        <f>IFERROR(__xludf.DUMMYFUNCTION("""COMPUTED_VALUE"""),"")</f>
        <v/>
      </c>
      <c r="F394" t="str">
        <f>IFERROR(__xludf.DUMMYFUNCTION("""COMPUTED_VALUE"""),"")</f>
        <v/>
      </c>
      <c r="G394">
        <f>IFERROR(__xludf.DUMMYFUNCTION("""COMPUTED_VALUE"""),2.0)</f>
        <v>2</v>
      </c>
      <c r="H394" t="str">
        <f>IFERROR(__xludf.DUMMYFUNCTION("""COMPUTED_VALUE"""),"")</f>
        <v/>
      </c>
      <c r="I394">
        <f>IFERROR(__xludf.DUMMYFUNCTION("""COMPUTED_VALUE"""),5.0)</f>
        <v>5</v>
      </c>
      <c r="J394">
        <f>IFERROR(__xludf.DUMMYFUNCTION("""COMPUTED_VALUE"""),7.0)</f>
        <v>7</v>
      </c>
      <c r="L394" s="250" t="str">
        <f>IFERROR(__xludf.DUMMYFUNCTION("""COMPUTED_VALUE"""),"")</f>
        <v/>
      </c>
      <c r="M394" s="250" t="str">
        <f>IFERROR(__xludf.DUMMYFUNCTION("""COMPUTED_VALUE"""),"")</f>
        <v/>
      </c>
      <c r="N394" s="250" t="str">
        <f>IFERROR(__xludf.DUMMYFUNCTION("""COMPUTED_VALUE"""),"")</f>
        <v/>
      </c>
      <c r="O394" s="250" t="str">
        <f>IFERROR(__xludf.DUMMYFUNCTION("""COMPUTED_VALUE"""),"")</f>
        <v/>
      </c>
      <c r="P394" s="250" t="str">
        <f>IFERROR(__xludf.DUMMYFUNCTION("""COMPUTED_VALUE"""),"")</f>
        <v/>
      </c>
      <c r="Q394" s="250">
        <f>IFERROR(__xludf.DUMMYFUNCTION("""COMPUTED_VALUE"""),1489.0)</f>
        <v>1489</v>
      </c>
      <c r="R394" s="250" t="str">
        <f>IFERROR(__xludf.DUMMYFUNCTION("""COMPUTED_VALUE"""),"")</f>
        <v/>
      </c>
      <c r="U394" s="250">
        <f>IFERROR(__xludf.DUMMYFUNCTION("""COMPUTED_VALUE"""),3369.0)</f>
        <v>3369</v>
      </c>
      <c r="V394" s="250">
        <f>IFERROR(__xludf.DUMMYFUNCTION("""COMPUTED_VALUE"""),3199.0)</f>
        <v>3199</v>
      </c>
      <c r="W394" s="250">
        <f>IFERROR(__xludf.DUMMYFUNCTION("""COMPUTED_VALUE"""),2889.0)</f>
        <v>2889</v>
      </c>
      <c r="X394" t="b">
        <f t="shared" ref="X394:Z394" si="764">ISBLANK(K394)</f>
        <v>1</v>
      </c>
      <c r="Y394" t="b">
        <f t="shared" si="764"/>
        <v>0</v>
      </c>
      <c r="Z394" t="b">
        <f t="shared" si="764"/>
        <v>0</v>
      </c>
      <c r="AA394">
        <f t="shared" ref="AA394:AC394" si="765">IF(X394=FALSE,1,0)</f>
        <v>0</v>
      </c>
      <c r="AB394">
        <f t="shared" si="765"/>
        <v>1</v>
      </c>
      <c r="AC394">
        <f t="shared" si="765"/>
        <v>1</v>
      </c>
      <c r="AD394">
        <f t="shared" si="6"/>
        <v>2</v>
      </c>
      <c r="AE394">
        <f t="shared" si="7"/>
        <v>1</v>
      </c>
      <c r="AF394">
        <f>if(iferror(vlookup($A394,'Description Database'!$E$2:$H$951,3,0),0)=TRUE,1,0)</f>
        <v>0</v>
      </c>
      <c r="AG394">
        <f>if(iferror(vlookup($A394,'Description Database'!$E$2:$H$951,4,0),0)=TRUE,1,0)</f>
        <v>0</v>
      </c>
    </row>
    <row r="395">
      <c r="A395" t="str">
        <f>IFERROR(__xludf.DUMMYFUNCTION("""COMPUTED_VALUE"""),"Motorola One Power (4 GB/64 GB)")</f>
        <v>Motorola One Power (4 GB/64 GB)</v>
      </c>
      <c r="B395" t="str">
        <f>IFERROR(__xludf.DUMMYFUNCTION("""COMPUTED_VALUE"""),"")</f>
        <v/>
      </c>
      <c r="C395" t="str">
        <f>IFERROR(__xludf.DUMMYFUNCTION("""COMPUTED_VALUE"""),"")</f>
        <v/>
      </c>
      <c r="D395" t="str">
        <f>IFERROR(__xludf.DUMMYFUNCTION("""COMPUTED_VALUE"""),"")</f>
        <v/>
      </c>
      <c r="E395" t="str">
        <f>IFERROR(__xludf.DUMMYFUNCTION("""COMPUTED_VALUE"""),"")</f>
        <v/>
      </c>
      <c r="F395">
        <f>IFERROR(__xludf.DUMMYFUNCTION("""COMPUTED_VALUE"""),1.0)</f>
        <v>1</v>
      </c>
      <c r="G395">
        <f>IFERROR(__xludf.DUMMYFUNCTION("""COMPUTED_VALUE"""),2.0)</f>
        <v>2</v>
      </c>
      <c r="H395" t="str">
        <f>IFERROR(__xludf.DUMMYFUNCTION("""COMPUTED_VALUE"""),"")</f>
        <v/>
      </c>
      <c r="I395">
        <f>IFERROR(__xludf.DUMMYFUNCTION("""COMPUTED_VALUE"""),5.0)</f>
        <v>5</v>
      </c>
      <c r="J395">
        <f>IFERROR(__xludf.DUMMYFUNCTION("""COMPUTED_VALUE"""),8.0)</f>
        <v>8</v>
      </c>
      <c r="L395" s="250" t="str">
        <f>IFERROR(__xludf.DUMMYFUNCTION("""COMPUTED_VALUE"""),"")</f>
        <v/>
      </c>
      <c r="M395" s="250" t="str">
        <f>IFERROR(__xludf.DUMMYFUNCTION("""COMPUTED_VALUE"""),"")</f>
        <v/>
      </c>
      <c r="N395" s="250" t="str">
        <f>IFERROR(__xludf.DUMMYFUNCTION("""COMPUTED_VALUE"""),"")</f>
        <v/>
      </c>
      <c r="O395" s="250" t="str">
        <f>IFERROR(__xludf.DUMMYFUNCTION("""COMPUTED_VALUE"""),"")</f>
        <v/>
      </c>
      <c r="P395" s="250">
        <f>IFERROR(__xludf.DUMMYFUNCTION("""COMPUTED_VALUE"""),4299.0)</f>
        <v>4299</v>
      </c>
      <c r="Q395" s="250">
        <f>IFERROR(__xludf.DUMMYFUNCTION("""COMPUTED_VALUE"""),3119.0)</f>
        <v>3119</v>
      </c>
      <c r="R395" s="250" t="str">
        <f>IFERROR(__xludf.DUMMYFUNCTION("""COMPUTED_VALUE"""),"")</f>
        <v/>
      </c>
      <c r="U395" s="250">
        <f>IFERROR(__xludf.DUMMYFUNCTION("""COMPUTED_VALUE"""),6589.0)</f>
        <v>6589</v>
      </c>
      <c r="V395" s="250">
        <f>IFERROR(__xludf.DUMMYFUNCTION("""COMPUTED_VALUE"""),6269.0)</f>
        <v>6269</v>
      </c>
      <c r="W395" s="250">
        <f>IFERROR(__xludf.DUMMYFUNCTION("""COMPUTED_VALUE"""),5729.0)</f>
        <v>5729</v>
      </c>
      <c r="X395" t="b">
        <f t="shared" ref="X395:Z395" si="766">ISBLANK(K395)</f>
        <v>1</v>
      </c>
      <c r="Y395" t="b">
        <f t="shared" si="766"/>
        <v>0</v>
      </c>
      <c r="Z395" t="b">
        <f t="shared" si="766"/>
        <v>0</v>
      </c>
      <c r="AA395">
        <f t="shared" ref="AA395:AC395" si="767">IF(X395=FALSE,1,0)</f>
        <v>0</v>
      </c>
      <c r="AB395">
        <f t="shared" si="767"/>
        <v>1</v>
      </c>
      <c r="AC395">
        <f t="shared" si="767"/>
        <v>1</v>
      </c>
      <c r="AD395">
        <f t="shared" si="6"/>
        <v>2</v>
      </c>
      <c r="AE395">
        <f t="shared" si="7"/>
        <v>1</v>
      </c>
      <c r="AF395">
        <f>if(iferror(vlookup($A395,'Description Database'!$E$2:$H$951,3,0),0)=TRUE,1,0)</f>
        <v>0</v>
      </c>
      <c r="AG395">
        <f>if(iferror(vlookup($A395,'Description Database'!$E$2:$H$951,4,0),0)=TRUE,1,0)</f>
        <v>0</v>
      </c>
    </row>
    <row r="396">
      <c r="A396" t="str">
        <f>IFERROR(__xludf.DUMMYFUNCTION("""COMPUTED_VALUE"""),"Motorola Moto G6 (4 GB/64 GB)")</f>
        <v>Motorola Moto G6 (4 GB/64 GB)</v>
      </c>
      <c r="B396" t="str">
        <f>IFERROR(__xludf.DUMMYFUNCTION("""COMPUTED_VALUE"""),"")</f>
        <v/>
      </c>
      <c r="C396" t="str">
        <f>IFERROR(__xludf.DUMMYFUNCTION("""COMPUTED_VALUE"""),"")</f>
        <v/>
      </c>
      <c r="D396" t="str">
        <f>IFERROR(__xludf.DUMMYFUNCTION("""COMPUTED_VALUE"""),"")</f>
        <v/>
      </c>
      <c r="E396" t="str">
        <f>IFERROR(__xludf.DUMMYFUNCTION("""COMPUTED_VALUE"""),"")</f>
        <v/>
      </c>
      <c r="F396" t="str">
        <f>IFERROR(__xludf.DUMMYFUNCTION("""COMPUTED_VALUE"""),"")</f>
        <v/>
      </c>
      <c r="G396" t="str">
        <f>IFERROR(__xludf.DUMMYFUNCTION("""COMPUTED_VALUE"""),"")</f>
        <v/>
      </c>
      <c r="H396" t="str">
        <f>IFERROR(__xludf.DUMMYFUNCTION("""COMPUTED_VALUE"""),"")</f>
        <v/>
      </c>
      <c r="I396">
        <f>IFERROR(__xludf.DUMMYFUNCTION("""COMPUTED_VALUE"""),11.0)</f>
        <v>11</v>
      </c>
      <c r="J396">
        <f>IFERROR(__xludf.DUMMYFUNCTION("""COMPUTED_VALUE"""),11.0)</f>
        <v>11</v>
      </c>
      <c r="L396" s="250" t="str">
        <f>IFERROR(__xludf.DUMMYFUNCTION("""COMPUTED_VALUE"""),"")</f>
        <v/>
      </c>
      <c r="M396" s="250" t="str">
        <f>IFERROR(__xludf.DUMMYFUNCTION("""COMPUTED_VALUE"""),"")</f>
        <v/>
      </c>
      <c r="N396" s="250" t="str">
        <f>IFERROR(__xludf.DUMMYFUNCTION("""COMPUTED_VALUE"""),"")</f>
        <v/>
      </c>
      <c r="O396" s="250" t="str">
        <f>IFERROR(__xludf.DUMMYFUNCTION("""COMPUTED_VALUE"""),"")</f>
        <v/>
      </c>
      <c r="P396" s="250" t="str">
        <f>IFERROR(__xludf.DUMMYFUNCTION("""COMPUTED_VALUE"""),"")</f>
        <v/>
      </c>
      <c r="Q396" s="250" t="str">
        <f>IFERROR(__xludf.DUMMYFUNCTION("""COMPUTED_VALUE"""),"")</f>
        <v/>
      </c>
      <c r="R396" s="250" t="str">
        <f>IFERROR(__xludf.DUMMYFUNCTION("""COMPUTED_VALUE"""),"")</f>
        <v/>
      </c>
      <c r="U396" s="250">
        <f>IFERROR(__xludf.DUMMYFUNCTION("""COMPUTED_VALUE"""),5829.0)</f>
        <v>5829</v>
      </c>
      <c r="V396" s="250">
        <f>IFERROR(__xludf.DUMMYFUNCTION("""COMPUTED_VALUE"""),5549.0)</f>
        <v>5549</v>
      </c>
      <c r="W396" s="250">
        <f>IFERROR(__xludf.DUMMYFUNCTION("""COMPUTED_VALUE"""),5069.0)</f>
        <v>5069</v>
      </c>
      <c r="X396" t="b">
        <f t="shared" ref="X396:Z396" si="768">ISBLANK(K396)</f>
        <v>1</v>
      </c>
      <c r="Y396" t="b">
        <f t="shared" si="768"/>
        <v>0</v>
      </c>
      <c r="Z396" t="b">
        <f t="shared" si="768"/>
        <v>0</v>
      </c>
      <c r="AA396">
        <f t="shared" ref="AA396:AC396" si="769">IF(X396=FALSE,1,0)</f>
        <v>0</v>
      </c>
      <c r="AB396">
        <f t="shared" si="769"/>
        <v>1</v>
      </c>
      <c r="AC396">
        <f t="shared" si="769"/>
        <v>1</v>
      </c>
      <c r="AD396">
        <f t="shared" si="6"/>
        <v>2</v>
      </c>
      <c r="AE396">
        <f t="shared" si="7"/>
        <v>1</v>
      </c>
      <c r="AF396">
        <f>if(iferror(vlookup($A396,'Description Database'!$E$2:$H$951,3,0),0)=TRUE,1,0)</f>
        <v>0</v>
      </c>
      <c r="AG396">
        <f>if(iferror(vlookup($A396,'Description Database'!$E$2:$H$951,4,0),0)=TRUE,1,0)</f>
        <v>0</v>
      </c>
    </row>
    <row r="397">
      <c r="A397" t="str">
        <f>IFERROR(__xludf.DUMMYFUNCTION("""COMPUTED_VALUE"""),"Samsung Galaxy J7 2016 (2 GB/16 GB)")</f>
        <v>Samsung Galaxy J7 2016 (2 GB/16 GB)</v>
      </c>
      <c r="B397" t="str">
        <f>IFERROR(__xludf.DUMMYFUNCTION("""COMPUTED_VALUE"""),"")</f>
        <v/>
      </c>
      <c r="C397" t="str">
        <f>IFERROR(__xludf.DUMMYFUNCTION("""COMPUTED_VALUE"""),"")</f>
        <v/>
      </c>
      <c r="D397" t="str">
        <f>IFERROR(__xludf.DUMMYFUNCTION("""COMPUTED_VALUE"""),"")</f>
        <v/>
      </c>
      <c r="E397" t="str">
        <f>IFERROR(__xludf.DUMMYFUNCTION("""COMPUTED_VALUE"""),"")</f>
        <v/>
      </c>
      <c r="F397">
        <f>IFERROR(__xludf.DUMMYFUNCTION("""COMPUTED_VALUE"""),2.0)</f>
        <v>2</v>
      </c>
      <c r="G397" t="str">
        <f>IFERROR(__xludf.DUMMYFUNCTION("""COMPUTED_VALUE"""),"")</f>
        <v/>
      </c>
      <c r="H397">
        <f>IFERROR(__xludf.DUMMYFUNCTION("""COMPUTED_VALUE"""),1.0)</f>
        <v>1</v>
      </c>
      <c r="I397">
        <f>IFERROR(__xludf.DUMMYFUNCTION("""COMPUTED_VALUE"""),17.0)</f>
        <v>17</v>
      </c>
      <c r="J397">
        <f>IFERROR(__xludf.DUMMYFUNCTION("""COMPUTED_VALUE"""),20.0)</f>
        <v>20</v>
      </c>
      <c r="L397" s="250" t="str">
        <f>IFERROR(__xludf.DUMMYFUNCTION("""COMPUTED_VALUE"""),"")</f>
        <v/>
      </c>
      <c r="M397" s="250" t="str">
        <f>IFERROR(__xludf.DUMMYFUNCTION("""COMPUTED_VALUE"""),"")</f>
        <v/>
      </c>
      <c r="N397" s="250" t="str">
        <f>IFERROR(__xludf.DUMMYFUNCTION("""COMPUTED_VALUE"""),"")</f>
        <v/>
      </c>
      <c r="O397" s="250" t="str">
        <f>IFERROR(__xludf.DUMMYFUNCTION("""COMPUTED_VALUE"""),"")</f>
        <v/>
      </c>
      <c r="P397" s="250">
        <f>IFERROR(__xludf.DUMMYFUNCTION("""COMPUTED_VALUE"""),2669.0)</f>
        <v>2669</v>
      </c>
      <c r="Q397" s="250" t="str">
        <f>IFERROR(__xludf.DUMMYFUNCTION("""COMPUTED_VALUE"""),"")</f>
        <v/>
      </c>
      <c r="R397" s="250">
        <f>IFERROR(__xludf.DUMMYFUNCTION("""COMPUTED_VALUE"""),1399.0)</f>
        <v>1399</v>
      </c>
      <c r="U397" s="250">
        <f>IFERROR(__xludf.DUMMYFUNCTION("""COMPUTED_VALUE"""),4079.0)</f>
        <v>4079</v>
      </c>
      <c r="V397" s="250">
        <f>IFERROR(__xludf.DUMMYFUNCTION("""COMPUTED_VALUE"""),3889.0)</f>
        <v>3889</v>
      </c>
      <c r="W397" s="250">
        <f>IFERROR(__xludf.DUMMYFUNCTION("""COMPUTED_VALUE"""),3559.0)</f>
        <v>3559</v>
      </c>
      <c r="X397" t="b">
        <f t="shared" ref="X397:Z397" si="770">ISBLANK(K397)</f>
        <v>1</v>
      </c>
      <c r="Y397" t="b">
        <f t="shared" si="770"/>
        <v>0</v>
      </c>
      <c r="Z397" t="b">
        <f t="shared" si="770"/>
        <v>0</v>
      </c>
      <c r="AA397">
        <f t="shared" ref="AA397:AC397" si="771">IF(X397=FALSE,1,0)</f>
        <v>0</v>
      </c>
      <c r="AB397">
        <f t="shared" si="771"/>
        <v>1</v>
      </c>
      <c r="AC397">
        <f t="shared" si="771"/>
        <v>1</v>
      </c>
      <c r="AD397">
        <f t="shared" si="6"/>
        <v>2</v>
      </c>
      <c r="AE397">
        <f t="shared" si="7"/>
        <v>1</v>
      </c>
      <c r="AF397">
        <f>if(iferror(vlookup($A397,'Description Database'!$E$2:$H$951,3,0),0)=TRUE,1,0)</f>
        <v>0</v>
      </c>
      <c r="AG397">
        <f>if(iferror(vlookup($A397,'Description Database'!$E$2:$H$951,4,0),0)=TRUE,1,0)</f>
        <v>0</v>
      </c>
    </row>
    <row r="398">
      <c r="A398" t="str">
        <f>IFERROR(__xludf.DUMMYFUNCTION("""COMPUTED_VALUE"""),"Samsung Galaxy On8 2018 (4 GB/64 GB)")</f>
        <v>Samsung Galaxy On8 2018 (4 GB/64 GB)</v>
      </c>
      <c r="B398" t="str">
        <f>IFERROR(__xludf.DUMMYFUNCTION("""COMPUTED_VALUE"""),"")</f>
        <v/>
      </c>
      <c r="C398" t="str">
        <f>IFERROR(__xludf.DUMMYFUNCTION("""COMPUTED_VALUE"""),"")</f>
        <v/>
      </c>
      <c r="D398" t="str">
        <f>IFERROR(__xludf.DUMMYFUNCTION("""COMPUTED_VALUE"""),"")</f>
        <v/>
      </c>
      <c r="E398" t="str">
        <f>IFERROR(__xludf.DUMMYFUNCTION("""COMPUTED_VALUE"""),"")</f>
        <v/>
      </c>
      <c r="F398" t="str">
        <f>IFERROR(__xludf.DUMMYFUNCTION("""COMPUTED_VALUE"""),"")</f>
        <v/>
      </c>
      <c r="G398" t="str">
        <f>IFERROR(__xludf.DUMMYFUNCTION("""COMPUTED_VALUE"""),"")</f>
        <v/>
      </c>
      <c r="H398" t="str">
        <f>IFERROR(__xludf.DUMMYFUNCTION("""COMPUTED_VALUE"""),"")</f>
        <v/>
      </c>
      <c r="I398" t="str">
        <f>IFERROR(__xludf.DUMMYFUNCTION("""COMPUTED_VALUE"""),"")</f>
        <v/>
      </c>
      <c r="J398">
        <f>IFERROR(__xludf.DUMMYFUNCTION("""COMPUTED_VALUE"""),0.0)</f>
        <v>0</v>
      </c>
      <c r="L398" s="250" t="str">
        <f>IFERROR(__xludf.DUMMYFUNCTION("""COMPUTED_VALUE"""),"")</f>
        <v/>
      </c>
      <c r="M398" s="250" t="str">
        <f>IFERROR(__xludf.DUMMYFUNCTION("""COMPUTED_VALUE"""),"")</f>
        <v/>
      </c>
      <c r="N398" s="250" t="str">
        <f>IFERROR(__xludf.DUMMYFUNCTION("""COMPUTED_VALUE"""),"")</f>
        <v/>
      </c>
      <c r="O398" s="250" t="str">
        <f>IFERROR(__xludf.DUMMYFUNCTION("""COMPUTED_VALUE"""),"")</f>
        <v/>
      </c>
      <c r="P398" s="250" t="str">
        <f>IFERROR(__xludf.DUMMYFUNCTION("""COMPUTED_VALUE"""),"")</f>
        <v/>
      </c>
      <c r="Q398" s="250" t="str">
        <f>IFERROR(__xludf.DUMMYFUNCTION("""COMPUTED_VALUE"""),"")</f>
        <v/>
      </c>
      <c r="R398" s="250" t="str">
        <f>IFERROR(__xludf.DUMMYFUNCTION("""COMPUTED_VALUE"""),"")</f>
        <v/>
      </c>
      <c r="U398" s="250">
        <f>IFERROR(__xludf.DUMMYFUNCTION("""COMPUTED_VALUE"""),6759.0)</f>
        <v>6759</v>
      </c>
      <c r="V398" s="250">
        <f>IFERROR(__xludf.DUMMYFUNCTION("""COMPUTED_VALUE"""),6429.0)</f>
        <v>6429</v>
      </c>
      <c r="W398" s="250">
        <f>IFERROR(__xludf.DUMMYFUNCTION("""COMPUTED_VALUE"""),5789.0)</f>
        <v>5789</v>
      </c>
      <c r="X398" t="b">
        <f t="shared" ref="X398:Z398" si="772">ISBLANK(K398)</f>
        <v>1</v>
      </c>
      <c r="Y398" t="b">
        <f t="shared" si="772"/>
        <v>0</v>
      </c>
      <c r="Z398" t="b">
        <f t="shared" si="772"/>
        <v>0</v>
      </c>
      <c r="AA398">
        <f t="shared" ref="AA398:AC398" si="773">IF(X398=FALSE,1,0)</f>
        <v>0</v>
      </c>
      <c r="AB398">
        <f t="shared" si="773"/>
        <v>1</v>
      </c>
      <c r="AC398">
        <f t="shared" si="773"/>
        <v>1</v>
      </c>
      <c r="AD398">
        <f t="shared" si="6"/>
        <v>2</v>
      </c>
      <c r="AE398">
        <f t="shared" si="7"/>
        <v>1</v>
      </c>
      <c r="AF398">
        <f>if(iferror(vlookup($A398,'Description Database'!$E$2:$H$951,3,0),0)=TRUE,1,0)</f>
        <v>0</v>
      </c>
      <c r="AG398">
        <f>if(iferror(vlookup($A398,'Description Database'!$E$2:$H$951,4,0),0)=TRUE,1,0)</f>
        <v>0</v>
      </c>
    </row>
    <row r="399">
      <c r="A399" t="str">
        <f>IFERROR(__xludf.DUMMYFUNCTION("""COMPUTED_VALUE"""),"Motorola Moto G4 (3 GB/32 GB)")</f>
        <v>Motorola Moto G4 (3 GB/32 GB)</v>
      </c>
      <c r="B399" t="str">
        <f>IFERROR(__xludf.DUMMYFUNCTION("""COMPUTED_VALUE"""),"")</f>
        <v/>
      </c>
      <c r="C399" t="str">
        <f>IFERROR(__xludf.DUMMYFUNCTION("""COMPUTED_VALUE"""),"")</f>
        <v/>
      </c>
      <c r="D399" t="str">
        <f>IFERROR(__xludf.DUMMYFUNCTION("""COMPUTED_VALUE"""),"")</f>
        <v/>
      </c>
      <c r="E399" t="str">
        <f>IFERROR(__xludf.DUMMYFUNCTION("""COMPUTED_VALUE"""),"")</f>
        <v/>
      </c>
      <c r="F399" t="str">
        <f>IFERROR(__xludf.DUMMYFUNCTION("""COMPUTED_VALUE"""),"")</f>
        <v/>
      </c>
      <c r="G399" t="str">
        <f>IFERROR(__xludf.DUMMYFUNCTION("""COMPUTED_VALUE"""),"")</f>
        <v/>
      </c>
      <c r="H399" t="str">
        <f>IFERROR(__xludf.DUMMYFUNCTION("""COMPUTED_VALUE"""),"")</f>
        <v/>
      </c>
      <c r="I399">
        <f>IFERROR(__xludf.DUMMYFUNCTION("""COMPUTED_VALUE"""),5.0)</f>
        <v>5</v>
      </c>
      <c r="J399">
        <f>IFERROR(__xludf.DUMMYFUNCTION("""COMPUTED_VALUE"""),5.0)</f>
        <v>5</v>
      </c>
      <c r="L399" s="250" t="str">
        <f>IFERROR(__xludf.DUMMYFUNCTION("""COMPUTED_VALUE"""),"")</f>
        <v/>
      </c>
      <c r="M399" s="250" t="str">
        <f>IFERROR(__xludf.DUMMYFUNCTION("""COMPUTED_VALUE"""),"")</f>
        <v/>
      </c>
      <c r="N399" s="250" t="str">
        <f>IFERROR(__xludf.DUMMYFUNCTION("""COMPUTED_VALUE"""),"")</f>
        <v/>
      </c>
      <c r="O399" s="250" t="str">
        <f>IFERROR(__xludf.DUMMYFUNCTION("""COMPUTED_VALUE"""),"")</f>
        <v/>
      </c>
      <c r="P399" s="250" t="str">
        <f>IFERROR(__xludf.DUMMYFUNCTION("""COMPUTED_VALUE"""),"")</f>
        <v/>
      </c>
      <c r="Q399" s="250" t="str">
        <f>IFERROR(__xludf.DUMMYFUNCTION("""COMPUTED_VALUE"""),"")</f>
        <v/>
      </c>
      <c r="R399" s="250" t="str">
        <f>IFERROR(__xludf.DUMMYFUNCTION("""COMPUTED_VALUE"""),"")</f>
        <v/>
      </c>
      <c r="U399" s="250">
        <f>IFERROR(__xludf.DUMMYFUNCTION("""COMPUTED_VALUE"""),2819.0)</f>
        <v>2819</v>
      </c>
      <c r="V399" s="250">
        <f>IFERROR(__xludf.DUMMYFUNCTION("""COMPUTED_VALUE"""),2679.0)</f>
        <v>2679</v>
      </c>
      <c r="W399" s="250">
        <f>IFERROR(__xludf.DUMMYFUNCTION("""COMPUTED_VALUE"""),2409.0)</f>
        <v>2409</v>
      </c>
      <c r="X399" t="b">
        <f t="shared" ref="X399:Z399" si="774">ISBLANK(K399)</f>
        <v>1</v>
      </c>
      <c r="Y399" t="b">
        <f t="shared" si="774"/>
        <v>0</v>
      </c>
      <c r="Z399" t="b">
        <f t="shared" si="774"/>
        <v>0</v>
      </c>
      <c r="AA399">
        <f t="shared" ref="AA399:AC399" si="775">IF(X399=FALSE,1,0)</f>
        <v>0</v>
      </c>
      <c r="AB399">
        <f t="shared" si="775"/>
        <v>1</v>
      </c>
      <c r="AC399">
        <f t="shared" si="775"/>
        <v>1</v>
      </c>
      <c r="AD399">
        <f t="shared" si="6"/>
        <v>2</v>
      </c>
      <c r="AE399">
        <f t="shared" si="7"/>
        <v>1</v>
      </c>
      <c r="AF399">
        <f>if(iferror(vlookup($A399,'Description Database'!$E$2:$H$951,3,0),0)=TRUE,1,0)</f>
        <v>0</v>
      </c>
      <c r="AG399">
        <f>if(iferror(vlookup($A399,'Description Database'!$E$2:$H$951,4,0),0)=TRUE,1,0)</f>
        <v>0</v>
      </c>
    </row>
    <row r="400">
      <c r="A400" t="str">
        <f>IFERROR(__xludf.DUMMYFUNCTION("""COMPUTED_VALUE"""),"Samsung Galaxy On7 Prime (4 GB/64 GB)")</f>
        <v>Samsung Galaxy On7 Prime (4 GB/64 GB)</v>
      </c>
      <c r="B400" t="str">
        <f>IFERROR(__xludf.DUMMYFUNCTION("""COMPUTED_VALUE"""),"")</f>
        <v/>
      </c>
      <c r="C400" t="str">
        <f>IFERROR(__xludf.DUMMYFUNCTION("""COMPUTED_VALUE"""),"")</f>
        <v/>
      </c>
      <c r="D400" t="str">
        <f>IFERROR(__xludf.DUMMYFUNCTION("""COMPUTED_VALUE"""),"")</f>
        <v/>
      </c>
      <c r="E400" t="str">
        <f>IFERROR(__xludf.DUMMYFUNCTION("""COMPUTED_VALUE"""),"")</f>
        <v/>
      </c>
      <c r="F400">
        <f>IFERROR(__xludf.DUMMYFUNCTION("""COMPUTED_VALUE"""),1.0)</f>
        <v>1</v>
      </c>
      <c r="G400" t="str">
        <f>IFERROR(__xludf.DUMMYFUNCTION("""COMPUTED_VALUE"""),"")</f>
        <v/>
      </c>
      <c r="H400" t="str">
        <f>IFERROR(__xludf.DUMMYFUNCTION("""COMPUTED_VALUE"""),"")</f>
        <v/>
      </c>
      <c r="I400" t="str">
        <f>IFERROR(__xludf.DUMMYFUNCTION("""COMPUTED_VALUE"""),"")</f>
        <v/>
      </c>
      <c r="J400">
        <f>IFERROR(__xludf.DUMMYFUNCTION("""COMPUTED_VALUE"""),1.0)</f>
        <v>1</v>
      </c>
      <c r="L400" s="250" t="str">
        <f>IFERROR(__xludf.DUMMYFUNCTION("""COMPUTED_VALUE"""),"")</f>
        <v/>
      </c>
      <c r="M400" s="250" t="str">
        <f>IFERROR(__xludf.DUMMYFUNCTION("""COMPUTED_VALUE"""),"")</f>
        <v/>
      </c>
      <c r="N400" s="250" t="str">
        <f>IFERROR(__xludf.DUMMYFUNCTION("""COMPUTED_VALUE"""),"")</f>
        <v/>
      </c>
      <c r="O400" s="250" t="str">
        <f>IFERROR(__xludf.DUMMYFUNCTION("""COMPUTED_VALUE"""),"")</f>
        <v/>
      </c>
      <c r="P400" s="250">
        <f>IFERROR(__xludf.DUMMYFUNCTION("""COMPUTED_VALUE"""),3559.0)</f>
        <v>3559</v>
      </c>
      <c r="Q400" s="250" t="str">
        <f>IFERROR(__xludf.DUMMYFUNCTION("""COMPUTED_VALUE"""),"")</f>
        <v/>
      </c>
      <c r="R400" s="250" t="str">
        <f>IFERROR(__xludf.DUMMYFUNCTION("""COMPUTED_VALUE"""),"")</f>
        <v/>
      </c>
      <c r="U400" s="250">
        <f>IFERROR(__xludf.DUMMYFUNCTION("""COMPUTED_VALUE"""),5479.0)</f>
        <v>5479</v>
      </c>
      <c r="V400" s="250">
        <f>IFERROR(__xludf.DUMMYFUNCTION("""COMPUTED_VALUE"""),5219.0)</f>
        <v>5219</v>
      </c>
      <c r="W400" s="250">
        <f>IFERROR(__xludf.DUMMYFUNCTION("""COMPUTED_VALUE"""),4699.0)</f>
        <v>4699</v>
      </c>
      <c r="X400" t="b">
        <f t="shared" ref="X400:Z400" si="776">ISBLANK(K400)</f>
        <v>1</v>
      </c>
      <c r="Y400" t="b">
        <f t="shared" si="776"/>
        <v>0</v>
      </c>
      <c r="Z400" t="b">
        <f t="shared" si="776"/>
        <v>0</v>
      </c>
      <c r="AA400">
        <f t="shared" ref="AA400:AC400" si="777">IF(X400=FALSE,1,0)</f>
        <v>0</v>
      </c>
      <c r="AB400">
        <f t="shared" si="777"/>
        <v>1</v>
      </c>
      <c r="AC400">
        <f t="shared" si="777"/>
        <v>1</v>
      </c>
      <c r="AD400">
        <f t="shared" si="6"/>
        <v>2</v>
      </c>
      <c r="AE400">
        <f t="shared" si="7"/>
        <v>1</v>
      </c>
      <c r="AF400">
        <f>if(iferror(vlookup($A400,'Description Database'!$E$2:$H$951,3,0),0)=TRUE,1,0)</f>
        <v>0</v>
      </c>
      <c r="AG400">
        <f>if(iferror(vlookup($A400,'Description Database'!$E$2:$H$951,4,0),0)=TRUE,1,0)</f>
        <v>0</v>
      </c>
    </row>
    <row r="401">
      <c r="A401" t="str">
        <f>IFERROR(__xludf.DUMMYFUNCTION("""COMPUTED_VALUE"""),"OnePlus One (3 GB/64 GB)")</f>
        <v>OnePlus One (3 GB/64 GB)</v>
      </c>
      <c r="B401" t="str">
        <f>IFERROR(__xludf.DUMMYFUNCTION("""COMPUTED_VALUE"""),"")</f>
        <v/>
      </c>
      <c r="C401" t="str">
        <f>IFERROR(__xludf.DUMMYFUNCTION("""COMPUTED_VALUE"""),"")</f>
        <v/>
      </c>
      <c r="D401" t="str">
        <f>IFERROR(__xludf.DUMMYFUNCTION("""COMPUTED_VALUE"""),"")</f>
        <v/>
      </c>
      <c r="E401" t="str">
        <f>IFERROR(__xludf.DUMMYFUNCTION("""COMPUTED_VALUE"""),"")</f>
        <v/>
      </c>
      <c r="F401" t="str">
        <f>IFERROR(__xludf.DUMMYFUNCTION("""COMPUTED_VALUE"""),"")</f>
        <v/>
      </c>
      <c r="G401" t="str">
        <f>IFERROR(__xludf.DUMMYFUNCTION("""COMPUTED_VALUE"""),"")</f>
        <v/>
      </c>
      <c r="H401" t="str">
        <f>IFERROR(__xludf.DUMMYFUNCTION("""COMPUTED_VALUE"""),"")</f>
        <v/>
      </c>
      <c r="I401">
        <f>IFERROR(__xludf.DUMMYFUNCTION("""COMPUTED_VALUE"""),3.0)</f>
        <v>3</v>
      </c>
      <c r="J401">
        <f>IFERROR(__xludf.DUMMYFUNCTION("""COMPUTED_VALUE"""),3.0)</f>
        <v>3</v>
      </c>
      <c r="L401" s="250" t="str">
        <f>IFERROR(__xludf.DUMMYFUNCTION("""COMPUTED_VALUE"""),"")</f>
        <v/>
      </c>
      <c r="M401" s="250" t="str">
        <f>IFERROR(__xludf.DUMMYFUNCTION("""COMPUTED_VALUE"""),"")</f>
        <v/>
      </c>
      <c r="N401" s="250" t="str">
        <f>IFERROR(__xludf.DUMMYFUNCTION("""COMPUTED_VALUE"""),"")</f>
        <v/>
      </c>
      <c r="O401" s="250" t="str">
        <f>IFERROR(__xludf.DUMMYFUNCTION("""COMPUTED_VALUE"""),"")</f>
        <v/>
      </c>
      <c r="P401" s="250" t="str">
        <f>IFERROR(__xludf.DUMMYFUNCTION("""COMPUTED_VALUE"""),"")</f>
        <v/>
      </c>
      <c r="Q401" s="250" t="str">
        <f>IFERROR(__xludf.DUMMYFUNCTION("""COMPUTED_VALUE"""),"")</f>
        <v/>
      </c>
      <c r="R401" s="250" t="str">
        <f>IFERROR(__xludf.DUMMYFUNCTION("""COMPUTED_VALUE"""),"")</f>
        <v/>
      </c>
      <c r="U401" s="250">
        <f>IFERROR(__xludf.DUMMYFUNCTION("""COMPUTED_VALUE"""),2629.0)</f>
        <v>2629</v>
      </c>
      <c r="V401" s="250">
        <f>IFERROR(__xludf.DUMMYFUNCTION("""COMPUTED_VALUE"""),2499.0)</f>
        <v>2499</v>
      </c>
      <c r="W401" s="250">
        <f>IFERROR(__xludf.DUMMYFUNCTION("""COMPUTED_VALUE"""),2259.0)</f>
        <v>2259</v>
      </c>
      <c r="X401" t="b">
        <f t="shared" ref="X401:Z401" si="778">ISBLANK(K401)</f>
        <v>1</v>
      </c>
      <c r="Y401" t="b">
        <f t="shared" si="778"/>
        <v>0</v>
      </c>
      <c r="Z401" t="b">
        <f t="shared" si="778"/>
        <v>0</v>
      </c>
      <c r="AA401">
        <f t="shared" ref="AA401:AC401" si="779">IF(X401=FALSE,1,0)</f>
        <v>0</v>
      </c>
      <c r="AB401">
        <f t="shared" si="779"/>
        <v>1</v>
      </c>
      <c r="AC401">
        <f t="shared" si="779"/>
        <v>1</v>
      </c>
      <c r="AD401">
        <f t="shared" si="6"/>
        <v>2</v>
      </c>
      <c r="AE401">
        <f t="shared" si="7"/>
        <v>1</v>
      </c>
      <c r="AF401">
        <f>if(iferror(vlookup($A401,'Description Database'!$E$2:$H$951,3,0),0)=TRUE,1,0)</f>
        <v>0</v>
      </c>
      <c r="AG401">
        <f>if(iferror(vlookup($A401,'Description Database'!$E$2:$H$951,4,0),0)=TRUE,1,0)</f>
        <v>0</v>
      </c>
    </row>
    <row r="402">
      <c r="A402" t="str">
        <f>IFERROR(__xludf.DUMMYFUNCTION("""COMPUTED_VALUE"""),"Nokia 1 (1 GB/8 GB)")</f>
        <v>Nokia 1 (1 GB/8 GB)</v>
      </c>
      <c r="B402" t="str">
        <f>IFERROR(__xludf.DUMMYFUNCTION("""COMPUTED_VALUE"""),"")</f>
        <v/>
      </c>
      <c r="C402" t="str">
        <f>IFERROR(__xludf.DUMMYFUNCTION("""COMPUTED_VALUE"""),"")</f>
        <v/>
      </c>
      <c r="D402" t="str">
        <f>IFERROR(__xludf.DUMMYFUNCTION("""COMPUTED_VALUE"""),"")</f>
        <v/>
      </c>
      <c r="E402" t="str">
        <f>IFERROR(__xludf.DUMMYFUNCTION("""COMPUTED_VALUE"""),"")</f>
        <v/>
      </c>
      <c r="F402" t="str">
        <f>IFERROR(__xludf.DUMMYFUNCTION("""COMPUTED_VALUE"""),"")</f>
        <v/>
      </c>
      <c r="G402" t="str">
        <f>IFERROR(__xludf.DUMMYFUNCTION("""COMPUTED_VALUE"""),"")</f>
        <v/>
      </c>
      <c r="H402" t="str">
        <f>IFERROR(__xludf.DUMMYFUNCTION("""COMPUTED_VALUE"""),"")</f>
        <v/>
      </c>
      <c r="I402">
        <f>IFERROR(__xludf.DUMMYFUNCTION("""COMPUTED_VALUE"""),1.0)</f>
        <v>1</v>
      </c>
      <c r="J402">
        <f>IFERROR(__xludf.DUMMYFUNCTION("""COMPUTED_VALUE"""),1.0)</f>
        <v>1</v>
      </c>
      <c r="L402" s="250" t="str">
        <f>IFERROR(__xludf.DUMMYFUNCTION("""COMPUTED_VALUE"""),"")</f>
        <v/>
      </c>
      <c r="M402" s="250" t="str">
        <f>IFERROR(__xludf.DUMMYFUNCTION("""COMPUTED_VALUE"""),"")</f>
        <v/>
      </c>
      <c r="N402" s="250" t="str">
        <f>IFERROR(__xludf.DUMMYFUNCTION("""COMPUTED_VALUE"""),"")</f>
        <v/>
      </c>
      <c r="O402" s="250" t="str">
        <f>IFERROR(__xludf.DUMMYFUNCTION("""COMPUTED_VALUE"""),"")</f>
        <v/>
      </c>
      <c r="P402" s="250" t="str">
        <f>IFERROR(__xludf.DUMMYFUNCTION("""COMPUTED_VALUE"""),"")</f>
        <v/>
      </c>
      <c r="Q402" s="250" t="str">
        <f>IFERROR(__xludf.DUMMYFUNCTION("""COMPUTED_VALUE"""),"")</f>
        <v/>
      </c>
      <c r="R402" s="250" t="str">
        <f>IFERROR(__xludf.DUMMYFUNCTION("""COMPUTED_VALUE"""),"")</f>
        <v/>
      </c>
      <c r="U402" s="250">
        <f>IFERROR(__xludf.DUMMYFUNCTION("""COMPUTED_VALUE"""),1789.0)</f>
        <v>1789</v>
      </c>
      <c r="V402" s="250">
        <f>IFERROR(__xludf.DUMMYFUNCTION("""COMPUTED_VALUE"""),1699.0)</f>
        <v>1699</v>
      </c>
      <c r="W402" s="250">
        <f>IFERROR(__xludf.DUMMYFUNCTION("""COMPUTED_VALUE"""),1529.0)</f>
        <v>1529</v>
      </c>
      <c r="X402" t="b">
        <f t="shared" ref="X402:Z402" si="780">ISBLANK(K402)</f>
        <v>1</v>
      </c>
      <c r="Y402" t="b">
        <f t="shared" si="780"/>
        <v>0</v>
      </c>
      <c r="Z402" t="b">
        <f t="shared" si="780"/>
        <v>0</v>
      </c>
      <c r="AA402">
        <f t="shared" ref="AA402:AC402" si="781">IF(X402=FALSE,1,0)</f>
        <v>0</v>
      </c>
      <c r="AB402">
        <f t="shared" si="781"/>
        <v>1</v>
      </c>
      <c r="AC402">
        <f t="shared" si="781"/>
        <v>1</v>
      </c>
      <c r="AD402">
        <f t="shared" si="6"/>
        <v>2</v>
      </c>
      <c r="AE402">
        <f t="shared" si="7"/>
        <v>1</v>
      </c>
      <c r="AF402">
        <f>if(iferror(vlookup($A402,'Description Database'!$E$2:$H$951,3,0),0)=TRUE,1,0)</f>
        <v>0</v>
      </c>
      <c r="AG402">
        <f>if(iferror(vlookup($A402,'Description Database'!$E$2:$H$951,4,0),0)=TRUE,1,0)</f>
        <v>0</v>
      </c>
    </row>
    <row r="403">
      <c r="A403" t="str">
        <f>IFERROR(__xludf.DUMMYFUNCTION("""COMPUTED_VALUE"""),"Nokia 8.1 (4 GB/64 GB)")</f>
        <v>Nokia 8.1 (4 GB/64 GB)</v>
      </c>
      <c r="B403" t="str">
        <f>IFERROR(__xludf.DUMMYFUNCTION("""COMPUTED_VALUE"""),"")</f>
        <v/>
      </c>
      <c r="C403" t="str">
        <f>IFERROR(__xludf.DUMMYFUNCTION("""COMPUTED_VALUE"""),"")</f>
        <v/>
      </c>
      <c r="D403" t="str">
        <f>IFERROR(__xludf.DUMMYFUNCTION("""COMPUTED_VALUE"""),"")</f>
        <v/>
      </c>
      <c r="E403" t="str">
        <f>IFERROR(__xludf.DUMMYFUNCTION("""COMPUTED_VALUE"""),"")</f>
        <v/>
      </c>
      <c r="F403" t="str">
        <f>IFERROR(__xludf.DUMMYFUNCTION("""COMPUTED_VALUE"""),"")</f>
        <v/>
      </c>
      <c r="G403" t="str">
        <f>IFERROR(__xludf.DUMMYFUNCTION("""COMPUTED_VALUE"""),"")</f>
        <v/>
      </c>
      <c r="H403" t="str">
        <f>IFERROR(__xludf.DUMMYFUNCTION("""COMPUTED_VALUE"""),"")</f>
        <v/>
      </c>
      <c r="I403">
        <f>IFERROR(__xludf.DUMMYFUNCTION("""COMPUTED_VALUE"""),4.0)</f>
        <v>4</v>
      </c>
      <c r="J403">
        <f>IFERROR(__xludf.DUMMYFUNCTION("""COMPUTED_VALUE"""),4.0)</f>
        <v>4</v>
      </c>
      <c r="L403" s="250" t="str">
        <f>IFERROR(__xludf.DUMMYFUNCTION("""COMPUTED_VALUE"""),"")</f>
        <v/>
      </c>
      <c r="M403" s="250" t="str">
        <f>IFERROR(__xludf.DUMMYFUNCTION("""COMPUTED_VALUE"""),"")</f>
        <v/>
      </c>
      <c r="N403" s="250" t="str">
        <f>IFERROR(__xludf.DUMMYFUNCTION("""COMPUTED_VALUE"""),"")</f>
        <v/>
      </c>
      <c r="O403" s="250" t="str">
        <f>IFERROR(__xludf.DUMMYFUNCTION("""COMPUTED_VALUE"""),"")</f>
        <v/>
      </c>
      <c r="P403" s="250" t="str">
        <f>IFERROR(__xludf.DUMMYFUNCTION("""COMPUTED_VALUE"""),"")</f>
        <v/>
      </c>
      <c r="Q403" s="250" t="str">
        <f>IFERROR(__xludf.DUMMYFUNCTION("""COMPUTED_VALUE"""),"")</f>
        <v/>
      </c>
      <c r="R403" s="250" t="str">
        <f>IFERROR(__xludf.DUMMYFUNCTION("""COMPUTED_VALUE"""),"")</f>
        <v/>
      </c>
      <c r="U403" s="250">
        <f>IFERROR(__xludf.DUMMYFUNCTION("""COMPUTED_VALUE"""),7419.0)</f>
        <v>7419</v>
      </c>
      <c r="V403" s="250">
        <f>IFERROR(__xludf.DUMMYFUNCTION("""COMPUTED_VALUE"""),7069.0)</f>
        <v>7069</v>
      </c>
      <c r="W403" s="250">
        <f>IFERROR(__xludf.DUMMYFUNCTION("""COMPUTED_VALUE"""),6359.0)</f>
        <v>6359</v>
      </c>
      <c r="X403" t="b">
        <f t="shared" ref="X403:Z403" si="782">ISBLANK(K403)</f>
        <v>1</v>
      </c>
      <c r="Y403" t="b">
        <f t="shared" si="782"/>
        <v>0</v>
      </c>
      <c r="Z403" t="b">
        <f t="shared" si="782"/>
        <v>0</v>
      </c>
      <c r="AA403">
        <f t="shared" ref="AA403:AC403" si="783">IF(X403=FALSE,1,0)</f>
        <v>0</v>
      </c>
      <c r="AB403">
        <f t="shared" si="783"/>
        <v>1</v>
      </c>
      <c r="AC403">
        <f t="shared" si="783"/>
        <v>1</v>
      </c>
      <c r="AD403">
        <f t="shared" si="6"/>
        <v>2</v>
      </c>
      <c r="AE403">
        <f t="shared" si="7"/>
        <v>1</v>
      </c>
      <c r="AF403">
        <f>if(iferror(vlookup($A403,'Description Database'!$E$2:$H$951,3,0),0)=TRUE,1,0)</f>
        <v>0</v>
      </c>
      <c r="AG403">
        <f>if(iferror(vlookup($A403,'Description Database'!$E$2:$H$951,4,0),0)=TRUE,1,0)</f>
        <v>0</v>
      </c>
    </row>
    <row r="404">
      <c r="A404" t="str">
        <f>IFERROR(__xludf.DUMMYFUNCTION("""COMPUTED_VALUE"""),"Google NEXUS 6P (3 GB/64 GB)")</f>
        <v>Google NEXUS 6P (3 GB/64 GB)</v>
      </c>
      <c r="B404" t="str">
        <f>IFERROR(__xludf.DUMMYFUNCTION("""COMPUTED_VALUE"""),"")</f>
        <v/>
      </c>
      <c r="C404" t="str">
        <f>IFERROR(__xludf.DUMMYFUNCTION("""COMPUTED_VALUE"""),"")</f>
        <v/>
      </c>
      <c r="D404" t="str">
        <f>IFERROR(__xludf.DUMMYFUNCTION("""COMPUTED_VALUE"""),"")</f>
        <v/>
      </c>
      <c r="E404" t="str">
        <f>IFERROR(__xludf.DUMMYFUNCTION("""COMPUTED_VALUE"""),"")</f>
        <v/>
      </c>
      <c r="F404" t="str">
        <f>IFERROR(__xludf.DUMMYFUNCTION("""COMPUTED_VALUE"""),"")</f>
        <v/>
      </c>
      <c r="G404" t="str">
        <f>IFERROR(__xludf.DUMMYFUNCTION("""COMPUTED_VALUE"""),"")</f>
        <v/>
      </c>
      <c r="H404" t="str">
        <f>IFERROR(__xludf.DUMMYFUNCTION("""COMPUTED_VALUE"""),"")</f>
        <v/>
      </c>
      <c r="I404" t="str">
        <f>IFERROR(__xludf.DUMMYFUNCTION("""COMPUTED_VALUE"""),"")</f>
        <v/>
      </c>
      <c r="J404">
        <f>IFERROR(__xludf.DUMMYFUNCTION("""COMPUTED_VALUE"""),0.0)</f>
        <v>0</v>
      </c>
      <c r="L404" s="250" t="str">
        <f>IFERROR(__xludf.DUMMYFUNCTION("""COMPUTED_VALUE"""),"")</f>
        <v/>
      </c>
      <c r="M404" s="250" t="str">
        <f>IFERROR(__xludf.DUMMYFUNCTION("""COMPUTED_VALUE"""),"")</f>
        <v/>
      </c>
      <c r="N404" s="250" t="str">
        <f>IFERROR(__xludf.DUMMYFUNCTION("""COMPUTED_VALUE"""),"")</f>
        <v/>
      </c>
      <c r="O404" s="250" t="str">
        <f>IFERROR(__xludf.DUMMYFUNCTION("""COMPUTED_VALUE"""),"")</f>
        <v/>
      </c>
      <c r="P404" s="250" t="str">
        <f>IFERROR(__xludf.DUMMYFUNCTION("""COMPUTED_VALUE"""),"")</f>
        <v/>
      </c>
      <c r="Q404" s="250" t="str">
        <f>IFERROR(__xludf.DUMMYFUNCTION("""COMPUTED_VALUE"""),"")</f>
        <v/>
      </c>
      <c r="R404" s="250" t="str">
        <f>IFERROR(__xludf.DUMMYFUNCTION("""COMPUTED_VALUE"""),"")</f>
        <v/>
      </c>
      <c r="U404" s="250">
        <f>IFERROR(__xludf.DUMMYFUNCTION("""COMPUTED_VALUE"""),4019.0)</f>
        <v>4019</v>
      </c>
      <c r="V404" s="250">
        <f>IFERROR(__xludf.DUMMYFUNCTION("""COMPUTED_VALUE"""),3819.0)</f>
        <v>3819</v>
      </c>
      <c r="W404" s="250">
        <f>IFERROR(__xludf.DUMMYFUNCTION("""COMPUTED_VALUE"""),3449.0)</f>
        <v>3449</v>
      </c>
      <c r="X404" t="b">
        <f t="shared" ref="X404:Z404" si="784">ISBLANK(K404)</f>
        <v>1</v>
      </c>
      <c r="Y404" t="b">
        <f t="shared" si="784"/>
        <v>0</v>
      </c>
      <c r="Z404" t="b">
        <f t="shared" si="784"/>
        <v>0</v>
      </c>
      <c r="AA404">
        <f t="shared" ref="AA404:AC404" si="785">IF(X404=FALSE,1,0)</f>
        <v>0</v>
      </c>
      <c r="AB404">
        <f t="shared" si="785"/>
        <v>1</v>
      </c>
      <c r="AC404">
        <f t="shared" si="785"/>
        <v>1</v>
      </c>
      <c r="AD404">
        <f t="shared" si="6"/>
        <v>2</v>
      </c>
      <c r="AE404">
        <f t="shared" si="7"/>
        <v>1</v>
      </c>
      <c r="AF404">
        <f>if(iferror(vlookup($A404,'Description Database'!$E$2:$H$951,3,0),0)=TRUE,1,0)</f>
        <v>0</v>
      </c>
      <c r="AG404">
        <f>if(iferror(vlookup($A404,'Description Database'!$E$2:$H$951,4,0),0)=TRUE,1,0)</f>
        <v>0</v>
      </c>
    </row>
    <row r="405">
      <c r="A405" t="str">
        <f>IFERROR(__xludf.DUMMYFUNCTION("""COMPUTED_VALUE"""),"Samsung GALAXY S6 EDGE (3 GB/32 GB)")</f>
        <v>Samsung GALAXY S6 EDGE (3 GB/32 GB)</v>
      </c>
      <c r="B405" t="str">
        <f>IFERROR(__xludf.DUMMYFUNCTION("""COMPUTED_VALUE"""),"")</f>
        <v/>
      </c>
      <c r="C405" t="str">
        <f>IFERROR(__xludf.DUMMYFUNCTION("""COMPUTED_VALUE"""),"")</f>
        <v/>
      </c>
      <c r="D405" t="str">
        <f>IFERROR(__xludf.DUMMYFUNCTION("""COMPUTED_VALUE"""),"")</f>
        <v/>
      </c>
      <c r="E405" t="str">
        <f>IFERROR(__xludf.DUMMYFUNCTION("""COMPUTED_VALUE"""),"")</f>
        <v/>
      </c>
      <c r="F405" t="str">
        <f>IFERROR(__xludf.DUMMYFUNCTION("""COMPUTED_VALUE"""),"")</f>
        <v/>
      </c>
      <c r="G405" t="str">
        <f>IFERROR(__xludf.DUMMYFUNCTION("""COMPUTED_VALUE"""),"")</f>
        <v/>
      </c>
      <c r="H405" t="str">
        <f>IFERROR(__xludf.DUMMYFUNCTION("""COMPUTED_VALUE"""),"")</f>
        <v/>
      </c>
      <c r="I405">
        <f>IFERROR(__xludf.DUMMYFUNCTION("""COMPUTED_VALUE"""),5.0)</f>
        <v>5</v>
      </c>
      <c r="J405">
        <f>IFERROR(__xludf.DUMMYFUNCTION("""COMPUTED_VALUE"""),5.0)</f>
        <v>5</v>
      </c>
      <c r="L405" s="250" t="str">
        <f>IFERROR(__xludf.DUMMYFUNCTION("""COMPUTED_VALUE"""),"")</f>
        <v/>
      </c>
      <c r="M405" s="250" t="str">
        <f>IFERROR(__xludf.DUMMYFUNCTION("""COMPUTED_VALUE"""),"")</f>
        <v/>
      </c>
      <c r="N405" s="250" t="str">
        <f>IFERROR(__xludf.DUMMYFUNCTION("""COMPUTED_VALUE"""),"")</f>
        <v/>
      </c>
      <c r="O405" s="250" t="str">
        <f>IFERROR(__xludf.DUMMYFUNCTION("""COMPUTED_VALUE"""),"")</f>
        <v/>
      </c>
      <c r="P405" s="250" t="str">
        <f>IFERROR(__xludf.DUMMYFUNCTION("""COMPUTED_VALUE"""),"")</f>
        <v/>
      </c>
      <c r="Q405" s="250" t="str">
        <f>IFERROR(__xludf.DUMMYFUNCTION("""COMPUTED_VALUE"""),"")</f>
        <v/>
      </c>
      <c r="R405" s="250" t="str">
        <f>IFERROR(__xludf.DUMMYFUNCTION("""COMPUTED_VALUE"""),"")</f>
        <v/>
      </c>
      <c r="U405" s="250">
        <f>IFERROR(__xludf.DUMMYFUNCTION("""COMPUTED_VALUE"""),5899.0)</f>
        <v>5899</v>
      </c>
      <c r="V405" s="250">
        <f>IFERROR(__xludf.DUMMYFUNCTION("""COMPUTED_VALUE"""),5609.0)</f>
        <v>5609</v>
      </c>
      <c r="W405" s="250">
        <f>IFERROR(__xludf.DUMMYFUNCTION("""COMPUTED_VALUE"""),5049.0)</f>
        <v>5049</v>
      </c>
      <c r="X405" t="b">
        <f t="shared" ref="X405:Z405" si="786">ISBLANK(K405)</f>
        <v>1</v>
      </c>
      <c r="Y405" t="b">
        <f t="shared" si="786"/>
        <v>0</v>
      </c>
      <c r="Z405" t="b">
        <f t="shared" si="786"/>
        <v>0</v>
      </c>
      <c r="AA405">
        <f t="shared" ref="AA405:AC405" si="787">IF(X405=FALSE,1,0)</f>
        <v>0</v>
      </c>
      <c r="AB405">
        <f t="shared" si="787"/>
        <v>1</v>
      </c>
      <c r="AC405">
        <f t="shared" si="787"/>
        <v>1</v>
      </c>
      <c r="AD405">
        <f t="shared" si="6"/>
        <v>2</v>
      </c>
      <c r="AE405">
        <f t="shared" si="7"/>
        <v>1</v>
      </c>
      <c r="AF405">
        <f>if(iferror(vlookup($A405,'Description Database'!$E$2:$H$951,3,0),0)=TRUE,1,0)</f>
        <v>0</v>
      </c>
      <c r="AG405">
        <f>if(iferror(vlookup($A405,'Description Database'!$E$2:$H$951,4,0),0)=TRUE,1,0)</f>
        <v>0</v>
      </c>
    </row>
    <row r="406">
      <c r="A406" t="str">
        <f>IFERROR(__xludf.DUMMYFUNCTION("""COMPUTED_VALUE"""),"Samsung Galaxy A6 Plus (4 GB/64 GB)")</f>
        <v>Samsung Galaxy A6 Plus (4 GB/64 GB)</v>
      </c>
      <c r="B406" t="str">
        <f>IFERROR(__xludf.DUMMYFUNCTION("""COMPUTED_VALUE"""),"")</f>
        <v/>
      </c>
      <c r="C406" t="str">
        <f>IFERROR(__xludf.DUMMYFUNCTION("""COMPUTED_VALUE"""),"")</f>
        <v/>
      </c>
      <c r="D406" t="str">
        <f>IFERROR(__xludf.DUMMYFUNCTION("""COMPUTED_VALUE"""),"")</f>
        <v/>
      </c>
      <c r="E406" t="str">
        <f>IFERROR(__xludf.DUMMYFUNCTION("""COMPUTED_VALUE"""),"")</f>
        <v/>
      </c>
      <c r="F406" t="str">
        <f>IFERROR(__xludf.DUMMYFUNCTION("""COMPUTED_VALUE"""),"")</f>
        <v/>
      </c>
      <c r="G406">
        <f>IFERROR(__xludf.DUMMYFUNCTION("""COMPUTED_VALUE"""),1.0)</f>
        <v>1</v>
      </c>
      <c r="H406" t="str">
        <f>IFERROR(__xludf.DUMMYFUNCTION("""COMPUTED_VALUE"""),"")</f>
        <v/>
      </c>
      <c r="I406">
        <f>IFERROR(__xludf.DUMMYFUNCTION("""COMPUTED_VALUE"""),3.0)</f>
        <v>3</v>
      </c>
      <c r="J406">
        <f>IFERROR(__xludf.DUMMYFUNCTION("""COMPUTED_VALUE"""),4.0)</f>
        <v>4</v>
      </c>
      <c r="L406" s="250" t="str">
        <f>IFERROR(__xludf.DUMMYFUNCTION("""COMPUTED_VALUE"""),"")</f>
        <v/>
      </c>
      <c r="M406" s="250" t="str">
        <f>IFERROR(__xludf.DUMMYFUNCTION("""COMPUTED_VALUE"""),"")</f>
        <v/>
      </c>
      <c r="N406" s="250" t="str">
        <f>IFERROR(__xludf.DUMMYFUNCTION("""COMPUTED_VALUE"""),"")</f>
        <v/>
      </c>
      <c r="O406" s="250" t="str">
        <f>IFERROR(__xludf.DUMMYFUNCTION("""COMPUTED_VALUE"""),"")</f>
        <v/>
      </c>
      <c r="P406" s="250" t="str">
        <f>IFERROR(__xludf.DUMMYFUNCTION("""COMPUTED_VALUE"""),"")</f>
        <v/>
      </c>
      <c r="Q406" s="250">
        <f>IFERROR(__xludf.DUMMYFUNCTION("""COMPUTED_VALUE"""),3069.0)</f>
        <v>3069</v>
      </c>
      <c r="R406" s="250" t="str">
        <f>IFERROR(__xludf.DUMMYFUNCTION("""COMPUTED_VALUE"""),"")</f>
        <v/>
      </c>
      <c r="U406" s="250">
        <f>IFERROR(__xludf.DUMMYFUNCTION("""COMPUTED_VALUE"""),6429.0)</f>
        <v>6429</v>
      </c>
      <c r="V406" s="250">
        <f>IFERROR(__xludf.DUMMYFUNCTION("""COMPUTED_VALUE"""),6119.0)</f>
        <v>6119</v>
      </c>
      <c r="W406" s="250">
        <f>IFERROR(__xludf.DUMMYFUNCTION("""COMPUTED_VALUE"""),5499.0)</f>
        <v>5499</v>
      </c>
      <c r="X406" t="b">
        <f t="shared" ref="X406:Z406" si="788">ISBLANK(K406)</f>
        <v>1</v>
      </c>
      <c r="Y406" t="b">
        <f t="shared" si="788"/>
        <v>0</v>
      </c>
      <c r="Z406" t="b">
        <f t="shared" si="788"/>
        <v>0</v>
      </c>
      <c r="AA406">
        <f t="shared" ref="AA406:AC406" si="789">IF(X406=FALSE,1,0)</f>
        <v>0</v>
      </c>
      <c r="AB406">
        <f t="shared" si="789"/>
        <v>1</v>
      </c>
      <c r="AC406">
        <f t="shared" si="789"/>
        <v>1</v>
      </c>
      <c r="AD406">
        <f t="shared" si="6"/>
        <v>2</v>
      </c>
      <c r="AE406">
        <f t="shared" si="7"/>
        <v>1</v>
      </c>
      <c r="AF406">
        <f>if(iferror(vlookup($A406,'Description Database'!$E$2:$H$951,3,0),0)=TRUE,1,0)</f>
        <v>0</v>
      </c>
      <c r="AG406">
        <f>if(iferror(vlookup($A406,'Description Database'!$E$2:$H$951,4,0),0)=TRUE,1,0)</f>
        <v>0</v>
      </c>
    </row>
    <row r="407">
      <c r="A407" t="str">
        <f>IFERROR(__xludf.DUMMYFUNCTION("""COMPUTED_VALUE"""),"Nokia LUMINA 830 (1 GB/16 GB)")</f>
        <v>Nokia LUMINA 830 (1 GB/16 GB)</v>
      </c>
      <c r="B407" t="str">
        <f>IFERROR(__xludf.DUMMYFUNCTION("""COMPUTED_VALUE"""),"")</f>
        <v/>
      </c>
      <c r="C407" t="str">
        <f>IFERROR(__xludf.DUMMYFUNCTION("""COMPUTED_VALUE"""),"")</f>
        <v/>
      </c>
      <c r="D407" t="str">
        <f>IFERROR(__xludf.DUMMYFUNCTION("""COMPUTED_VALUE"""),"")</f>
        <v/>
      </c>
      <c r="E407" t="str">
        <f>IFERROR(__xludf.DUMMYFUNCTION("""COMPUTED_VALUE"""),"")</f>
        <v/>
      </c>
      <c r="F407" t="str">
        <f>IFERROR(__xludf.DUMMYFUNCTION("""COMPUTED_VALUE"""),"")</f>
        <v/>
      </c>
      <c r="G407" t="str">
        <f>IFERROR(__xludf.DUMMYFUNCTION("""COMPUTED_VALUE"""),"")</f>
        <v/>
      </c>
      <c r="H407" t="str">
        <f>IFERROR(__xludf.DUMMYFUNCTION("""COMPUTED_VALUE"""),"")</f>
        <v/>
      </c>
      <c r="I407" t="str">
        <f>IFERROR(__xludf.DUMMYFUNCTION("""COMPUTED_VALUE"""),"")</f>
        <v/>
      </c>
      <c r="J407">
        <f>IFERROR(__xludf.DUMMYFUNCTION("""COMPUTED_VALUE"""),0.0)</f>
        <v>0</v>
      </c>
      <c r="L407" s="250" t="str">
        <f>IFERROR(__xludf.DUMMYFUNCTION("""COMPUTED_VALUE"""),"")</f>
        <v/>
      </c>
      <c r="M407" s="250" t="str">
        <f>IFERROR(__xludf.DUMMYFUNCTION("""COMPUTED_VALUE"""),"")</f>
        <v/>
      </c>
      <c r="N407" s="250" t="str">
        <f>IFERROR(__xludf.DUMMYFUNCTION("""COMPUTED_VALUE"""),"")</f>
        <v/>
      </c>
      <c r="O407" s="250" t="str">
        <f>IFERROR(__xludf.DUMMYFUNCTION("""COMPUTED_VALUE"""),"")</f>
        <v/>
      </c>
      <c r="P407" s="250" t="str">
        <f>IFERROR(__xludf.DUMMYFUNCTION("""COMPUTED_VALUE"""),"")</f>
        <v/>
      </c>
      <c r="Q407" s="250" t="str">
        <f>IFERROR(__xludf.DUMMYFUNCTION("""COMPUTED_VALUE"""),"")</f>
        <v/>
      </c>
      <c r="R407" s="250" t="str">
        <f>IFERROR(__xludf.DUMMYFUNCTION("""COMPUTED_VALUE"""),"")</f>
        <v/>
      </c>
      <c r="U407" s="250" t="str">
        <f>IFERROR(__xludf.DUMMYFUNCTION("""COMPUTED_VALUE"""),"#N/A")</f>
        <v>#N/A</v>
      </c>
      <c r="V407" s="250" t="str">
        <f>IFERROR(__xludf.DUMMYFUNCTION("""COMPUTED_VALUE"""),"#N/A")</f>
        <v>#N/A</v>
      </c>
      <c r="W407" s="250" t="str">
        <f>IFERROR(__xludf.DUMMYFUNCTION("""COMPUTED_VALUE"""),"#N/A")</f>
        <v>#N/A</v>
      </c>
      <c r="X407" t="b">
        <f t="shared" ref="X407:Z407" si="790">ISBLANK(K407)</f>
        <v>1</v>
      </c>
      <c r="Y407" t="b">
        <f t="shared" si="790"/>
        <v>0</v>
      </c>
      <c r="Z407" t="b">
        <f t="shared" si="790"/>
        <v>0</v>
      </c>
      <c r="AA407">
        <f t="shared" ref="AA407:AC407" si="791">IF(X407=FALSE,1,0)</f>
        <v>0</v>
      </c>
      <c r="AB407">
        <f t="shared" si="791"/>
        <v>1</v>
      </c>
      <c r="AC407">
        <f t="shared" si="791"/>
        <v>1</v>
      </c>
      <c r="AD407">
        <f t="shared" si="6"/>
        <v>2</v>
      </c>
      <c r="AE407">
        <f t="shared" si="7"/>
        <v>1</v>
      </c>
      <c r="AF407">
        <f>if(iferror(vlookup($A407,'Description Database'!$E$2:$H$951,3,0),0)=TRUE,1,0)</f>
        <v>0</v>
      </c>
      <c r="AG407">
        <f>if(iferror(vlookup($A407,'Description Database'!$E$2:$H$951,4,0),0)=TRUE,1,0)</f>
        <v>0</v>
      </c>
    </row>
    <row r="408">
      <c r="A408" t="str">
        <f>IFERROR(__xludf.DUMMYFUNCTION("""COMPUTED_VALUE"""),"Lenovo Vibe K5 Note (4 GB/64 GB)")</f>
        <v>Lenovo Vibe K5 Note (4 GB/64 GB)</v>
      </c>
      <c r="B408" t="str">
        <f>IFERROR(__xludf.DUMMYFUNCTION("""COMPUTED_VALUE"""),"")</f>
        <v/>
      </c>
      <c r="C408" t="str">
        <f>IFERROR(__xludf.DUMMYFUNCTION("""COMPUTED_VALUE"""),"")</f>
        <v/>
      </c>
      <c r="D408">
        <f>IFERROR(__xludf.DUMMYFUNCTION("""COMPUTED_VALUE"""),1.0)</f>
        <v>1</v>
      </c>
      <c r="E408" t="str">
        <f>IFERROR(__xludf.DUMMYFUNCTION("""COMPUTED_VALUE"""),"")</f>
        <v/>
      </c>
      <c r="F408" t="str">
        <f>IFERROR(__xludf.DUMMYFUNCTION("""COMPUTED_VALUE"""),"")</f>
        <v/>
      </c>
      <c r="G408" t="str">
        <f>IFERROR(__xludf.DUMMYFUNCTION("""COMPUTED_VALUE"""),"")</f>
        <v/>
      </c>
      <c r="H408" t="str">
        <f>IFERROR(__xludf.DUMMYFUNCTION("""COMPUTED_VALUE"""),"")</f>
        <v/>
      </c>
      <c r="I408">
        <f>IFERROR(__xludf.DUMMYFUNCTION("""COMPUTED_VALUE"""),4.0)</f>
        <v>4</v>
      </c>
      <c r="J408">
        <f>IFERROR(__xludf.DUMMYFUNCTION("""COMPUTED_VALUE"""),5.0)</f>
        <v>5</v>
      </c>
      <c r="L408" s="250" t="str">
        <f>IFERROR(__xludf.DUMMYFUNCTION("""COMPUTED_VALUE"""),"")</f>
        <v/>
      </c>
      <c r="M408" s="250" t="str">
        <f>IFERROR(__xludf.DUMMYFUNCTION("""COMPUTED_VALUE"""),"")</f>
        <v/>
      </c>
      <c r="N408" s="250">
        <f>IFERROR(__xludf.DUMMYFUNCTION("""COMPUTED_VALUE"""),3349.0)</f>
        <v>3349</v>
      </c>
      <c r="O408" s="250" t="str">
        <f>IFERROR(__xludf.DUMMYFUNCTION("""COMPUTED_VALUE"""),"")</f>
        <v/>
      </c>
      <c r="P408" s="250" t="str">
        <f>IFERROR(__xludf.DUMMYFUNCTION("""COMPUTED_VALUE"""),"")</f>
        <v/>
      </c>
      <c r="Q408" s="250" t="str">
        <f>IFERROR(__xludf.DUMMYFUNCTION("""COMPUTED_VALUE"""),"")</f>
        <v/>
      </c>
      <c r="R408" s="250" t="str">
        <f>IFERROR(__xludf.DUMMYFUNCTION("""COMPUTED_VALUE"""),"")</f>
        <v/>
      </c>
      <c r="U408" s="250">
        <f>IFERROR(__xludf.DUMMYFUNCTION("""COMPUTED_VALUE"""),4299.0)</f>
        <v>4299</v>
      </c>
      <c r="V408" s="250">
        <f>IFERROR(__xludf.DUMMYFUNCTION("""COMPUTED_VALUE"""),4099.0)</f>
        <v>4099</v>
      </c>
      <c r="W408" s="250">
        <f>IFERROR(__xludf.DUMMYFUNCTION("""COMPUTED_VALUE"""),3689.0)</f>
        <v>3689</v>
      </c>
      <c r="X408" t="b">
        <f t="shared" ref="X408:Z408" si="792">ISBLANK(K408)</f>
        <v>1</v>
      </c>
      <c r="Y408" t="b">
        <f t="shared" si="792"/>
        <v>0</v>
      </c>
      <c r="Z408" t="b">
        <f t="shared" si="792"/>
        <v>0</v>
      </c>
      <c r="AA408">
        <f t="shared" ref="AA408:AC408" si="793">IF(X408=FALSE,1,0)</f>
        <v>0</v>
      </c>
      <c r="AB408">
        <f t="shared" si="793"/>
        <v>1</v>
      </c>
      <c r="AC408">
        <f t="shared" si="793"/>
        <v>1</v>
      </c>
      <c r="AD408">
        <f t="shared" si="6"/>
        <v>2</v>
      </c>
      <c r="AE408">
        <f t="shared" si="7"/>
        <v>1</v>
      </c>
      <c r="AF408">
        <f>if(iferror(vlookup($A408,'Description Database'!$E$2:$H$951,3,0),0)=TRUE,1,0)</f>
        <v>0</v>
      </c>
      <c r="AG408">
        <f>if(iferror(vlookup($A408,'Description Database'!$E$2:$H$951,4,0),0)=TRUE,1,0)</f>
        <v>0</v>
      </c>
    </row>
    <row r="409">
      <c r="A409" t="str">
        <f>IFERROR(__xludf.DUMMYFUNCTION("""COMPUTED_VALUE"""),"Samsung METRO 360 ( )")</f>
        <v>Samsung METRO 360 ( )</v>
      </c>
      <c r="B409" t="str">
        <f>IFERROR(__xludf.DUMMYFUNCTION("""COMPUTED_VALUE"""),"")</f>
        <v/>
      </c>
      <c r="C409" t="str">
        <f>IFERROR(__xludf.DUMMYFUNCTION("""COMPUTED_VALUE"""),"")</f>
        <v/>
      </c>
      <c r="D409" t="str">
        <f>IFERROR(__xludf.DUMMYFUNCTION("""COMPUTED_VALUE"""),"")</f>
        <v/>
      </c>
      <c r="E409" t="str">
        <f>IFERROR(__xludf.DUMMYFUNCTION("""COMPUTED_VALUE"""),"")</f>
        <v/>
      </c>
      <c r="F409" t="str">
        <f>IFERROR(__xludf.DUMMYFUNCTION("""COMPUTED_VALUE"""),"")</f>
        <v/>
      </c>
      <c r="G409" t="str">
        <f>IFERROR(__xludf.DUMMYFUNCTION("""COMPUTED_VALUE"""),"")</f>
        <v/>
      </c>
      <c r="H409" t="str">
        <f>IFERROR(__xludf.DUMMYFUNCTION("""COMPUTED_VALUE"""),"")</f>
        <v/>
      </c>
      <c r="I409">
        <f>IFERROR(__xludf.DUMMYFUNCTION("""COMPUTED_VALUE"""),2.0)</f>
        <v>2</v>
      </c>
      <c r="J409">
        <f>IFERROR(__xludf.DUMMYFUNCTION("""COMPUTED_VALUE"""),2.0)</f>
        <v>2</v>
      </c>
      <c r="L409" s="250" t="str">
        <f>IFERROR(__xludf.DUMMYFUNCTION("""COMPUTED_VALUE"""),"")</f>
        <v/>
      </c>
      <c r="M409" s="250" t="str">
        <f>IFERROR(__xludf.DUMMYFUNCTION("""COMPUTED_VALUE"""),"")</f>
        <v/>
      </c>
      <c r="N409" s="250" t="str">
        <f>IFERROR(__xludf.DUMMYFUNCTION("""COMPUTED_VALUE"""),"")</f>
        <v/>
      </c>
      <c r="O409" s="250" t="str">
        <f>IFERROR(__xludf.DUMMYFUNCTION("""COMPUTED_VALUE"""),"")</f>
        <v/>
      </c>
      <c r="P409" s="250" t="str">
        <f>IFERROR(__xludf.DUMMYFUNCTION("""COMPUTED_VALUE"""),"")</f>
        <v/>
      </c>
      <c r="Q409" s="250" t="str">
        <f>IFERROR(__xludf.DUMMYFUNCTION("""COMPUTED_VALUE"""),"")</f>
        <v/>
      </c>
      <c r="R409" s="250" t="str">
        <f>IFERROR(__xludf.DUMMYFUNCTION("""COMPUTED_VALUE"""),"")</f>
        <v/>
      </c>
      <c r="U409" s="250" t="str">
        <f>IFERROR(__xludf.DUMMYFUNCTION("""COMPUTED_VALUE"""),"#N/A")</f>
        <v>#N/A</v>
      </c>
      <c r="V409" s="250" t="str">
        <f>IFERROR(__xludf.DUMMYFUNCTION("""COMPUTED_VALUE"""),"#N/A")</f>
        <v>#N/A</v>
      </c>
      <c r="W409" s="250" t="str">
        <f>IFERROR(__xludf.DUMMYFUNCTION("""COMPUTED_VALUE"""),"#N/A")</f>
        <v>#N/A</v>
      </c>
      <c r="X409" t="b">
        <f t="shared" ref="X409:Z409" si="794">ISBLANK(K409)</f>
        <v>1</v>
      </c>
      <c r="Y409" t="b">
        <f t="shared" si="794"/>
        <v>0</v>
      </c>
      <c r="Z409" t="b">
        <f t="shared" si="794"/>
        <v>0</v>
      </c>
      <c r="AA409">
        <f t="shared" ref="AA409:AC409" si="795">IF(X409=FALSE,1,0)</f>
        <v>0</v>
      </c>
      <c r="AB409">
        <f t="shared" si="795"/>
        <v>1</v>
      </c>
      <c r="AC409">
        <f t="shared" si="795"/>
        <v>1</v>
      </c>
      <c r="AD409">
        <f t="shared" si="6"/>
        <v>2</v>
      </c>
      <c r="AE409">
        <f t="shared" si="7"/>
        <v>1</v>
      </c>
      <c r="AF409">
        <f>if(iferror(vlookup($A409,'Description Database'!$E$2:$H$951,3,0),0)=TRUE,1,0)</f>
        <v>0</v>
      </c>
      <c r="AG409">
        <f>if(iferror(vlookup($A409,'Description Database'!$E$2:$H$951,4,0),0)=TRUE,1,0)</f>
        <v>0</v>
      </c>
    </row>
    <row r="410">
      <c r="A410" t="str">
        <f>IFERROR(__xludf.DUMMYFUNCTION("""COMPUTED_VALUE"""),"Nokia 3.1 (3 GB/32 GB)")</f>
        <v>Nokia 3.1 (3 GB/32 GB)</v>
      </c>
      <c r="B410" t="str">
        <f>IFERROR(__xludf.DUMMYFUNCTION("""COMPUTED_VALUE"""),"")</f>
        <v/>
      </c>
      <c r="C410" t="str">
        <f>IFERROR(__xludf.DUMMYFUNCTION("""COMPUTED_VALUE"""),"")</f>
        <v/>
      </c>
      <c r="D410" t="str">
        <f>IFERROR(__xludf.DUMMYFUNCTION("""COMPUTED_VALUE"""),"")</f>
        <v/>
      </c>
      <c r="E410" t="str">
        <f>IFERROR(__xludf.DUMMYFUNCTION("""COMPUTED_VALUE"""),"")</f>
        <v/>
      </c>
      <c r="F410" t="str">
        <f>IFERROR(__xludf.DUMMYFUNCTION("""COMPUTED_VALUE"""),"")</f>
        <v/>
      </c>
      <c r="G410" t="str">
        <f>IFERROR(__xludf.DUMMYFUNCTION("""COMPUTED_VALUE"""),"")</f>
        <v/>
      </c>
      <c r="H410" t="str">
        <f>IFERROR(__xludf.DUMMYFUNCTION("""COMPUTED_VALUE"""),"")</f>
        <v/>
      </c>
      <c r="I410" t="str">
        <f>IFERROR(__xludf.DUMMYFUNCTION("""COMPUTED_VALUE"""),"")</f>
        <v/>
      </c>
      <c r="J410">
        <f>IFERROR(__xludf.DUMMYFUNCTION("""COMPUTED_VALUE"""),0.0)</f>
        <v>0</v>
      </c>
      <c r="L410" s="250" t="str">
        <f>IFERROR(__xludf.DUMMYFUNCTION("""COMPUTED_VALUE"""),"")</f>
        <v/>
      </c>
      <c r="M410" s="250" t="str">
        <f>IFERROR(__xludf.DUMMYFUNCTION("""COMPUTED_VALUE"""),"")</f>
        <v/>
      </c>
      <c r="N410" s="250" t="str">
        <f>IFERROR(__xludf.DUMMYFUNCTION("""COMPUTED_VALUE"""),"")</f>
        <v/>
      </c>
      <c r="O410" s="250" t="str">
        <f>IFERROR(__xludf.DUMMYFUNCTION("""COMPUTED_VALUE"""),"")</f>
        <v/>
      </c>
      <c r="P410" s="250" t="str">
        <f>IFERROR(__xludf.DUMMYFUNCTION("""COMPUTED_VALUE"""),"")</f>
        <v/>
      </c>
      <c r="Q410" s="250" t="str">
        <f>IFERROR(__xludf.DUMMYFUNCTION("""COMPUTED_VALUE"""),"")</f>
        <v/>
      </c>
      <c r="R410" s="250" t="str">
        <f>IFERROR(__xludf.DUMMYFUNCTION("""COMPUTED_VALUE"""),"")</f>
        <v/>
      </c>
      <c r="U410" s="250">
        <f>IFERROR(__xludf.DUMMYFUNCTION("""COMPUTED_VALUE"""),4139.0)</f>
        <v>4139</v>
      </c>
      <c r="V410" s="250">
        <f>IFERROR(__xludf.DUMMYFUNCTION("""COMPUTED_VALUE"""),3939.0)</f>
        <v>3939</v>
      </c>
      <c r="W410" s="250">
        <f>IFERROR(__xludf.DUMMYFUNCTION("""COMPUTED_VALUE"""),3559.0)</f>
        <v>3559</v>
      </c>
      <c r="X410" t="b">
        <f t="shared" ref="X410:Z410" si="796">ISBLANK(K410)</f>
        <v>1</v>
      </c>
      <c r="Y410" t="b">
        <f t="shared" si="796"/>
        <v>0</v>
      </c>
      <c r="Z410" t="b">
        <f t="shared" si="796"/>
        <v>0</v>
      </c>
      <c r="AA410">
        <f t="shared" ref="AA410:AC410" si="797">IF(X410=FALSE,1,0)</f>
        <v>0</v>
      </c>
      <c r="AB410">
        <f t="shared" si="797"/>
        <v>1</v>
      </c>
      <c r="AC410">
        <f t="shared" si="797"/>
        <v>1</v>
      </c>
      <c r="AD410">
        <f t="shared" si="6"/>
        <v>2</v>
      </c>
      <c r="AE410">
        <f t="shared" si="7"/>
        <v>1</v>
      </c>
      <c r="AF410">
        <f>if(iferror(vlookup($A410,'Description Database'!$E$2:$H$951,3,0),0)=TRUE,1,0)</f>
        <v>0</v>
      </c>
      <c r="AG410">
        <f>if(iferror(vlookup($A410,'Description Database'!$E$2:$H$951,4,0),0)=TRUE,1,0)</f>
        <v>0</v>
      </c>
    </row>
    <row r="411">
      <c r="A411" t="str">
        <f>IFERROR(__xludf.DUMMYFUNCTION("""COMPUTED_VALUE"""),"Samsung GALAXY A7 (2 GB/16 GB)")</f>
        <v>Samsung GALAXY A7 (2 GB/16 GB)</v>
      </c>
      <c r="B411" t="str">
        <f>IFERROR(__xludf.DUMMYFUNCTION("""COMPUTED_VALUE"""),"")</f>
        <v/>
      </c>
      <c r="C411" t="str">
        <f>IFERROR(__xludf.DUMMYFUNCTION("""COMPUTED_VALUE"""),"")</f>
        <v/>
      </c>
      <c r="D411" t="str">
        <f>IFERROR(__xludf.DUMMYFUNCTION("""COMPUTED_VALUE"""),"")</f>
        <v/>
      </c>
      <c r="E411" t="str">
        <f>IFERROR(__xludf.DUMMYFUNCTION("""COMPUTED_VALUE"""),"")</f>
        <v/>
      </c>
      <c r="F411" t="str">
        <f>IFERROR(__xludf.DUMMYFUNCTION("""COMPUTED_VALUE"""),"")</f>
        <v/>
      </c>
      <c r="G411" t="str">
        <f>IFERROR(__xludf.DUMMYFUNCTION("""COMPUTED_VALUE"""),"")</f>
        <v/>
      </c>
      <c r="H411" t="str">
        <f>IFERROR(__xludf.DUMMYFUNCTION("""COMPUTED_VALUE"""),"")</f>
        <v/>
      </c>
      <c r="I411">
        <f>IFERROR(__xludf.DUMMYFUNCTION("""COMPUTED_VALUE"""),9.0)</f>
        <v>9</v>
      </c>
      <c r="J411">
        <f>IFERROR(__xludf.DUMMYFUNCTION("""COMPUTED_VALUE"""),9.0)</f>
        <v>9</v>
      </c>
      <c r="L411" s="250" t="str">
        <f>IFERROR(__xludf.DUMMYFUNCTION("""COMPUTED_VALUE"""),"")</f>
        <v/>
      </c>
      <c r="M411" s="250" t="str">
        <f>IFERROR(__xludf.DUMMYFUNCTION("""COMPUTED_VALUE"""),"")</f>
        <v/>
      </c>
      <c r="N411" s="250" t="str">
        <f>IFERROR(__xludf.DUMMYFUNCTION("""COMPUTED_VALUE"""),"")</f>
        <v/>
      </c>
      <c r="O411" s="250" t="str">
        <f>IFERROR(__xludf.DUMMYFUNCTION("""COMPUTED_VALUE"""),"")</f>
        <v/>
      </c>
      <c r="P411" s="250" t="str">
        <f>IFERROR(__xludf.DUMMYFUNCTION("""COMPUTED_VALUE"""),"")</f>
        <v/>
      </c>
      <c r="Q411" s="250" t="str">
        <f>IFERROR(__xludf.DUMMYFUNCTION("""COMPUTED_VALUE"""),"")</f>
        <v/>
      </c>
      <c r="R411" s="250" t="str">
        <f>IFERROR(__xludf.DUMMYFUNCTION("""COMPUTED_VALUE"""),"")</f>
        <v/>
      </c>
      <c r="U411" s="250">
        <f>IFERROR(__xludf.DUMMYFUNCTION("""COMPUTED_VALUE"""),4119.0)</f>
        <v>4119</v>
      </c>
      <c r="V411" s="250">
        <f>IFERROR(__xludf.DUMMYFUNCTION("""COMPUTED_VALUE"""),3919.0)</f>
        <v>3919</v>
      </c>
      <c r="W411" s="250">
        <f>IFERROR(__xludf.DUMMYFUNCTION("""COMPUTED_VALUE"""),3529.0)</f>
        <v>3529</v>
      </c>
      <c r="X411" t="b">
        <f t="shared" ref="X411:Z411" si="798">ISBLANK(K411)</f>
        <v>1</v>
      </c>
      <c r="Y411" t="b">
        <f t="shared" si="798"/>
        <v>0</v>
      </c>
      <c r="Z411" t="b">
        <f t="shared" si="798"/>
        <v>0</v>
      </c>
      <c r="AA411">
        <f t="shared" ref="AA411:AC411" si="799">IF(X411=FALSE,1,0)</f>
        <v>0</v>
      </c>
      <c r="AB411">
        <f t="shared" si="799"/>
        <v>1</v>
      </c>
      <c r="AC411">
        <f t="shared" si="799"/>
        <v>1</v>
      </c>
      <c r="AD411">
        <f t="shared" si="6"/>
        <v>2</v>
      </c>
      <c r="AE411">
        <f t="shared" si="7"/>
        <v>1</v>
      </c>
      <c r="AF411">
        <f>if(iferror(vlookup($A411,'Description Database'!$E$2:$H$951,3,0),0)=TRUE,1,0)</f>
        <v>0</v>
      </c>
      <c r="AG411">
        <f>if(iferror(vlookup($A411,'Description Database'!$E$2:$H$951,4,0),0)=TRUE,1,0)</f>
        <v>0</v>
      </c>
    </row>
    <row r="412">
      <c r="A412" t="str">
        <f>IFERROR(__xludf.DUMMYFUNCTION("""COMPUTED_VALUE"""),"Samsung GALAXY J7 PRIME (2 GB/32 GB)")</f>
        <v>Samsung GALAXY J7 PRIME (2 GB/32 GB)</v>
      </c>
      <c r="B412" t="str">
        <f>IFERROR(__xludf.DUMMYFUNCTION("""COMPUTED_VALUE"""),"")</f>
        <v/>
      </c>
      <c r="C412" t="str">
        <f>IFERROR(__xludf.DUMMYFUNCTION("""COMPUTED_VALUE"""),"")</f>
        <v/>
      </c>
      <c r="D412" t="str">
        <f>IFERROR(__xludf.DUMMYFUNCTION("""COMPUTED_VALUE"""),"")</f>
        <v/>
      </c>
      <c r="E412" t="str">
        <f>IFERROR(__xludf.DUMMYFUNCTION("""COMPUTED_VALUE"""),"")</f>
        <v/>
      </c>
      <c r="F412" t="str">
        <f>IFERROR(__xludf.DUMMYFUNCTION("""COMPUTED_VALUE"""),"")</f>
        <v/>
      </c>
      <c r="G412" t="str">
        <f>IFERROR(__xludf.DUMMYFUNCTION("""COMPUTED_VALUE"""),"")</f>
        <v/>
      </c>
      <c r="H412" t="str">
        <f>IFERROR(__xludf.DUMMYFUNCTION("""COMPUTED_VALUE"""),"")</f>
        <v/>
      </c>
      <c r="I412" t="str">
        <f>IFERROR(__xludf.DUMMYFUNCTION("""COMPUTED_VALUE"""),"")</f>
        <v/>
      </c>
      <c r="J412">
        <f>IFERROR(__xludf.DUMMYFUNCTION("""COMPUTED_VALUE"""),0.0)</f>
        <v>0</v>
      </c>
      <c r="L412" s="250" t="str">
        <f>IFERROR(__xludf.DUMMYFUNCTION("""COMPUTED_VALUE"""),"")</f>
        <v/>
      </c>
      <c r="M412" s="250" t="str">
        <f>IFERROR(__xludf.DUMMYFUNCTION("""COMPUTED_VALUE"""),"")</f>
        <v/>
      </c>
      <c r="N412" s="250" t="str">
        <f>IFERROR(__xludf.DUMMYFUNCTION("""COMPUTED_VALUE"""),"")</f>
        <v/>
      </c>
      <c r="O412" s="250" t="str">
        <f>IFERROR(__xludf.DUMMYFUNCTION("""COMPUTED_VALUE"""),"")</f>
        <v/>
      </c>
      <c r="P412" s="250" t="str">
        <f>IFERROR(__xludf.DUMMYFUNCTION("""COMPUTED_VALUE"""),"")</f>
        <v/>
      </c>
      <c r="Q412" s="250" t="str">
        <f>IFERROR(__xludf.DUMMYFUNCTION("""COMPUTED_VALUE"""),"")</f>
        <v/>
      </c>
      <c r="R412" s="250" t="str">
        <f>IFERROR(__xludf.DUMMYFUNCTION("""COMPUTED_VALUE"""),"")</f>
        <v/>
      </c>
      <c r="U412" s="250" t="str">
        <f>IFERROR(__xludf.DUMMYFUNCTION("""COMPUTED_VALUE"""),"#N/A")</f>
        <v>#N/A</v>
      </c>
      <c r="V412" s="250" t="str">
        <f>IFERROR(__xludf.DUMMYFUNCTION("""COMPUTED_VALUE"""),"#N/A")</f>
        <v>#N/A</v>
      </c>
      <c r="W412" s="250" t="str">
        <f>IFERROR(__xludf.DUMMYFUNCTION("""COMPUTED_VALUE"""),"#N/A")</f>
        <v>#N/A</v>
      </c>
      <c r="X412" t="b">
        <f t="shared" ref="X412:Z412" si="800">ISBLANK(K412)</f>
        <v>1</v>
      </c>
      <c r="Y412" t="b">
        <f t="shared" si="800"/>
        <v>0</v>
      </c>
      <c r="Z412" t="b">
        <f t="shared" si="800"/>
        <v>0</v>
      </c>
      <c r="AA412">
        <f t="shared" ref="AA412:AC412" si="801">IF(X412=FALSE,1,0)</f>
        <v>0</v>
      </c>
      <c r="AB412">
        <f t="shared" si="801"/>
        <v>1</v>
      </c>
      <c r="AC412">
        <f t="shared" si="801"/>
        <v>1</v>
      </c>
      <c r="AD412">
        <f t="shared" si="6"/>
        <v>2</v>
      </c>
      <c r="AE412">
        <f t="shared" si="7"/>
        <v>1</v>
      </c>
      <c r="AF412">
        <f>if(iferror(vlookup($A412,'Description Database'!$E$2:$H$951,3,0),0)=TRUE,1,0)</f>
        <v>0</v>
      </c>
      <c r="AG412">
        <f>if(iferror(vlookup($A412,'Description Database'!$E$2:$H$951,4,0),0)=TRUE,1,0)</f>
        <v>0</v>
      </c>
    </row>
    <row r="413">
      <c r="A413" t="str">
        <f>IFERROR(__xludf.DUMMYFUNCTION("""COMPUTED_VALUE"""),"Motorola Moto M (4 GB/64 GB)")</f>
        <v>Motorola Moto M (4 GB/64 GB)</v>
      </c>
      <c r="B413" t="str">
        <f>IFERROR(__xludf.DUMMYFUNCTION("""COMPUTED_VALUE"""),"")</f>
        <v/>
      </c>
      <c r="C413" t="str">
        <f>IFERROR(__xludf.DUMMYFUNCTION("""COMPUTED_VALUE"""),"")</f>
        <v/>
      </c>
      <c r="D413" t="str">
        <f>IFERROR(__xludf.DUMMYFUNCTION("""COMPUTED_VALUE"""),"")</f>
        <v/>
      </c>
      <c r="E413" t="str">
        <f>IFERROR(__xludf.DUMMYFUNCTION("""COMPUTED_VALUE"""),"")</f>
        <v/>
      </c>
      <c r="F413">
        <f>IFERROR(__xludf.DUMMYFUNCTION("""COMPUTED_VALUE"""),1.0)</f>
        <v>1</v>
      </c>
      <c r="G413" t="str">
        <f>IFERROR(__xludf.DUMMYFUNCTION("""COMPUTED_VALUE"""),"")</f>
        <v/>
      </c>
      <c r="H413" t="str">
        <f>IFERROR(__xludf.DUMMYFUNCTION("""COMPUTED_VALUE"""),"")</f>
        <v/>
      </c>
      <c r="I413">
        <f>IFERROR(__xludf.DUMMYFUNCTION("""COMPUTED_VALUE"""),8.0)</f>
        <v>8</v>
      </c>
      <c r="J413">
        <f>IFERROR(__xludf.DUMMYFUNCTION("""COMPUTED_VALUE"""),9.0)</f>
        <v>9</v>
      </c>
      <c r="L413" s="250" t="str">
        <f>IFERROR(__xludf.DUMMYFUNCTION("""COMPUTED_VALUE"""),"")</f>
        <v/>
      </c>
      <c r="M413" s="250" t="str">
        <f>IFERROR(__xludf.DUMMYFUNCTION("""COMPUTED_VALUE"""),"")</f>
        <v/>
      </c>
      <c r="N413" s="250" t="str">
        <f>IFERROR(__xludf.DUMMYFUNCTION("""COMPUTED_VALUE"""),"")</f>
        <v/>
      </c>
      <c r="O413" s="250" t="str">
        <f>IFERROR(__xludf.DUMMYFUNCTION("""COMPUTED_VALUE"""),"")</f>
        <v/>
      </c>
      <c r="P413" s="250">
        <f>IFERROR(__xludf.DUMMYFUNCTION("""COMPUTED_VALUE"""),2569.0)</f>
        <v>2569</v>
      </c>
      <c r="Q413" s="250" t="str">
        <f>IFERROR(__xludf.DUMMYFUNCTION("""COMPUTED_VALUE"""),"")</f>
        <v/>
      </c>
      <c r="R413" s="250" t="str">
        <f>IFERROR(__xludf.DUMMYFUNCTION("""COMPUTED_VALUE"""),"")</f>
        <v/>
      </c>
      <c r="U413" s="250">
        <f>IFERROR(__xludf.DUMMYFUNCTION("""COMPUTED_VALUE"""),3949.0)</f>
        <v>3949</v>
      </c>
      <c r="V413" s="250">
        <f>IFERROR(__xludf.DUMMYFUNCTION("""COMPUTED_VALUE"""),3769.0)</f>
        <v>3769</v>
      </c>
      <c r="W413" s="250">
        <f>IFERROR(__xludf.DUMMYFUNCTION("""COMPUTED_VALUE"""),3389.0)</f>
        <v>3389</v>
      </c>
      <c r="X413" t="b">
        <f t="shared" ref="X413:Z413" si="802">ISBLANK(K413)</f>
        <v>1</v>
      </c>
      <c r="Y413" t="b">
        <f t="shared" si="802"/>
        <v>0</v>
      </c>
      <c r="Z413" t="b">
        <f t="shared" si="802"/>
        <v>0</v>
      </c>
      <c r="AA413">
        <f t="shared" ref="AA413:AC413" si="803">IF(X413=FALSE,1,0)</f>
        <v>0</v>
      </c>
      <c r="AB413">
        <f t="shared" si="803"/>
        <v>1</v>
      </c>
      <c r="AC413">
        <f t="shared" si="803"/>
        <v>1</v>
      </c>
      <c r="AD413">
        <f t="shared" si="6"/>
        <v>2</v>
      </c>
      <c r="AE413">
        <f t="shared" si="7"/>
        <v>1</v>
      </c>
      <c r="AF413">
        <f>if(iferror(vlookup($A413,'Description Database'!$E$2:$H$951,3,0),0)=TRUE,1,0)</f>
        <v>0</v>
      </c>
      <c r="AG413">
        <f>if(iferror(vlookup($A413,'Description Database'!$E$2:$H$951,4,0),0)=TRUE,1,0)</f>
        <v>0</v>
      </c>
    </row>
    <row r="414">
      <c r="A414" t="str">
        <f>IFERROR(__xludf.DUMMYFUNCTION("""COMPUTED_VALUE"""),"Xiaomi MI MAX (3 GB/6GB)")</f>
        <v>Xiaomi MI MAX (3 GB/6GB)</v>
      </c>
      <c r="B414" t="str">
        <f>IFERROR(__xludf.DUMMYFUNCTION("""COMPUTED_VALUE"""),"")</f>
        <v/>
      </c>
      <c r="C414" t="str">
        <f>IFERROR(__xludf.DUMMYFUNCTION("""COMPUTED_VALUE"""),"")</f>
        <v/>
      </c>
      <c r="D414" t="str">
        <f>IFERROR(__xludf.DUMMYFUNCTION("""COMPUTED_VALUE"""),"")</f>
        <v/>
      </c>
      <c r="E414" t="str">
        <f>IFERROR(__xludf.DUMMYFUNCTION("""COMPUTED_VALUE"""),"")</f>
        <v/>
      </c>
      <c r="F414" t="str">
        <f>IFERROR(__xludf.DUMMYFUNCTION("""COMPUTED_VALUE"""),"")</f>
        <v/>
      </c>
      <c r="G414" t="str">
        <f>IFERROR(__xludf.DUMMYFUNCTION("""COMPUTED_VALUE"""),"")</f>
        <v/>
      </c>
      <c r="H414" t="str">
        <f>IFERROR(__xludf.DUMMYFUNCTION("""COMPUTED_VALUE"""),"")</f>
        <v/>
      </c>
      <c r="I414" t="str">
        <f>IFERROR(__xludf.DUMMYFUNCTION("""COMPUTED_VALUE"""),"")</f>
        <v/>
      </c>
      <c r="J414">
        <f>IFERROR(__xludf.DUMMYFUNCTION("""COMPUTED_VALUE"""),0.0)</f>
        <v>0</v>
      </c>
      <c r="L414" s="250" t="str">
        <f>IFERROR(__xludf.DUMMYFUNCTION("""COMPUTED_VALUE"""),"")</f>
        <v/>
      </c>
      <c r="M414" s="250" t="str">
        <f>IFERROR(__xludf.DUMMYFUNCTION("""COMPUTED_VALUE"""),"")</f>
        <v/>
      </c>
      <c r="N414" s="250" t="str">
        <f>IFERROR(__xludf.DUMMYFUNCTION("""COMPUTED_VALUE"""),"")</f>
        <v/>
      </c>
      <c r="O414" s="250" t="str">
        <f>IFERROR(__xludf.DUMMYFUNCTION("""COMPUTED_VALUE"""),"")</f>
        <v/>
      </c>
      <c r="P414" s="250" t="str">
        <f>IFERROR(__xludf.DUMMYFUNCTION("""COMPUTED_VALUE"""),"")</f>
        <v/>
      </c>
      <c r="Q414" s="250" t="str">
        <f>IFERROR(__xludf.DUMMYFUNCTION("""COMPUTED_VALUE"""),"")</f>
        <v/>
      </c>
      <c r="R414" s="250" t="str">
        <f>IFERROR(__xludf.DUMMYFUNCTION("""COMPUTED_VALUE"""),"")</f>
        <v/>
      </c>
      <c r="U414" s="250" t="str">
        <f>IFERROR(__xludf.DUMMYFUNCTION("""COMPUTED_VALUE"""),"#N/A")</f>
        <v>#N/A</v>
      </c>
      <c r="V414" s="250" t="str">
        <f>IFERROR(__xludf.DUMMYFUNCTION("""COMPUTED_VALUE"""),"#N/A")</f>
        <v>#N/A</v>
      </c>
      <c r="W414" s="250" t="str">
        <f>IFERROR(__xludf.DUMMYFUNCTION("""COMPUTED_VALUE"""),"#N/A")</f>
        <v>#N/A</v>
      </c>
      <c r="X414" t="b">
        <f t="shared" ref="X414:Z414" si="804">ISBLANK(K414)</f>
        <v>1</v>
      </c>
      <c r="Y414" t="b">
        <f t="shared" si="804"/>
        <v>0</v>
      </c>
      <c r="Z414" t="b">
        <f t="shared" si="804"/>
        <v>0</v>
      </c>
      <c r="AA414">
        <f t="shared" ref="AA414:AC414" si="805">IF(X414=FALSE,1,0)</f>
        <v>0</v>
      </c>
      <c r="AB414">
        <f t="shared" si="805"/>
        <v>1</v>
      </c>
      <c r="AC414">
        <f t="shared" si="805"/>
        <v>1</v>
      </c>
      <c r="AD414">
        <f t="shared" si="6"/>
        <v>2</v>
      </c>
      <c r="AE414">
        <f t="shared" si="7"/>
        <v>1</v>
      </c>
      <c r="AF414">
        <f>if(iferror(vlookup($A414,'Description Database'!$E$2:$H$951,3,0),0)=TRUE,1,0)</f>
        <v>0</v>
      </c>
      <c r="AG414">
        <f>if(iferror(vlookup($A414,'Description Database'!$E$2:$H$951,4,0),0)=TRUE,1,0)</f>
        <v>0</v>
      </c>
    </row>
    <row r="415">
      <c r="A415" t="str">
        <f>IFERROR(__xludf.DUMMYFUNCTION("""COMPUTED_VALUE"""),"Motorola MOTO E4+ (2 GB/16GB)")</f>
        <v>Motorola MOTO E4+ (2 GB/16GB)</v>
      </c>
      <c r="B415" t="str">
        <f>IFERROR(__xludf.DUMMYFUNCTION("""COMPUTED_VALUE"""),"")</f>
        <v/>
      </c>
      <c r="C415" t="str">
        <f>IFERROR(__xludf.DUMMYFUNCTION("""COMPUTED_VALUE"""),"")</f>
        <v/>
      </c>
      <c r="D415" t="str">
        <f>IFERROR(__xludf.DUMMYFUNCTION("""COMPUTED_VALUE"""),"")</f>
        <v/>
      </c>
      <c r="E415" t="str">
        <f>IFERROR(__xludf.DUMMYFUNCTION("""COMPUTED_VALUE"""),"")</f>
        <v/>
      </c>
      <c r="F415" t="str">
        <f>IFERROR(__xludf.DUMMYFUNCTION("""COMPUTED_VALUE"""),"")</f>
        <v/>
      </c>
      <c r="G415" t="str">
        <f>IFERROR(__xludf.DUMMYFUNCTION("""COMPUTED_VALUE"""),"")</f>
        <v/>
      </c>
      <c r="H415" t="str">
        <f>IFERROR(__xludf.DUMMYFUNCTION("""COMPUTED_VALUE"""),"")</f>
        <v/>
      </c>
      <c r="I415">
        <f>IFERROR(__xludf.DUMMYFUNCTION("""COMPUTED_VALUE"""),2.0)</f>
        <v>2</v>
      </c>
      <c r="J415">
        <f>IFERROR(__xludf.DUMMYFUNCTION("""COMPUTED_VALUE"""),2.0)</f>
        <v>2</v>
      </c>
      <c r="L415" s="250" t="str">
        <f>IFERROR(__xludf.DUMMYFUNCTION("""COMPUTED_VALUE"""),"")</f>
        <v/>
      </c>
      <c r="M415" s="250" t="str">
        <f>IFERROR(__xludf.DUMMYFUNCTION("""COMPUTED_VALUE"""),"")</f>
        <v/>
      </c>
      <c r="N415" s="250" t="str">
        <f>IFERROR(__xludf.DUMMYFUNCTION("""COMPUTED_VALUE"""),"")</f>
        <v/>
      </c>
      <c r="O415" s="250" t="str">
        <f>IFERROR(__xludf.DUMMYFUNCTION("""COMPUTED_VALUE"""),"")</f>
        <v/>
      </c>
      <c r="P415" s="250" t="str">
        <f>IFERROR(__xludf.DUMMYFUNCTION("""COMPUTED_VALUE"""),"")</f>
        <v/>
      </c>
      <c r="Q415" s="250" t="str">
        <f>IFERROR(__xludf.DUMMYFUNCTION("""COMPUTED_VALUE"""),"")</f>
        <v/>
      </c>
      <c r="R415" s="250" t="str">
        <f>IFERROR(__xludf.DUMMYFUNCTION("""COMPUTED_VALUE"""),"")</f>
        <v/>
      </c>
      <c r="U415" s="250" t="str">
        <f>IFERROR(__xludf.DUMMYFUNCTION("""COMPUTED_VALUE"""),"#N/A")</f>
        <v>#N/A</v>
      </c>
      <c r="V415" s="250" t="str">
        <f>IFERROR(__xludf.DUMMYFUNCTION("""COMPUTED_VALUE"""),"#N/A")</f>
        <v>#N/A</v>
      </c>
      <c r="W415" s="250" t="str">
        <f>IFERROR(__xludf.DUMMYFUNCTION("""COMPUTED_VALUE"""),"#N/A")</f>
        <v>#N/A</v>
      </c>
      <c r="X415" t="b">
        <f t="shared" ref="X415:Z415" si="806">ISBLANK(K415)</f>
        <v>1</v>
      </c>
      <c r="Y415" t="b">
        <f t="shared" si="806"/>
        <v>0</v>
      </c>
      <c r="Z415" t="b">
        <f t="shared" si="806"/>
        <v>0</v>
      </c>
      <c r="AA415">
        <f t="shared" ref="AA415:AC415" si="807">IF(X415=FALSE,1,0)</f>
        <v>0</v>
      </c>
      <c r="AB415">
        <f t="shared" si="807"/>
        <v>1</v>
      </c>
      <c r="AC415">
        <f t="shared" si="807"/>
        <v>1</v>
      </c>
      <c r="AD415">
        <f t="shared" si="6"/>
        <v>2</v>
      </c>
      <c r="AE415">
        <f t="shared" si="7"/>
        <v>1</v>
      </c>
      <c r="AF415">
        <f>if(iferror(vlookup($A415,'Description Database'!$E$2:$H$951,3,0),0)=TRUE,1,0)</f>
        <v>0</v>
      </c>
      <c r="AG415">
        <f>if(iferror(vlookup($A415,'Description Database'!$E$2:$H$951,4,0),0)=TRUE,1,0)</f>
        <v>0</v>
      </c>
    </row>
    <row r="416">
      <c r="A416" t="str">
        <f>IFERROR(__xludf.DUMMYFUNCTION("""COMPUTED_VALUE"""),"Oppo Neo 5 2015 (1 GB/16 GB)")</f>
        <v>Oppo Neo 5 2015 (1 GB/16 GB)</v>
      </c>
      <c r="B416" t="str">
        <f>IFERROR(__xludf.DUMMYFUNCTION("""COMPUTED_VALUE"""),"")</f>
        <v/>
      </c>
      <c r="C416" t="str">
        <f>IFERROR(__xludf.DUMMYFUNCTION("""COMPUTED_VALUE"""),"")</f>
        <v/>
      </c>
      <c r="D416" t="str">
        <f>IFERROR(__xludf.DUMMYFUNCTION("""COMPUTED_VALUE"""),"")</f>
        <v/>
      </c>
      <c r="E416" t="str">
        <f>IFERROR(__xludf.DUMMYFUNCTION("""COMPUTED_VALUE"""),"")</f>
        <v/>
      </c>
      <c r="F416" t="str">
        <f>IFERROR(__xludf.DUMMYFUNCTION("""COMPUTED_VALUE"""),"")</f>
        <v/>
      </c>
      <c r="G416">
        <f>IFERROR(__xludf.DUMMYFUNCTION("""COMPUTED_VALUE"""),1.0)</f>
        <v>1</v>
      </c>
      <c r="H416" t="str">
        <f>IFERROR(__xludf.DUMMYFUNCTION("""COMPUTED_VALUE"""),"")</f>
        <v/>
      </c>
      <c r="I416" t="str">
        <f>IFERROR(__xludf.DUMMYFUNCTION("""COMPUTED_VALUE"""),"")</f>
        <v/>
      </c>
      <c r="J416">
        <f>IFERROR(__xludf.DUMMYFUNCTION("""COMPUTED_VALUE"""),1.0)</f>
        <v>1</v>
      </c>
      <c r="L416" s="250" t="str">
        <f>IFERROR(__xludf.DUMMYFUNCTION("""COMPUTED_VALUE"""),"")</f>
        <v/>
      </c>
      <c r="M416" s="250" t="str">
        <f>IFERROR(__xludf.DUMMYFUNCTION("""COMPUTED_VALUE"""),"")</f>
        <v/>
      </c>
      <c r="N416" s="250" t="str">
        <f>IFERROR(__xludf.DUMMYFUNCTION("""COMPUTED_VALUE"""),"")</f>
        <v/>
      </c>
      <c r="O416" s="250" t="str">
        <f>IFERROR(__xludf.DUMMYFUNCTION("""COMPUTED_VALUE"""),"")</f>
        <v/>
      </c>
      <c r="P416" s="250" t="str">
        <f>IFERROR(__xludf.DUMMYFUNCTION("""COMPUTED_VALUE"""),"")</f>
        <v/>
      </c>
      <c r="Q416" s="250">
        <f>IFERROR(__xludf.DUMMYFUNCTION("""COMPUTED_VALUE"""),849.0)</f>
        <v>849</v>
      </c>
      <c r="R416" s="250" t="str">
        <f>IFERROR(__xludf.DUMMYFUNCTION("""COMPUTED_VALUE"""),"")</f>
        <v/>
      </c>
      <c r="U416" s="250">
        <f>IFERROR(__xludf.DUMMYFUNCTION("""COMPUTED_VALUE"""),1719.0)</f>
        <v>1719</v>
      </c>
      <c r="V416" s="250">
        <f>IFERROR(__xludf.DUMMYFUNCTION("""COMPUTED_VALUE"""),1629.0)</f>
        <v>1629</v>
      </c>
      <c r="W416" s="250">
        <f>IFERROR(__xludf.DUMMYFUNCTION("""COMPUTED_VALUE"""),1469.0)</f>
        <v>1469</v>
      </c>
      <c r="X416" t="b">
        <f t="shared" ref="X416:Z416" si="808">ISBLANK(K416)</f>
        <v>1</v>
      </c>
      <c r="Y416" t="b">
        <f t="shared" si="808"/>
        <v>0</v>
      </c>
      <c r="Z416" t="b">
        <f t="shared" si="808"/>
        <v>0</v>
      </c>
      <c r="AA416">
        <f t="shared" ref="AA416:AC416" si="809">IF(X416=FALSE,1,0)</f>
        <v>0</v>
      </c>
      <c r="AB416">
        <f t="shared" si="809"/>
        <v>1</v>
      </c>
      <c r="AC416">
        <f t="shared" si="809"/>
        <v>1</v>
      </c>
      <c r="AD416">
        <f t="shared" si="6"/>
        <v>2</v>
      </c>
      <c r="AE416">
        <f t="shared" si="7"/>
        <v>1</v>
      </c>
      <c r="AF416">
        <f>if(iferror(vlookup($A416,'Description Database'!$E$2:$H$951,3,0),0)=TRUE,1,0)</f>
        <v>0</v>
      </c>
      <c r="AG416">
        <f>if(iferror(vlookup($A416,'Description Database'!$E$2:$H$951,4,0),0)=TRUE,1,0)</f>
        <v>0</v>
      </c>
    </row>
    <row r="417">
      <c r="A417" t="str">
        <f>IFERROR(__xludf.DUMMYFUNCTION("""COMPUTED_VALUE"""),"Xiaomi REDMI 2 (2 GB/16 GB)")</f>
        <v>Xiaomi REDMI 2 (2 GB/16 GB)</v>
      </c>
      <c r="B417" t="str">
        <f>IFERROR(__xludf.DUMMYFUNCTION("""COMPUTED_VALUE"""),"")</f>
        <v/>
      </c>
      <c r="C417" t="str">
        <f>IFERROR(__xludf.DUMMYFUNCTION("""COMPUTED_VALUE"""),"")</f>
        <v/>
      </c>
      <c r="D417" t="str">
        <f>IFERROR(__xludf.DUMMYFUNCTION("""COMPUTED_VALUE"""),"")</f>
        <v/>
      </c>
      <c r="E417" t="str">
        <f>IFERROR(__xludf.DUMMYFUNCTION("""COMPUTED_VALUE"""),"")</f>
        <v/>
      </c>
      <c r="F417" t="str">
        <f>IFERROR(__xludf.DUMMYFUNCTION("""COMPUTED_VALUE"""),"")</f>
        <v/>
      </c>
      <c r="G417">
        <f>IFERROR(__xludf.DUMMYFUNCTION("""COMPUTED_VALUE"""),1.0)</f>
        <v>1</v>
      </c>
      <c r="H417">
        <f>IFERROR(__xludf.DUMMYFUNCTION("""COMPUTED_VALUE"""),1.0)</f>
        <v>1</v>
      </c>
      <c r="I417">
        <f>IFERROR(__xludf.DUMMYFUNCTION("""COMPUTED_VALUE"""),4.0)</f>
        <v>4</v>
      </c>
      <c r="J417">
        <f>IFERROR(__xludf.DUMMYFUNCTION("""COMPUTED_VALUE"""),6.0)</f>
        <v>6</v>
      </c>
      <c r="L417" s="250" t="str">
        <f>IFERROR(__xludf.DUMMYFUNCTION("""COMPUTED_VALUE"""),"")</f>
        <v/>
      </c>
      <c r="M417" s="250" t="str">
        <f>IFERROR(__xludf.DUMMYFUNCTION("""COMPUTED_VALUE"""),"")</f>
        <v/>
      </c>
      <c r="N417" s="250" t="str">
        <f>IFERROR(__xludf.DUMMYFUNCTION("""COMPUTED_VALUE"""),"")</f>
        <v/>
      </c>
      <c r="O417" s="250" t="str">
        <f>IFERROR(__xludf.DUMMYFUNCTION("""COMPUTED_VALUE"""),"")</f>
        <v/>
      </c>
      <c r="P417" s="250" t="str">
        <f>IFERROR(__xludf.DUMMYFUNCTION("""COMPUTED_VALUE"""),"")</f>
        <v/>
      </c>
      <c r="Q417" s="250">
        <f>IFERROR(__xludf.DUMMYFUNCTION("""COMPUTED_VALUE"""),1029.0)</f>
        <v>1029</v>
      </c>
      <c r="R417" s="250">
        <f>IFERROR(__xludf.DUMMYFUNCTION("""COMPUTED_VALUE"""),679.0)</f>
        <v>679</v>
      </c>
      <c r="U417" s="250">
        <f>IFERROR(__xludf.DUMMYFUNCTION("""COMPUTED_VALUE"""),2079.0)</f>
        <v>2079</v>
      </c>
      <c r="V417" s="250">
        <f>IFERROR(__xludf.DUMMYFUNCTION("""COMPUTED_VALUE"""),1979.0)</f>
        <v>1979</v>
      </c>
      <c r="W417" s="250">
        <f>IFERROR(__xludf.DUMMYFUNCTION("""COMPUTED_VALUE"""),1789.0)</f>
        <v>1789</v>
      </c>
      <c r="X417" t="b">
        <f t="shared" ref="X417:Z417" si="810">ISBLANK(K417)</f>
        <v>1</v>
      </c>
      <c r="Y417" t="b">
        <f t="shared" si="810"/>
        <v>0</v>
      </c>
      <c r="Z417" t="b">
        <f t="shared" si="810"/>
        <v>0</v>
      </c>
      <c r="AA417">
        <f t="shared" ref="AA417:AC417" si="811">IF(X417=FALSE,1,0)</f>
        <v>0</v>
      </c>
      <c r="AB417">
        <f t="shared" si="811"/>
        <v>1</v>
      </c>
      <c r="AC417">
        <f t="shared" si="811"/>
        <v>1</v>
      </c>
      <c r="AD417">
        <f t="shared" si="6"/>
        <v>2</v>
      </c>
      <c r="AE417">
        <f t="shared" si="7"/>
        <v>1</v>
      </c>
      <c r="AF417">
        <f>if(iferror(vlookup($A417,'Description Database'!$E$2:$H$951,3,0),0)=TRUE,1,0)</f>
        <v>0</v>
      </c>
      <c r="AG417">
        <f>if(iferror(vlookup($A417,'Description Database'!$E$2:$H$951,4,0),0)=TRUE,1,0)</f>
        <v>0</v>
      </c>
    </row>
    <row r="418">
      <c r="A418" t="str">
        <f>IFERROR(__xludf.DUMMYFUNCTION("""COMPUTED_VALUE"""),"Nokia 5 (3 GB/16 GB)")</f>
        <v>Nokia 5 (3 GB/16 GB)</v>
      </c>
      <c r="B418" t="str">
        <f>IFERROR(__xludf.DUMMYFUNCTION("""COMPUTED_VALUE"""),"")</f>
        <v/>
      </c>
      <c r="C418" t="str">
        <f>IFERROR(__xludf.DUMMYFUNCTION("""COMPUTED_VALUE"""),"")</f>
        <v/>
      </c>
      <c r="D418" t="str">
        <f>IFERROR(__xludf.DUMMYFUNCTION("""COMPUTED_VALUE"""),"")</f>
        <v/>
      </c>
      <c r="E418" t="str">
        <f>IFERROR(__xludf.DUMMYFUNCTION("""COMPUTED_VALUE"""),"")</f>
        <v/>
      </c>
      <c r="F418" t="str">
        <f>IFERROR(__xludf.DUMMYFUNCTION("""COMPUTED_VALUE"""),"")</f>
        <v/>
      </c>
      <c r="G418" t="str">
        <f>IFERROR(__xludf.DUMMYFUNCTION("""COMPUTED_VALUE"""),"")</f>
        <v/>
      </c>
      <c r="H418" t="str">
        <f>IFERROR(__xludf.DUMMYFUNCTION("""COMPUTED_VALUE"""),"")</f>
        <v/>
      </c>
      <c r="I418">
        <f>IFERROR(__xludf.DUMMYFUNCTION("""COMPUTED_VALUE"""),2.0)</f>
        <v>2</v>
      </c>
      <c r="J418">
        <f>IFERROR(__xludf.DUMMYFUNCTION("""COMPUTED_VALUE"""),2.0)</f>
        <v>2</v>
      </c>
      <c r="L418" s="250" t="str">
        <f>IFERROR(__xludf.DUMMYFUNCTION("""COMPUTED_VALUE"""),"")</f>
        <v/>
      </c>
      <c r="M418" s="250" t="str">
        <f>IFERROR(__xludf.DUMMYFUNCTION("""COMPUTED_VALUE"""),"")</f>
        <v/>
      </c>
      <c r="N418" s="250" t="str">
        <f>IFERROR(__xludf.DUMMYFUNCTION("""COMPUTED_VALUE"""),"")</f>
        <v/>
      </c>
      <c r="O418" s="250" t="str">
        <f>IFERROR(__xludf.DUMMYFUNCTION("""COMPUTED_VALUE"""),"")</f>
        <v/>
      </c>
      <c r="P418" s="250" t="str">
        <f>IFERROR(__xludf.DUMMYFUNCTION("""COMPUTED_VALUE"""),"")</f>
        <v/>
      </c>
      <c r="Q418" s="250" t="str">
        <f>IFERROR(__xludf.DUMMYFUNCTION("""COMPUTED_VALUE"""),"")</f>
        <v/>
      </c>
      <c r="R418" s="250" t="str">
        <f>IFERROR(__xludf.DUMMYFUNCTION("""COMPUTED_VALUE"""),"")</f>
        <v/>
      </c>
      <c r="U418" s="250">
        <f>IFERROR(__xludf.DUMMYFUNCTION("""COMPUTED_VALUE"""),3599.0)</f>
        <v>3599</v>
      </c>
      <c r="V418" s="250">
        <f>IFERROR(__xludf.DUMMYFUNCTION("""COMPUTED_VALUE"""),3419.0)</f>
        <v>3419</v>
      </c>
      <c r="W418" s="250">
        <f>IFERROR(__xludf.DUMMYFUNCTION("""COMPUTED_VALUE"""),3079.0)</f>
        <v>3079</v>
      </c>
      <c r="X418" t="b">
        <f t="shared" ref="X418:Z418" si="812">ISBLANK(K418)</f>
        <v>1</v>
      </c>
      <c r="Y418" t="b">
        <f t="shared" si="812"/>
        <v>0</v>
      </c>
      <c r="Z418" t="b">
        <f t="shared" si="812"/>
        <v>0</v>
      </c>
      <c r="AA418">
        <f t="shared" ref="AA418:AC418" si="813">IF(X418=FALSE,1,0)</f>
        <v>0</v>
      </c>
      <c r="AB418">
        <f t="shared" si="813"/>
        <v>1</v>
      </c>
      <c r="AC418">
        <f t="shared" si="813"/>
        <v>1</v>
      </c>
      <c r="AD418">
        <f t="shared" si="6"/>
        <v>2</v>
      </c>
      <c r="AE418">
        <f t="shared" si="7"/>
        <v>1</v>
      </c>
      <c r="AF418">
        <f>if(iferror(vlookup($A418,'Description Database'!$E$2:$H$951,3,0),0)=TRUE,1,0)</f>
        <v>0</v>
      </c>
      <c r="AG418">
        <f>if(iferror(vlookup($A418,'Description Database'!$E$2:$H$951,4,0),0)=TRUE,1,0)</f>
        <v>0</v>
      </c>
    </row>
    <row r="419">
      <c r="A419" t="str">
        <f>IFERROR(__xludf.DUMMYFUNCTION("""COMPUTED_VALUE"""),"Honor 7C (3 GB/32 GB)")</f>
        <v>Honor 7C (3 GB/32 GB)</v>
      </c>
      <c r="B419" t="str">
        <f>IFERROR(__xludf.DUMMYFUNCTION("""COMPUTED_VALUE"""),"")</f>
        <v/>
      </c>
      <c r="C419" t="str">
        <f>IFERROR(__xludf.DUMMYFUNCTION("""COMPUTED_VALUE"""),"")</f>
        <v/>
      </c>
      <c r="D419" t="str">
        <f>IFERROR(__xludf.DUMMYFUNCTION("""COMPUTED_VALUE"""),"")</f>
        <v/>
      </c>
      <c r="E419" t="str">
        <f>IFERROR(__xludf.DUMMYFUNCTION("""COMPUTED_VALUE"""),"")</f>
        <v/>
      </c>
      <c r="F419" t="str">
        <f>IFERROR(__xludf.DUMMYFUNCTION("""COMPUTED_VALUE"""),"")</f>
        <v/>
      </c>
      <c r="G419" t="str">
        <f>IFERROR(__xludf.DUMMYFUNCTION("""COMPUTED_VALUE"""),"")</f>
        <v/>
      </c>
      <c r="H419" t="str">
        <f>IFERROR(__xludf.DUMMYFUNCTION("""COMPUTED_VALUE"""),"")</f>
        <v/>
      </c>
      <c r="I419">
        <f>IFERROR(__xludf.DUMMYFUNCTION("""COMPUTED_VALUE"""),2.0)</f>
        <v>2</v>
      </c>
      <c r="J419">
        <f>IFERROR(__xludf.DUMMYFUNCTION("""COMPUTED_VALUE"""),2.0)</f>
        <v>2</v>
      </c>
      <c r="L419" s="250" t="str">
        <f>IFERROR(__xludf.DUMMYFUNCTION("""COMPUTED_VALUE"""),"")</f>
        <v/>
      </c>
      <c r="M419" s="250" t="str">
        <f>IFERROR(__xludf.DUMMYFUNCTION("""COMPUTED_VALUE"""),"")</f>
        <v/>
      </c>
      <c r="N419" s="250" t="str">
        <f>IFERROR(__xludf.DUMMYFUNCTION("""COMPUTED_VALUE"""),"")</f>
        <v/>
      </c>
      <c r="O419" s="250" t="str">
        <f>IFERROR(__xludf.DUMMYFUNCTION("""COMPUTED_VALUE"""),"")</f>
        <v/>
      </c>
      <c r="P419" s="250" t="str">
        <f>IFERROR(__xludf.DUMMYFUNCTION("""COMPUTED_VALUE"""),"")</f>
        <v/>
      </c>
      <c r="Q419" s="250" t="str">
        <f>IFERROR(__xludf.DUMMYFUNCTION("""COMPUTED_VALUE"""),"")</f>
        <v/>
      </c>
      <c r="R419" s="250" t="str">
        <f>IFERROR(__xludf.DUMMYFUNCTION("""COMPUTED_VALUE"""),"")</f>
        <v/>
      </c>
      <c r="U419" s="250">
        <f>IFERROR(__xludf.DUMMYFUNCTION("""COMPUTED_VALUE"""),4539.0)</f>
        <v>4539</v>
      </c>
      <c r="V419" s="250">
        <f>IFERROR(__xludf.DUMMYFUNCTION("""COMPUTED_VALUE"""),4319.0)</f>
        <v>4319</v>
      </c>
      <c r="W419" s="250">
        <f>IFERROR(__xludf.DUMMYFUNCTION("""COMPUTED_VALUE"""),3889.0)</f>
        <v>3889</v>
      </c>
      <c r="X419" t="b">
        <f t="shared" ref="X419:Z419" si="814">ISBLANK(K419)</f>
        <v>1</v>
      </c>
      <c r="Y419" t="b">
        <f t="shared" si="814"/>
        <v>0</v>
      </c>
      <c r="Z419" t="b">
        <f t="shared" si="814"/>
        <v>0</v>
      </c>
      <c r="AA419">
        <f t="shared" ref="AA419:AC419" si="815">IF(X419=FALSE,1,0)</f>
        <v>0</v>
      </c>
      <c r="AB419">
        <f t="shared" si="815"/>
        <v>1</v>
      </c>
      <c r="AC419">
        <f t="shared" si="815"/>
        <v>1</v>
      </c>
      <c r="AD419">
        <f t="shared" si="6"/>
        <v>2</v>
      </c>
      <c r="AE419">
        <f t="shared" si="7"/>
        <v>1</v>
      </c>
      <c r="AF419">
        <f>if(iferror(vlookup($A419,'Description Database'!$E$2:$H$951,3,0),0)=TRUE,1,0)</f>
        <v>0</v>
      </c>
      <c r="AG419">
        <f>if(iferror(vlookup($A419,'Description Database'!$E$2:$H$951,4,0),0)=TRUE,1,0)</f>
        <v>0</v>
      </c>
    </row>
    <row r="420">
      <c r="A420" t="str">
        <f>IFERROR(__xludf.DUMMYFUNCTION("""COMPUTED_VALUE"""),"Honor 7s (2 GB/16 GB)")</f>
        <v>Honor 7s (2 GB/16 GB)</v>
      </c>
      <c r="B420" t="str">
        <f>IFERROR(__xludf.DUMMYFUNCTION("""COMPUTED_VALUE"""),"")</f>
        <v/>
      </c>
      <c r="C420" t="str">
        <f>IFERROR(__xludf.DUMMYFUNCTION("""COMPUTED_VALUE"""),"")</f>
        <v/>
      </c>
      <c r="D420" t="str">
        <f>IFERROR(__xludf.DUMMYFUNCTION("""COMPUTED_VALUE"""),"")</f>
        <v/>
      </c>
      <c r="E420" t="str">
        <f>IFERROR(__xludf.DUMMYFUNCTION("""COMPUTED_VALUE"""),"")</f>
        <v/>
      </c>
      <c r="F420" t="str">
        <f>IFERROR(__xludf.DUMMYFUNCTION("""COMPUTED_VALUE"""),"")</f>
        <v/>
      </c>
      <c r="G420" t="str">
        <f>IFERROR(__xludf.DUMMYFUNCTION("""COMPUTED_VALUE"""),"")</f>
        <v/>
      </c>
      <c r="H420" t="str">
        <f>IFERROR(__xludf.DUMMYFUNCTION("""COMPUTED_VALUE"""),"")</f>
        <v/>
      </c>
      <c r="I420">
        <f>IFERROR(__xludf.DUMMYFUNCTION("""COMPUTED_VALUE"""),9.0)</f>
        <v>9</v>
      </c>
      <c r="J420">
        <f>IFERROR(__xludf.DUMMYFUNCTION("""COMPUTED_VALUE"""),9.0)</f>
        <v>9</v>
      </c>
      <c r="L420" s="250" t="str">
        <f>IFERROR(__xludf.DUMMYFUNCTION("""COMPUTED_VALUE"""),"")</f>
        <v/>
      </c>
      <c r="M420" s="250" t="str">
        <f>IFERROR(__xludf.DUMMYFUNCTION("""COMPUTED_VALUE"""),"")</f>
        <v/>
      </c>
      <c r="N420" s="250" t="str">
        <f>IFERROR(__xludf.DUMMYFUNCTION("""COMPUTED_VALUE"""),"")</f>
        <v/>
      </c>
      <c r="O420" s="250" t="str">
        <f>IFERROR(__xludf.DUMMYFUNCTION("""COMPUTED_VALUE"""),"")</f>
        <v/>
      </c>
      <c r="P420" s="250" t="str">
        <f>IFERROR(__xludf.DUMMYFUNCTION("""COMPUTED_VALUE"""),"")</f>
        <v/>
      </c>
      <c r="Q420" s="250" t="str">
        <f>IFERROR(__xludf.DUMMYFUNCTION("""COMPUTED_VALUE"""),"")</f>
        <v/>
      </c>
      <c r="R420" s="250" t="str">
        <f>IFERROR(__xludf.DUMMYFUNCTION("""COMPUTED_VALUE"""),"")</f>
        <v/>
      </c>
      <c r="U420" s="250">
        <f>IFERROR(__xludf.DUMMYFUNCTION("""COMPUTED_VALUE"""),3679.0)</f>
        <v>3679</v>
      </c>
      <c r="V420" s="250">
        <f>IFERROR(__xludf.DUMMYFUNCTION("""COMPUTED_VALUE"""),3499.0)</f>
        <v>3499</v>
      </c>
      <c r="W420" s="250">
        <f>IFERROR(__xludf.DUMMYFUNCTION("""COMPUTED_VALUE"""),3149.0)</f>
        <v>3149</v>
      </c>
      <c r="X420" t="b">
        <f t="shared" ref="X420:Z420" si="816">ISBLANK(K420)</f>
        <v>1</v>
      </c>
      <c r="Y420" t="b">
        <f t="shared" si="816"/>
        <v>0</v>
      </c>
      <c r="Z420" t="b">
        <f t="shared" si="816"/>
        <v>0</v>
      </c>
      <c r="AA420">
        <f t="shared" ref="AA420:AC420" si="817">IF(X420=FALSE,1,0)</f>
        <v>0</v>
      </c>
      <c r="AB420">
        <f t="shared" si="817"/>
        <v>1</v>
      </c>
      <c r="AC420">
        <f t="shared" si="817"/>
        <v>1</v>
      </c>
      <c r="AD420">
        <f t="shared" si="6"/>
        <v>2</v>
      </c>
      <c r="AE420">
        <f t="shared" si="7"/>
        <v>1</v>
      </c>
      <c r="AF420">
        <f>if(iferror(vlookup($A420,'Description Database'!$E$2:$H$951,3,0),0)=TRUE,1,0)</f>
        <v>0</v>
      </c>
      <c r="AG420">
        <f>if(iferror(vlookup($A420,'Description Database'!$E$2:$H$951,4,0),0)=TRUE,1,0)</f>
        <v>0</v>
      </c>
    </row>
    <row r="421">
      <c r="A421" t="str">
        <f>IFERROR(__xludf.DUMMYFUNCTION("""COMPUTED_VALUE"""),"Xiaomi REDMI 6 (3 GB/64 GB)")</f>
        <v>Xiaomi REDMI 6 (3 GB/64 GB)</v>
      </c>
      <c r="B421" t="str">
        <f>IFERROR(__xludf.DUMMYFUNCTION("""COMPUTED_VALUE"""),"")</f>
        <v/>
      </c>
      <c r="C421">
        <f>IFERROR(__xludf.DUMMYFUNCTION("""COMPUTED_VALUE"""),1.0)</f>
        <v>1</v>
      </c>
      <c r="D421" t="str">
        <f>IFERROR(__xludf.DUMMYFUNCTION("""COMPUTED_VALUE"""),"")</f>
        <v/>
      </c>
      <c r="E421" t="str">
        <f>IFERROR(__xludf.DUMMYFUNCTION("""COMPUTED_VALUE"""),"")</f>
        <v/>
      </c>
      <c r="F421">
        <f>IFERROR(__xludf.DUMMYFUNCTION("""COMPUTED_VALUE"""),1.0)</f>
        <v>1</v>
      </c>
      <c r="G421">
        <f>IFERROR(__xludf.DUMMYFUNCTION("""COMPUTED_VALUE"""),1.0)</f>
        <v>1</v>
      </c>
      <c r="H421" t="str">
        <f>IFERROR(__xludf.DUMMYFUNCTION("""COMPUTED_VALUE"""),"")</f>
        <v/>
      </c>
      <c r="I421">
        <f>IFERROR(__xludf.DUMMYFUNCTION("""COMPUTED_VALUE"""),2.0)</f>
        <v>2</v>
      </c>
      <c r="J421">
        <f>IFERROR(__xludf.DUMMYFUNCTION("""COMPUTED_VALUE"""),5.0)</f>
        <v>5</v>
      </c>
      <c r="L421" s="250" t="str">
        <f>IFERROR(__xludf.DUMMYFUNCTION("""COMPUTED_VALUE"""),"")</f>
        <v/>
      </c>
      <c r="M421" s="250">
        <f>IFERROR(__xludf.DUMMYFUNCTION("""COMPUTED_VALUE"""),5079.0)</f>
        <v>5079</v>
      </c>
      <c r="N421" s="250" t="str">
        <f>IFERROR(__xludf.DUMMYFUNCTION("""COMPUTED_VALUE"""),"")</f>
        <v/>
      </c>
      <c r="O421" s="250" t="str">
        <f>IFERROR(__xludf.DUMMYFUNCTION("""COMPUTED_VALUE"""),"")</f>
        <v/>
      </c>
      <c r="P421" s="250">
        <f>IFERROR(__xludf.DUMMYFUNCTION("""COMPUTED_VALUE"""),3799.0)</f>
        <v>3799</v>
      </c>
      <c r="Q421" s="250">
        <f>IFERROR(__xludf.DUMMYFUNCTION("""COMPUTED_VALUE"""),2949.0)</f>
        <v>2949</v>
      </c>
      <c r="R421" s="250" t="str">
        <f>IFERROR(__xludf.DUMMYFUNCTION("""COMPUTED_VALUE"""),"")</f>
        <v/>
      </c>
      <c r="U421" s="250">
        <f>IFERROR(__xludf.DUMMYFUNCTION("""COMPUTED_VALUE"""),5879.0)</f>
        <v>5879</v>
      </c>
      <c r="V421" s="250">
        <f>IFERROR(__xludf.DUMMYFUNCTION("""COMPUTED_VALUE"""),5589.0)</f>
        <v>5589</v>
      </c>
      <c r="W421" s="250">
        <f>IFERROR(__xludf.DUMMYFUNCTION("""COMPUTED_VALUE"""),5029.0)</f>
        <v>5029</v>
      </c>
      <c r="X421" t="b">
        <f t="shared" ref="X421:Z421" si="818">ISBLANK(K421)</f>
        <v>1</v>
      </c>
      <c r="Y421" t="b">
        <f t="shared" si="818"/>
        <v>0</v>
      </c>
      <c r="Z421" t="b">
        <f t="shared" si="818"/>
        <v>0</v>
      </c>
      <c r="AA421">
        <f t="shared" ref="AA421:AC421" si="819">IF(X421=FALSE,1,0)</f>
        <v>0</v>
      </c>
      <c r="AB421">
        <f t="shared" si="819"/>
        <v>1</v>
      </c>
      <c r="AC421">
        <f t="shared" si="819"/>
        <v>1</v>
      </c>
      <c r="AD421">
        <f t="shared" si="6"/>
        <v>2</v>
      </c>
      <c r="AE421">
        <f t="shared" si="7"/>
        <v>1</v>
      </c>
      <c r="AF421">
        <f>if(iferror(vlookup($A421,'Description Database'!$E$2:$H$951,3,0),0)=TRUE,1,0)</f>
        <v>0</v>
      </c>
      <c r="AG421">
        <f>if(iferror(vlookup($A421,'Description Database'!$E$2:$H$951,4,0),0)=TRUE,1,0)</f>
        <v>0</v>
      </c>
    </row>
    <row r="422">
      <c r="A422" t="str">
        <f>IFERROR(__xludf.DUMMYFUNCTION("""COMPUTED_VALUE"""),"Vivo Y55 (2 GB/16 GB)")</f>
        <v>Vivo Y55 (2 GB/16 GB)</v>
      </c>
      <c r="B422" t="str">
        <f>IFERROR(__xludf.DUMMYFUNCTION("""COMPUTED_VALUE"""),"")</f>
        <v/>
      </c>
      <c r="C422" t="str">
        <f>IFERROR(__xludf.DUMMYFUNCTION("""COMPUTED_VALUE"""),"")</f>
        <v/>
      </c>
      <c r="D422" t="str">
        <f>IFERROR(__xludf.DUMMYFUNCTION("""COMPUTED_VALUE"""),"")</f>
        <v/>
      </c>
      <c r="E422" t="str">
        <f>IFERROR(__xludf.DUMMYFUNCTION("""COMPUTED_VALUE"""),"")</f>
        <v/>
      </c>
      <c r="F422" t="str">
        <f>IFERROR(__xludf.DUMMYFUNCTION("""COMPUTED_VALUE"""),"")</f>
        <v/>
      </c>
      <c r="G422" t="str">
        <f>IFERROR(__xludf.DUMMYFUNCTION("""COMPUTED_VALUE"""),"")</f>
        <v/>
      </c>
      <c r="H422" t="str">
        <f>IFERROR(__xludf.DUMMYFUNCTION("""COMPUTED_VALUE"""),"")</f>
        <v/>
      </c>
      <c r="I422">
        <f>IFERROR(__xludf.DUMMYFUNCTION("""COMPUTED_VALUE"""),2.0)</f>
        <v>2</v>
      </c>
      <c r="J422">
        <f>IFERROR(__xludf.DUMMYFUNCTION("""COMPUTED_VALUE"""),2.0)</f>
        <v>2</v>
      </c>
      <c r="L422" s="250" t="str">
        <f>IFERROR(__xludf.DUMMYFUNCTION("""COMPUTED_VALUE"""),"")</f>
        <v/>
      </c>
      <c r="M422" s="250" t="str">
        <f>IFERROR(__xludf.DUMMYFUNCTION("""COMPUTED_VALUE"""),"")</f>
        <v/>
      </c>
      <c r="N422" s="250" t="str">
        <f>IFERROR(__xludf.DUMMYFUNCTION("""COMPUTED_VALUE"""),"")</f>
        <v/>
      </c>
      <c r="O422" s="250" t="str">
        <f>IFERROR(__xludf.DUMMYFUNCTION("""COMPUTED_VALUE"""),"")</f>
        <v/>
      </c>
      <c r="P422" s="250" t="str">
        <f>IFERROR(__xludf.DUMMYFUNCTION("""COMPUTED_VALUE"""),"")</f>
        <v/>
      </c>
      <c r="Q422" s="250" t="str">
        <f>IFERROR(__xludf.DUMMYFUNCTION("""COMPUTED_VALUE"""),"")</f>
        <v/>
      </c>
      <c r="R422" s="250" t="str">
        <f>IFERROR(__xludf.DUMMYFUNCTION("""COMPUTED_VALUE"""),"")</f>
        <v/>
      </c>
      <c r="U422" s="250" t="str">
        <f>IFERROR(__xludf.DUMMYFUNCTION("""COMPUTED_VALUE"""),"#N/A")</f>
        <v>#N/A</v>
      </c>
      <c r="V422" s="250" t="str">
        <f>IFERROR(__xludf.DUMMYFUNCTION("""COMPUTED_VALUE"""),"#N/A")</f>
        <v>#N/A</v>
      </c>
      <c r="W422" s="250" t="str">
        <f>IFERROR(__xludf.DUMMYFUNCTION("""COMPUTED_VALUE"""),"#N/A")</f>
        <v>#N/A</v>
      </c>
      <c r="X422" t="b">
        <f t="shared" ref="X422:Z422" si="820">ISBLANK(K422)</f>
        <v>1</v>
      </c>
      <c r="Y422" t="b">
        <f t="shared" si="820"/>
        <v>0</v>
      </c>
      <c r="Z422" t="b">
        <f t="shared" si="820"/>
        <v>0</v>
      </c>
      <c r="AA422">
        <f t="shared" ref="AA422:AC422" si="821">IF(X422=FALSE,1,0)</f>
        <v>0</v>
      </c>
      <c r="AB422">
        <f t="shared" si="821"/>
        <v>1</v>
      </c>
      <c r="AC422">
        <f t="shared" si="821"/>
        <v>1</v>
      </c>
      <c r="AD422">
        <f t="shared" si="6"/>
        <v>2</v>
      </c>
      <c r="AE422">
        <f t="shared" si="7"/>
        <v>1</v>
      </c>
      <c r="AF422">
        <f>if(iferror(vlookup($A422,'Description Database'!$E$2:$H$951,3,0),0)=TRUE,1,0)</f>
        <v>0</v>
      </c>
      <c r="AG422">
        <f>if(iferror(vlookup($A422,'Description Database'!$E$2:$H$951,4,0),0)=TRUE,1,0)</f>
        <v>0</v>
      </c>
    </row>
    <row r="423">
      <c r="A423" t="str">
        <f>IFERROR(__xludf.DUMMYFUNCTION("""COMPUTED_VALUE"""),"ASUS ZENFONE MAX PRO M2 (6 GB/ 64GB)")</f>
        <v>ASUS ZENFONE MAX PRO M2 (6 GB/ 64GB)</v>
      </c>
      <c r="B423" t="str">
        <f>IFERROR(__xludf.DUMMYFUNCTION("""COMPUTED_VALUE"""),"")</f>
        <v/>
      </c>
      <c r="C423" t="str">
        <f>IFERROR(__xludf.DUMMYFUNCTION("""COMPUTED_VALUE"""),"")</f>
        <v/>
      </c>
      <c r="D423" t="str">
        <f>IFERROR(__xludf.DUMMYFUNCTION("""COMPUTED_VALUE"""),"")</f>
        <v/>
      </c>
      <c r="E423" t="str">
        <f>IFERROR(__xludf.DUMMYFUNCTION("""COMPUTED_VALUE"""),"")</f>
        <v/>
      </c>
      <c r="F423" t="str">
        <f>IFERROR(__xludf.DUMMYFUNCTION("""COMPUTED_VALUE"""),"")</f>
        <v/>
      </c>
      <c r="G423" t="str">
        <f>IFERROR(__xludf.DUMMYFUNCTION("""COMPUTED_VALUE"""),"")</f>
        <v/>
      </c>
      <c r="H423" t="str">
        <f>IFERROR(__xludf.DUMMYFUNCTION("""COMPUTED_VALUE"""),"")</f>
        <v/>
      </c>
      <c r="I423" t="str">
        <f>IFERROR(__xludf.DUMMYFUNCTION("""COMPUTED_VALUE"""),"")</f>
        <v/>
      </c>
      <c r="J423">
        <f>IFERROR(__xludf.DUMMYFUNCTION("""COMPUTED_VALUE"""),0.0)</f>
        <v>0</v>
      </c>
      <c r="L423" s="250" t="str">
        <f>IFERROR(__xludf.DUMMYFUNCTION("""COMPUTED_VALUE"""),"")</f>
        <v/>
      </c>
      <c r="M423" s="250" t="str">
        <f>IFERROR(__xludf.DUMMYFUNCTION("""COMPUTED_VALUE"""),"")</f>
        <v/>
      </c>
      <c r="N423" s="250" t="str">
        <f>IFERROR(__xludf.DUMMYFUNCTION("""COMPUTED_VALUE"""),"")</f>
        <v/>
      </c>
      <c r="O423" s="250" t="str">
        <f>IFERROR(__xludf.DUMMYFUNCTION("""COMPUTED_VALUE"""),"")</f>
        <v/>
      </c>
      <c r="P423" s="250" t="str">
        <f>IFERROR(__xludf.DUMMYFUNCTION("""COMPUTED_VALUE"""),"")</f>
        <v/>
      </c>
      <c r="Q423" s="250" t="str">
        <f>IFERROR(__xludf.DUMMYFUNCTION("""COMPUTED_VALUE"""),"")</f>
        <v/>
      </c>
      <c r="R423" s="250" t="str">
        <f>IFERROR(__xludf.DUMMYFUNCTION("""COMPUTED_VALUE"""),"")</f>
        <v/>
      </c>
      <c r="U423" s="250" t="str">
        <f>IFERROR(__xludf.DUMMYFUNCTION("""COMPUTED_VALUE"""),"#N/A")</f>
        <v>#N/A</v>
      </c>
      <c r="V423" s="250" t="str">
        <f>IFERROR(__xludf.DUMMYFUNCTION("""COMPUTED_VALUE"""),"#N/A")</f>
        <v>#N/A</v>
      </c>
      <c r="W423" s="250" t="str">
        <f>IFERROR(__xludf.DUMMYFUNCTION("""COMPUTED_VALUE"""),"#N/A")</f>
        <v>#N/A</v>
      </c>
      <c r="X423" t="b">
        <f t="shared" ref="X423:Z423" si="822">ISBLANK(K423)</f>
        <v>1</v>
      </c>
      <c r="Y423" t="b">
        <f t="shared" si="822"/>
        <v>0</v>
      </c>
      <c r="Z423" t="b">
        <f t="shared" si="822"/>
        <v>0</v>
      </c>
      <c r="AA423">
        <f t="shared" ref="AA423:AC423" si="823">IF(X423=FALSE,1,0)</f>
        <v>0</v>
      </c>
      <c r="AB423">
        <f t="shared" si="823"/>
        <v>1</v>
      </c>
      <c r="AC423">
        <f t="shared" si="823"/>
        <v>1</v>
      </c>
      <c r="AD423">
        <f t="shared" si="6"/>
        <v>2</v>
      </c>
      <c r="AE423">
        <f t="shared" si="7"/>
        <v>1</v>
      </c>
      <c r="AF423">
        <f>if(iferror(vlookup($A423,'Description Database'!$E$2:$H$951,3,0),0)=TRUE,1,0)</f>
        <v>0</v>
      </c>
      <c r="AG423">
        <f>if(iferror(vlookup($A423,'Description Database'!$E$2:$H$951,4,0),0)=TRUE,1,0)</f>
        <v>0</v>
      </c>
    </row>
    <row r="424">
      <c r="A424" t="str">
        <f>IFERROR(__xludf.DUMMYFUNCTION("""COMPUTED_VALUE"""),"ONEPLUS 5 (4 GB/64 GB)")</f>
        <v>ONEPLUS 5 (4 GB/64 GB)</v>
      </c>
      <c r="B424" t="str">
        <f>IFERROR(__xludf.DUMMYFUNCTION("""COMPUTED_VALUE"""),"")</f>
        <v/>
      </c>
      <c r="C424" t="str">
        <f>IFERROR(__xludf.DUMMYFUNCTION("""COMPUTED_VALUE"""),"")</f>
        <v/>
      </c>
      <c r="D424" t="str">
        <f>IFERROR(__xludf.DUMMYFUNCTION("""COMPUTED_VALUE"""),"")</f>
        <v/>
      </c>
      <c r="E424" t="str">
        <f>IFERROR(__xludf.DUMMYFUNCTION("""COMPUTED_VALUE"""),"")</f>
        <v/>
      </c>
      <c r="F424" t="str">
        <f>IFERROR(__xludf.DUMMYFUNCTION("""COMPUTED_VALUE"""),"")</f>
        <v/>
      </c>
      <c r="G424" t="str">
        <f>IFERROR(__xludf.DUMMYFUNCTION("""COMPUTED_VALUE"""),"")</f>
        <v/>
      </c>
      <c r="H424" t="str">
        <f>IFERROR(__xludf.DUMMYFUNCTION("""COMPUTED_VALUE"""),"")</f>
        <v/>
      </c>
      <c r="I424" t="str">
        <f>IFERROR(__xludf.DUMMYFUNCTION("""COMPUTED_VALUE"""),"")</f>
        <v/>
      </c>
      <c r="J424">
        <f>IFERROR(__xludf.DUMMYFUNCTION("""COMPUTED_VALUE"""),0.0)</f>
        <v>0</v>
      </c>
      <c r="L424" s="250" t="str">
        <f>IFERROR(__xludf.DUMMYFUNCTION("""COMPUTED_VALUE"""),"")</f>
        <v/>
      </c>
      <c r="M424" s="250" t="str">
        <f>IFERROR(__xludf.DUMMYFUNCTION("""COMPUTED_VALUE"""),"")</f>
        <v/>
      </c>
      <c r="N424" s="250" t="str">
        <f>IFERROR(__xludf.DUMMYFUNCTION("""COMPUTED_VALUE"""),"")</f>
        <v/>
      </c>
      <c r="O424" s="250" t="str">
        <f>IFERROR(__xludf.DUMMYFUNCTION("""COMPUTED_VALUE"""),"")</f>
        <v/>
      </c>
      <c r="P424" s="250" t="str">
        <f>IFERROR(__xludf.DUMMYFUNCTION("""COMPUTED_VALUE"""),"")</f>
        <v/>
      </c>
      <c r="Q424" s="250" t="str">
        <f>IFERROR(__xludf.DUMMYFUNCTION("""COMPUTED_VALUE"""),"")</f>
        <v/>
      </c>
      <c r="R424" s="250" t="str">
        <f>IFERROR(__xludf.DUMMYFUNCTION("""COMPUTED_VALUE"""),"")</f>
        <v/>
      </c>
      <c r="U424" s="250" t="str">
        <f>IFERROR(__xludf.DUMMYFUNCTION("""COMPUTED_VALUE"""),"#N/A")</f>
        <v>#N/A</v>
      </c>
      <c r="V424" s="250" t="str">
        <f>IFERROR(__xludf.DUMMYFUNCTION("""COMPUTED_VALUE"""),"#N/A")</f>
        <v>#N/A</v>
      </c>
      <c r="W424" s="250" t="str">
        <f>IFERROR(__xludf.DUMMYFUNCTION("""COMPUTED_VALUE"""),"#N/A")</f>
        <v>#N/A</v>
      </c>
      <c r="X424" t="b">
        <f t="shared" ref="X424:Z424" si="824">ISBLANK(K424)</f>
        <v>1</v>
      </c>
      <c r="Y424" t="b">
        <f t="shared" si="824"/>
        <v>0</v>
      </c>
      <c r="Z424" t="b">
        <f t="shared" si="824"/>
        <v>0</v>
      </c>
      <c r="AA424">
        <f t="shared" ref="AA424:AC424" si="825">IF(X424=FALSE,1,0)</f>
        <v>0</v>
      </c>
      <c r="AB424">
        <f t="shared" si="825"/>
        <v>1</v>
      </c>
      <c r="AC424">
        <f t="shared" si="825"/>
        <v>1</v>
      </c>
      <c r="AD424">
        <f t="shared" si="6"/>
        <v>2</v>
      </c>
      <c r="AE424">
        <f t="shared" si="7"/>
        <v>1</v>
      </c>
      <c r="AF424">
        <f>if(iferror(vlookup($A424,'Description Database'!$E$2:$H$951,3,0),0)=TRUE,1,0)</f>
        <v>0</v>
      </c>
      <c r="AG424">
        <f>if(iferror(vlookup($A424,'Description Database'!$E$2:$H$951,4,0),0)=TRUE,1,0)</f>
        <v>0</v>
      </c>
    </row>
    <row r="425">
      <c r="A425" t="str">
        <f>IFERROR(__xludf.DUMMYFUNCTION("""COMPUTED_VALUE"""),"Lenovo K6 POWER (4 GB/32 GB)")</f>
        <v>Lenovo K6 POWER (4 GB/32 GB)</v>
      </c>
      <c r="B425" t="str">
        <f>IFERROR(__xludf.DUMMYFUNCTION("""COMPUTED_VALUE"""),"")</f>
        <v/>
      </c>
      <c r="C425" t="str">
        <f>IFERROR(__xludf.DUMMYFUNCTION("""COMPUTED_VALUE"""),"")</f>
        <v/>
      </c>
      <c r="D425" t="str">
        <f>IFERROR(__xludf.DUMMYFUNCTION("""COMPUTED_VALUE"""),"")</f>
        <v/>
      </c>
      <c r="E425" t="str">
        <f>IFERROR(__xludf.DUMMYFUNCTION("""COMPUTED_VALUE"""),"")</f>
        <v/>
      </c>
      <c r="F425" t="str">
        <f>IFERROR(__xludf.DUMMYFUNCTION("""COMPUTED_VALUE"""),"")</f>
        <v/>
      </c>
      <c r="G425" t="str">
        <f>IFERROR(__xludf.DUMMYFUNCTION("""COMPUTED_VALUE"""),"")</f>
        <v/>
      </c>
      <c r="H425" t="str">
        <f>IFERROR(__xludf.DUMMYFUNCTION("""COMPUTED_VALUE"""),"")</f>
        <v/>
      </c>
      <c r="I425">
        <f>IFERROR(__xludf.DUMMYFUNCTION("""COMPUTED_VALUE"""),3.0)</f>
        <v>3</v>
      </c>
      <c r="J425">
        <f>IFERROR(__xludf.DUMMYFUNCTION("""COMPUTED_VALUE"""),3.0)</f>
        <v>3</v>
      </c>
      <c r="L425" s="250" t="str">
        <f>IFERROR(__xludf.DUMMYFUNCTION("""COMPUTED_VALUE"""),"")</f>
        <v/>
      </c>
      <c r="M425" s="250" t="str">
        <f>IFERROR(__xludf.DUMMYFUNCTION("""COMPUTED_VALUE"""),"")</f>
        <v/>
      </c>
      <c r="N425" s="250" t="str">
        <f>IFERROR(__xludf.DUMMYFUNCTION("""COMPUTED_VALUE"""),"")</f>
        <v/>
      </c>
      <c r="O425" s="250" t="str">
        <f>IFERROR(__xludf.DUMMYFUNCTION("""COMPUTED_VALUE"""),"")</f>
        <v/>
      </c>
      <c r="P425" s="250" t="str">
        <f>IFERROR(__xludf.DUMMYFUNCTION("""COMPUTED_VALUE"""),"")</f>
        <v/>
      </c>
      <c r="Q425" s="250" t="str">
        <f>IFERROR(__xludf.DUMMYFUNCTION("""COMPUTED_VALUE"""),"")</f>
        <v/>
      </c>
      <c r="R425" s="250" t="str">
        <f>IFERROR(__xludf.DUMMYFUNCTION("""COMPUTED_VALUE"""),"")</f>
        <v/>
      </c>
      <c r="U425" s="250">
        <f>IFERROR(__xludf.DUMMYFUNCTION("""COMPUTED_VALUE"""),3799.0)</f>
        <v>3799</v>
      </c>
      <c r="V425" s="250">
        <f>IFERROR(__xludf.DUMMYFUNCTION("""COMPUTED_VALUE"""),3609.0)</f>
        <v>3609</v>
      </c>
      <c r="W425" s="250">
        <f>IFERROR(__xludf.DUMMYFUNCTION("""COMPUTED_VALUE"""),3249.0)</f>
        <v>3249</v>
      </c>
      <c r="X425" t="b">
        <f t="shared" ref="X425:Z425" si="826">ISBLANK(K425)</f>
        <v>1</v>
      </c>
      <c r="Y425" t="b">
        <f t="shared" si="826"/>
        <v>0</v>
      </c>
      <c r="Z425" t="b">
        <f t="shared" si="826"/>
        <v>0</v>
      </c>
      <c r="AA425">
        <f t="shared" ref="AA425:AC425" si="827">IF(X425=FALSE,1,0)</f>
        <v>0</v>
      </c>
      <c r="AB425">
        <f t="shared" si="827"/>
        <v>1</v>
      </c>
      <c r="AC425">
        <f t="shared" si="827"/>
        <v>1</v>
      </c>
      <c r="AD425">
        <f t="shared" si="6"/>
        <v>2</v>
      </c>
      <c r="AE425">
        <f t="shared" si="7"/>
        <v>1</v>
      </c>
      <c r="AF425">
        <f>if(iferror(vlookup($A425,'Description Database'!$E$2:$H$951,3,0),0)=TRUE,1,0)</f>
        <v>0</v>
      </c>
      <c r="AG425">
        <f>if(iferror(vlookup($A425,'Description Database'!$E$2:$H$951,4,0),0)=TRUE,1,0)</f>
        <v>0</v>
      </c>
    </row>
    <row r="426">
      <c r="A426" t="str">
        <f>IFERROR(__xludf.DUMMYFUNCTION("""COMPUTED_VALUE"""),"Xiaomi REDMI 2 (1 GB/8 GB)")</f>
        <v>Xiaomi REDMI 2 (1 GB/8 GB)</v>
      </c>
      <c r="B426" t="str">
        <f>IFERROR(__xludf.DUMMYFUNCTION("""COMPUTED_VALUE"""),"")</f>
        <v/>
      </c>
      <c r="C426" t="str">
        <f>IFERROR(__xludf.DUMMYFUNCTION("""COMPUTED_VALUE"""),"")</f>
        <v/>
      </c>
      <c r="D426" t="str">
        <f>IFERROR(__xludf.DUMMYFUNCTION("""COMPUTED_VALUE"""),"")</f>
        <v/>
      </c>
      <c r="E426" t="str">
        <f>IFERROR(__xludf.DUMMYFUNCTION("""COMPUTED_VALUE"""),"")</f>
        <v/>
      </c>
      <c r="F426" t="str">
        <f>IFERROR(__xludf.DUMMYFUNCTION("""COMPUTED_VALUE"""),"")</f>
        <v/>
      </c>
      <c r="G426">
        <f>IFERROR(__xludf.DUMMYFUNCTION("""COMPUTED_VALUE"""),1.0)</f>
        <v>1</v>
      </c>
      <c r="H426" t="str">
        <f>IFERROR(__xludf.DUMMYFUNCTION("""COMPUTED_VALUE"""),"")</f>
        <v/>
      </c>
      <c r="I426">
        <f>IFERROR(__xludf.DUMMYFUNCTION("""COMPUTED_VALUE"""),2.0)</f>
        <v>2</v>
      </c>
      <c r="J426">
        <f>IFERROR(__xludf.DUMMYFUNCTION("""COMPUTED_VALUE"""),3.0)</f>
        <v>3</v>
      </c>
      <c r="L426" s="250" t="str">
        <f>IFERROR(__xludf.DUMMYFUNCTION("""COMPUTED_VALUE"""),"")</f>
        <v/>
      </c>
      <c r="M426" s="250" t="str">
        <f>IFERROR(__xludf.DUMMYFUNCTION("""COMPUTED_VALUE"""),"")</f>
        <v/>
      </c>
      <c r="N426" s="250" t="str">
        <f>IFERROR(__xludf.DUMMYFUNCTION("""COMPUTED_VALUE"""),"")</f>
        <v/>
      </c>
      <c r="O426" s="250" t="str">
        <f>IFERROR(__xludf.DUMMYFUNCTION("""COMPUTED_VALUE"""),"")</f>
        <v/>
      </c>
      <c r="P426" s="250" t="str">
        <f>IFERROR(__xludf.DUMMYFUNCTION("""COMPUTED_VALUE"""),"")</f>
        <v/>
      </c>
      <c r="Q426" s="250">
        <f>IFERROR(__xludf.DUMMYFUNCTION("""COMPUTED_VALUE"""),819.0)</f>
        <v>819</v>
      </c>
      <c r="R426" s="250" t="str">
        <f>IFERROR(__xludf.DUMMYFUNCTION("""COMPUTED_VALUE"""),"")</f>
        <v/>
      </c>
      <c r="U426" s="250">
        <f>IFERROR(__xludf.DUMMYFUNCTION("""COMPUTED_VALUE"""),1659.0)</f>
        <v>1659</v>
      </c>
      <c r="V426" s="250">
        <f>IFERROR(__xludf.DUMMYFUNCTION("""COMPUTED_VALUE"""),1579.0)</f>
        <v>1579</v>
      </c>
      <c r="W426" s="250">
        <f>IFERROR(__xludf.DUMMYFUNCTION("""COMPUTED_VALUE"""),1419.0)</f>
        <v>1419</v>
      </c>
      <c r="X426" t="b">
        <f t="shared" ref="X426:Z426" si="828">ISBLANK(K426)</f>
        <v>1</v>
      </c>
      <c r="Y426" t="b">
        <f t="shared" si="828"/>
        <v>0</v>
      </c>
      <c r="Z426" t="b">
        <f t="shared" si="828"/>
        <v>0</v>
      </c>
      <c r="AA426">
        <f t="shared" ref="AA426:AC426" si="829">IF(X426=FALSE,1,0)</f>
        <v>0</v>
      </c>
      <c r="AB426">
        <f t="shared" si="829"/>
        <v>1</v>
      </c>
      <c r="AC426">
        <f t="shared" si="829"/>
        <v>1</v>
      </c>
      <c r="AD426">
        <f t="shared" si="6"/>
        <v>2</v>
      </c>
      <c r="AE426">
        <f t="shared" si="7"/>
        <v>1</v>
      </c>
      <c r="AF426">
        <f>if(iferror(vlookup($A426,'Description Database'!$E$2:$H$951,3,0),0)=TRUE,1,0)</f>
        <v>0</v>
      </c>
      <c r="AG426">
        <f>if(iferror(vlookup($A426,'Description Database'!$E$2:$H$951,4,0),0)=TRUE,1,0)</f>
        <v>0</v>
      </c>
    </row>
    <row r="427">
      <c r="A427" t="str">
        <f>IFERROR(__xludf.DUMMYFUNCTION("""COMPUTED_VALUE"""),"Xiaomi REDMI Y1 LITE (2 GB/16 GB)")</f>
        <v>Xiaomi REDMI Y1 LITE (2 GB/16 GB)</v>
      </c>
      <c r="B427" t="str">
        <f>IFERROR(__xludf.DUMMYFUNCTION("""COMPUTED_VALUE"""),"")</f>
        <v/>
      </c>
      <c r="C427" t="str">
        <f>IFERROR(__xludf.DUMMYFUNCTION("""COMPUTED_VALUE"""),"")</f>
        <v/>
      </c>
      <c r="D427" t="str">
        <f>IFERROR(__xludf.DUMMYFUNCTION("""COMPUTED_VALUE"""),"")</f>
        <v/>
      </c>
      <c r="E427" t="str">
        <f>IFERROR(__xludf.DUMMYFUNCTION("""COMPUTED_VALUE"""),"")</f>
        <v/>
      </c>
      <c r="F427" t="str">
        <f>IFERROR(__xludf.DUMMYFUNCTION("""COMPUTED_VALUE"""),"")</f>
        <v/>
      </c>
      <c r="G427" t="str">
        <f>IFERROR(__xludf.DUMMYFUNCTION("""COMPUTED_VALUE"""),"")</f>
        <v/>
      </c>
      <c r="H427" t="str">
        <f>IFERROR(__xludf.DUMMYFUNCTION("""COMPUTED_VALUE"""),"")</f>
        <v/>
      </c>
      <c r="I427">
        <f>IFERROR(__xludf.DUMMYFUNCTION("""COMPUTED_VALUE"""),7.0)</f>
        <v>7</v>
      </c>
      <c r="J427">
        <f>IFERROR(__xludf.DUMMYFUNCTION("""COMPUTED_VALUE"""),7.0)</f>
        <v>7</v>
      </c>
      <c r="L427" s="250" t="str">
        <f>IFERROR(__xludf.DUMMYFUNCTION("""COMPUTED_VALUE"""),"")</f>
        <v/>
      </c>
      <c r="M427" s="250" t="str">
        <f>IFERROR(__xludf.DUMMYFUNCTION("""COMPUTED_VALUE"""),"")</f>
        <v/>
      </c>
      <c r="N427" s="250" t="str">
        <f>IFERROR(__xludf.DUMMYFUNCTION("""COMPUTED_VALUE"""),"")</f>
        <v/>
      </c>
      <c r="O427" s="250" t="str">
        <f>IFERROR(__xludf.DUMMYFUNCTION("""COMPUTED_VALUE"""),"")</f>
        <v/>
      </c>
      <c r="P427" s="250" t="str">
        <f>IFERROR(__xludf.DUMMYFUNCTION("""COMPUTED_VALUE"""),"")</f>
        <v/>
      </c>
      <c r="Q427" s="250" t="str">
        <f>IFERROR(__xludf.DUMMYFUNCTION("""COMPUTED_VALUE"""),"")</f>
        <v/>
      </c>
      <c r="R427" s="250" t="str">
        <f>IFERROR(__xludf.DUMMYFUNCTION("""COMPUTED_VALUE"""),"")</f>
        <v/>
      </c>
      <c r="U427" s="250">
        <f>IFERROR(__xludf.DUMMYFUNCTION("""COMPUTED_VALUE"""),3399.0)</f>
        <v>3399</v>
      </c>
      <c r="V427" s="250">
        <f>IFERROR(__xludf.DUMMYFUNCTION("""COMPUTED_VALUE"""),3239.0)</f>
        <v>3239</v>
      </c>
      <c r="W427" s="250">
        <f>IFERROR(__xludf.DUMMYFUNCTION("""COMPUTED_VALUE"""),2919.0)</f>
        <v>2919</v>
      </c>
      <c r="X427" t="b">
        <f t="shared" ref="X427:Z427" si="830">ISBLANK(K427)</f>
        <v>1</v>
      </c>
      <c r="Y427" t="b">
        <f t="shared" si="830"/>
        <v>0</v>
      </c>
      <c r="Z427" t="b">
        <f t="shared" si="830"/>
        <v>0</v>
      </c>
      <c r="AA427">
        <f t="shared" ref="AA427:AC427" si="831">IF(X427=FALSE,1,0)</f>
        <v>0</v>
      </c>
      <c r="AB427">
        <f t="shared" si="831"/>
        <v>1</v>
      </c>
      <c r="AC427">
        <f t="shared" si="831"/>
        <v>1</v>
      </c>
      <c r="AD427">
        <f t="shared" si="6"/>
        <v>2</v>
      </c>
      <c r="AE427">
        <f t="shared" si="7"/>
        <v>1</v>
      </c>
      <c r="AF427">
        <f>if(iferror(vlookup($A427,'Description Database'!$E$2:$H$951,3,0),0)=TRUE,1,0)</f>
        <v>0</v>
      </c>
      <c r="AG427">
        <f>if(iferror(vlookup($A427,'Description Database'!$E$2:$H$951,4,0),0)=TRUE,1,0)</f>
        <v>0</v>
      </c>
    </row>
    <row r="428">
      <c r="A428" t="str">
        <f>IFERROR(__xludf.DUMMYFUNCTION("""COMPUTED_VALUE"""),"Oppo F5 (6 GB/64 GB)")</f>
        <v>Oppo F5 (6 GB/64 GB)</v>
      </c>
      <c r="B428" t="str">
        <f>IFERROR(__xludf.DUMMYFUNCTION("""COMPUTED_VALUE"""),"")</f>
        <v/>
      </c>
      <c r="C428" t="str">
        <f>IFERROR(__xludf.DUMMYFUNCTION("""COMPUTED_VALUE"""),"")</f>
        <v/>
      </c>
      <c r="D428" t="str">
        <f>IFERROR(__xludf.DUMMYFUNCTION("""COMPUTED_VALUE"""),"")</f>
        <v/>
      </c>
      <c r="E428" t="str">
        <f>IFERROR(__xludf.DUMMYFUNCTION("""COMPUTED_VALUE"""),"")</f>
        <v/>
      </c>
      <c r="F428" t="str">
        <f>IFERROR(__xludf.DUMMYFUNCTION("""COMPUTED_VALUE"""),"")</f>
        <v/>
      </c>
      <c r="G428" t="str">
        <f>IFERROR(__xludf.DUMMYFUNCTION("""COMPUTED_VALUE"""),"")</f>
        <v/>
      </c>
      <c r="H428" t="str">
        <f>IFERROR(__xludf.DUMMYFUNCTION("""COMPUTED_VALUE"""),"")</f>
        <v/>
      </c>
      <c r="I428" t="str">
        <f>IFERROR(__xludf.DUMMYFUNCTION("""COMPUTED_VALUE"""),"")</f>
        <v/>
      </c>
      <c r="J428">
        <f>IFERROR(__xludf.DUMMYFUNCTION("""COMPUTED_VALUE"""),0.0)</f>
        <v>0</v>
      </c>
      <c r="L428" s="250" t="str">
        <f>IFERROR(__xludf.DUMMYFUNCTION("""COMPUTED_VALUE"""),"")</f>
        <v/>
      </c>
      <c r="M428" s="250" t="str">
        <f>IFERROR(__xludf.DUMMYFUNCTION("""COMPUTED_VALUE"""),"")</f>
        <v/>
      </c>
      <c r="N428" s="250" t="str">
        <f>IFERROR(__xludf.DUMMYFUNCTION("""COMPUTED_VALUE"""),"")</f>
        <v/>
      </c>
      <c r="O428" s="250" t="str">
        <f>IFERROR(__xludf.DUMMYFUNCTION("""COMPUTED_VALUE"""),"")</f>
        <v/>
      </c>
      <c r="P428" s="250" t="str">
        <f>IFERROR(__xludf.DUMMYFUNCTION("""COMPUTED_VALUE"""),"")</f>
        <v/>
      </c>
      <c r="Q428" s="250" t="str">
        <f>IFERROR(__xludf.DUMMYFUNCTION("""COMPUTED_VALUE"""),"")</f>
        <v/>
      </c>
      <c r="R428" s="250" t="str">
        <f>IFERROR(__xludf.DUMMYFUNCTION("""COMPUTED_VALUE"""),"")</f>
        <v/>
      </c>
      <c r="U428" s="250">
        <f>IFERROR(__xludf.DUMMYFUNCTION("""COMPUTED_VALUE"""),7459.0)</f>
        <v>7459</v>
      </c>
      <c r="V428" s="250">
        <f>IFERROR(__xludf.DUMMYFUNCTION("""COMPUTED_VALUE"""),7099.0)</f>
        <v>7099</v>
      </c>
      <c r="W428" s="250">
        <f>IFERROR(__xludf.DUMMYFUNCTION("""COMPUTED_VALUE"""),6379.0)</f>
        <v>6379</v>
      </c>
      <c r="X428" t="b">
        <f t="shared" ref="X428:Z428" si="832">ISBLANK(K428)</f>
        <v>1</v>
      </c>
      <c r="Y428" t="b">
        <f t="shared" si="832"/>
        <v>0</v>
      </c>
      <c r="Z428" t="b">
        <f t="shared" si="832"/>
        <v>0</v>
      </c>
      <c r="AA428">
        <f t="shared" ref="AA428:AC428" si="833">IF(X428=FALSE,1,0)</f>
        <v>0</v>
      </c>
      <c r="AB428">
        <f t="shared" si="833"/>
        <v>1</v>
      </c>
      <c r="AC428">
        <f t="shared" si="833"/>
        <v>1</v>
      </c>
      <c r="AD428">
        <f t="shared" si="6"/>
        <v>2</v>
      </c>
      <c r="AE428">
        <f t="shared" si="7"/>
        <v>1</v>
      </c>
      <c r="AF428">
        <f>if(iferror(vlookup($A428,'Description Database'!$E$2:$H$951,3,0),0)=TRUE,1,0)</f>
        <v>0</v>
      </c>
      <c r="AG428">
        <f>if(iferror(vlookup($A428,'Description Database'!$E$2:$H$951,4,0),0)=TRUE,1,0)</f>
        <v>0</v>
      </c>
    </row>
    <row r="429">
      <c r="A429" t="str">
        <f>IFERROR(__xludf.DUMMYFUNCTION("""COMPUTED_VALUE"""),"Asus Zenfone Max Pro M1 (3 GB/32 GB)")</f>
        <v>Asus Zenfone Max Pro M1 (3 GB/32 GB)</v>
      </c>
      <c r="B429" t="str">
        <f>IFERROR(__xludf.DUMMYFUNCTION("""COMPUTED_VALUE"""),"")</f>
        <v/>
      </c>
      <c r="C429" t="str">
        <f>IFERROR(__xludf.DUMMYFUNCTION("""COMPUTED_VALUE"""),"")</f>
        <v/>
      </c>
      <c r="D429" t="str">
        <f>IFERROR(__xludf.DUMMYFUNCTION("""COMPUTED_VALUE"""),"")</f>
        <v/>
      </c>
      <c r="E429" t="str">
        <f>IFERROR(__xludf.DUMMYFUNCTION("""COMPUTED_VALUE"""),"")</f>
        <v/>
      </c>
      <c r="F429" t="str">
        <f>IFERROR(__xludf.DUMMYFUNCTION("""COMPUTED_VALUE"""),"")</f>
        <v/>
      </c>
      <c r="G429" t="str">
        <f>IFERROR(__xludf.DUMMYFUNCTION("""COMPUTED_VALUE"""),"")</f>
        <v/>
      </c>
      <c r="H429" t="str">
        <f>IFERROR(__xludf.DUMMYFUNCTION("""COMPUTED_VALUE"""),"")</f>
        <v/>
      </c>
      <c r="I429">
        <f>IFERROR(__xludf.DUMMYFUNCTION("""COMPUTED_VALUE"""),18.0)</f>
        <v>18</v>
      </c>
      <c r="J429">
        <f>IFERROR(__xludf.DUMMYFUNCTION("""COMPUTED_VALUE"""),18.0)</f>
        <v>18</v>
      </c>
      <c r="L429" s="250" t="str">
        <f>IFERROR(__xludf.DUMMYFUNCTION("""COMPUTED_VALUE"""),"")</f>
        <v/>
      </c>
      <c r="M429" s="250" t="str">
        <f>IFERROR(__xludf.DUMMYFUNCTION("""COMPUTED_VALUE"""),"")</f>
        <v/>
      </c>
      <c r="N429" s="250" t="str">
        <f>IFERROR(__xludf.DUMMYFUNCTION("""COMPUTED_VALUE"""),"")</f>
        <v/>
      </c>
      <c r="O429" s="250" t="str">
        <f>IFERROR(__xludf.DUMMYFUNCTION("""COMPUTED_VALUE"""),"")</f>
        <v/>
      </c>
      <c r="P429" s="250" t="str">
        <f>IFERROR(__xludf.DUMMYFUNCTION("""COMPUTED_VALUE"""),"")</f>
        <v/>
      </c>
      <c r="Q429" s="250" t="str">
        <f>IFERROR(__xludf.DUMMYFUNCTION("""COMPUTED_VALUE"""),"")</f>
        <v/>
      </c>
      <c r="R429" s="250" t="str">
        <f>IFERROR(__xludf.DUMMYFUNCTION("""COMPUTED_VALUE"""),"")</f>
        <v/>
      </c>
      <c r="U429" s="250">
        <f>IFERROR(__xludf.DUMMYFUNCTION("""COMPUTED_VALUE"""),5309.0)</f>
        <v>5309</v>
      </c>
      <c r="V429" s="250">
        <f>IFERROR(__xludf.DUMMYFUNCTION("""COMPUTED_VALUE"""),5049.0)</f>
        <v>5049</v>
      </c>
      <c r="W429" s="250">
        <f>IFERROR(__xludf.DUMMYFUNCTION("""COMPUTED_VALUE"""),4549.0)</f>
        <v>4549</v>
      </c>
      <c r="X429" t="b">
        <f t="shared" ref="X429:Z429" si="834">ISBLANK(K429)</f>
        <v>1</v>
      </c>
      <c r="Y429" t="b">
        <f t="shared" si="834"/>
        <v>0</v>
      </c>
      <c r="Z429" t="b">
        <f t="shared" si="834"/>
        <v>0</v>
      </c>
      <c r="AA429">
        <f t="shared" ref="AA429:AC429" si="835">IF(X429=FALSE,1,0)</f>
        <v>0</v>
      </c>
      <c r="AB429">
        <f t="shared" si="835"/>
        <v>1</v>
      </c>
      <c r="AC429">
        <f t="shared" si="835"/>
        <v>1</v>
      </c>
      <c r="AD429">
        <f t="shared" si="6"/>
        <v>2</v>
      </c>
      <c r="AE429">
        <f t="shared" si="7"/>
        <v>1</v>
      </c>
      <c r="AF429">
        <f>if(iferror(vlookup($A429,'Description Database'!$E$2:$H$951,3,0),0)=TRUE,1,0)</f>
        <v>0</v>
      </c>
      <c r="AG429">
        <f>if(iferror(vlookup($A429,'Description Database'!$E$2:$H$951,4,0),0)=TRUE,1,0)</f>
        <v>0</v>
      </c>
    </row>
    <row r="430">
      <c r="A430" t="str">
        <f>IFERROR(__xludf.DUMMYFUNCTION("""COMPUTED_VALUE"""),"ASUS ZENFONE LITE L1 (2 GB/16 GB)")</f>
        <v>ASUS ZENFONE LITE L1 (2 GB/16 GB)</v>
      </c>
      <c r="B430" t="str">
        <f>IFERROR(__xludf.DUMMYFUNCTION("""COMPUTED_VALUE"""),"")</f>
        <v/>
      </c>
      <c r="C430" t="str">
        <f>IFERROR(__xludf.DUMMYFUNCTION("""COMPUTED_VALUE"""),"")</f>
        <v/>
      </c>
      <c r="D430" t="str">
        <f>IFERROR(__xludf.DUMMYFUNCTION("""COMPUTED_VALUE"""),"")</f>
        <v/>
      </c>
      <c r="E430" t="str">
        <f>IFERROR(__xludf.DUMMYFUNCTION("""COMPUTED_VALUE"""),"")</f>
        <v/>
      </c>
      <c r="F430" t="str">
        <f>IFERROR(__xludf.DUMMYFUNCTION("""COMPUTED_VALUE"""),"")</f>
        <v/>
      </c>
      <c r="G430" t="str">
        <f>IFERROR(__xludf.DUMMYFUNCTION("""COMPUTED_VALUE"""),"")</f>
        <v/>
      </c>
      <c r="H430" t="str">
        <f>IFERROR(__xludf.DUMMYFUNCTION("""COMPUTED_VALUE"""),"")</f>
        <v/>
      </c>
      <c r="I430">
        <f>IFERROR(__xludf.DUMMYFUNCTION("""COMPUTED_VALUE"""),2.0)</f>
        <v>2</v>
      </c>
      <c r="J430">
        <f>IFERROR(__xludf.DUMMYFUNCTION("""COMPUTED_VALUE"""),2.0)</f>
        <v>2</v>
      </c>
      <c r="L430" s="250" t="str">
        <f>IFERROR(__xludf.DUMMYFUNCTION("""COMPUTED_VALUE"""),"")</f>
        <v/>
      </c>
      <c r="M430" s="250" t="str">
        <f>IFERROR(__xludf.DUMMYFUNCTION("""COMPUTED_VALUE"""),"")</f>
        <v/>
      </c>
      <c r="N430" s="250" t="str">
        <f>IFERROR(__xludf.DUMMYFUNCTION("""COMPUTED_VALUE"""),"")</f>
        <v/>
      </c>
      <c r="O430" s="250" t="str">
        <f>IFERROR(__xludf.DUMMYFUNCTION("""COMPUTED_VALUE"""),"")</f>
        <v/>
      </c>
      <c r="P430" s="250" t="str">
        <f>IFERROR(__xludf.DUMMYFUNCTION("""COMPUTED_VALUE"""),"")</f>
        <v/>
      </c>
      <c r="Q430" s="250" t="str">
        <f>IFERROR(__xludf.DUMMYFUNCTION("""COMPUTED_VALUE"""),"")</f>
        <v/>
      </c>
      <c r="R430" s="250" t="str">
        <f>IFERROR(__xludf.DUMMYFUNCTION("""COMPUTED_VALUE"""),"")</f>
        <v/>
      </c>
      <c r="U430" s="250">
        <f>IFERROR(__xludf.DUMMYFUNCTION("""COMPUTED_VALUE"""),3139.0)</f>
        <v>3139</v>
      </c>
      <c r="V430" s="250">
        <f>IFERROR(__xludf.DUMMYFUNCTION("""COMPUTED_VALUE"""),2979.0)</f>
        <v>2979</v>
      </c>
      <c r="W430" s="250">
        <f>IFERROR(__xludf.DUMMYFUNCTION("""COMPUTED_VALUE"""),2689.0)</f>
        <v>2689</v>
      </c>
      <c r="X430" t="b">
        <f t="shared" ref="X430:Z430" si="836">ISBLANK(K430)</f>
        <v>1</v>
      </c>
      <c r="Y430" t="b">
        <f t="shared" si="836"/>
        <v>0</v>
      </c>
      <c r="Z430" t="b">
        <f t="shared" si="836"/>
        <v>0</v>
      </c>
      <c r="AA430">
        <f t="shared" ref="AA430:AC430" si="837">IF(X430=FALSE,1,0)</f>
        <v>0</v>
      </c>
      <c r="AB430">
        <f t="shared" si="837"/>
        <v>1</v>
      </c>
      <c r="AC430">
        <f t="shared" si="837"/>
        <v>1</v>
      </c>
      <c r="AD430">
        <f t="shared" si="6"/>
        <v>2</v>
      </c>
      <c r="AE430">
        <f t="shared" si="7"/>
        <v>1</v>
      </c>
      <c r="AF430">
        <f>if(iferror(vlookup($A430,'Description Database'!$E$2:$H$951,3,0),0)=TRUE,1,0)</f>
        <v>0</v>
      </c>
      <c r="AG430">
        <f>if(iferror(vlookup($A430,'Description Database'!$E$2:$H$951,4,0),0)=TRUE,1,0)</f>
        <v>0</v>
      </c>
    </row>
    <row r="431">
      <c r="A431" t="str">
        <f>IFERROR(__xludf.DUMMYFUNCTION("""COMPUTED_VALUE"""),"Samsung GALAXY A5 (2 GB/16 GB)")</f>
        <v>Samsung GALAXY A5 (2 GB/16 GB)</v>
      </c>
      <c r="B431" t="str">
        <f>IFERROR(__xludf.DUMMYFUNCTION("""COMPUTED_VALUE"""),"")</f>
        <v/>
      </c>
      <c r="C431" t="str">
        <f>IFERROR(__xludf.DUMMYFUNCTION("""COMPUTED_VALUE"""),"")</f>
        <v/>
      </c>
      <c r="D431" t="str">
        <f>IFERROR(__xludf.DUMMYFUNCTION("""COMPUTED_VALUE"""),"")</f>
        <v/>
      </c>
      <c r="E431" t="str">
        <f>IFERROR(__xludf.DUMMYFUNCTION("""COMPUTED_VALUE"""),"")</f>
        <v/>
      </c>
      <c r="F431">
        <f>IFERROR(__xludf.DUMMYFUNCTION("""COMPUTED_VALUE"""),1.0)</f>
        <v>1</v>
      </c>
      <c r="G431">
        <f>IFERROR(__xludf.DUMMYFUNCTION("""COMPUTED_VALUE"""),1.0)</f>
        <v>1</v>
      </c>
      <c r="H431" t="str">
        <f>IFERROR(__xludf.DUMMYFUNCTION("""COMPUTED_VALUE"""),"")</f>
        <v/>
      </c>
      <c r="I431">
        <f>IFERROR(__xludf.DUMMYFUNCTION("""COMPUTED_VALUE"""),14.0)</f>
        <v>14</v>
      </c>
      <c r="J431">
        <f>IFERROR(__xludf.DUMMYFUNCTION("""COMPUTED_VALUE"""),16.0)</f>
        <v>16</v>
      </c>
      <c r="L431" s="250" t="str">
        <f>IFERROR(__xludf.DUMMYFUNCTION("""COMPUTED_VALUE"""),"")</f>
        <v/>
      </c>
      <c r="M431" s="250" t="str">
        <f>IFERROR(__xludf.DUMMYFUNCTION("""COMPUTED_VALUE"""),"")</f>
        <v/>
      </c>
      <c r="N431" s="250" t="str">
        <f>IFERROR(__xludf.DUMMYFUNCTION("""COMPUTED_VALUE"""),"")</f>
        <v/>
      </c>
      <c r="O431" s="250" t="str">
        <f>IFERROR(__xludf.DUMMYFUNCTION("""COMPUTED_VALUE"""),"")</f>
        <v/>
      </c>
      <c r="P431" s="250">
        <f>IFERROR(__xludf.DUMMYFUNCTION("""COMPUTED_VALUE"""),2069.0)</f>
        <v>2069</v>
      </c>
      <c r="Q431" s="250">
        <f>IFERROR(__xludf.DUMMYFUNCTION("""COMPUTED_VALUE"""),1409.0)</f>
        <v>1409</v>
      </c>
      <c r="R431" s="250" t="str">
        <f>IFERROR(__xludf.DUMMYFUNCTION("""COMPUTED_VALUE"""),"")</f>
        <v/>
      </c>
      <c r="U431" s="250">
        <f>IFERROR(__xludf.DUMMYFUNCTION("""COMPUTED_VALUE"""),3179.0)</f>
        <v>3179</v>
      </c>
      <c r="V431" s="250">
        <f>IFERROR(__xludf.DUMMYFUNCTION("""COMPUTED_VALUE"""),3029.0)</f>
        <v>3029</v>
      </c>
      <c r="W431" s="250">
        <f>IFERROR(__xludf.DUMMYFUNCTION("""COMPUTED_VALUE"""),2729.0)</f>
        <v>2729</v>
      </c>
      <c r="X431" t="b">
        <f t="shared" ref="X431:Z431" si="838">ISBLANK(K431)</f>
        <v>1</v>
      </c>
      <c r="Y431" t="b">
        <f t="shared" si="838"/>
        <v>0</v>
      </c>
      <c r="Z431" t="b">
        <f t="shared" si="838"/>
        <v>0</v>
      </c>
      <c r="AA431">
        <f t="shared" ref="AA431:AC431" si="839">IF(X431=FALSE,1,0)</f>
        <v>0</v>
      </c>
      <c r="AB431">
        <f t="shared" si="839"/>
        <v>1</v>
      </c>
      <c r="AC431">
        <f t="shared" si="839"/>
        <v>1</v>
      </c>
      <c r="AD431">
        <f t="shared" si="6"/>
        <v>2</v>
      </c>
      <c r="AE431">
        <f t="shared" si="7"/>
        <v>1</v>
      </c>
      <c r="AF431">
        <f>if(iferror(vlookup($A431,'Description Database'!$E$2:$H$951,3,0),0)=TRUE,1,0)</f>
        <v>0</v>
      </c>
      <c r="AG431">
        <f>if(iferror(vlookup($A431,'Description Database'!$E$2:$H$951,4,0),0)=TRUE,1,0)</f>
        <v>0</v>
      </c>
    </row>
    <row r="432">
      <c r="A432" t="str">
        <f>IFERROR(__xludf.DUMMYFUNCTION("""COMPUTED_VALUE"""),"Xiaomi MI A3 (6 GB/128 GB)")</f>
        <v>Xiaomi MI A3 (6 GB/128 GB)</v>
      </c>
      <c r="B432" t="str">
        <f>IFERROR(__xludf.DUMMYFUNCTION("""COMPUTED_VALUE"""),"")</f>
        <v/>
      </c>
      <c r="C432" t="str">
        <f>IFERROR(__xludf.DUMMYFUNCTION("""COMPUTED_VALUE"""),"")</f>
        <v/>
      </c>
      <c r="D432" t="str">
        <f>IFERROR(__xludf.DUMMYFUNCTION("""COMPUTED_VALUE"""),"")</f>
        <v/>
      </c>
      <c r="E432" t="str">
        <f>IFERROR(__xludf.DUMMYFUNCTION("""COMPUTED_VALUE"""),"")</f>
        <v/>
      </c>
      <c r="F432" t="str">
        <f>IFERROR(__xludf.DUMMYFUNCTION("""COMPUTED_VALUE"""),"")</f>
        <v/>
      </c>
      <c r="G432">
        <f>IFERROR(__xludf.DUMMYFUNCTION("""COMPUTED_VALUE"""),2.0)</f>
        <v>2</v>
      </c>
      <c r="H432" t="str">
        <f>IFERROR(__xludf.DUMMYFUNCTION("""COMPUTED_VALUE"""),"")</f>
        <v/>
      </c>
      <c r="I432">
        <f>IFERROR(__xludf.DUMMYFUNCTION("""COMPUTED_VALUE"""),3.0)</f>
        <v>3</v>
      </c>
      <c r="J432">
        <f>IFERROR(__xludf.DUMMYFUNCTION("""COMPUTED_VALUE"""),5.0)</f>
        <v>5</v>
      </c>
      <c r="L432" s="250" t="str">
        <f>IFERROR(__xludf.DUMMYFUNCTION("""COMPUTED_VALUE"""),"")</f>
        <v/>
      </c>
      <c r="M432" s="250" t="str">
        <f>IFERROR(__xludf.DUMMYFUNCTION("""COMPUTED_VALUE"""),"")</f>
        <v/>
      </c>
      <c r="N432" s="250" t="str">
        <f>IFERROR(__xludf.DUMMYFUNCTION("""COMPUTED_VALUE"""),"")</f>
        <v/>
      </c>
      <c r="O432" s="250" t="str">
        <f>IFERROR(__xludf.DUMMYFUNCTION("""COMPUTED_VALUE"""),"")</f>
        <v/>
      </c>
      <c r="P432" s="250" t="str">
        <f>IFERROR(__xludf.DUMMYFUNCTION("""COMPUTED_VALUE"""),"")</f>
        <v/>
      </c>
      <c r="Q432" s="250">
        <f>IFERROR(__xludf.DUMMYFUNCTION("""COMPUTED_VALUE"""),5159.0)</f>
        <v>5159</v>
      </c>
      <c r="R432" s="250" t="str">
        <f>IFERROR(__xludf.DUMMYFUNCTION("""COMPUTED_VALUE"""),"")</f>
        <v/>
      </c>
      <c r="U432" s="250">
        <f>IFERROR(__xludf.DUMMYFUNCTION("""COMPUTED_VALUE"""),10479.0)</f>
        <v>10479</v>
      </c>
      <c r="V432" s="250">
        <f>IFERROR(__xludf.DUMMYFUNCTION("""COMPUTED_VALUE"""),9969.0)</f>
        <v>9969</v>
      </c>
      <c r="W432" s="250">
        <f>IFERROR(__xludf.DUMMYFUNCTION("""COMPUTED_VALUE"""),8979.0)</f>
        <v>8979</v>
      </c>
      <c r="X432" t="b">
        <f t="shared" ref="X432:Z432" si="840">ISBLANK(K432)</f>
        <v>1</v>
      </c>
      <c r="Y432" t="b">
        <f t="shared" si="840"/>
        <v>0</v>
      </c>
      <c r="Z432" t="b">
        <f t="shared" si="840"/>
        <v>0</v>
      </c>
      <c r="AA432">
        <f t="shared" ref="AA432:AC432" si="841">IF(X432=FALSE,1,0)</f>
        <v>0</v>
      </c>
      <c r="AB432">
        <f t="shared" si="841"/>
        <v>1</v>
      </c>
      <c r="AC432">
        <f t="shared" si="841"/>
        <v>1</v>
      </c>
      <c r="AD432">
        <f t="shared" si="6"/>
        <v>2</v>
      </c>
      <c r="AE432">
        <f t="shared" si="7"/>
        <v>1</v>
      </c>
      <c r="AF432">
        <f>if(iferror(vlookup($A432,'Description Database'!$E$2:$H$951,3,0),0)=TRUE,1,0)</f>
        <v>0</v>
      </c>
      <c r="AG432">
        <f>if(iferror(vlookup($A432,'Description Database'!$E$2:$H$951,4,0),0)=TRUE,1,0)</f>
        <v>0</v>
      </c>
    </row>
    <row r="433">
      <c r="A433" t="str">
        <f>IFERROR(__xludf.DUMMYFUNCTION("""COMPUTED_VALUE"""),"Vivo Y81 (3 GB/32 GB)")</f>
        <v>Vivo Y81 (3 GB/32 GB)</v>
      </c>
      <c r="B433" t="str">
        <f>IFERROR(__xludf.DUMMYFUNCTION("""COMPUTED_VALUE"""),"")</f>
        <v/>
      </c>
      <c r="C433" t="str">
        <f>IFERROR(__xludf.DUMMYFUNCTION("""COMPUTED_VALUE"""),"")</f>
        <v/>
      </c>
      <c r="D433" t="str">
        <f>IFERROR(__xludf.DUMMYFUNCTION("""COMPUTED_VALUE"""),"")</f>
        <v/>
      </c>
      <c r="E433" t="str">
        <f>IFERROR(__xludf.DUMMYFUNCTION("""COMPUTED_VALUE"""),"")</f>
        <v/>
      </c>
      <c r="F433">
        <f>IFERROR(__xludf.DUMMYFUNCTION("""COMPUTED_VALUE"""),1.0)</f>
        <v>1</v>
      </c>
      <c r="G433">
        <f>IFERROR(__xludf.DUMMYFUNCTION("""COMPUTED_VALUE"""),1.0)</f>
        <v>1</v>
      </c>
      <c r="H433" t="str">
        <f>IFERROR(__xludf.DUMMYFUNCTION("""COMPUTED_VALUE"""),"")</f>
        <v/>
      </c>
      <c r="I433">
        <f>IFERROR(__xludf.DUMMYFUNCTION("""COMPUTED_VALUE"""),4.0)</f>
        <v>4</v>
      </c>
      <c r="J433">
        <f>IFERROR(__xludf.DUMMYFUNCTION("""COMPUTED_VALUE"""),6.0)</f>
        <v>6</v>
      </c>
      <c r="L433" s="250" t="str">
        <f>IFERROR(__xludf.DUMMYFUNCTION("""COMPUTED_VALUE"""),"")</f>
        <v/>
      </c>
      <c r="M433" s="250" t="str">
        <f>IFERROR(__xludf.DUMMYFUNCTION("""COMPUTED_VALUE"""),"")</f>
        <v/>
      </c>
      <c r="N433" s="250" t="str">
        <f>IFERROR(__xludf.DUMMYFUNCTION("""COMPUTED_VALUE"""),"")</f>
        <v/>
      </c>
      <c r="O433" s="250" t="str">
        <f>IFERROR(__xludf.DUMMYFUNCTION("""COMPUTED_VALUE"""),"")</f>
        <v/>
      </c>
      <c r="P433" s="250">
        <f>IFERROR(__xludf.DUMMYFUNCTION("""COMPUTED_VALUE"""),4009.0)</f>
        <v>4009</v>
      </c>
      <c r="Q433" s="250">
        <f>IFERROR(__xludf.DUMMYFUNCTION("""COMPUTED_VALUE"""),2869.0)</f>
        <v>2869</v>
      </c>
      <c r="R433" s="250" t="str">
        <f>IFERROR(__xludf.DUMMYFUNCTION("""COMPUTED_VALUE"""),"")</f>
        <v/>
      </c>
      <c r="U433" s="250">
        <f>IFERROR(__xludf.DUMMYFUNCTION("""COMPUTED_VALUE"""),6189.0)</f>
        <v>6189</v>
      </c>
      <c r="V433" s="250">
        <f>IFERROR(__xludf.DUMMYFUNCTION("""COMPUTED_VALUE"""),5889.0)</f>
        <v>5889</v>
      </c>
      <c r="W433" s="250">
        <f>IFERROR(__xludf.DUMMYFUNCTION("""COMPUTED_VALUE"""),5369.0)</f>
        <v>5369</v>
      </c>
      <c r="X433" t="b">
        <f t="shared" ref="X433:Z433" si="842">ISBLANK(K433)</f>
        <v>1</v>
      </c>
      <c r="Y433" t="b">
        <f t="shared" si="842"/>
        <v>0</v>
      </c>
      <c r="Z433" t="b">
        <f t="shared" si="842"/>
        <v>0</v>
      </c>
      <c r="AA433">
        <f t="shared" ref="AA433:AC433" si="843">IF(X433=FALSE,1,0)</f>
        <v>0</v>
      </c>
      <c r="AB433">
        <f t="shared" si="843"/>
        <v>1</v>
      </c>
      <c r="AC433">
        <f t="shared" si="843"/>
        <v>1</v>
      </c>
      <c r="AD433">
        <f t="shared" si="6"/>
        <v>2</v>
      </c>
      <c r="AE433">
        <f t="shared" si="7"/>
        <v>1</v>
      </c>
      <c r="AF433">
        <f>if(iferror(vlookup($A433,'Description Database'!$E$2:$H$951,3,0),0)=TRUE,1,0)</f>
        <v>0</v>
      </c>
      <c r="AG433">
        <f>if(iferror(vlookup($A433,'Description Database'!$E$2:$H$951,4,0),0)=TRUE,1,0)</f>
        <v>0</v>
      </c>
    </row>
    <row r="434">
      <c r="A434" t="str">
        <f>IFERROR(__xludf.DUMMYFUNCTION("""COMPUTED_VALUE"""),"Infinix Hot S3 (3 GB/32 GB)")</f>
        <v>Infinix Hot S3 (3 GB/32 GB)</v>
      </c>
      <c r="B434" t="str">
        <f>IFERROR(__xludf.DUMMYFUNCTION("""COMPUTED_VALUE"""),"")</f>
        <v/>
      </c>
      <c r="C434" t="str">
        <f>IFERROR(__xludf.DUMMYFUNCTION("""COMPUTED_VALUE"""),"")</f>
        <v/>
      </c>
      <c r="D434" t="str">
        <f>IFERROR(__xludf.DUMMYFUNCTION("""COMPUTED_VALUE"""),"")</f>
        <v/>
      </c>
      <c r="E434" t="str">
        <f>IFERROR(__xludf.DUMMYFUNCTION("""COMPUTED_VALUE"""),"")</f>
        <v/>
      </c>
      <c r="F434" t="str">
        <f>IFERROR(__xludf.DUMMYFUNCTION("""COMPUTED_VALUE"""),"")</f>
        <v/>
      </c>
      <c r="G434" t="str">
        <f>IFERROR(__xludf.DUMMYFUNCTION("""COMPUTED_VALUE"""),"")</f>
        <v/>
      </c>
      <c r="H434" t="str">
        <f>IFERROR(__xludf.DUMMYFUNCTION("""COMPUTED_VALUE"""),"")</f>
        <v/>
      </c>
      <c r="I434">
        <f>IFERROR(__xludf.DUMMYFUNCTION("""COMPUTED_VALUE"""),6.0)</f>
        <v>6</v>
      </c>
      <c r="J434">
        <f>IFERROR(__xludf.DUMMYFUNCTION("""COMPUTED_VALUE"""),6.0)</f>
        <v>6</v>
      </c>
      <c r="L434" s="250" t="str">
        <f>IFERROR(__xludf.DUMMYFUNCTION("""COMPUTED_VALUE"""),"")</f>
        <v/>
      </c>
      <c r="M434" s="250" t="str">
        <f>IFERROR(__xludf.DUMMYFUNCTION("""COMPUTED_VALUE"""),"")</f>
        <v/>
      </c>
      <c r="N434" s="250" t="str">
        <f>IFERROR(__xludf.DUMMYFUNCTION("""COMPUTED_VALUE"""),"")</f>
        <v/>
      </c>
      <c r="O434" s="250" t="str">
        <f>IFERROR(__xludf.DUMMYFUNCTION("""COMPUTED_VALUE"""),"")</f>
        <v/>
      </c>
      <c r="P434" s="250" t="str">
        <f>IFERROR(__xludf.DUMMYFUNCTION("""COMPUTED_VALUE"""),"")</f>
        <v/>
      </c>
      <c r="Q434" s="250" t="str">
        <f>IFERROR(__xludf.DUMMYFUNCTION("""COMPUTED_VALUE"""),"")</f>
        <v/>
      </c>
      <c r="R434" s="250" t="str">
        <f>IFERROR(__xludf.DUMMYFUNCTION("""COMPUTED_VALUE"""),"")</f>
        <v/>
      </c>
      <c r="U434" s="250">
        <f>IFERROR(__xludf.DUMMYFUNCTION("""COMPUTED_VALUE"""),4509.0)</f>
        <v>4509</v>
      </c>
      <c r="V434" s="250">
        <f>IFERROR(__xludf.DUMMYFUNCTION("""COMPUTED_VALUE"""),4289.0)</f>
        <v>4289</v>
      </c>
      <c r="W434" s="250">
        <f>IFERROR(__xludf.DUMMYFUNCTION("""COMPUTED_VALUE"""),3859.0)</f>
        <v>3859</v>
      </c>
      <c r="X434" t="b">
        <f t="shared" ref="X434:Z434" si="844">ISBLANK(K434)</f>
        <v>1</v>
      </c>
      <c r="Y434" t="b">
        <f t="shared" si="844"/>
        <v>0</v>
      </c>
      <c r="Z434" t="b">
        <f t="shared" si="844"/>
        <v>0</v>
      </c>
      <c r="AA434">
        <f t="shared" ref="AA434:AC434" si="845">IF(X434=FALSE,1,0)</f>
        <v>0</v>
      </c>
      <c r="AB434">
        <f t="shared" si="845"/>
        <v>1</v>
      </c>
      <c r="AC434">
        <f t="shared" si="845"/>
        <v>1</v>
      </c>
      <c r="AD434">
        <f t="shared" si="6"/>
        <v>2</v>
      </c>
      <c r="AE434">
        <f t="shared" si="7"/>
        <v>1</v>
      </c>
      <c r="AF434">
        <f>if(iferror(vlookup($A434,'Description Database'!$E$2:$H$951,3,0),0)=TRUE,1,0)</f>
        <v>0</v>
      </c>
      <c r="AG434">
        <f>if(iferror(vlookup($A434,'Description Database'!$E$2:$H$951,4,0),0)=TRUE,1,0)</f>
        <v>0</v>
      </c>
    </row>
    <row r="435">
      <c r="A435" t="str">
        <f>IFERROR(__xludf.DUMMYFUNCTION("""COMPUTED_VALUE"""),"Xiaomi REDMI Y2 (4 GB/64 GB)")</f>
        <v>Xiaomi REDMI Y2 (4 GB/64 GB)</v>
      </c>
      <c r="B435" t="str">
        <f>IFERROR(__xludf.DUMMYFUNCTION("""COMPUTED_VALUE"""),"")</f>
        <v/>
      </c>
      <c r="C435" t="str">
        <f>IFERROR(__xludf.DUMMYFUNCTION("""COMPUTED_VALUE"""),"")</f>
        <v/>
      </c>
      <c r="D435">
        <f>IFERROR(__xludf.DUMMYFUNCTION("""COMPUTED_VALUE"""),1.0)</f>
        <v>1</v>
      </c>
      <c r="E435">
        <f>IFERROR(__xludf.DUMMYFUNCTION("""COMPUTED_VALUE"""),1.0)</f>
        <v>1</v>
      </c>
      <c r="F435">
        <f>IFERROR(__xludf.DUMMYFUNCTION("""COMPUTED_VALUE"""),1.0)</f>
        <v>1</v>
      </c>
      <c r="G435" t="str">
        <f>IFERROR(__xludf.DUMMYFUNCTION("""COMPUTED_VALUE"""),"")</f>
        <v/>
      </c>
      <c r="H435" t="str">
        <f>IFERROR(__xludf.DUMMYFUNCTION("""COMPUTED_VALUE"""),"")</f>
        <v/>
      </c>
      <c r="I435">
        <f>IFERROR(__xludf.DUMMYFUNCTION("""COMPUTED_VALUE"""),9.0)</f>
        <v>9</v>
      </c>
      <c r="J435">
        <f>IFERROR(__xludf.DUMMYFUNCTION("""COMPUTED_VALUE"""),12.0)</f>
        <v>12</v>
      </c>
      <c r="L435" s="250" t="str">
        <f>IFERROR(__xludf.DUMMYFUNCTION("""COMPUTED_VALUE"""),"")</f>
        <v/>
      </c>
      <c r="M435" s="250" t="str">
        <f>IFERROR(__xludf.DUMMYFUNCTION("""COMPUTED_VALUE"""),"")</f>
        <v/>
      </c>
      <c r="N435" s="250">
        <f>IFERROR(__xludf.DUMMYFUNCTION("""COMPUTED_VALUE"""),5389.0)</f>
        <v>5389</v>
      </c>
      <c r="O435" s="250">
        <f>IFERROR(__xludf.DUMMYFUNCTION("""COMPUTED_VALUE"""),4919.0)</f>
        <v>4919</v>
      </c>
      <c r="P435" s="250">
        <f>IFERROR(__xludf.DUMMYFUNCTION("""COMPUTED_VALUE"""),4449.0)</f>
        <v>4449</v>
      </c>
      <c r="Q435" s="250" t="str">
        <f>IFERROR(__xludf.DUMMYFUNCTION("""COMPUTED_VALUE"""),"")</f>
        <v/>
      </c>
      <c r="R435" s="250" t="str">
        <f>IFERROR(__xludf.DUMMYFUNCTION("""COMPUTED_VALUE"""),"")</f>
        <v/>
      </c>
      <c r="U435" s="250">
        <f>IFERROR(__xludf.DUMMYFUNCTION("""COMPUTED_VALUE"""),6809.0)</f>
        <v>6809</v>
      </c>
      <c r="V435" s="250">
        <f>IFERROR(__xludf.DUMMYFUNCTION("""COMPUTED_VALUE"""),6479.0)</f>
        <v>6479</v>
      </c>
      <c r="W435" s="250">
        <f>IFERROR(__xludf.DUMMYFUNCTION("""COMPUTED_VALUE"""),5929.0)</f>
        <v>5929</v>
      </c>
      <c r="X435" t="b">
        <f t="shared" ref="X435:Z435" si="846">ISBLANK(K435)</f>
        <v>1</v>
      </c>
      <c r="Y435" t="b">
        <f t="shared" si="846"/>
        <v>0</v>
      </c>
      <c r="Z435" t="b">
        <f t="shared" si="846"/>
        <v>0</v>
      </c>
      <c r="AA435">
        <f t="shared" ref="AA435:AC435" si="847">IF(X435=FALSE,1,0)</f>
        <v>0</v>
      </c>
      <c r="AB435">
        <f t="shared" si="847"/>
        <v>1</v>
      </c>
      <c r="AC435">
        <f t="shared" si="847"/>
        <v>1</v>
      </c>
      <c r="AD435">
        <f t="shared" si="6"/>
        <v>2</v>
      </c>
      <c r="AE435">
        <f t="shared" si="7"/>
        <v>1</v>
      </c>
      <c r="AF435">
        <f>if(iferror(vlookup($A435,'Description Database'!$E$2:$H$951,3,0),0)=TRUE,1,0)</f>
        <v>0</v>
      </c>
      <c r="AG435">
        <f>if(iferror(vlookup($A435,'Description Database'!$E$2:$H$951,4,0),0)=TRUE,1,0)</f>
        <v>0</v>
      </c>
    </row>
    <row r="436">
      <c r="A436" t="str">
        <f>IFERROR(__xludf.DUMMYFUNCTION("""COMPUTED_VALUE"""),"Oppo F1s (3 GB/32 GB)")</f>
        <v>Oppo F1s (3 GB/32 GB)</v>
      </c>
      <c r="B436" t="str">
        <f>IFERROR(__xludf.DUMMYFUNCTION("""COMPUTED_VALUE"""),"")</f>
        <v/>
      </c>
      <c r="C436" t="str">
        <f>IFERROR(__xludf.DUMMYFUNCTION("""COMPUTED_VALUE"""),"")</f>
        <v/>
      </c>
      <c r="D436" t="str">
        <f>IFERROR(__xludf.DUMMYFUNCTION("""COMPUTED_VALUE"""),"")</f>
        <v/>
      </c>
      <c r="E436" t="str">
        <f>IFERROR(__xludf.DUMMYFUNCTION("""COMPUTED_VALUE"""),"")</f>
        <v/>
      </c>
      <c r="F436" t="str">
        <f>IFERROR(__xludf.DUMMYFUNCTION("""COMPUTED_VALUE"""),"")</f>
        <v/>
      </c>
      <c r="G436">
        <f>IFERROR(__xludf.DUMMYFUNCTION("""COMPUTED_VALUE"""),1.0)</f>
        <v>1</v>
      </c>
      <c r="H436" t="str">
        <f>IFERROR(__xludf.DUMMYFUNCTION("""COMPUTED_VALUE"""),"")</f>
        <v/>
      </c>
      <c r="I436">
        <f>IFERROR(__xludf.DUMMYFUNCTION("""COMPUTED_VALUE"""),22.0)</f>
        <v>22</v>
      </c>
      <c r="J436">
        <f>IFERROR(__xludf.DUMMYFUNCTION("""COMPUTED_VALUE"""),23.0)</f>
        <v>23</v>
      </c>
      <c r="L436" s="250" t="str">
        <f>IFERROR(__xludf.DUMMYFUNCTION("""COMPUTED_VALUE"""),"")</f>
        <v/>
      </c>
      <c r="M436" s="250" t="str">
        <f>IFERROR(__xludf.DUMMYFUNCTION("""COMPUTED_VALUE"""),"")</f>
        <v/>
      </c>
      <c r="N436" s="250" t="str">
        <f>IFERROR(__xludf.DUMMYFUNCTION("""COMPUTED_VALUE"""),"")</f>
        <v/>
      </c>
      <c r="O436" s="250" t="str">
        <f>IFERROR(__xludf.DUMMYFUNCTION("""COMPUTED_VALUE"""),"")</f>
        <v/>
      </c>
      <c r="P436" s="250" t="str">
        <f>IFERROR(__xludf.DUMMYFUNCTION("""COMPUTED_VALUE"""),"")</f>
        <v/>
      </c>
      <c r="Q436" s="250">
        <f>IFERROR(__xludf.DUMMYFUNCTION("""COMPUTED_VALUE"""),2359.0)</f>
        <v>2359</v>
      </c>
      <c r="R436" s="250" t="str">
        <f>IFERROR(__xludf.DUMMYFUNCTION("""COMPUTED_VALUE"""),"")</f>
        <v/>
      </c>
      <c r="U436" s="250">
        <f>IFERROR(__xludf.DUMMYFUNCTION("""COMPUTED_VALUE"""),5309.0)</f>
        <v>5309</v>
      </c>
      <c r="V436" s="250">
        <f>IFERROR(__xludf.DUMMYFUNCTION("""COMPUTED_VALUE"""),5049.0)</f>
        <v>5049</v>
      </c>
      <c r="W436" s="250">
        <f>IFERROR(__xludf.DUMMYFUNCTION("""COMPUTED_VALUE"""),4549.0)</f>
        <v>4549</v>
      </c>
      <c r="X436" t="b">
        <f t="shared" ref="X436:Z436" si="848">ISBLANK(K436)</f>
        <v>1</v>
      </c>
      <c r="Y436" t="b">
        <f t="shared" si="848"/>
        <v>0</v>
      </c>
      <c r="Z436" t="b">
        <f t="shared" si="848"/>
        <v>0</v>
      </c>
      <c r="AA436">
        <f t="shared" ref="AA436:AC436" si="849">IF(X436=FALSE,1,0)</f>
        <v>0</v>
      </c>
      <c r="AB436">
        <f t="shared" si="849"/>
        <v>1</v>
      </c>
      <c r="AC436">
        <f t="shared" si="849"/>
        <v>1</v>
      </c>
      <c r="AD436">
        <f t="shared" si="6"/>
        <v>2</v>
      </c>
      <c r="AE436">
        <f t="shared" si="7"/>
        <v>1</v>
      </c>
      <c r="AF436">
        <f>if(iferror(vlookup($A436,'Description Database'!$E$2:$H$951,3,0),0)=TRUE,1,0)</f>
        <v>0</v>
      </c>
      <c r="AG436">
        <f>if(iferror(vlookup($A436,'Description Database'!$E$2:$H$951,4,0),0)=TRUE,1,0)</f>
        <v>0</v>
      </c>
    </row>
    <row r="437">
      <c r="A437" t="str">
        <f>IFERROR(__xludf.DUMMYFUNCTION("""COMPUTED_VALUE"""),"Vivo V5 (3 GB/32 GB)")</f>
        <v>Vivo V5 (3 GB/32 GB)</v>
      </c>
      <c r="B437" t="str">
        <f>IFERROR(__xludf.DUMMYFUNCTION("""COMPUTED_VALUE"""),"")</f>
        <v/>
      </c>
      <c r="C437" t="str">
        <f>IFERROR(__xludf.DUMMYFUNCTION("""COMPUTED_VALUE"""),"")</f>
        <v/>
      </c>
      <c r="D437" t="str">
        <f>IFERROR(__xludf.DUMMYFUNCTION("""COMPUTED_VALUE"""),"")</f>
        <v/>
      </c>
      <c r="E437" t="str">
        <f>IFERROR(__xludf.DUMMYFUNCTION("""COMPUTED_VALUE"""),"")</f>
        <v/>
      </c>
      <c r="F437" t="str">
        <f>IFERROR(__xludf.DUMMYFUNCTION("""COMPUTED_VALUE"""),"")</f>
        <v/>
      </c>
      <c r="G437" t="str">
        <f>IFERROR(__xludf.DUMMYFUNCTION("""COMPUTED_VALUE"""),"")</f>
        <v/>
      </c>
      <c r="H437" t="str">
        <f>IFERROR(__xludf.DUMMYFUNCTION("""COMPUTED_VALUE"""),"")</f>
        <v/>
      </c>
      <c r="I437" t="str">
        <f>IFERROR(__xludf.DUMMYFUNCTION("""COMPUTED_VALUE"""),"")</f>
        <v/>
      </c>
      <c r="J437">
        <f>IFERROR(__xludf.DUMMYFUNCTION("""COMPUTED_VALUE"""),0.0)</f>
        <v>0</v>
      </c>
      <c r="L437" s="250" t="str">
        <f>IFERROR(__xludf.DUMMYFUNCTION("""COMPUTED_VALUE"""),"")</f>
        <v/>
      </c>
      <c r="M437" s="250" t="str">
        <f>IFERROR(__xludf.DUMMYFUNCTION("""COMPUTED_VALUE"""),"")</f>
        <v/>
      </c>
      <c r="N437" s="250" t="str">
        <f>IFERROR(__xludf.DUMMYFUNCTION("""COMPUTED_VALUE"""),"")</f>
        <v/>
      </c>
      <c r="O437" s="250" t="str">
        <f>IFERROR(__xludf.DUMMYFUNCTION("""COMPUTED_VALUE"""),"")</f>
        <v/>
      </c>
      <c r="P437" s="250" t="str">
        <f>IFERROR(__xludf.DUMMYFUNCTION("""COMPUTED_VALUE"""),"")</f>
        <v/>
      </c>
      <c r="Q437" s="250" t="str">
        <f>IFERROR(__xludf.DUMMYFUNCTION("""COMPUTED_VALUE"""),"")</f>
        <v/>
      </c>
      <c r="R437" s="250" t="str">
        <f>IFERROR(__xludf.DUMMYFUNCTION("""COMPUTED_VALUE"""),"")</f>
        <v/>
      </c>
      <c r="U437" s="250" t="str">
        <f>IFERROR(__xludf.DUMMYFUNCTION("""COMPUTED_VALUE"""),"#N/A")</f>
        <v>#N/A</v>
      </c>
      <c r="V437" s="250" t="str">
        <f>IFERROR(__xludf.DUMMYFUNCTION("""COMPUTED_VALUE"""),"#N/A")</f>
        <v>#N/A</v>
      </c>
      <c r="W437" s="250" t="str">
        <f>IFERROR(__xludf.DUMMYFUNCTION("""COMPUTED_VALUE"""),"#N/A")</f>
        <v>#N/A</v>
      </c>
      <c r="X437" t="b">
        <f t="shared" ref="X437:Z437" si="850">ISBLANK(K437)</f>
        <v>1</v>
      </c>
      <c r="Y437" t="b">
        <f t="shared" si="850"/>
        <v>0</v>
      </c>
      <c r="Z437" t="b">
        <f t="shared" si="850"/>
        <v>0</v>
      </c>
      <c r="AA437">
        <f t="shared" ref="AA437:AC437" si="851">IF(X437=FALSE,1,0)</f>
        <v>0</v>
      </c>
      <c r="AB437">
        <f t="shared" si="851"/>
        <v>1</v>
      </c>
      <c r="AC437">
        <f t="shared" si="851"/>
        <v>1</v>
      </c>
      <c r="AD437">
        <f t="shared" si="6"/>
        <v>2</v>
      </c>
      <c r="AE437">
        <f t="shared" si="7"/>
        <v>1</v>
      </c>
      <c r="AF437">
        <f>if(iferror(vlookup($A437,'Description Database'!$E$2:$H$951,3,0),0)=TRUE,1,0)</f>
        <v>0</v>
      </c>
      <c r="AG437">
        <f>if(iferror(vlookup($A437,'Description Database'!$E$2:$H$951,4,0),0)=TRUE,1,0)</f>
        <v>0</v>
      </c>
    </row>
    <row r="438">
      <c r="A438" t="str">
        <f>IFERROR(__xludf.DUMMYFUNCTION("""COMPUTED_VALUE"""),"Samsung GALAXY S9 (4 GB/128 GB)")</f>
        <v>Samsung GALAXY S9 (4 GB/128 GB)</v>
      </c>
      <c r="B438" t="str">
        <f>IFERROR(__xludf.DUMMYFUNCTION("""COMPUTED_VALUE"""),"")</f>
        <v/>
      </c>
      <c r="C438" t="str">
        <f>IFERROR(__xludf.DUMMYFUNCTION("""COMPUTED_VALUE"""),"")</f>
        <v/>
      </c>
      <c r="D438" t="str">
        <f>IFERROR(__xludf.DUMMYFUNCTION("""COMPUTED_VALUE"""),"")</f>
        <v/>
      </c>
      <c r="E438">
        <f>IFERROR(__xludf.DUMMYFUNCTION("""COMPUTED_VALUE"""),1.0)</f>
        <v>1</v>
      </c>
      <c r="F438">
        <f>IFERROR(__xludf.DUMMYFUNCTION("""COMPUTED_VALUE"""),1.0)</f>
        <v>1</v>
      </c>
      <c r="G438">
        <f>IFERROR(__xludf.DUMMYFUNCTION("""COMPUTED_VALUE"""),1.0)</f>
        <v>1</v>
      </c>
      <c r="H438" t="str">
        <f>IFERROR(__xludf.DUMMYFUNCTION("""COMPUTED_VALUE"""),"")</f>
        <v/>
      </c>
      <c r="I438" t="str">
        <f>IFERROR(__xludf.DUMMYFUNCTION("""COMPUTED_VALUE"""),"")</f>
        <v/>
      </c>
      <c r="J438">
        <f>IFERROR(__xludf.DUMMYFUNCTION("""COMPUTED_VALUE"""),3.0)</f>
        <v>3</v>
      </c>
      <c r="L438" s="250" t="str">
        <f>IFERROR(__xludf.DUMMYFUNCTION("""COMPUTED_VALUE"""),"")</f>
        <v/>
      </c>
      <c r="M438" s="250" t="str">
        <f>IFERROR(__xludf.DUMMYFUNCTION("""COMPUTED_VALUE"""),"")</f>
        <v/>
      </c>
      <c r="N438" s="250" t="str">
        <f>IFERROR(__xludf.DUMMYFUNCTION("""COMPUTED_VALUE"""),"")</f>
        <v/>
      </c>
      <c r="O438" s="250">
        <f>IFERROR(__xludf.DUMMYFUNCTION("""COMPUTED_VALUE"""),10109.0)</f>
        <v>10109</v>
      </c>
      <c r="P438" s="250">
        <f>IFERROR(__xludf.DUMMYFUNCTION("""COMPUTED_VALUE"""),9199.0)</f>
        <v>9199</v>
      </c>
      <c r="Q438" s="250">
        <f>IFERROR(__xludf.DUMMYFUNCTION("""COMPUTED_VALUE"""),5609.0)</f>
        <v>5609</v>
      </c>
      <c r="R438" s="250" t="str">
        <f>IFERROR(__xludf.DUMMYFUNCTION("""COMPUTED_VALUE"""),"")</f>
        <v/>
      </c>
      <c r="U438" s="250">
        <f>IFERROR(__xludf.DUMMYFUNCTION("""COMPUTED_VALUE"""),14159.0)</f>
        <v>14159</v>
      </c>
      <c r="V438" s="250">
        <f>IFERROR(__xludf.DUMMYFUNCTION("""COMPUTED_VALUE"""),13479.0)</f>
        <v>13479</v>
      </c>
      <c r="W438" s="250">
        <f>IFERROR(__xludf.DUMMYFUNCTION("""COMPUTED_VALUE"""),12129.0)</f>
        <v>12129</v>
      </c>
      <c r="X438" t="b">
        <f t="shared" ref="X438:Z438" si="852">ISBLANK(K438)</f>
        <v>1</v>
      </c>
      <c r="Y438" t="b">
        <f t="shared" si="852"/>
        <v>0</v>
      </c>
      <c r="Z438" t="b">
        <f t="shared" si="852"/>
        <v>0</v>
      </c>
      <c r="AA438">
        <f t="shared" ref="AA438:AC438" si="853">IF(X438=FALSE,1,0)</f>
        <v>0</v>
      </c>
      <c r="AB438">
        <f t="shared" si="853"/>
        <v>1</v>
      </c>
      <c r="AC438">
        <f t="shared" si="853"/>
        <v>1</v>
      </c>
      <c r="AD438">
        <f t="shared" si="6"/>
        <v>2</v>
      </c>
      <c r="AE438">
        <f t="shared" si="7"/>
        <v>1</v>
      </c>
      <c r="AF438">
        <f>if(iferror(vlookup($A438,'Description Database'!$E$2:$H$951,3,0),0)=TRUE,1,0)</f>
        <v>0</v>
      </c>
      <c r="AG438">
        <f>if(iferror(vlookup($A438,'Description Database'!$E$2:$H$951,4,0),0)=TRUE,1,0)</f>
        <v>0</v>
      </c>
    </row>
    <row r="439">
      <c r="A439" t="str">
        <f>IFERROR(__xludf.DUMMYFUNCTION("""COMPUTED_VALUE"""),"Honor 10 Lite (4 GB/64 GB)")</f>
        <v>Honor 10 Lite (4 GB/64 GB)</v>
      </c>
      <c r="B439" t="str">
        <f>IFERROR(__xludf.DUMMYFUNCTION("""COMPUTED_VALUE"""),"")</f>
        <v/>
      </c>
      <c r="C439" t="str">
        <f>IFERROR(__xludf.DUMMYFUNCTION("""COMPUTED_VALUE"""),"")</f>
        <v/>
      </c>
      <c r="D439" t="str">
        <f>IFERROR(__xludf.DUMMYFUNCTION("""COMPUTED_VALUE"""),"")</f>
        <v/>
      </c>
      <c r="E439" t="str">
        <f>IFERROR(__xludf.DUMMYFUNCTION("""COMPUTED_VALUE"""),"")</f>
        <v/>
      </c>
      <c r="F439" t="str">
        <f>IFERROR(__xludf.DUMMYFUNCTION("""COMPUTED_VALUE"""),"")</f>
        <v/>
      </c>
      <c r="G439">
        <f>IFERROR(__xludf.DUMMYFUNCTION("""COMPUTED_VALUE"""),1.0)</f>
        <v>1</v>
      </c>
      <c r="H439" t="str">
        <f>IFERROR(__xludf.DUMMYFUNCTION("""COMPUTED_VALUE"""),"")</f>
        <v/>
      </c>
      <c r="I439">
        <f>IFERROR(__xludf.DUMMYFUNCTION("""COMPUTED_VALUE"""),4.0)</f>
        <v>4</v>
      </c>
      <c r="J439">
        <f>IFERROR(__xludf.DUMMYFUNCTION("""COMPUTED_VALUE"""),5.0)</f>
        <v>5</v>
      </c>
      <c r="L439" s="250" t="str">
        <f>IFERROR(__xludf.DUMMYFUNCTION("""COMPUTED_VALUE"""),"")</f>
        <v/>
      </c>
      <c r="M439" s="250" t="str">
        <f>IFERROR(__xludf.DUMMYFUNCTION("""COMPUTED_VALUE"""),"")</f>
        <v/>
      </c>
      <c r="N439" s="250" t="str">
        <f>IFERROR(__xludf.DUMMYFUNCTION("""COMPUTED_VALUE"""),"")</f>
        <v/>
      </c>
      <c r="O439" s="250" t="str">
        <f>IFERROR(__xludf.DUMMYFUNCTION("""COMPUTED_VALUE"""),"")</f>
        <v/>
      </c>
      <c r="P439" s="250" t="str">
        <f>IFERROR(__xludf.DUMMYFUNCTION("""COMPUTED_VALUE"""),"")</f>
        <v/>
      </c>
      <c r="Q439" s="250">
        <f>IFERROR(__xludf.DUMMYFUNCTION("""COMPUTED_VALUE"""),3369.0)</f>
        <v>3369</v>
      </c>
      <c r="R439" s="250" t="str">
        <f>IFERROR(__xludf.DUMMYFUNCTION("""COMPUTED_VALUE"""),"")</f>
        <v/>
      </c>
      <c r="U439" s="250">
        <f>IFERROR(__xludf.DUMMYFUNCTION("""COMPUTED_VALUE"""),6779.0)</f>
        <v>6779</v>
      </c>
      <c r="V439" s="250">
        <f>IFERROR(__xludf.DUMMYFUNCTION("""COMPUTED_VALUE"""),6449.0)</f>
        <v>6449</v>
      </c>
      <c r="W439" s="250">
        <f>IFERROR(__xludf.DUMMYFUNCTION("""COMPUTED_VALUE"""),5809.0)</f>
        <v>5809</v>
      </c>
      <c r="X439" t="b">
        <f t="shared" ref="X439:Z439" si="854">ISBLANK(K439)</f>
        <v>1</v>
      </c>
      <c r="Y439" t="b">
        <f t="shared" si="854"/>
        <v>0</v>
      </c>
      <c r="Z439" t="b">
        <f t="shared" si="854"/>
        <v>0</v>
      </c>
      <c r="AA439">
        <f t="shared" ref="AA439:AC439" si="855">IF(X439=FALSE,1,0)</f>
        <v>0</v>
      </c>
      <c r="AB439">
        <f t="shared" si="855"/>
        <v>1</v>
      </c>
      <c r="AC439">
        <f t="shared" si="855"/>
        <v>1</v>
      </c>
      <c r="AD439">
        <f t="shared" si="6"/>
        <v>2</v>
      </c>
      <c r="AE439">
        <f t="shared" si="7"/>
        <v>1</v>
      </c>
      <c r="AF439">
        <f>if(iferror(vlookup($A439,'Description Database'!$E$2:$H$951,3,0),0)=TRUE,1,0)</f>
        <v>0</v>
      </c>
      <c r="AG439">
        <f>if(iferror(vlookup($A439,'Description Database'!$E$2:$H$951,4,0),0)=TRUE,1,0)</f>
        <v>0</v>
      </c>
    </row>
    <row r="440">
      <c r="A440" t="str">
        <f>IFERROR(__xludf.DUMMYFUNCTION("""COMPUTED_VALUE"""),"Xiaomi Redmi Note 8 (6 GB/128 GB)")</f>
        <v>Xiaomi Redmi Note 8 (6 GB/128 GB)</v>
      </c>
      <c r="B440" t="str">
        <f>IFERROR(__xludf.DUMMYFUNCTION("""COMPUTED_VALUE"""),"")</f>
        <v/>
      </c>
      <c r="C440" t="str">
        <f>IFERROR(__xludf.DUMMYFUNCTION("""COMPUTED_VALUE"""),"")</f>
        <v/>
      </c>
      <c r="D440" t="str">
        <f>IFERROR(__xludf.DUMMYFUNCTION("""COMPUTED_VALUE"""),"")</f>
        <v/>
      </c>
      <c r="E440" t="str">
        <f>IFERROR(__xludf.DUMMYFUNCTION("""COMPUTED_VALUE"""),"")</f>
        <v/>
      </c>
      <c r="F440" t="str">
        <f>IFERROR(__xludf.DUMMYFUNCTION("""COMPUTED_VALUE"""),"")</f>
        <v/>
      </c>
      <c r="G440" t="str">
        <f>IFERROR(__xludf.DUMMYFUNCTION("""COMPUTED_VALUE"""),"")</f>
        <v/>
      </c>
      <c r="H440">
        <f>IFERROR(__xludf.DUMMYFUNCTION("""COMPUTED_VALUE"""),2.0)</f>
        <v>2</v>
      </c>
      <c r="I440">
        <f>IFERROR(__xludf.DUMMYFUNCTION("""COMPUTED_VALUE"""),1.0)</f>
        <v>1</v>
      </c>
      <c r="J440">
        <f>IFERROR(__xludf.DUMMYFUNCTION("""COMPUTED_VALUE"""),3.0)</f>
        <v>3</v>
      </c>
      <c r="L440" s="250" t="str">
        <f>IFERROR(__xludf.DUMMYFUNCTION("""COMPUTED_VALUE"""),"")</f>
        <v/>
      </c>
      <c r="M440" s="250" t="str">
        <f>IFERROR(__xludf.DUMMYFUNCTION("""COMPUTED_VALUE"""),"")</f>
        <v/>
      </c>
      <c r="N440" s="250" t="str">
        <f>IFERROR(__xludf.DUMMYFUNCTION("""COMPUTED_VALUE"""),"")</f>
        <v/>
      </c>
      <c r="O440" s="250" t="str">
        <f>IFERROR(__xludf.DUMMYFUNCTION("""COMPUTED_VALUE"""),"")</f>
        <v/>
      </c>
      <c r="P440" s="250" t="str">
        <f>IFERROR(__xludf.DUMMYFUNCTION("""COMPUTED_VALUE"""),"")</f>
        <v/>
      </c>
      <c r="Q440" s="250" t="str">
        <f>IFERROR(__xludf.DUMMYFUNCTION("""COMPUTED_VALUE"""),"")</f>
        <v/>
      </c>
      <c r="R440" s="250">
        <f>IFERROR(__xludf.DUMMYFUNCTION("""COMPUTED_VALUE"""),3919.0)</f>
        <v>3919</v>
      </c>
      <c r="U440" s="250">
        <f>IFERROR(__xludf.DUMMYFUNCTION("""COMPUTED_VALUE"""),11409.0)</f>
        <v>11409</v>
      </c>
      <c r="V440" s="250">
        <f>IFERROR(__xludf.DUMMYFUNCTION("""COMPUTED_VALUE"""),10859.0)</f>
        <v>10859</v>
      </c>
      <c r="W440" s="250">
        <f>IFERROR(__xludf.DUMMYFUNCTION("""COMPUTED_VALUE"""),9909.0)</f>
        <v>9909</v>
      </c>
      <c r="X440" t="b">
        <f t="shared" ref="X440:Z440" si="856">ISBLANK(K440)</f>
        <v>1</v>
      </c>
      <c r="Y440" t="b">
        <f t="shared" si="856"/>
        <v>0</v>
      </c>
      <c r="Z440" t="b">
        <f t="shared" si="856"/>
        <v>0</v>
      </c>
      <c r="AA440">
        <f t="shared" ref="AA440:AC440" si="857">IF(X440=FALSE,1,0)</f>
        <v>0</v>
      </c>
      <c r="AB440">
        <f t="shared" si="857"/>
        <v>1</v>
      </c>
      <c r="AC440">
        <f t="shared" si="857"/>
        <v>1</v>
      </c>
      <c r="AD440">
        <f t="shared" si="6"/>
        <v>2</v>
      </c>
      <c r="AE440">
        <f t="shared" si="7"/>
        <v>1</v>
      </c>
      <c r="AF440">
        <f>if(iferror(vlookup($A440,'Description Database'!$E$2:$H$951,3,0),0)=TRUE,1,0)</f>
        <v>0</v>
      </c>
      <c r="AG440">
        <f>if(iferror(vlookup($A440,'Description Database'!$E$2:$H$951,4,0),0)=TRUE,1,0)</f>
        <v>0</v>
      </c>
    </row>
    <row r="441">
      <c r="A441" t="str">
        <f>IFERROR(__xludf.DUMMYFUNCTION("""COMPUTED_VALUE"""),"HTC One M8 Eye (2 GB/16 GB)")</f>
        <v>HTC One M8 Eye (2 GB/16 GB)</v>
      </c>
      <c r="B441" t="str">
        <f>IFERROR(__xludf.DUMMYFUNCTION("""COMPUTED_VALUE"""),"")</f>
        <v/>
      </c>
      <c r="C441" t="str">
        <f>IFERROR(__xludf.DUMMYFUNCTION("""COMPUTED_VALUE"""),"")</f>
        <v/>
      </c>
      <c r="D441" t="str">
        <f>IFERROR(__xludf.DUMMYFUNCTION("""COMPUTED_VALUE"""),"")</f>
        <v/>
      </c>
      <c r="E441" t="str">
        <f>IFERROR(__xludf.DUMMYFUNCTION("""COMPUTED_VALUE"""),"")</f>
        <v/>
      </c>
      <c r="F441" t="str">
        <f>IFERROR(__xludf.DUMMYFUNCTION("""COMPUTED_VALUE"""),"")</f>
        <v/>
      </c>
      <c r="G441">
        <f>IFERROR(__xludf.DUMMYFUNCTION("""COMPUTED_VALUE"""),1.0)</f>
        <v>1</v>
      </c>
      <c r="H441" t="str">
        <f>IFERROR(__xludf.DUMMYFUNCTION("""COMPUTED_VALUE"""),"")</f>
        <v/>
      </c>
      <c r="I441">
        <f>IFERROR(__xludf.DUMMYFUNCTION("""COMPUTED_VALUE"""),3.0)</f>
        <v>3</v>
      </c>
      <c r="J441">
        <f>IFERROR(__xludf.DUMMYFUNCTION("""COMPUTED_VALUE"""),4.0)</f>
        <v>4</v>
      </c>
      <c r="L441" s="250" t="str">
        <f>IFERROR(__xludf.DUMMYFUNCTION("""COMPUTED_VALUE"""),"")</f>
        <v/>
      </c>
      <c r="M441" s="250" t="str">
        <f>IFERROR(__xludf.DUMMYFUNCTION("""COMPUTED_VALUE"""),"")</f>
        <v/>
      </c>
      <c r="N441" s="250" t="str">
        <f>IFERROR(__xludf.DUMMYFUNCTION("""COMPUTED_VALUE"""),"")</f>
        <v/>
      </c>
      <c r="O441" s="250" t="str">
        <f>IFERROR(__xludf.DUMMYFUNCTION("""COMPUTED_VALUE"""),"")</f>
        <v/>
      </c>
      <c r="P441" s="250" t="str">
        <f>IFERROR(__xludf.DUMMYFUNCTION("""COMPUTED_VALUE"""),"")</f>
        <v/>
      </c>
      <c r="Q441" s="250">
        <f>IFERROR(__xludf.DUMMYFUNCTION("""COMPUTED_VALUE"""),989.0)</f>
        <v>989</v>
      </c>
      <c r="R441" s="250" t="str">
        <f>IFERROR(__xludf.DUMMYFUNCTION("""COMPUTED_VALUE"""),"")</f>
        <v/>
      </c>
      <c r="U441" s="250">
        <f>IFERROR(__xludf.DUMMYFUNCTION("""COMPUTED_VALUE"""),1989.0)</f>
        <v>1989</v>
      </c>
      <c r="V441" s="250">
        <f>IFERROR(__xludf.DUMMYFUNCTION("""COMPUTED_VALUE"""),1899.0)</f>
        <v>1899</v>
      </c>
      <c r="W441" s="250">
        <f>IFERROR(__xludf.DUMMYFUNCTION("""COMPUTED_VALUE"""),1709.0)</f>
        <v>1709</v>
      </c>
      <c r="X441" t="b">
        <f t="shared" ref="X441:Z441" si="858">ISBLANK(K441)</f>
        <v>1</v>
      </c>
      <c r="Y441" t="b">
        <f t="shared" si="858"/>
        <v>0</v>
      </c>
      <c r="Z441" t="b">
        <f t="shared" si="858"/>
        <v>0</v>
      </c>
      <c r="AA441">
        <f t="shared" ref="AA441:AC441" si="859">IF(X441=FALSE,1,0)</f>
        <v>0</v>
      </c>
      <c r="AB441">
        <f t="shared" si="859"/>
        <v>1</v>
      </c>
      <c r="AC441">
        <f t="shared" si="859"/>
        <v>1</v>
      </c>
      <c r="AD441">
        <f t="shared" si="6"/>
        <v>2</v>
      </c>
      <c r="AE441">
        <f t="shared" si="7"/>
        <v>1</v>
      </c>
      <c r="AF441">
        <f>if(iferror(vlookup($A441,'Description Database'!$E$2:$H$951,3,0),0)=TRUE,1,0)</f>
        <v>0</v>
      </c>
      <c r="AG441">
        <f>if(iferror(vlookup($A441,'Description Database'!$E$2:$H$951,4,0),0)=TRUE,1,0)</f>
        <v>0</v>
      </c>
    </row>
    <row r="442">
      <c r="A442" t="str">
        <f>IFERROR(__xludf.DUMMYFUNCTION("""COMPUTED_VALUE"""),"Xiaomi A1 (4 GB/64 GB)")</f>
        <v>Xiaomi A1 (4 GB/64 GB)</v>
      </c>
      <c r="B442" t="str">
        <f>IFERROR(__xludf.DUMMYFUNCTION("""COMPUTED_VALUE"""),"")</f>
        <v/>
      </c>
      <c r="C442" t="str">
        <f>IFERROR(__xludf.DUMMYFUNCTION("""COMPUTED_VALUE"""),"")</f>
        <v/>
      </c>
      <c r="D442" t="str">
        <f>IFERROR(__xludf.DUMMYFUNCTION("""COMPUTED_VALUE"""),"")</f>
        <v/>
      </c>
      <c r="E442" t="str">
        <f>IFERROR(__xludf.DUMMYFUNCTION("""COMPUTED_VALUE"""),"")</f>
        <v/>
      </c>
      <c r="F442" t="str">
        <f>IFERROR(__xludf.DUMMYFUNCTION("""COMPUTED_VALUE"""),"")</f>
        <v/>
      </c>
      <c r="G442" t="str">
        <f>IFERROR(__xludf.DUMMYFUNCTION("""COMPUTED_VALUE"""),"")</f>
        <v/>
      </c>
      <c r="H442" t="str">
        <f>IFERROR(__xludf.DUMMYFUNCTION("""COMPUTED_VALUE"""),"")</f>
        <v/>
      </c>
      <c r="I442" t="str">
        <f>IFERROR(__xludf.DUMMYFUNCTION("""COMPUTED_VALUE"""),"")</f>
        <v/>
      </c>
      <c r="J442">
        <f>IFERROR(__xludf.DUMMYFUNCTION("""COMPUTED_VALUE"""),0.0)</f>
        <v>0</v>
      </c>
      <c r="L442" s="250" t="str">
        <f>IFERROR(__xludf.DUMMYFUNCTION("""COMPUTED_VALUE"""),"")</f>
        <v/>
      </c>
      <c r="M442" s="250" t="str">
        <f>IFERROR(__xludf.DUMMYFUNCTION("""COMPUTED_VALUE"""),"")</f>
        <v/>
      </c>
      <c r="N442" s="250" t="str">
        <f>IFERROR(__xludf.DUMMYFUNCTION("""COMPUTED_VALUE"""),"")</f>
        <v/>
      </c>
      <c r="O442" s="250" t="str">
        <f>IFERROR(__xludf.DUMMYFUNCTION("""COMPUTED_VALUE"""),"")</f>
        <v/>
      </c>
      <c r="P442" s="250" t="str">
        <f>IFERROR(__xludf.DUMMYFUNCTION("""COMPUTED_VALUE"""),"")</f>
        <v/>
      </c>
      <c r="Q442" s="250" t="str">
        <f>IFERROR(__xludf.DUMMYFUNCTION("""COMPUTED_VALUE"""),"")</f>
        <v/>
      </c>
      <c r="R442" s="250" t="str">
        <f>IFERROR(__xludf.DUMMYFUNCTION("""COMPUTED_VALUE"""),"")</f>
        <v/>
      </c>
      <c r="U442" s="250" t="str">
        <f>IFERROR(__xludf.DUMMYFUNCTION("""COMPUTED_VALUE"""),"#N/A")</f>
        <v>#N/A</v>
      </c>
      <c r="V442" s="250" t="str">
        <f>IFERROR(__xludf.DUMMYFUNCTION("""COMPUTED_VALUE"""),"#N/A")</f>
        <v>#N/A</v>
      </c>
      <c r="W442" s="250" t="str">
        <f>IFERROR(__xludf.DUMMYFUNCTION("""COMPUTED_VALUE"""),"#N/A")</f>
        <v>#N/A</v>
      </c>
      <c r="X442" t="b">
        <f t="shared" ref="X442:Z442" si="860">ISBLANK(K442)</f>
        <v>1</v>
      </c>
      <c r="Y442" t="b">
        <f t="shared" si="860"/>
        <v>0</v>
      </c>
      <c r="Z442" t="b">
        <f t="shared" si="860"/>
        <v>0</v>
      </c>
      <c r="AA442">
        <f t="shared" ref="AA442:AC442" si="861">IF(X442=FALSE,1,0)</f>
        <v>0</v>
      </c>
      <c r="AB442">
        <f t="shared" si="861"/>
        <v>1</v>
      </c>
      <c r="AC442">
        <f t="shared" si="861"/>
        <v>1</v>
      </c>
      <c r="AD442">
        <f t="shared" si="6"/>
        <v>2</v>
      </c>
      <c r="AE442">
        <f t="shared" si="7"/>
        <v>1</v>
      </c>
      <c r="AF442">
        <f>if(iferror(vlookup($A442,'Description Database'!$E$2:$H$951,3,0),0)=TRUE,1,0)</f>
        <v>0</v>
      </c>
      <c r="AG442">
        <f>if(iferror(vlookup($A442,'Description Database'!$E$2:$H$951,4,0),0)=TRUE,1,0)</f>
        <v>0</v>
      </c>
    </row>
    <row r="443">
      <c r="A443" t="str">
        <f>IFERROR(__xludf.DUMMYFUNCTION("""COMPUTED_VALUE"""),"Honor 9i (4 GB/64 GB)")</f>
        <v>Honor 9i (4 GB/64 GB)</v>
      </c>
      <c r="B443" t="str">
        <f>IFERROR(__xludf.DUMMYFUNCTION("""COMPUTED_VALUE"""),"")</f>
        <v/>
      </c>
      <c r="C443" t="str">
        <f>IFERROR(__xludf.DUMMYFUNCTION("""COMPUTED_VALUE"""),"")</f>
        <v/>
      </c>
      <c r="D443" t="str">
        <f>IFERROR(__xludf.DUMMYFUNCTION("""COMPUTED_VALUE"""),"")</f>
        <v/>
      </c>
      <c r="E443" t="str">
        <f>IFERROR(__xludf.DUMMYFUNCTION("""COMPUTED_VALUE"""),"")</f>
        <v/>
      </c>
      <c r="F443">
        <f>IFERROR(__xludf.DUMMYFUNCTION("""COMPUTED_VALUE"""),1.0)</f>
        <v>1</v>
      </c>
      <c r="G443">
        <f>IFERROR(__xludf.DUMMYFUNCTION("""COMPUTED_VALUE"""),3.0)</f>
        <v>3</v>
      </c>
      <c r="H443" t="str">
        <f>IFERROR(__xludf.DUMMYFUNCTION("""COMPUTED_VALUE"""),"")</f>
        <v/>
      </c>
      <c r="I443">
        <f>IFERROR(__xludf.DUMMYFUNCTION("""COMPUTED_VALUE"""),4.0)</f>
        <v>4</v>
      </c>
      <c r="J443">
        <f>IFERROR(__xludf.DUMMYFUNCTION("""COMPUTED_VALUE"""),8.0)</f>
        <v>8</v>
      </c>
      <c r="L443" s="250" t="str">
        <f>IFERROR(__xludf.DUMMYFUNCTION("""COMPUTED_VALUE"""),"")</f>
        <v/>
      </c>
      <c r="M443" s="250" t="str">
        <f>IFERROR(__xludf.DUMMYFUNCTION("""COMPUTED_VALUE"""),"")</f>
        <v/>
      </c>
      <c r="N443" s="250" t="str">
        <f>IFERROR(__xludf.DUMMYFUNCTION("""COMPUTED_VALUE"""),"")</f>
        <v/>
      </c>
      <c r="O443" s="250" t="str">
        <f>IFERROR(__xludf.DUMMYFUNCTION("""COMPUTED_VALUE"""),"")</f>
        <v/>
      </c>
      <c r="P443" s="250">
        <f>IFERROR(__xludf.DUMMYFUNCTION("""COMPUTED_VALUE"""),3599.0)</f>
        <v>3599</v>
      </c>
      <c r="Q443" s="250">
        <f>IFERROR(__xludf.DUMMYFUNCTION("""COMPUTED_VALUE"""),2759.0)</f>
        <v>2759</v>
      </c>
      <c r="R443" s="250" t="str">
        <f>IFERROR(__xludf.DUMMYFUNCTION("""COMPUTED_VALUE"""),"")</f>
        <v/>
      </c>
      <c r="U443" s="250">
        <f>IFERROR(__xludf.DUMMYFUNCTION("""COMPUTED_VALUE"""),5549.0)</f>
        <v>5549</v>
      </c>
      <c r="V443" s="250">
        <f>IFERROR(__xludf.DUMMYFUNCTION("""COMPUTED_VALUE"""),5279.0)</f>
        <v>5279</v>
      </c>
      <c r="W443" s="250">
        <f>IFERROR(__xludf.DUMMYFUNCTION("""COMPUTED_VALUE"""),4769.0)</f>
        <v>4769</v>
      </c>
      <c r="X443" t="b">
        <f t="shared" ref="X443:Z443" si="862">ISBLANK(K443)</f>
        <v>1</v>
      </c>
      <c r="Y443" t="b">
        <f t="shared" si="862"/>
        <v>0</v>
      </c>
      <c r="Z443" t="b">
        <f t="shared" si="862"/>
        <v>0</v>
      </c>
      <c r="AA443">
        <f t="shared" ref="AA443:AC443" si="863">IF(X443=FALSE,1,0)</f>
        <v>0</v>
      </c>
      <c r="AB443">
        <f t="shared" si="863"/>
        <v>1</v>
      </c>
      <c r="AC443">
        <f t="shared" si="863"/>
        <v>1</v>
      </c>
      <c r="AD443">
        <f t="shared" si="6"/>
        <v>2</v>
      </c>
      <c r="AE443">
        <f t="shared" si="7"/>
        <v>1</v>
      </c>
      <c r="AF443">
        <f>if(iferror(vlookup($A443,'Description Database'!$E$2:$H$951,3,0),0)=TRUE,1,0)</f>
        <v>0</v>
      </c>
      <c r="AG443">
        <f>if(iferror(vlookup($A443,'Description Database'!$E$2:$H$951,4,0),0)=TRUE,1,0)</f>
        <v>0</v>
      </c>
    </row>
    <row r="444">
      <c r="A444" t="str">
        <f>IFERROR(__xludf.DUMMYFUNCTION("""COMPUTED_VALUE"""),"Samsung GALAXY J2 PRO (1 GB/16 GB)")</f>
        <v>Samsung GALAXY J2 PRO (1 GB/16 GB)</v>
      </c>
      <c r="B444" t="str">
        <f>IFERROR(__xludf.DUMMYFUNCTION("""COMPUTED_VALUE"""),"")</f>
        <v/>
      </c>
      <c r="C444" t="str">
        <f>IFERROR(__xludf.DUMMYFUNCTION("""COMPUTED_VALUE"""),"")</f>
        <v/>
      </c>
      <c r="D444" t="str">
        <f>IFERROR(__xludf.DUMMYFUNCTION("""COMPUTED_VALUE"""),"")</f>
        <v/>
      </c>
      <c r="E444" t="str">
        <f>IFERROR(__xludf.DUMMYFUNCTION("""COMPUTED_VALUE"""),"")</f>
        <v/>
      </c>
      <c r="F444" t="str">
        <f>IFERROR(__xludf.DUMMYFUNCTION("""COMPUTED_VALUE"""),"")</f>
        <v/>
      </c>
      <c r="G444" t="str">
        <f>IFERROR(__xludf.DUMMYFUNCTION("""COMPUTED_VALUE"""),"")</f>
        <v/>
      </c>
      <c r="H444" t="str">
        <f>IFERROR(__xludf.DUMMYFUNCTION("""COMPUTED_VALUE"""),"")</f>
        <v/>
      </c>
      <c r="I444">
        <f>IFERROR(__xludf.DUMMYFUNCTION("""COMPUTED_VALUE"""),1.0)</f>
        <v>1</v>
      </c>
      <c r="J444">
        <f>IFERROR(__xludf.DUMMYFUNCTION("""COMPUTED_VALUE"""),1.0)</f>
        <v>1</v>
      </c>
      <c r="L444" s="250" t="str">
        <f>IFERROR(__xludf.DUMMYFUNCTION("""COMPUTED_VALUE"""),"")</f>
        <v/>
      </c>
      <c r="M444" s="250" t="str">
        <f>IFERROR(__xludf.DUMMYFUNCTION("""COMPUTED_VALUE"""),"")</f>
        <v/>
      </c>
      <c r="N444" s="250" t="str">
        <f>IFERROR(__xludf.DUMMYFUNCTION("""COMPUTED_VALUE"""),"")</f>
        <v/>
      </c>
      <c r="O444" s="250" t="str">
        <f>IFERROR(__xludf.DUMMYFUNCTION("""COMPUTED_VALUE"""),"")</f>
        <v/>
      </c>
      <c r="P444" s="250" t="str">
        <f>IFERROR(__xludf.DUMMYFUNCTION("""COMPUTED_VALUE"""),"")</f>
        <v/>
      </c>
      <c r="Q444" s="250" t="str">
        <f>IFERROR(__xludf.DUMMYFUNCTION("""COMPUTED_VALUE"""),"")</f>
        <v/>
      </c>
      <c r="R444" s="250" t="str">
        <f>IFERROR(__xludf.DUMMYFUNCTION("""COMPUTED_VALUE"""),"")</f>
        <v/>
      </c>
      <c r="U444" s="250" t="str">
        <f>IFERROR(__xludf.DUMMYFUNCTION("""COMPUTED_VALUE"""),"#N/A")</f>
        <v>#N/A</v>
      </c>
      <c r="V444" s="250" t="str">
        <f>IFERROR(__xludf.DUMMYFUNCTION("""COMPUTED_VALUE"""),"#N/A")</f>
        <v>#N/A</v>
      </c>
      <c r="W444" s="250" t="str">
        <f>IFERROR(__xludf.DUMMYFUNCTION("""COMPUTED_VALUE"""),"#N/A")</f>
        <v>#N/A</v>
      </c>
      <c r="X444" t="b">
        <f t="shared" ref="X444:Z444" si="864">ISBLANK(K444)</f>
        <v>1</v>
      </c>
      <c r="Y444" t="b">
        <f t="shared" si="864"/>
        <v>0</v>
      </c>
      <c r="Z444" t="b">
        <f t="shared" si="864"/>
        <v>0</v>
      </c>
      <c r="AA444">
        <f t="shared" ref="AA444:AC444" si="865">IF(X444=FALSE,1,0)</f>
        <v>0</v>
      </c>
      <c r="AB444">
        <f t="shared" si="865"/>
        <v>1</v>
      </c>
      <c r="AC444">
        <f t="shared" si="865"/>
        <v>1</v>
      </c>
      <c r="AD444">
        <f t="shared" si="6"/>
        <v>2</v>
      </c>
      <c r="AE444">
        <f t="shared" si="7"/>
        <v>1</v>
      </c>
      <c r="AF444">
        <f>if(iferror(vlookup($A444,'Description Database'!$E$2:$H$951,3,0),0)=TRUE,1,0)</f>
        <v>0</v>
      </c>
      <c r="AG444">
        <f>if(iferror(vlookup($A444,'Description Database'!$E$2:$H$951,4,0),0)=TRUE,1,0)</f>
        <v>0</v>
      </c>
    </row>
    <row r="445">
      <c r="A445" t="str">
        <f>IFERROR(__xludf.DUMMYFUNCTION("""COMPUTED_VALUE"""),"Samsung GALAXY GRAND DOUS (1 GB/4 GB)")</f>
        <v>Samsung GALAXY GRAND DOUS (1 GB/4 GB)</v>
      </c>
      <c r="B445" t="str">
        <f>IFERROR(__xludf.DUMMYFUNCTION("""COMPUTED_VALUE"""),"")</f>
        <v/>
      </c>
      <c r="C445" t="str">
        <f>IFERROR(__xludf.DUMMYFUNCTION("""COMPUTED_VALUE"""),"")</f>
        <v/>
      </c>
      <c r="D445" t="str">
        <f>IFERROR(__xludf.DUMMYFUNCTION("""COMPUTED_VALUE"""),"")</f>
        <v/>
      </c>
      <c r="E445" t="str">
        <f>IFERROR(__xludf.DUMMYFUNCTION("""COMPUTED_VALUE"""),"")</f>
        <v/>
      </c>
      <c r="F445" t="str">
        <f>IFERROR(__xludf.DUMMYFUNCTION("""COMPUTED_VALUE"""),"")</f>
        <v/>
      </c>
      <c r="G445" t="str">
        <f>IFERROR(__xludf.DUMMYFUNCTION("""COMPUTED_VALUE"""),"")</f>
        <v/>
      </c>
      <c r="H445" t="str">
        <f>IFERROR(__xludf.DUMMYFUNCTION("""COMPUTED_VALUE"""),"")</f>
        <v/>
      </c>
      <c r="I445" t="str">
        <f>IFERROR(__xludf.DUMMYFUNCTION("""COMPUTED_VALUE"""),"")</f>
        <v/>
      </c>
      <c r="J445">
        <f>IFERROR(__xludf.DUMMYFUNCTION("""COMPUTED_VALUE"""),0.0)</f>
        <v>0</v>
      </c>
      <c r="L445" s="250" t="str">
        <f>IFERROR(__xludf.DUMMYFUNCTION("""COMPUTED_VALUE"""),"")</f>
        <v/>
      </c>
      <c r="M445" s="250" t="str">
        <f>IFERROR(__xludf.DUMMYFUNCTION("""COMPUTED_VALUE"""),"")</f>
        <v/>
      </c>
      <c r="N445" s="250" t="str">
        <f>IFERROR(__xludf.DUMMYFUNCTION("""COMPUTED_VALUE"""),"")</f>
        <v/>
      </c>
      <c r="O445" s="250" t="str">
        <f>IFERROR(__xludf.DUMMYFUNCTION("""COMPUTED_VALUE"""),"")</f>
        <v/>
      </c>
      <c r="P445" s="250" t="str">
        <f>IFERROR(__xludf.DUMMYFUNCTION("""COMPUTED_VALUE"""),"")</f>
        <v/>
      </c>
      <c r="Q445" s="250" t="str">
        <f>IFERROR(__xludf.DUMMYFUNCTION("""COMPUTED_VALUE"""),"")</f>
        <v/>
      </c>
      <c r="R445" s="250" t="str">
        <f>IFERROR(__xludf.DUMMYFUNCTION("""COMPUTED_VALUE"""),"")</f>
        <v/>
      </c>
      <c r="U445" s="250" t="str">
        <f>IFERROR(__xludf.DUMMYFUNCTION("""COMPUTED_VALUE"""),"#N/A")</f>
        <v>#N/A</v>
      </c>
      <c r="V445" s="250" t="str">
        <f>IFERROR(__xludf.DUMMYFUNCTION("""COMPUTED_VALUE"""),"#N/A")</f>
        <v>#N/A</v>
      </c>
      <c r="W445" s="250" t="str">
        <f>IFERROR(__xludf.DUMMYFUNCTION("""COMPUTED_VALUE"""),"#N/A")</f>
        <v>#N/A</v>
      </c>
      <c r="X445" t="b">
        <f t="shared" ref="X445:Z445" si="866">ISBLANK(K445)</f>
        <v>1</v>
      </c>
      <c r="Y445" t="b">
        <f t="shared" si="866"/>
        <v>0</v>
      </c>
      <c r="Z445" t="b">
        <f t="shared" si="866"/>
        <v>0</v>
      </c>
      <c r="AA445">
        <f t="shared" ref="AA445:AC445" si="867">IF(X445=FALSE,1,0)</f>
        <v>0</v>
      </c>
      <c r="AB445">
        <f t="shared" si="867"/>
        <v>1</v>
      </c>
      <c r="AC445">
        <f t="shared" si="867"/>
        <v>1</v>
      </c>
      <c r="AD445">
        <f t="shared" si="6"/>
        <v>2</v>
      </c>
      <c r="AE445">
        <f t="shared" si="7"/>
        <v>1</v>
      </c>
      <c r="AF445">
        <f>if(iferror(vlookup($A445,'Description Database'!$E$2:$H$951,3,0),0)=TRUE,1,0)</f>
        <v>0</v>
      </c>
      <c r="AG445">
        <f>if(iferror(vlookup($A445,'Description Database'!$E$2:$H$951,4,0),0)=TRUE,1,0)</f>
        <v>0</v>
      </c>
    </row>
    <row r="446">
      <c r="A446" t="str">
        <f>IFERROR(__xludf.DUMMYFUNCTION("""COMPUTED_VALUE"""),"MICROMAX YU5010 (2 GB/16 GB)")</f>
        <v>MICROMAX YU5010 (2 GB/16 GB)</v>
      </c>
      <c r="B446" t="str">
        <f>IFERROR(__xludf.DUMMYFUNCTION("""COMPUTED_VALUE"""),"")</f>
        <v/>
      </c>
      <c r="C446" t="str">
        <f>IFERROR(__xludf.DUMMYFUNCTION("""COMPUTED_VALUE"""),"")</f>
        <v/>
      </c>
      <c r="D446" t="str">
        <f>IFERROR(__xludf.DUMMYFUNCTION("""COMPUTED_VALUE"""),"")</f>
        <v/>
      </c>
      <c r="E446" t="str">
        <f>IFERROR(__xludf.DUMMYFUNCTION("""COMPUTED_VALUE"""),"")</f>
        <v/>
      </c>
      <c r="F446" t="str">
        <f>IFERROR(__xludf.DUMMYFUNCTION("""COMPUTED_VALUE"""),"")</f>
        <v/>
      </c>
      <c r="G446" t="str">
        <f>IFERROR(__xludf.DUMMYFUNCTION("""COMPUTED_VALUE"""),"")</f>
        <v/>
      </c>
      <c r="H446" t="str">
        <f>IFERROR(__xludf.DUMMYFUNCTION("""COMPUTED_VALUE"""),"")</f>
        <v/>
      </c>
      <c r="I446" t="str">
        <f>IFERROR(__xludf.DUMMYFUNCTION("""COMPUTED_VALUE"""),"")</f>
        <v/>
      </c>
      <c r="J446">
        <f>IFERROR(__xludf.DUMMYFUNCTION("""COMPUTED_VALUE"""),0.0)</f>
        <v>0</v>
      </c>
      <c r="L446" s="250" t="str">
        <f>IFERROR(__xludf.DUMMYFUNCTION("""COMPUTED_VALUE"""),"")</f>
        <v/>
      </c>
      <c r="M446" s="250" t="str">
        <f>IFERROR(__xludf.DUMMYFUNCTION("""COMPUTED_VALUE"""),"")</f>
        <v/>
      </c>
      <c r="N446" s="250" t="str">
        <f>IFERROR(__xludf.DUMMYFUNCTION("""COMPUTED_VALUE"""),"")</f>
        <v/>
      </c>
      <c r="O446" s="250" t="str">
        <f>IFERROR(__xludf.DUMMYFUNCTION("""COMPUTED_VALUE"""),"")</f>
        <v/>
      </c>
      <c r="P446" s="250" t="str">
        <f>IFERROR(__xludf.DUMMYFUNCTION("""COMPUTED_VALUE"""),"")</f>
        <v/>
      </c>
      <c r="Q446" s="250" t="str">
        <f>IFERROR(__xludf.DUMMYFUNCTION("""COMPUTED_VALUE"""),"")</f>
        <v/>
      </c>
      <c r="R446" s="250" t="str">
        <f>IFERROR(__xludf.DUMMYFUNCTION("""COMPUTED_VALUE"""),"")</f>
        <v/>
      </c>
      <c r="U446" s="250" t="str">
        <f>IFERROR(__xludf.DUMMYFUNCTION("""COMPUTED_VALUE"""),"#N/A")</f>
        <v>#N/A</v>
      </c>
      <c r="V446" s="250" t="str">
        <f>IFERROR(__xludf.DUMMYFUNCTION("""COMPUTED_VALUE"""),"#N/A")</f>
        <v>#N/A</v>
      </c>
      <c r="W446" s="250" t="str">
        <f>IFERROR(__xludf.DUMMYFUNCTION("""COMPUTED_VALUE"""),"#N/A")</f>
        <v>#N/A</v>
      </c>
      <c r="X446" t="b">
        <f t="shared" ref="X446:Z446" si="868">ISBLANK(K446)</f>
        <v>1</v>
      </c>
      <c r="Y446" t="b">
        <f t="shared" si="868"/>
        <v>0</v>
      </c>
      <c r="Z446" t="b">
        <f t="shared" si="868"/>
        <v>0</v>
      </c>
      <c r="AA446">
        <f t="shared" ref="AA446:AC446" si="869">IF(X446=FALSE,1,0)</f>
        <v>0</v>
      </c>
      <c r="AB446">
        <f t="shared" si="869"/>
        <v>1</v>
      </c>
      <c r="AC446">
        <f t="shared" si="869"/>
        <v>1</v>
      </c>
      <c r="AD446">
        <f t="shared" si="6"/>
        <v>2</v>
      </c>
      <c r="AE446">
        <f t="shared" si="7"/>
        <v>1</v>
      </c>
      <c r="AF446">
        <f>if(iferror(vlookup($A446,'Description Database'!$E$2:$H$951,3,0),0)=TRUE,1,0)</f>
        <v>0</v>
      </c>
      <c r="AG446">
        <f>if(iferror(vlookup($A446,'Description Database'!$E$2:$H$951,4,0),0)=TRUE,1,0)</f>
        <v>0</v>
      </c>
    </row>
    <row r="447">
      <c r="A447" t="str">
        <f>IFERROR(__xludf.DUMMYFUNCTION("""COMPUTED_VALUE"""),"Samsung GALAXY GRAND NEO (4 GB/8 GB)")</f>
        <v>Samsung GALAXY GRAND NEO (4 GB/8 GB)</v>
      </c>
      <c r="B447" t="str">
        <f>IFERROR(__xludf.DUMMYFUNCTION("""COMPUTED_VALUE"""),"")</f>
        <v/>
      </c>
      <c r="C447" t="str">
        <f>IFERROR(__xludf.DUMMYFUNCTION("""COMPUTED_VALUE"""),"")</f>
        <v/>
      </c>
      <c r="D447" t="str">
        <f>IFERROR(__xludf.DUMMYFUNCTION("""COMPUTED_VALUE"""),"")</f>
        <v/>
      </c>
      <c r="E447" t="str">
        <f>IFERROR(__xludf.DUMMYFUNCTION("""COMPUTED_VALUE"""),"")</f>
        <v/>
      </c>
      <c r="F447" t="str">
        <f>IFERROR(__xludf.DUMMYFUNCTION("""COMPUTED_VALUE"""),"")</f>
        <v/>
      </c>
      <c r="G447" t="str">
        <f>IFERROR(__xludf.DUMMYFUNCTION("""COMPUTED_VALUE"""),"")</f>
        <v/>
      </c>
      <c r="H447" t="str">
        <f>IFERROR(__xludf.DUMMYFUNCTION("""COMPUTED_VALUE"""),"")</f>
        <v/>
      </c>
      <c r="I447" t="str">
        <f>IFERROR(__xludf.DUMMYFUNCTION("""COMPUTED_VALUE"""),"")</f>
        <v/>
      </c>
      <c r="J447">
        <f>IFERROR(__xludf.DUMMYFUNCTION("""COMPUTED_VALUE"""),0.0)</f>
        <v>0</v>
      </c>
      <c r="L447" s="250" t="str">
        <f>IFERROR(__xludf.DUMMYFUNCTION("""COMPUTED_VALUE"""),"")</f>
        <v/>
      </c>
      <c r="M447" s="250" t="str">
        <f>IFERROR(__xludf.DUMMYFUNCTION("""COMPUTED_VALUE"""),"")</f>
        <v/>
      </c>
      <c r="N447" s="250" t="str">
        <f>IFERROR(__xludf.DUMMYFUNCTION("""COMPUTED_VALUE"""),"")</f>
        <v/>
      </c>
      <c r="O447" s="250" t="str">
        <f>IFERROR(__xludf.DUMMYFUNCTION("""COMPUTED_VALUE"""),"")</f>
        <v/>
      </c>
      <c r="P447" s="250" t="str">
        <f>IFERROR(__xludf.DUMMYFUNCTION("""COMPUTED_VALUE"""),"")</f>
        <v/>
      </c>
      <c r="Q447" s="250" t="str">
        <f>IFERROR(__xludf.DUMMYFUNCTION("""COMPUTED_VALUE"""),"")</f>
        <v/>
      </c>
      <c r="R447" s="250" t="str">
        <f>IFERROR(__xludf.DUMMYFUNCTION("""COMPUTED_VALUE"""),"")</f>
        <v/>
      </c>
      <c r="U447" s="250" t="str">
        <f>IFERROR(__xludf.DUMMYFUNCTION("""COMPUTED_VALUE"""),"#N/A")</f>
        <v>#N/A</v>
      </c>
      <c r="V447" s="250" t="str">
        <f>IFERROR(__xludf.DUMMYFUNCTION("""COMPUTED_VALUE"""),"#N/A")</f>
        <v>#N/A</v>
      </c>
      <c r="W447" s="250" t="str">
        <f>IFERROR(__xludf.DUMMYFUNCTION("""COMPUTED_VALUE"""),"#N/A")</f>
        <v>#N/A</v>
      </c>
      <c r="X447" t="b">
        <f t="shared" ref="X447:Z447" si="870">ISBLANK(K447)</f>
        <v>1</v>
      </c>
      <c r="Y447" t="b">
        <f t="shared" si="870"/>
        <v>0</v>
      </c>
      <c r="Z447" t="b">
        <f t="shared" si="870"/>
        <v>0</v>
      </c>
      <c r="AA447">
        <f t="shared" ref="AA447:AC447" si="871">IF(X447=FALSE,1,0)</f>
        <v>0</v>
      </c>
      <c r="AB447">
        <f t="shared" si="871"/>
        <v>1</v>
      </c>
      <c r="AC447">
        <f t="shared" si="871"/>
        <v>1</v>
      </c>
      <c r="AD447">
        <f t="shared" si="6"/>
        <v>2</v>
      </c>
      <c r="AE447">
        <f t="shared" si="7"/>
        <v>1</v>
      </c>
      <c r="AF447">
        <f>if(iferror(vlookup($A447,'Description Database'!$E$2:$H$951,3,0),0)=TRUE,1,0)</f>
        <v>0</v>
      </c>
      <c r="AG447">
        <f>if(iferror(vlookup($A447,'Description Database'!$E$2:$H$951,4,0),0)=TRUE,1,0)</f>
        <v>0</v>
      </c>
    </row>
    <row r="448">
      <c r="A448" t="str">
        <f>IFERROR(__xludf.DUMMYFUNCTION("""COMPUTED_VALUE"""),"Huawei HONOR 8 (4 GB/32 GB)")</f>
        <v>Huawei HONOR 8 (4 GB/32 GB)</v>
      </c>
      <c r="B448" t="str">
        <f>IFERROR(__xludf.DUMMYFUNCTION("""COMPUTED_VALUE"""),"")</f>
        <v/>
      </c>
      <c r="C448" t="str">
        <f>IFERROR(__xludf.DUMMYFUNCTION("""COMPUTED_VALUE"""),"")</f>
        <v/>
      </c>
      <c r="D448" t="str">
        <f>IFERROR(__xludf.DUMMYFUNCTION("""COMPUTED_VALUE"""),"")</f>
        <v/>
      </c>
      <c r="E448" t="str">
        <f>IFERROR(__xludf.DUMMYFUNCTION("""COMPUTED_VALUE"""),"")</f>
        <v/>
      </c>
      <c r="F448" t="str">
        <f>IFERROR(__xludf.DUMMYFUNCTION("""COMPUTED_VALUE"""),"")</f>
        <v/>
      </c>
      <c r="G448" t="str">
        <f>IFERROR(__xludf.DUMMYFUNCTION("""COMPUTED_VALUE"""),"")</f>
        <v/>
      </c>
      <c r="H448" t="str">
        <f>IFERROR(__xludf.DUMMYFUNCTION("""COMPUTED_VALUE"""),"")</f>
        <v/>
      </c>
      <c r="I448">
        <f>IFERROR(__xludf.DUMMYFUNCTION("""COMPUTED_VALUE"""),4.0)</f>
        <v>4</v>
      </c>
      <c r="J448">
        <f>IFERROR(__xludf.DUMMYFUNCTION("""COMPUTED_VALUE"""),4.0)</f>
        <v>4</v>
      </c>
      <c r="L448" s="250" t="str">
        <f>IFERROR(__xludf.DUMMYFUNCTION("""COMPUTED_VALUE"""),"")</f>
        <v/>
      </c>
      <c r="M448" s="250" t="str">
        <f>IFERROR(__xludf.DUMMYFUNCTION("""COMPUTED_VALUE"""),"")</f>
        <v/>
      </c>
      <c r="N448" s="250" t="str">
        <f>IFERROR(__xludf.DUMMYFUNCTION("""COMPUTED_VALUE"""),"")</f>
        <v/>
      </c>
      <c r="O448" s="250" t="str">
        <f>IFERROR(__xludf.DUMMYFUNCTION("""COMPUTED_VALUE"""),"")</f>
        <v/>
      </c>
      <c r="P448" s="250" t="str">
        <f>IFERROR(__xludf.DUMMYFUNCTION("""COMPUTED_VALUE"""),"")</f>
        <v/>
      </c>
      <c r="Q448" s="250" t="str">
        <f>IFERROR(__xludf.DUMMYFUNCTION("""COMPUTED_VALUE"""),"")</f>
        <v/>
      </c>
      <c r="R448" s="250" t="str">
        <f>IFERROR(__xludf.DUMMYFUNCTION("""COMPUTED_VALUE"""),"")</f>
        <v/>
      </c>
      <c r="U448" s="250" t="str">
        <f>IFERROR(__xludf.DUMMYFUNCTION("""COMPUTED_VALUE"""),"#N/A")</f>
        <v>#N/A</v>
      </c>
      <c r="V448" s="250" t="str">
        <f>IFERROR(__xludf.DUMMYFUNCTION("""COMPUTED_VALUE"""),"#N/A")</f>
        <v>#N/A</v>
      </c>
      <c r="W448" s="250" t="str">
        <f>IFERROR(__xludf.DUMMYFUNCTION("""COMPUTED_VALUE"""),"#N/A")</f>
        <v>#N/A</v>
      </c>
      <c r="X448" t="b">
        <f t="shared" ref="X448:Z448" si="872">ISBLANK(K448)</f>
        <v>1</v>
      </c>
      <c r="Y448" t="b">
        <f t="shared" si="872"/>
        <v>0</v>
      </c>
      <c r="Z448" t="b">
        <f t="shared" si="872"/>
        <v>0</v>
      </c>
      <c r="AA448">
        <f t="shared" ref="AA448:AC448" si="873">IF(X448=FALSE,1,0)</f>
        <v>0</v>
      </c>
      <c r="AB448">
        <f t="shared" si="873"/>
        <v>1</v>
      </c>
      <c r="AC448">
        <f t="shared" si="873"/>
        <v>1</v>
      </c>
      <c r="AD448">
        <f t="shared" si="6"/>
        <v>2</v>
      </c>
      <c r="AE448">
        <f t="shared" si="7"/>
        <v>1</v>
      </c>
      <c r="AF448">
        <f>if(iferror(vlookup($A448,'Description Database'!$E$2:$H$951,3,0),0)=TRUE,1,0)</f>
        <v>0</v>
      </c>
      <c r="AG448">
        <f>if(iferror(vlookup($A448,'Description Database'!$E$2:$H$951,4,0),0)=TRUE,1,0)</f>
        <v>0</v>
      </c>
    </row>
    <row r="449">
      <c r="A449" t="str">
        <f>IFERROR(__xludf.DUMMYFUNCTION("""COMPUTED_VALUE"""),"Oppo A33 (1 GB/16 GB)")</f>
        <v>Oppo A33 (1 GB/16 GB)</v>
      </c>
      <c r="B449" t="str">
        <f>IFERROR(__xludf.DUMMYFUNCTION("""COMPUTED_VALUE"""),"")</f>
        <v/>
      </c>
      <c r="C449" t="str">
        <f>IFERROR(__xludf.DUMMYFUNCTION("""COMPUTED_VALUE"""),"")</f>
        <v/>
      </c>
      <c r="D449" t="str">
        <f>IFERROR(__xludf.DUMMYFUNCTION("""COMPUTED_VALUE"""),"")</f>
        <v/>
      </c>
      <c r="E449" t="str">
        <f>IFERROR(__xludf.DUMMYFUNCTION("""COMPUTED_VALUE"""),"")</f>
        <v/>
      </c>
      <c r="F449" t="str">
        <f>IFERROR(__xludf.DUMMYFUNCTION("""COMPUTED_VALUE"""),"")</f>
        <v/>
      </c>
      <c r="G449" t="str">
        <f>IFERROR(__xludf.DUMMYFUNCTION("""COMPUTED_VALUE"""),"")</f>
        <v/>
      </c>
      <c r="H449" t="str">
        <f>IFERROR(__xludf.DUMMYFUNCTION("""COMPUTED_VALUE"""),"")</f>
        <v/>
      </c>
      <c r="I449">
        <f>IFERROR(__xludf.DUMMYFUNCTION("""COMPUTED_VALUE"""),1.0)</f>
        <v>1</v>
      </c>
      <c r="J449">
        <f>IFERROR(__xludf.DUMMYFUNCTION("""COMPUTED_VALUE"""),1.0)</f>
        <v>1</v>
      </c>
      <c r="L449" s="250" t="str">
        <f>IFERROR(__xludf.DUMMYFUNCTION("""COMPUTED_VALUE"""),"")</f>
        <v/>
      </c>
      <c r="M449" s="250" t="str">
        <f>IFERROR(__xludf.DUMMYFUNCTION("""COMPUTED_VALUE"""),"")</f>
        <v/>
      </c>
      <c r="N449" s="250" t="str">
        <f>IFERROR(__xludf.DUMMYFUNCTION("""COMPUTED_VALUE"""),"")</f>
        <v/>
      </c>
      <c r="O449" s="250" t="str">
        <f>IFERROR(__xludf.DUMMYFUNCTION("""COMPUTED_VALUE"""),"")</f>
        <v/>
      </c>
      <c r="P449" s="250" t="str">
        <f>IFERROR(__xludf.DUMMYFUNCTION("""COMPUTED_VALUE"""),"")</f>
        <v/>
      </c>
      <c r="Q449" s="250" t="str">
        <f>IFERROR(__xludf.DUMMYFUNCTION("""COMPUTED_VALUE"""),"")</f>
        <v/>
      </c>
      <c r="R449" s="250" t="str">
        <f>IFERROR(__xludf.DUMMYFUNCTION("""COMPUTED_VALUE"""),"")</f>
        <v/>
      </c>
      <c r="U449" s="250" t="str">
        <f>IFERROR(__xludf.DUMMYFUNCTION("""COMPUTED_VALUE"""),"#N/A")</f>
        <v>#N/A</v>
      </c>
      <c r="V449" s="250" t="str">
        <f>IFERROR(__xludf.DUMMYFUNCTION("""COMPUTED_VALUE"""),"#N/A")</f>
        <v>#N/A</v>
      </c>
      <c r="W449" s="250" t="str">
        <f>IFERROR(__xludf.DUMMYFUNCTION("""COMPUTED_VALUE"""),"#N/A")</f>
        <v>#N/A</v>
      </c>
      <c r="X449" t="b">
        <f t="shared" ref="X449:Z449" si="874">ISBLANK(K449)</f>
        <v>1</v>
      </c>
      <c r="Y449" t="b">
        <f t="shared" si="874"/>
        <v>0</v>
      </c>
      <c r="Z449" t="b">
        <f t="shared" si="874"/>
        <v>0</v>
      </c>
      <c r="AA449">
        <f t="shared" ref="AA449:AC449" si="875">IF(X449=FALSE,1,0)</f>
        <v>0</v>
      </c>
      <c r="AB449">
        <f t="shared" si="875"/>
        <v>1</v>
      </c>
      <c r="AC449">
        <f t="shared" si="875"/>
        <v>1</v>
      </c>
      <c r="AD449">
        <f t="shared" si="6"/>
        <v>2</v>
      </c>
      <c r="AE449">
        <f t="shared" si="7"/>
        <v>1</v>
      </c>
      <c r="AF449">
        <f>if(iferror(vlookup($A449,'Description Database'!$E$2:$H$951,3,0),0)=TRUE,1,0)</f>
        <v>0</v>
      </c>
      <c r="AG449">
        <f>if(iferror(vlookup($A449,'Description Database'!$E$2:$H$951,4,0),0)=TRUE,1,0)</f>
        <v>0</v>
      </c>
    </row>
    <row r="450">
      <c r="A450" t="str">
        <f>IFERROR(__xludf.DUMMYFUNCTION("""COMPUTED_VALUE"""),"Xiaomi REDMI 7A (2 GB/16 GB)")</f>
        <v>Xiaomi REDMI 7A (2 GB/16 GB)</v>
      </c>
      <c r="B450" t="str">
        <f>IFERROR(__xludf.DUMMYFUNCTION("""COMPUTED_VALUE"""),"")</f>
        <v/>
      </c>
      <c r="C450" t="str">
        <f>IFERROR(__xludf.DUMMYFUNCTION("""COMPUTED_VALUE"""),"")</f>
        <v/>
      </c>
      <c r="D450" t="str">
        <f>IFERROR(__xludf.DUMMYFUNCTION("""COMPUTED_VALUE"""),"")</f>
        <v/>
      </c>
      <c r="E450" t="str">
        <f>IFERROR(__xludf.DUMMYFUNCTION("""COMPUTED_VALUE"""),"")</f>
        <v/>
      </c>
      <c r="F450" t="str">
        <f>IFERROR(__xludf.DUMMYFUNCTION("""COMPUTED_VALUE"""),"")</f>
        <v/>
      </c>
      <c r="G450">
        <f>IFERROR(__xludf.DUMMYFUNCTION("""COMPUTED_VALUE"""),1.0)</f>
        <v>1</v>
      </c>
      <c r="H450" t="str">
        <f>IFERROR(__xludf.DUMMYFUNCTION("""COMPUTED_VALUE"""),"")</f>
        <v/>
      </c>
      <c r="I450">
        <f>IFERROR(__xludf.DUMMYFUNCTION("""COMPUTED_VALUE"""),1.0)</f>
        <v>1</v>
      </c>
      <c r="J450">
        <f>IFERROR(__xludf.DUMMYFUNCTION("""COMPUTED_VALUE"""),2.0)</f>
        <v>2</v>
      </c>
      <c r="L450" s="250" t="str">
        <f>IFERROR(__xludf.DUMMYFUNCTION("""COMPUTED_VALUE"""),"")</f>
        <v/>
      </c>
      <c r="M450" s="250" t="str">
        <f>IFERROR(__xludf.DUMMYFUNCTION("""COMPUTED_VALUE"""),"")</f>
        <v/>
      </c>
      <c r="N450" s="250" t="str">
        <f>IFERROR(__xludf.DUMMYFUNCTION("""COMPUTED_VALUE"""),"")</f>
        <v/>
      </c>
      <c r="O450" s="250" t="str">
        <f>IFERROR(__xludf.DUMMYFUNCTION("""COMPUTED_VALUE"""),"")</f>
        <v/>
      </c>
      <c r="P450" s="250" t="str">
        <f>IFERROR(__xludf.DUMMYFUNCTION("""COMPUTED_VALUE"""),"")</f>
        <v/>
      </c>
      <c r="Q450" s="250">
        <f>IFERROR(__xludf.DUMMYFUNCTION("""COMPUTED_VALUE"""),2359.0)</f>
        <v>2359</v>
      </c>
      <c r="R450" s="250" t="str">
        <f>IFERROR(__xludf.DUMMYFUNCTION("""COMPUTED_VALUE"""),"")</f>
        <v/>
      </c>
      <c r="U450" s="250">
        <f>IFERROR(__xludf.DUMMYFUNCTION("""COMPUTED_VALUE"""),4769.0)</f>
        <v>4769</v>
      </c>
      <c r="V450" s="250">
        <f>IFERROR(__xludf.DUMMYFUNCTION("""COMPUTED_VALUE"""),4539.0)</f>
        <v>4539</v>
      </c>
      <c r="W450" s="250">
        <f>IFERROR(__xludf.DUMMYFUNCTION("""COMPUTED_VALUE"""),4129.0)</f>
        <v>4129</v>
      </c>
      <c r="X450" t="b">
        <f t="shared" ref="X450:Z450" si="876">ISBLANK(K450)</f>
        <v>1</v>
      </c>
      <c r="Y450" t="b">
        <f t="shared" si="876"/>
        <v>0</v>
      </c>
      <c r="Z450" t="b">
        <f t="shared" si="876"/>
        <v>0</v>
      </c>
      <c r="AA450">
        <f t="shared" ref="AA450:AC450" si="877">IF(X450=FALSE,1,0)</f>
        <v>0</v>
      </c>
      <c r="AB450">
        <f t="shared" si="877"/>
        <v>1</v>
      </c>
      <c r="AC450">
        <f t="shared" si="877"/>
        <v>1</v>
      </c>
      <c r="AD450">
        <f t="shared" si="6"/>
        <v>2</v>
      </c>
      <c r="AE450">
        <f t="shared" si="7"/>
        <v>1</v>
      </c>
      <c r="AF450">
        <f>if(iferror(vlookup($A450,'Description Database'!$E$2:$H$951,3,0),0)=TRUE,1,0)</f>
        <v>0</v>
      </c>
      <c r="AG450">
        <f>if(iferror(vlookup($A450,'Description Database'!$E$2:$H$951,4,0),0)=TRUE,1,0)</f>
        <v>1</v>
      </c>
    </row>
    <row r="451">
      <c r="A451" t="str">
        <f>IFERROR(__xludf.DUMMYFUNCTION("""COMPUTED_VALUE"""),"LETV VIBE P1M (2 GB/16 GB)")</f>
        <v>LETV VIBE P1M (2 GB/16 GB)</v>
      </c>
      <c r="B451" t="str">
        <f>IFERROR(__xludf.DUMMYFUNCTION("""COMPUTED_VALUE"""),"")</f>
        <v/>
      </c>
      <c r="C451" t="str">
        <f>IFERROR(__xludf.DUMMYFUNCTION("""COMPUTED_VALUE"""),"")</f>
        <v/>
      </c>
      <c r="D451" t="str">
        <f>IFERROR(__xludf.DUMMYFUNCTION("""COMPUTED_VALUE"""),"")</f>
        <v/>
      </c>
      <c r="E451" t="str">
        <f>IFERROR(__xludf.DUMMYFUNCTION("""COMPUTED_VALUE"""),"")</f>
        <v/>
      </c>
      <c r="F451" t="str">
        <f>IFERROR(__xludf.DUMMYFUNCTION("""COMPUTED_VALUE"""),"")</f>
        <v/>
      </c>
      <c r="G451" t="str">
        <f>IFERROR(__xludf.DUMMYFUNCTION("""COMPUTED_VALUE"""),"")</f>
        <v/>
      </c>
      <c r="H451" t="str">
        <f>IFERROR(__xludf.DUMMYFUNCTION("""COMPUTED_VALUE"""),"")</f>
        <v/>
      </c>
      <c r="I451" t="str">
        <f>IFERROR(__xludf.DUMMYFUNCTION("""COMPUTED_VALUE"""),"")</f>
        <v/>
      </c>
      <c r="J451">
        <f>IFERROR(__xludf.DUMMYFUNCTION("""COMPUTED_VALUE"""),0.0)</f>
        <v>0</v>
      </c>
      <c r="L451" s="250" t="str">
        <f>IFERROR(__xludf.DUMMYFUNCTION("""COMPUTED_VALUE"""),"")</f>
        <v/>
      </c>
      <c r="M451" s="250" t="str">
        <f>IFERROR(__xludf.DUMMYFUNCTION("""COMPUTED_VALUE"""),"")</f>
        <v/>
      </c>
      <c r="N451" s="250" t="str">
        <f>IFERROR(__xludf.DUMMYFUNCTION("""COMPUTED_VALUE"""),"")</f>
        <v/>
      </c>
      <c r="O451" s="250" t="str">
        <f>IFERROR(__xludf.DUMMYFUNCTION("""COMPUTED_VALUE"""),"")</f>
        <v/>
      </c>
      <c r="P451" s="250" t="str">
        <f>IFERROR(__xludf.DUMMYFUNCTION("""COMPUTED_VALUE"""),"")</f>
        <v/>
      </c>
      <c r="Q451" s="250" t="str">
        <f>IFERROR(__xludf.DUMMYFUNCTION("""COMPUTED_VALUE"""),"")</f>
        <v/>
      </c>
      <c r="R451" s="250" t="str">
        <f>IFERROR(__xludf.DUMMYFUNCTION("""COMPUTED_VALUE"""),"")</f>
        <v/>
      </c>
      <c r="U451" s="250" t="str">
        <f>IFERROR(__xludf.DUMMYFUNCTION("""COMPUTED_VALUE"""),"#N/A")</f>
        <v>#N/A</v>
      </c>
      <c r="V451" s="250" t="str">
        <f>IFERROR(__xludf.DUMMYFUNCTION("""COMPUTED_VALUE"""),"#N/A")</f>
        <v>#N/A</v>
      </c>
      <c r="W451" s="250" t="str">
        <f>IFERROR(__xludf.DUMMYFUNCTION("""COMPUTED_VALUE"""),"#N/A")</f>
        <v>#N/A</v>
      </c>
      <c r="X451" t="b">
        <f t="shared" ref="X451:Z451" si="878">ISBLANK(K451)</f>
        <v>1</v>
      </c>
      <c r="Y451" t="b">
        <f t="shared" si="878"/>
        <v>0</v>
      </c>
      <c r="Z451" t="b">
        <f t="shared" si="878"/>
        <v>0</v>
      </c>
      <c r="AA451">
        <f t="shared" ref="AA451:AC451" si="879">IF(X451=FALSE,1,0)</f>
        <v>0</v>
      </c>
      <c r="AB451">
        <f t="shared" si="879"/>
        <v>1</v>
      </c>
      <c r="AC451">
        <f t="shared" si="879"/>
        <v>1</v>
      </c>
      <c r="AD451">
        <f t="shared" si="6"/>
        <v>2</v>
      </c>
      <c r="AE451">
        <f t="shared" si="7"/>
        <v>1</v>
      </c>
      <c r="AF451">
        <f>if(iferror(vlookup($A451,'Description Database'!$E$2:$H$951,3,0),0)=TRUE,1,0)</f>
        <v>0</v>
      </c>
      <c r="AG451">
        <f>if(iferror(vlookup($A451,'Description Database'!$E$2:$H$951,4,0),0)=TRUE,1,0)</f>
        <v>0</v>
      </c>
    </row>
    <row r="452">
      <c r="A452" t="str">
        <f>IFERROR(__xludf.DUMMYFUNCTION("""COMPUTED_VALUE"""),"Lenovo K8 PLUS (2 GB/32 GB)")</f>
        <v>Lenovo K8 PLUS (2 GB/32 GB)</v>
      </c>
      <c r="B452" t="str">
        <f>IFERROR(__xludf.DUMMYFUNCTION("""COMPUTED_VALUE"""),"")</f>
        <v/>
      </c>
      <c r="C452" t="str">
        <f>IFERROR(__xludf.DUMMYFUNCTION("""COMPUTED_VALUE"""),"")</f>
        <v/>
      </c>
      <c r="D452" t="str">
        <f>IFERROR(__xludf.DUMMYFUNCTION("""COMPUTED_VALUE"""),"")</f>
        <v/>
      </c>
      <c r="E452" t="str">
        <f>IFERROR(__xludf.DUMMYFUNCTION("""COMPUTED_VALUE"""),"")</f>
        <v/>
      </c>
      <c r="F452" t="str">
        <f>IFERROR(__xludf.DUMMYFUNCTION("""COMPUTED_VALUE"""),"")</f>
        <v/>
      </c>
      <c r="G452" t="str">
        <f>IFERROR(__xludf.DUMMYFUNCTION("""COMPUTED_VALUE"""),"")</f>
        <v/>
      </c>
      <c r="H452" t="str">
        <f>IFERROR(__xludf.DUMMYFUNCTION("""COMPUTED_VALUE"""),"")</f>
        <v/>
      </c>
      <c r="I452" t="str">
        <f>IFERROR(__xludf.DUMMYFUNCTION("""COMPUTED_VALUE"""),"")</f>
        <v/>
      </c>
      <c r="J452">
        <f>IFERROR(__xludf.DUMMYFUNCTION("""COMPUTED_VALUE"""),0.0)</f>
        <v>0</v>
      </c>
      <c r="L452" s="250" t="str">
        <f>IFERROR(__xludf.DUMMYFUNCTION("""COMPUTED_VALUE"""),"")</f>
        <v/>
      </c>
      <c r="M452" s="250" t="str">
        <f>IFERROR(__xludf.DUMMYFUNCTION("""COMPUTED_VALUE"""),"")</f>
        <v/>
      </c>
      <c r="N452" s="250" t="str">
        <f>IFERROR(__xludf.DUMMYFUNCTION("""COMPUTED_VALUE"""),"")</f>
        <v/>
      </c>
      <c r="O452" s="250" t="str">
        <f>IFERROR(__xludf.DUMMYFUNCTION("""COMPUTED_VALUE"""),"")</f>
        <v/>
      </c>
      <c r="P452" s="250" t="str">
        <f>IFERROR(__xludf.DUMMYFUNCTION("""COMPUTED_VALUE"""),"")</f>
        <v/>
      </c>
      <c r="Q452" s="250" t="str">
        <f>IFERROR(__xludf.DUMMYFUNCTION("""COMPUTED_VALUE"""),"")</f>
        <v/>
      </c>
      <c r="R452" s="250" t="str">
        <f>IFERROR(__xludf.DUMMYFUNCTION("""COMPUTED_VALUE"""),"")</f>
        <v/>
      </c>
      <c r="U452" s="250" t="str">
        <f>IFERROR(__xludf.DUMMYFUNCTION("""COMPUTED_VALUE"""),"#N/A")</f>
        <v>#N/A</v>
      </c>
      <c r="V452" s="250" t="str">
        <f>IFERROR(__xludf.DUMMYFUNCTION("""COMPUTED_VALUE"""),"#N/A")</f>
        <v>#N/A</v>
      </c>
      <c r="W452" s="250" t="str">
        <f>IFERROR(__xludf.DUMMYFUNCTION("""COMPUTED_VALUE"""),"#N/A")</f>
        <v>#N/A</v>
      </c>
      <c r="X452" t="b">
        <f t="shared" ref="X452:Z452" si="880">ISBLANK(K452)</f>
        <v>1</v>
      </c>
      <c r="Y452" t="b">
        <f t="shared" si="880"/>
        <v>0</v>
      </c>
      <c r="Z452" t="b">
        <f t="shared" si="880"/>
        <v>0</v>
      </c>
      <c r="AA452">
        <f t="shared" ref="AA452:AC452" si="881">IF(X452=FALSE,1,0)</f>
        <v>0</v>
      </c>
      <c r="AB452">
        <f t="shared" si="881"/>
        <v>1</v>
      </c>
      <c r="AC452">
        <f t="shared" si="881"/>
        <v>1</v>
      </c>
      <c r="AD452">
        <f t="shared" si="6"/>
        <v>2</v>
      </c>
      <c r="AE452">
        <f t="shared" si="7"/>
        <v>1</v>
      </c>
      <c r="AF452">
        <f>if(iferror(vlookup($A452,'Description Database'!$E$2:$H$951,3,0),0)=TRUE,1,0)</f>
        <v>0</v>
      </c>
      <c r="AG452">
        <f>if(iferror(vlookup($A452,'Description Database'!$E$2:$H$951,4,0),0)=TRUE,1,0)</f>
        <v>0</v>
      </c>
    </row>
    <row r="453">
      <c r="A453" t="str">
        <f>IFERROR(__xludf.DUMMYFUNCTION("""COMPUTED_VALUE"""),"Motorola MOTO C (1 GB/16 GB)")</f>
        <v>Motorola MOTO C (1 GB/16 GB)</v>
      </c>
      <c r="B453" t="str">
        <f>IFERROR(__xludf.DUMMYFUNCTION("""COMPUTED_VALUE"""),"")</f>
        <v/>
      </c>
      <c r="C453" t="str">
        <f>IFERROR(__xludf.DUMMYFUNCTION("""COMPUTED_VALUE"""),"")</f>
        <v/>
      </c>
      <c r="D453" t="str">
        <f>IFERROR(__xludf.DUMMYFUNCTION("""COMPUTED_VALUE"""),"")</f>
        <v/>
      </c>
      <c r="E453" t="str">
        <f>IFERROR(__xludf.DUMMYFUNCTION("""COMPUTED_VALUE"""),"")</f>
        <v/>
      </c>
      <c r="F453" t="str">
        <f>IFERROR(__xludf.DUMMYFUNCTION("""COMPUTED_VALUE"""),"")</f>
        <v/>
      </c>
      <c r="G453" t="str">
        <f>IFERROR(__xludf.DUMMYFUNCTION("""COMPUTED_VALUE"""),"")</f>
        <v/>
      </c>
      <c r="H453" t="str">
        <f>IFERROR(__xludf.DUMMYFUNCTION("""COMPUTED_VALUE"""),"")</f>
        <v/>
      </c>
      <c r="I453">
        <f>IFERROR(__xludf.DUMMYFUNCTION("""COMPUTED_VALUE"""),4.0)</f>
        <v>4</v>
      </c>
      <c r="J453">
        <f>IFERROR(__xludf.DUMMYFUNCTION("""COMPUTED_VALUE"""),4.0)</f>
        <v>4</v>
      </c>
      <c r="L453" s="250" t="str">
        <f>IFERROR(__xludf.DUMMYFUNCTION("""COMPUTED_VALUE"""),"")</f>
        <v/>
      </c>
      <c r="M453" s="250" t="str">
        <f>IFERROR(__xludf.DUMMYFUNCTION("""COMPUTED_VALUE"""),"")</f>
        <v/>
      </c>
      <c r="N453" s="250" t="str">
        <f>IFERROR(__xludf.DUMMYFUNCTION("""COMPUTED_VALUE"""),"")</f>
        <v/>
      </c>
      <c r="O453" s="250" t="str">
        <f>IFERROR(__xludf.DUMMYFUNCTION("""COMPUTED_VALUE"""),"")</f>
        <v/>
      </c>
      <c r="P453" s="250" t="str">
        <f>IFERROR(__xludf.DUMMYFUNCTION("""COMPUTED_VALUE"""),"")</f>
        <v/>
      </c>
      <c r="Q453" s="250" t="str">
        <f>IFERROR(__xludf.DUMMYFUNCTION("""COMPUTED_VALUE"""),"")</f>
        <v/>
      </c>
      <c r="R453" s="250" t="str">
        <f>IFERROR(__xludf.DUMMYFUNCTION("""COMPUTED_VALUE"""),"")</f>
        <v/>
      </c>
      <c r="U453" s="250">
        <f>IFERROR(__xludf.DUMMYFUNCTION("""COMPUTED_VALUE"""),2729.0)</f>
        <v>2729</v>
      </c>
      <c r="V453" s="250">
        <f>IFERROR(__xludf.DUMMYFUNCTION("""COMPUTED_VALUE"""),2599.0)</f>
        <v>2599</v>
      </c>
      <c r="W453" s="250">
        <f>IFERROR(__xludf.DUMMYFUNCTION("""COMPUTED_VALUE"""),2349.0)</f>
        <v>2349</v>
      </c>
      <c r="X453" t="b">
        <f t="shared" ref="X453:Z453" si="882">ISBLANK(K453)</f>
        <v>1</v>
      </c>
      <c r="Y453" t="b">
        <f t="shared" si="882"/>
        <v>0</v>
      </c>
      <c r="Z453" t="b">
        <f t="shared" si="882"/>
        <v>0</v>
      </c>
      <c r="AA453">
        <f t="shared" ref="AA453:AC453" si="883">IF(X453=FALSE,1,0)</f>
        <v>0</v>
      </c>
      <c r="AB453">
        <f t="shared" si="883"/>
        <v>1</v>
      </c>
      <c r="AC453">
        <f t="shared" si="883"/>
        <v>1</v>
      </c>
      <c r="AD453">
        <f t="shared" si="6"/>
        <v>2</v>
      </c>
      <c r="AE453">
        <f t="shared" si="7"/>
        <v>1</v>
      </c>
      <c r="AF453">
        <f>if(iferror(vlookup($A453,'Description Database'!$E$2:$H$951,3,0),0)=TRUE,1,0)</f>
        <v>0</v>
      </c>
      <c r="AG453">
        <f>if(iferror(vlookup($A453,'Description Database'!$E$2:$H$951,4,0),0)=TRUE,1,0)</f>
        <v>0</v>
      </c>
    </row>
    <row r="454">
      <c r="A454" t="str">
        <f>IFERROR(__xludf.DUMMYFUNCTION("""COMPUTED_VALUE"""),"Google PIXEL XL (4 GB/32 GB)")</f>
        <v>Google PIXEL XL (4 GB/32 GB)</v>
      </c>
      <c r="B454" t="str">
        <f>IFERROR(__xludf.DUMMYFUNCTION("""COMPUTED_VALUE"""),"")</f>
        <v/>
      </c>
      <c r="C454" t="str">
        <f>IFERROR(__xludf.DUMMYFUNCTION("""COMPUTED_VALUE"""),"")</f>
        <v/>
      </c>
      <c r="D454">
        <f>IFERROR(__xludf.DUMMYFUNCTION("""COMPUTED_VALUE"""),1.0)</f>
        <v>1</v>
      </c>
      <c r="E454" t="str">
        <f>IFERROR(__xludf.DUMMYFUNCTION("""COMPUTED_VALUE"""),"")</f>
        <v/>
      </c>
      <c r="F454" t="str">
        <f>IFERROR(__xludf.DUMMYFUNCTION("""COMPUTED_VALUE"""),"")</f>
        <v/>
      </c>
      <c r="G454" t="str">
        <f>IFERROR(__xludf.DUMMYFUNCTION("""COMPUTED_VALUE"""),"")</f>
        <v/>
      </c>
      <c r="H454" t="str">
        <f>IFERROR(__xludf.DUMMYFUNCTION("""COMPUTED_VALUE"""),"")</f>
        <v/>
      </c>
      <c r="I454">
        <f>IFERROR(__xludf.DUMMYFUNCTION("""COMPUTED_VALUE"""),1.0)</f>
        <v>1</v>
      </c>
      <c r="J454">
        <f>IFERROR(__xludf.DUMMYFUNCTION("""COMPUTED_VALUE"""),2.0)</f>
        <v>2</v>
      </c>
      <c r="L454" s="250" t="str">
        <f>IFERROR(__xludf.DUMMYFUNCTION("""COMPUTED_VALUE"""),"")</f>
        <v/>
      </c>
      <c r="M454" s="250" t="str">
        <f>IFERROR(__xludf.DUMMYFUNCTION("""COMPUTED_VALUE"""),"")</f>
        <v/>
      </c>
      <c r="N454" s="250" t="str">
        <f>IFERROR(__xludf.DUMMYFUNCTION("""COMPUTED_VALUE"""),"#N/A")</f>
        <v>#N/A</v>
      </c>
      <c r="O454" s="250" t="str">
        <f>IFERROR(__xludf.DUMMYFUNCTION("""COMPUTED_VALUE"""),"")</f>
        <v/>
      </c>
      <c r="P454" s="250" t="str">
        <f>IFERROR(__xludf.DUMMYFUNCTION("""COMPUTED_VALUE"""),"")</f>
        <v/>
      </c>
      <c r="Q454" s="250" t="str">
        <f>IFERROR(__xludf.DUMMYFUNCTION("""COMPUTED_VALUE"""),"")</f>
        <v/>
      </c>
      <c r="R454" s="250" t="str">
        <f>IFERROR(__xludf.DUMMYFUNCTION("""COMPUTED_VALUE"""),"")</f>
        <v/>
      </c>
      <c r="U454" s="250" t="str">
        <f>IFERROR(__xludf.DUMMYFUNCTION("""COMPUTED_VALUE"""),"#N/A")</f>
        <v>#N/A</v>
      </c>
      <c r="V454" s="250" t="str">
        <f>IFERROR(__xludf.DUMMYFUNCTION("""COMPUTED_VALUE"""),"#N/A")</f>
        <v>#N/A</v>
      </c>
      <c r="W454" s="250" t="str">
        <f>IFERROR(__xludf.DUMMYFUNCTION("""COMPUTED_VALUE"""),"#N/A")</f>
        <v>#N/A</v>
      </c>
      <c r="X454" t="b">
        <f t="shared" ref="X454:Z454" si="884">ISBLANK(K454)</f>
        <v>1</v>
      </c>
      <c r="Y454" t="b">
        <f t="shared" si="884"/>
        <v>0</v>
      </c>
      <c r="Z454" t="b">
        <f t="shared" si="884"/>
        <v>0</v>
      </c>
      <c r="AA454">
        <f t="shared" ref="AA454:AC454" si="885">IF(X454=FALSE,1,0)</f>
        <v>0</v>
      </c>
      <c r="AB454">
        <f t="shared" si="885"/>
        <v>1</v>
      </c>
      <c r="AC454">
        <f t="shared" si="885"/>
        <v>1</v>
      </c>
      <c r="AD454">
        <f t="shared" si="6"/>
        <v>2</v>
      </c>
      <c r="AE454">
        <f t="shared" si="7"/>
        <v>1</v>
      </c>
      <c r="AF454">
        <f>if(iferror(vlookup($A454,'Description Database'!$E$2:$H$951,3,0),0)=TRUE,1,0)</f>
        <v>0</v>
      </c>
      <c r="AG454">
        <f>if(iferror(vlookup($A454,'Description Database'!$E$2:$H$951,4,0),0)=TRUE,1,0)</f>
        <v>0</v>
      </c>
    </row>
    <row r="455">
      <c r="A455" t="str">
        <f>IFERROR(__xludf.DUMMYFUNCTION("""COMPUTED_VALUE"""),"Samsung GALAXY ON7 (2 GB/16 GB)")</f>
        <v>Samsung GALAXY ON7 (2 GB/16 GB)</v>
      </c>
      <c r="B455" t="str">
        <f>IFERROR(__xludf.DUMMYFUNCTION("""COMPUTED_VALUE"""),"")</f>
        <v/>
      </c>
      <c r="C455" t="str">
        <f>IFERROR(__xludf.DUMMYFUNCTION("""COMPUTED_VALUE"""),"")</f>
        <v/>
      </c>
      <c r="D455" t="str">
        <f>IFERROR(__xludf.DUMMYFUNCTION("""COMPUTED_VALUE"""),"")</f>
        <v/>
      </c>
      <c r="E455" t="str">
        <f>IFERROR(__xludf.DUMMYFUNCTION("""COMPUTED_VALUE"""),"")</f>
        <v/>
      </c>
      <c r="F455" t="str">
        <f>IFERROR(__xludf.DUMMYFUNCTION("""COMPUTED_VALUE"""),"")</f>
        <v/>
      </c>
      <c r="G455" t="str">
        <f>IFERROR(__xludf.DUMMYFUNCTION("""COMPUTED_VALUE"""),"")</f>
        <v/>
      </c>
      <c r="H455" t="str">
        <f>IFERROR(__xludf.DUMMYFUNCTION("""COMPUTED_VALUE"""),"")</f>
        <v/>
      </c>
      <c r="I455">
        <f>IFERROR(__xludf.DUMMYFUNCTION("""COMPUTED_VALUE"""),5.0)</f>
        <v>5</v>
      </c>
      <c r="J455">
        <f>IFERROR(__xludf.DUMMYFUNCTION("""COMPUTED_VALUE"""),5.0)</f>
        <v>5</v>
      </c>
      <c r="L455" s="250" t="str">
        <f>IFERROR(__xludf.DUMMYFUNCTION("""COMPUTED_VALUE"""),"")</f>
        <v/>
      </c>
      <c r="M455" s="250" t="str">
        <f>IFERROR(__xludf.DUMMYFUNCTION("""COMPUTED_VALUE"""),"")</f>
        <v/>
      </c>
      <c r="N455" s="250" t="str">
        <f>IFERROR(__xludf.DUMMYFUNCTION("""COMPUTED_VALUE"""),"")</f>
        <v/>
      </c>
      <c r="O455" s="250" t="str">
        <f>IFERROR(__xludf.DUMMYFUNCTION("""COMPUTED_VALUE"""),"")</f>
        <v/>
      </c>
      <c r="P455" s="250" t="str">
        <f>IFERROR(__xludf.DUMMYFUNCTION("""COMPUTED_VALUE"""),"")</f>
        <v/>
      </c>
      <c r="Q455" s="250" t="str">
        <f>IFERROR(__xludf.DUMMYFUNCTION("""COMPUTED_VALUE"""),"")</f>
        <v/>
      </c>
      <c r="R455" s="250" t="str">
        <f>IFERROR(__xludf.DUMMYFUNCTION("""COMPUTED_VALUE"""),"")</f>
        <v/>
      </c>
      <c r="U455" s="250" t="str">
        <f>IFERROR(__xludf.DUMMYFUNCTION("""COMPUTED_VALUE"""),"#N/A")</f>
        <v>#N/A</v>
      </c>
      <c r="V455" s="250" t="str">
        <f>IFERROR(__xludf.DUMMYFUNCTION("""COMPUTED_VALUE"""),"#N/A")</f>
        <v>#N/A</v>
      </c>
      <c r="W455" s="250" t="str">
        <f>IFERROR(__xludf.DUMMYFUNCTION("""COMPUTED_VALUE"""),"#N/A")</f>
        <v>#N/A</v>
      </c>
      <c r="X455" t="b">
        <f t="shared" ref="X455:Z455" si="886">ISBLANK(K455)</f>
        <v>1</v>
      </c>
      <c r="Y455" t="b">
        <f t="shared" si="886"/>
        <v>0</v>
      </c>
      <c r="Z455" t="b">
        <f t="shared" si="886"/>
        <v>0</v>
      </c>
      <c r="AA455">
        <f t="shared" ref="AA455:AC455" si="887">IF(X455=FALSE,1,0)</f>
        <v>0</v>
      </c>
      <c r="AB455">
        <f t="shared" si="887"/>
        <v>1</v>
      </c>
      <c r="AC455">
        <f t="shared" si="887"/>
        <v>1</v>
      </c>
      <c r="AD455">
        <f t="shared" si="6"/>
        <v>2</v>
      </c>
      <c r="AE455">
        <f t="shared" si="7"/>
        <v>1</v>
      </c>
      <c r="AF455">
        <f>if(iferror(vlookup($A455,'Description Database'!$E$2:$H$951,3,0),0)=TRUE,1,0)</f>
        <v>0</v>
      </c>
      <c r="AG455">
        <f>if(iferror(vlookup($A455,'Description Database'!$E$2:$H$951,4,0),0)=TRUE,1,0)</f>
        <v>0</v>
      </c>
    </row>
    <row r="456">
      <c r="A456" t="str">
        <f>IFERROR(__xludf.DUMMYFUNCTION("""COMPUTED_VALUE"""),"Xiaomi REDMI 3S PRIME (2 GB /16 GB)")</f>
        <v>Xiaomi REDMI 3S PRIME (2 GB /16 GB)</v>
      </c>
      <c r="B456" t="str">
        <f>IFERROR(__xludf.DUMMYFUNCTION("""COMPUTED_VALUE"""),"")</f>
        <v/>
      </c>
      <c r="C456" t="str">
        <f>IFERROR(__xludf.DUMMYFUNCTION("""COMPUTED_VALUE"""),"")</f>
        <v/>
      </c>
      <c r="D456" t="str">
        <f>IFERROR(__xludf.DUMMYFUNCTION("""COMPUTED_VALUE"""),"")</f>
        <v/>
      </c>
      <c r="E456" t="str">
        <f>IFERROR(__xludf.DUMMYFUNCTION("""COMPUTED_VALUE"""),"")</f>
        <v/>
      </c>
      <c r="F456" t="str">
        <f>IFERROR(__xludf.DUMMYFUNCTION("""COMPUTED_VALUE"""),"")</f>
        <v/>
      </c>
      <c r="G456" t="str">
        <f>IFERROR(__xludf.DUMMYFUNCTION("""COMPUTED_VALUE"""),"")</f>
        <v/>
      </c>
      <c r="H456" t="str">
        <f>IFERROR(__xludf.DUMMYFUNCTION("""COMPUTED_VALUE"""),"")</f>
        <v/>
      </c>
      <c r="I456" t="str">
        <f>IFERROR(__xludf.DUMMYFUNCTION("""COMPUTED_VALUE"""),"")</f>
        <v/>
      </c>
      <c r="J456">
        <f>IFERROR(__xludf.DUMMYFUNCTION("""COMPUTED_VALUE"""),0.0)</f>
        <v>0</v>
      </c>
      <c r="L456" s="250" t="str">
        <f>IFERROR(__xludf.DUMMYFUNCTION("""COMPUTED_VALUE"""),"")</f>
        <v/>
      </c>
      <c r="M456" s="250" t="str">
        <f>IFERROR(__xludf.DUMMYFUNCTION("""COMPUTED_VALUE"""),"")</f>
        <v/>
      </c>
      <c r="N456" s="250" t="str">
        <f>IFERROR(__xludf.DUMMYFUNCTION("""COMPUTED_VALUE"""),"")</f>
        <v/>
      </c>
      <c r="O456" s="250" t="str">
        <f>IFERROR(__xludf.DUMMYFUNCTION("""COMPUTED_VALUE"""),"")</f>
        <v/>
      </c>
      <c r="P456" s="250" t="str">
        <f>IFERROR(__xludf.DUMMYFUNCTION("""COMPUTED_VALUE"""),"")</f>
        <v/>
      </c>
      <c r="Q456" s="250" t="str">
        <f>IFERROR(__xludf.DUMMYFUNCTION("""COMPUTED_VALUE"""),"")</f>
        <v/>
      </c>
      <c r="R456" s="250" t="str">
        <f>IFERROR(__xludf.DUMMYFUNCTION("""COMPUTED_VALUE"""),"")</f>
        <v/>
      </c>
      <c r="U456" s="250" t="str">
        <f>IFERROR(__xludf.DUMMYFUNCTION("""COMPUTED_VALUE"""),"#N/A")</f>
        <v>#N/A</v>
      </c>
      <c r="V456" s="250" t="str">
        <f>IFERROR(__xludf.DUMMYFUNCTION("""COMPUTED_VALUE"""),"#N/A")</f>
        <v>#N/A</v>
      </c>
      <c r="W456" s="250" t="str">
        <f>IFERROR(__xludf.DUMMYFUNCTION("""COMPUTED_VALUE"""),"#N/A")</f>
        <v>#N/A</v>
      </c>
      <c r="X456" t="b">
        <f t="shared" ref="X456:Z456" si="888">ISBLANK(K456)</f>
        <v>1</v>
      </c>
      <c r="Y456" t="b">
        <f t="shared" si="888"/>
        <v>0</v>
      </c>
      <c r="Z456" t="b">
        <f t="shared" si="888"/>
        <v>0</v>
      </c>
      <c r="AA456">
        <f t="shared" ref="AA456:AC456" si="889">IF(X456=FALSE,1,0)</f>
        <v>0</v>
      </c>
      <c r="AB456">
        <f t="shared" si="889"/>
        <v>1</v>
      </c>
      <c r="AC456">
        <f t="shared" si="889"/>
        <v>1</v>
      </c>
      <c r="AD456">
        <f t="shared" si="6"/>
        <v>2</v>
      </c>
      <c r="AE456">
        <f t="shared" si="7"/>
        <v>1</v>
      </c>
      <c r="AF456">
        <f>if(iferror(vlookup($A456,'Description Database'!$E$2:$H$951,3,0),0)=TRUE,1,0)</f>
        <v>0</v>
      </c>
      <c r="AG456">
        <f>if(iferror(vlookup($A456,'Description Database'!$E$2:$H$951,4,0),0)=TRUE,1,0)</f>
        <v>0</v>
      </c>
    </row>
    <row r="457">
      <c r="A457" t="str">
        <f>IFERROR(__xludf.DUMMYFUNCTION("""COMPUTED_VALUE"""),"Samsung GALAXY J7 PRIME (3 GB/64 GB)")</f>
        <v>Samsung GALAXY J7 PRIME (3 GB/64 GB)</v>
      </c>
      <c r="B457" t="str">
        <f>IFERROR(__xludf.DUMMYFUNCTION("""COMPUTED_VALUE"""),"")</f>
        <v/>
      </c>
      <c r="C457" t="str">
        <f>IFERROR(__xludf.DUMMYFUNCTION("""COMPUTED_VALUE"""),"")</f>
        <v/>
      </c>
      <c r="D457" t="str">
        <f>IFERROR(__xludf.DUMMYFUNCTION("""COMPUTED_VALUE"""),"")</f>
        <v/>
      </c>
      <c r="E457" t="str">
        <f>IFERROR(__xludf.DUMMYFUNCTION("""COMPUTED_VALUE"""),"")</f>
        <v/>
      </c>
      <c r="F457" t="str">
        <f>IFERROR(__xludf.DUMMYFUNCTION("""COMPUTED_VALUE"""),"")</f>
        <v/>
      </c>
      <c r="G457" t="str">
        <f>IFERROR(__xludf.DUMMYFUNCTION("""COMPUTED_VALUE"""),"")</f>
        <v/>
      </c>
      <c r="H457" t="str">
        <f>IFERROR(__xludf.DUMMYFUNCTION("""COMPUTED_VALUE"""),"")</f>
        <v/>
      </c>
      <c r="I457">
        <f>IFERROR(__xludf.DUMMYFUNCTION("""COMPUTED_VALUE"""),1.0)</f>
        <v>1</v>
      </c>
      <c r="J457">
        <f>IFERROR(__xludf.DUMMYFUNCTION("""COMPUTED_VALUE"""),1.0)</f>
        <v>1</v>
      </c>
      <c r="L457" s="250" t="str">
        <f>IFERROR(__xludf.DUMMYFUNCTION("""COMPUTED_VALUE"""),"")</f>
        <v/>
      </c>
      <c r="M457" s="250" t="str">
        <f>IFERROR(__xludf.DUMMYFUNCTION("""COMPUTED_VALUE"""),"")</f>
        <v/>
      </c>
      <c r="N457" s="250" t="str">
        <f>IFERROR(__xludf.DUMMYFUNCTION("""COMPUTED_VALUE"""),"")</f>
        <v/>
      </c>
      <c r="O457" s="250" t="str">
        <f>IFERROR(__xludf.DUMMYFUNCTION("""COMPUTED_VALUE"""),"")</f>
        <v/>
      </c>
      <c r="P457" s="250" t="str">
        <f>IFERROR(__xludf.DUMMYFUNCTION("""COMPUTED_VALUE"""),"")</f>
        <v/>
      </c>
      <c r="Q457" s="250" t="str">
        <f>IFERROR(__xludf.DUMMYFUNCTION("""COMPUTED_VALUE"""),"")</f>
        <v/>
      </c>
      <c r="R457" s="250" t="str">
        <f>IFERROR(__xludf.DUMMYFUNCTION("""COMPUTED_VALUE"""),"")</f>
        <v/>
      </c>
      <c r="U457" s="250" t="str">
        <f>IFERROR(__xludf.DUMMYFUNCTION("""COMPUTED_VALUE"""),"#N/A")</f>
        <v>#N/A</v>
      </c>
      <c r="V457" s="250" t="str">
        <f>IFERROR(__xludf.DUMMYFUNCTION("""COMPUTED_VALUE"""),"#N/A")</f>
        <v>#N/A</v>
      </c>
      <c r="W457" s="250" t="str">
        <f>IFERROR(__xludf.DUMMYFUNCTION("""COMPUTED_VALUE"""),"#N/A")</f>
        <v>#N/A</v>
      </c>
      <c r="X457" t="b">
        <f t="shared" ref="X457:Z457" si="890">ISBLANK(K457)</f>
        <v>1</v>
      </c>
      <c r="Y457" t="b">
        <f t="shared" si="890"/>
        <v>0</v>
      </c>
      <c r="Z457" t="b">
        <f t="shared" si="890"/>
        <v>0</v>
      </c>
      <c r="AA457">
        <f t="shared" ref="AA457:AC457" si="891">IF(X457=FALSE,1,0)</f>
        <v>0</v>
      </c>
      <c r="AB457">
        <f t="shared" si="891"/>
        <v>1</v>
      </c>
      <c r="AC457">
        <f t="shared" si="891"/>
        <v>1</v>
      </c>
      <c r="AD457">
        <f t="shared" si="6"/>
        <v>2</v>
      </c>
      <c r="AE457">
        <f t="shared" si="7"/>
        <v>1</v>
      </c>
      <c r="AF457">
        <f>if(iferror(vlookup($A457,'Description Database'!$E$2:$H$951,3,0),0)=TRUE,1,0)</f>
        <v>0</v>
      </c>
      <c r="AG457">
        <f>if(iferror(vlookup($A457,'Description Database'!$E$2:$H$951,4,0),0)=TRUE,1,0)</f>
        <v>0</v>
      </c>
    </row>
    <row r="458">
      <c r="A458" t="str">
        <f>IFERROR(__xludf.DUMMYFUNCTION("""COMPUTED_VALUE"""),"Vivo Y95 (3 GB/32 GB)")</f>
        <v>Vivo Y95 (3 GB/32 GB)</v>
      </c>
      <c r="B458" t="str">
        <f>IFERROR(__xludf.DUMMYFUNCTION("""COMPUTED_VALUE"""),"")</f>
        <v/>
      </c>
      <c r="C458" t="str">
        <f>IFERROR(__xludf.DUMMYFUNCTION("""COMPUTED_VALUE"""),"")</f>
        <v/>
      </c>
      <c r="D458" t="str">
        <f>IFERROR(__xludf.DUMMYFUNCTION("""COMPUTED_VALUE"""),"")</f>
        <v/>
      </c>
      <c r="E458" t="str">
        <f>IFERROR(__xludf.DUMMYFUNCTION("""COMPUTED_VALUE"""),"")</f>
        <v/>
      </c>
      <c r="F458" t="str">
        <f>IFERROR(__xludf.DUMMYFUNCTION("""COMPUTED_VALUE"""),"")</f>
        <v/>
      </c>
      <c r="G458" t="str">
        <f>IFERROR(__xludf.DUMMYFUNCTION("""COMPUTED_VALUE"""),"")</f>
        <v/>
      </c>
      <c r="H458" t="str">
        <f>IFERROR(__xludf.DUMMYFUNCTION("""COMPUTED_VALUE"""),"")</f>
        <v/>
      </c>
      <c r="I458" t="str">
        <f>IFERROR(__xludf.DUMMYFUNCTION("""COMPUTED_VALUE"""),"")</f>
        <v/>
      </c>
      <c r="J458">
        <f>IFERROR(__xludf.DUMMYFUNCTION("""COMPUTED_VALUE"""),0.0)</f>
        <v>0</v>
      </c>
      <c r="L458" s="250" t="str">
        <f>IFERROR(__xludf.DUMMYFUNCTION("""COMPUTED_VALUE"""),"")</f>
        <v/>
      </c>
      <c r="M458" s="250" t="str">
        <f>IFERROR(__xludf.DUMMYFUNCTION("""COMPUTED_VALUE"""),"")</f>
        <v/>
      </c>
      <c r="N458" s="250" t="str">
        <f>IFERROR(__xludf.DUMMYFUNCTION("""COMPUTED_VALUE"""),"")</f>
        <v/>
      </c>
      <c r="O458" s="250" t="str">
        <f>IFERROR(__xludf.DUMMYFUNCTION("""COMPUTED_VALUE"""),"")</f>
        <v/>
      </c>
      <c r="P458" s="250" t="str">
        <f>IFERROR(__xludf.DUMMYFUNCTION("""COMPUTED_VALUE"""),"")</f>
        <v/>
      </c>
      <c r="Q458" s="250" t="str">
        <f>IFERROR(__xludf.DUMMYFUNCTION("""COMPUTED_VALUE"""),"")</f>
        <v/>
      </c>
      <c r="R458" s="250" t="str">
        <f>IFERROR(__xludf.DUMMYFUNCTION("""COMPUTED_VALUE"""),"")</f>
        <v/>
      </c>
      <c r="U458" s="250" t="str">
        <f>IFERROR(__xludf.DUMMYFUNCTION("""COMPUTED_VALUE"""),"#N/A")</f>
        <v>#N/A</v>
      </c>
      <c r="V458" s="250" t="str">
        <f>IFERROR(__xludf.DUMMYFUNCTION("""COMPUTED_VALUE"""),"#N/A")</f>
        <v>#N/A</v>
      </c>
      <c r="W458" s="250" t="str">
        <f>IFERROR(__xludf.DUMMYFUNCTION("""COMPUTED_VALUE"""),"#N/A")</f>
        <v>#N/A</v>
      </c>
      <c r="X458" t="b">
        <f t="shared" ref="X458:Z458" si="892">ISBLANK(K458)</f>
        <v>1</v>
      </c>
      <c r="Y458" t="b">
        <f t="shared" si="892"/>
        <v>0</v>
      </c>
      <c r="Z458" t="b">
        <f t="shared" si="892"/>
        <v>0</v>
      </c>
      <c r="AA458">
        <f t="shared" ref="AA458:AC458" si="893">IF(X458=FALSE,1,0)</f>
        <v>0</v>
      </c>
      <c r="AB458">
        <f t="shared" si="893"/>
        <v>1</v>
      </c>
      <c r="AC458">
        <f t="shared" si="893"/>
        <v>1</v>
      </c>
      <c r="AD458">
        <f t="shared" si="6"/>
        <v>2</v>
      </c>
      <c r="AE458">
        <f t="shared" si="7"/>
        <v>1</v>
      </c>
      <c r="AF458">
        <f>if(iferror(vlookup($A458,'Description Database'!$E$2:$H$951,3,0),0)=TRUE,1,0)</f>
        <v>0</v>
      </c>
      <c r="AG458">
        <f>if(iferror(vlookup($A458,'Description Database'!$E$2:$H$951,4,0),0)=TRUE,1,0)</f>
        <v>0</v>
      </c>
    </row>
    <row r="459">
      <c r="A459" t="str">
        <f>IFERROR(__xludf.DUMMYFUNCTION("""COMPUTED_VALUE"""),"Samsung GALAXY A8 DUOS (2 GB/32 GB)")</f>
        <v>Samsung GALAXY A8 DUOS (2 GB/32 GB)</v>
      </c>
      <c r="B459" t="str">
        <f>IFERROR(__xludf.DUMMYFUNCTION("""COMPUTED_VALUE"""),"")</f>
        <v/>
      </c>
      <c r="C459" t="str">
        <f>IFERROR(__xludf.DUMMYFUNCTION("""COMPUTED_VALUE"""),"")</f>
        <v/>
      </c>
      <c r="D459" t="str">
        <f>IFERROR(__xludf.DUMMYFUNCTION("""COMPUTED_VALUE"""),"")</f>
        <v/>
      </c>
      <c r="E459" t="str">
        <f>IFERROR(__xludf.DUMMYFUNCTION("""COMPUTED_VALUE"""),"")</f>
        <v/>
      </c>
      <c r="F459" t="str">
        <f>IFERROR(__xludf.DUMMYFUNCTION("""COMPUTED_VALUE"""),"")</f>
        <v/>
      </c>
      <c r="G459" t="str">
        <f>IFERROR(__xludf.DUMMYFUNCTION("""COMPUTED_VALUE"""),"")</f>
        <v/>
      </c>
      <c r="H459" t="str">
        <f>IFERROR(__xludf.DUMMYFUNCTION("""COMPUTED_VALUE"""),"")</f>
        <v/>
      </c>
      <c r="I459" t="str">
        <f>IFERROR(__xludf.DUMMYFUNCTION("""COMPUTED_VALUE"""),"")</f>
        <v/>
      </c>
      <c r="J459">
        <f>IFERROR(__xludf.DUMMYFUNCTION("""COMPUTED_VALUE"""),0.0)</f>
        <v>0</v>
      </c>
      <c r="L459" s="250" t="str">
        <f>IFERROR(__xludf.DUMMYFUNCTION("""COMPUTED_VALUE"""),"")</f>
        <v/>
      </c>
      <c r="M459" s="250" t="str">
        <f>IFERROR(__xludf.DUMMYFUNCTION("""COMPUTED_VALUE"""),"")</f>
        <v/>
      </c>
      <c r="N459" s="250" t="str">
        <f>IFERROR(__xludf.DUMMYFUNCTION("""COMPUTED_VALUE"""),"")</f>
        <v/>
      </c>
      <c r="O459" s="250" t="str">
        <f>IFERROR(__xludf.DUMMYFUNCTION("""COMPUTED_VALUE"""),"")</f>
        <v/>
      </c>
      <c r="P459" s="250" t="str">
        <f>IFERROR(__xludf.DUMMYFUNCTION("""COMPUTED_VALUE"""),"")</f>
        <v/>
      </c>
      <c r="Q459" s="250" t="str">
        <f>IFERROR(__xludf.DUMMYFUNCTION("""COMPUTED_VALUE"""),"")</f>
        <v/>
      </c>
      <c r="R459" s="250" t="str">
        <f>IFERROR(__xludf.DUMMYFUNCTION("""COMPUTED_VALUE"""),"")</f>
        <v/>
      </c>
      <c r="U459" s="250" t="str">
        <f>IFERROR(__xludf.DUMMYFUNCTION("""COMPUTED_VALUE"""),"#N/A")</f>
        <v>#N/A</v>
      </c>
      <c r="V459" s="250" t="str">
        <f>IFERROR(__xludf.DUMMYFUNCTION("""COMPUTED_VALUE"""),"#N/A")</f>
        <v>#N/A</v>
      </c>
      <c r="W459" s="250" t="str">
        <f>IFERROR(__xludf.DUMMYFUNCTION("""COMPUTED_VALUE"""),"#N/A")</f>
        <v>#N/A</v>
      </c>
      <c r="X459" t="b">
        <f t="shared" ref="X459:Z459" si="894">ISBLANK(K459)</f>
        <v>1</v>
      </c>
      <c r="Y459" t="b">
        <f t="shared" si="894"/>
        <v>0</v>
      </c>
      <c r="Z459" t="b">
        <f t="shared" si="894"/>
        <v>0</v>
      </c>
      <c r="AA459">
        <f t="shared" ref="AA459:AC459" si="895">IF(X459=FALSE,1,0)</f>
        <v>0</v>
      </c>
      <c r="AB459">
        <f t="shared" si="895"/>
        <v>1</v>
      </c>
      <c r="AC459">
        <f t="shared" si="895"/>
        <v>1</v>
      </c>
      <c r="AD459">
        <f t="shared" si="6"/>
        <v>2</v>
      </c>
      <c r="AE459">
        <f t="shared" si="7"/>
        <v>1</v>
      </c>
      <c r="AF459">
        <f>if(iferror(vlookup($A459,'Description Database'!$E$2:$H$951,3,0),0)=TRUE,1,0)</f>
        <v>0</v>
      </c>
      <c r="AG459">
        <f>if(iferror(vlookup($A459,'Description Database'!$E$2:$H$951,4,0),0)=TRUE,1,0)</f>
        <v>0</v>
      </c>
    </row>
    <row r="460">
      <c r="A460" t="str">
        <f>IFERROR(__xludf.DUMMYFUNCTION("""COMPUTED_VALUE"""),"Motorola MOTO G4 PLUS(2 GB/32 GB)")</f>
        <v>Motorola MOTO G4 PLUS(2 GB/32 GB)</v>
      </c>
      <c r="B460" t="str">
        <f>IFERROR(__xludf.DUMMYFUNCTION("""COMPUTED_VALUE"""),"")</f>
        <v/>
      </c>
      <c r="C460" t="str">
        <f>IFERROR(__xludf.DUMMYFUNCTION("""COMPUTED_VALUE"""),"")</f>
        <v/>
      </c>
      <c r="D460" t="str">
        <f>IFERROR(__xludf.DUMMYFUNCTION("""COMPUTED_VALUE"""),"")</f>
        <v/>
      </c>
      <c r="E460" t="str">
        <f>IFERROR(__xludf.DUMMYFUNCTION("""COMPUTED_VALUE"""),"")</f>
        <v/>
      </c>
      <c r="F460" t="str">
        <f>IFERROR(__xludf.DUMMYFUNCTION("""COMPUTED_VALUE"""),"")</f>
        <v/>
      </c>
      <c r="G460" t="str">
        <f>IFERROR(__xludf.DUMMYFUNCTION("""COMPUTED_VALUE"""),"")</f>
        <v/>
      </c>
      <c r="H460" t="str">
        <f>IFERROR(__xludf.DUMMYFUNCTION("""COMPUTED_VALUE"""),"")</f>
        <v/>
      </c>
      <c r="I460" t="str">
        <f>IFERROR(__xludf.DUMMYFUNCTION("""COMPUTED_VALUE"""),"")</f>
        <v/>
      </c>
      <c r="J460">
        <f>IFERROR(__xludf.DUMMYFUNCTION("""COMPUTED_VALUE"""),0.0)</f>
        <v>0</v>
      </c>
      <c r="L460" s="250" t="str">
        <f>IFERROR(__xludf.DUMMYFUNCTION("""COMPUTED_VALUE"""),"")</f>
        <v/>
      </c>
      <c r="M460" s="250" t="str">
        <f>IFERROR(__xludf.DUMMYFUNCTION("""COMPUTED_VALUE"""),"")</f>
        <v/>
      </c>
      <c r="N460" s="250" t="str">
        <f>IFERROR(__xludf.DUMMYFUNCTION("""COMPUTED_VALUE"""),"")</f>
        <v/>
      </c>
      <c r="O460" s="250" t="str">
        <f>IFERROR(__xludf.DUMMYFUNCTION("""COMPUTED_VALUE"""),"")</f>
        <v/>
      </c>
      <c r="P460" s="250" t="str">
        <f>IFERROR(__xludf.DUMMYFUNCTION("""COMPUTED_VALUE"""),"")</f>
        <v/>
      </c>
      <c r="Q460" s="250" t="str">
        <f>IFERROR(__xludf.DUMMYFUNCTION("""COMPUTED_VALUE"""),"")</f>
        <v/>
      </c>
      <c r="R460" s="250" t="str">
        <f>IFERROR(__xludf.DUMMYFUNCTION("""COMPUTED_VALUE"""),"")</f>
        <v/>
      </c>
      <c r="U460" s="250" t="str">
        <f>IFERROR(__xludf.DUMMYFUNCTION("""COMPUTED_VALUE"""),"#N/A")</f>
        <v>#N/A</v>
      </c>
      <c r="V460" s="250" t="str">
        <f>IFERROR(__xludf.DUMMYFUNCTION("""COMPUTED_VALUE"""),"#N/A")</f>
        <v>#N/A</v>
      </c>
      <c r="W460" s="250" t="str">
        <f>IFERROR(__xludf.DUMMYFUNCTION("""COMPUTED_VALUE"""),"#N/A")</f>
        <v>#N/A</v>
      </c>
      <c r="X460" t="b">
        <f t="shared" ref="X460:Z460" si="896">ISBLANK(K460)</f>
        <v>1</v>
      </c>
      <c r="Y460" t="b">
        <f t="shared" si="896"/>
        <v>0</v>
      </c>
      <c r="Z460" t="b">
        <f t="shared" si="896"/>
        <v>0</v>
      </c>
      <c r="AA460">
        <f t="shared" ref="AA460:AC460" si="897">IF(X460=FALSE,1,0)</f>
        <v>0</v>
      </c>
      <c r="AB460">
        <f t="shared" si="897"/>
        <v>1</v>
      </c>
      <c r="AC460">
        <f t="shared" si="897"/>
        <v>1</v>
      </c>
      <c r="AD460">
        <f t="shared" si="6"/>
        <v>2</v>
      </c>
      <c r="AE460">
        <f t="shared" si="7"/>
        <v>1</v>
      </c>
      <c r="AF460">
        <f>if(iferror(vlookup($A460,'Description Database'!$E$2:$H$951,3,0),0)=TRUE,1,0)</f>
        <v>0</v>
      </c>
      <c r="AG460">
        <f>if(iferror(vlookup($A460,'Description Database'!$E$2:$H$951,4,0),0)=TRUE,1,0)</f>
        <v>0</v>
      </c>
    </row>
    <row r="461">
      <c r="A461" t="str">
        <f>IFERROR(__xludf.DUMMYFUNCTION("""COMPUTED_VALUE"""),"Nokia 6.1 (3 GB/32 GB)")</f>
        <v>Nokia 6.1 (3 GB/32 GB)</v>
      </c>
      <c r="B461" t="str">
        <f>IFERROR(__xludf.DUMMYFUNCTION("""COMPUTED_VALUE"""),"")</f>
        <v/>
      </c>
      <c r="C461" t="str">
        <f>IFERROR(__xludf.DUMMYFUNCTION("""COMPUTED_VALUE"""),"")</f>
        <v/>
      </c>
      <c r="D461" t="str">
        <f>IFERROR(__xludf.DUMMYFUNCTION("""COMPUTED_VALUE"""),"")</f>
        <v/>
      </c>
      <c r="E461" t="str">
        <f>IFERROR(__xludf.DUMMYFUNCTION("""COMPUTED_VALUE"""),"")</f>
        <v/>
      </c>
      <c r="F461" t="str">
        <f>IFERROR(__xludf.DUMMYFUNCTION("""COMPUTED_VALUE"""),"")</f>
        <v/>
      </c>
      <c r="G461" t="str">
        <f>IFERROR(__xludf.DUMMYFUNCTION("""COMPUTED_VALUE"""),"")</f>
        <v/>
      </c>
      <c r="H461" t="str">
        <f>IFERROR(__xludf.DUMMYFUNCTION("""COMPUTED_VALUE"""),"")</f>
        <v/>
      </c>
      <c r="I461">
        <f>IFERROR(__xludf.DUMMYFUNCTION("""COMPUTED_VALUE"""),11.0)</f>
        <v>11</v>
      </c>
      <c r="J461">
        <f>IFERROR(__xludf.DUMMYFUNCTION("""COMPUTED_VALUE"""),11.0)</f>
        <v>11</v>
      </c>
      <c r="L461" s="250" t="str">
        <f>IFERROR(__xludf.DUMMYFUNCTION("""COMPUTED_VALUE"""),"")</f>
        <v/>
      </c>
      <c r="M461" s="250" t="str">
        <f>IFERROR(__xludf.DUMMYFUNCTION("""COMPUTED_VALUE"""),"")</f>
        <v/>
      </c>
      <c r="N461" s="250" t="str">
        <f>IFERROR(__xludf.DUMMYFUNCTION("""COMPUTED_VALUE"""),"")</f>
        <v/>
      </c>
      <c r="O461" s="250" t="str">
        <f>IFERROR(__xludf.DUMMYFUNCTION("""COMPUTED_VALUE"""),"")</f>
        <v/>
      </c>
      <c r="P461" s="250" t="str">
        <f>IFERROR(__xludf.DUMMYFUNCTION("""COMPUTED_VALUE"""),"")</f>
        <v/>
      </c>
      <c r="Q461" s="250" t="str">
        <f>IFERROR(__xludf.DUMMYFUNCTION("""COMPUTED_VALUE"""),"")</f>
        <v/>
      </c>
      <c r="R461" s="250" t="str">
        <f>IFERROR(__xludf.DUMMYFUNCTION("""COMPUTED_VALUE"""),"")</f>
        <v/>
      </c>
      <c r="U461" s="250">
        <f>IFERROR(__xludf.DUMMYFUNCTION("""COMPUTED_VALUE"""),4479.0)</f>
        <v>4479</v>
      </c>
      <c r="V461" s="250">
        <f>IFERROR(__xludf.DUMMYFUNCTION("""COMPUTED_VALUE"""),4259.0)</f>
        <v>4259</v>
      </c>
      <c r="W461" s="250">
        <f>IFERROR(__xludf.DUMMYFUNCTION("""COMPUTED_VALUE"""),3839.0)</f>
        <v>3839</v>
      </c>
      <c r="X461" t="b">
        <f t="shared" ref="X461:Z461" si="898">ISBLANK(K461)</f>
        <v>1</v>
      </c>
      <c r="Y461" t="b">
        <f t="shared" si="898"/>
        <v>0</v>
      </c>
      <c r="Z461" t="b">
        <f t="shared" si="898"/>
        <v>0</v>
      </c>
      <c r="AA461">
        <f t="shared" ref="AA461:AC461" si="899">IF(X461=FALSE,1,0)</f>
        <v>0</v>
      </c>
      <c r="AB461">
        <f t="shared" si="899"/>
        <v>1</v>
      </c>
      <c r="AC461">
        <f t="shared" si="899"/>
        <v>1</v>
      </c>
      <c r="AD461">
        <f t="shared" si="6"/>
        <v>2</v>
      </c>
      <c r="AE461">
        <f t="shared" si="7"/>
        <v>1</v>
      </c>
      <c r="AF461">
        <f>if(iferror(vlookup($A461,'Description Database'!$E$2:$H$951,3,0),0)=TRUE,1,0)</f>
        <v>0</v>
      </c>
      <c r="AG461">
        <f>if(iferror(vlookup($A461,'Description Database'!$E$2:$H$951,4,0),0)=TRUE,1,0)</f>
        <v>1</v>
      </c>
    </row>
    <row r="462">
      <c r="A462" t="str">
        <f>IFERROR(__xludf.DUMMYFUNCTION("""COMPUTED_VALUE"""),"Motorola MOTO G5S+ (4 GB/16 GB)")</f>
        <v>Motorola MOTO G5S+ (4 GB/16 GB)</v>
      </c>
      <c r="B462" t="str">
        <f>IFERROR(__xludf.DUMMYFUNCTION("""COMPUTED_VALUE"""),"")</f>
        <v/>
      </c>
      <c r="C462" t="str">
        <f>IFERROR(__xludf.DUMMYFUNCTION("""COMPUTED_VALUE"""),"")</f>
        <v/>
      </c>
      <c r="D462" t="str">
        <f>IFERROR(__xludf.DUMMYFUNCTION("""COMPUTED_VALUE"""),"")</f>
        <v/>
      </c>
      <c r="E462" t="str">
        <f>IFERROR(__xludf.DUMMYFUNCTION("""COMPUTED_VALUE"""),"")</f>
        <v/>
      </c>
      <c r="F462" t="str">
        <f>IFERROR(__xludf.DUMMYFUNCTION("""COMPUTED_VALUE"""),"")</f>
        <v/>
      </c>
      <c r="G462" t="str">
        <f>IFERROR(__xludf.DUMMYFUNCTION("""COMPUTED_VALUE"""),"")</f>
        <v/>
      </c>
      <c r="H462" t="str">
        <f>IFERROR(__xludf.DUMMYFUNCTION("""COMPUTED_VALUE"""),"")</f>
        <v/>
      </c>
      <c r="I462" t="str">
        <f>IFERROR(__xludf.DUMMYFUNCTION("""COMPUTED_VALUE"""),"")</f>
        <v/>
      </c>
      <c r="J462">
        <f>IFERROR(__xludf.DUMMYFUNCTION("""COMPUTED_VALUE"""),0.0)</f>
        <v>0</v>
      </c>
      <c r="L462" s="250" t="str">
        <f>IFERROR(__xludf.DUMMYFUNCTION("""COMPUTED_VALUE"""),"")</f>
        <v/>
      </c>
      <c r="M462" s="250" t="str">
        <f>IFERROR(__xludf.DUMMYFUNCTION("""COMPUTED_VALUE"""),"")</f>
        <v/>
      </c>
      <c r="N462" s="250" t="str">
        <f>IFERROR(__xludf.DUMMYFUNCTION("""COMPUTED_VALUE"""),"")</f>
        <v/>
      </c>
      <c r="O462" s="250" t="str">
        <f>IFERROR(__xludf.DUMMYFUNCTION("""COMPUTED_VALUE"""),"")</f>
        <v/>
      </c>
      <c r="P462" s="250" t="str">
        <f>IFERROR(__xludf.DUMMYFUNCTION("""COMPUTED_VALUE"""),"")</f>
        <v/>
      </c>
      <c r="Q462" s="250" t="str">
        <f>IFERROR(__xludf.DUMMYFUNCTION("""COMPUTED_VALUE"""),"")</f>
        <v/>
      </c>
      <c r="R462" s="250" t="str">
        <f>IFERROR(__xludf.DUMMYFUNCTION("""COMPUTED_VALUE"""),"")</f>
        <v/>
      </c>
      <c r="U462" s="250" t="str">
        <f>IFERROR(__xludf.DUMMYFUNCTION("""COMPUTED_VALUE"""),"#N/A")</f>
        <v>#N/A</v>
      </c>
      <c r="V462" s="250" t="str">
        <f>IFERROR(__xludf.DUMMYFUNCTION("""COMPUTED_VALUE"""),"#N/A")</f>
        <v>#N/A</v>
      </c>
      <c r="W462" s="250" t="str">
        <f>IFERROR(__xludf.DUMMYFUNCTION("""COMPUTED_VALUE"""),"#N/A")</f>
        <v>#N/A</v>
      </c>
      <c r="X462" t="b">
        <f t="shared" ref="X462:Z462" si="900">ISBLANK(K462)</f>
        <v>1</v>
      </c>
      <c r="Y462" t="b">
        <f t="shared" si="900"/>
        <v>0</v>
      </c>
      <c r="Z462" t="b">
        <f t="shared" si="900"/>
        <v>0</v>
      </c>
      <c r="AA462">
        <f t="shared" ref="AA462:AC462" si="901">IF(X462=FALSE,1,0)</f>
        <v>0</v>
      </c>
      <c r="AB462">
        <f t="shared" si="901"/>
        <v>1</v>
      </c>
      <c r="AC462">
        <f t="shared" si="901"/>
        <v>1</v>
      </c>
      <c r="AD462">
        <f t="shared" si="6"/>
        <v>2</v>
      </c>
      <c r="AE462">
        <f t="shared" si="7"/>
        <v>1</v>
      </c>
      <c r="AF462">
        <f>if(iferror(vlookup($A462,'Description Database'!$E$2:$H$951,3,0),0)=TRUE,1,0)</f>
        <v>0</v>
      </c>
      <c r="AG462">
        <f>if(iferror(vlookup($A462,'Description Database'!$E$2:$H$951,4,0),0)=TRUE,1,0)</f>
        <v>0</v>
      </c>
    </row>
    <row r="463">
      <c r="A463" t="str">
        <f>IFERROR(__xludf.DUMMYFUNCTION("""COMPUTED_VALUE"""),"Oppo F3 (3 GB/32 GB)")</f>
        <v>Oppo F3 (3 GB/32 GB)</v>
      </c>
      <c r="B463" t="str">
        <f>IFERROR(__xludf.DUMMYFUNCTION("""COMPUTED_VALUE"""),"")</f>
        <v/>
      </c>
      <c r="C463" t="str">
        <f>IFERROR(__xludf.DUMMYFUNCTION("""COMPUTED_VALUE"""),"")</f>
        <v/>
      </c>
      <c r="D463" t="str">
        <f>IFERROR(__xludf.DUMMYFUNCTION("""COMPUTED_VALUE"""),"")</f>
        <v/>
      </c>
      <c r="E463" t="str">
        <f>IFERROR(__xludf.DUMMYFUNCTION("""COMPUTED_VALUE"""),"")</f>
        <v/>
      </c>
      <c r="F463" t="str">
        <f>IFERROR(__xludf.DUMMYFUNCTION("""COMPUTED_VALUE"""),"")</f>
        <v/>
      </c>
      <c r="G463" t="str">
        <f>IFERROR(__xludf.DUMMYFUNCTION("""COMPUTED_VALUE"""),"")</f>
        <v/>
      </c>
      <c r="H463" t="str">
        <f>IFERROR(__xludf.DUMMYFUNCTION("""COMPUTED_VALUE"""),"")</f>
        <v/>
      </c>
      <c r="I463">
        <f>IFERROR(__xludf.DUMMYFUNCTION("""COMPUTED_VALUE"""),1.0)</f>
        <v>1</v>
      </c>
      <c r="J463">
        <f>IFERROR(__xludf.DUMMYFUNCTION("""COMPUTED_VALUE"""),1.0)</f>
        <v>1</v>
      </c>
      <c r="L463" s="250" t="str">
        <f>IFERROR(__xludf.DUMMYFUNCTION("""COMPUTED_VALUE"""),"")</f>
        <v/>
      </c>
      <c r="M463" s="250" t="str">
        <f>IFERROR(__xludf.DUMMYFUNCTION("""COMPUTED_VALUE"""),"")</f>
        <v/>
      </c>
      <c r="N463" s="250" t="str">
        <f>IFERROR(__xludf.DUMMYFUNCTION("""COMPUTED_VALUE"""),"")</f>
        <v/>
      </c>
      <c r="O463" s="250" t="str">
        <f>IFERROR(__xludf.DUMMYFUNCTION("""COMPUTED_VALUE"""),"")</f>
        <v/>
      </c>
      <c r="P463" s="250" t="str">
        <f>IFERROR(__xludf.DUMMYFUNCTION("""COMPUTED_VALUE"""),"")</f>
        <v/>
      </c>
      <c r="Q463" s="250" t="str">
        <f>IFERROR(__xludf.DUMMYFUNCTION("""COMPUTED_VALUE"""),"")</f>
        <v/>
      </c>
      <c r="R463" s="250" t="str">
        <f>IFERROR(__xludf.DUMMYFUNCTION("""COMPUTED_VALUE"""),"")</f>
        <v/>
      </c>
      <c r="U463" s="250" t="str">
        <f>IFERROR(__xludf.DUMMYFUNCTION("""COMPUTED_VALUE"""),"#N/A")</f>
        <v>#N/A</v>
      </c>
      <c r="V463" s="250" t="str">
        <f>IFERROR(__xludf.DUMMYFUNCTION("""COMPUTED_VALUE"""),"#N/A")</f>
        <v>#N/A</v>
      </c>
      <c r="W463" s="250" t="str">
        <f>IFERROR(__xludf.DUMMYFUNCTION("""COMPUTED_VALUE"""),"#N/A")</f>
        <v>#N/A</v>
      </c>
      <c r="X463" t="b">
        <f t="shared" ref="X463:Z463" si="902">ISBLANK(K463)</f>
        <v>1</v>
      </c>
      <c r="Y463" t="b">
        <f t="shared" si="902"/>
        <v>0</v>
      </c>
      <c r="Z463" t="b">
        <f t="shared" si="902"/>
        <v>0</v>
      </c>
      <c r="AA463">
        <f t="shared" ref="AA463:AC463" si="903">IF(X463=FALSE,1,0)</f>
        <v>0</v>
      </c>
      <c r="AB463">
        <f t="shared" si="903"/>
        <v>1</v>
      </c>
      <c r="AC463">
        <f t="shared" si="903"/>
        <v>1</v>
      </c>
      <c r="AD463">
        <f t="shared" si="6"/>
        <v>2</v>
      </c>
      <c r="AE463">
        <f t="shared" si="7"/>
        <v>1</v>
      </c>
      <c r="AF463">
        <f>if(iferror(vlookup($A463,'Description Database'!$E$2:$H$951,3,0),0)=TRUE,1,0)</f>
        <v>0</v>
      </c>
      <c r="AG463">
        <f>if(iferror(vlookup($A463,'Description Database'!$E$2:$H$951,4,0),0)=TRUE,1,0)</f>
        <v>0</v>
      </c>
    </row>
    <row r="464">
      <c r="A464" t="str">
        <f>IFERROR(__xludf.DUMMYFUNCTION("""COMPUTED_VALUE"""),"ONEPLUS 3 (4 GB/32 GB)")</f>
        <v>ONEPLUS 3 (4 GB/32 GB)</v>
      </c>
      <c r="B464" t="str">
        <f>IFERROR(__xludf.DUMMYFUNCTION("""COMPUTED_VALUE"""),"")</f>
        <v/>
      </c>
      <c r="C464" t="str">
        <f>IFERROR(__xludf.DUMMYFUNCTION("""COMPUTED_VALUE"""),"")</f>
        <v/>
      </c>
      <c r="D464" t="str">
        <f>IFERROR(__xludf.DUMMYFUNCTION("""COMPUTED_VALUE"""),"")</f>
        <v/>
      </c>
      <c r="E464" t="str">
        <f>IFERROR(__xludf.DUMMYFUNCTION("""COMPUTED_VALUE"""),"")</f>
        <v/>
      </c>
      <c r="F464" t="str">
        <f>IFERROR(__xludf.DUMMYFUNCTION("""COMPUTED_VALUE"""),"")</f>
        <v/>
      </c>
      <c r="G464" t="str">
        <f>IFERROR(__xludf.DUMMYFUNCTION("""COMPUTED_VALUE"""),"")</f>
        <v/>
      </c>
      <c r="H464" t="str">
        <f>IFERROR(__xludf.DUMMYFUNCTION("""COMPUTED_VALUE"""),"")</f>
        <v/>
      </c>
      <c r="I464">
        <f>IFERROR(__xludf.DUMMYFUNCTION("""COMPUTED_VALUE"""),2.0)</f>
        <v>2</v>
      </c>
      <c r="J464">
        <f>IFERROR(__xludf.DUMMYFUNCTION("""COMPUTED_VALUE"""),2.0)</f>
        <v>2</v>
      </c>
      <c r="L464" s="250" t="str">
        <f>IFERROR(__xludf.DUMMYFUNCTION("""COMPUTED_VALUE"""),"")</f>
        <v/>
      </c>
      <c r="M464" s="250" t="str">
        <f>IFERROR(__xludf.DUMMYFUNCTION("""COMPUTED_VALUE"""),"")</f>
        <v/>
      </c>
      <c r="N464" s="250" t="str">
        <f>IFERROR(__xludf.DUMMYFUNCTION("""COMPUTED_VALUE"""),"")</f>
        <v/>
      </c>
      <c r="O464" s="250" t="str">
        <f>IFERROR(__xludf.DUMMYFUNCTION("""COMPUTED_VALUE"""),"")</f>
        <v/>
      </c>
      <c r="P464" s="250" t="str">
        <f>IFERROR(__xludf.DUMMYFUNCTION("""COMPUTED_VALUE"""),"")</f>
        <v/>
      </c>
      <c r="Q464" s="250" t="str">
        <f>IFERROR(__xludf.DUMMYFUNCTION("""COMPUTED_VALUE"""),"")</f>
        <v/>
      </c>
      <c r="R464" s="250" t="str">
        <f>IFERROR(__xludf.DUMMYFUNCTION("""COMPUTED_VALUE"""),"")</f>
        <v/>
      </c>
      <c r="U464" s="250" t="str">
        <f>IFERROR(__xludf.DUMMYFUNCTION("""COMPUTED_VALUE"""),"#N/A")</f>
        <v>#N/A</v>
      </c>
      <c r="V464" s="250" t="str">
        <f>IFERROR(__xludf.DUMMYFUNCTION("""COMPUTED_VALUE"""),"#N/A")</f>
        <v>#N/A</v>
      </c>
      <c r="W464" s="250" t="str">
        <f>IFERROR(__xludf.DUMMYFUNCTION("""COMPUTED_VALUE"""),"#N/A")</f>
        <v>#N/A</v>
      </c>
      <c r="X464" t="b">
        <f t="shared" ref="X464:Z464" si="904">ISBLANK(K464)</f>
        <v>1</v>
      </c>
      <c r="Y464" t="b">
        <f t="shared" si="904"/>
        <v>0</v>
      </c>
      <c r="Z464" t="b">
        <f t="shared" si="904"/>
        <v>0</v>
      </c>
      <c r="AA464">
        <f t="shared" ref="AA464:AC464" si="905">IF(X464=FALSE,1,0)</f>
        <v>0</v>
      </c>
      <c r="AB464">
        <f t="shared" si="905"/>
        <v>1</v>
      </c>
      <c r="AC464">
        <f t="shared" si="905"/>
        <v>1</v>
      </c>
      <c r="AD464">
        <f t="shared" si="6"/>
        <v>2</v>
      </c>
      <c r="AE464">
        <f t="shared" si="7"/>
        <v>1</v>
      </c>
      <c r="AF464">
        <f>if(iferror(vlookup($A464,'Description Database'!$E$2:$H$951,3,0),0)=TRUE,1,0)</f>
        <v>0</v>
      </c>
      <c r="AG464">
        <f>if(iferror(vlookup($A464,'Description Database'!$E$2:$H$951,4,0),0)=TRUE,1,0)</f>
        <v>0</v>
      </c>
    </row>
    <row r="465">
      <c r="A465" t="str">
        <f>IFERROR(__xludf.DUMMYFUNCTION("""COMPUTED_VALUE"""),"Samsung GALAXY C9 PRO (2 GB/16 GB)")</f>
        <v>Samsung GALAXY C9 PRO (2 GB/16 GB)</v>
      </c>
      <c r="B465" t="str">
        <f>IFERROR(__xludf.DUMMYFUNCTION("""COMPUTED_VALUE"""),"")</f>
        <v/>
      </c>
      <c r="C465" t="str">
        <f>IFERROR(__xludf.DUMMYFUNCTION("""COMPUTED_VALUE"""),"")</f>
        <v/>
      </c>
      <c r="D465" t="str">
        <f>IFERROR(__xludf.DUMMYFUNCTION("""COMPUTED_VALUE"""),"")</f>
        <v/>
      </c>
      <c r="E465" t="str">
        <f>IFERROR(__xludf.DUMMYFUNCTION("""COMPUTED_VALUE"""),"")</f>
        <v/>
      </c>
      <c r="F465" t="str">
        <f>IFERROR(__xludf.DUMMYFUNCTION("""COMPUTED_VALUE"""),"")</f>
        <v/>
      </c>
      <c r="G465" t="str">
        <f>IFERROR(__xludf.DUMMYFUNCTION("""COMPUTED_VALUE"""),"")</f>
        <v/>
      </c>
      <c r="H465" t="str">
        <f>IFERROR(__xludf.DUMMYFUNCTION("""COMPUTED_VALUE"""),"")</f>
        <v/>
      </c>
      <c r="I465" t="str">
        <f>IFERROR(__xludf.DUMMYFUNCTION("""COMPUTED_VALUE"""),"")</f>
        <v/>
      </c>
      <c r="J465">
        <f>IFERROR(__xludf.DUMMYFUNCTION("""COMPUTED_VALUE"""),0.0)</f>
        <v>0</v>
      </c>
      <c r="L465" s="250" t="str">
        <f>IFERROR(__xludf.DUMMYFUNCTION("""COMPUTED_VALUE"""),"")</f>
        <v/>
      </c>
      <c r="M465" s="250" t="str">
        <f>IFERROR(__xludf.DUMMYFUNCTION("""COMPUTED_VALUE"""),"")</f>
        <v/>
      </c>
      <c r="N465" s="250" t="str">
        <f>IFERROR(__xludf.DUMMYFUNCTION("""COMPUTED_VALUE"""),"")</f>
        <v/>
      </c>
      <c r="O465" s="250" t="str">
        <f>IFERROR(__xludf.DUMMYFUNCTION("""COMPUTED_VALUE"""),"")</f>
        <v/>
      </c>
      <c r="P465" s="250" t="str">
        <f>IFERROR(__xludf.DUMMYFUNCTION("""COMPUTED_VALUE"""),"")</f>
        <v/>
      </c>
      <c r="Q465" s="250" t="str">
        <f>IFERROR(__xludf.DUMMYFUNCTION("""COMPUTED_VALUE"""),"")</f>
        <v/>
      </c>
      <c r="R465" s="250" t="str">
        <f>IFERROR(__xludf.DUMMYFUNCTION("""COMPUTED_VALUE"""),"")</f>
        <v/>
      </c>
      <c r="U465" s="250" t="str">
        <f>IFERROR(__xludf.DUMMYFUNCTION("""COMPUTED_VALUE"""),"#N/A")</f>
        <v>#N/A</v>
      </c>
      <c r="V465" s="250" t="str">
        <f>IFERROR(__xludf.DUMMYFUNCTION("""COMPUTED_VALUE"""),"#N/A")</f>
        <v>#N/A</v>
      </c>
      <c r="W465" s="250" t="str">
        <f>IFERROR(__xludf.DUMMYFUNCTION("""COMPUTED_VALUE"""),"#N/A")</f>
        <v>#N/A</v>
      </c>
      <c r="X465" t="b">
        <f t="shared" ref="X465:Z465" si="906">ISBLANK(K465)</f>
        <v>1</v>
      </c>
      <c r="Y465" t="b">
        <f t="shared" si="906"/>
        <v>0</v>
      </c>
      <c r="Z465" t="b">
        <f t="shared" si="906"/>
        <v>0</v>
      </c>
      <c r="AA465">
        <f t="shared" ref="AA465:AC465" si="907">IF(X465=FALSE,1,0)</f>
        <v>0</v>
      </c>
      <c r="AB465">
        <f t="shared" si="907"/>
        <v>1</v>
      </c>
      <c r="AC465">
        <f t="shared" si="907"/>
        <v>1</v>
      </c>
      <c r="AD465">
        <f t="shared" si="6"/>
        <v>2</v>
      </c>
      <c r="AE465">
        <f t="shared" si="7"/>
        <v>1</v>
      </c>
      <c r="AF465">
        <f>if(iferror(vlookup($A465,'Description Database'!$E$2:$H$951,3,0),0)=TRUE,1,0)</f>
        <v>0</v>
      </c>
      <c r="AG465">
        <f>if(iferror(vlookup($A465,'Description Database'!$E$2:$H$951,4,0),0)=TRUE,1,0)</f>
        <v>0</v>
      </c>
    </row>
    <row r="466">
      <c r="A466" t="str">
        <f>IFERROR(__xludf.DUMMYFUNCTION("""COMPUTED_VALUE"""),"Vivo Y21L (2 GB /16 GB)")</f>
        <v>Vivo Y21L (2 GB /16 GB)</v>
      </c>
      <c r="B466" t="str">
        <f>IFERROR(__xludf.DUMMYFUNCTION("""COMPUTED_VALUE"""),"")</f>
        <v/>
      </c>
      <c r="C466" t="str">
        <f>IFERROR(__xludf.DUMMYFUNCTION("""COMPUTED_VALUE"""),"")</f>
        <v/>
      </c>
      <c r="D466" t="str">
        <f>IFERROR(__xludf.DUMMYFUNCTION("""COMPUTED_VALUE"""),"")</f>
        <v/>
      </c>
      <c r="E466" t="str">
        <f>IFERROR(__xludf.DUMMYFUNCTION("""COMPUTED_VALUE"""),"")</f>
        <v/>
      </c>
      <c r="F466" t="str">
        <f>IFERROR(__xludf.DUMMYFUNCTION("""COMPUTED_VALUE"""),"")</f>
        <v/>
      </c>
      <c r="G466" t="str">
        <f>IFERROR(__xludf.DUMMYFUNCTION("""COMPUTED_VALUE"""),"")</f>
        <v/>
      </c>
      <c r="H466" t="str">
        <f>IFERROR(__xludf.DUMMYFUNCTION("""COMPUTED_VALUE"""),"")</f>
        <v/>
      </c>
      <c r="I466" t="str">
        <f>IFERROR(__xludf.DUMMYFUNCTION("""COMPUTED_VALUE"""),"")</f>
        <v/>
      </c>
      <c r="J466">
        <f>IFERROR(__xludf.DUMMYFUNCTION("""COMPUTED_VALUE"""),0.0)</f>
        <v>0</v>
      </c>
      <c r="L466" s="250" t="str">
        <f>IFERROR(__xludf.DUMMYFUNCTION("""COMPUTED_VALUE"""),"")</f>
        <v/>
      </c>
      <c r="M466" s="250" t="str">
        <f>IFERROR(__xludf.DUMMYFUNCTION("""COMPUTED_VALUE"""),"")</f>
        <v/>
      </c>
      <c r="N466" s="250" t="str">
        <f>IFERROR(__xludf.DUMMYFUNCTION("""COMPUTED_VALUE"""),"")</f>
        <v/>
      </c>
      <c r="O466" s="250" t="str">
        <f>IFERROR(__xludf.DUMMYFUNCTION("""COMPUTED_VALUE"""),"")</f>
        <v/>
      </c>
      <c r="P466" s="250" t="str">
        <f>IFERROR(__xludf.DUMMYFUNCTION("""COMPUTED_VALUE"""),"")</f>
        <v/>
      </c>
      <c r="Q466" s="250" t="str">
        <f>IFERROR(__xludf.DUMMYFUNCTION("""COMPUTED_VALUE"""),"")</f>
        <v/>
      </c>
      <c r="R466" s="250" t="str">
        <f>IFERROR(__xludf.DUMMYFUNCTION("""COMPUTED_VALUE"""),"")</f>
        <v/>
      </c>
      <c r="U466" s="250" t="str">
        <f>IFERROR(__xludf.DUMMYFUNCTION("""COMPUTED_VALUE"""),"#N/A")</f>
        <v>#N/A</v>
      </c>
      <c r="V466" s="250" t="str">
        <f>IFERROR(__xludf.DUMMYFUNCTION("""COMPUTED_VALUE"""),"#N/A")</f>
        <v>#N/A</v>
      </c>
      <c r="W466" s="250" t="str">
        <f>IFERROR(__xludf.DUMMYFUNCTION("""COMPUTED_VALUE"""),"#N/A")</f>
        <v>#N/A</v>
      </c>
      <c r="X466" t="b">
        <f t="shared" ref="X466:Z466" si="908">ISBLANK(K466)</f>
        <v>1</v>
      </c>
      <c r="Y466" t="b">
        <f t="shared" si="908"/>
        <v>0</v>
      </c>
      <c r="Z466" t="b">
        <f t="shared" si="908"/>
        <v>0</v>
      </c>
      <c r="AA466">
        <f t="shared" ref="AA466:AC466" si="909">IF(X466=FALSE,1,0)</f>
        <v>0</v>
      </c>
      <c r="AB466">
        <f t="shared" si="909"/>
        <v>1</v>
      </c>
      <c r="AC466">
        <f t="shared" si="909"/>
        <v>1</v>
      </c>
      <c r="AD466">
        <f t="shared" si="6"/>
        <v>2</v>
      </c>
      <c r="AE466">
        <f t="shared" si="7"/>
        <v>1</v>
      </c>
      <c r="AF466">
        <f>if(iferror(vlookup($A466,'Description Database'!$E$2:$H$951,3,0),0)=TRUE,1,0)</f>
        <v>0</v>
      </c>
      <c r="AG466">
        <f>if(iferror(vlookup($A466,'Description Database'!$E$2:$H$951,4,0),0)=TRUE,1,0)</f>
        <v>0</v>
      </c>
    </row>
    <row r="467">
      <c r="A467" t="str">
        <f>IFERROR(__xludf.DUMMYFUNCTION("""COMPUTED_VALUE"""),"Motorola MOTO M (3 GB/32 GB)")</f>
        <v>Motorola MOTO M (3 GB/32 GB)</v>
      </c>
      <c r="B467" t="str">
        <f>IFERROR(__xludf.DUMMYFUNCTION("""COMPUTED_VALUE"""),"")</f>
        <v/>
      </c>
      <c r="C467" t="str">
        <f>IFERROR(__xludf.DUMMYFUNCTION("""COMPUTED_VALUE"""),"")</f>
        <v/>
      </c>
      <c r="D467" t="str">
        <f>IFERROR(__xludf.DUMMYFUNCTION("""COMPUTED_VALUE"""),"")</f>
        <v/>
      </c>
      <c r="E467" t="str">
        <f>IFERROR(__xludf.DUMMYFUNCTION("""COMPUTED_VALUE"""),"")</f>
        <v/>
      </c>
      <c r="F467">
        <f>IFERROR(__xludf.DUMMYFUNCTION("""COMPUTED_VALUE"""),1.0)</f>
        <v>1</v>
      </c>
      <c r="G467">
        <f>IFERROR(__xludf.DUMMYFUNCTION("""COMPUTED_VALUE"""),2.0)</f>
        <v>2</v>
      </c>
      <c r="H467" t="str">
        <f>IFERROR(__xludf.DUMMYFUNCTION("""COMPUTED_VALUE"""),"")</f>
        <v/>
      </c>
      <c r="I467">
        <f>IFERROR(__xludf.DUMMYFUNCTION("""COMPUTED_VALUE"""),13.0)</f>
        <v>13</v>
      </c>
      <c r="J467">
        <f>IFERROR(__xludf.DUMMYFUNCTION("""COMPUTED_VALUE"""),16.0)</f>
        <v>16</v>
      </c>
      <c r="L467" s="250" t="str">
        <f>IFERROR(__xludf.DUMMYFUNCTION("""COMPUTED_VALUE"""),"")</f>
        <v/>
      </c>
      <c r="M467" s="250" t="str">
        <f>IFERROR(__xludf.DUMMYFUNCTION("""COMPUTED_VALUE"""),"")</f>
        <v/>
      </c>
      <c r="N467" s="250" t="str">
        <f>IFERROR(__xludf.DUMMYFUNCTION("""COMPUTED_VALUE"""),"")</f>
        <v/>
      </c>
      <c r="O467" s="250" t="str">
        <f>IFERROR(__xludf.DUMMYFUNCTION("""COMPUTED_VALUE"""),"")</f>
        <v/>
      </c>
      <c r="P467" s="250">
        <f>IFERROR(__xludf.DUMMYFUNCTION("""COMPUTED_VALUE"""),2329.0)</f>
        <v>2329</v>
      </c>
      <c r="Q467" s="250">
        <f>IFERROR(__xludf.DUMMYFUNCTION("""COMPUTED_VALUE"""),1769.0)</f>
        <v>1769</v>
      </c>
      <c r="R467" s="250" t="str">
        <f>IFERROR(__xludf.DUMMYFUNCTION("""COMPUTED_VALUE"""),"")</f>
        <v/>
      </c>
      <c r="U467" s="250">
        <f>IFERROR(__xludf.DUMMYFUNCTION("""COMPUTED_VALUE"""),3589.0)</f>
        <v>3589</v>
      </c>
      <c r="V467" s="250">
        <f>IFERROR(__xludf.DUMMYFUNCTION("""COMPUTED_VALUE"""),3409.0)</f>
        <v>3409</v>
      </c>
      <c r="W467" s="250">
        <f>IFERROR(__xludf.DUMMYFUNCTION("""COMPUTED_VALUE"""),3059.0)</f>
        <v>3059</v>
      </c>
      <c r="X467" t="b">
        <f t="shared" ref="X467:Z467" si="910">ISBLANK(K467)</f>
        <v>1</v>
      </c>
      <c r="Y467" t="b">
        <f t="shared" si="910"/>
        <v>0</v>
      </c>
      <c r="Z467" t="b">
        <f t="shared" si="910"/>
        <v>0</v>
      </c>
      <c r="AA467">
        <f t="shared" ref="AA467:AC467" si="911">IF(X467=FALSE,1,0)</f>
        <v>0</v>
      </c>
      <c r="AB467">
        <f t="shared" si="911"/>
        <v>1</v>
      </c>
      <c r="AC467">
        <f t="shared" si="911"/>
        <v>1</v>
      </c>
      <c r="AD467">
        <f t="shared" si="6"/>
        <v>2</v>
      </c>
      <c r="AE467">
        <f t="shared" si="7"/>
        <v>1</v>
      </c>
      <c r="AF467">
        <f>if(iferror(vlookup($A467,'Description Database'!$E$2:$H$951,3,0),0)=TRUE,1,0)</f>
        <v>0</v>
      </c>
      <c r="AG467">
        <f>if(iferror(vlookup($A467,'Description Database'!$E$2:$H$951,4,0),0)=TRUE,1,0)</f>
        <v>0</v>
      </c>
    </row>
    <row r="468">
      <c r="A468" t="str">
        <f>IFERROR(__xludf.DUMMYFUNCTION("""COMPUTED_VALUE"""),"Vivo Y55 (3 GB/32 GB)")</f>
        <v>Vivo Y55 (3 GB/32 GB)</v>
      </c>
      <c r="B468" t="str">
        <f>IFERROR(__xludf.DUMMYFUNCTION("""COMPUTED_VALUE"""),"")</f>
        <v/>
      </c>
      <c r="C468" t="str">
        <f>IFERROR(__xludf.DUMMYFUNCTION("""COMPUTED_VALUE"""),"")</f>
        <v/>
      </c>
      <c r="D468" t="str">
        <f>IFERROR(__xludf.DUMMYFUNCTION("""COMPUTED_VALUE"""),"")</f>
        <v/>
      </c>
      <c r="E468" t="str">
        <f>IFERROR(__xludf.DUMMYFUNCTION("""COMPUTED_VALUE"""),"")</f>
        <v/>
      </c>
      <c r="F468" t="str">
        <f>IFERROR(__xludf.DUMMYFUNCTION("""COMPUTED_VALUE"""),"")</f>
        <v/>
      </c>
      <c r="G468" t="str">
        <f>IFERROR(__xludf.DUMMYFUNCTION("""COMPUTED_VALUE"""),"")</f>
        <v/>
      </c>
      <c r="H468" t="str">
        <f>IFERROR(__xludf.DUMMYFUNCTION("""COMPUTED_VALUE"""),"")</f>
        <v/>
      </c>
      <c r="I468">
        <f>IFERROR(__xludf.DUMMYFUNCTION("""COMPUTED_VALUE"""),1.0)</f>
        <v>1</v>
      </c>
      <c r="J468">
        <f>IFERROR(__xludf.DUMMYFUNCTION("""COMPUTED_VALUE"""),1.0)</f>
        <v>1</v>
      </c>
      <c r="L468" s="250" t="str">
        <f>IFERROR(__xludf.DUMMYFUNCTION("""COMPUTED_VALUE"""),"")</f>
        <v/>
      </c>
      <c r="M468" s="250" t="str">
        <f>IFERROR(__xludf.DUMMYFUNCTION("""COMPUTED_VALUE"""),"")</f>
        <v/>
      </c>
      <c r="N468" s="250" t="str">
        <f>IFERROR(__xludf.DUMMYFUNCTION("""COMPUTED_VALUE"""),"")</f>
        <v/>
      </c>
      <c r="O468" s="250" t="str">
        <f>IFERROR(__xludf.DUMMYFUNCTION("""COMPUTED_VALUE"""),"")</f>
        <v/>
      </c>
      <c r="P468" s="250" t="str">
        <f>IFERROR(__xludf.DUMMYFUNCTION("""COMPUTED_VALUE"""),"")</f>
        <v/>
      </c>
      <c r="Q468" s="250" t="str">
        <f>IFERROR(__xludf.DUMMYFUNCTION("""COMPUTED_VALUE"""),"")</f>
        <v/>
      </c>
      <c r="R468" s="250" t="str">
        <f>IFERROR(__xludf.DUMMYFUNCTION("""COMPUTED_VALUE"""),"")</f>
        <v/>
      </c>
      <c r="U468" s="250" t="str">
        <f>IFERROR(__xludf.DUMMYFUNCTION("""COMPUTED_VALUE"""),"#N/A")</f>
        <v>#N/A</v>
      </c>
      <c r="V468" s="250" t="str">
        <f>IFERROR(__xludf.DUMMYFUNCTION("""COMPUTED_VALUE"""),"#N/A")</f>
        <v>#N/A</v>
      </c>
      <c r="W468" s="250" t="str">
        <f>IFERROR(__xludf.DUMMYFUNCTION("""COMPUTED_VALUE"""),"#N/A")</f>
        <v>#N/A</v>
      </c>
      <c r="X468" t="b">
        <f t="shared" ref="X468:Z468" si="912">ISBLANK(K468)</f>
        <v>1</v>
      </c>
      <c r="Y468" t="b">
        <f t="shared" si="912"/>
        <v>0</v>
      </c>
      <c r="Z468" t="b">
        <f t="shared" si="912"/>
        <v>0</v>
      </c>
      <c r="AA468">
        <f t="shared" ref="AA468:AC468" si="913">IF(X468=FALSE,1,0)</f>
        <v>0</v>
      </c>
      <c r="AB468">
        <f t="shared" si="913"/>
        <v>1</v>
      </c>
      <c r="AC468">
        <f t="shared" si="913"/>
        <v>1</v>
      </c>
      <c r="AD468">
        <f t="shared" si="6"/>
        <v>2</v>
      </c>
      <c r="AE468">
        <f t="shared" si="7"/>
        <v>1</v>
      </c>
      <c r="AF468">
        <f>if(iferror(vlookup($A468,'Description Database'!$E$2:$H$951,3,0),0)=TRUE,1,0)</f>
        <v>0</v>
      </c>
      <c r="AG468">
        <f>if(iferror(vlookup($A468,'Description Database'!$E$2:$H$951,4,0),0)=TRUE,1,0)</f>
        <v>0</v>
      </c>
    </row>
    <row r="469">
      <c r="A469" t="str">
        <f>IFERROR(__xludf.DUMMYFUNCTION("""COMPUTED_VALUE"""),"Vivo V5 (2 GB/16 GB)")</f>
        <v>Vivo V5 (2 GB/16 GB)</v>
      </c>
      <c r="B469" t="str">
        <f>IFERROR(__xludf.DUMMYFUNCTION("""COMPUTED_VALUE"""),"")</f>
        <v/>
      </c>
      <c r="C469" t="str">
        <f>IFERROR(__xludf.DUMMYFUNCTION("""COMPUTED_VALUE"""),"")</f>
        <v/>
      </c>
      <c r="D469" t="str">
        <f>IFERROR(__xludf.DUMMYFUNCTION("""COMPUTED_VALUE"""),"")</f>
        <v/>
      </c>
      <c r="E469" t="str">
        <f>IFERROR(__xludf.DUMMYFUNCTION("""COMPUTED_VALUE"""),"")</f>
        <v/>
      </c>
      <c r="F469" t="str">
        <f>IFERROR(__xludf.DUMMYFUNCTION("""COMPUTED_VALUE"""),"")</f>
        <v/>
      </c>
      <c r="G469" t="str">
        <f>IFERROR(__xludf.DUMMYFUNCTION("""COMPUTED_VALUE"""),"")</f>
        <v/>
      </c>
      <c r="H469" t="str">
        <f>IFERROR(__xludf.DUMMYFUNCTION("""COMPUTED_VALUE"""),"")</f>
        <v/>
      </c>
      <c r="I469" t="str">
        <f>IFERROR(__xludf.DUMMYFUNCTION("""COMPUTED_VALUE"""),"")</f>
        <v/>
      </c>
      <c r="J469">
        <f>IFERROR(__xludf.DUMMYFUNCTION("""COMPUTED_VALUE"""),0.0)</f>
        <v>0</v>
      </c>
      <c r="L469" s="250" t="str">
        <f>IFERROR(__xludf.DUMMYFUNCTION("""COMPUTED_VALUE"""),"")</f>
        <v/>
      </c>
      <c r="M469" s="250" t="str">
        <f>IFERROR(__xludf.DUMMYFUNCTION("""COMPUTED_VALUE"""),"")</f>
        <v/>
      </c>
      <c r="N469" s="250" t="str">
        <f>IFERROR(__xludf.DUMMYFUNCTION("""COMPUTED_VALUE"""),"")</f>
        <v/>
      </c>
      <c r="O469" s="250" t="str">
        <f>IFERROR(__xludf.DUMMYFUNCTION("""COMPUTED_VALUE"""),"")</f>
        <v/>
      </c>
      <c r="P469" s="250" t="str">
        <f>IFERROR(__xludf.DUMMYFUNCTION("""COMPUTED_VALUE"""),"")</f>
        <v/>
      </c>
      <c r="Q469" s="250" t="str">
        <f>IFERROR(__xludf.DUMMYFUNCTION("""COMPUTED_VALUE"""),"")</f>
        <v/>
      </c>
      <c r="R469" s="250" t="str">
        <f>IFERROR(__xludf.DUMMYFUNCTION("""COMPUTED_VALUE"""),"")</f>
        <v/>
      </c>
      <c r="U469" s="250" t="str">
        <f>IFERROR(__xludf.DUMMYFUNCTION("""COMPUTED_VALUE"""),"#N/A")</f>
        <v>#N/A</v>
      </c>
      <c r="V469" s="250" t="str">
        <f>IFERROR(__xludf.DUMMYFUNCTION("""COMPUTED_VALUE"""),"#N/A")</f>
        <v>#N/A</v>
      </c>
      <c r="W469" s="250" t="str">
        <f>IFERROR(__xludf.DUMMYFUNCTION("""COMPUTED_VALUE"""),"#N/A")</f>
        <v>#N/A</v>
      </c>
      <c r="X469" t="b">
        <f t="shared" ref="X469:Z469" si="914">ISBLANK(K469)</f>
        <v>1</v>
      </c>
      <c r="Y469" t="b">
        <f t="shared" si="914"/>
        <v>0</v>
      </c>
      <c r="Z469" t="b">
        <f t="shared" si="914"/>
        <v>0</v>
      </c>
      <c r="AA469">
        <f t="shared" ref="AA469:AC469" si="915">IF(X469=FALSE,1,0)</f>
        <v>0</v>
      </c>
      <c r="AB469">
        <f t="shared" si="915"/>
        <v>1</v>
      </c>
      <c r="AC469">
        <f t="shared" si="915"/>
        <v>1</v>
      </c>
      <c r="AD469">
        <f t="shared" si="6"/>
        <v>2</v>
      </c>
      <c r="AE469">
        <f t="shared" si="7"/>
        <v>1</v>
      </c>
      <c r="AF469">
        <f>if(iferror(vlookup($A469,'Description Database'!$E$2:$H$951,3,0),0)=TRUE,1,0)</f>
        <v>0</v>
      </c>
      <c r="AG469">
        <f>if(iferror(vlookup($A469,'Description Database'!$E$2:$H$951,4,0),0)=TRUE,1,0)</f>
        <v>0</v>
      </c>
    </row>
    <row r="470">
      <c r="A470" t="str">
        <f>IFERROR(__xludf.DUMMYFUNCTION("""COMPUTED_VALUE"""),"Samsung GALAXY A8 (2 GB/32 GB)")</f>
        <v>Samsung GALAXY A8 (2 GB/32 GB)</v>
      </c>
      <c r="B470" t="str">
        <f>IFERROR(__xludf.DUMMYFUNCTION("""COMPUTED_VALUE"""),"")</f>
        <v/>
      </c>
      <c r="C470" t="str">
        <f>IFERROR(__xludf.DUMMYFUNCTION("""COMPUTED_VALUE"""),"")</f>
        <v/>
      </c>
      <c r="D470" t="str">
        <f>IFERROR(__xludf.DUMMYFUNCTION("""COMPUTED_VALUE"""),"")</f>
        <v/>
      </c>
      <c r="E470" t="str">
        <f>IFERROR(__xludf.DUMMYFUNCTION("""COMPUTED_VALUE"""),"")</f>
        <v/>
      </c>
      <c r="F470">
        <f>IFERROR(__xludf.DUMMYFUNCTION("""COMPUTED_VALUE"""),1.0)</f>
        <v>1</v>
      </c>
      <c r="G470">
        <f>IFERROR(__xludf.DUMMYFUNCTION("""COMPUTED_VALUE"""),1.0)</f>
        <v>1</v>
      </c>
      <c r="H470" t="str">
        <f>IFERROR(__xludf.DUMMYFUNCTION("""COMPUTED_VALUE"""),"")</f>
        <v/>
      </c>
      <c r="I470">
        <f>IFERROR(__xludf.DUMMYFUNCTION("""COMPUTED_VALUE"""),13.0)</f>
        <v>13</v>
      </c>
      <c r="J470">
        <f>IFERROR(__xludf.DUMMYFUNCTION("""COMPUTED_VALUE"""),15.0)</f>
        <v>15</v>
      </c>
      <c r="L470" s="250" t="str">
        <f>IFERROR(__xludf.DUMMYFUNCTION("""COMPUTED_VALUE"""),"")</f>
        <v/>
      </c>
      <c r="M470" s="250" t="str">
        <f>IFERROR(__xludf.DUMMYFUNCTION("""COMPUTED_VALUE"""),"")</f>
        <v/>
      </c>
      <c r="N470" s="250" t="str">
        <f>IFERROR(__xludf.DUMMYFUNCTION("""COMPUTED_VALUE"""),"")</f>
        <v/>
      </c>
      <c r="O470" s="250" t="str">
        <f>IFERROR(__xludf.DUMMYFUNCTION("""COMPUTED_VALUE"""),"")</f>
        <v/>
      </c>
      <c r="P470" s="250">
        <f>IFERROR(__xludf.DUMMYFUNCTION("""COMPUTED_VALUE"""),2989.0)</f>
        <v>2989</v>
      </c>
      <c r="Q470" s="250">
        <f>IFERROR(__xludf.DUMMYFUNCTION("""COMPUTED_VALUE"""),2179.0)</f>
        <v>2179</v>
      </c>
      <c r="R470" s="250" t="str">
        <f>IFERROR(__xludf.DUMMYFUNCTION("""COMPUTED_VALUE"""),"")</f>
        <v/>
      </c>
      <c r="U470" s="250">
        <f>IFERROR(__xludf.DUMMYFUNCTION("""COMPUTED_VALUE"""),4599.0)</f>
        <v>4599</v>
      </c>
      <c r="V470" s="250">
        <f>IFERROR(__xludf.DUMMYFUNCTION("""COMPUTED_VALUE"""),4379.0)</f>
        <v>4379</v>
      </c>
      <c r="W470" s="250">
        <f>IFERROR(__xludf.DUMMYFUNCTION("""COMPUTED_VALUE"""),3949.0)</f>
        <v>3949</v>
      </c>
      <c r="X470" t="b">
        <f t="shared" ref="X470:Z470" si="916">ISBLANK(K470)</f>
        <v>1</v>
      </c>
      <c r="Y470" t="b">
        <f t="shared" si="916"/>
        <v>0</v>
      </c>
      <c r="Z470" t="b">
        <f t="shared" si="916"/>
        <v>0</v>
      </c>
      <c r="AA470">
        <f t="shared" ref="AA470:AC470" si="917">IF(X470=FALSE,1,0)</f>
        <v>0</v>
      </c>
      <c r="AB470">
        <f t="shared" si="917"/>
        <v>1</v>
      </c>
      <c r="AC470">
        <f t="shared" si="917"/>
        <v>1</v>
      </c>
      <c r="AD470">
        <f t="shared" si="6"/>
        <v>2</v>
      </c>
      <c r="AE470">
        <f t="shared" si="7"/>
        <v>1</v>
      </c>
      <c r="AF470">
        <f>if(iferror(vlookup($A470,'Description Database'!$E$2:$H$951,3,0),0)=TRUE,1,0)</f>
        <v>0</v>
      </c>
      <c r="AG470">
        <f>if(iferror(vlookup($A470,'Description Database'!$E$2:$H$951,4,0),0)=TRUE,1,0)</f>
        <v>0</v>
      </c>
    </row>
    <row r="471">
      <c r="A471" t="str">
        <f>IFERROR(__xludf.DUMMYFUNCTION("""COMPUTED_VALUE"""),"Oppo F3 PLUS (3 GB/32 GB)")</f>
        <v>Oppo F3 PLUS (3 GB/32 GB)</v>
      </c>
      <c r="B471" t="str">
        <f>IFERROR(__xludf.DUMMYFUNCTION("""COMPUTED_VALUE"""),"")</f>
        <v/>
      </c>
      <c r="C471" t="str">
        <f>IFERROR(__xludf.DUMMYFUNCTION("""COMPUTED_VALUE"""),"")</f>
        <v/>
      </c>
      <c r="D471" t="str">
        <f>IFERROR(__xludf.DUMMYFUNCTION("""COMPUTED_VALUE"""),"")</f>
        <v/>
      </c>
      <c r="E471" t="str">
        <f>IFERROR(__xludf.DUMMYFUNCTION("""COMPUTED_VALUE"""),"")</f>
        <v/>
      </c>
      <c r="F471" t="str">
        <f>IFERROR(__xludf.DUMMYFUNCTION("""COMPUTED_VALUE"""),"")</f>
        <v/>
      </c>
      <c r="G471" t="str">
        <f>IFERROR(__xludf.DUMMYFUNCTION("""COMPUTED_VALUE"""),"")</f>
        <v/>
      </c>
      <c r="H471" t="str">
        <f>IFERROR(__xludf.DUMMYFUNCTION("""COMPUTED_VALUE"""),"")</f>
        <v/>
      </c>
      <c r="I471" t="str">
        <f>IFERROR(__xludf.DUMMYFUNCTION("""COMPUTED_VALUE"""),"")</f>
        <v/>
      </c>
      <c r="J471">
        <f>IFERROR(__xludf.DUMMYFUNCTION("""COMPUTED_VALUE"""),0.0)</f>
        <v>0</v>
      </c>
      <c r="L471" s="250" t="str">
        <f>IFERROR(__xludf.DUMMYFUNCTION("""COMPUTED_VALUE"""),"")</f>
        <v/>
      </c>
      <c r="M471" s="250" t="str">
        <f>IFERROR(__xludf.DUMMYFUNCTION("""COMPUTED_VALUE"""),"")</f>
        <v/>
      </c>
      <c r="N471" s="250" t="str">
        <f>IFERROR(__xludf.DUMMYFUNCTION("""COMPUTED_VALUE"""),"")</f>
        <v/>
      </c>
      <c r="O471" s="250" t="str">
        <f>IFERROR(__xludf.DUMMYFUNCTION("""COMPUTED_VALUE"""),"")</f>
        <v/>
      </c>
      <c r="P471" s="250" t="str">
        <f>IFERROR(__xludf.DUMMYFUNCTION("""COMPUTED_VALUE"""),"")</f>
        <v/>
      </c>
      <c r="Q471" s="250" t="str">
        <f>IFERROR(__xludf.DUMMYFUNCTION("""COMPUTED_VALUE"""),"")</f>
        <v/>
      </c>
      <c r="R471" s="250" t="str">
        <f>IFERROR(__xludf.DUMMYFUNCTION("""COMPUTED_VALUE"""),"")</f>
        <v/>
      </c>
      <c r="U471" s="250" t="str">
        <f>IFERROR(__xludf.DUMMYFUNCTION("""COMPUTED_VALUE"""),"#N/A")</f>
        <v>#N/A</v>
      </c>
      <c r="V471" s="250" t="str">
        <f>IFERROR(__xludf.DUMMYFUNCTION("""COMPUTED_VALUE"""),"#N/A")</f>
        <v>#N/A</v>
      </c>
      <c r="W471" s="250" t="str">
        <f>IFERROR(__xludf.DUMMYFUNCTION("""COMPUTED_VALUE"""),"#N/A")</f>
        <v>#N/A</v>
      </c>
      <c r="X471" t="b">
        <f t="shared" ref="X471:Z471" si="918">ISBLANK(K471)</f>
        <v>1</v>
      </c>
      <c r="Y471" t="b">
        <f t="shared" si="918"/>
        <v>0</v>
      </c>
      <c r="Z471" t="b">
        <f t="shared" si="918"/>
        <v>0</v>
      </c>
      <c r="AA471">
        <f t="shared" ref="AA471:AC471" si="919">IF(X471=FALSE,1,0)</f>
        <v>0</v>
      </c>
      <c r="AB471">
        <f t="shared" si="919"/>
        <v>1</v>
      </c>
      <c r="AC471">
        <f t="shared" si="919"/>
        <v>1</v>
      </c>
      <c r="AD471">
        <f t="shared" si="6"/>
        <v>2</v>
      </c>
      <c r="AE471">
        <f t="shared" si="7"/>
        <v>1</v>
      </c>
      <c r="AF471">
        <f>if(iferror(vlookup($A471,'Description Database'!$E$2:$H$951,3,0),0)=TRUE,1,0)</f>
        <v>0</v>
      </c>
      <c r="AG471">
        <f>if(iferror(vlookup($A471,'Description Database'!$E$2:$H$951,4,0),0)=TRUE,1,0)</f>
        <v>0</v>
      </c>
    </row>
    <row r="472">
      <c r="A472" t="str">
        <f>IFERROR(__xludf.DUMMYFUNCTION("""COMPUTED_VALUE"""),"Samsung GALAXY J7 2016 (4 GB/16GB)")</f>
        <v>Samsung GALAXY J7 2016 (4 GB/16GB)</v>
      </c>
      <c r="B472" t="str">
        <f>IFERROR(__xludf.DUMMYFUNCTION("""COMPUTED_VALUE"""),"")</f>
        <v/>
      </c>
      <c r="C472" t="str">
        <f>IFERROR(__xludf.DUMMYFUNCTION("""COMPUTED_VALUE"""),"")</f>
        <v/>
      </c>
      <c r="D472" t="str">
        <f>IFERROR(__xludf.DUMMYFUNCTION("""COMPUTED_VALUE"""),"")</f>
        <v/>
      </c>
      <c r="E472" t="str">
        <f>IFERROR(__xludf.DUMMYFUNCTION("""COMPUTED_VALUE"""),"")</f>
        <v/>
      </c>
      <c r="F472" t="str">
        <f>IFERROR(__xludf.DUMMYFUNCTION("""COMPUTED_VALUE"""),"")</f>
        <v/>
      </c>
      <c r="G472" t="str">
        <f>IFERROR(__xludf.DUMMYFUNCTION("""COMPUTED_VALUE"""),"")</f>
        <v/>
      </c>
      <c r="H472" t="str">
        <f>IFERROR(__xludf.DUMMYFUNCTION("""COMPUTED_VALUE"""),"")</f>
        <v/>
      </c>
      <c r="I472" t="str">
        <f>IFERROR(__xludf.DUMMYFUNCTION("""COMPUTED_VALUE"""),"")</f>
        <v/>
      </c>
      <c r="J472">
        <f>IFERROR(__xludf.DUMMYFUNCTION("""COMPUTED_VALUE"""),0.0)</f>
        <v>0</v>
      </c>
      <c r="L472" s="250" t="str">
        <f>IFERROR(__xludf.DUMMYFUNCTION("""COMPUTED_VALUE"""),"")</f>
        <v/>
      </c>
      <c r="M472" s="250" t="str">
        <f>IFERROR(__xludf.DUMMYFUNCTION("""COMPUTED_VALUE"""),"")</f>
        <v/>
      </c>
      <c r="N472" s="250" t="str">
        <f>IFERROR(__xludf.DUMMYFUNCTION("""COMPUTED_VALUE"""),"")</f>
        <v/>
      </c>
      <c r="O472" s="250" t="str">
        <f>IFERROR(__xludf.DUMMYFUNCTION("""COMPUTED_VALUE"""),"")</f>
        <v/>
      </c>
      <c r="P472" s="250" t="str">
        <f>IFERROR(__xludf.DUMMYFUNCTION("""COMPUTED_VALUE"""),"")</f>
        <v/>
      </c>
      <c r="Q472" s="250" t="str">
        <f>IFERROR(__xludf.DUMMYFUNCTION("""COMPUTED_VALUE"""),"")</f>
        <v/>
      </c>
      <c r="R472" s="250" t="str">
        <f>IFERROR(__xludf.DUMMYFUNCTION("""COMPUTED_VALUE"""),"")</f>
        <v/>
      </c>
      <c r="U472" s="250" t="str">
        <f>IFERROR(__xludf.DUMMYFUNCTION("""COMPUTED_VALUE"""),"#N/A")</f>
        <v>#N/A</v>
      </c>
      <c r="V472" s="250" t="str">
        <f>IFERROR(__xludf.DUMMYFUNCTION("""COMPUTED_VALUE"""),"#N/A")</f>
        <v>#N/A</v>
      </c>
      <c r="W472" s="250" t="str">
        <f>IFERROR(__xludf.DUMMYFUNCTION("""COMPUTED_VALUE"""),"#N/A")</f>
        <v>#N/A</v>
      </c>
      <c r="X472" t="b">
        <f t="shared" ref="X472:Z472" si="920">ISBLANK(K472)</f>
        <v>1</v>
      </c>
      <c r="Y472" t="b">
        <f t="shared" si="920"/>
        <v>0</v>
      </c>
      <c r="Z472" t="b">
        <f t="shared" si="920"/>
        <v>0</v>
      </c>
      <c r="AA472">
        <f t="shared" ref="AA472:AC472" si="921">IF(X472=FALSE,1,0)</f>
        <v>0</v>
      </c>
      <c r="AB472">
        <f t="shared" si="921"/>
        <v>1</v>
      </c>
      <c r="AC472">
        <f t="shared" si="921"/>
        <v>1</v>
      </c>
      <c r="AD472">
        <f t="shared" si="6"/>
        <v>2</v>
      </c>
      <c r="AE472">
        <f t="shared" si="7"/>
        <v>1</v>
      </c>
      <c r="AF472">
        <f>if(iferror(vlookup($A472,'Description Database'!$E$2:$H$951,3,0),0)=TRUE,1,0)</f>
        <v>0</v>
      </c>
      <c r="AG472">
        <f>if(iferror(vlookup($A472,'Description Database'!$E$2:$H$951,4,0),0)=TRUE,1,0)</f>
        <v>0</v>
      </c>
    </row>
    <row r="473">
      <c r="A473" t="str">
        <f>IFERROR(__xludf.DUMMYFUNCTION("""COMPUTED_VALUE"""),"Xiaomi REDMI NOTE 6 PRO (4 GB/32 GB)")</f>
        <v>Xiaomi REDMI NOTE 6 PRO (4 GB/32 GB)</v>
      </c>
      <c r="B473" t="str">
        <f>IFERROR(__xludf.DUMMYFUNCTION("""COMPUTED_VALUE"""),"")</f>
        <v/>
      </c>
      <c r="C473" t="str">
        <f>IFERROR(__xludf.DUMMYFUNCTION("""COMPUTED_VALUE"""),"")</f>
        <v/>
      </c>
      <c r="D473" t="str">
        <f>IFERROR(__xludf.DUMMYFUNCTION("""COMPUTED_VALUE"""),"")</f>
        <v/>
      </c>
      <c r="E473" t="str">
        <f>IFERROR(__xludf.DUMMYFUNCTION("""COMPUTED_VALUE"""),"")</f>
        <v/>
      </c>
      <c r="F473" t="str">
        <f>IFERROR(__xludf.DUMMYFUNCTION("""COMPUTED_VALUE"""),"")</f>
        <v/>
      </c>
      <c r="G473" t="str">
        <f>IFERROR(__xludf.DUMMYFUNCTION("""COMPUTED_VALUE"""),"")</f>
        <v/>
      </c>
      <c r="H473" t="str">
        <f>IFERROR(__xludf.DUMMYFUNCTION("""COMPUTED_VALUE"""),"")</f>
        <v/>
      </c>
      <c r="I473" t="str">
        <f>IFERROR(__xludf.DUMMYFUNCTION("""COMPUTED_VALUE"""),"")</f>
        <v/>
      </c>
      <c r="J473">
        <f>IFERROR(__xludf.DUMMYFUNCTION("""COMPUTED_VALUE"""),0.0)</f>
        <v>0</v>
      </c>
      <c r="L473" s="250" t="str">
        <f>IFERROR(__xludf.DUMMYFUNCTION("""COMPUTED_VALUE"""),"")</f>
        <v/>
      </c>
      <c r="M473" s="250" t="str">
        <f>IFERROR(__xludf.DUMMYFUNCTION("""COMPUTED_VALUE"""),"")</f>
        <v/>
      </c>
      <c r="N473" s="250" t="str">
        <f>IFERROR(__xludf.DUMMYFUNCTION("""COMPUTED_VALUE"""),"")</f>
        <v/>
      </c>
      <c r="O473" s="250" t="str">
        <f>IFERROR(__xludf.DUMMYFUNCTION("""COMPUTED_VALUE"""),"")</f>
        <v/>
      </c>
      <c r="P473" s="250" t="str">
        <f>IFERROR(__xludf.DUMMYFUNCTION("""COMPUTED_VALUE"""),"")</f>
        <v/>
      </c>
      <c r="Q473" s="250" t="str">
        <f>IFERROR(__xludf.DUMMYFUNCTION("""COMPUTED_VALUE"""),"")</f>
        <v/>
      </c>
      <c r="R473" s="250" t="str">
        <f>IFERROR(__xludf.DUMMYFUNCTION("""COMPUTED_VALUE"""),"")</f>
        <v/>
      </c>
      <c r="U473" s="250" t="str">
        <f>IFERROR(__xludf.DUMMYFUNCTION("""COMPUTED_VALUE"""),"#N/A")</f>
        <v>#N/A</v>
      </c>
      <c r="V473" s="250" t="str">
        <f>IFERROR(__xludf.DUMMYFUNCTION("""COMPUTED_VALUE"""),"#N/A")</f>
        <v>#N/A</v>
      </c>
      <c r="W473" s="250" t="str">
        <f>IFERROR(__xludf.DUMMYFUNCTION("""COMPUTED_VALUE"""),"#N/A")</f>
        <v>#N/A</v>
      </c>
      <c r="X473" t="b">
        <f t="shared" ref="X473:Z473" si="922">ISBLANK(K473)</f>
        <v>1</v>
      </c>
      <c r="Y473" t="b">
        <f t="shared" si="922"/>
        <v>0</v>
      </c>
      <c r="Z473" t="b">
        <f t="shared" si="922"/>
        <v>0</v>
      </c>
      <c r="AA473">
        <f t="shared" ref="AA473:AC473" si="923">IF(X473=FALSE,1,0)</f>
        <v>0</v>
      </c>
      <c r="AB473">
        <f t="shared" si="923"/>
        <v>1</v>
      </c>
      <c r="AC473">
        <f t="shared" si="923"/>
        <v>1</v>
      </c>
      <c r="AD473">
        <f t="shared" si="6"/>
        <v>2</v>
      </c>
      <c r="AE473">
        <f t="shared" si="7"/>
        <v>1</v>
      </c>
      <c r="AF473">
        <f>if(iferror(vlookup($A473,'Description Database'!$E$2:$H$951,3,0),0)=TRUE,1,0)</f>
        <v>0</v>
      </c>
      <c r="AG473">
        <f>if(iferror(vlookup($A473,'Description Database'!$E$2:$H$951,4,0),0)=TRUE,1,0)</f>
        <v>0</v>
      </c>
    </row>
    <row r="474">
      <c r="A474" t="str">
        <f>IFERROR(__xludf.DUMMYFUNCTION("""COMPUTED_VALUE"""),"Xiaomi REDMI NOTE 5 (2 GB/16 GB)")</f>
        <v>Xiaomi REDMI NOTE 5 (2 GB/16 GB)</v>
      </c>
      <c r="B474" t="str">
        <f>IFERROR(__xludf.DUMMYFUNCTION("""COMPUTED_VALUE"""),"")</f>
        <v/>
      </c>
      <c r="C474" t="str">
        <f>IFERROR(__xludf.DUMMYFUNCTION("""COMPUTED_VALUE"""),"")</f>
        <v/>
      </c>
      <c r="D474" t="str">
        <f>IFERROR(__xludf.DUMMYFUNCTION("""COMPUTED_VALUE"""),"")</f>
        <v/>
      </c>
      <c r="E474" t="str">
        <f>IFERROR(__xludf.DUMMYFUNCTION("""COMPUTED_VALUE"""),"")</f>
        <v/>
      </c>
      <c r="F474" t="str">
        <f>IFERROR(__xludf.DUMMYFUNCTION("""COMPUTED_VALUE"""),"")</f>
        <v/>
      </c>
      <c r="G474" t="str">
        <f>IFERROR(__xludf.DUMMYFUNCTION("""COMPUTED_VALUE"""),"")</f>
        <v/>
      </c>
      <c r="H474" t="str">
        <f>IFERROR(__xludf.DUMMYFUNCTION("""COMPUTED_VALUE"""),"")</f>
        <v/>
      </c>
      <c r="I474">
        <f>IFERROR(__xludf.DUMMYFUNCTION("""COMPUTED_VALUE"""),1.0)</f>
        <v>1</v>
      </c>
      <c r="J474">
        <f>IFERROR(__xludf.DUMMYFUNCTION("""COMPUTED_VALUE"""),1.0)</f>
        <v>1</v>
      </c>
      <c r="L474" s="250" t="str">
        <f>IFERROR(__xludf.DUMMYFUNCTION("""COMPUTED_VALUE"""),"")</f>
        <v/>
      </c>
      <c r="M474" s="250" t="str">
        <f>IFERROR(__xludf.DUMMYFUNCTION("""COMPUTED_VALUE"""),"")</f>
        <v/>
      </c>
      <c r="N474" s="250" t="str">
        <f>IFERROR(__xludf.DUMMYFUNCTION("""COMPUTED_VALUE"""),"")</f>
        <v/>
      </c>
      <c r="O474" s="250" t="str">
        <f>IFERROR(__xludf.DUMMYFUNCTION("""COMPUTED_VALUE"""),"")</f>
        <v/>
      </c>
      <c r="P474" s="250" t="str">
        <f>IFERROR(__xludf.DUMMYFUNCTION("""COMPUTED_VALUE"""),"")</f>
        <v/>
      </c>
      <c r="Q474" s="250" t="str">
        <f>IFERROR(__xludf.DUMMYFUNCTION("""COMPUTED_VALUE"""),"")</f>
        <v/>
      </c>
      <c r="R474" s="250" t="str">
        <f>IFERROR(__xludf.DUMMYFUNCTION("""COMPUTED_VALUE"""),"")</f>
        <v/>
      </c>
      <c r="U474" s="250" t="str">
        <f>IFERROR(__xludf.DUMMYFUNCTION("""COMPUTED_VALUE"""),"#N/A")</f>
        <v>#N/A</v>
      </c>
      <c r="V474" s="250" t="str">
        <f>IFERROR(__xludf.DUMMYFUNCTION("""COMPUTED_VALUE"""),"#N/A")</f>
        <v>#N/A</v>
      </c>
      <c r="W474" s="250" t="str">
        <f>IFERROR(__xludf.DUMMYFUNCTION("""COMPUTED_VALUE"""),"#N/A")</f>
        <v>#N/A</v>
      </c>
      <c r="X474" t="b">
        <f t="shared" ref="X474:Z474" si="924">ISBLANK(K474)</f>
        <v>1</v>
      </c>
      <c r="Y474" t="b">
        <f t="shared" si="924"/>
        <v>0</v>
      </c>
      <c r="Z474" t="b">
        <f t="shared" si="924"/>
        <v>0</v>
      </c>
      <c r="AA474">
        <f t="shared" ref="AA474:AC474" si="925">IF(X474=FALSE,1,0)</f>
        <v>0</v>
      </c>
      <c r="AB474">
        <f t="shared" si="925"/>
        <v>1</v>
      </c>
      <c r="AC474">
        <f t="shared" si="925"/>
        <v>1</v>
      </c>
      <c r="AD474">
        <f t="shared" si="6"/>
        <v>2</v>
      </c>
      <c r="AE474">
        <f t="shared" si="7"/>
        <v>1</v>
      </c>
      <c r="AF474">
        <f>if(iferror(vlookup($A474,'Description Database'!$E$2:$H$951,3,0),0)=TRUE,1,0)</f>
        <v>0</v>
      </c>
      <c r="AG474">
        <f>if(iferror(vlookup($A474,'Description Database'!$E$2:$H$951,4,0),0)=TRUE,1,0)</f>
        <v>0</v>
      </c>
    </row>
    <row r="475">
      <c r="A475" t="str">
        <f>IFERROR(__xludf.DUMMYFUNCTION("""COMPUTED_VALUE"""),"Google PIXEL (3 GB/32 GB)")</f>
        <v>Google PIXEL (3 GB/32 GB)</v>
      </c>
      <c r="B475" t="str">
        <f>IFERROR(__xludf.DUMMYFUNCTION("""COMPUTED_VALUE"""),"")</f>
        <v/>
      </c>
      <c r="C475" t="str">
        <f>IFERROR(__xludf.DUMMYFUNCTION("""COMPUTED_VALUE"""),"")</f>
        <v/>
      </c>
      <c r="D475" t="str">
        <f>IFERROR(__xludf.DUMMYFUNCTION("""COMPUTED_VALUE"""),"")</f>
        <v/>
      </c>
      <c r="E475" t="str">
        <f>IFERROR(__xludf.DUMMYFUNCTION("""COMPUTED_VALUE"""),"")</f>
        <v/>
      </c>
      <c r="F475" t="str">
        <f>IFERROR(__xludf.DUMMYFUNCTION("""COMPUTED_VALUE"""),"")</f>
        <v/>
      </c>
      <c r="G475" t="str">
        <f>IFERROR(__xludf.DUMMYFUNCTION("""COMPUTED_VALUE"""),"")</f>
        <v/>
      </c>
      <c r="H475" t="str">
        <f>IFERROR(__xludf.DUMMYFUNCTION("""COMPUTED_VALUE"""),"")</f>
        <v/>
      </c>
      <c r="I475" t="str">
        <f>IFERROR(__xludf.DUMMYFUNCTION("""COMPUTED_VALUE"""),"")</f>
        <v/>
      </c>
      <c r="J475">
        <f>IFERROR(__xludf.DUMMYFUNCTION("""COMPUTED_VALUE"""),0.0)</f>
        <v>0</v>
      </c>
      <c r="L475" s="250" t="str">
        <f>IFERROR(__xludf.DUMMYFUNCTION("""COMPUTED_VALUE"""),"")</f>
        <v/>
      </c>
      <c r="M475" s="250" t="str">
        <f>IFERROR(__xludf.DUMMYFUNCTION("""COMPUTED_VALUE"""),"")</f>
        <v/>
      </c>
      <c r="N475" s="250" t="str">
        <f>IFERROR(__xludf.DUMMYFUNCTION("""COMPUTED_VALUE"""),"")</f>
        <v/>
      </c>
      <c r="O475" s="250" t="str">
        <f>IFERROR(__xludf.DUMMYFUNCTION("""COMPUTED_VALUE"""),"")</f>
        <v/>
      </c>
      <c r="P475" s="250" t="str">
        <f>IFERROR(__xludf.DUMMYFUNCTION("""COMPUTED_VALUE"""),"")</f>
        <v/>
      </c>
      <c r="Q475" s="250" t="str">
        <f>IFERROR(__xludf.DUMMYFUNCTION("""COMPUTED_VALUE"""),"")</f>
        <v/>
      </c>
      <c r="R475" s="250" t="str">
        <f>IFERROR(__xludf.DUMMYFUNCTION("""COMPUTED_VALUE"""),"")</f>
        <v/>
      </c>
      <c r="U475" s="250" t="str">
        <f>IFERROR(__xludf.DUMMYFUNCTION("""COMPUTED_VALUE"""),"#N/A")</f>
        <v>#N/A</v>
      </c>
      <c r="V475" s="250" t="str">
        <f>IFERROR(__xludf.DUMMYFUNCTION("""COMPUTED_VALUE"""),"#N/A")</f>
        <v>#N/A</v>
      </c>
      <c r="W475" s="250" t="str">
        <f>IFERROR(__xludf.DUMMYFUNCTION("""COMPUTED_VALUE"""),"#N/A")</f>
        <v>#N/A</v>
      </c>
      <c r="X475" t="b">
        <f t="shared" ref="X475:Z475" si="926">ISBLANK(K475)</f>
        <v>1</v>
      </c>
      <c r="Y475" t="b">
        <f t="shared" si="926"/>
        <v>0</v>
      </c>
      <c r="Z475" t="b">
        <f t="shared" si="926"/>
        <v>0</v>
      </c>
      <c r="AA475">
        <f t="shared" ref="AA475:AC475" si="927">IF(X475=FALSE,1,0)</f>
        <v>0</v>
      </c>
      <c r="AB475">
        <f t="shared" si="927"/>
        <v>1</v>
      </c>
      <c r="AC475">
        <f t="shared" si="927"/>
        <v>1</v>
      </c>
      <c r="AD475">
        <f t="shared" si="6"/>
        <v>2</v>
      </c>
      <c r="AE475">
        <f t="shared" si="7"/>
        <v>1</v>
      </c>
      <c r="AF475">
        <f>if(iferror(vlookup($A475,'Description Database'!$E$2:$H$951,3,0),0)=TRUE,1,0)</f>
        <v>0</v>
      </c>
      <c r="AG475">
        <f>if(iferror(vlookup($A475,'Description Database'!$E$2:$H$951,4,0),0)=TRUE,1,0)</f>
        <v>0</v>
      </c>
    </row>
    <row r="476">
      <c r="A476" t="str">
        <f>IFERROR(__xludf.DUMMYFUNCTION("""COMPUTED_VALUE"""),"Xiaomi MI A2 (2 GB/16 GB)")</f>
        <v>Xiaomi MI A2 (2 GB/16 GB)</v>
      </c>
      <c r="B476" t="str">
        <f>IFERROR(__xludf.DUMMYFUNCTION("""COMPUTED_VALUE"""),"")</f>
        <v/>
      </c>
      <c r="C476" t="str">
        <f>IFERROR(__xludf.DUMMYFUNCTION("""COMPUTED_VALUE"""),"")</f>
        <v/>
      </c>
      <c r="D476" t="str">
        <f>IFERROR(__xludf.DUMMYFUNCTION("""COMPUTED_VALUE"""),"")</f>
        <v/>
      </c>
      <c r="E476" t="str">
        <f>IFERROR(__xludf.DUMMYFUNCTION("""COMPUTED_VALUE"""),"")</f>
        <v/>
      </c>
      <c r="F476" t="str">
        <f>IFERROR(__xludf.DUMMYFUNCTION("""COMPUTED_VALUE"""),"")</f>
        <v/>
      </c>
      <c r="G476" t="str">
        <f>IFERROR(__xludf.DUMMYFUNCTION("""COMPUTED_VALUE"""),"")</f>
        <v/>
      </c>
      <c r="H476" t="str">
        <f>IFERROR(__xludf.DUMMYFUNCTION("""COMPUTED_VALUE"""),"")</f>
        <v/>
      </c>
      <c r="I476" t="str">
        <f>IFERROR(__xludf.DUMMYFUNCTION("""COMPUTED_VALUE"""),"")</f>
        <v/>
      </c>
      <c r="J476">
        <f>IFERROR(__xludf.DUMMYFUNCTION("""COMPUTED_VALUE"""),0.0)</f>
        <v>0</v>
      </c>
      <c r="L476" s="250" t="str">
        <f>IFERROR(__xludf.DUMMYFUNCTION("""COMPUTED_VALUE"""),"")</f>
        <v/>
      </c>
      <c r="M476" s="250" t="str">
        <f>IFERROR(__xludf.DUMMYFUNCTION("""COMPUTED_VALUE"""),"")</f>
        <v/>
      </c>
      <c r="N476" s="250" t="str">
        <f>IFERROR(__xludf.DUMMYFUNCTION("""COMPUTED_VALUE"""),"")</f>
        <v/>
      </c>
      <c r="O476" s="250" t="str">
        <f>IFERROR(__xludf.DUMMYFUNCTION("""COMPUTED_VALUE"""),"")</f>
        <v/>
      </c>
      <c r="P476" s="250" t="str">
        <f>IFERROR(__xludf.DUMMYFUNCTION("""COMPUTED_VALUE"""),"")</f>
        <v/>
      </c>
      <c r="Q476" s="250" t="str">
        <f>IFERROR(__xludf.DUMMYFUNCTION("""COMPUTED_VALUE"""),"")</f>
        <v/>
      </c>
      <c r="R476" s="250" t="str">
        <f>IFERROR(__xludf.DUMMYFUNCTION("""COMPUTED_VALUE"""),"")</f>
        <v/>
      </c>
      <c r="U476" s="250" t="str">
        <f>IFERROR(__xludf.DUMMYFUNCTION("""COMPUTED_VALUE"""),"#N/A")</f>
        <v>#N/A</v>
      </c>
      <c r="V476" s="250" t="str">
        <f>IFERROR(__xludf.DUMMYFUNCTION("""COMPUTED_VALUE"""),"#N/A")</f>
        <v>#N/A</v>
      </c>
      <c r="W476" s="250" t="str">
        <f>IFERROR(__xludf.DUMMYFUNCTION("""COMPUTED_VALUE"""),"#N/A")</f>
        <v>#N/A</v>
      </c>
      <c r="X476" t="b">
        <f t="shared" ref="X476:Z476" si="928">ISBLANK(K476)</f>
        <v>1</v>
      </c>
      <c r="Y476" t="b">
        <f t="shared" si="928"/>
        <v>0</v>
      </c>
      <c r="Z476" t="b">
        <f t="shared" si="928"/>
        <v>0</v>
      </c>
      <c r="AA476">
        <f t="shared" ref="AA476:AC476" si="929">IF(X476=FALSE,1,0)</f>
        <v>0</v>
      </c>
      <c r="AB476">
        <f t="shared" si="929"/>
        <v>1</v>
      </c>
      <c r="AC476">
        <f t="shared" si="929"/>
        <v>1</v>
      </c>
      <c r="AD476">
        <f t="shared" si="6"/>
        <v>2</v>
      </c>
      <c r="AE476">
        <f t="shared" si="7"/>
        <v>1</v>
      </c>
      <c r="AF476">
        <f>if(iferror(vlookup($A476,'Description Database'!$E$2:$H$951,3,0),0)=TRUE,1,0)</f>
        <v>0</v>
      </c>
      <c r="AG476">
        <f>if(iferror(vlookup($A476,'Description Database'!$E$2:$H$951,4,0),0)=TRUE,1,0)</f>
        <v>0</v>
      </c>
    </row>
    <row r="477">
      <c r="A477" t="str">
        <f>IFERROR(__xludf.DUMMYFUNCTION("""COMPUTED_VALUE"""),"Samsung GALAXY J2 2016 (2 GB/8 GB)")</f>
        <v>Samsung GALAXY J2 2016 (2 GB/8 GB)</v>
      </c>
      <c r="B477" t="str">
        <f>IFERROR(__xludf.DUMMYFUNCTION("""COMPUTED_VALUE"""),"")</f>
        <v/>
      </c>
      <c r="C477" t="str">
        <f>IFERROR(__xludf.DUMMYFUNCTION("""COMPUTED_VALUE"""),"")</f>
        <v/>
      </c>
      <c r="D477" t="str">
        <f>IFERROR(__xludf.DUMMYFUNCTION("""COMPUTED_VALUE"""),"")</f>
        <v/>
      </c>
      <c r="E477" t="str">
        <f>IFERROR(__xludf.DUMMYFUNCTION("""COMPUTED_VALUE"""),"")</f>
        <v/>
      </c>
      <c r="F477" t="str">
        <f>IFERROR(__xludf.DUMMYFUNCTION("""COMPUTED_VALUE"""),"")</f>
        <v/>
      </c>
      <c r="G477" t="str">
        <f>IFERROR(__xludf.DUMMYFUNCTION("""COMPUTED_VALUE"""),"")</f>
        <v/>
      </c>
      <c r="H477" t="str">
        <f>IFERROR(__xludf.DUMMYFUNCTION("""COMPUTED_VALUE"""),"")</f>
        <v/>
      </c>
      <c r="I477" t="str">
        <f>IFERROR(__xludf.DUMMYFUNCTION("""COMPUTED_VALUE"""),"")</f>
        <v/>
      </c>
      <c r="J477">
        <f>IFERROR(__xludf.DUMMYFUNCTION("""COMPUTED_VALUE"""),0.0)</f>
        <v>0</v>
      </c>
      <c r="L477" s="250" t="str">
        <f>IFERROR(__xludf.DUMMYFUNCTION("""COMPUTED_VALUE"""),"")</f>
        <v/>
      </c>
      <c r="M477" s="250" t="str">
        <f>IFERROR(__xludf.DUMMYFUNCTION("""COMPUTED_VALUE"""),"")</f>
        <v/>
      </c>
      <c r="N477" s="250" t="str">
        <f>IFERROR(__xludf.DUMMYFUNCTION("""COMPUTED_VALUE"""),"")</f>
        <v/>
      </c>
      <c r="O477" s="250" t="str">
        <f>IFERROR(__xludf.DUMMYFUNCTION("""COMPUTED_VALUE"""),"")</f>
        <v/>
      </c>
      <c r="P477" s="250" t="str">
        <f>IFERROR(__xludf.DUMMYFUNCTION("""COMPUTED_VALUE"""),"")</f>
        <v/>
      </c>
      <c r="Q477" s="250" t="str">
        <f>IFERROR(__xludf.DUMMYFUNCTION("""COMPUTED_VALUE"""),"")</f>
        <v/>
      </c>
      <c r="R477" s="250" t="str">
        <f>IFERROR(__xludf.DUMMYFUNCTION("""COMPUTED_VALUE"""),"")</f>
        <v/>
      </c>
      <c r="U477" s="250" t="str">
        <f>IFERROR(__xludf.DUMMYFUNCTION("""COMPUTED_VALUE"""),"#N/A")</f>
        <v>#N/A</v>
      </c>
      <c r="V477" s="250" t="str">
        <f>IFERROR(__xludf.DUMMYFUNCTION("""COMPUTED_VALUE"""),"#N/A")</f>
        <v>#N/A</v>
      </c>
      <c r="W477" s="250" t="str">
        <f>IFERROR(__xludf.DUMMYFUNCTION("""COMPUTED_VALUE"""),"#N/A")</f>
        <v>#N/A</v>
      </c>
      <c r="X477" t="b">
        <f t="shared" ref="X477:Z477" si="930">ISBLANK(K477)</f>
        <v>1</v>
      </c>
      <c r="Y477" t="b">
        <f t="shared" si="930"/>
        <v>0</v>
      </c>
      <c r="Z477" t="b">
        <f t="shared" si="930"/>
        <v>0</v>
      </c>
      <c r="AA477">
        <f t="shared" ref="AA477:AC477" si="931">IF(X477=FALSE,1,0)</f>
        <v>0</v>
      </c>
      <c r="AB477">
        <f t="shared" si="931"/>
        <v>1</v>
      </c>
      <c r="AC477">
        <f t="shared" si="931"/>
        <v>1</v>
      </c>
      <c r="AD477">
        <f t="shared" si="6"/>
        <v>2</v>
      </c>
      <c r="AE477">
        <f t="shared" si="7"/>
        <v>1</v>
      </c>
      <c r="AF477">
        <f>if(iferror(vlookup($A477,'Description Database'!$E$2:$H$951,3,0),0)=TRUE,1,0)</f>
        <v>0</v>
      </c>
      <c r="AG477">
        <f>if(iferror(vlookup($A477,'Description Database'!$E$2:$H$951,4,0),0)=TRUE,1,0)</f>
        <v>0</v>
      </c>
    </row>
    <row r="478">
      <c r="A478" t="str">
        <f>IFERROR(__xludf.DUMMYFUNCTION("""COMPUTED_VALUE"""),"Xiaomi REDMI 6 (3 GB/32 GB)")</f>
        <v>Xiaomi REDMI 6 (3 GB/32 GB)</v>
      </c>
      <c r="B478" t="str">
        <f>IFERROR(__xludf.DUMMYFUNCTION("""COMPUTED_VALUE"""),"")</f>
        <v/>
      </c>
      <c r="C478">
        <f>IFERROR(__xludf.DUMMYFUNCTION("""COMPUTED_VALUE"""),1.0)</f>
        <v>1</v>
      </c>
      <c r="D478" t="str">
        <f>IFERROR(__xludf.DUMMYFUNCTION("""COMPUTED_VALUE"""),"")</f>
        <v/>
      </c>
      <c r="E478" t="str">
        <f>IFERROR(__xludf.DUMMYFUNCTION("""COMPUTED_VALUE"""),"")</f>
        <v/>
      </c>
      <c r="F478" t="str">
        <f>IFERROR(__xludf.DUMMYFUNCTION("""COMPUTED_VALUE"""),"")</f>
        <v/>
      </c>
      <c r="G478">
        <f>IFERROR(__xludf.DUMMYFUNCTION("""COMPUTED_VALUE"""),2.0)</f>
        <v>2</v>
      </c>
      <c r="H478" t="str">
        <f>IFERROR(__xludf.DUMMYFUNCTION("""COMPUTED_VALUE"""),"")</f>
        <v/>
      </c>
      <c r="I478">
        <f>IFERROR(__xludf.DUMMYFUNCTION("""COMPUTED_VALUE"""),12.0)</f>
        <v>12</v>
      </c>
      <c r="J478">
        <f>IFERROR(__xludf.DUMMYFUNCTION("""COMPUTED_VALUE"""),15.0)</f>
        <v>15</v>
      </c>
      <c r="L478" s="250" t="str">
        <f>IFERROR(__xludf.DUMMYFUNCTION("""COMPUTED_VALUE"""),"")</f>
        <v/>
      </c>
      <c r="M478" s="250">
        <f>IFERROR(__xludf.DUMMYFUNCTION("""COMPUTED_VALUE"""),4629.0)</f>
        <v>4629</v>
      </c>
      <c r="N478" s="250" t="str">
        <f>IFERROR(__xludf.DUMMYFUNCTION("""COMPUTED_VALUE"""),"")</f>
        <v/>
      </c>
      <c r="O478" s="250" t="str">
        <f>IFERROR(__xludf.DUMMYFUNCTION("""COMPUTED_VALUE"""),"")</f>
        <v/>
      </c>
      <c r="P478" s="250" t="str">
        <f>IFERROR(__xludf.DUMMYFUNCTION("""COMPUTED_VALUE"""),"")</f>
        <v/>
      </c>
      <c r="Q478" s="250">
        <f>IFERROR(__xludf.DUMMYFUNCTION("""COMPUTED_VALUE"""),2559.0)</f>
        <v>2559</v>
      </c>
      <c r="R478" s="250" t="str">
        <f>IFERROR(__xludf.DUMMYFUNCTION("""COMPUTED_VALUE"""),"")</f>
        <v/>
      </c>
      <c r="U478" s="250">
        <f>IFERROR(__xludf.DUMMYFUNCTION("""COMPUTED_VALUE"""),5359.0)</f>
        <v>5359</v>
      </c>
      <c r="V478" s="250">
        <f>IFERROR(__xludf.DUMMYFUNCTION("""COMPUTED_VALUE"""),5099.0)</f>
        <v>5099</v>
      </c>
      <c r="W478" s="250">
        <f>IFERROR(__xludf.DUMMYFUNCTION("""COMPUTED_VALUE"""),4589.0)</f>
        <v>4589</v>
      </c>
      <c r="X478" t="b">
        <f t="shared" ref="X478:Z478" si="932">ISBLANK(K478)</f>
        <v>1</v>
      </c>
      <c r="Y478" t="b">
        <f t="shared" si="932"/>
        <v>0</v>
      </c>
      <c r="Z478" t="b">
        <f t="shared" si="932"/>
        <v>0</v>
      </c>
      <c r="AA478">
        <f t="shared" ref="AA478:AC478" si="933">IF(X478=FALSE,1,0)</f>
        <v>0</v>
      </c>
      <c r="AB478">
        <f t="shared" si="933"/>
        <v>1</v>
      </c>
      <c r="AC478">
        <f t="shared" si="933"/>
        <v>1</v>
      </c>
      <c r="AD478">
        <f t="shared" si="6"/>
        <v>2</v>
      </c>
      <c r="AE478">
        <f t="shared" si="7"/>
        <v>1</v>
      </c>
      <c r="AF478">
        <f>if(iferror(vlookup($A478,'Description Database'!$E$2:$H$951,3,0),0)=TRUE,1,0)</f>
        <v>0</v>
      </c>
      <c r="AG478">
        <f>if(iferror(vlookup($A478,'Description Database'!$E$2:$H$951,4,0),0)=TRUE,1,0)</f>
        <v>0</v>
      </c>
    </row>
    <row r="479">
      <c r="A479" t="str">
        <f>IFERROR(__xludf.DUMMYFUNCTION("""COMPUTED_VALUE"""),"Samsung GALAXY J2 (2 GB/16 GB)")</f>
        <v>Samsung GALAXY J2 (2 GB/16 GB)</v>
      </c>
      <c r="B479" t="str">
        <f>IFERROR(__xludf.DUMMYFUNCTION("""COMPUTED_VALUE"""),"")</f>
        <v/>
      </c>
      <c r="C479" t="str">
        <f>IFERROR(__xludf.DUMMYFUNCTION("""COMPUTED_VALUE"""),"")</f>
        <v/>
      </c>
      <c r="D479" t="str">
        <f>IFERROR(__xludf.DUMMYFUNCTION("""COMPUTED_VALUE"""),"")</f>
        <v/>
      </c>
      <c r="E479" t="str">
        <f>IFERROR(__xludf.DUMMYFUNCTION("""COMPUTED_VALUE"""),"")</f>
        <v/>
      </c>
      <c r="F479" t="str">
        <f>IFERROR(__xludf.DUMMYFUNCTION("""COMPUTED_VALUE"""),"")</f>
        <v/>
      </c>
      <c r="G479" t="str">
        <f>IFERROR(__xludf.DUMMYFUNCTION("""COMPUTED_VALUE"""),"")</f>
        <v/>
      </c>
      <c r="H479" t="str">
        <f>IFERROR(__xludf.DUMMYFUNCTION("""COMPUTED_VALUE"""),"")</f>
        <v/>
      </c>
      <c r="I479">
        <f>IFERROR(__xludf.DUMMYFUNCTION("""COMPUTED_VALUE"""),2.0)</f>
        <v>2</v>
      </c>
      <c r="J479">
        <f>IFERROR(__xludf.DUMMYFUNCTION("""COMPUTED_VALUE"""),2.0)</f>
        <v>2</v>
      </c>
      <c r="L479" s="250" t="str">
        <f>IFERROR(__xludf.DUMMYFUNCTION("""COMPUTED_VALUE"""),"")</f>
        <v/>
      </c>
      <c r="M479" s="250" t="str">
        <f>IFERROR(__xludf.DUMMYFUNCTION("""COMPUTED_VALUE"""),"")</f>
        <v/>
      </c>
      <c r="N479" s="250" t="str">
        <f>IFERROR(__xludf.DUMMYFUNCTION("""COMPUTED_VALUE"""),"")</f>
        <v/>
      </c>
      <c r="O479" s="250" t="str">
        <f>IFERROR(__xludf.DUMMYFUNCTION("""COMPUTED_VALUE"""),"")</f>
        <v/>
      </c>
      <c r="P479" s="250" t="str">
        <f>IFERROR(__xludf.DUMMYFUNCTION("""COMPUTED_VALUE"""),"")</f>
        <v/>
      </c>
      <c r="Q479" s="250" t="str">
        <f>IFERROR(__xludf.DUMMYFUNCTION("""COMPUTED_VALUE"""),"")</f>
        <v/>
      </c>
      <c r="R479" s="250" t="str">
        <f>IFERROR(__xludf.DUMMYFUNCTION("""COMPUTED_VALUE"""),"")</f>
        <v/>
      </c>
      <c r="U479" s="250" t="str">
        <f>IFERROR(__xludf.DUMMYFUNCTION("""COMPUTED_VALUE"""),"#N/A")</f>
        <v>#N/A</v>
      </c>
      <c r="V479" s="250" t="str">
        <f>IFERROR(__xludf.DUMMYFUNCTION("""COMPUTED_VALUE"""),"#N/A")</f>
        <v>#N/A</v>
      </c>
      <c r="W479" s="250" t="str">
        <f>IFERROR(__xludf.DUMMYFUNCTION("""COMPUTED_VALUE"""),"#N/A")</f>
        <v>#N/A</v>
      </c>
      <c r="X479" t="b">
        <f t="shared" ref="X479:Z479" si="934">ISBLANK(K479)</f>
        <v>1</v>
      </c>
      <c r="Y479" t="b">
        <f t="shared" si="934"/>
        <v>0</v>
      </c>
      <c r="Z479" t="b">
        <f t="shared" si="934"/>
        <v>0</v>
      </c>
      <c r="AA479">
        <f t="shared" ref="AA479:AC479" si="935">IF(X479=FALSE,1,0)</f>
        <v>0</v>
      </c>
      <c r="AB479">
        <f t="shared" si="935"/>
        <v>1</v>
      </c>
      <c r="AC479">
        <f t="shared" si="935"/>
        <v>1</v>
      </c>
      <c r="AD479">
        <f t="shared" si="6"/>
        <v>2</v>
      </c>
      <c r="AE479">
        <f t="shared" si="7"/>
        <v>1</v>
      </c>
      <c r="AF479">
        <f>if(iferror(vlookup($A479,'Description Database'!$E$2:$H$951,3,0),0)=TRUE,1,0)</f>
        <v>0</v>
      </c>
      <c r="AG479">
        <f>if(iferror(vlookup($A479,'Description Database'!$E$2:$H$951,4,0),0)=TRUE,1,0)</f>
        <v>0</v>
      </c>
    </row>
    <row r="480">
      <c r="A480" t="str">
        <f>IFERROR(__xludf.DUMMYFUNCTION("""COMPUTED_VALUE"""),"Oppo F1S (2 GB/16 GB)")</f>
        <v>Oppo F1S (2 GB/16 GB)</v>
      </c>
      <c r="B480" t="str">
        <f>IFERROR(__xludf.DUMMYFUNCTION("""COMPUTED_VALUE"""),"")</f>
        <v/>
      </c>
      <c r="C480" t="str">
        <f>IFERROR(__xludf.DUMMYFUNCTION("""COMPUTED_VALUE"""),"")</f>
        <v/>
      </c>
      <c r="D480" t="str">
        <f>IFERROR(__xludf.DUMMYFUNCTION("""COMPUTED_VALUE"""),"")</f>
        <v/>
      </c>
      <c r="E480" t="str">
        <f>IFERROR(__xludf.DUMMYFUNCTION("""COMPUTED_VALUE"""),"")</f>
        <v/>
      </c>
      <c r="F480" t="str">
        <f>IFERROR(__xludf.DUMMYFUNCTION("""COMPUTED_VALUE"""),"")</f>
        <v/>
      </c>
      <c r="G480" t="str">
        <f>IFERROR(__xludf.DUMMYFUNCTION("""COMPUTED_VALUE"""),"")</f>
        <v/>
      </c>
      <c r="H480" t="str">
        <f>IFERROR(__xludf.DUMMYFUNCTION("""COMPUTED_VALUE"""),"")</f>
        <v/>
      </c>
      <c r="I480" t="str">
        <f>IFERROR(__xludf.DUMMYFUNCTION("""COMPUTED_VALUE"""),"")</f>
        <v/>
      </c>
      <c r="J480">
        <f>IFERROR(__xludf.DUMMYFUNCTION("""COMPUTED_VALUE"""),0.0)</f>
        <v>0</v>
      </c>
      <c r="L480" s="250" t="str">
        <f>IFERROR(__xludf.DUMMYFUNCTION("""COMPUTED_VALUE"""),"")</f>
        <v/>
      </c>
      <c r="M480" s="250" t="str">
        <f>IFERROR(__xludf.DUMMYFUNCTION("""COMPUTED_VALUE"""),"")</f>
        <v/>
      </c>
      <c r="N480" s="250" t="str">
        <f>IFERROR(__xludf.DUMMYFUNCTION("""COMPUTED_VALUE"""),"")</f>
        <v/>
      </c>
      <c r="O480" s="250" t="str">
        <f>IFERROR(__xludf.DUMMYFUNCTION("""COMPUTED_VALUE"""),"")</f>
        <v/>
      </c>
      <c r="P480" s="250" t="str">
        <f>IFERROR(__xludf.DUMMYFUNCTION("""COMPUTED_VALUE"""),"")</f>
        <v/>
      </c>
      <c r="Q480" s="250" t="str">
        <f>IFERROR(__xludf.DUMMYFUNCTION("""COMPUTED_VALUE"""),"")</f>
        <v/>
      </c>
      <c r="R480" s="250" t="str">
        <f>IFERROR(__xludf.DUMMYFUNCTION("""COMPUTED_VALUE"""),"")</f>
        <v/>
      </c>
      <c r="U480" s="250" t="str">
        <f>IFERROR(__xludf.DUMMYFUNCTION("""COMPUTED_VALUE"""),"#N/A")</f>
        <v>#N/A</v>
      </c>
      <c r="V480" s="250" t="str">
        <f>IFERROR(__xludf.DUMMYFUNCTION("""COMPUTED_VALUE"""),"#N/A")</f>
        <v>#N/A</v>
      </c>
      <c r="W480" s="250" t="str">
        <f>IFERROR(__xludf.DUMMYFUNCTION("""COMPUTED_VALUE"""),"#N/A")</f>
        <v>#N/A</v>
      </c>
      <c r="X480" t="b">
        <f t="shared" ref="X480:Z480" si="936">ISBLANK(K480)</f>
        <v>1</v>
      </c>
      <c r="Y480" t="b">
        <f t="shared" si="936"/>
        <v>0</v>
      </c>
      <c r="Z480" t="b">
        <f t="shared" si="936"/>
        <v>0</v>
      </c>
      <c r="AA480">
        <f t="shared" ref="AA480:AC480" si="937">IF(X480=FALSE,1,0)</f>
        <v>0</v>
      </c>
      <c r="AB480">
        <f t="shared" si="937"/>
        <v>1</v>
      </c>
      <c r="AC480">
        <f t="shared" si="937"/>
        <v>1</v>
      </c>
      <c r="AD480">
        <f t="shared" si="6"/>
        <v>2</v>
      </c>
      <c r="AE480">
        <f t="shared" si="7"/>
        <v>1</v>
      </c>
      <c r="AF480">
        <f>if(iferror(vlookup($A480,'Description Database'!$E$2:$H$951,3,0),0)=TRUE,1,0)</f>
        <v>0</v>
      </c>
      <c r="AG480">
        <f>if(iferror(vlookup($A480,'Description Database'!$E$2:$H$951,4,0),0)=TRUE,1,0)</f>
        <v>0</v>
      </c>
    </row>
    <row r="481">
      <c r="A481" t="str">
        <f>IFERROR(__xludf.DUMMYFUNCTION("""COMPUTED_VALUE"""),"Xiaomi REDMI Y1 (2 GB/32 GB)")</f>
        <v>Xiaomi REDMI Y1 (2 GB/32 GB)</v>
      </c>
      <c r="B481" t="str">
        <f>IFERROR(__xludf.DUMMYFUNCTION("""COMPUTED_VALUE"""),"")</f>
        <v/>
      </c>
      <c r="C481" t="str">
        <f>IFERROR(__xludf.DUMMYFUNCTION("""COMPUTED_VALUE"""),"")</f>
        <v/>
      </c>
      <c r="D481" t="str">
        <f>IFERROR(__xludf.DUMMYFUNCTION("""COMPUTED_VALUE"""),"")</f>
        <v/>
      </c>
      <c r="E481" t="str">
        <f>IFERROR(__xludf.DUMMYFUNCTION("""COMPUTED_VALUE"""),"")</f>
        <v/>
      </c>
      <c r="F481" t="str">
        <f>IFERROR(__xludf.DUMMYFUNCTION("""COMPUTED_VALUE"""),"")</f>
        <v/>
      </c>
      <c r="G481" t="str">
        <f>IFERROR(__xludf.DUMMYFUNCTION("""COMPUTED_VALUE"""),"")</f>
        <v/>
      </c>
      <c r="H481" t="str">
        <f>IFERROR(__xludf.DUMMYFUNCTION("""COMPUTED_VALUE"""),"")</f>
        <v/>
      </c>
      <c r="I481">
        <f>IFERROR(__xludf.DUMMYFUNCTION("""COMPUTED_VALUE"""),2.0)</f>
        <v>2</v>
      </c>
      <c r="J481">
        <f>IFERROR(__xludf.DUMMYFUNCTION("""COMPUTED_VALUE"""),2.0)</f>
        <v>2</v>
      </c>
      <c r="L481" s="250" t="str">
        <f>IFERROR(__xludf.DUMMYFUNCTION("""COMPUTED_VALUE"""),"")</f>
        <v/>
      </c>
      <c r="M481" s="250" t="str">
        <f>IFERROR(__xludf.DUMMYFUNCTION("""COMPUTED_VALUE"""),"")</f>
        <v/>
      </c>
      <c r="N481" s="250" t="str">
        <f>IFERROR(__xludf.DUMMYFUNCTION("""COMPUTED_VALUE"""),"")</f>
        <v/>
      </c>
      <c r="O481" s="250" t="str">
        <f>IFERROR(__xludf.DUMMYFUNCTION("""COMPUTED_VALUE"""),"")</f>
        <v/>
      </c>
      <c r="P481" s="250" t="str">
        <f>IFERROR(__xludf.DUMMYFUNCTION("""COMPUTED_VALUE"""),"")</f>
        <v/>
      </c>
      <c r="Q481" s="250" t="str">
        <f>IFERROR(__xludf.DUMMYFUNCTION("""COMPUTED_VALUE"""),"")</f>
        <v/>
      </c>
      <c r="R481" s="250" t="str">
        <f>IFERROR(__xludf.DUMMYFUNCTION("""COMPUTED_VALUE"""),"")</f>
        <v/>
      </c>
      <c r="U481" s="250" t="str">
        <f>IFERROR(__xludf.DUMMYFUNCTION("""COMPUTED_VALUE"""),"#N/A")</f>
        <v>#N/A</v>
      </c>
      <c r="V481" s="250" t="str">
        <f>IFERROR(__xludf.DUMMYFUNCTION("""COMPUTED_VALUE"""),"#N/A")</f>
        <v>#N/A</v>
      </c>
      <c r="W481" s="250" t="str">
        <f>IFERROR(__xludf.DUMMYFUNCTION("""COMPUTED_VALUE"""),"#N/A")</f>
        <v>#N/A</v>
      </c>
      <c r="X481" t="b">
        <f t="shared" ref="X481:Z481" si="938">ISBLANK(K481)</f>
        <v>1</v>
      </c>
      <c r="Y481" t="b">
        <f t="shared" si="938"/>
        <v>0</v>
      </c>
      <c r="Z481" t="b">
        <f t="shared" si="938"/>
        <v>0</v>
      </c>
      <c r="AA481">
        <f t="shared" ref="AA481:AC481" si="939">IF(X481=FALSE,1,0)</f>
        <v>0</v>
      </c>
      <c r="AB481">
        <f t="shared" si="939"/>
        <v>1</v>
      </c>
      <c r="AC481">
        <f t="shared" si="939"/>
        <v>1</v>
      </c>
      <c r="AD481">
        <f t="shared" si="6"/>
        <v>2</v>
      </c>
      <c r="AE481">
        <f t="shared" si="7"/>
        <v>1</v>
      </c>
      <c r="AF481">
        <f>if(iferror(vlookup($A481,'Description Database'!$E$2:$H$951,3,0),0)=TRUE,1,0)</f>
        <v>0</v>
      </c>
      <c r="AG481">
        <f>if(iferror(vlookup($A481,'Description Database'!$E$2:$H$951,4,0),0)=TRUE,1,0)</f>
        <v>0</v>
      </c>
    </row>
    <row r="482">
      <c r="A482" t="str">
        <f>IFERROR(__xludf.DUMMYFUNCTION("""COMPUTED_VALUE"""),"Huawei HONOR 9 (3 GB/32 GB)")</f>
        <v>Huawei HONOR 9 (3 GB/32 GB)</v>
      </c>
      <c r="B482" t="str">
        <f>IFERROR(__xludf.DUMMYFUNCTION("""COMPUTED_VALUE"""),"")</f>
        <v/>
      </c>
      <c r="C482" t="str">
        <f>IFERROR(__xludf.DUMMYFUNCTION("""COMPUTED_VALUE"""),"")</f>
        <v/>
      </c>
      <c r="D482" t="str">
        <f>IFERROR(__xludf.DUMMYFUNCTION("""COMPUTED_VALUE"""),"")</f>
        <v/>
      </c>
      <c r="E482" t="str">
        <f>IFERROR(__xludf.DUMMYFUNCTION("""COMPUTED_VALUE"""),"")</f>
        <v/>
      </c>
      <c r="F482" t="str">
        <f>IFERROR(__xludf.DUMMYFUNCTION("""COMPUTED_VALUE"""),"")</f>
        <v/>
      </c>
      <c r="G482" t="str">
        <f>IFERROR(__xludf.DUMMYFUNCTION("""COMPUTED_VALUE"""),"")</f>
        <v/>
      </c>
      <c r="H482" t="str">
        <f>IFERROR(__xludf.DUMMYFUNCTION("""COMPUTED_VALUE"""),"")</f>
        <v/>
      </c>
      <c r="I482" t="str">
        <f>IFERROR(__xludf.DUMMYFUNCTION("""COMPUTED_VALUE"""),"")</f>
        <v/>
      </c>
      <c r="J482">
        <f>IFERROR(__xludf.DUMMYFUNCTION("""COMPUTED_VALUE"""),0.0)</f>
        <v>0</v>
      </c>
      <c r="L482" s="250" t="str">
        <f>IFERROR(__xludf.DUMMYFUNCTION("""COMPUTED_VALUE"""),"")</f>
        <v/>
      </c>
      <c r="M482" s="250" t="str">
        <f>IFERROR(__xludf.DUMMYFUNCTION("""COMPUTED_VALUE"""),"")</f>
        <v/>
      </c>
      <c r="N482" s="250" t="str">
        <f>IFERROR(__xludf.DUMMYFUNCTION("""COMPUTED_VALUE"""),"")</f>
        <v/>
      </c>
      <c r="O482" s="250" t="str">
        <f>IFERROR(__xludf.DUMMYFUNCTION("""COMPUTED_VALUE"""),"")</f>
        <v/>
      </c>
      <c r="P482" s="250" t="str">
        <f>IFERROR(__xludf.DUMMYFUNCTION("""COMPUTED_VALUE"""),"")</f>
        <v/>
      </c>
      <c r="Q482" s="250" t="str">
        <f>IFERROR(__xludf.DUMMYFUNCTION("""COMPUTED_VALUE"""),"")</f>
        <v/>
      </c>
      <c r="R482" s="250" t="str">
        <f>IFERROR(__xludf.DUMMYFUNCTION("""COMPUTED_VALUE"""),"")</f>
        <v/>
      </c>
      <c r="U482" s="250" t="str">
        <f>IFERROR(__xludf.DUMMYFUNCTION("""COMPUTED_VALUE"""),"#N/A")</f>
        <v>#N/A</v>
      </c>
      <c r="V482" s="250" t="str">
        <f>IFERROR(__xludf.DUMMYFUNCTION("""COMPUTED_VALUE"""),"#N/A")</f>
        <v>#N/A</v>
      </c>
      <c r="W482" s="250" t="str">
        <f>IFERROR(__xludf.DUMMYFUNCTION("""COMPUTED_VALUE"""),"#N/A")</f>
        <v>#N/A</v>
      </c>
      <c r="X482" t="b">
        <f t="shared" ref="X482:Z482" si="940">ISBLANK(K482)</f>
        <v>1</v>
      </c>
      <c r="Y482" t="b">
        <f t="shared" si="940"/>
        <v>0</v>
      </c>
      <c r="Z482" t="b">
        <f t="shared" si="940"/>
        <v>0</v>
      </c>
      <c r="AA482">
        <f t="shared" ref="AA482:AC482" si="941">IF(X482=FALSE,1,0)</f>
        <v>0</v>
      </c>
      <c r="AB482">
        <f t="shared" si="941"/>
        <v>1</v>
      </c>
      <c r="AC482">
        <f t="shared" si="941"/>
        <v>1</v>
      </c>
      <c r="AD482">
        <f t="shared" si="6"/>
        <v>2</v>
      </c>
      <c r="AE482">
        <f t="shared" si="7"/>
        <v>1</v>
      </c>
      <c r="AF482">
        <f>if(iferror(vlookup($A482,'Description Database'!$E$2:$H$951,3,0),0)=TRUE,1,0)</f>
        <v>0</v>
      </c>
      <c r="AG482">
        <f>if(iferror(vlookup($A482,'Description Database'!$E$2:$H$951,4,0),0)=TRUE,1,0)</f>
        <v>0</v>
      </c>
    </row>
    <row r="483">
      <c r="A483" t="str">
        <f>IFERROR(__xludf.DUMMYFUNCTION("""COMPUTED_VALUE"""),"Samsung GALAXY S4 (3 GB/32 GB)")</f>
        <v>Samsung GALAXY S4 (3 GB/32 GB)</v>
      </c>
      <c r="B483" t="str">
        <f>IFERROR(__xludf.DUMMYFUNCTION("""COMPUTED_VALUE"""),"")</f>
        <v/>
      </c>
      <c r="C483" t="str">
        <f>IFERROR(__xludf.DUMMYFUNCTION("""COMPUTED_VALUE"""),"")</f>
        <v/>
      </c>
      <c r="D483" t="str">
        <f>IFERROR(__xludf.DUMMYFUNCTION("""COMPUTED_VALUE"""),"")</f>
        <v/>
      </c>
      <c r="E483" t="str">
        <f>IFERROR(__xludf.DUMMYFUNCTION("""COMPUTED_VALUE"""),"")</f>
        <v/>
      </c>
      <c r="F483" t="str">
        <f>IFERROR(__xludf.DUMMYFUNCTION("""COMPUTED_VALUE"""),"")</f>
        <v/>
      </c>
      <c r="G483" t="str">
        <f>IFERROR(__xludf.DUMMYFUNCTION("""COMPUTED_VALUE"""),"")</f>
        <v/>
      </c>
      <c r="H483" t="str">
        <f>IFERROR(__xludf.DUMMYFUNCTION("""COMPUTED_VALUE"""),"")</f>
        <v/>
      </c>
      <c r="I483" t="str">
        <f>IFERROR(__xludf.DUMMYFUNCTION("""COMPUTED_VALUE"""),"")</f>
        <v/>
      </c>
      <c r="J483">
        <f>IFERROR(__xludf.DUMMYFUNCTION("""COMPUTED_VALUE"""),0.0)</f>
        <v>0</v>
      </c>
      <c r="L483" s="250" t="str">
        <f>IFERROR(__xludf.DUMMYFUNCTION("""COMPUTED_VALUE"""),"")</f>
        <v/>
      </c>
      <c r="M483" s="250" t="str">
        <f>IFERROR(__xludf.DUMMYFUNCTION("""COMPUTED_VALUE"""),"")</f>
        <v/>
      </c>
      <c r="N483" s="250" t="str">
        <f>IFERROR(__xludf.DUMMYFUNCTION("""COMPUTED_VALUE"""),"")</f>
        <v/>
      </c>
      <c r="O483" s="250" t="str">
        <f>IFERROR(__xludf.DUMMYFUNCTION("""COMPUTED_VALUE"""),"")</f>
        <v/>
      </c>
      <c r="P483" s="250" t="str">
        <f>IFERROR(__xludf.DUMMYFUNCTION("""COMPUTED_VALUE"""),"")</f>
        <v/>
      </c>
      <c r="Q483" s="250" t="str">
        <f>IFERROR(__xludf.DUMMYFUNCTION("""COMPUTED_VALUE"""),"")</f>
        <v/>
      </c>
      <c r="R483" s="250" t="str">
        <f>IFERROR(__xludf.DUMMYFUNCTION("""COMPUTED_VALUE"""),"")</f>
        <v/>
      </c>
      <c r="U483" s="250" t="str">
        <f>IFERROR(__xludf.DUMMYFUNCTION("""COMPUTED_VALUE"""),"#N/A")</f>
        <v>#N/A</v>
      </c>
      <c r="V483" s="250" t="str">
        <f>IFERROR(__xludf.DUMMYFUNCTION("""COMPUTED_VALUE"""),"#N/A")</f>
        <v>#N/A</v>
      </c>
      <c r="W483" s="250" t="str">
        <f>IFERROR(__xludf.DUMMYFUNCTION("""COMPUTED_VALUE"""),"#N/A")</f>
        <v>#N/A</v>
      </c>
      <c r="X483" t="b">
        <f t="shared" ref="X483:Z483" si="942">ISBLANK(K483)</f>
        <v>1</v>
      </c>
      <c r="Y483" t="b">
        <f t="shared" si="942"/>
        <v>0</v>
      </c>
      <c r="Z483" t="b">
        <f t="shared" si="942"/>
        <v>0</v>
      </c>
      <c r="AA483">
        <f t="shared" ref="AA483:AC483" si="943">IF(X483=FALSE,1,0)</f>
        <v>0</v>
      </c>
      <c r="AB483">
        <f t="shared" si="943"/>
        <v>1</v>
      </c>
      <c r="AC483">
        <f t="shared" si="943"/>
        <v>1</v>
      </c>
      <c r="AD483">
        <f t="shared" si="6"/>
        <v>2</v>
      </c>
      <c r="AE483">
        <f t="shared" si="7"/>
        <v>1</v>
      </c>
      <c r="AF483">
        <f>if(iferror(vlookup($A483,'Description Database'!$E$2:$H$951,3,0),0)=TRUE,1,0)</f>
        <v>0</v>
      </c>
      <c r="AG483">
        <f>if(iferror(vlookup($A483,'Description Database'!$E$2:$H$951,4,0),0)=TRUE,1,0)</f>
        <v>0</v>
      </c>
    </row>
    <row r="484">
      <c r="A484" t="str">
        <f>IFERROR(__xludf.DUMMYFUNCTION("""COMPUTED_VALUE"""),"Nokia LUMIA 625 (1 GB/8 GB)")</f>
        <v>Nokia LUMIA 625 (1 GB/8 GB)</v>
      </c>
      <c r="B484" t="str">
        <f>IFERROR(__xludf.DUMMYFUNCTION("""COMPUTED_VALUE"""),"")</f>
        <v/>
      </c>
      <c r="C484" t="str">
        <f>IFERROR(__xludf.DUMMYFUNCTION("""COMPUTED_VALUE"""),"")</f>
        <v/>
      </c>
      <c r="D484" t="str">
        <f>IFERROR(__xludf.DUMMYFUNCTION("""COMPUTED_VALUE"""),"")</f>
        <v/>
      </c>
      <c r="E484" t="str">
        <f>IFERROR(__xludf.DUMMYFUNCTION("""COMPUTED_VALUE"""),"")</f>
        <v/>
      </c>
      <c r="F484" t="str">
        <f>IFERROR(__xludf.DUMMYFUNCTION("""COMPUTED_VALUE"""),"")</f>
        <v/>
      </c>
      <c r="G484" t="str">
        <f>IFERROR(__xludf.DUMMYFUNCTION("""COMPUTED_VALUE"""),"")</f>
        <v/>
      </c>
      <c r="H484" t="str">
        <f>IFERROR(__xludf.DUMMYFUNCTION("""COMPUTED_VALUE"""),"")</f>
        <v/>
      </c>
      <c r="I484">
        <f>IFERROR(__xludf.DUMMYFUNCTION("""COMPUTED_VALUE"""),2.0)</f>
        <v>2</v>
      </c>
      <c r="J484">
        <f>IFERROR(__xludf.DUMMYFUNCTION("""COMPUTED_VALUE"""),2.0)</f>
        <v>2</v>
      </c>
      <c r="L484" s="250" t="str">
        <f>IFERROR(__xludf.DUMMYFUNCTION("""COMPUTED_VALUE"""),"")</f>
        <v/>
      </c>
      <c r="M484" s="250" t="str">
        <f>IFERROR(__xludf.DUMMYFUNCTION("""COMPUTED_VALUE"""),"")</f>
        <v/>
      </c>
      <c r="N484" s="250" t="str">
        <f>IFERROR(__xludf.DUMMYFUNCTION("""COMPUTED_VALUE"""),"")</f>
        <v/>
      </c>
      <c r="O484" s="250" t="str">
        <f>IFERROR(__xludf.DUMMYFUNCTION("""COMPUTED_VALUE"""),"")</f>
        <v/>
      </c>
      <c r="P484" s="250" t="str">
        <f>IFERROR(__xludf.DUMMYFUNCTION("""COMPUTED_VALUE"""),"")</f>
        <v/>
      </c>
      <c r="Q484" s="250" t="str">
        <f>IFERROR(__xludf.DUMMYFUNCTION("""COMPUTED_VALUE"""),"")</f>
        <v/>
      </c>
      <c r="R484" s="250" t="str">
        <f>IFERROR(__xludf.DUMMYFUNCTION("""COMPUTED_VALUE"""),"")</f>
        <v/>
      </c>
      <c r="U484" s="250" t="str">
        <f>IFERROR(__xludf.DUMMYFUNCTION("""COMPUTED_VALUE"""),"#N/A")</f>
        <v>#N/A</v>
      </c>
      <c r="V484" s="250" t="str">
        <f>IFERROR(__xludf.DUMMYFUNCTION("""COMPUTED_VALUE"""),"#N/A")</f>
        <v>#N/A</v>
      </c>
      <c r="W484" s="250" t="str">
        <f>IFERROR(__xludf.DUMMYFUNCTION("""COMPUTED_VALUE"""),"#N/A")</f>
        <v>#N/A</v>
      </c>
      <c r="X484" t="b">
        <f t="shared" ref="X484:Z484" si="944">ISBLANK(K484)</f>
        <v>1</v>
      </c>
      <c r="Y484" t="b">
        <f t="shared" si="944"/>
        <v>0</v>
      </c>
      <c r="Z484" t="b">
        <f t="shared" si="944"/>
        <v>0</v>
      </c>
      <c r="AA484">
        <f t="shared" ref="AA484:AC484" si="945">IF(X484=FALSE,1,0)</f>
        <v>0</v>
      </c>
      <c r="AB484">
        <f t="shared" si="945"/>
        <v>1</v>
      </c>
      <c r="AC484">
        <f t="shared" si="945"/>
        <v>1</v>
      </c>
      <c r="AD484">
        <f t="shared" si="6"/>
        <v>2</v>
      </c>
      <c r="AE484">
        <f t="shared" si="7"/>
        <v>1</v>
      </c>
      <c r="AF484">
        <f>if(iferror(vlookup($A484,'Description Database'!$E$2:$H$951,3,0),0)=TRUE,1,0)</f>
        <v>0</v>
      </c>
      <c r="AG484">
        <f>if(iferror(vlookup($A484,'Description Database'!$E$2:$H$951,4,0),0)=TRUE,1,0)</f>
        <v>0</v>
      </c>
    </row>
    <row r="485">
      <c r="A485" t="str">
        <f>IFERROR(__xludf.DUMMYFUNCTION("""COMPUTED_VALUE"""),"Samsung GALAXY S6 (2 GB/16 GB)")</f>
        <v>Samsung GALAXY S6 (2 GB/16 GB)</v>
      </c>
      <c r="B485" t="str">
        <f>IFERROR(__xludf.DUMMYFUNCTION("""COMPUTED_VALUE"""),"")</f>
        <v/>
      </c>
      <c r="C485" t="str">
        <f>IFERROR(__xludf.DUMMYFUNCTION("""COMPUTED_VALUE"""),"")</f>
        <v/>
      </c>
      <c r="D485" t="str">
        <f>IFERROR(__xludf.DUMMYFUNCTION("""COMPUTED_VALUE"""),"")</f>
        <v/>
      </c>
      <c r="E485" t="str">
        <f>IFERROR(__xludf.DUMMYFUNCTION("""COMPUTED_VALUE"""),"")</f>
        <v/>
      </c>
      <c r="F485" t="str">
        <f>IFERROR(__xludf.DUMMYFUNCTION("""COMPUTED_VALUE"""),"")</f>
        <v/>
      </c>
      <c r="G485" t="str">
        <f>IFERROR(__xludf.DUMMYFUNCTION("""COMPUTED_VALUE"""),"")</f>
        <v/>
      </c>
      <c r="H485" t="str">
        <f>IFERROR(__xludf.DUMMYFUNCTION("""COMPUTED_VALUE"""),"")</f>
        <v/>
      </c>
      <c r="I485">
        <f>IFERROR(__xludf.DUMMYFUNCTION("""COMPUTED_VALUE"""),1.0)</f>
        <v>1</v>
      </c>
      <c r="J485">
        <f>IFERROR(__xludf.DUMMYFUNCTION("""COMPUTED_VALUE"""),1.0)</f>
        <v>1</v>
      </c>
      <c r="L485" s="250" t="str">
        <f>IFERROR(__xludf.DUMMYFUNCTION("""COMPUTED_VALUE"""),"")</f>
        <v/>
      </c>
      <c r="M485" s="250" t="str">
        <f>IFERROR(__xludf.DUMMYFUNCTION("""COMPUTED_VALUE"""),"")</f>
        <v/>
      </c>
      <c r="N485" s="250" t="str">
        <f>IFERROR(__xludf.DUMMYFUNCTION("""COMPUTED_VALUE"""),"")</f>
        <v/>
      </c>
      <c r="O485" s="250" t="str">
        <f>IFERROR(__xludf.DUMMYFUNCTION("""COMPUTED_VALUE"""),"")</f>
        <v/>
      </c>
      <c r="P485" s="250" t="str">
        <f>IFERROR(__xludf.DUMMYFUNCTION("""COMPUTED_VALUE"""),"")</f>
        <v/>
      </c>
      <c r="Q485" s="250" t="str">
        <f>IFERROR(__xludf.DUMMYFUNCTION("""COMPUTED_VALUE"""),"")</f>
        <v/>
      </c>
      <c r="R485" s="250" t="str">
        <f>IFERROR(__xludf.DUMMYFUNCTION("""COMPUTED_VALUE"""),"")</f>
        <v/>
      </c>
      <c r="U485" s="250" t="str">
        <f>IFERROR(__xludf.DUMMYFUNCTION("""COMPUTED_VALUE"""),"#N/A")</f>
        <v>#N/A</v>
      </c>
      <c r="V485" s="250" t="str">
        <f>IFERROR(__xludf.DUMMYFUNCTION("""COMPUTED_VALUE"""),"#N/A")</f>
        <v>#N/A</v>
      </c>
      <c r="W485" s="250" t="str">
        <f>IFERROR(__xludf.DUMMYFUNCTION("""COMPUTED_VALUE"""),"#N/A")</f>
        <v>#N/A</v>
      </c>
      <c r="X485" t="b">
        <f t="shared" ref="X485:Z485" si="946">ISBLANK(K485)</f>
        <v>1</v>
      </c>
      <c r="Y485" t="b">
        <f t="shared" si="946"/>
        <v>0</v>
      </c>
      <c r="Z485" t="b">
        <f t="shared" si="946"/>
        <v>0</v>
      </c>
      <c r="AA485">
        <f t="shared" ref="AA485:AC485" si="947">IF(X485=FALSE,1,0)</f>
        <v>0</v>
      </c>
      <c r="AB485">
        <f t="shared" si="947"/>
        <v>1</v>
      </c>
      <c r="AC485">
        <f t="shared" si="947"/>
        <v>1</v>
      </c>
      <c r="AD485">
        <f t="shared" si="6"/>
        <v>2</v>
      </c>
      <c r="AE485">
        <f t="shared" si="7"/>
        <v>1</v>
      </c>
      <c r="AF485">
        <f>if(iferror(vlookup($A485,'Description Database'!$E$2:$H$951,3,0),0)=TRUE,1,0)</f>
        <v>0</v>
      </c>
      <c r="AG485">
        <f>if(iferror(vlookup($A485,'Description Database'!$E$2:$H$951,4,0),0)=TRUE,1,0)</f>
        <v>0</v>
      </c>
    </row>
    <row r="486">
      <c r="A486" t="str">
        <f>IFERROR(__xludf.DUMMYFUNCTION("""COMPUTED_VALUE"""),"Vivo V5S (2 GB/16 GB)")</f>
        <v>Vivo V5S (2 GB/16 GB)</v>
      </c>
      <c r="B486" t="str">
        <f>IFERROR(__xludf.DUMMYFUNCTION("""COMPUTED_VALUE"""),"")</f>
        <v/>
      </c>
      <c r="C486" t="str">
        <f>IFERROR(__xludf.DUMMYFUNCTION("""COMPUTED_VALUE"""),"")</f>
        <v/>
      </c>
      <c r="D486" t="str">
        <f>IFERROR(__xludf.DUMMYFUNCTION("""COMPUTED_VALUE"""),"")</f>
        <v/>
      </c>
      <c r="E486" t="str">
        <f>IFERROR(__xludf.DUMMYFUNCTION("""COMPUTED_VALUE"""),"")</f>
        <v/>
      </c>
      <c r="F486" t="str">
        <f>IFERROR(__xludf.DUMMYFUNCTION("""COMPUTED_VALUE"""),"")</f>
        <v/>
      </c>
      <c r="G486" t="str">
        <f>IFERROR(__xludf.DUMMYFUNCTION("""COMPUTED_VALUE"""),"")</f>
        <v/>
      </c>
      <c r="H486" t="str">
        <f>IFERROR(__xludf.DUMMYFUNCTION("""COMPUTED_VALUE"""),"")</f>
        <v/>
      </c>
      <c r="I486">
        <f>IFERROR(__xludf.DUMMYFUNCTION("""COMPUTED_VALUE"""),2.0)</f>
        <v>2</v>
      </c>
      <c r="J486">
        <f>IFERROR(__xludf.DUMMYFUNCTION("""COMPUTED_VALUE"""),2.0)</f>
        <v>2</v>
      </c>
      <c r="L486" s="250" t="str">
        <f>IFERROR(__xludf.DUMMYFUNCTION("""COMPUTED_VALUE"""),"")</f>
        <v/>
      </c>
      <c r="M486" s="250" t="str">
        <f>IFERROR(__xludf.DUMMYFUNCTION("""COMPUTED_VALUE"""),"")</f>
        <v/>
      </c>
      <c r="N486" s="250" t="str">
        <f>IFERROR(__xludf.DUMMYFUNCTION("""COMPUTED_VALUE"""),"")</f>
        <v/>
      </c>
      <c r="O486" s="250" t="str">
        <f>IFERROR(__xludf.DUMMYFUNCTION("""COMPUTED_VALUE"""),"")</f>
        <v/>
      </c>
      <c r="P486" s="250" t="str">
        <f>IFERROR(__xludf.DUMMYFUNCTION("""COMPUTED_VALUE"""),"")</f>
        <v/>
      </c>
      <c r="Q486" s="250" t="str">
        <f>IFERROR(__xludf.DUMMYFUNCTION("""COMPUTED_VALUE"""),"")</f>
        <v/>
      </c>
      <c r="R486" s="250" t="str">
        <f>IFERROR(__xludf.DUMMYFUNCTION("""COMPUTED_VALUE"""),"")</f>
        <v/>
      </c>
      <c r="U486" s="250" t="str">
        <f>IFERROR(__xludf.DUMMYFUNCTION("""COMPUTED_VALUE"""),"#N/A")</f>
        <v>#N/A</v>
      </c>
      <c r="V486" s="250" t="str">
        <f>IFERROR(__xludf.DUMMYFUNCTION("""COMPUTED_VALUE"""),"#N/A")</f>
        <v>#N/A</v>
      </c>
      <c r="W486" s="250" t="str">
        <f>IFERROR(__xludf.DUMMYFUNCTION("""COMPUTED_VALUE"""),"#N/A")</f>
        <v>#N/A</v>
      </c>
      <c r="X486" t="b">
        <f t="shared" ref="X486:Z486" si="948">ISBLANK(K486)</f>
        <v>1</v>
      </c>
      <c r="Y486" t="b">
        <f t="shared" si="948"/>
        <v>0</v>
      </c>
      <c r="Z486" t="b">
        <f t="shared" si="948"/>
        <v>0</v>
      </c>
      <c r="AA486">
        <f t="shared" ref="AA486:AC486" si="949">IF(X486=FALSE,1,0)</f>
        <v>0</v>
      </c>
      <c r="AB486">
        <f t="shared" si="949"/>
        <v>1</v>
      </c>
      <c r="AC486">
        <f t="shared" si="949"/>
        <v>1</v>
      </c>
      <c r="AD486">
        <f t="shared" si="6"/>
        <v>2</v>
      </c>
      <c r="AE486">
        <f t="shared" si="7"/>
        <v>1</v>
      </c>
      <c r="AF486">
        <f>if(iferror(vlookup($A486,'Description Database'!$E$2:$H$951,3,0),0)=TRUE,1,0)</f>
        <v>0</v>
      </c>
      <c r="AG486">
        <f>if(iferror(vlookup($A486,'Description Database'!$E$2:$H$951,4,0),0)=TRUE,1,0)</f>
        <v>0</v>
      </c>
    </row>
    <row r="487">
      <c r="A487" t="str">
        <f>IFERROR(__xludf.DUMMYFUNCTION("""COMPUTED_VALUE"""),"Xiaomi MI A1 (3 GB/32 GB)")</f>
        <v>Xiaomi MI A1 (3 GB/32 GB)</v>
      </c>
      <c r="B487" t="str">
        <f>IFERROR(__xludf.DUMMYFUNCTION("""COMPUTED_VALUE"""),"")</f>
        <v/>
      </c>
      <c r="C487" t="str">
        <f>IFERROR(__xludf.DUMMYFUNCTION("""COMPUTED_VALUE"""),"")</f>
        <v/>
      </c>
      <c r="D487" t="str">
        <f>IFERROR(__xludf.DUMMYFUNCTION("""COMPUTED_VALUE"""),"")</f>
        <v/>
      </c>
      <c r="E487" t="str">
        <f>IFERROR(__xludf.DUMMYFUNCTION("""COMPUTED_VALUE"""),"")</f>
        <v/>
      </c>
      <c r="F487" t="str">
        <f>IFERROR(__xludf.DUMMYFUNCTION("""COMPUTED_VALUE"""),"")</f>
        <v/>
      </c>
      <c r="G487" t="str">
        <f>IFERROR(__xludf.DUMMYFUNCTION("""COMPUTED_VALUE"""),"")</f>
        <v/>
      </c>
      <c r="H487" t="str">
        <f>IFERROR(__xludf.DUMMYFUNCTION("""COMPUTED_VALUE"""),"")</f>
        <v/>
      </c>
      <c r="I487" t="str">
        <f>IFERROR(__xludf.DUMMYFUNCTION("""COMPUTED_VALUE"""),"")</f>
        <v/>
      </c>
      <c r="J487">
        <f>IFERROR(__xludf.DUMMYFUNCTION("""COMPUTED_VALUE"""),0.0)</f>
        <v>0</v>
      </c>
      <c r="L487" s="250" t="str">
        <f>IFERROR(__xludf.DUMMYFUNCTION("""COMPUTED_VALUE"""),"")</f>
        <v/>
      </c>
      <c r="M487" s="250" t="str">
        <f>IFERROR(__xludf.DUMMYFUNCTION("""COMPUTED_VALUE"""),"")</f>
        <v/>
      </c>
      <c r="N487" s="250" t="str">
        <f>IFERROR(__xludf.DUMMYFUNCTION("""COMPUTED_VALUE"""),"")</f>
        <v/>
      </c>
      <c r="O487" s="250" t="str">
        <f>IFERROR(__xludf.DUMMYFUNCTION("""COMPUTED_VALUE"""),"")</f>
        <v/>
      </c>
      <c r="P487" s="250" t="str">
        <f>IFERROR(__xludf.DUMMYFUNCTION("""COMPUTED_VALUE"""),"")</f>
        <v/>
      </c>
      <c r="Q487" s="250" t="str">
        <f>IFERROR(__xludf.DUMMYFUNCTION("""COMPUTED_VALUE"""),"")</f>
        <v/>
      </c>
      <c r="R487" s="250" t="str">
        <f>IFERROR(__xludf.DUMMYFUNCTION("""COMPUTED_VALUE"""),"")</f>
        <v/>
      </c>
      <c r="U487" s="250" t="str">
        <f>IFERROR(__xludf.DUMMYFUNCTION("""COMPUTED_VALUE"""),"#N/A")</f>
        <v>#N/A</v>
      </c>
      <c r="V487" s="250" t="str">
        <f>IFERROR(__xludf.DUMMYFUNCTION("""COMPUTED_VALUE"""),"#N/A")</f>
        <v>#N/A</v>
      </c>
      <c r="W487" s="250" t="str">
        <f>IFERROR(__xludf.DUMMYFUNCTION("""COMPUTED_VALUE"""),"#N/A")</f>
        <v>#N/A</v>
      </c>
      <c r="X487" t="b">
        <f t="shared" ref="X487:Z487" si="950">ISBLANK(K487)</f>
        <v>1</v>
      </c>
      <c r="Y487" t="b">
        <f t="shared" si="950"/>
        <v>0</v>
      </c>
      <c r="Z487" t="b">
        <f t="shared" si="950"/>
        <v>0</v>
      </c>
      <c r="AA487">
        <f t="shared" ref="AA487:AC487" si="951">IF(X487=FALSE,1,0)</f>
        <v>0</v>
      </c>
      <c r="AB487">
        <f t="shared" si="951"/>
        <v>1</v>
      </c>
      <c r="AC487">
        <f t="shared" si="951"/>
        <v>1</v>
      </c>
      <c r="AD487">
        <f t="shared" si="6"/>
        <v>2</v>
      </c>
      <c r="AE487">
        <f t="shared" si="7"/>
        <v>1</v>
      </c>
      <c r="AF487">
        <f>if(iferror(vlookup($A487,'Description Database'!$E$2:$H$951,3,0),0)=TRUE,1,0)</f>
        <v>0</v>
      </c>
      <c r="AG487">
        <f>if(iferror(vlookup($A487,'Description Database'!$E$2:$H$951,4,0),0)=TRUE,1,0)</f>
        <v>0</v>
      </c>
    </row>
    <row r="488">
      <c r="A488" t="str">
        <f>IFERROR(__xludf.DUMMYFUNCTION("""COMPUTED_VALUE"""),"Samsung GALAXY J7 DUO(4 GB/32 GB)")</f>
        <v>Samsung GALAXY J7 DUO(4 GB/32 GB)</v>
      </c>
      <c r="B488" t="str">
        <f>IFERROR(__xludf.DUMMYFUNCTION("""COMPUTED_VALUE"""),"")</f>
        <v/>
      </c>
      <c r="C488" t="str">
        <f>IFERROR(__xludf.DUMMYFUNCTION("""COMPUTED_VALUE"""),"")</f>
        <v/>
      </c>
      <c r="D488" t="str">
        <f>IFERROR(__xludf.DUMMYFUNCTION("""COMPUTED_VALUE"""),"")</f>
        <v/>
      </c>
      <c r="E488" t="str">
        <f>IFERROR(__xludf.DUMMYFUNCTION("""COMPUTED_VALUE"""),"")</f>
        <v/>
      </c>
      <c r="F488" t="str">
        <f>IFERROR(__xludf.DUMMYFUNCTION("""COMPUTED_VALUE"""),"")</f>
        <v/>
      </c>
      <c r="G488" t="str">
        <f>IFERROR(__xludf.DUMMYFUNCTION("""COMPUTED_VALUE"""),"")</f>
        <v/>
      </c>
      <c r="H488" t="str">
        <f>IFERROR(__xludf.DUMMYFUNCTION("""COMPUTED_VALUE"""),"")</f>
        <v/>
      </c>
      <c r="I488">
        <f>IFERROR(__xludf.DUMMYFUNCTION("""COMPUTED_VALUE"""),2.0)</f>
        <v>2</v>
      </c>
      <c r="J488">
        <f>IFERROR(__xludf.DUMMYFUNCTION("""COMPUTED_VALUE"""),2.0)</f>
        <v>2</v>
      </c>
      <c r="L488" s="250" t="str">
        <f>IFERROR(__xludf.DUMMYFUNCTION("""COMPUTED_VALUE"""),"")</f>
        <v/>
      </c>
      <c r="M488" s="250" t="str">
        <f>IFERROR(__xludf.DUMMYFUNCTION("""COMPUTED_VALUE"""),"")</f>
        <v/>
      </c>
      <c r="N488" s="250" t="str">
        <f>IFERROR(__xludf.DUMMYFUNCTION("""COMPUTED_VALUE"""),"")</f>
        <v/>
      </c>
      <c r="O488" s="250" t="str">
        <f>IFERROR(__xludf.DUMMYFUNCTION("""COMPUTED_VALUE"""),"")</f>
        <v/>
      </c>
      <c r="P488" s="250" t="str">
        <f>IFERROR(__xludf.DUMMYFUNCTION("""COMPUTED_VALUE"""),"")</f>
        <v/>
      </c>
      <c r="Q488" s="250" t="str">
        <f>IFERROR(__xludf.DUMMYFUNCTION("""COMPUTED_VALUE"""),"")</f>
        <v/>
      </c>
      <c r="R488" s="250" t="str">
        <f>IFERROR(__xludf.DUMMYFUNCTION("""COMPUTED_VALUE"""),"")</f>
        <v/>
      </c>
      <c r="U488" s="250" t="str">
        <f>IFERROR(__xludf.DUMMYFUNCTION("""COMPUTED_VALUE"""),"#N/A")</f>
        <v>#N/A</v>
      </c>
      <c r="V488" s="250" t="str">
        <f>IFERROR(__xludf.DUMMYFUNCTION("""COMPUTED_VALUE"""),"#N/A")</f>
        <v>#N/A</v>
      </c>
      <c r="W488" s="250" t="str">
        <f>IFERROR(__xludf.DUMMYFUNCTION("""COMPUTED_VALUE"""),"#N/A")</f>
        <v>#N/A</v>
      </c>
      <c r="X488" t="b">
        <f t="shared" ref="X488:Z488" si="952">ISBLANK(K488)</f>
        <v>1</v>
      </c>
      <c r="Y488" t="b">
        <f t="shared" si="952"/>
        <v>0</v>
      </c>
      <c r="Z488" t="b">
        <f t="shared" si="952"/>
        <v>0</v>
      </c>
      <c r="AA488">
        <f t="shared" ref="AA488:AC488" si="953">IF(X488=FALSE,1,0)</f>
        <v>0</v>
      </c>
      <c r="AB488">
        <f t="shared" si="953"/>
        <v>1</v>
      </c>
      <c r="AC488">
        <f t="shared" si="953"/>
        <v>1</v>
      </c>
      <c r="AD488">
        <f t="shared" si="6"/>
        <v>2</v>
      </c>
      <c r="AE488">
        <f t="shared" si="7"/>
        <v>1</v>
      </c>
      <c r="AF488">
        <f>if(iferror(vlookup($A488,'Description Database'!$E$2:$H$951,3,0),0)=TRUE,1,0)</f>
        <v>0</v>
      </c>
      <c r="AG488">
        <f>if(iferror(vlookup($A488,'Description Database'!$E$2:$H$951,4,0),0)=TRUE,1,0)</f>
        <v>0</v>
      </c>
    </row>
    <row r="489">
      <c r="A489" t="str">
        <f>IFERROR(__xludf.DUMMYFUNCTION("""COMPUTED_VALUE"""),"Motorola MOTO G4 (2 GB/16 GB)")</f>
        <v>Motorola MOTO G4 (2 GB/16 GB)</v>
      </c>
      <c r="B489" t="str">
        <f>IFERROR(__xludf.DUMMYFUNCTION("""COMPUTED_VALUE"""),"")</f>
        <v/>
      </c>
      <c r="C489" t="str">
        <f>IFERROR(__xludf.DUMMYFUNCTION("""COMPUTED_VALUE"""),"")</f>
        <v/>
      </c>
      <c r="D489" t="str">
        <f>IFERROR(__xludf.DUMMYFUNCTION("""COMPUTED_VALUE"""),"")</f>
        <v/>
      </c>
      <c r="E489" t="str">
        <f>IFERROR(__xludf.DUMMYFUNCTION("""COMPUTED_VALUE"""),"")</f>
        <v/>
      </c>
      <c r="F489" t="str">
        <f>IFERROR(__xludf.DUMMYFUNCTION("""COMPUTED_VALUE"""),"")</f>
        <v/>
      </c>
      <c r="G489" t="str">
        <f>IFERROR(__xludf.DUMMYFUNCTION("""COMPUTED_VALUE"""),"")</f>
        <v/>
      </c>
      <c r="H489" t="str">
        <f>IFERROR(__xludf.DUMMYFUNCTION("""COMPUTED_VALUE"""),"")</f>
        <v/>
      </c>
      <c r="I489">
        <f>IFERROR(__xludf.DUMMYFUNCTION("""COMPUTED_VALUE"""),5.0)</f>
        <v>5</v>
      </c>
      <c r="J489">
        <f>IFERROR(__xludf.DUMMYFUNCTION("""COMPUTED_VALUE"""),5.0)</f>
        <v>5</v>
      </c>
      <c r="L489" s="250" t="str">
        <f>IFERROR(__xludf.DUMMYFUNCTION("""COMPUTED_VALUE"""),"")</f>
        <v/>
      </c>
      <c r="M489" s="250" t="str">
        <f>IFERROR(__xludf.DUMMYFUNCTION("""COMPUTED_VALUE"""),"")</f>
        <v/>
      </c>
      <c r="N489" s="250" t="str">
        <f>IFERROR(__xludf.DUMMYFUNCTION("""COMPUTED_VALUE"""),"")</f>
        <v/>
      </c>
      <c r="O489" s="250" t="str">
        <f>IFERROR(__xludf.DUMMYFUNCTION("""COMPUTED_VALUE"""),"")</f>
        <v/>
      </c>
      <c r="P489" s="250" t="str">
        <f>IFERROR(__xludf.DUMMYFUNCTION("""COMPUTED_VALUE"""),"")</f>
        <v/>
      </c>
      <c r="Q489" s="250" t="str">
        <f>IFERROR(__xludf.DUMMYFUNCTION("""COMPUTED_VALUE"""),"")</f>
        <v/>
      </c>
      <c r="R489" s="250" t="str">
        <f>IFERROR(__xludf.DUMMYFUNCTION("""COMPUTED_VALUE"""),"")</f>
        <v/>
      </c>
      <c r="U489" s="250">
        <f>IFERROR(__xludf.DUMMYFUNCTION("""COMPUTED_VALUE"""),2669.0)</f>
        <v>2669</v>
      </c>
      <c r="V489" s="250">
        <f>IFERROR(__xludf.DUMMYFUNCTION("""COMPUTED_VALUE"""),2529.0)</f>
        <v>2529</v>
      </c>
      <c r="W489" s="250">
        <f>IFERROR(__xludf.DUMMYFUNCTION("""COMPUTED_VALUE"""),2279.0)</f>
        <v>2279</v>
      </c>
      <c r="X489" t="b">
        <f t="shared" ref="X489:Z489" si="954">ISBLANK(K489)</f>
        <v>1</v>
      </c>
      <c r="Y489" t="b">
        <f t="shared" si="954"/>
        <v>0</v>
      </c>
      <c r="Z489" t="b">
        <f t="shared" si="954"/>
        <v>0</v>
      </c>
      <c r="AA489">
        <f t="shared" ref="AA489:AC489" si="955">IF(X489=FALSE,1,0)</f>
        <v>0</v>
      </c>
      <c r="AB489">
        <f t="shared" si="955"/>
        <v>1</v>
      </c>
      <c r="AC489">
        <f t="shared" si="955"/>
        <v>1</v>
      </c>
      <c r="AD489">
        <f t="shared" si="6"/>
        <v>2</v>
      </c>
      <c r="AE489">
        <f t="shared" si="7"/>
        <v>1</v>
      </c>
      <c r="AF489">
        <f>if(iferror(vlookup($A489,'Description Database'!$E$2:$H$951,3,0),0)=TRUE,1,0)</f>
        <v>0</v>
      </c>
      <c r="AG489">
        <f>if(iferror(vlookup($A489,'Description Database'!$E$2:$H$951,4,0),0)=TRUE,1,0)</f>
        <v>0</v>
      </c>
    </row>
    <row r="490">
      <c r="A490" t="str">
        <f>IFERROR(__xludf.DUMMYFUNCTION("""COMPUTED_VALUE"""),"Oppo NEO 5 (2 GB/16 GB)")</f>
        <v>Oppo NEO 5 (2 GB/16 GB)</v>
      </c>
      <c r="B490" t="str">
        <f>IFERROR(__xludf.DUMMYFUNCTION("""COMPUTED_VALUE"""),"")</f>
        <v/>
      </c>
      <c r="C490" t="str">
        <f>IFERROR(__xludf.DUMMYFUNCTION("""COMPUTED_VALUE"""),"")</f>
        <v/>
      </c>
      <c r="D490" t="str">
        <f>IFERROR(__xludf.DUMMYFUNCTION("""COMPUTED_VALUE"""),"")</f>
        <v/>
      </c>
      <c r="E490" t="str">
        <f>IFERROR(__xludf.DUMMYFUNCTION("""COMPUTED_VALUE"""),"")</f>
        <v/>
      </c>
      <c r="F490" t="str">
        <f>IFERROR(__xludf.DUMMYFUNCTION("""COMPUTED_VALUE"""),"")</f>
        <v/>
      </c>
      <c r="G490" t="str">
        <f>IFERROR(__xludf.DUMMYFUNCTION("""COMPUTED_VALUE"""),"")</f>
        <v/>
      </c>
      <c r="H490" t="str">
        <f>IFERROR(__xludf.DUMMYFUNCTION("""COMPUTED_VALUE"""),"")</f>
        <v/>
      </c>
      <c r="I490" t="str">
        <f>IFERROR(__xludf.DUMMYFUNCTION("""COMPUTED_VALUE"""),"")</f>
        <v/>
      </c>
      <c r="J490">
        <f>IFERROR(__xludf.DUMMYFUNCTION("""COMPUTED_VALUE"""),0.0)</f>
        <v>0</v>
      </c>
      <c r="L490" s="250" t="str">
        <f>IFERROR(__xludf.DUMMYFUNCTION("""COMPUTED_VALUE"""),"")</f>
        <v/>
      </c>
      <c r="M490" s="250" t="str">
        <f>IFERROR(__xludf.DUMMYFUNCTION("""COMPUTED_VALUE"""),"")</f>
        <v/>
      </c>
      <c r="N490" s="250" t="str">
        <f>IFERROR(__xludf.DUMMYFUNCTION("""COMPUTED_VALUE"""),"")</f>
        <v/>
      </c>
      <c r="O490" s="250" t="str">
        <f>IFERROR(__xludf.DUMMYFUNCTION("""COMPUTED_VALUE"""),"")</f>
        <v/>
      </c>
      <c r="P490" s="250" t="str">
        <f>IFERROR(__xludf.DUMMYFUNCTION("""COMPUTED_VALUE"""),"")</f>
        <v/>
      </c>
      <c r="Q490" s="250" t="str">
        <f>IFERROR(__xludf.DUMMYFUNCTION("""COMPUTED_VALUE"""),"")</f>
        <v/>
      </c>
      <c r="R490" s="250" t="str">
        <f>IFERROR(__xludf.DUMMYFUNCTION("""COMPUTED_VALUE"""),"")</f>
        <v/>
      </c>
      <c r="U490" s="250" t="str">
        <f>IFERROR(__xludf.DUMMYFUNCTION("""COMPUTED_VALUE"""),"#N/A")</f>
        <v>#N/A</v>
      </c>
      <c r="V490" s="250" t="str">
        <f>IFERROR(__xludf.DUMMYFUNCTION("""COMPUTED_VALUE"""),"#N/A")</f>
        <v>#N/A</v>
      </c>
      <c r="W490" s="250" t="str">
        <f>IFERROR(__xludf.DUMMYFUNCTION("""COMPUTED_VALUE"""),"#N/A")</f>
        <v>#N/A</v>
      </c>
      <c r="X490" t="b">
        <f t="shared" ref="X490:Z490" si="956">ISBLANK(K490)</f>
        <v>1</v>
      </c>
      <c r="Y490" t="b">
        <f t="shared" si="956"/>
        <v>0</v>
      </c>
      <c r="Z490" t="b">
        <f t="shared" si="956"/>
        <v>0</v>
      </c>
      <c r="AA490">
        <f t="shared" ref="AA490:AC490" si="957">IF(X490=FALSE,1,0)</f>
        <v>0</v>
      </c>
      <c r="AB490">
        <f t="shared" si="957"/>
        <v>1</v>
      </c>
      <c r="AC490">
        <f t="shared" si="957"/>
        <v>1</v>
      </c>
      <c r="AD490">
        <f t="shared" si="6"/>
        <v>2</v>
      </c>
      <c r="AE490">
        <f t="shared" si="7"/>
        <v>1</v>
      </c>
      <c r="AF490">
        <f>if(iferror(vlookup($A490,'Description Database'!$E$2:$H$951,3,0),0)=TRUE,1,0)</f>
        <v>0</v>
      </c>
      <c r="AG490">
        <f>if(iferror(vlookup($A490,'Description Database'!$E$2:$H$951,4,0),0)=TRUE,1,0)</f>
        <v>0</v>
      </c>
    </row>
    <row r="491">
      <c r="A491" t="str">
        <f>IFERROR(__xludf.DUMMYFUNCTION("""COMPUTED_VALUE"""),"Huawei HONOR 8 (3 GB/32 GB)")</f>
        <v>Huawei HONOR 8 (3 GB/32 GB)</v>
      </c>
      <c r="B491" t="str">
        <f>IFERROR(__xludf.DUMMYFUNCTION("""COMPUTED_VALUE"""),"")</f>
        <v/>
      </c>
      <c r="C491" t="str">
        <f>IFERROR(__xludf.DUMMYFUNCTION("""COMPUTED_VALUE"""),"")</f>
        <v/>
      </c>
      <c r="D491" t="str">
        <f>IFERROR(__xludf.DUMMYFUNCTION("""COMPUTED_VALUE"""),"")</f>
        <v/>
      </c>
      <c r="E491" t="str">
        <f>IFERROR(__xludf.DUMMYFUNCTION("""COMPUTED_VALUE"""),"")</f>
        <v/>
      </c>
      <c r="F491" t="str">
        <f>IFERROR(__xludf.DUMMYFUNCTION("""COMPUTED_VALUE"""),"")</f>
        <v/>
      </c>
      <c r="G491" t="str">
        <f>IFERROR(__xludf.DUMMYFUNCTION("""COMPUTED_VALUE"""),"")</f>
        <v/>
      </c>
      <c r="H491" t="str">
        <f>IFERROR(__xludf.DUMMYFUNCTION("""COMPUTED_VALUE"""),"")</f>
        <v/>
      </c>
      <c r="I491" t="str">
        <f>IFERROR(__xludf.DUMMYFUNCTION("""COMPUTED_VALUE"""),"")</f>
        <v/>
      </c>
      <c r="J491">
        <f>IFERROR(__xludf.DUMMYFUNCTION("""COMPUTED_VALUE"""),0.0)</f>
        <v>0</v>
      </c>
      <c r="L491" s="250" t="str">
        <f>IFERROR(__xludf.DUMMYFUNCTION("""COMPUTED_VALUE"""),"")</f>
        <v/>
      </c>
      <c r="M491" s="250" t="str">
        <f>IFERROR(__xludf.DUMMYFUNCTION("""COMPUTED_VALUE"""),"")</f>
        <v/>
      </c>
      <c r="N491" s="250" t="str">
        <f>IFERROR(__xludf.DUMMYFUNCTION("""COMPUTED_VALUE"""),"")</f>
        <v/>
      </c>
      <c r="O491" s="250" t="str">
        <f>IFERROR(__xludf.DUMMYFUNCTION("""COMPUTED_VALUE"""),"")</f>
        <v/>
      </c>
      <c r="P491" s="250" t="str">
        <f>IFERROR(__xludf.DUMMYFUNCTION("""COMPUTED_VALUE"""),"")</f>
        <v/>
      </c>
      <c r="Q491" s="250" t="str">
        <f>IFERROR(__xludf.DUMMYFUNCTION("""COMPUTED_VALUE"""),"")</f>
        <v/>
      </c>
      <c r="R491" s="250" t="str">
        <f>IFERROR(__xludf.DUMMYFUNCTION("""COMPUTED_VALUE"""),"")</f>
        <v/>
      </c>
      <c r="U491" s="250" t="str">
        <f>IFERROR(__xludf.DUMMYFUNCTION("""COMPUTED_VALUE"""),"#N/A")</f>
        <v>#N/A</v>
      </c>
      <c r="V491" s="250" t="str">
        <f>IFERROR(__xludf.DUMMYFUNCTION("""COMPUTED_VALUE"""),"#N/A")</f>
        <v>#N/A</v>
      </c>
      <c r="W491" s="250" t="str">
        <f>IFERROR(__xludf.DUMMYFUNCTION("""COMPUTED_VALUE"""),"#N/A")</f>
        <v>#N/A</v>
      </c>
      <c r="X491" t="b">
        <f t="shared" ref="X491:Z491" si="958">ISBLANK(K491)</f>
        <v>1</v>
      </c>
      <c r="Y491" t="b">
        <f t="shared" si="958"/>
        <v>0</v>
      </c>
      <c r="Z491" t="b">
        <f t="shared" si="958"/>
        <v>0</v>
      </c>
      <c r="AA491">
        <f t="shared" ref="AA491:AC491" si="959">IF(X491=FALSE,1,0)</f>
        <v>0</v>
      </c>
      <c r="AB491">
        <f t="shared" si="959"/>
        <v>1</v>
      </c>
      <c r="AC491">
        <f t="shared" si="959"/>
        <v>1</v>
      </c>
      <c r="AD491">
        <f t="shared" si="6"/>
        <v>2</v>
      </c>
      <c r="AE491">
        <f t="shared" si="7"/>
        <v>1</v>
      </c>
      <c r="AF491">
        <f>if(iferror(vlookup($A491,'Description Database'!$E$2:$H$951,3,0),0)=TRUE,1,0)</f>
        <v>0</v>
      </c>
      <c r="AG491">
        <f>if(iferror(vlookup($A491,'Description Database'!$E$2:$H$951,4,0),0)=TRUE,1,0)</f>
        <v>0</v>
      </c>
    </row>
    <row r="492">
      <c r="A492" t="str">
        <f>IFERROR(__xludf.DUMMYFUNCTION("""COMPUTED_VALUE"""),"Realme REAL ME C1 (2 GB/32 GB)")</f>
        <v>Realme REAL ME C1 (2 GB/32 GB)</v>
      </c>
      <c r="B492" t="str">
        <f>IFERROR(__xludf.DUMMYFUNCTION("""COMPUTED_VALUE"""),"")</f>
        <v/>
      </c>
      <c r="C492" t="str">
        <f>IFERROR(__xludf.DUMMYFUNCTION("""COMPUTED_VALUE"""),"")</f>
        <v/>
      </c>
      <c r="D492" t="str">
        <f>IFERROR(__xludf.DUMMYFUNCTION("""COMPUTED_VALUE"""),"")</f>
        <v/>
      </c>
      <c r="E492" t="str">
        <f>IFERROR(__xludf.DUMMYFUNCTION("""COMPUTED_VALUE"""),"")</f>
        <v/>
      </c>
      <c r="F492" t="str">
        <f>IFERROR(__xludf.DUMMYFUNCTION("""COMPUTED_VALUE"""),"")</f>
        <v/>
      </c>
      <c r="G492" t="str">
        <f>IFERROR(__xludf.DUMMYFUNCTION("""COMPUTED_VALUE"""),"")</f>
        <v/>
      </c>
      <c r="H492" t="str">
        <f>IFERROR(__xludf.DUMMYFUNCTION("""COMPUTED_VALUE"""),"")</f>
        <v/>
      </c>
      <c r="I492">
        <f>IFERROR(__xludf.DUMMYFUNCTION("""COMPUTED_VALUE"""),1.0)</f>
        <v>1</v>
      </c>
      <c r="J492">
        <f>IFERROR(__xludf.DUMMYFUNCTION("""COMPUTED_VALUE"""),1.0)</f>
        <v>1</v>
      </c>
      <c r="L492" s="250" t="str">
        <f>IFERROR(__xludf.DUMMYFUNCTION("""COMPUTED_VALUE"""),"")</f>
        <v/>
      </c>
      <c r="M492" s="250" t="str">
        <f>IFERROR(__xludf.DUMMYFUNCTION("""COMPUTED_VALUE"""),"")</f>
        <v/>
      </c>
      <c r="N492" s="250" t="str">
        <f>IFERROR(__xludf.DUMMYFUNCTION("""COMPUTED_VALUE"""),"")</f>
        <v/>
      </c>
      <c r="O492" s="250" t="str">
        <f>IFERROR(__xludf.DUMMYFUNCTION("""COMPUTED_VALUE"""),"")</f>
        <v/>
      </c>
      <c r="P492" s="250" t="str">
        <f>IFERROR(__xludf.DUMMYFUNCTION("""COMPUTED_VALUE"""),"")</f>
        <v/>
      </c>
      <c r="Q492" s="250" t="str">
        <f>IFERROR(__xludf.DUMMYFUNCTION("""COMPUTED_VALUE"""),"")</f>
        <v/>
      </c>
      <c r="R492" s="250" t="str">
        <f>IFERROR(__xludf.DUMMYFUNCTION("""COMPUTED_VALUE"""),"")</f>
        <v/>
      </c>
      <c r="U492" s="250" t="str">
        <f>IFERROR(__xludf.DUMMYFUNCTION("""COMPUTED_VALUE"""),"#N/A")</f>
        <v>#N/A</v>
      </c>
      <c r="V492" s="250" t="str">
        <f>IFERROR(__xludf.DUMMYFUNCTION("""COMPUTED_VALUE"""),"#N/A")</f>
        <v>#N/A</v>
      </c>
      <c r="W492" s="250" t="str">
        <f>IFERROR(__xludf.DUMMYFUNCTION("""COMPUTED_VALUE"""),"#N/A")</f>
        <v>#N/A</v>
      </c>
      <c r="X492" t="b">
        <f t="shared" ref="X492:Z492" si="960">ISBLANK(K492)</f>
        <v>1</v>
      </c>
      <c r="Y492" t="b">
        <f t="shared" si="960"/>
        <v>0</v>
      </c>
      <c r="Z492" t="b">
        <f t="shared" si="960"/>
        <v>0</v>
      </c>
      <c r="AA492">
        <f t="shared" ref="AA492:AC492" si="961">IF(X492=FALSE,1,0)</f>
        <v>0</v>
      </c>
      <c r="AB492">
        <f t="shared" si="961"/>
        <v>1</v>
      </c>
      <c r="AC492">
        <f t="shared" si="961"/>
        <v>1</v>
      </c>
      <c r="AD492">
        <f t="shared" si="6"/>
        <v>2</v>
      </c>
      <c r="AE492">
        <f t="shared" si="7"/>
        <v>1</v>
      </c>
      <c r="AF492">
        <f>if(iferror(vlookup($A492,'Description Database'!$E$2:$H$951,3,0),0)=TRUE,1,0)</f>
        <v>0</v>
      </c>
      <c r="AG492">
        <f>if(iferror(vlookup($A492,'Description Database'!$E$2:$H$951,4,0),0)=TRUE,1,0)</f>
        <v>0</v>
      </c>
    </row>
    <row r="493">
      <c r="A493" t="str">
        <f>IFERROR(__xludf.DUMMYFUNCTION("""COMPUTED_VALUE"""),"Samsung GALAXY NOTE 5 (3 GB/32 GB)")</f>
        <v>Samsung GALAXY NOTE 5 (3 GB/32 GB)</v>
      </c>
      <c r="B493" t="str">
        <f>IFERROR(__xludf.DUMMYFUNCTION("""COMPUTED_VALUE"""),"")</f>
        <v/>
      </c>
      <c r="C493" t="str">
        <f>IFERROR(__xludf.DUMMYFUNCTION("""COMPUTED_VALUE"""),"")</f>
        <v/>
      </c>
      <c r="D493" t="str">
        <f>IFERROR(__xludf.DUMMYFUNCTION("""COMPUTED_VALUE"""),"")</f>
        <v/>
      </c>
      <c r="E493" t="str">
        <f>IFERROR(__xludf.DUMMYFUNCTION("""COMPUTED_VALUE"""),"")</f>
        <v/>
      </c>
      <c r="F493" t="str">
        <f>IFERROR(__xludf.DUMMYFUNCTION("""COMPUTED_VALUE"""),"")</f>
        <v/>
      </c>
      <c r="G493" t="str">
        <f>IFERROR(__xludf.DUMMYFUNCTION("""COMPUTED_VALUE"""),"")</f>
        <v/>
      </c>
      <c r="H493" t="str">
        <f>IFERROR(__xludf.DUMMYFUNCTION("""COMPUTED_VALUE"""),"")</f>
        <v/>
      </c>
      <c r="I493" t="str">
        <f>IFERROR(__xludf.DUMMYFUNCTION("""COMPUTED_VALUE"""),"")</f>
        <v/>
      </c>
      <c r="J493">
        <f>IFERROR(__xludf.DUMMYFUNCTION("""COMPUTED_VALUE"""),0.0)</f>
        <v>0</v>
      </c>
      <c r="L493" s="250" t="str">
        <f>IFERROR(__xludf.DUMMYFUNCTION("""COMPUTED_VALUE"""),"")</f>
        <v/>
      </c>
      <c r="M493" s="250" t="str">
        <f>IFERROR(__xludf.DUMMYFUNCTION("""COMPUTED_VALUE"""),"")</f>
        <v/>
      </c>
      <c r="N493" s="250" t="str">
        <f>IFERROR(__xludf.DUMMYFUNCTION("""COMPUTED_VALUE"""),"")</f>
        <v/>
      </c>
      <c r="O493" s="250" t="str">
        <f>IFERROR(__xludf.DUMMYFUNCTION("""COMPUTED_VALUE"""),"")</f>
        <v/>
      </c>
      <c r="P493" s="250" t="str">
        <f>IFERROR(__xludf.DUMMYFUNCTION("""COMPUTED_VALUE"""),"")</f>
        <v/>
      </c>
      <c r="Q493" s="250" t="str">
        <f>IFERROR(__xludf.DUMMYFUNCTION("""COMPUTED_VALUE"""),"")</f>
        <v/>
      </c>
      <c r="R493" s="250" t="str">
        <f>IFERROR(__xludf.DUMMYFUNCTION("""COMPUTED_VALUE"""),"")</f>
        <v/>
      </c>
      <c r="U493" s="250" t="str">
        <f>IFERROR(__xludf.DUMMYFUNCTION("""COMPUTED_VALUE"""),"#N/A")</f>
        <v>#N/A</v>
      </c>
      <c r="V493" s="250" t="str">
        <f>IFERROR(__xludf.DUMMYFUNCTION("""COMPUTED_VALUE"""),"#N/A")</f>
        <v>#N/A</v>
      </c>
      <c r="W493" s="250" t="str">
        <f>IFERROR(__xludf.DUMMYFUNCTION("""COMPUTED_VALUE"""),"#N/A")</f>
        <v>#N/A</v>
      </c>
      <c r="X493" t="b">
        <f t="shared" ref="X493:Z493" si="962">ISBLANK(K493)</f>
        <v>1</v>
      </c>
      <c r="Y493" t="b">
        <f t="shared" si="962"/>
        <v>0</v>
      </c>
      <c r="Z493" t="b">
        <f t="shared" si="962"/>
        <v>0</v>
      </c>
      <c r="AA493">
        <f t="shared" ref="AA493:AC493" si="963">IF(X493=FALSE,1,0)</f>
        <v>0</v>
      </c>
      <c r="AB493">
        <f t="shared" si="963"/>
        <v>1</v>
      </c>
      <c r="AC493">
        <f t="shared" si="963"/>
        <v>1</v>
      </c>
      <c r="AD493">
        <f t="shared" si="6"/>
        <v>2</v>
      </c>
      <c r="AE493">
        <f t="shared" si="7"/>
        <v>1</v>
      </c>
      <c r="AF493">
        <f>if(iferror(vlookup($A493,'Description Database'!$E$2:$H$951,3,0),0)=TRUE,1,0)</f>
        <v>0</v>
      </c>
      <c r="AG493">
        <f>if(iferror(vlookup($A493,'Description Database'!$E$2:$H$951,4,0),0)=TRUE,1,0)</f>
        <v>0</v>
      </c>
    </row>
    <row r="494">
      <c r="A494" t="str">
        <f>IFERROR(__xludf.DUMMYFUNCTION("""COMPUTED_VALUE"""),"Google NEXUS 6P(3 GB 32GB)")</f>
        <v>Google NEXUS 6P(3 GB 32GB)</v>
      </c>
      <c r="B494" t="str">
        <f>IFERROR(__xludf.DUMMYFUNCTION("""COMPUTED_VALUE"""),"")</f>
        <v/>
      </c>
      <c r="C494" t="str">
        <f>IFERROR(__xludf.DUMMYFUNCTION("""COMPUTED_VALUE"""),"")</f>
        <v/>
      </c>
      <c r="D494" t="str">
        <f>IFERROR(__xludf.DUMMYFUNCTION("""COMPUTED_VALUE"""),"")</f>
        <v/>
      </c>
      <c r="E494" t="str">
        <f>IFERROR(__xludf.DUMMYFUNCTION("""COMPUTED_VALUE"""),"")</f>
        <v/>
      </c>
      <c r="F494" t="str">
        <f>IFERROR(__xludf.DUMMYFUNCTION("""COMPUTED_VALUE"""),"")</f>
        <v/>
      </c>
      <c r="G494" t="str">
        <f>IFERROR(__xludf.DUMMYFUNCTION("""COMPUTED_VALUE"""),"")</f>
        <v/>
      </c>
      <c r="H494" t="str">
        <f>IFERROR(__xludf.DUMMYFUNCTION("""COMPUTED_VALUE"""),"")</f>
        <v/>
      </c>
      <c r="I494" t="str">
        <f>IFERROR(__xludf.DUMMYFUNCTION("""COMPUTED_VALUE"""),"")</f>
        <v/>
      </c>
      <c r="J494">
        <f>IFERROR(__xludf.DUMMYFUNCTION("""COMPUTED_VALUE"""),0.0)</f>
        <v>0</v>
      </c>
      <c r="L494" s="250" t="str">
        <f>IFERROR(__xludf.DUMMYFUNCTION("""COMPUTED_VALUE"""),"")</f>
        <v/>
      </c>
      <c r="M494" s="250" t="str">
        <f>IFERROR(__xludf.DUMMYFUNCTION("""COMPUTED_VALUE"""),"")</f>
        <v/>
      </c>
      <c r="N494" s="250" t="str">
        <f>IFERROR(__xludf.DUMMYFUNCTION("""COMPUTED_VALUE"""),"")</f>
        <v/>
      </c>
      <c r="O494" s="250" t="str">
        <f>IFERROR(__xludf.DUMMYFUNCTION("""COMPUTED_VALUE"""),"")</f>
        <v/>
      </c>
      <c r="P494" s="250" t="str">
        <f>IFERROR(__xludf.DUMMYFUNCTION("""COMPUTED_VALUE"""),"")</f>
        <v/>
      </c>
      <c r="Q494" s="250" t="str">
        <f>IFERROR(__xludf.DUMMYFUNCTION("""COMPUTED_VALUE"""),"")</f>
        <v/>
      </c>
      <c r="R494" s="250" t="str">
        <f>IFERROR(__xludf.DUMMYFUNCTION("""COMPUTED_VALUE"""),"")</f>
        <v/>
      </c>
      <c r="U494" s="250" t="str">
        <f>IFERROR(__xludf.DUMMYFUNCTION("""COMPUTED_VALUE"""),"#N/A")</f>
        <v>#N/A</v>
      </c>
      <c r="V494" s="250" t="str">
        <f>IFERROR(__xludf.DUMMYFUNCTION("""COMPUTED_VALUE"""),"#N/A")</f>
        <v>#N/A</v>
      </c>
      <c r="W494" s="250" t="str">
        <f>IFERROR(__xludf.DUMMYFUNCTION("""COMPUTED_VALUE"""),"#N/A")</f>
        <v>#N/A</v>
      </c>
      <c r="X494" t="b">
        <f t="shared" ref="X494:Z494" si="964">ISBLANK(K494)</f>
        <v>1</v>
      </c>
      <c r="Y494" t="b">
        <f t="shared" si="964"/>
        <v>0</v>
      </c>
      <c r="Z494" t="b">
        <f t="shared" si="964"/>
        <v>0</v>
      </c>
      <c r="AA494">
        <f t="shared" ref="AA494:AC494" si="965">IF(X494=FALSE,1,0)</f>
        <v>0</v>
      </c>
      <c r="AB494">
        <f t="shared" si="965"/>
        <v>1</v>
      </c>
      <c r="AC494">
        <f t="shared" si="965"/>
        <v>1</v>
      </c>
      <c r="AD494">
        <f t="shared" si="6"/>
        <v>2</v>
      </c>
      <c r="AE494">
        <f t="shared" si="7"/>
        <v>1</v>
      </c>
      <c r="AF494">
        <f>if(iferror(vlookup($A494,'Description Database'!$E$2:$H$951,3,0),0)=TRUE,1,0)</f>
        <v>0</v>
      </c>
      <c r="AG494">
        <f>if(iferror(vlookup($A494,'Description Database'!$E$2:$H$951,4,0),0)=TRUE,1,0)</f>
        <v>0</v>
      </c>
    </row>
    <row r="495">
      <c r="A495" t="str">
        <f>IFERROR(__xludf.DUMMYFUNCTION("""COMPUTED_VALUE"""),"MobiiStar MobiiStar CQ (2 GB/16 GB)")</f>
        <v>MobiiStar MobiiStar CQ (2 GB/16 GB)</v>
      </c>
      <c r="B495" t="str">
        <f>IFERROR(__xludf.DUMMYFUNCTION("""COMPUTED_VALUE"""),"")</f>
        <v/>
      </c>
      <c r="C495" t="str">
        <f>IFERROR(__xludf.DUMMYFUNCTION("""COMPUTED_VALUE"""),"")</f>
        <v/>
      </c>
      <c r="D495" t="str">
        <f>IFERROR(__xludf.DUMMYFUNCTION("""COMPUTED_VALUE"""),"")</f>
        <v/>
      </c>
      <c r="E495" t="str">
        <f>IFERROR(__xludf.DUMMYFUNCTION("""COMPUTED_VALUE"""),"")</f>
        <v/>
      </c>
      <c r="F495" t="str">
        <f>IFERROR(__xludf.DUMMYFUNCTION("""COMPUTED_VALUE"""),"")</f>
        <v/>
      </c>
      <c r="G495" t="str">
        <f>IFERROR(__xludf.DUMMYFUNCTION("""COMPUTED_VALUE"""),"")</f>
        <v/>
      </c>
      <c r="H495" t="str">
        <f>IFERROR(__xludf.DUMMYFUNCTION("""COMPUTED_VALUE"""),"")</f>
        <v/>
      </c>
      <c r="I495" t="str">
        <f>IFERROR(__xludf.DUMMYFUNCTION("""COMPUTED_VALUE"""),"")</f>
        <v/>
      </c>
      <c r="J495">
        <f>IFERROR(__xludf.DUMMYFUNCTION("""COMPUTED_VALUE"""),0.0)</f>
        <v>0</v>
      </c>
      <c r="L495" s="250" t="str">
        <f>IFERROR(__xludf.DUMMYFUNCTION("""COMPUTED_VALUE"""),"")</f>
        <v/>
      </c>
      <c r="M495" s="250" t="str">
        <f>IFERROR(__xludf.DUMMYFUNCTION("""COMPUTED_VALUE"""),"")</f>
        <v/>
      </c>
      <c r="N495" s="250" t="str">
        <f>IFERROR(__xludf.DUMMYFUNCTION("""COMPUTED_VALUE"""),"")</f>
        <v/>
      </c>
      <c r="O495" s="250" t="str">
        <f>IFERROR(__xludf.DUMMYFUNCTION("""COMPUTED_VALUE"""),"")</f>
        <v/>
      </c>
      <c r="P495" s="250" t="str">
        <f>IFERROR(__xludf.DUMMYFUNCTION("""COMPUTED_VALUE"""),"")</f>
        <v/>
      </c>
      <c r="Q495" s="250" t="str">
        <f>IFERROR(__xludf.DUMMYFUNCTION("""COMPUTED_VALUE"""),"")</f>
        <v/>
      </c>
      <c r="R495" s="250" t="str">
        <f>IFERROR(__xludf.DUMMYFUNCTION("""COMPUTED_VALUE"""),"")</f>
        <v/>
      </c>
      <c r="U495" s="250" t="str">
        <f>IFERROR(__xludf.DUMMYFUNCTION("""COMPUTED_VALUE"""),"#N/A")</f>
        <v>#N/A</v>
      </c>
      <c r="V495" s="250" t="str">
        <f>IFERROR(__xludf.DUMMYFUNCTION("""COMPUTED_VALUE"""),"#N/A")</f>
        <v>#N/A</v>
      </c>
      <c r="W495" s="250" t="str">
        <f>IFERROR(__xludf.DUMMYFUNCTION("""COMPUTED_VALUE"""),"#N/A")</f>
        <v>#N/A</v>
      </c>
      <c r="X495" t="b">
        <f t="shared" ref="X495:Z495" si="966">ISBLANK(K495)</f>
        <v>1</v>
      </c>
      <c r="Y495" t="b">
        <f t="shared" si="966"/>
        <v>0</v>
      </c>
      <c r="Z495" t="b">
        <f t="shared" si="966"/>
        <v>0</v>
      </c>
      <c r="AA495">
        <f t="shared" ref="AA495:AC495" si="967">IF(X495=FALSE,1,0)</f>
        <v>0</v>
      </c>
      <c r="AB495">
        <f t="shared" si="967"/>
        <v>1</v>
      </c>
      <c r="AC495">
        <f t="shared" si="967"/>
        <v>1</v>
      </c>
      <c r="AD495">
        <f t="shared" si="6"/>
        <v>2</v>
      </c>
      <c r="AE495">
        <f t="shared" si="7"/>
        <v>1</v>
      </c>
      <c r="AF495">
        <f>if(iferror(vlookup($A495,'Description Database'!$E$2:$H$951,3,0),0)=TRUE,1,0)</f>
        <v>0</v>
      </c>
      <c r="AG495">
        <f>if(iferror(vlookup($A495,'Description Database'!$E$2:$H$951,4,0),0)=TRUE,1,0)</f>
        <v>0</v>
      </c>
    </row>
    <row r="496">
      <c r="A496" t="str">
        <f>IFERROR(__xludf.DUMMYFUNCTION("""COMPUTED_VALUE"""),"Samsung GALAXY J5 PRIME (2 GB/32 GB)")</f>
        <v>Samsung GALAXY J5 PRIME (2 GB/32 GB)</v>
      </c>
      <c r="B496" t="str">
        <f>IFERROR(__xludf.DUMMYFUNCTION("""COMPUTED_VALUE"""),"")</f>
        <v/>
      </c>
      <c r="C496" t="str">
        <f>IFERROR(__xludf.DUMMYFUNCTION("""COMPUTED_VALUE"""),"")</f>
        <v/>
      </c>
      <c r="D496" t="str">
        <f>IFERROR(__xludf.DUMMYFUNCTION("""COMPUTED_VALUE"""),"")</f>
        <v/>
      </c>
      <c r="E496" t="str">
        <f>IFERROR(__xludf.DUMMYFUNCTION("""COMPUTED_VALUE"""),"")</f>
        <v/>
      </c>
      <c r="F496" t="str">
        <f>IFERROR(__xludf.DUMMYFUNCTION("""COMPUTED_VALUE"""),"")</f>
        <v/>
      </c>
      <c r="G496" t="str">
        <f>IFERROR(__xludf.DUMMYFUNCTION("""COMPUTED_VALUE"""),"")</f>
        <v/>
      </c>
      <c r="H496" t="str">
        <f>IFERROR(__xludf.DUMMYFUNCTION("""COMPUTED_VALUE"""),"")</f>
        <v/>
      </c>
      <c r="I496" t="str">
        <f>IFERROR(__xludf.DUMMYFUNCTION("""COMPUTED_VALUE"""),"")</f>
        <v/>
      </c>
      <c r="J496">
        <f>IFERROR(__xludf.DUMMYFUNCTION("""COMPUTED_VALUE"""),0.0)</f>
        <v>0</v>
      </c>
      <c r="L496" s="250" t="str">
        <f>IFERROR(__xludf.DUMMYFUNCTION("""COMPUTED_VALUE"""),"")</f>
        <v/>
      </c>
      <c r="M496" s="250" t="str">
        <f>IFERROR(__xludf.DUMMYFUNCTION("""COMPUTED_VALUE"""),"")</f>
        <v/>
      </c>
      <c r="N496" s="250" t="str">
        <f>IFERROR(__xludf.DUMMYFUNCTION("""COMPUTED_VALUE"""),"")</f>
        <v/>
      </c>
      <c r="O496" s="250" t="str">
        <f>IFERROR(__xludf.DUMMYFUNCTION("""COMPUTED_VALUE"""),"")</f>
        <v/>
      </c>
      <c r="P496" s="250" t="str">
        <f>IFERROR(__xludf.DUMMYFUNCTION("""COMPUTED_VALUE"""),"")</f>
        <v/>
      </c>
      <c r="Q496" s="250" t="str">
        <f>IFERROR(__xludf.DUMMYFUNCTION("""COMPUTED_VALUE"""),"")</f>
        <v/>
      </c>
      <c r="R496" s="250" t="str">
        <f>IFERROR(__xludf.DUMMYFUNCTION("""COMPUTED_VALUE"""),"")</f>
        <v/>
      </c>
      <c r="U496" s="250" t="str">
        <f>IFERROR(__xludf.DUMMYFUNCTION("""COMPUTED_VALUE"""),"#N/A")</f>
        <v>#N/A</v>
      </c>
      <c r="V496" s="250" t="str">
        <f>IFERROR(__xludf.DUMMYFUNCTION("""COMPUTED_VALUE"""),"#N/A")</f>
        <v>#N/A</v>
      </c>
      <c r="W496" s="250" t="str">
        <f>IFERROR(__xludf.DUMMYFUNCTION("""COMPUTED_VALUE"""),"#N/A")</f>
        <v>#N/A</v>
      </c>
      <c r="X496" t="b">
        <f t="shared" ref="X496:Z496" si="968">ISBLANK(K496)</f>
        <v>1</v>
      </c>
      <c r="Y496" t="b">
        <f t="shared" si="968"/>
        <v>0</v>
      </c>
      <c r="Z496" t="b">
        <f t="shared" si="968"/>
        <v>0</v>
      </c>
      <c r="AA496">
        <f t="shared" ref="AA496:AC496" si="969">IF(X496=FALSE,1,0)</f>
        <v>0</v>
      </c>
      <c r="AB496">
        <f t="shared" si="969"/>
        <v>1</v>
      </c>
      <c r="AC496">
        <f t="shared" si="969"/>
        <v>1</v>
      </c>
      <c r="AD496">
        <f t="shared" si="6"/>
        <v>2</v>
      </c>
      <c r="AE496">
        <f t="shared" si="7"/>
        <v>1</v>
      </c>
      <c r="AF496">
        <f>if(iferror(vlookup($A496,'Description Database'!$E$2:$H$951,3,0),0)=TRUE,1,0)</f>
        <v>0</v>
      </c>
      <c r="AG496">
        <f>if(iferror(vlookup($A496,'Description Database'!$E$2:$H$951,4,0),0)=TRUE,1,0)</f>
        <v>0</v>
      </c>
    </row>
    <row r="497">
      <c r="A497" t="str">
        <f>IFERROR(__xludf.DUMMYFUNCTION("""COMPUTED_VALUE"""),"Lenovo VIBE P1 (2 GB/32 GB)")</f>
        <v>Lenovo VIBE P1 (2 GB/32 GB)</v>
      </c>
      <c r="B497" t="str">
        <f>IFERROR(__xludf.DUMMYFUNCTION("""COMPUTED_VALUE"""),"")</f>
        <v/>
      </c>
      <c r="C497" t="str">
        <f>IFERROR(__xludf.DUMMYFUNCTION("""COMPUTED_VALUE"""),"")</f>
        <v/>
      </c>
      <c r="D497" t="str">
        <f>IFERROR(__xludf.DUMMYFUNCTION("""COMPUTED_VALUE"""),"")</f>
        <v/>
      </c>
      <c r="E497" t="str">
        <f>IFERROR(__xludf.DUMMYFUNCTION("""COMPUTED_VALUE"""),"")</f>
        <v/>
      </c>
      <c r="F497" t="str">
        <f>IFERROR(__xludf.DUMMYFUNCTION("""COMPUTED_VALUE"""),"")</f>
        <v/>
      </c>
      <c r="G497" t="str">
        <f>IFERROR(__xludf.DUMMYFUNCTION("""COMPUTED_VALUE"""),"")</f>
        <v/>
      </c>
      <c r="H497" t="str">
        <f>IFERROR(__xludf.DUMMYFUNCTION("""COMPUTED_VALUE"""),"")</f>
        <v/>
      </c>
      <c r="I497">
        <f>IFERROR(__xludf.DUMMYFUNCTION("""COMPUTED_VALUE"""),3.0)</f>
        <v>3</v>
      </c>
      <c r="J497">
        <f>IFERROR(__xludf.DUMMYFUNCTION("""COMPUTED_VALUE"""),3.0)</f>
        <v>3</v>
      </c>
      <c r="L497" s="250" t="str">
        <f>IFERROR(__xludf.DUMMYFUNCTION("""COMPUTED_VALUE"""),"")</f>
        <v/>
      </c>
      <c r="M497" s="250" t="str">
        <f>IFERROR(__xludf.DUMMYFUNCTION("""COMPUTED_VALUE"""),"")</f>
        <v/>
      </c>
      <c r="N497" s="250" t="str">
        <f>IFERROR(__xludf.DUMMYFUNCTION("""COMPUTED_VALUE"""),"")</f>
        <v/>
      </c>
      <c r="O497" s="250" t="str">
        <f>IFERROR(__xludf.DUMMYFUNCTION("""COMPUTED_VALUE"""),"")</f>
        <v/>
      </c>
      <c r="P497" s="250" t="str">
        <f>IFERROR(__xludf.DUMMYFUNCTION("""COMPUTED_VALUE"""),"")</f>
        <v/>
      </c>
      <c r="Q497" s="250" t="str">
        <f>IFERROR(__xludf.DUMMYFUNCTION("""COMPUTED_VALUE"""),"")</f>
        <v/>
      </c>
      <c r="R497" s="250" t="str">
        <f>IFERROR(__xludf.DUMMYFUNCTION("""COMPUTED_VALUE"""),"")</f>
        <v/>
      </c>
      <c r="U497" s="250">
        <f>IFERROR(__xludf.DUMMYFUNCTION("""COMPUTED_VALUE"""),2699.0)</f>
        <v>2699</v>
      </c>
      <c r="V497" s="250">
        <f>IFERROR(__xludf.DUMMYFUNCTION("""COMPUTED_VALUE"""),2569.0)</f>
        <v>2569</v>
      </c>
      <c r="W497" s="250">
        <f>IFERROR(__xludf.DUMMYFUNCTION("""COMPUTED_VALUE"""),2309.0)</f>
        <v>2309</v>
      </c>
      <c r="X497" t="b">
        <f t="shared" ref="X497:Z497" si="970">ISBLANK(K497)</f>
        <v>1</v>
      </c>
      <c r="Y497" t="b">
        <f t="shared" si="970"/>
        <v>0</v>
      </c>
      <c r="Z497" t="b">
        <f t="shared" si="970"/>
        <v>0</v>
      </c>
      <c r="AA497">
        <f t="shared" ref="AA497:AC497" si="971">IF(X497=FALSE,1,0)</f>
        <v>0</v>
      </c>
      <c r="AB497">
        <f t="shared" si="971"/>
        <v>1</v>
      </c>
      <c r="AC497">
        <f t="shared" si="971"/>
        <v>1</v>
      </c>
      <c r="AD497">
        <f t="shared" si="6"/>
        <v>2</v>
      </c>
      <c r="AE497">
        <f t="shared" si="7"/>
        <v>1</v>
      </c>
      <c r="AF497">
        <f>if(iferror(vlookup($A497,'Description Database'!$E$2:$H$951,3,0),0)=TRUE,1,0)</f>
        <v>0</v>
      </c>
      <c r="AG497">
        <f>if(iferror(vlookup($A497,'Description Database'!$E$2:$H$951,4,0),0)=TRUE,1,0)</f>
        <v>0</v>
      </c>
    </row>
    <row r="498">
      <c r="A498" t="str">
        <f>IFERROR(__xludf.DUMMYFUNCTION("""COMPUTED_VALUE"""),"Xiaomi MI MAX 2 (4 GB/64 GB)")</f>
        <v>Xiaomi MI MAX 2 (4 GB/64 GB)</v>
      </c>
      <c r="B498" t="str">
        <f>IFERROR(__xludf.DUMMYFUNCTION("""COMPUTED_VALUE"""),"")</f>
        <v/>
      </c>
      <c r="C498" t="str">
        <f>IFERROR(__xludf.DUMMYFUNCTION("""COMPUTED_VALUE"""),"")</f>
        <v/>
      </c>
      <c r="D498" t="str">
        <f>IFERROR(__xludf.DUMMYFUNCTION("""COMPUTED_VALUE"""),"")</f>
        <v/>
      </c>
      <c r="E498" t="str">
        <f>IFERROR(__xludf.DUMMYFUNCTION("""COMPUTED_VALUE"""),"")</f>
        <v/>
      </c>
      <c r="F498" t="str">
        <f>IFERROR(__xludf.DUMMYFUNCTION("""COMPUTED_VALUE"""),"")</f>
        <v/>
      </c>
      <c r="G498" t="str">
        <f>IFERROR(__xludf.DUMMYFUNCTION("""COMPUTED_VALUE"""),"")</f>
        <v/>
      </c>
      <c r="H498" t="str">
        <f>IFERROR(__xludf.DUMMYFUNCTION("""COMPUTED_VALUE"""),"")</f>
        <v/>
      </c>
      <c r="I498">
        <f>IFERROR(__xludf.DUMMYFUNCTION("""COMPUTED_VALUE"""),4.0)</f>
        <v>4</v>
      </c>
      <c r="J498">
        <f>IFERROR(__xludf.DUMMYFUNCTION("""COMPUTED_VALUE"""),4.0)</f>
        <v>4</v>
      </c>
      <c r="L498" s="250" t="str">
        <f>IFERROR(__xludf.DUMMYFUNCTION("""COMPUTED_VALUE"""),"")</f>
        <v/>
      </c>
      <c r="M498" s="250" t="str">
        <f>IFERROR(__xludf.DUMMYFUNCTION("""COMPUTED_VALUE"""),"")</f>
        <v/>
      </c>
      <c r="N498" s="250" t="str">
        <f>IFERROR(__xludf.DUMMYFUNCTION("""COMPUTED_VALUE"""),"")</f>
        <v/>
      </c>
      <c r="O498" s="250" t="str">
        <f>IFERROR(__xludf.DUMMYFUNCTION("""COMPUTED_VALUE"""),"")</f>
        <v/>
      </c>
      <c r="P498" s="250" t="str">
        <f>IFERROR(__xludf.DUMMYFUNCTION("""COMPUTED_VALUE"""),"")</f>
        <v/>
      </c>
      <c r="Q498" s="250" t="str">
        <f>IFERROR(__xludf.DUMMYFUNCTION("""COMPUTED_VALUE"""),"")</f>
        <v/>
      </c>
      <c r="R498" s="250" t="str">
        <f>IFERROR(__xludf.DUMMYFUNCTION("""COMPUTED_VALUE"""),"")</f>
        <v/>
      </c>
      <c r="U498" s="250">
        <f>IFERROR(__xludf.DUMMYFUNCTION("""COMPUTED_VALUE"""),6559.0)</f>
        <v>6559</v>
      </c>
      <c r="V498" s="250">
        <f>IFERROR(__xludf.DUMMYFUNCTION("""COMPUTED_VALUE"""),6239.0)</f>
        <v>6239</v>
      </c>
      <c r="W498" s="250">
        <f>IFERROR(__xludf.DUMMYFUNCTION("""COMPUTED_VALUE"""),5619.0)</f>
        <v>5619</v>
      </c>
      <c r="X498" t="b">
        <f t="shared" ref="X498:Z498" si="972">ISBLANK(K498)</f>
        <v>1</v>
      </c>
      <c r="Y498" t="b">
        <f t="shared" si="972"/>
        <v>0</v>
      </c>
      <c r="Z498" t="b">
        <f t="shared" si="972"/>
        <v>0</v>
      </c>
      <c r="AA498">
        <f t="shared" ref="AA498:AC498" si="973">IF(X498=FALSE,1,0)</f>
        <v>0</v>
      </c>
      <c r="AB498">
        <f t="shared" si="973"/>
        <v>1</v>
      </c>
      <c r="AC498">
        <f t="shared" si="973"/>
        <v>1</v>
      </c>
      <c r="AD498">
        <f t="shared" si="6"/>
        <v>2</v>
      </c>
      <c r="AE498">
        <f t="shared" si="7"/>
        <v>1</v>
      </c>
      <c r="AF498">
        <f>if(iferror(vlookup($A498,'Description Database'!$E$2:$H$951,3,0),0)=TRUE,1,0)</f>
        <v>0</v>
      </c>
      <c r="AG498">
        <f>if(iferror(vlookup($A498,'Description Database'!$E$2:$H$951,4,0),0)=TRUE,1,0)</f>
        <v>0</v>
      </c>
    </row>
    <row r="499">
      <c r="A499" t="str">
        <f>IFERROR(__xludf.DUMMYFUNCTION("""COMPUTED_VALUE"""),"Honor 7X (4 GB/64 GB)")</f>
        <v>Honor 7X (4 GB/64 GB)</v>
      </c>
      <c r="B499" t="str">
        <f>IFERROR(__xludf.DUMMYFUNCTION("""COMPUTED_VALUE"""),"")</f>
        <v/>
      </c>
      <c r="C499" t="str">
        <f>IFERROR(__xludf.DUMMYFUNCTION("""COMPUTED_VALUE"""),"")</f>
        <v/>
      </c>
      <c r="D499" t="str">
        <f>IFERROR(__xludf.DUMMYFUNCTION("""COMPUTED_VALUE"""),"")</f>
        <v/>
      </c>
      <c r="E499" t="str">
        <f>IFERROR(__xludf.DUMMYFUNCTION("""COMPUTED_VALUE"""),"")</f>
        <v/>
      </c>
      <c r="F499" t="str">
        <f>IFERROR(__xludf.DUMMYFUNCTION("""COMPUTED_VALUE"""),"")</f>
        <v/>
      </c>
      <c r="G499">
        <f>IFERROR(__xludf.DUMMYFUNCTION("""COMPUTED_VALUE"""),1.0)</f>
        <v>1</v>
      </c>
      <c r="H499" t="str">
        <f>IFERROR(__xludf.DUMMYFUNCTION("""COMPUTED_VALUE"""),"")</f>
        <v/>
      </c>
      <c r="I499">
        <f>IFERROR(__xludf.DUMMYFUNCTION("""COMPUTED_VALUE"""),4.0)</f>
        <v>4</v>
      </c>
      <c r="J499">
        <f>IFERROR(__xludf.DUMMYFUNCTION("""COMPUTED_VALUE"""),5.0)</f>
        <v>5</v>
      </c>
      <c r="L499" s="250" t="str">
        <f>IFERROR(__xludf.DUMMYFUNCTION("""COMPUTED_VALUE"""),"")</f>
        <v/>
      </c>
      <c r="M499" s="250" t="str">
        <f>IFERROR(__xludf.DUMMYFUNCTION("""COMPUTED_VALUE"""),"")</f>
        <v/>
      </c>
      <c r="N499" s="250" t="str">
        <f>IFERROR(__xludf.DUMMYFUNCTION("""COMPUTED_VALUE"""),"")</f>
        <v/>
      </c>
      <c r="O499" s="250" t="str">
        <f>IFERROR(__xludf.DUMMYFUNCTION("""COMPUTED_VALUE"""),"")</f>
        <v/>
      </c>
      <c r="P499" s="250" t="str">
        <f>IFERROR(__xludf.DUMMYFUNCTION("""COMPUTED_VALUE"""),"")</f>
        <v/>
      </c>
      <c r="Q499" s="250">
        <f>IFERROR(__xludf.DUMMYFUNCTION("""COMPUTED_VALUE"""),2989.0)</f>
        <v>2989</v>
      </c>
      <c r="R499" s="250" t="str">
        <f>IFERROR(__xludf.DUMMYFUNCTION("""COMPUTED_VALUE"""),"")</f>
        <v/>
      </c>
      <c r="U499" s="250">
        <f>IFERROR(__xludf.DUMMYFUNCTION("""COMPUTED_VALUE"""),6079.0)</f>
        <v>6079</v>
      </c>
      <c r="V499" s="250">
        <f>IFERROR(__xludf.DUMMYFUNCTION("""COMPUTED_VALUE"""),5779.0)</f>
        <v>5779</v>
      </c>
      <c r="W499" s="250">
        <f>IFERROR(__xludf.DUMMYFUNCTION("""COMPUTED_VALUE"""),5199.0)</f>
        <v>5199</v>
      </c>
      <c r="X499" t="b">
        <f t="shared" ref="X499:Z499" si="974">ISBLANK(K499)</f>
        <v>1</v>
      </c>
      <c r="Y499" t="b">
        <f t="shared" si="974"/>
        <v>0</v>
      </c>
      <c r="Z499" t="b">
        <f t="shared" si="974"/>
        <v>0</v>
      </c>
      <c r="AA499">
        <f t="shared" ref="AA499:AC499" si="975">IF(X499=FALSE,1,0)</f>
        <v>0</v>
      </c>
      <c r="AB499">
        <f t="shared" si="975"/>
        <v>1</v>
      </c>
      <c r="AC499">
        <f t="shared" si="975"/>
        <v>1</v>
      </c>
      <c r="AD499">
        <f t="shared" si="6"/>
        <v>2</v>
      </c>
      <c r="AE499">
        <f t="shared" si="7"/>
        <v>1</v>
      </c>
      <c r="AF499">
        <f>if(iferror(vlookup($A499,'Description Database'!$E$2:$H$951,3,0),0)=TRUE,1,0)</f>
        <v>0</v>
      </c>
      <c r="AG499">
        <f>if(iferror(vlookup($A499,'Description Database'!$E$2:$H$951,4,0),0)=TRUE,1,0)</f>
        <v>0</v>
      </c>
    </row>
    <row r="500">
      <c r="A500" t="str">
        <f>IFERROR(__xludf.DUMMYFUNCTION("""COMPUTED_VALUE"""),"Samsung GALAXY ON6 (4 GB/64 GB)")</f>
        <v>Samsung GALAXY ON6 (4 GB/64 GB)</v>
      </c>
      <c r="B500" t="str">
        <f>IFERROR(__xludf.DUMMYFUNCTION("""COMPUTED_VALUE"""),"")</f>
        <v/>
      </c>
      <c r="C500" t="str">
        <f>IFERROR(__xludf.DUMMYFUNCTION("""COMPUTED_VALUE"""),"")</f>
        <v/>
      </c>
      <c r="D500" t="str">
        <f>IFERROR(__xludf.DUMMYFUNCTION("""COMPUTED_VALUE"""),"")</f>
        <v/>
      </c>
      <c r="E500" t="str">
        <f>IFERROR(__xludf.DUMMYFUNCTION("""COMPUTED_VALUE"""),"")</f>
        <v/>
      </c>
      <c r="F500" t="str">
        <f>IFERROR(__xludf.DUMMYFUNCTION("""COMPUTED_VALUE"""),"")</f>
        <v/>
      </c>
      <c r="G500" t="str">
        <f>IFERROR(__xludf.DUMMYFUNCTION("""COMPUTED_VALUE"""),"")</f>
        <v/>
      </c>
      <c r="H500" t="str">
        <f>IFERROR(__xludf.DUMMYFUNCTION("""COMPUTED_VALUE"""),"")</f>
        <v/>
      </c>
      <c r="I500" t="str">
        <f>IFERROR(__xludf.DUMMYFUNCTION("""COMPUTED_VALUE"""),"")</f>
        <v/>
      </c>
      <c r="J500">
        <f>IFERROR(__xludf.DUMMYFUNCTION("""COMPUTED_VALUE"""),0.0)</f>
        <v>0</v>
      </c>
      <c r="L500" s="250" t="str">
        <f>IFERROR(__xludf.DUMMYFUNCTION("""COMPUTED_VALUE"""),"")</f>
        <v/>
      </c>
      <c r="M500" s="250" t="str">
        <f>IFERROR(__xludf.DUMMYFUNCTION("""COMPUTED_VALUE"""),"")</f>
        <v/>
      </c>
      <c r="N500" s="250" t="str">
        <f>IFERROR(__xludf.DUMMYFUNCTION("""COMPUTED_VALUE"""),"")</f>
        <v/>
      </c>
      <c r="O500" s="250" t="str">
        <f>IFERROR(__xludf.DUMMYFUNCTION("""COMPUTED_VALUE"""),"")</f>
        <v/>
      </c>
      <c r="P500" s="250" t="str">
        <f>IFERROR(__xludf.DUMMYFUNCTION("""COMPUTED_VALUE"""),"")</f>
        <v/>
      </c>
      <c r="Q500" s="250" t="str">
        <f>IFERROR(__xludf.DUMMYFUNCTION("""COMPUTED_VALUE"""),"")</f>
        <v/>
      </c>
      <c r="R500" s="250" t="str">
        <f>IFERROR(__xludf.DUMMYFUNCTION("""COMPUTED_VALUE"""),"")</f>
        <v/>
      </c>
      <c r="U500" s="250">
        <f>IFERROR(__xludf.DUMMYFUNCTION("""COMPUTED_VALUE"""),5779.0)</f>
        <v>5779</v>
      </c>
      <c r="V500" s="250">
        <f>IFERROR(__xludf.DUMMYFUNCTION("""COMPUTED_VALUE"""),5499.0)</f>
        <v>5499</v>
      </c>
      <c r="W500" s="250">
        <f>IFERROR(__xludf.DUMMYFUNCTION("""COMPUTED_VALUE"""),4949.0)</f>
        <v>4949</v>
      </c>
      <c r="X500" t="b">
        <f t="shared" ref="X500:Z500" si="976">ISBLANK(K500)</f>
        <v>1</v>
      </c>
      <c r="Y500" t="b">
        <f t="shared" si="976"/>
        <v>0</v>
      </c>
      <c r="Z500" t="b">
        <f t="shared" si="976"/>
        <v>0</v>
      </c>
      <c r="AA500">
        <f t="shared" ref="AA500:AC500" si="977">IF(X500=FALSE,1,0)</f>
        <v>0</v>
      </c>
      <c r="AB500">
        <f t="shared" si="977"/>
        <v>1</v>
      </c>
      <c r="AC500">
        <f t="shared" si="977"/>
        <v>1</v>
      </c>
      <c r="AD500">
        <f t="shared" si="6"/>
        <v>2</v>
      </c>
      <c r="AE500">
        <f t="shared" si="7"/>
        <v>1</v>
      </c>
      <c r="AF500">
        <f>if(iferror(vlookup($A500,'Description Database'!$E$2:$H$951,3,0),0)=TRUE,1,0)</f>
        <v>0</v>
      </c>
      <c r="AG500">
        <f>if(iferror(vlookup($A500,'Description Database'!$E$2:$H$951,4,0),0)=TRUE,1,0)</f>
        <v>0</v>
      </c>
    </row>
    <row r="501">
      <c r="A501" t="str">
        <f>IFERROR(__xludf.DUMMYFUNCTION("""COMPUTED_VALUE"""),"LG K10 (2 GB/16 GB)")</f>
        <v>LG K10 (2 GB/16 GB)</v>
      </c>
      <c r="B501" t="str">
        <f>IFERROR(__xludf.DUMMYFUNCTION("""COMPUTED_VALUE"""),"")</f>
        <v/>
      </c>
      <c r="C501" t="str">
        <f>IFERROR(__xludf.DUMMYFUNCTION("""COMPUTED_VALUE"""),"")</f>
        <v/>
      </c>
      <c r="D501" t="str">
        <f>IFERROR(__xludf.DUMMYFUNCTION("""COMPUTED_VALUE"""),"")</f>
        <v/>
      </c>
      <c r="E501" t="str">
        <f>IFERROR(__xludf.DUMMYFUNCTION("""COMPUTED_VALUE"""),"")</f>
        <v/>
      </c>
      <c r="F501" t="str">
        <f>IFERROR(__xludf.DUMMYFUNCTION("""COMPUTED_VALUE"""),"")</f>
        <v/>
      </c>
      <c r="G501" t="str">
        <f>IFERROR(__xludf.DUMMYFUNCTION("""COMPUTED_VALUE"""),"")</f>
        <v/>
      </c>
      <c r="H501" t="str">
        <f>IFERROR(__xludf.DUMMYFUNCTION("""COMPUTED_VALUE"""),"")</f>
        <v/>
      </c>
      <c r="I501">
        <f>IFERROR(__xludf.DUMMYFUNCTION("""COMPUTED_VALUE"""),3.0)</f>
        <v>3</v>
      </c>
      <c r="J501">
        <f>IFERROR(__xludf.DUMMYFUNCTION("""COMPUTED_VALUE"""),3.0)</f>
        <v>3</v>
      </c>
      <c r="L501" s="250" t="str">
        <f>IFERROR(__xludf.DUMMYFUNCTION("""COMPUTED_VALUE"""),"")</f>
        <v/>
      </c>
      <c r="M501" s="250" t="str">
        <f>IFERROR(__xludf.DUMMYFUNCTION("""COMPUTED_VALUE"""),"")</f>
        <v/>
      </c>
      <c r="N501" s="250" t="str">
        <f>IFERROR(__xludf.DUMMYFUNCTION("""COMPUTED_VALUE"""),"")</f>
        <v/>
      </c>
      <c r="O501" s="250" t="str">
        <f>IFERROR(__xludf.DUMMYFUNCTION("""COMPUTED_VALUE"""),"")</f>
        <v/>
      </c>
      <c r="P501" s="250" t="str">
        <f>IFERROR(__xludf.DUMMYFUNCTION("""COMPUTED_VALUE"""),"")</f>
        <v/>
      </c>
      <c r="Q501" s="250" t="str">
        <f>IFERROR(__xludf.DUMMYFUNCTION("""COMPUTED_VALUE"""),"")</f>
        <v/>
      </c>
      <c r="R501" s="250" t="str">
        <f>IFERROR(__xludf.DUMMYFUNCTION("""COMPUTED_VALUE"""),"")</f>
        <v/>
      </c>
      <c r="U501" s="250">
        <f>IFERROR(__xludf.DUMMYFUNCTION("""COMPUTED_VALUE"""),2689.0)</f>
        <v>2689</v>
      </c>
      <c r="V501" s="250">
        <f>IFERROR(__xludf.DUMMYFUNCTION("""COMPUTED_VALUE"""),2559.0)</f>
        <v>2559</v>
      </c>
      <c r="W501" s="250">
        <f>IFERROR(__xludf.DUMMYFUNCTION("""COMPUTED_VALUE"""),2299.0)</f>
        <v>2299</v>
      </c>
      <c r="X501" t="b">
        <f t="shared" ref="X501:Z501" si="978">ISBLANK(K501)</f>
        <v>1</v>
      </c>
      <c r="Y501" t="b">
        <f t="shared" si="978"/>
        <v>0</v>
      </c>
      <c r="Z501" t="b">
        <f t="shared" si="978"/>
        <v>0</v>
      </c>
      <c r="AA501">
        <f t="shared" ref="AA501:AC501" si="979">IF(X501=FALSE,1,0)</f>
        <v>0</v>
      </c>
      <c r="AB501">
        <f t="shared" si="979"/>
        <v>1</v>
      </c>
      <c r="AC501">
        <f t="shared" si="979"/>
        <v>1</v>
      </c>
      <c r="AD501">
        <f t="shared" si="6"/>
        <v>2</v>
      </c>
      <c r="AE501">
        <f t="shared" si="7"/>
        <v>1</v>
      </c>
      <c r="AF501">
        <f>if(iferror(vlookup($A501,'Description Database'!$E$2:$H$951,3,0),0)=TRUE,1,0)</f>
        <v>0</v>
      </c>
      <c r="AG501">
        <f>if(iferror(vlookup($A501,'Description Database'!$E$2:$H$951,4,0),0)=TRUE,1,0)</f>
        <v>0</v>
      </c>
    </row>
    <row r="502">
      <c r="A502" t="str">
        <f>IFERROR(__xludf.DUMMYFUNCTION("""COMPUTED_VALUE"""),"Xiaomi GALAXY J2 2018 (2 GB/16 GB)")</f>
        <v>Xiaomi GALAXY J2 2018 (2 GB/16 GB)</v>
      </c>
      <c r="B502" t="str">
        <f>IFERROR(__xludf.DUMMYFUNCTION("""COMPUTED_VALUE"""),"")</f>
        <v/>
      </c>
      <c r="C502" t="str">
        <f>IFERROR(__xludf.DUMMYFUNCTION("""COMPUTED_VALUE"""),"")</f>
        <v/>
      </c>
      <c r="D502" t="str">
        <f>IFERROR(__xludf.DUMMYFUNCTION("""COMPUTED_VALUE"""),"")</f>
        <v/>
      </c>
      <c r="E502" t="str">
        <f>IFERROR(__xludf.DUMMYFUNCTION("""COMPUTED_VALUE"""),"")</f>
        <v/>
      </c>
      <c r="F502" t="str">
        <f>IFERROR(__xludf.DUMMYFUNCTION("""COMPUTED_VALUE"""),"")</f>
        <v/>
      </c>
      <c r="G502" t="str">
        <f>IFERROR(__xludf.DUMMYFUNCTION("""COMPUTED_VALUE"""),"")</f>
        <v/>
      </c>
      <c r="H502" t="str">
        <f>IFERROR(__xludf.DUMMYFUNCTION("""COMPUTED_VALUE"""),"")</f>
        <v/>
      </c>
      <c r="I502" t="str">
        <f>IFERROR(__xludf.DUMMYFUNCTION("""COMPUTED_VALUE"""),"")</f>
        <v/>
      </c>
      <c r="J502">
        <f>IFERROR(__xludf.DUMMYFUNCTION("""COMPUTED_VALUE"""),0.0)</f>
        <v>0</v>
      </c>
      <c r="L502" s="250" t="str">
        <f>IFERROR(__xludf.DUMMYFUNCTION("""COMPUTED_VALUE"""),"")</f>
        <v/>
      </c>
      <c r="M502" s="250" t="str">
        <f>IFERROR(__xludf.DUMMYFUNCTION("""COMPUTED_VALUE"""),"")</f>
        <v/>
      </c>
      <c r="N502" s="250" t="str">
        <f>IFERROR(__xludf.DUMMYFUNCTION("""COMPUTED_VALUE"""),"")</f>
        <v/>
      </c>
      <c r="O502" s="250" t="str">
        <f>IFERROR(__xludf.DUMMYFUNCTION("""COMPUTED_VALUE"""),"")</f>
        <v/>
      </c>
      <c r="P502" s="250" t="str">
        <f>IFERROR(__xludf.DUMMYFUNCTION("""COMPUTED_VALUE"""),"")</f>
        <v/>
      </c>
      <c r="Q502" s="250" t="str">
        <f>IFERROR(__xludf.DUMMYFUNCTION("""COMPUTED_VALUE"""),"")</f>
        <v/>
      </c>
      <c r="R502" s="250" t="str">
        <f>IFERROR(__xludf.DUMMYFUNCTION("""COMPUTED_VALUE"""),"")</f>
        <v/>
      </c>
      <c r="U502" s="250" t="str">
        <f>IFERROR(__xludf.DUMMYFUNCTION("""COMPUTED_VALUE"""),"#N/A")</f>
        <v>#N/A</v>
      </c>
      <c r="V502" s="250" t="str">
        <f>IFERROR(__xludf.DUMMYFUNCTION("""COMPUTED_VALUE"""),"#N/A")</f>
        <v>#N/A</v>
      </c>
      <c r="W502" s="250" t="str">
        <f>IFERROR(__xludf.DUMMYFUNCTION("""COMPUTED_VALUE"""),"#N/A")</f>
        <v>#N/A</v>
      </c>
      <c r="X502" t="b">
        <f t="shared" ref="X502:Z502" si="980">ISBLANK(K502)</f>
        <v>1</v>
      </c>
      <c r="Y502" t="b">
        <f t="shared" si="980"/>
        <v>0</v>
      </c>
      <c r="Z502" t="b">
        <f t="shared" si="980"/>
        <v>0</v>
      </c>
      <c r="AA502">
        <f t="shared" ref="AA502:AC502" si="981">IF(X502=FALSE,1,0)</f>
        <v>0</v>
      </c>
      <c r="AB502">
        <f t="shared" si="981"/>
        <v>1</v>
      </c>
      <c r="AC502">
        <f t="shared" si="981"/>
        <v>1</v>
      </c>
      <c r="AD502">
        <f t="shared" si="6"/>
        <v>2</v>
      </c>
      <c r="AE502">
        <f t="shared" si="7"/>
        <v>1</v>
      </c>
      <c r="AF502">
        <f>if(iferror(vlookup($A502,'Description Database'!$E$2:$H$951,3,0),0)=TRUE,1,0)</f>
        <v>0</v>
      </c>
      <c r="AG502">
        <f>if(iferror(vlookup($A502,'Description Database'!$E$2:$H$951,4,0),0)=TRUE,1,0)</f>
        <v>0</v>
      </c>
    </row>
    <row r="503">
      <c r="A503" t="str">
        <f>IFERROR(__xludf.DUMMYFUNCTION("""COMPUTED_VALUE"""),"MICROMAX CANVAS NITRO 4G (2 GB/16 GB)")</f>
        <v>MICROMAX CANVAS NITRO 4G (2 GB/16 GB)</v>
      </c>
      <c r="B503" t="str">
        <f>IFERROR(__xludf.DUMMYFUNCTION("""COMPUTED_VALUE"""),"")</f>
        <v/>
      </c>
      <c r="C503" t="str">
        <f>IFERROR(__xludf.DUMMYFUNCTION("""COMPUTED_VALUE"""),"")</f>
        <v/>
      </c>
      <c r="D503" t="str">
        <f>IFERROR(__xludf.DUMMYFUNCTION("""COMPUTED_VALUE"""),"")</f>
        <v/>
      </c>
      <c r="E503" t="str">
        <f>IFERROR(__xludf.DUMMYFUNCTION("""COMPUTED_VALUE"""),"")</f>
        <v/>
      </c>
      <c r="F503" t="str">
        <f>IFERROR(__xludf.DUMMYFUNCTION("""COMPUTED_VALUE"""),"")</f>
        <v/>
      </c>
      <c r="G503" t="str">
        <f>IFERROR(__xludf.DUMMYFUNCTION("""COMPUTED_VALUE"""),"")</f>
        <v/>
      </c>
      <c r="H503" t="str">
        <f>IFERROR(__xludf.DUMMYFUNCTION("""COMPUTED_VALUE"""),"")</f>
        <v/>
      </c>
      <c r="I503">
        <f>IFERROR(__xludf.DUMMYFUNCTION("""COMPUTED_VALUE"""),1.0)</f>
        <v>1</v>
      </c>
      <c r="J503">
        <f>IFERROR(__xludf.DUMMYFUNCTION("""COMPUTED_VALUE"""),1.0)</f>
        <v>1</v>
      </c>
      <c r="L503" s="250" t="str">
        <f>IFERROR(__xludf.DUMMYFUNCTION("""COMPUTED_VALUE"""),"")</f>
        <v/>
      </c>
      <c r="M503" s="250" t="str">
        <f>IFERROR(__xludf.DUMMYFUNCTION("""COMPUTED_VALUE"""),"")</f>
        <v/>
      </c>
      <c r="N503" s="250" t="str">
        <f>IFERROR(__xludf.DUMMYFUNCTION("""COMPUTED_VALUE"""),"")</f>
        <v/>
      </c>
      <c r="O503" s="250" t="str">
        <f>IFERROR(__xludf.DUMMYFUNCTION("""COMPUTED_VALUE"""),"")</f>
        <v/>
      </c>
      <c r="P503" s="250" t="str">
        <f>IFERROR(__xludf.DUMMYFUNCTION("""COMPUTED_VALUE"""),"")</f>
        <v/>
      </c>
      <c r="Q503" s="250" t="str">
        <f>IFERROR(__xludf.DUMMYFUNCTION("""COMPUTED_VALUE"""),"")</f>
        <v/>
      </c>
      <c r="R503" s="250" t="str">
        <f>IFERROR(__xludf.DUMMYFUNCTION("""COMPUTED_VALUE"""),"")</f>
        <v/>
      </c>
      <c r="U503" s="250" t="str">
        <f>IFERROR(__xludf.DUMMYFUNCTION("""COMPUTED_VALUE"""),"#N/A")</f>
        <v>#N/A</v>
      </c>
      <c r="V503" s="250" t="str">
        <f>IFERROR(__xludf.DUMMYFUNCTION("""COMPUTED_VALUE"""),"#N/A")</f>
        <v>#N/A</v>
      </c>
      <c r="W503" s="250" t="str">
        <f>IFERROR(__xludf.DUMMYFUNCTION("""COMPUTED_VALUE"""),"#N/A")</f>
        <v>#N/A</v>
      </c>
      <c r="X503" t="b">
        <f t="shared" ref="X503:Z503" si="982">ISBLANK(K503)</f>
        <v>1</v>
      </c>
      <c r="Y503" t="b">
        <f t="shared" si="982"/>
        <v>0</v>
      </c>
      <c r="Z503" t="b">
        <f t="shared" si="982"/>
        <v>0</v>
      </c>
      <c r="AA503">
        <f t="shared" ref="AA503:AC503" si="983">IF(X503=FALSE,1,0)</f>
        <v>0</v>
      </c>
      <c r="AB503">
        <f t="shared" si="983"/>
        <v>1</v>
      </c>
      <c r="AC503">
        <f t="shared" si="983"/>
        <v>1</v>
      </c>
      <c r="AD503">
        <f t="shared" si="6"/>
        <v>2</v>
      </c>
      <c r="AE503">
        <f t="shared" si="7"/>
        <v>1</v>
      </c>
      <c r="AF503">
        <f>if(iferror(vlookup($A503,'Description Database'!$E$2:$H$951,3,0),0)=TRUE,1,0)</f>
        <v>0</v>
      </c>
      <c r="AG503">
        <f>if(iferror(vlookup($A503,'Description Database'!$E$2:$H$951,4,0),0)=TRUE,1,0)</f>
        <v>0</v>
      </c>
    </row>
    <row r="504">
      <c r="A504" t="str">
        <f>IFERROR(__xludf.DUMMYFUNCTION("""COMPUTED_VALUE"""),"Vivo V5 PLUS (4 GB/64 GB)")</f>
        <v>Vivo V5 PLUS (4 GB/64 GB)</v>
      </c>
      <c r="B504" t="str">
        <f>IFERROR(__xludf.DUMMYFUNCTION("""COMPUTED_VALUE"""),"")</f>
        <v/>
      </c>
      <c r="C504" t="str">
        <f>IFERROR(__xludf.DUMMYFUNCTION("""COMPUTED_VALUE"""),"")</f>
        <v/>
      </c>
      <c r="D504" t="str">
        <f>IFERROR(__xludf.DUMMYFUNCTION("""COMPUTED_VALUE"""),"")</f>
        <v/>
      </c>
      <c r="E504" t="str">
        <f>IFERROR(__xludf.DUMMYFUNCTION("""COMPUTED_VALUE"""),"")</f>
        <v/>
      </c>
      <c r="F504" t="str">
        <f>IFERROR(__xludf.DUMMYFUNCTION("""COMPUTED_VALUE"""),"")</f>
        <v/>
      </c>
      <c r="G504">
        <f>IFERROR(__xludf.DUMMYFUNCTION("""COMPUTED_VALUE"""),1.0)</f>
        <v>1</v>
      </c>
      <c r="H504" t="str">
        <f>IFERROR(__xludf.DUMMYFUNCTION("""COMPUTED_VALUE"""),"")</f>
        <v/>
      </c>
      <c r="I504" t="str">
        <f>IFERROR(__xludf.DUMMYFUNCTION("""COMPUTED_VALUE"""),"")</f>
        <v/>
      </c>
      <c r="J504">
        <f>IFERROR(__xludf.DUMMYFUNCTION("""COMPUTED_VALUE"""),1.0)</f>
        <v>1</v>
      </c>
      <c r="L504" s="250" t="str">
        <f>IFERROR(__xludf.DUMMYFUNCTION("""COMPUTED_VALUE"""),"")</f>
        <v/>
      </c>
      <c r="M504" s="250" t="str">
        <f>IFERROR(__xludf.DUMMYFUNCTION("""COMPUTED_VALUE"""),"")</f>
        <v/>
      </c>
      <c r="N504" s="250" t="str">
        <f>IFERROR(__xludf.DUMMYFUNCTION("""COMPUTED_VALUE"""),"")</f>
        <v/>
      </c>
      <c r="O504" s="250" t="str">
        <f>IFERROR(__xludf.DUMMYFUNCTION("""COMPUTED_VALUE"""),"")</f>
        <v/>
      </c>
      <c r="P504" s="250" t="str">
        <f>IFERROR(__xludf.DUMMYFUNCTION("""COMPUTED_VALUE"""),"")</f>
        <v/>
      </c>
      <c r="Q504" s="250">
        <f>IFERROR(__xludf.DUMMYFUNCTION("""COMPUTED_VALUE"""),3239.0)</f>
        <v>3239</v>
      </c>
      <c r="R504" s="250" t="str">
        <f>IFERROR(__xludf.DUMMYFUNCTION("""COMPUTED_VALUE"""),"")</f>
        <v/>
      </c>
      <c r="U504" s="250">
        <f>IFERROR(__xludf.DUMMYFUNCTION("""COMPUTED_VALUE"""),6539.0)</f>
        <v>6539</v>
      </c>
      <c r="V504" s="250">
        <f>IFERROR(__xludf.DUMMYFUNCTION("""COMPUTED_VALUE"""),6219.0)</f>
        <v>6219</v>
      </c>
      <c r="W504" s="250">
        <f>IFERROR(__xludf.DUMMYFUNCTION("""COMPUTED_VALUE"""),5589.0)</f>
        <v>5589</v>
      </c>
      <c r="X504" t="b">
        <f t="shared" ref="X504:Z504" si="984">ISBLANK(K504)</f>
        <v>1</v>
      </c>
      <c r="Y504" t="b">
        <f t="shared" si="984"/>
        <v>0</v>
      </c>
      <c r="Z504" t="b">
        <f t="shared" si="984"/>
        <v>0</v>
      </c>
      <c r="AA504">
        <f t="shared" ref="AA504:AC504" si="985">IF(X504=FALSE,1,0)</f>
        <v>0</v>
      </c>
      <c r="AB504">
        <f t="shared" si="985"/>
        <v>1</v>
      </c>
      <c r="AC504">
        <f t="shared" si="985"/>
        <v>1</v>
      </c>
      <c r="AD504">
        <f t="shared" si="6"/>
        <v>2</v>
      </c>
      <c r="AE504">
        <f t="shared" si="7"/>
        <v>1</v>
      </c>
      <c r="AF504">
        <f>if(iferror(vlookup($A504,'Description Database'!$E$2:$H$951,3,0),0)=TRUE,1,0)</f>
        <v>0</v>
      </c>
      <c r="AG504">
        <f>if(iferror(vlookup($A504,'Description Database'!$E$2:$H$951,4,0),0)=TRUE,1,0)</f>
        <v>0</v>
      </c>
    </row>
    <row r="505">
      <c r="A505" t="str">
        <f>IFERROR(__xludf.DUMMYFUNCTION("""COMPUTED_VALUE"""),"Lenovo Z2 PLUS (2 GB/16 GB)")</f>
        <v>Lenovo Z2 PLUS (2 GB/16 GB)</v>
      </c>
      <c r="B505" t="str">
        <f>IFERROR(__xludf.DUMMYFUNCTION("""COMPUTED_VALUE"""),"")</f>
        <v/>
      </c>
      <c r="C505" t="str">
        <f>IFERROR(__xludf.DUMMYFUNCTION("""COMPUTED_VALUE"""),"")</f>
        <v/>
      </c>
      <c r="D505" t="str">
        <f>IFERROR(__xludf.DUMMYFUNCTION("""COMPUTED_VALUE"""),"")</f>
        <v/>
      </c>
      <c r="E505" t="str">
        <f>IFERROR(__xludf.DUMMYFUNCTION("""COMPUTED_VALUE"""),"")</f>
        <v/>
      </c>
      <c r="F505" t="str">
        <f>IFERROR(__xludf.DUMMYFUNCTION("""COMPUTED_VALUE"""),"")</f>
        <v/>
      </c>
      <c r="G505" t="str">
        <f>IFERROR(__xludf.DUMMYFUNCTION("""COMPUTED_VALUE"""),"")</f>
        <v/>
      </c>
      <c r="H505" t="str">
        <f>IFERROR(__xludf.DUMMYFUNCTION("""COMPUTED_VALUE"""),"")</f>
        <v/>
      </c>
      <c r="I505">
        <f>IFERROR(__xludf.DUMMYFUNCTION("""COMPUTED_VALUE"""),4.0)</f>
        <v>4</v>
      </c>
      <c r="J505">
        <f>IFERROR(__xludf.DUMMYFUNCTION("""COMPUTED_VALUE"""),4.0)</f>
        <v>4</v>
      </c>
      <c r="L505" s="250" t="str">
        <f>IFERROR(__xludf.DUMMYFUNCTION("""COMPUTED_VALUE"""),"")</f>
        <v/>
      </c>
      <c r="M505" s="250" t="str">
        <f>IFERROR(__xludf.DUMMYFUNCTION("""COMPUTED_VALUE"""),"")</f>
        <v/>
      </c>
      <c r="N505" s="250" t="str">
        <f>IFERROR(__xludf.DUMMYFUNCTION("""COMPUTED_VALUE"""),"")</f>
        <v/>
      </c>
      <c r="O505" s="250" t="str">
        <f>IFERROR(__xludf.DUMMYFUNCTION("""COMPUTED_VALUE"""),"")</f>
        <v/>
      </c>
      <c r="P505" s="250" t="str">
        <f>IFERROR(__xludf.DUMMYFUNCTION("""COMPUTED_VALUE"""),"")</f>
        <v/>
      </c>
      <c r="Q505" s="250" t="str">
        <f>IFERROR(__xludf.DUMMYFUNCTION("""COMPUTED_VALUE"""),"")</f>
        <v/>
      </c>
      <c r="R505" s="250" t="str">
        <f>IFERROR(__xludf.DUMMYFUNCTION("""COMPUTED_VALUE"""),"")</f>
        <v/>
      </c>
      <c r="U505" s="250" t="str">
        <f>IFERROR(__xludf.DUMMYFUNCTION("""COMPUTED_VALUE"""),"#N/A")</f>
        <v>#N/A</v>
      </c>
      <c r="V505" s="250" t="str">
        <f>IFERROR(__xludf.DUMMYFUNCTION("""COMPUTED_VALUE"""),"#N/A")</f>
        <v>#N/A</v>
      </c>
      <c r="W505" s="250" t="str">
        <f>IFERROR(__xludf.DUMMYFUNCTION("""COMPUTED_VALUE"""),"#N/A")</f>
        <v>#N/A</v>
      </c>
      <c r="X505" t="b">
        <f t="shared" ref="X505:Z505" si="986">ISBLANK(K505)</f>
        <v>1</v>
      </c>
      <c r="Y505" t="b">
        <f t="shared" si="986"/>
        <v>0</v>
      </c>
      <c r="Z505" t="b">
        <f t="shared" si="986"/>
        <v>0</v>
      </c>
      <c r="AA505">
        <f t="shared" ref="AA505:AC505" si="987">IF(X505=FALSE,1,0)</f>
        <v>0</v>
      </c>
      <c r="AB505">
        <f t="shared" si="987"/>
        <v>1</v>
      </c>
      <c r="AC505">
        <f t="shared" si="987"/>
        <v>1</v>
      </c>
      <c r="AD505">
        <f t="shared" si="6"/>
        <v>2</v>
      </c>
      <c r="AE505">
        <f t="shared" si="7"/>
        <v>1</v>
      </c>
      <c r="AF505">
        <f>if(iferror(vlookup($A505,'Description Database'!$E$2:$H$951,3,0),0)=TRUE,1,0)</f>
        <v>0</v>
      </c>
      <c r="AG505">
        <f>if(iferror(vlookup($A505,'Description Database'!$E$2:$H$951,4,0),0)=TRUE,1,0)</f>
        <v>0</v>
      </c>
    </row>
    <row r="506">
      <c r="A506" t="str">
        <f>IFERROR(__xludf.DUMMYFUNCTION("""COMPUTED_VALUE"""),"Samsung GALAXY A7 2016 (2 GB/16 GB)")</f>
        <v>Samsung GALAXY A7 2016 (2 GB/16 GB)</v>
      </c>
      <c r="B506" t="str">
        <f>IFERROR(__xludf.DUMMYFUNCTION("""COMPUTED_VALUE"""),"")</f>
        <v/>
      </c>
      <c r="C506" t="str">
        <f>IFERROR(__xludf.DUMMYFUNCTION("""COMPUTED_VALUE"""),"")</f>
        <v/>
      </c>
      <c r="D506" t="str">
        <f>IFERROR(__xludf.DUMMYFUNCTION("""COMPUTED_VALUE"""),"")</f>
        <v/>
      </c>
      <c r="E506" t="str">
        <f>IFERROR(__xludf.DUMMYFUNCTION("""COMPUTED_VALUE"""),"")</f>
        <v/>
      </c>
      <c r="F506" t="str">
        <f>IFERROR(__xludf.DUMMYFUNCTION("""COMPUTED_VALUE"""),"")</f>
        <v/>
      </c>
      <c r="G506" t="str">
        <f>IFERROR(__xludf.DUMMYFUNCTION("""COMPUTED_VALUE"""),"")</f>
        <v/>
      </c>
      <c r="H506" t="str">
        <f>IFERROR(__xludf.DUMMYFUNCTION("""COMPUTED_VALUE"""),"")</f>
        <v/>
      </c>
      <c r="I506">
        <f>IFERROR(__xludf.DUMMYFUNCTION("""COMPUTED_VALUE"""),8.0)</f>
        <v>8</v>
      </c>
      <c r="J506">
        <f>IFERROR(__xludf.DUMMYFUNCTION("""COMPUTED_VALUE"""),8.0)</f>
        <v>8</v>
      </c>
      <c r="L506" s="250" t="str">
        <f>IFERROR(__xludf.DUMMYFUNCTION("""COMPUTED_VALUE"""),"")</f>
        <v/>
      </c>
      <c r="M506" s="250" t="str">
        <f>IFERROR(__xludf.DUMMYFUNCTION("""COMPUTED_VALUE"""),"")</f>
        <v/>
      </c>
      <c r="N506" s="250" t="str">
        <f>IFERROR(__xludf.DUMMYFUNCTION("""COMPUTED_VALUE"""),"")</f>
        <v/>
      </c>
      <c r="O506" s="250" t="str">
        <f>IFERROR(__xludf.DUMMYFUNCTION("""COMPUTED_VALUE"""),"")</f>
        <v/>
      </c>
      <c r="P506" s="250" t="str">
        <f>IFERROR(__xludf.DUMMYFUNCTION("""COMPUTED_VALUE"""),"")</f>
        <v/>
      </c>
      <c r="Q506" s="250" t="str">
        <f>IFERROR(__xludf.DUMMYFUNCTION("""COMPUTED_VALUE"""),"")</f>
        <v/>
      </c>
      <c r="R506" s="250" t="str">
        <f>IFERROR(__xludf.DUMMYFUNCTION("""COMPUTED_VALUE"""),"")</f>
        <v/>
      </c>
      <c r="U506" s="250" t="str">
        <f>IFERROR(__xludf.DUMMYFUNCTION("""COMPUTED_VALUE"""),"#N/A")</f>
        <v>#N/A</v>
      </c>
      <c r="V506" s="250" t="str">
        <f>IFERROR(__xludf.DUMMYFUNCTION("""COMPUTED_VALUE"""),"#N/A")</f>
        <v>#N/A</v>
      </c>
      <c r="W506" s="250" t="str">
        <f>IFERROR(__xludf.DUMMYFUNCTION("""COMPUTED_VALUE"""),"#N/A")</f>
        <v>#N/A</v>
      </c>
      <c r="X506" t="b">
        <f t="shared" ref="X506:Z506" si="988">ISBLANK(K506)</f>
        <v>1</v>
      </c>
      <c r="Y506" t="b">
        <f t="shared" si="988"/>
        <v>0</v>
      </c>
      <c r="Z506" t="b">
        <f t="shared" si="988"/>
        <v>0</v>
      </c>
      <c r="AA506">
        <f t="shared" ref="AA506:AC506" si="989">IF(X506=FALSE,1,0)</f>
        <v>0</v>
      </c>
      <c r="AB506">
        <f t="shared" si="989"/>
        <v>1</v>
      </c>
      <c r="AC506">
        <f t="shared" si="989"/>
        <v>1</v>
      </c>
      <c r="AD506">
        <f t="shared" si="6"/>
        <v>2</v>
      </c>
      <c r="AE506">
        <f t="shared" si="7"/>
        <v>1</v>
      </c>
      <c r="AF506">
        <f>if(iferror(vlookup($A506,'Description Database'!$E$2:$H$951,3,0),0)=TRUE,1,0)</f>
        <v>0</v>
      </c>
      <c r="AG506">
        <f>if(iferror(vlookup($A506,'Description Database'!$E$2:$H$951,4,0),0)=TRUE,1,0)</f>
        <v>0</v>
      </c>
    </row>
    <row r="507">
      <c r="A507" t="str">
        <f>IFERROR(__xludf.DUMMYFUNCTION("""COMPUTED_VALUE"""),"Samsung GALAXY J6 (4 GB/16 GB)")</f>
        <v>Samsung GALAXY J6 (4 GB/16 GB)</v>
      </c>
      <c r="B507" t="str">
        <f>IFERROR(__xludf.DUMMYFUNCTION("""COMPUTED_VALUE"""),"")</f>
        <v/>
      </c>
      <c r="C507" t="str">
        <f>IFERROR(__xludf.DUMMYFUNCTION("""COMPUTED_VALUE"""),"")</f>
        <v/>
      </c>
      <c r="D507" t="str">
        <f>IFERROR(__xludf.DUMMYFUNCTION("""COMPUTED_VALUE"""),"")</f>
        <v/>
      </c>
      <c r="E507" t="str">
        <f>IFERROR(__xludf.DUMMYFUNCTION("""COMPUTED_VALUE"""),"")</f>
        <v/>
      </c>
      <c r="F507" t="str">
        <f>IFERROR(__xludf.DUMMYFUNCTION("""COMPUTED_VALUE"""),"")</f>
        <v/>
      </c>
      <c r="G507" t="str">
        <f>IFERROR(__xludf.DUMMYFUNCTION("""COMPUTED_VALUE"""),"")</f>
        <v/>
      </c>
      <c r="H507" t="str">
        <f>IFERROR(__xludf.DUMMYFUNCTION("""COMPUTED_VALUE"""),"")</f>
        <v/>
      </c>
      <c r="I507" t="str">
        <f>IFERROR(__xludf.DUMMYFUNCTION("""COMPUTED_VALUE"""),"")</f>
        <v/>
      </c>
      <c r="J507">
        <f>IFERROR(__xludf.DUMMYFUNCTION("""COMPUTED_VALUE"""),0.0)</f>
        <v>0</v>
      </c>
      <c r="L507" s="250" t="str">
        <f>IFERROR(__xludf.DUMMYFUNCTION("""COMPUTED_VALUE"""),"")</f>
        <v/>
      </c>
      <c r="M507" s="250" t="str">
        <f>IFERROR(__xludf.DUMMYFUNCTION("""COMPUTED_VALUE"""),"")</f>
        <v/>
      </c>
      <c r="N507" s="250" t="str">
        <f>IFERROR(__xludf.DUMMYFUNCTION("""COMPUTED_VALUE"""),"")</f>
        <v/>
      </c>
      <c r="O507" s="250" t="str">
        <f>IFERROR(__xludf.DUMMYFUNCTION("""COMPUTED_VALUE"""),"")</f>
        <v/>
      </c>
      <c r="P507" s="250" t="str">
        <f>IFERROR(__xludf.DUMMYFUNCTION("""COMPUTED_VALUE"""),"")</f>
        <v/>
      </c>
      <c r="Q507" s="250" t="str">
        <f>IFERROR(__xludf.DUMMYFUNCTION("""COMPUTED_VALUE"""),"")</f>
        <v/>
      </c>
      <c r="R507" s="250" t="str">
        <f>IFERROR(__xludf.DUMMYFUNCTION("""COMPUTED_VALUE"""),"")</f>
        <v/>
      </c>
      <c r="U507" s="250" t="str">
        <f>IFERROR(__xludf.DUMMYFUNCTION("""COMPUTED_VALUE"""),"#N/A")</f>
        <v>#N/A</v>
      </c>
      <c r="V507" s="250" t="str">
        <f>IFERROR(__xludf.DUMMYFUNCTION("""COMPUTED_VALUE"""),"#N/A")</f>
        <v>#N/A</v>
      </c>
      <c r="W507" s="250" t="str">
        <f>IFERROR(__xludf.DUMMYFUNCTION("""COMPUTED_VALUE"""),"#N/A")</f>
        <v>#N/A</v>
      </c>
      <c r="X507" t="b">
        <f t="shared" ref="X507:Z507" si="990">ISBLANK(K507)</f>
        <v>1</v>
      </c>
      <c r="Y507" t="b">
        <f t="shared" si="990"/>
        <v>0</v>
      </c>
      <c r="Z507" t="b">
        <f t="shared" si="990"/>
        <v>0</v>
      </c>
      <c r="AA507">
        <f t="shared" ref="AA507:AC507" si="991">IF(X507=FALSE,1,0)</f>
        <v>0</v>
      </c>
      <c r="AB507">
        <f t="shared" si="991"/>
        <v>1</v>
      </c>
      <c r="AC507">
        <f t="shared" si="991"/>
        <v>1</v>
      </c>
      <c r="AD507">
        <f t="shared" si="6"/>
        <v>2</v>
      </c>
      <c r="AE507">
        <f t="shared" si="7"/>
        <v>1</v>
      </c>
      <c r="AF507">
        <f>if(iferror(vlookup($A507,'Description Database'!$E$2:$H$951,3,0),0)=TRUE,1,0)</f>
        <v>0</v>
      </c>
      <c r="AG507">
        <f>if(iferror(vlookup($A507,'Description Database'!$E$2:$H$951,4,0),0)=TRUE,1,0)</f>
        <v>0</v>
      </c>
    </row>
    <row r="508">
      <c r="A508" t="str">
        <f>IFERROR(__xludf.DUMMYFUNCTION("""COMPUTED_VALUE"""),"Vivo V5 (4 GB/64 GB)")</f>
        <v>Vivo V5 (4 GB/64 GB)</v>
      </c>
      <c r="B508" t="str">
        <f>IFERROR(__xludf.DUMMYFUNCTION("""COMPUTED_VALUE"""),"")</f>
        <v/>
      </c>
      <c r="C508" t="str">
        <f>IFERROR(__xludf.DUMMYFUNCTION("""COMPUTED_VALUE"""),"")</f>
        <v/>
      </c>
      <c r="D508" t="str">
        <f>IFERROR(__xludf.DUMMYFUNCTION("""COMPUTED_VALUE"""),"")</f>
        <v/>
      </c>
      <c r="E508" t="str">
        <f>IFERROR(__xludf.DUMMYFUNCTION("""COMPUTED_VALUE"""),"")</f>
        <v/>
      </c>
      <c r="F508" t="str">
        <f>IFERROR(__xludf.DUMMYFUNCTION("""COMPUTED_VALUE"""),"")</f>
        <v/>
      </c>
      <c r="G508" t="str">
        <f>IFERROR(__xludf.DUMMYFUNCTION("""COMPUTED_VALUE"""),"")</f>
        <v/>
      </c>
      <c r="H508" t="str">
        <f>IFERROR(__xludf.DUMMYFUNCTION("""COMPUTED_VALUE"""),"")</f>
        <v/>
      </c>
      <c r="I508" t="str">
        <f>IFERROR(__xludf.DUMMYFUNCTION("""COMPUTED_VALUE"""),"")</f>
        <v/>
      </c>
      <c r="J508">
        <f>IFERROR(__xludf.DUMMYFUNCTION("""COMPUTED_VALUE"""),0.0)</f>
        <v>0</v>
      </c>
      <c r="L508" s="250" t="str">
        <f>IFERROR(__xludf.DUMMYFUNCTION("""COMPUTED_VALUE"""),"")</f>
        <v/>
      </c>
      <c r="M508" s="250" t="str">
        <f>IFERROR(__xludf.DUMMYFUNCTION("""COMPUTED_VALUE"""),"")</f>
        <v/>
      </c>
      <c r="N508" s="250" t="str">
        <f>IFERROR(__xludf.DUMMYFUNCTION("""COMPUTED_VALUE"""),"")</f>
        <v/>
      </c>
      <c r="O508" s="250" t="str">
        <f>IFERROR(__xludf.DUMMYFUNCTION("""COMPUTED_VALUE"""),"")</f>
        <v/>
      </c>
      <c r="P508" s="250" t="str">
        <f>IFERROR(__xludf.DUMMYFUNCTION("""COMPUTED_VALUE"""),"")</f>
        <v/>
      </c>
      <c r="Q508" s="250" t="str">
        <f>IFERROR(__xludf.DUMMYFUNCTION("""COMPUTED_VALUE"""),"")</f>
        <v/>
      </c>
      <c r="R508" s="250" t="str">
        <f>IFERROR(__xludf.DUMMYFUNCTION("""COMPUTED_VALUE"""),"")</f>
        <v/>
      </c>
      <c r="U508" s="250" t="str">
        <f>IFERROR(__xludf.DUMMYFUNCTION("""COMPUTED_VALUE"""),"#N/A")</f>
        <v>#N/A</v>
      </c>
      <c r="V508" s="250" t="str">
        <f>IFERROR(__xludf.DUMMYFUNCTION("""COMPUTED_VALUE"""),"#N/A")</f>
        <v>#N/A</v>
      </c>
      <c r="W508" s="250" t="str">
        <f>IFERROR(__xludf.DUMMYFUNCTION("""COMPUTED_VALUE"""),"#N/A")</f>
        <v>#N/A</v>
      </c>
      <c r="X508" t="b">
        <f t="shared" ref="X508:Z508" si="992">ISBLANK(K508)</f>
        <v>1</v>
      </c>
      <c r="Y508" t="b">
        <f t="shared" si="992"/>
        <v>0</v>
      </c>
      <c r="Z508" t="b">
        <f t="shared" si="992"/>
        <v>0</v>
      </c>
      <c r="AA508">
        <f t="shared" ref="AA508:AC508" si="993">IF(X508=FALSE,1,0)</f>
        <v>0</v>
      </c>
      <c r="AB508">
        <f t="shared" si="993"/>
        <v>1</v>
      </c>
      <c r="AC508">
        <f t="shared" si="993"/>
        <v>1</v>
      </c>
      <c r="AD508">
        <f t="shared" si="6"/>
        <v>2</v>
      </c>
      <c r="AE508">
        <f t="shared" si="7"/>
        <v>1</v>
      </c>
      <c r="AF508">
        <f>if(iferror(vlookup($A508,'Description Database'!$E$2:$H$951,3,0),0)=TRUE,1,0)</f>
        <v>0</v>
      </c>
      <c r="AG508">
        <f>if(iferror(vlookup($A508,'Description Database'!$E$2:$H$951,4,0),0)=TRUE,1,0)</f>
        <v>0</v>
      </c>
    </row>
    <row r="509">
      <c r="A509" t="str">
        <f>IFERROR(__xludf.DUMMYFUNCTION("""COMPUTED_VALUE"""),"Xiaomi MOTO G3 (2 GB/16 GB)")</f>
        <v>Xiaomi MOTO G3 (2 GB/16 GB)</v>
      </c>
      <c r="B509" t="str">
        <f>IFERROR(__xludf.DUMMYFUNCTION("""COMPUTED_VALUE"""),"")</f>
        <v/>
      </c>
      <c r="C509" t="str">
        <f>IFERROR(__xludf.DUMMYFUNCTION("""COMPUTED_VALUE"""),"")</f>
        <v/>
      </c>
      <c r="D509" t="str">
        <f>IFERROR(__xludf.DUMMYFUNCTION("""COMPUTED_VALUE"""),"")</f>
        <v/>
      </c>
      <c r="E509" t="str">
        <f>IFERROR(__xludf.DUMMYFUNCTION("""COMPUTED_VALUE"""),"")</f>
        <v/>
      </c>
      <c r="F509" t="str">
        <f>IFERROR(__xludf.DUMMYFUNCTION("""COMPUTED_VALUE"""),"")</f>
        <v/>
      </c>
      <c r="G509" t="str">
        <f>IFERROR(__xludf.DUMMYFUNCTION("""COMPUTED_VALUE"""),"")</f>
        <v/>
      </c>
      <c r="H509" t="str">
        <f>IFERROR(__xludf.DUMMYFUNCTION("""COMPUTED_VALUE"""),"")</f>
        <v/>
      </c>
      <c r="I509" t="str">
        <f>IFERROR(__xludf.DUMMYFUNCTION("""COMPUTED_VALUE"""),"")</f>
        <v/>
      </c>
      <c r="J509">
        <f>IFERROR(__xludf.DUMMYFUNCTION("""COMPUTED_VALUE"""),0.0)</f>
        <v>0</v>
      </c>
      <c r="L509" s="250" t="str">
        <f>IFERROR(__xludf.DUMMYFUNCTION("""COMPUTED_VALUE"""),"")</f>
        <v/>
      </c>
      <c r="M509" s="250" t="str">
        <f>IFERROR(__xludf.DUMMYFUNCTION("""COMPUTED_VALUE"""),"")</f>
        <v/>
      </c>
      <c r="N509" s="250" t="str">
        <f>IFERROR(__xludf.DUMMYFUNCTION("""COMPUTED_VALUE"""),"")</f>
        <v/>
      </c>
      <c r="O509" s="250" t="str">
        <f>IFERROR(__xludf.DUMMYFUNCTION("""COMPUTED_VALUE"""),"")</f>
        <v/>
      </c>
      <c r="P509" s="250" t="str">
        <f>IFERROR(__xludf.DUMMYFUNCTION("""COMPUTED_VALUE"""),"")</f>
        <v/>
      </c>
      <c r="Q509" s="250" t="str">
        <f>IFERROR(__xludf.DUMMYFUNCTION("""COMPUTED_VALUE"""),"")</f>
        <v/>
      </c>
      <c r="R509" s="250" t="str">
        <f>IFERROR(__xludf.DUMMYFUNCTION("""COMPUTED_VALUE"""),"")</f>
        <v/>
      </c>
      <c r="U509" s="250" t="str">
        <f>IFERROR(__xludf.DUMMYFUNCTION("""COMPUTED_VALUE"""),"#N/A")</f>
        <v>#N/A</v>
      </c>
      <c r="V509" s="250" t="str">
        <f>IFERROR(__xludf.DUMMYFUNCTION("""COMPUTED_VALUE"""),"#N/A")</f>
        <v>#N/A</v>
      </c>
      <c r="W509" s="250" t="str">
        <f>IFERROR(__xludf.DUMMYFUNCTION("""COMPUTED_VALUE"""),"#N/A")</f>
        <v>#N/A</v>
      </c>
      <c r="X509" t="b">
        <f t="shared" ref="X509:Z509" si="994">ISBLANK(K509)</f>
        <v>1</v>
      </c>
      <c r="Y509" t="b">
        <f t="shared" si="994"/>
        <v>0</v>
      </c>
      <c r="Z509" t="b">
        <f t="shared" si="994"/>
        <v>0</v>
      </c>
      <c r="AA509">
        <f t="shared" ref="AA509:AC509" si="995">IF(X509=FALSE,1,0)</f>
        <v>0</v>
      </c>
      <c r="AB509">
        <f t="shared" si="995"/>
        <v>1</v>
      </c>
      <c r="AC509">
        <f t="shared" si="995"/>
        <v>1</v>
      </c>
      <c r="AD509">
        <f t="shared" si="6"/>
        <v>2</v>
      </c>
      <c r="AE509">
        <f t="shared" si="7"/>
        <v>1</v>
      </c>
      <c r="AF509">
        <f>if(iferror(vlookup($A509,'Description Database'!$E$2:$H$951,3,0),0)=TRUE,1,0)</f>
        <v>0</v>
      </c>
      <c r="AG509">
        <f>if(iferror(vlookup($A509,'Description Database'!$E$2:$H$951,4,0),0)=TRUE,1,0)</f>
        <v>0</v>
      </c>
    </row>
    <row r="510">
      <c r="A510" t="str">
        <f>IFERROR(__xludf.DUMMYFUNCTION("""COMPUTED_VALUE"""),"Coolpad Note 3 Lite (3 GB/32 GB)")</f>
        <v>Coolpad Note 3 Lite (3 GB/32 GB)</v>
      </c>
      <c r="B510" t="str">
        <f>IFERROR(__xludf.DUMMYFUNCTION("""COMPUTED_VALUE"""),"")</f>
        <v/>
      </c>
      <c r="C510" t="str">
        <f>IFERROR(__xludf.DUMMYFUNCTION("""COMPUTED_VALUE"""),"")</f>
        <v/>
      </c>
      <c r="D510" t="str">
        <f>IFERROR(__xludf.DUMMYFUNCTION("""COMPUTED_VALUE"""),"")</f>
        <v/>
      </c>
      <c r="E510" t="str">
        <f>IFERROR(__xludf.DUMMYFUNCTION("""COMPUTED_VALUE"""),"")</f>
        <v/>
      </c>
      <c r="F510" t="str">
        <f>IFERROR(__xludf.DUMMYFUNCTION("""COMPUTED_VALUE"""),"")</f>
        <v/>
      </c>
      <c r="G510" t="str">
        <f>IFERROR(__xludf.DUMMYFUNCTION("""COMPUTED_VALUE"""),"")</f>
        <v/>
      </c>
      <c r="H510" t="str">
        <f>IFERROR(__xludf.DUMMYFUNCTION("""COMPUTED_VALUE"""),"")</f>
        <v/>
      </c>
      <c r="I510" t="str">
        <f>IFERROR(__xludf.DUMMYFUNCTION("""COMPUTED_VALUE"""),"")</f>
        <v/>
      </c>
      <c r="J510">
        <f>IFERROR(__xludf.DUMMYFUNCTION("""COMPUTED_VALUE"""),0.0)</f>
        <v>0</v>
      </c>
      <c r="L510" s="250" t="str">
        <f>IFERROR(__xludf.DUMMYFUNCTION("""COMPUTED_VALUE"""),"")</f>
        <v/>
      </c>
      <c r="M510" s="250" t="str">
        <f>IFERROR(__xludf.DUMMYFUNCTION("""COMPUTED_VALUE"""),"")</f>
        <v/>
      </c>
      <c r="N510" s="250" t="str">
        <f>IFERROR(__xludf.DUMMYFUNCTION("""COMPUTED_VALUE"""),"")</f>
        <v/>
      </c>
      <c r="O510" s="250" t="str">
        <f>IFERROR(__xludf.DUMMYFUNCTION("""COMPUTED_VALUE"""),"")</f>
        <v/>
      </c>
      <c r="P510" s="250" t="str">
        <f>IFERROR(__xludf.DUMMYFUNCTION("""COMPUTED_VALUE"""),"")</f>
        <v/>
      </c>
      <c r="Q510" s="250" t="str">
        <f>IFERROR(__xludf.DUMMYFUNCTION("""COMPUTED_VALUE"""),"")</f>
        <v/>
      </c>
      <c r="R510" s="250" t="str">
        <f>IFERROR(__xludf.DUMMYFUNCTION("""COMPUTED_VALUE"""),"")</f>
        <v/>
      </c>
      <c r="U510" s="250" t="str">
        <f>IFERROR(__xludf.DUMMYFUNCTION("""COMPUTED_VALUE"""),"#N/A")</f>
        <v>#N/A</v>
      </c>
      <c r="V510" s="250" t="str">
        <f>IFERROR(__xludf.DUMMYFUNCTION("""COMPUTED_VALUE"""),"#N/A")</f>
        <v>#N/A</v>
      </c>
      <c r="W510" s="250" t="str">
        <f>IFERROR(__xludf.DUMMYFUNCTION("""COMPUTED_VALUE"""),"#N/A")</f>
        <v>#N/A</v>
      </c>
      <c r="X510" t="b">
        <f t="shared" ref="X510:Z510" si="996">ISBLANK(K510)</f>
        <v>1</v>
      </c>
      <c r="Y510" t="b">
        <f t="shared" si="996"/>
        <v>0</v>
      </c>
      <c r="Z510" t="b">
        <f t="shared" si="996"/>
        <v>0</v>
      </c>
      <c r="AA510">
        <f t="shared" ref="AA510:AC510" si="997">IF(X510=FALSE,1,0)</f>
        <v>0</v>
      </c>
      <c r="AB510">
        <f t="shared" si="997"/>
        <v>1</v>
      </c>
      <c r="AC510">
        <f t="shared" si="997"/>
        <v>1</v>
      </c>
      <c r="AD510">
        <f t="shared" si="6"/>
        <v>2</v>
      </c>
      <c r="AE510">
        <f t="shared" si="7"/>
        <v>1</v>
      </c>
      <c r="AF510">
        <f>if(iferror(vlookup($A510,'Description Database'!$E$2:$H$951,3,0),0)=TRUE,1,0)</f>
        <v>0</v>
      </c>
      <c r="AG510">
        <f>if(iferror(vlookup($A510,'Description Database'!$E$2:$H$951,4,0),0)=TRUE,1,0)</f>
        <v>0</v>
      </c>
    </row>
    <row r="511">
      <c r="A511" t="str">
        <f>IFERROR(__xludf.DUMMYFUNCTION("""COMPUTED_VALUE"""),"MICROMAX CANVAS 6 (2 GB/32 GB)")</f>
        <v>MICROMAX CANVAS 6 (2 GB/32 GB)</v>
      </c>
      <c r="B511" t="str">
        <f>IFERROR(__xludf.DUMMYFUNCTION("""COMPUTED_VALUE"""),"")</f>
        <v/>
      </c>
      <c r="C511" t="str">
        <f>IFERROR(__xludf.DUMMYFUNCTION("""COMPUTED_VALUE"""),"")</f>
        <v/>
      </c>
      <c r="D511" t="str">
        <f>IFERROR(__xludf.DUMMYFUNCTION("""COMPUTED_VALUE"""),"")</f>
        <v/>
      </c>
      <c r="E511" t="str">
        <f>IFERROR(__xludf.DUMMYFUNCTION("""COMPUTED_VALUE"""),"")</f>
        <v/>
      </c>
      <c r="F511" t="str">
        <f>IFERROR(__xludf.DUMMYFUNCTION("""COMPUTED_VALUE"""),"")</f>
        <v/>
      </c>
      <c r="G511" t="str">
        <f>IFERROR(__xludf.DUMMYFUNCTION("""COMPUTED_VALUE"""),"")</f>
        <v/>
      </c>
      <c r="H511" t="str">
        <f>IFERROR(__xludf.DUMMYFUNCTION("""COMPUTED_VALUE"""),"")</f>
        <v/>
      </c>
      <c r="I511" t="str">
        <f>IFERROR(__xludf.DUMMYFUNCTION("""COMPUTED_VALUE"""),"")</f>
        <v/>
      </c>
      <c r="J511">
        <f>IFERROR(__xludf.DUMMYFUNCTION("""COMPUTED_VALUE"""),0.0)</f>
        <v>0</v>
      </c>
      <c r="L511" s="250" t="str">
        <f>IFERROR(__xludf.DUMMYFUNCTION("""COMPUTED_VALUE"""),"")</f>
        <v/>
      </c>
      <c r="M511" s="250" t="str">
        <f>IFERROR(__xludf.DUMMYFUNCTION("""COMPUTED_VALUE"""),"")</f>
        <v/>
      </c>
      <c r="N511" s="250" t="str">
        <f>IFERROR(__xludf.DUMMYFUNCTION("""COMPUTED_VALUE"""),"")</f>
        <v/>
      </c>
      <c r="O511" s="250" t="str">
        <f>IFERROR(__xludf.DUMMYFUNCTION("""COMPUTED_VALUE"""),"")</f>
        <v/>
      </c>
      <c r="P511" s="250" t="str">
        <f>IFERROR(__xludf.DUMMYFUNCTION("""COMPUTED_VALUE"""),"")</f>
        <v/>
      </c>
      <c r="Q511" s="250" t="str">
        <f>IFERROR(__xludf.DUMMYFUNCTION("""COMPUTED_VALUE"""),"")</f>
        <v/>
      </c>
      <c r="R511" s="250" t="str">
        <f>IFERROR(__xludf.DUMMYFUNCTION("""COMPUTED_VALUE"""),"")</f>
        <v/>
      </c>
      <c r="U511" s="250" t="str">
        <f>IFERROR(__xludf.DUMMYFUNCTION("""COMPUTED_VALUE"""),"#N/A")</f>
        <v>#N/A</v>
      </c>
      <c r="V511" s="250" t="str">
        <f>IFERROR(__xludf.DUMMYFUNCTION("""COMPUTED_VALUE"""),"#N/A")</f>
        <v>#N/A</v>
      </c>
      <c r="W511" s="250" t="str">
        <f>IFERROR(__xludf.DUMMYFUNCTION("""COMPUTED_VALUE"""),"#N/A")</f>
        <v>#N/A</v>
      </c>
      <c r="X511" t="b">
        <f t="shared" ref="X511:Z511" si="998">ISBLANK(K511)</f>
        <v>1</v>
      </c>
      <c r="Y511" t="b">
        <f t="shared" si="998"/>
        <v>0</v>
      </c>
      <c r="Z511" t="b">
        <f t="shared" si="998"/>
        <v>0</v>
      </c>
      <c r="AA511">
        <f t="shared" ref="AA511:AC511" si="999">IF(X511=FALSE,1,0)</f>
        <v>0</v>
      </c>
      <c r="AB511">
        <f t="shared" si="999"/>
        <v>1</v>
      </c>
      <c r="AC511">
        <f t="shared" si="999"/>
        <v>1</v>
      </c>
      <c r="AD511">
        <f t="shared" si="6"/>
        <v>2</v>
      </c>
      <c r="AE511">
        <f t="shared" si="7"/>
        <v>1</v>
      </c>
      <c r="AF511">
        <f>if(iferror(vlookup($A511,'Description Database'!$E$2:$H$951,3,0),0)=TRUE,1,0)</f>
        <v>0</v>
      </c>
      <c r="AG511">
        <f>if(iferror(vlookup($A511,'Description Database'!$E$2:$H$951,4,0),0)=TRUE,1,0)</f>
        <v>0</v>
      </c>
    </row>
    <row r="512">
      <c r="A512" t="str">
        <f>IFERROR(__xludf.DUMMYFUNCTION("""COMPUTED_VALUE"""),"Lenovo K3 NOTE (3 GB/32 GB)")</f>
        <v>Lenovo K3 NOTE (3 GB/32 GB)</v>
      </c>
      <c r="B512" t="str">
        <f>IFERROR(__xludf.DUMMYFUNCTION("""COMPUTED_VALUE"""),"")</f>
        <v/>
      </c>
      <c r="C512" t="str">
        <f>IFERROR(__xludf.DUMMYFUNCTION("""COMPUTED_VALUE"""),"")</f>
        <v/>
      </c>
      <c r="D512" t="str">
        <f>IFERROR(__xludf.DUMMYFUNCTION("""COMPUTED_VALUE"""),"")</f>
        <v/>
      </c>
      <c r="E512" t="str">
        <f>IFERROR(__xludf.DUMMYFUNCTION("""COMPUTED_VALUE"""),"")</f>
        <v/>
      </c>
      <c r="F512" t="str">
        <f>IFERROR(__xludf.DUMMYFUNCTION("""COMPUTED_VALUE"""),"")</f>
        <v/>
      </c>
      <c r="G512" t="str">
        <f>IFERROR(__xludf.DUMMYFUNCTION("""COMPUTED_VALUE"""),"")</f>
        <v/>
      </c>
      <c r="H512" t="str">
        <f>IFERROR(__xludf.DUMMYFUNCTION("""COMPUTED_VALUE"""),"")</f>
        <v/>
      </c>
      <c r="I512">
        <f>IFERROR(__xludf.DUMMYFUNCTION("""COMPUTED_VALUE"""),2.0)</f>
        <v>2</v>
      </c>
      <c r="J512">
        <f>IFERROR(__xludf.DUMMYFUNCTION("""COMPUTED_VALUE"""),2.0)</f>
        <v>2</v>
      </c>
      <c r="L512" s="250" t="str">
        <f>IFERROR(__xludf.DUMMYFUNCTION("""COMPUTED_VALUE"""),"")</f>
        <v/>
      </c>
      <c r="M512" s="250" t="str">
        <f>IFERROR(__xludf.DUMMYFUNCTION("""COMPUTED_VALUE"""),"")</f>
        <v/>
      </c>
      <c r="N512" s="250" t="str">
        <f>IFERROR(__xludf.DUMMYFUNCTION("""COMPUTED_VALUE"""),"")</f>
        <v/>
      </c>
      <c r="O512" s="250" t="str">
        <f>IFERROR(__xludf.DUMMYFUNCTION("""COMPUTED_VALUE"""),"")</f>
        <v/>
      </c>
      <c r="P512" s="250" t="str">
        <f>IFERROR(__xludf.DUMMYFUNCTION("""COMPUTED_VALUE"""),"")</f>
        <v/>
      </c>
      <c r="Q512" s="250" t="str">
        <f>IFERROR(__xludf.DUMMYFUNCTION("""COMPUTED_VALUE"""),"")</f>
        <v/>
      </c>
      <c r="R512" s="250" t="str">
        <f>IFERROR(__xludf.DUMMYFUNCTION("""COMPUTED_VALUE"""),"")</f>
        <v/>
      </c>
      <c r="U512" s="250" t="str">
        <f>IFERROR(__xludf.DUMMYFUNCTION("""COMPUTED_VALUE"""),"#N/A")</f>
        <v>#N/A</v>
      </c>
      <c r="V512" s="250" t="str">
        <f>IFERROR(__xludf.DUMMYFUNCTION("""COMPUTED_VALUE"""),"#N/A")</f>
        <v>#N/A</v>
      </c>
      <c r="W512" s="250" t="str">
        <f>IFERROR(__xludf.DUMMYFUNCTION("""COMPUTED_VALUE"""),"#N/A")</f>
        <v>#N/A</v>
      </c>
      <c r="X512" t="b">
        <f t="shared" ref="X512:Z512" si="1000">ISBLANK(K512)</f>
        <v>1</v>
      </c>
      <c r="Y512" t="b">
        <f t="shared" si="1000"/>
        <v>0</v>
      </c>
      <c r="Z512" t="b">
        <f t="shared" si="1000"/>
        <v>0</v>
      </c>
      <c r="AA512">
        <f t="shared" ref="AA512:AC512" si="1001">IF(X512=FALSE,1,0)</f>
        <v>0</v>
      </c>
      <c r="AB512">
        <f t="shared" si="1001"/>
        <v>1</v>
      </c>
      <c r="AC512">
        <f t="shared" si="1001"/>
        <v>1</v>
      </c>
      <c r="AD512">
        <f t="shared" si="6"/>
        <v>2</v>
      </c>
      <c r="AE512">
        <f t="shared" si="7"/>
        <v>1</v>
      </c>
      <c r="AF512">
        <f>if(iferror(vlookup($A512,'Description Database'!$E$2:$H$951,3,0),0)=TRUE,1,0)</f>
        <v>0</v>
      </c>
      <c r="AG512">
        <f>if(iferror(vlookup($A512,'Description Database'!$E$2:$H$951,4,0),0)=TRUE,1,0)</f>
        <v>0</v>
      </c>
    </row>
    <row r="513">
      <c r="A513" t="str">
        <f>IFERROR(__xludf.DUMMYFUNCTION("""COMPUTED_VALUE"""),"Motorola MOTO X4 (4 GB/64 GB)")</f>
        <v>Motorola MOTO X4 (4 GB/64 GB)</v>
      </c>
      <c r="B513" t="str">
        <f>IFERROR(__xludf.DUMMYFUNCTION("""COMPUTED_VALUE"""),"")</f>
        <v/>
      </c>
      <c r="C513" t="str">
        <f>IFERROR(__xludf.DUMMYFUNCTION("""COMPUTED_VALUE"""),"")</f>
        <v/>
      </c>
      <c r="D513" t="str">
        <f>IFERROR(__xludf.DUMMYFUNCTION("""COMPUTED_VALUE"""),"")</f>
        <v/>
      </c>
      <c r="E513" t="str">
        <f>IFERROR(__xludf.DUMMYFUNCTION("""COMPUTED_VALUE"""),"")</f>
        <v/>
      </c>
      <c r="F513" t="str">
        <f>IFERROR(__xludf.DUMMYFUNCTION("""COMPUTED_VALUE"""),"")</f>
        <v/>
      </c>
      <c r="G513">
        <f>IFERROR(__xludf.DUMMYFUNCTION("""COMPUTED_VALUE"""),1.0)</f>
        <v>1</v>
      </c>
      <c r="H513" t="str">
        <f>IFERROR(__xludf.DUMMYFUNCTION("""COMPUTED_VALUE"""),"")</f>
        <v/>
      </c>
      <c r="I513">
        <f>IFERROR(__xludf.DUMMYFUNCTION("""COMPUTED_VALUE"""),4.0)</f>
        <v>4</v>
      </c>
      <c r="J513">
        <f>IFERROR(__xludf.DUMMYFUNCTION("""COMPUTED_VALUE"""),5.0)</f>
        <v>5</v>
      </c>
      <c r="L513" s="250" t="str">
        <f>IFERROR(__xludf.DUMMYFUNCTION("""COMPUTED_VALUE"""),"")</f>
        <v/>
      </c>
      <c r="M513" s="250" t="str">
        <f>IFERROR(__xludf.DUMMYFUNCTION("""COMPUTED_VALUE"""),"")</f>
        <v/>
      </c>
      <c r="N513" s="250" t="str">
        <f>IFERROR(__xludf.DUMMYFUNCTION("""COMPUTED_VALUE"""),"")</f>
        <v/>
      </c>
      <c r="O513" s="250" t="str">
        <f>IFERROR(__xludf.DUMMYFUNCTION("""COMPUTED_VALUE"""),"")</f>
        <v/>
      </c>
      <c r="P513" s="250" t="str">
        <f>IFERROR(__xludf.DUMMYFUNCTION("""COMPUTED_VALUE"""),"")</f>
        <v/>
      </c>
      <c r="Q513" s="250">
        <f>IFERROR(__xludf.DUMMYFUNCTION("""COMPUTED_VALUE"""),2429.0)</f>
        <v>2429</v>
      </c>
      <c r="R513" s="250" t="str">
        <f>IFERROR(__xludf.DUMMYFUNCTION("""COMPUTED_VALUE"""),"")</f>
        <v/>
      </c>
      <c r="U513" s="250">
        <f>IFERROR(__xludf.DUMMYFUNCTION("""COMPUTED_VALUE"""),5539.0)</f>
        <v>5539</v>
      </c>
      <c r="V513" s="250">
        <f>IFERROR(__xludf.DUMMYFUNCTION("""COMPUTED_VALUE"""),5269.0)</f>
        <v>5269</v>
      </c>
      <c r="W513" s="250">
        <f>IFERROR(__xludf.DUMMYFUNCTION("""COMPUTED_VALUE"""),4739.0)</f>
        <v>4739</v>
      </c>
      <c r="X513" t="b">
        <f t="shared" ref="X513:Z513" si="1002">ISBLANK(K513)</f>
        <v>1</v>
      </c>
      <c r="Y513" t="b">
        <f t="shared" si="1002"/>
        <v>0</v>
      </c>
      <c r="Z513" t="b">
        <f t="shared" si="1002"/>
        <v>0</v>
      </c>
      <c r="AA513">
        <f t="shared" ref="AA513:AC513" si="1003">IF(X513=FALSE,1,0)</f>
        <v>0</v>
      </c>
      <c r="AB513">
        <f t="shared" si="1003"/>
        <v>1</v>
      </c>
      <c r="AC513">
        <f t="shared" si="1003"/>
        <v>1</v>
      </c>
      <c r="AD513">
        <f t="shared" si="6"/>
        <v>2</v>
      </c>
      <c r="AE513">
        <f t="shared" si="7"/>
        <v>1</v>
      </c>
      <c r="AF513">
        <f>if(iferror(vlookup($A513,'Description Database'!$E$2:$H$951,3,0),0)=TRUE,1,0)</f>
        <v>0</v>
      </c>
      <c r="AG513">
        <f>if(iferror(vlookup($A513,'Description Database'!$E$2:$H$951,4,0),0)=TRUE,1,0)</f>
        <v>0</v>
      </c>
    </row>
    <row r="514">
      <c r="A514" t="str">
        <f>IFERROR(__xludf.DUMMYFUNCTION("""COMPUTED_VALUE"""),"Lenovo VIBE P1 (3 GB/32 GB)")</f>
        <v>Lenovo VIBE P1 (3 GB/32 GB)</v>
      </c>
      <c r="B514" t="str">
        <f>IFERROR(__xludf.DUMMYFUNCTION("""COMPUTED_VALUE"""),"")</f>
        <v/>
      </c>
      <c r="C514" t="str">
        <f>IFERROR(__xludf.DUMMYFUNCTION("""COMPUTED_VALUE"""),"")</f>
        <v/>
      </c>
      <c r="D514" t="str">
        <f>IFERROR(__xludf.DUMMYFUNCTION("""COMPUTED_VALUE"""),"")</f>
        <v/>
      </c>
      <c r="E514" t="str">
        <f>IFERROR(__xludf.DUMMYFUNCTION("""COMPUTED_VALUE"""),"")</f>
        <v/>
      </c>
      <c r="F514" t="str">
        <f>IFERROR(__xludf.DUMMYFUNCTION("""COMPUTED_VALUE"""),"")</f>
        <v/>
      </c>
      <c r="G514" t="str">
        <f>IFERROR(__xludf.DUMMYFUNCTION("""COMPUTED_VALUE"""),"")</f>
        <v/>
      </c>
      <c r="H514" t="str">
        <f>IFERROR(__xludf.DUMMYFUNCTION("""COMPUTED_VALUE"""),"")</f>
        <v/>
      </c>
      <c r="I514" t="str">
        <f>IFERROR(__xludf.DUMMYFUNCTION("""COMPUTED_VALUE"""),"")</f>
        <v/>
      </c>
      <c r="J514">
        <f>IFERROR(__xludf.DUMMYFUNCTION("""COMPUTED_VALUE"""),0.0)</f>
        <v>0</v>
      </c>
      <c r="L514" s="250" t="str">
        <f>IFERROR(__xludf.DUMMYFUNCTION("""COMPUTED_VALUE"""),"")</f>
        <v/>
      </c>
      <c r="M514" s="250" t="str">
        <f>IFERROR(__xludf.DUMMYFUNCTION("""COMPUTED_VALUE"""),"")</f>
        <v/>
      </c>
      <c r="N514" s="250" t="str">
        <f>IFERROR(__xludf.DUMMYFUNCTION("""COMPUTED_VALUE"""),"")</f>
        <v/>
      </c>
      <c r="O514" s="250" t="str">
        <f>IFERROR(__xludf.DUMMYFUNCTION("""COMPUTED_VALUE"""),"")</f>
        <v/>
      </c>
      <c r="P514" s="250" t="str">
        <f>IFERROR(__xludf.DUMMYFUNCTION("""COMPUTED_VALUE"""),"")</f>
        <v/>
      </c>
      <c r="Q514" s="250" t="str">
        <f>IFERROR(__xludf.DUMMYFUNCTION("""COMPUTED_VALUE"""),"")</f>
        <v/>
      </c>
      <c r="R514" s="250" t="str">
        <f>IFERROR(__xludf.DUMMYFUNCTION("""COMPUTED_VALUE"""),"")</f>
        <v/>
      </c>
      <c r="U514" s="250" t="str">
        <f>IFERROR(__xludf.DUMMYFUNCTION("""COMPUTED_VALUE"""),"#N/A")</f>
        <v>#N/A</v>
      </c>
      <c r="V514" s="250" t="str">
        <f>IFERROR(__xludf.DUMMYFUNCTION("""COMPUTED_VALUE"""),"#N/A")</f>
        <v>#N/A</v>
      </c>
      <c r="W514" s="250" t="str">
        <f>IFERROR(__xludf.DUMMYFUNCTION("""COMPUTED_VALUE"""),"#N/A")</f>
        <v>#N/A</v>
      </c>
      <c r="X514" t="b">
        <f t="shared" ref="X514:Z514" si="1004">ISBLANK(K514)</f>
        <v>1</v>
      </c>
      <c r="Y514" t="b">
        <f t="shared" si="1004"/>
        <v>0</v>
      </c>
      <c r="Z514" t="b">
        <f t="shared" si="1004"/>
        <v>0</v>
      </c>
      <c r="AA514">
        <f t="shared" ref="AA514:AC514" si="1005">IF(X514=FALSE,1,0)</f>
        <v>0</v>
      </c>
      <c r="AB514">
        <f t="shared" si="1005"/>
        <v>1</v>
      </c>
      <c r="AC514">
        <f t="shared" si="1005"/>
        <v>1</v>
      </c>
      <c r="AD514">
        <f t="shared" si="6"/>
        <v>2</v>
      </c>
      <c r="AE514">
        <f t="shared" si="7"/>
        <v>1</v>
      </c>
      <c r="AF514">
        <f>if(iferror(vlookup($A514,'Description Database'!$E$2:$H$951,3,0),0)=TRUE,1,0)</f>
        <v>0</v>
      </c>
      <c r="AG514">
        <f>if(iferror(vlookup($A514,'Description Database'!$E$2:$H$951,4,0),0)=TRUE,1,0)</f>
        <v>0</v>
      </c>
    </row>
    <row r="515">
      <c r="A515" t="str">
        <f>IFERROR(__xludf.DUMMYFUNCTION("""COMPUTED_VALUE"""),"HTC ONE (3 GB/32 GB)")</f>
        <v>HTC ONE (3 GB/32 GB)</v>
      </c>
      <c r="B515" t="str">
        <f>IFERROR(__xludf.DUMMYFUNCTION("""COMPUTED_VALUE"""),"")</f>
        <v/>
      </c>
      <c r="C515" t="str">
        <f>IFERROR(__xludf.DUMMYFUNCTION("""COMPUTED_VALUE"""),"")</f>
        <v/>
      </c>
      <c r="D515" t="str">
        <f>IFERROR(__xludf.DUMMYFUNCTION("""COMPUTED_VALUE"""),"")</f>
        <v/>
      </c>
      <c r="E515" t="str">
        <f>IFERROR(__xludf.DUMMYFUNCTION("""COMPUTED_VALUE"""),"")</f>
        <v/>
      </c>
      <c r="F515" t="str">
        <f>IFERROR(__xludf.DUMMYFUNCTION("""COMPUTED_VALUE"""),"")</f>
        <v/>
      </c>
      <c r="G515" t="str">
        <f>IFERROR(__xludf.DUMMYFUNCTION("""COMPUTED_VALUE"""),"")</f>
        <v/>
      </c>
      <c r="H515" t="str">
        <f>IFERROR(__xludf.DUMMYFUNCTION("""COMPUTED_VALUE"""),"")</f>
        <v/>
      </c>
      <c r="I515" t="str">
        <f>IFERROR(__xludf.DUMMYFUNCTION("""COMPUTED_VALUE"""),"")</f>
        <v/>
      </c>
      <c r="J515">
        <f>IFERROR(__xludf.DUMMYFUNCTION("""COMPUTED_VALUE"""),0.0)</f>
        <v>0</v>
      </c>
      <c r="L515" s="250" t="str">
        <f>IFERROR(__xludf.DUMMYFUNCTION("""COMPUTED_VALUE"""),"")</f>
        <v/>
      </c>
      <c r="M515" s="250" t="str">
        <f>IFERROR(__xludf.DUMMYFUNCTION("""COMPUTED_VALUE"""),"")</f>
        <v/>
      </c>
      <c r="N515" s="250" t="str">
        <f>IFERROR(__xludf.DUMMYFUNCTION("""COMPUTED_VALUE"""),"")</f>
        <v/>
      </c>
      <c r="O515" s="250" t="str">
        <f>IFERROR(__xludf.DUMMYFUNCTION("""COMPUTED_VALUE"""),"")</f>
        <v/>
      </c>
      <c r="P515" s="250" t="str">
        <f>IFERROR(__xludf.DUMMYFUNCTION("""COMPUTED_VALUE"""),"")</f>
        <v/>
      </c>
      <c r="Q515" s="250" t="str">
        <f>IFERROR(__xludf.DUMMYFUNCTION("""COMPUTED_VALUE"""),"")</f>
        <v/>
      </c>
      <c r="R515" s="250" t="str">
        <f>IFERROR(__xludf.DUMMYFUNCTION("""COMPUTED_VALUE"""),"")</f>
        <v/>
      </c>
      <c r="U515" s="250" t="str">
        <f>IFERROR(__xludf.DUMMYFUNCTION("""COMPUTED_VALUE"""),"#N/A")</f>
        <v>#N/A</v>
      </c>
      <c r="V515" s="250" t="str">
        <f>IFERROR(__xludf.DUMMYFUNCTION("""COMPUTED_VALUE"""),"#N/A")</f>
        <v>#N/A</v>
      </c>
      <c r="W515" s="250" t="str">
        <f>IFERROR(__xludf.DUMMYFUNCTION("""COMPUTED_VALUE"""),"#N/A")</f>
        <v>#N/A</v>
      </c>
      <c r="X515" t="b">
        <f t="shared" ref="X515:Z515" si="1006">ISBLANK(K515)</f>
        <v>1</v>
      </c>
      <c r="Y515" t="b">
        <f t="shared" si="1006"/>
        <v>0</v>
      </c>
      <c r="Z515" t="b">
        <f t="shared" si="1006"/>
        <v>0</v>
      </c>
      <c r="AA515">
        <f t="shared" ref="AA515:AC515" si="1007">IF(X515=FALSE,1,0)</f>
        <v>0</v>
      </c>
      <c r="AB515">
        <f t="shared" si="1007"/>
        <v>1</v>
      </c>
      <c r="AC515">
        <f t="shared" si="1007"/>
        <v>1</v>
      </c>
      <c r="AD515">
        <f t="shared" si="6"/>
        <v>2</v>
      </c>
      <c r="AE515">
        <f t="shared" si="7"/>
        <v>1</v>
      </c>
      <c r="AF515">
        <f>if(iferror(vlookup($A515,'Description Database'!$E$2:$H$951,3,0),0)=TRUE,1,0)</f>
        <v>0</v>
      </c>
      <c r="AG515">
        <f>if(iferror(vlookup($A515,'Description Database'!$E$2:$H$951,4,0),0)=TRUE,1,0)</f>
        <v>0</v>
      </c>
    </row>
    <row r="516">
      <c r="A516" t="str">
        <f>IFERROR(__xludf.DUMMYFUNCTION("""COMPUTED_VALUE"""),"Honor 9I (3 GB/32 GB)")</f>
        <v>Honor 9I (3 GB/32 GB)</v>
      </c>
      <c r="B516" t="str">
        <f>IFERROR(__xludf.DUMMYFUNCTION("""COMPUTED_VALUE"""),"")</f>
        <v/>
      </c>
      <c r="C516" t="str">
        <f>IFERROR(__xludf.DUMMYFUNCTION("""COMPUTED_VALUE"""),"")</f>
        <v/>
      </c>
      <c r="D516" t="str">
        <f>IFERROR(__xludf.DUMMYFUNCTION("""COMPUTED_VALUE"""),"")</f>
        <v/>
      </c>
      <c r="E516" t="str">
        <f>IFERROR(__xludf.DUMMYFUNCTION("""COMPUTED_VALUE"""),"")</f>
        <v/>
      </c>
      <c r="F516" t="str">
        <f>IFERROR(__xludf.DUMMYFUNCTION("""COMPUTED_VALUE"""),"")</f>
        <v/>
      </c>
      <c r="G516" t="str">
        <f>IFERROR(__xludf.DUMMYFUNCTION("""COMPUTED_VALUE"""),"")</f>
        <v/>
      </c>
      <c r="H516">
        <f>IFERROR(__xludf.DUMMYFUNCTION("""COMPUTED_VALUE"""),1.0)</f>
        <v>1</v>
      </c>
      <c r="I516" t="str">
        <f>IFERROR(__xludf.DUMMYFUNCTION("""COMPUTED_VALUE"""),"")</f>
        <v/>
      </c>
      <c r="J516">
        <f>IFERROR(__xludf.DUMMYFUNCTION("""COMPUTED_VALUE"""),1.0)</f>
        <v>1</v>
      </c>
      <c r="L516" s="250" t="str">
        <f>IFERROR(__xludf.DUMMYFUNCTION("""COMPUTED_VALUE"""),"")</f>
        <v/>
      </c>
      <c r="M516" s="250" t="str">
        <f>IFERROR(__xludf.DUMMYFUNCTION("""COMPUTED_VALUE"""),"")</f>
        <v/>
      </c>
      <c r="N516" s="250" t="str">
        <f>IFERROR(__xludf.DUMMYFUNCTION("""COMPUTED_VALUE"""),"")</f>
        <v/>
      </c>
      <c r="O516" s="250" t="str">
        <f>IFERROR(__xludf.DUMMYFUNCTION("""COMPUTED_VALUE"""),"")</f>
        <v/>
      </c>
      <c r="P516" s="250" t="str">
        <f>IFERROR(__xludf.DUMMYFUNCTION("""COMPUTED_VALUE"""),"")</f>
        <v/>
      </c>
      <c r="Q516" s="250" t="str">
        <f>IFERROR(__xludf.DUMMYFUNCTION("""COMPUTED_VALUE"""),"")</f>
        <v/>
      </c>
      <c r="R516" s="250" t="str">
        <f>IFERROR(__xludf.DUMMYFUNCTION("""COMPUTED_VALUE"""),"#N/A")</f>
        <v>#N/A</v>
      </c>
      <c r="U516" s="250" t="str">
        <f>IFERROR(__xludf.DUMMYFUNCTION("""COMPUTED_VALUE"""),"#N/A")</f>
        <v>#N/A</v>
      </c>
      <c r="V516" s="250" t="str">
        <f>IFERROR(__xludf.DUMMYFUNCTION("""COMPUTED_VALUE"""),"#N/A")</f>
        <v>#N/A</v>
      </c>
      <c r="W516" s="250" t="str">
        <f>IFERROR(__xludf.DUMMYFUNCTION("""COMPUTED_VALUE"""),"#N/A")</f>
        <v>#N/A</v>
      </c>
      <c r="X516" t="b">
        <f t="shared" ref="X516:Z516" si="1008">ISBLANK(K516)</f>
        <v>1</v>
      </c>
      <c r="Y516" t="b">
        <f t="shared" si="1008"/>
        <v>0</v>
      </c>
      <c r="Z516" t="b">
        <f t="shared" si="1008"/>
        <v>0</v>
      </c>
      <c r="AA516">
        <f t="shared" ref="AA516:AC516" si="1009">IF(X516=FALSE,1,0)</f>
        <v>0</v>
      </c>
      <c r="AB516">
        <f t="shared" si="1009"/>
        <v>1</v>
      </c>
      <c r="AC516">
        <f t="shared" si="1009"/>
        <v>1</v>
      </c>
      <c r="AD516">
        <f t="shared" si="6"/>
        <v>2</v>
      </c>
      <c r="AE516">
        <f t="shared" si="7"/>
        <v>1</v>
      </c>
      <c r="AF516">
        <f>if(iferror(vlookup($A516,'Description Database'!$E$2:$H$951,3,0),0)=TRUE,1,0)</f>
        <v>0</v>
      </c>
      <c r="AG516">
        <f>if(iferror(vlookup($A516,'Description Database'!$E$2:$H$951,4,0),0)=TRUE,1,0)</f>
        <v>0</v>
      </c>
    </row>
    <row r="517">
      <c r="A517" t="str">
        <f>IFERROR(__xludf.DUMMYFUNCTION("""COMPUTED_VALUE"""),"Samsung GALAXY S4 (2 GB/16 GB)")</f>
        <v>Samsung GALAXY S4 (2 GB/16 GB)</v>
      </c>
      <c r="B517" t="str">
        <f>IFERROR(__xludf.DUMMYFUNCTION("""COMPUTED_VALUE"""),"")</f>
        <v/>
      </c>
      <c r="C517" t="str">
        <f>IFERROR(__xludf.DUMMYFUNCTION("""COMPUTED_VALUE"""),"")</f>
        <v/>
      </c>
      <c r="D517" t="str">
        <f>IFERROR(__xludf.DUMMYFUNCTION("""COMPUTED_VALUE"""),"")</f>
        <v/>
      </c>
      <c r="E517" t="str">
        <f>IFERROR(__xludf.DUMMYFUNCTION("""COMPUTED_VALUE"""),"")</f>
        <v/>
      </c>
      <c r="F517" t="str">
        <f>IFERROR(__xludf.DUMMYFUNCTION("""COMPUTED_VALUE"""),"")</f>
        <v/>
      </c>
      <c r="G517">
        <f>IFERROR(__xludf.DUMMYFUNCTION("""COMPUTED_VALUE"""),1.0)</f>
        <v>1</v>
      </c>
      <c r="H517" t="str">
        <f>IFERROR(__xludf.DUMMYFUNCTION("""COMPUTED_VALUE"""),"")</f>
        <v/>
      </c>
      <c r="I517">
        <f>IFERROR(__xludf.DUMMYFUNCTION("""COMPUTED_VALUE"""),2.0)</f>
        <v>2</v>
      </c>
      <c r="J517">
        <f>IFERROR(__xludf.DUMMYFUNCTION("""COMPUTED_VALUE"""),3.0)</f>
        <v>3</v>
      </c>
      <c r="L517" s="250" t="str">
        <f>IFERROR(__xludf.DUMMYFUNCTION("""COMPUTED_VALUE"""),"")</f>
        <v/>
      </c>
      <c r="M517" s="250" t="str">
        <f>IFERROR(__xludf.DUMMYFUNCTION("""COMPUTED_VALUE"""),"")</f>
        <v/>
      </c>
      <c r="N517" s="250" t="str">
        <f>IFERROR(__xludf.DUMMYFUNCTION("""COMPUTED_VALUE"""),"")</f>
        <v/>
      </c>
      <c r="O517" s="250" t="str">
        <f>IFERROR(__xludf.DUMMYFUNCTION("""COMPUTED_VALUE"""),"")</f>
        <v/>
      </c>
      <c r="P517" s="250" t="str">
        <f>IFERROR(__xludf.DUMMYFUNCTION("""COMPUTED_VALUE"""),"")</f>
        <v/>
      </c>
      <c r="Q517" s="250">
        <f>IFERROR(__xludf.DUMMYFUNCTION("""COMPUTED_VALUE"""),589.0)</f>
        <v>589</v>
      </c>
      <c r="R517" s="250" t="str">
        <f>IFERROR(__xludf.DUMMYFUNCTION("""COMPUTED_VALUE"""),"")</f>
        <v/>
      </c>
      <c r="U517" s="250">
        <f>IFERROR(__xludf.DUMMYFUNCTION("""COMPUTED_VALUE"""),1429.0)</f>
        <v>1429</v>
      </c>
      <c r="V517" s="250">
        <f>IFERROR(__xludf.DUMMYFUNCTION("""COMPUTED_VALUE"""),1359.0)</f>
        <v>1359</v>
      </c>
      <c r="W517" s="250">
        <f>IFERROR(__xludf.DUMMYFUNCTION("""COMPUTED_VALUE"""),1219.0)</f>
        <v>1219</v>
      </c>
      <c r="X517" t="b">
        <f t="shared" ref="X517:Z517" si="1010">ISBLANK(K517)</f>
        <v>1</v>
      </c>
      <c r="Y517" t="b">
        <f t="shared" si="1010"/>
        <v>0</v>
      </c>
      <c r="Z517" t="b">
        <f t="shared" si="1010"/>
        <v>0</v>
      </c>
      <c r="AA517">
        <f t="shared" ref="AA517:AC517" si="1011">IF(X517=FALSE,1,0)</f>
        <v>0</v>
      </c>
      <c r="AB517">
        <f t="shared" si="1011"/>
        <v>1</v>
      </c>
      <c r="AC517">
        <f t="shared" si="1011"/>
        <v>1</v>
      </c>
      <c r="AD517">
        <f t="shared" si="6"/>
        <v>2</v>
      </c>
      <c r="AE517">
        <f t="shared" si="7"/>
        <v>1</v>
      </c>
      <c r="AF517">
        <f>if(iferror(vlookup($A517,'Description Database'!$E$2:$H$951,3,0),0)=TRUE,1,0)</f>
        <v>0</v>
      </c>
      <c r="AG517">
        <f>if(iferror(vlookup($A517,'Description Database'!$E$2:$H$951,4,0),0)=TRUE,1,0)</f>
        <v>0</v>
      </c>
    </row>
    <row r="518">
      <c r="A518" t="str">
        <f>IFERROR(__xludf.DUMMYFUNCTION("""COMPUTED_VALUE"""),"Samsung GALAXY A9 PRO (4 GB/32 GB)")</f>
        <v>Samsung GALAXY A9 PRO (4 GB/32 GB)</v>
      </c>
      <c r="B518" t="str">
        <f>IFERROR(__xludf.DUMMYFUNCTION("""COMPUTED_VALUE"""),"")</f>
        <v/>
      </c>
      <c r="C518" t="str">
        <f>IFERROR(__xludf.DUMMYFUNCTION("""COMPUTED_VALUE"""),"")</f>
        <v/>
      </c>
      <c r="D518" t="str">
        <f>IFERROR(__xludf.DUMMYFUNCTION("""COMPUTED_VALUE"""),"")</f>
        <v/>
      </c>
      <c r="E518" t="str">
        <f>IFERROR(__xludf.DUMMYFUNCTION("""COMPUTED_VALUE"""),"")</f>
        <v/>
      </c>
      <c r="F518" t="str">
        <f>IFERROR(__xludf.DUMMYFUNCTION("""COMPUTED_VALUE"""),"")</f>
        <v/>
      </c>
      <c r="G518">
        <f>IFERROR(__xludf.DUMMYFUNCTION("""COMPUTED_VALUE"""),1.0)</f>
        <v>1</v>
      </c>
      <c r="H518">
        <f>IFERROR(__xludf.DUMMYFUNCTION("""COMPUTED_VALUE"""),1.0)</f>
        <v>1</v>
      </c>
      <c r="I518">
        <f>IFERROR(__xludf.DUMMYFUNCTION("""COMPUTED_VALUE"""),2.0)</f>
        <v>2</v>
      </c>
      <c r="J518">
        <f>IFERROR(__xludf.DUMMYFUNCTION("""COMPUTED_VALUE"""),4.0)</f>
        <v>4</v>
      </c>
      <c r="L518" s="250" t="str">
        <f>IFERROR(__xludf.DUMMYFUNCTION("""COMPUTED_VALUE"""),"")</f>
        <v/>
      </c>
      <c r="M518" s="250" t="str">
        <f>IFERROR(__xludf.DUMMYFUNCTION("""COMPUTED_VALUE"""),"")</f>
        <v/>
      </c>
      <c r="N518" s="250" t="str">
        <f>IFERROR(__xludf.DUMMYFUNCTION("""COMPUTED_VALUE"""),"")</f>
        <v/>
      </c>
      <c r="O518" s="250" t="str">
        <f>IFERROR(__xludf.DUMMYFUNCTION("""COMPUTED_VALUE"""),"")</f>
        <v/>
      </c>
      <c r="P518" s="250" t="str">
        <f>IFERROR(__xludf.DUMMYFUNCTION("""COMPUTED_VALUE"""),"")</f>
        <v/>
      </c>
      <c r="Q518" s="250">
        <f>IFERROR(__xludf.DUMMYFUNCTION("""COMPUTED_VALUE"""),2569.0)</f>
        <v>2569</v>
      </c>
      <c r="R518" s="250">
        <f>IFERROR(__xludf.DUMMYFUNCTION("""COMPUTED_VALUE"""),2049.0)</f>
        <v>2049</v>
      </c>
      <c r="U518" s="250">
        <f>IFERROR(__xludf.DUMMYFUNCTION("""COMPUTED_VALUE"""),6489.0)</f>
        <v>6489</v>
      </c>
      <c r="V518" s="250">
        <f>IFERROR(__xludf.DUMMYFUNCTION("""COMPUTED_VALUE"""),6189.0)</f>
        <v>6189</v>
      </c>
      <c r="W518" s="250">
        <f>IFERROR(__xludf.DUMMYFUNCTION("""COMPUTED_VALUE"""),5559.0)</f>
        <v>5559</v>
      </c>
      <c r="X518" t="b">
        <f t="shared" ref="X518:Z518" si="1012">ISBLANK(K518)</f>
        <v>1</v>
      </c>
      <c r="Y518" t="b">
        <f t="shared" si="1012"/>
        <v>0</v>
      </c>
      <c r="Z518" t="b">
        <f t="shared" si="1012"/>
        <v>0</v>
      </c>
      <c r="AA518">
        <f t="shared" ref="AA518:AC518" si="1013">IF(X518=FALSE,1,0)</f>
        <v>0</v>
      </c>
      <c r="AB518">
        <f t="shared" si="1013"/>
        <v>1</v>
      </c>
      <c r="AC518">
        <f t="shared" si="1013"/>
        <v>1</v>
      </c>
      <c r="AD518">
        <f t="shared" si="6"/>
        <v>2</v>
      </c>
      <c r="AE518">
        <f t="shared" si="7"/>
        <v>1</v>
      </c>
      <c r="AF518">
        <f>if(iferror(vlookup($A518,'Description Database'!$E$2:$H$951,3,0),0)=TRUE,1,0)</f>
        <v>0</v>
      </c>
      <c r="AG518">
        <f>if(iferror(vlookup($A518,'Description Database'!$E$2:$H$951,4,0),0)=TRUE,1,0)</f>
        <v>0</v>
      </c>
    </row>
    <row r="519">
      <c r="A519" t="str">
        <f>IFERROR(__xludf.DUMMYFUNCTION("""COMPUTED_VALUE"""),"Samsung GALAXY ON NXT (3 GB/32 GB)")</f>
        <v>Samsung GALAXY ON NXT (3 GB/32 GB)</v>
      </c>
      <c r="B519" t="str">
        <f>IFERROR(__xludf.DUMMYFUNCTION("""COMPUTED_VALUE"""),"")</f>
        <v/>
      </c>
      <c r="C519" t="str">
        <f>IFERROR(__xludf.DUMMYFUNCTION("""COMPUTED_VALUE"""),"")</f>
        <v/>
      </c>
      <c r="D519" t="str">
        <f>IFERROR(__xludf.DUMMYFUNCTION("""COMPUTED_VALUE"""),"")</f>
        <v/>
      </c>
      <c r="E519" t="str">
        <f>IFERROR(__xludf.DUMMYFUNCTION("""COMPUTED_VALUE"""),"")</f>
        <v/>
      </c>
      <c r="F519">
        <f>IFERROR(__xludf.DUMMYFUNCTION("""COMPUTED_VALUE"""),1.0)</f>
        <v>1</v>
      </c>
      <c r="G519">
        <f>IFERROR(__xludf.DUMMYFUNCTION("""COMPUTED_VALUE"""),1.0)</f>
        <v>1</v>
      </c>
      <c r="H519" t="str">
        <f>IFERROR(__xludf.DUMMYFUNCTION("""COMPUTED_VALUE"""),"")</f>
        <v/>
      </c>
      <c r="I519">
        <f>IFERROR(__xludf.DUMMYFUNCTION("""COMPUTED_VALUE"""),14.0)</f>
        <v>14</v>
      </c>
      <c r="J519">
        <f>IFERROR(__xludf.DUMMYFUNCTION("""COMPUTED_VALUE"""),16.0)</f>
        <v>16</v>
      </c>
      <c r="L519" s="250" t="str">
        <f>IFERROR(__xludf.DUMMYFUNCTION("""COMPUTED_VALUE"""),"")</f>
        <v/>
      </c>
      <c r="M519" s="250" t="str">
        <f>IFERROR(__xludf.DUMMYFUNCTION("""COMPUTED_VALUE"""),"")</f>
        <v/>
      </c>
      <c r="N519" s="250" t="str">
        <f>IFERROR(__xludf.DUMMYFUNCTION("""COMPUTED_VALUE"""),"")</f>
        <v/>
      </c>
      <c r="O519" s="250" t="str">
        <f>IFERROR(__xludf.DUMMYFUNCTION("""COMPUTED_VALUE"""),"")</f>
        <v/>
      </c>
      <c r="P519" s="250">
        <f>IFERROR(__xludf.DUMMYFUNCTION("""COMPUTED_VALUE"""),3109.0)</f>
        <v>3109</v>
      </c>
      <c r="Q519" s="250">
        <f>IFERROR(__xludf.DUMMYFUNCTION("""COMPUTED_VALUE"""),2419.0)</f>
        <v>2419</v>
      </c>
      <c r="R519" s="250" t="str">
        <f>IFERROR(__xludf.DUMMYFUNCTION("""COMPUTED_VALUE"""),"")</f>
        <v/>
      </c>
      <c r="U519" s="250">
        <f>IFERROR(__xludf.DUMMYFUNCTION("""COMPUTED_VALUE"""),4789.0)</f>
        <v>4789</v>
      </c>
      <c r="V519" s="250">
        <f>IFERROR(__xludf.DUMMYFUNCTION("""COMPUTED_VALUE"""),4559.0)</f>
        <v>4559</v>
      </c>
      <c r="W519" s="250">
        <f>IFERROR(__xludf.DUMMYFUNCTION("""COMPUTED_VALUE"""),4099.0)</f>
        <v>4099</v>
      </c>
      <c r="X519" t="b">
        <f t="shared" ref="X519:Z519" si="1014">ISBLANK(K519)</f>
        <v>1</v>
      </c>
      <c r="Y519" t="b">
        <f t="shared" si="1014"/>
        <v>0</v>
      </c>
      <c r="Z519" t="b">
        <f t="shared" si="1014"/>
        <v>0</v>
      </c>
      <c r="AA519">
        <f t="shared" ref="AA519:AC519" si="1015">IF(X519=FALSE,1,0)</f>
        <v>0</v>
      </c>
      <c r="AB519">
        <f t="shared" si="1015"/>
        <v>1</v>
      </c>
      <c r="AC519">
        <f t="shared" si="1015"/>
        <v>1</v>
      </c>
      <c r="AD519">
        <f t="shared" si="6"/>
        <v>2</v>
      </c>
      <c r="AE519">
        <f t="shared" si="7"/>
        <v>1</v>
      </c>
      <c r="AF519">
        <f>if(iferror(vlookup($A519,'Description Database'!$E$2:$H$951,3,0),0)=TRUE,1,0)</f>
        <v>0</v>
      </c>
      <c r="AG519">
        <f>if(iferror(vlookup($A519,'Description Database'!$E$2:$H$951,4,0),0)=TRUE,1,0)</f>
        <v>0</v>
      </c>
    </row>
    <row r="520">
      <c r="A520" t="str">
        <f>IFERROR(__xludf.DUMMYFUNCTION("""COMPUTED_VALUE"""),"Vivo Y55S (3 GB/32 GB)")</f>
        <v>Vivo Y55S (3 GB/32 GB)</v>
      </c>
      <c r="B520" t="str">
        <f>IFERROR(__xludf.DUMMYFUNCTION("""COMPUTED_VALUE"""),"")</f>
        <v/>
      </c>
      <c r="C520" t="str">
        <f>IFERROR(__xludf.DUMMYFUNCTION("""COMPUTED_VALUE"""),"")</f>
        <v/>
      </c>
      <c r="D520" t="str">
        <f>IFERROR(__xludf.DUMMYFUNCTION("""COMPUTED_VALUE"""),"")</f>
        <v/>
      </c>
      <c r="E520" t="str">
        <f>IFERROR(__xludf.DUMMYFUNCTION("""COMPUTED_VALUE"""),"")</f>
        <v/>
      </c>
      <c r="F520" t="str">
        <f>IFERROR(__xludf.DUMMYFUNCTION("""COMPUTED_VALUE"""),"")</f>
        <v/>
      </c>
      <c r="G520" t="str">
        <f>IFERROR(__xludf.DUMMYFUNCTION("""COMPUTED_VALUE"""),"")</f>
        <v/>
      </c>
      <c r="H520" t="str">
        <f>IFERROR(__xludf.DUMMYFUNCTION("""COMPUTED_VALUE"""),"")</f>
        <v/>
      </c>
      <c r="I520">
        <f>IFERROR(__xludf.DUMMYFUNCTION("""COMPUTED_VALUE"""),1.0)</f>
        <v>1</v>
      </c>
      <c r="J520">
        <f>IFERROR(__xludf.DUMMYFUNCTION("""COMPUTED_VALUE"""),1.0)</f>
        <v>1</v>
      </c>
      <c r="L520" s="250" t="str">
        <f>IFERROR(__xludf.DUMMYFUNCTION("""COMPUTED_VALUE"""),"")</f>
        <v/>
      </c>
      <c r="M520" s="250" t="str">
        <f>IFERROR(__xludf.DUMMYFUNCTION("""COMPUTED_VALUE"""),"")</f>
        <v/>
      </c>
      <c r="N520" s="250" t="str">
        <f>IFERROR(__xludf.DUMMYFUNCTION("""COMPUTED_VALUE"""),"")</f>
        <v/>
      </c>
      <c r="O520" s="250" t="str">
        <f>IFERROR(__xludf.DUMMYFUNCTION("""COMPUTED_VALUE"""),"")</f>
        <v/>
      </c>
      <c r="P520" s="250" t="str">
        <f>IFERROR(__xludf.DUMMYFUNCTION("""COMPUTED_VALUE"""),"")</f>
        <v/>
      </c>
      <c r="Q520" s="250" t="str">
        <f>IFERROR(__xludf.DUMMYFUNCTION("""COMPUTED_VALUE"""),"")</f>
        <v/>
      </c>
      <c r="R520" s="250" t="str">
        <f>IFERROR(__xludf.DUMMYFUNCTION("""COMPUTED_VALUE"""),"")</f>
        <v/>
      </c>
      <c r="U520" s="250" t="str">
        <f>IFERROR(__xludf.DUMMYFUNCTION("""COMPUTED_VALUE"""),"#N/A")</f>
        <v>#N/A</v>
      </c>
      <c r="V520" s="250" t="str">
        <f>IFERROR(__xludf.DUMMYFUNCTION("""COMPUTED_VALUE"""),"#N/A")</f>
        <v>#N/A</v>
      </c>
      <c r="W520" s="250" t="str">
        <f>IFERROR(__xludf.DUMMYFUNCTION("""COMPUTED_VALUE"""),"#N/A")</f>
        <v>#N/A</v>
      </c>
      <c r="X520" t="b">
        <f t="shared" ref="X520:Z520" si="1016">ISBLANK(K520)</f>
        <v>1</v>
      </c>
      <c r="Y520" t="b">
        <f t="shared" si="1016"/>
        <v>0</v>
      </c>
      <c r="Z520" t="b">
        <f t="shared" si="1016"/>
        <v>0</v>
      </c>
      <c r="AA520">
        <f t="shared" ref="AA520:AC520" si="1017">IF(X520=FALSE,1,0)</f>
        <v>0</v>
      </c>
      <c r="AB520">
        <f t="shared" si="1017"/>
        <v>1</v>
      </c>
      <c r="AC520">
        <f t="shared" si="1017"/>
        <v>1</v>
      </c>
      <c r="AD520">
        <f t="shared" si="6"/>
        <v>2</v>
      </c>
      <c r="AE520">
        <f t="shared" si="7"/>
        <v>1</v>
      </c>
      <c r="AF520">
        <f>if(iferror(vlookup($A520,'Description Database'!$E$2:$H$951,3,0),0)=TRUE,1,0)</f>
        <v>0</v>
      </c>
      <c r="AG520">
        <f>if(iferror(vlookup($A520,'Description Database'!$E$2:$H$951,4,0),0)=TRUE,1,0)</f>
        <v>0</v>
      </c>
    </row>
    <row r="521">
      <c r="A521" t="str">
        <f>IFERROR(__xludf.DUMMYFUNCTION("""COMPUTED_VALUE"""),"Samsung GALAXY C9 PRO (6 GB/64 GB)")</f>
        <v>Samsung GALAXY C9 PRO (6 GB/64 GB)</v>
      </c>
      <c r="B521" t="str">
        <f>IFERROR(__xludf.DUMMYFUNCTION("""COMPUTED_VALUE"""),"")</f>
        <v/>
      </c>
      <c r="C521" t="str">
        <f>IFERROR(__xludf.DUMMYFUNCTION("""COMPUTED_VALUE"""),"")</f>
        <v/>
      </c>
      <c r="D521" t="str">
        <f>IFERROR(__xludf.DUMMYFUNCTION("""COMPUTED_VALUE"""),"")</f>
        <v/>
      </c>
      <c r="E521" t="str">
        <f>IFERROR(__xludf.DUMMYFUNCTION("""COMPUTED_VALUE"""),"")</f>
        <v/>
      </c>
      <c r="F521" t="str">
        <f>IFERROR(__xludf.DUMMYFUNCTION("""COMPUTED_VALUE"""),"")</f>
        <v/>
      </c>
      <c r="G521" t="str">
        <f>IFERROR(__xludf.DUMMYFUNCTION("""COMPUTED_VALUE"""),"")</f>
        <v/>
      </c>
      <c r="H521" t="str">
        <f>IFERROR(__xludf.DUMMYFUNCTION("""COMPUTED_VALUE"""),"")</f>
        <v/>
      </c>
      <c r="I521">
        <f>IFERROR(__xludf.DUMMYFUNCTION("""COMPUTED_VALUE"""),10.0)</f>
        <v>10</v>
      </c>
      <c r="J521">
        <f>IFERROR(__xludf.DUMMYFUNCTION("""COMPUTED_VALUE"""),10.0)</f>
        <v>10</v>
      </c>
      <c r="L521" s="250" t="str">
        <f>IFERROR(__xludf.DUMMYFUNCTION("""COMPUTED_VALUE"""),"")</f>
        <v/>
      </c>
      <c r="M521" s="250" t="str">
        <f>IFERROR(__xludf.DUMMYFUNCTION("""COMPUTED_VALUE"""),"")</f>
        <v/>
      </c>
      <c r="N521" s="250" t="str">
        <f>IFERROR(__xludf.DUMMYFUNCTION("""COMPUTED_VALUE"""),"")</f>
        <v/>
      </c>
      <c r="O521" s="250" t="str">
        <f>IFERROR(__xludf.DUMMYFUNCTION("""COMPUTED_VALUE"""),"")</f>
        <v/>
      </c>
      <c r="P521" s="250" t="str">
        <f>IFERROR(__xludf.DUMMYFUNCTION("""COMPUTED_VALUE"""),"")</f>
        <v/>
      </c>
      <c r="Q521" s="250" t="str">
        <f>IFERROR(__xludf.DUMMYFUNCTION("""COMPUTED_VALUE"""),"")</f>
        <v/>
      </c>
      <c r="R521" s="250" t="str">
        <f>IFERROR(__xludf.DUMMYFUNCTION("""COMPUTED_VALUE"""),"")</f>
        <v/>
      </c>
      <c r="U521" s="250">
        <f>IFERROR(__xludf.DUMMYFUNCTION("""COMPUTED_VALUE"""),7099.0)</f>
        <v>7099</v>
      </c>
      <c r="V521" s="250">
        <f>IFERROR(__xludf.DUMMYFUNCTION("""COMPUTED_VALUE"""),6759.0)</f>
        <v>6759</v>
      </c>
      <c r="W521" s="250">
        <f>IFERROR(__xludf.DUMMYFUNCTION("""COMPUTED_VALUE"""),6079.0)</f>
        <v>6079</v>
      </c>
      <c r="X521" t="b">
        <f t="shared" ref="X521:Z521" si="1018">ISBLANK(K521)</f>
        <v>1</v>
      </c>
      <c r="Y521" t="b">
        <f t="shared" si="1018"/>
        <v>0</v>
      </c>
      <c r="Z521" t="b">
        <f t="shared" si="1018"/>
        <v>0</v>
      </c>
      <c r="AA521">
        <f t="shared" ref="AA521:AC521" si="1019">IF(X521=FALSE,1,0)</f>
        <v>0</v>
      </c>
      <c r="AB521">
        <f t="shared" si="1019"/>
        <v>1</v>
      </c>
      <c r="AC521">
        <f t="shared" si="1019"/>
        <v>1</v>
      </c>
      <c r="AD521">
        <f t="shared" si="6"/>
        <v>2</v>
      </c>
      <c r="AE521">
        <f t="shared" si="7"/>
        <v>1</v>
      </c>
      <c r="AF521">
        <f>if(iferror(vlookup($A521,'Description Database'!$E$2:$H$951,3,0),0)=TRUE,1,0)</f>
        <v>0</v>
      </c>
      <c r="AG521">
        <f>if(iferror(vlookup($A521,'Description Database'!$E$2:$H$951,4,0),0)=TRUE,1,0)</f>
        <v>0</v>
      </c>
    </row>
    <row r="522">
      <c r="A522" t="str">
        <f>IFERROR(__xludf.DUMMYFUNCTION("""COMPUTED_VALUE"""),"Samsung REDMI 5A (2 GB/16 GB)")</f>
        <v>Samsung REDMI 5A (2 GB/16 GB)</v>
      </c>
      <c r="B522" t="str">
        <f>IFERROR(__xludf.DUMMYFUNCTION("""COMPUTED_VALUE"""),"")</f>
        <v/>
      </c>
      <c r="C522" t="str">
        <f>IFERROR(__xludf.DUMMYFUNCTION("""COMPUTED_VALUE"""),"")</f>
        <v/>
      </c>
      <c r="D522" t="str">
        <f>IFERROR(__xludf.DUMMYFUNCTION("""COMPUTED_VALUE"""),"")</f>
        <v/>
      </c>
      <c r="E522" t="str">
        <f>IFERROR(__xludf.DUMMYFUNCTION("""COMPUTED_VALUE"""),"")</f>
        <v/>
      </c>
      <c r="F522" t="str">
        <f>IFERROR(__xludf.DUMMYFUNCTION("""COMPUTED_VALUE"""),"")</f>
        <v/>
      </c>
      <c r="G522" t="str">
        <f>IFERROR(__xludf.DUMMYFUNCTION("""COMPUTED_VALUE"""),"")</f>
        <v/>
      </c>
      <c r="H522" t="str">
        <f>IFERROR(__xludf.DUMMYFUNCTION("""COMPUTED_VALUE"""),"")</f>
        <v/>
      </c>
      <c r="I522" t="str">
        <f>IFERROR(__xludf.DUMMYFUNCTION("""COMPUTED_VALUE"""),"")</f>
        <v/>
      </c>
      <c r="J522">
        <f>IFERROR(__xludf.DUMMYFUNCTION("""COMPUTED_VALUE"""),0.0)</f>
        <v>0</v>
      </c>
      <c r="L522" s="250" t="str">
        <f>IFERROR(__xludf.DUMMYFUNCTION("""COMPUTED_VALUE"""),"")</f>
        <v/>
      </c>
      <c r="M522" s="250" t="str">
        <f>IFERROR(__xludf.DUMMYFUNCTION("""COMPUTED_VALUE"""),"")</f>
        <v/>
      </c>
      <c r="N522" s="250" t="str">
        <f>IFERROR(__xludf.DUMMYFUNCTION("""COMPUTED_VALUE"""),"")</f>
        <v/>
      </c>
      <c r="O522" s="250" t="str">
        <f>IFERROR(__xludf.DUMMYFUNCTION("""COMPUTED_VALUE"""),"")</f>
        <v/>
      </c>
      <c r="P522" s="250" t="str">
        <f>IFERROR(__xludf.DUMMYFUNCTION("""COMPUTED_VALUE"""),"")</f>
        <v/>
      </c>
      <c r="Q522" s="250" t="str">
        <f>IFERROR(__xludf.DUMMYFUNCTION("""COMPUTED_VALUE"""),"")</f>
        <v/>
      </c>
      <c r="R522" s="250" t="str">
        <f>IFERROR(__xludf.DUMMYFUNCTION("""COMPUTED_VALUE"""),"")</f>
        <v/>
      </c>
      <c r="U522" s="250" t="str">
        <f>IFERROR(__xludf.DUMMYFUNCTION("""COMPUTED_VALUE"""),"#N/A")</f>
        <v>#N/A</v>
      </c>
      <c r="V522" s="250" t="str">
        <f>IFERROR(__xludf.DUMMYFUNCTION("""COMPUTED_VALUE"""),"#N/A")</f>
        <v>#N/A</v>
      </c>
      <c r="W522" s="250" t="str">
        <f>IFERROR(__xludf.DUMMYFUNCTION("""COMPUTED_VALUE"""),"#N/A")</f>
        <v>#N/A</v>
      </c>
      <c r="X522" t="b">
        <f t="shared" ref="X522:Z522" si="1020">ISBLANK(K522)</f>
        <v>1</v>
      </c>
      <c r="Y522" t="b">
        <f t="shared" si="1020"/>
        <v>0</v>
      </c>
      <c r="Z522" t="b">
        <f t="shared" si="1020"/>
        <v>0</v>
      </c>
      <c r="AA522">
        <f t="shared" ref="AA522:AC522" si="1021">IF(X522=FALSE,1,0)</f>
        <v>0</v>
      </c>
      <c r="AB522">
        <f t="shared" si="1021"/>
        <v>1</v>
      </c>
      <c r="AC522">
        <f t="shared" si="1021"/>
        <v>1</v>
      </c>
      <c r="AD522">
        <f t="shared" si="6"/>
        <v>2</v>
      </c>
      <c r="AE522">
        <f t="shared" si="7"/>
        <v>1</v>
      </c>
      <c r="AF522">
        <f>if(iferror(vlookup($A522,'Description Database'!$E$2:$H$951,3,0),0)=TRUE,1,0)</f>
        <v>0</v>
      </c>
      <c r="AG522">
        <f>if(iferror(vlookup($A522,'Description Database'!$E$2:$H$951,4,0),0)=TRUE,1,0)</f>
        <v>0</v>
      </c>
    </row>
    <row r="523">
      <c r="A523" t="str">
        <f>IFERROR(__xludf.DUMMYFUNCTION("""COMPUTED_VALUE"""),"Samsung GALAXY M10 (3 GB/32 GB)")</f>
        <v>Samsung GALAXY M10 (3 GB/32 GB)</v>
      </c>
      <c r="B523" t="str">
        <f>IFERROR(__xludf.DUMMYFUNCTION("""COMPUTED_VALUE"""),"")</f>
        <v/>
      </c>
      <c r="C523" t="str">
        <f>IFERROR(__xludf.DUMMYFUNCTION("""COMPUTED_VALUE"""),"")</f>
        <v/>
      </c>
      <c r="D523" t="str">
        <f>IFERROR(__xludf.DUMMYFUNCTION("""COMPUTED_VALUE"""),"")</f>
        <v/>
      </c>
      <c r="E523" t="str">
        <f>IFERROR(__xludf.DUMMYFUNCTION("""COMPUTED_VALUE"""),"")</f>
        <v/>
      </c>
      <c r="F523">
        <f>IFERROR(__xludf.DUMMYFUNCTION("""COMPUTED_VALUE"""),1.0)</f>
        <v>1</v>
      </c>
      <c r="G523">
        <f>IFERROR(__xludf.DUMMYFUNCTION("""COMPUTED_VALUE"""),2.0)</f>
        <v>2</v>
      </c>
      <c r="H523" t="str">
        <f>IFERROR(__xludf.DUMMYFUNCTION("""COMPUTED_VALUE"""),"")</f>
        <v/>
      </c>
      <c r="I523">
        <f>IFERROR(__xludf.DUMMYFUNCTION("""COMPUTED_VALUE"""),3.0)</f>
        <v>3</v>
      </c>
      <c r="J523">
        <f>IFERROR(__xludf.DUMMYFUNCTION("""COMPUTED_VALUE"""),6.0)</f>
        <v>6</v>
      </c>
      <c r="L523" s="250" t="str">
        <f>IFERROR(__xludf.DUMMYFUNCTION("""COMPUTED_VALUE"""),"")</f>
        <v/>
      </c>
      <c r="M523" s="250" t="str">
        <f>IFERROR(__xludf.DUMMYFUNCTION("""COMPUTED_VALUE"""),"")</f>
        <v/>
      </c>
      <c r="N523" s="250" t="str">
        <f>IFERROR(__xludf.DUMMYFUNCTION("""COMPUTED_VALUE"""),"")</f>
        <v/>
      </c>
      <c r="O523" s="250" t="str">
        <f>IFERROR(__xludf.DUMMYFUNCTION("""COMPUTED_VALUE"""),"")</f>
        <v/>
      </c>
      <c r="P523" s="250">
        <f>IFERROR(__xludf.DUMMYFUNCTION("""COMPUTED_VALUE"""),3789.0)</f>
        <v>3789</v>
      </c>
      <c r="Q523" s="250">
        <f>IFERROR(__xludf.DUMMYFUNCTION("""COMPUTED_VALUE"""),2689.0)</f>
        <v>2689</v>
      </c>
      <c r="R523" s="250" t="str">
        <f>IFERROR(__xludf.DUMMYFUNCTION("""COMPUTED_VALUE"""),"")</f>
        <v/>
      </c>
      <c r="U523" s="250">
        <f>IFERROR(__xludf.DUMMYFUNCTION("""COMPUTED_VALUE"""),5829.0)</f>
        <v>5829</v>
      </c>
      <c r="V523" s="250">
        <f>IFERROR(__xludf.DUMMYFUNCTION("""COMPUTED_VALUE"""),5549.0)</f>
        <v>5549</v>
      </c>
      <c r="W523" s="250">
        <f>IFERROR(__xludf.DUMMYFUNCTION("""COMPUTED_VALUE"""),4999.0)</f>
        <v>4999</v>
      </c>
      <c r="X523" t="b">
        <f t="shared" ref="X523:Z523" si="1022">ISBLANK(K523)</f>
        <v>1</v>
      </c>
      <c r="Y523" t="b">
        <f t="shared" si="1022"/>
        <v>0</v>
      </c>
      <c r="Z523" t="b">
        <f t="shared" si="1022"/>
        <v>0</v>
      </c>
      <c r="AA523">
        <f t="shared" ref="AA523:AC523" si="1023">IF(X523=FALSE,1,0)</f>
        <v>0</v>
      </c>
      <c r="AB523">
        <f t="shared" si="1023"/>
        <v>1</v>
      </c>
      <c r="AC523">
        <f t="shared" si="1023"/>
        <v>1</v>
      </c>
      <c r="AD523">
        <f t="shared" si="6"/>
        <v>2</v>
      </c>
      <c r="AE523">
        <f t="shared" si="7"/>
        <v>1</v>
      </c>
      <c r="AF523">
        <f>if(iferror(vlookup($A523,'Description Database'!$E$2:$H$951,3,0),0)=TRUE,1,0)</f>
        <v>0</v>
      </c>
      <c r="AG523">
        <f>if(iferror(vlookup($A523,'Description Database'!$E$2:$H$951,4,0),0)=TRUE,1,0)</f>
        <v>0</v>
      </c>
    </row>
    <row r="524">
      <c r="A524" t="str">
        <f>IFERROR(__xludf.DUMMYFUNCTION("""COMPUTED_VALUE"""),"ONEPLUS 1 (4 GB/64 GB)")</f>
        <v>ONEPLUS 1 (4 GB/64 GB)</v>
      </c>
      <c r="B524" t="str">
        <f>IFERROR(__xludf.DUMMYFUNCTION("""COMPUTED_VALUE"""),"")</f>
        <v/>
      </c>
      <c r="C524" t="str">
        <f>IFERROR(__xludf.DUMMYFUNCTION("""COMPUTED_VALUE"""),"")</f>
        <v/>
      </c>
      <c r="D524" t="str">
        <f>IFERROR(__xludf.DUMMYFUNCTION("""COMPUTED_VALUE"""),"")</f>
        <v/>
      </c>
      <c r="E524" t="str">
        <f>IFERROR(__xludf.DUMMYFUNCTION("""COMPUTED_VALUE"""),"")</f>
        <v/>
      </c>
      <c r="F524" t="str">
        <f>IFERROR(__xludf.DUMMYFUNCTION("""COMPUTED_VALUE"""),"")</f>
        <v/>
      </c>
      <c r="G524" t="str">
        <f>IFERROR(__xludf.DUMMYFUNCTION("""COMPUTED_VALUE"""),"")</f>
        <v/>
      </c>
      <c r="H524" t="str">
        <f>IFERROR(__xludf.DUMMYFUNCTION("""COMPUTED_VALUE"""),"")</f>
        <v/>
      </c>
      <c r="I524">
        <f>IFERROR(__xludf.DUMMYFUNCTION("""COMPUTED_VALUE"""),3.0)</f>
        <v>3</v>
      </c>
      <c r="J524">
        <f>IFERROR(__xludf.DUMMYFUNCTION("""COMPUTED_VALUE"""),3.0)</f>
        <v>3</v>
      </c>
      <c r="L524" s="250" t="str">
        <f>IFERROR(__xludf.DUMMYFUNCTION("""COMPUTED_VALUE"""),"")</f>
        <v/>
      </c>
      <c r="M524" s="250" t="str">
        <f>IFERROR(__xludf.DUMMYFUNCTION("""COMPUTED_VALUE"""),"")</f>
        <v/>
      </c>
      <c r="N524" s="250" t="str">
        <f>IFERROR(__xludf.DUMMYFUNCTION("""COMPUTED_VALUE"""),"")</f>
        <v/>
      </c>
      <c r="O524" s="250" t="str">
        <f>IFERROR(__xludf.DUMMYFUNCTION("""COMPUTED_VALUE"""),"")</f>
        <v/>
      </c>
      <c r="P524" s="250" t="str">
        <f>IFERROR(__xludf.DUMMYFUNCTION("""COMPUTED_VALUE"""),"")</f>
        <v/>
      </c>
      <c r="Q524" s="250" t="str">
        <f>IFERROR(__xludf.DUMMYFUNCTION("""COMPUTED_VALUE"""),"")</f>
        <v/>
      </c>
      <c r="R524" s="250" t="str">
        <f>IFERROR(__xludf.DUMMYFUNCTION("""COMPUTED_VALUE"""),"")</f>
        <v/>
      </c>
      <c r="U524" s="250" t="str">
        <f>IFERROR(__xludf.DUMMYFUNCTION("""COMPUTED_VALUE"""),"#N/A")</f>
        <v>#N/A</v>
      </c>
      <c r="V524" s="250" t="str">
        <f>IFERROR(__xludf.DUMMYFUNCTION("""COMPUTED_VALUE"""),"#N/A")</f>
        <v>#N/A</v>
      </c>
      <c r="W524" s="250" t="str">
        <f>IFERROR(__xludf.DUMMYFUNCTION("""COMPUTED_VALUE"""),"#N/A")</f>
        <v>#N/A</v>
      </c>
      <c r="X524" t="b">
        <f t="shared" ref="X524:Z524" si="1024">ISBLANK(K524)</f>
        <v>1</v>
      </c>
      <c r="Y524" t="b">
        <f t="shared" si="1024"/>
        <v>0</v>
      </c>
      <c r="Z524" t="b">
        <f t="shared" si="1024"/>
        <v>0</v>
      </c>
      <c r="AA524">
        <f t="shared" ref="AA524:AC524" si="1025">IF(X524=FALSE,1,0)</f>
        <v>0</v>
      </c>
      <c r="AB524">
        <f t="shared" si="1025"/>
        <v>1</v>
      </c>
      <c r="AC524">
        <f t="shared" si="1025"/>
        <v>1</v>
      </c>
      <c r="AD524">
        <f t="shared" si="6"/>
        <v>2</v>
      </c>
      <c r="AE524">
        <f t="shared" si="7"/>
        <v>1</v>
      </c>
      <c r="AF524">
        <f>if(iferror(vlookup($A524,'Description Database'!$E$2:$H$951,3,0),0)=TRUE,1,0)</f>
        <v>0</v>
      </c>
      <c r="AG524">
        <f>if(iferror(vlookup($A524,'Description Database'!$E$2:$H$951,4,0),0)=TRUE,1,0)</f>
        <v>0</v>
      </c>
    </row>
    <row r="525">
      <c r="A525" t="str">
        <f>IFERROR(__xludf.DUMMYFUNCTION("""COMPUTED_VALUE"""),"Samsung GALAXY J7 NXT (2 GB/16 GB)")</f>
        <v>Samsung GALAXY J7 NXT (2 GB/16 GB)</v>
      </c>
      <c r="B525" t="str">
        <f>IFERROR(__xludf.DUMMYFUNCTION("""COMPUTED_VALUE"""),"")</f>
        <v/>
      </c>
      <c r="C525" t="str">
        <f>IFERROR(__xludf.DUMMYFUNCTION("""COMPUTED_VALUE"""),"")</f>
        <v/>
      </c>
      <c r="D525" t="str">
        <f>IFERROR(__xludf.DUMMYFUNCTION("""COMPUTED_VALUE"""),"")</f>
        <v/>
      </c>
      <c r="E525" t="str">
        <f>IFERROR(__xludf.DUMMYFUNCTION("""COMPUTED_VALUE"""),"")</f>
        <v/>
      </c>
      <c r="F525">
        <f>IFERROR(__xludf.DUMMYFUNCTION("""COMPUTED_VALUE"""),1.0)</f>
        <v>1</v>
      </c>
      <c r="G525">
        <f>IFERROR(__xludf.DUMMYFUNCTION("""COMPUTED_VALUE"""),1.0)</f>
        <v>1</v>
      </c>
      <c r="H525" t="str">
        <f>IFERROR(__xludf.DUMMYFUNCTION("""COMPUTED_VALUE"""),"")</f>
        <v/>
      </c>
      <c r="I525">
        <f>IFERROR(__xludf.DUMMYFUNCTION("""COMPUTED_VALUE"""),25.0)</f>
        <v>25</v>
      </c>
      <c r="J525">
        <f>IFERROR(__xludf.DUMMYFUNCTION("""COMPUTED_VALUE"""),27.0)</f>
        <v>27</v>
      </c>
      <c r="L525" s="250" t="str">
        <f>IFERROR(__xludf.DUMMYFUNCTION("""COMPUTED_VALUE"""),"")</f>
        <v/>
      </c>
      <c r="M525" s="250" t="str">
        <f>IFERROR(__xludf.DUMMYFUNCTION("""COMPUTED_VALUE"""),"")</f>
        <v/>
      </c>
      <c r="N525" s="250" t="str">
        <f>IFERROR(__xludf.DUMMYFUNCTION("""COMPUTED_VALUE"""),"")</f>
        <v/>
      </c>
      <c r="O525" s="250" t="str">
        <f>IFERROR(__xludf.DUMMYFUNCTION("""COMPUTED_VALUE"""),"")</f>
        <v/>
      </c>
      <c r="P525" s="250">
        <f>IFERROR(__xludf.DUMMYFUNCTION("""COMPUTED_VALUE"""),2809.0)</f>
        <v>2809</v>
      </c>
      <c r="Q525" s="250">
        <f>IFERROR(__xludf.DUMMYFUNCTION("""COMPUTED_VALUE"""),1439.0)</f>
        <v>1439</v>
      </c>
      <c r="R525" s="250" t="str">
        <f>IFERROR(__xludf.DUMMYFUNCTION("""COMPUTED_VALUE"""),"")</f>
        <v/>
      </c>
      <c r="U525" s="250">
        <f>IFERROR(__xludf.DUMMYFUNCTION("""COMPUTED_VALUE"""),4319.0)</f>
        <v>4319</v>
      </c>
      <c r="V525" s="250">
        <f>IFERROR(__xludf.DUMMYFUNCTION("""COMPUTED_VALUE"""),4109.0)</f>
        <v>4109</v>
      </c>
      <c r="W525" s="250">
        <f>IFERROR(__xludf.DUMMYFUNCTION("""COMPUTED_VALUE"""),3689.0)</f>
        <v>3689</v>
      </c>
      <c r="X525" t="b">
        <f t="shared" ref="X525:Z525" si="1026">ISBLANK(K525)</f>
        <v>1</v>
      </c>
      <c r="Y525" t="b">
        <f t="shared" si="1026"/>
        <v>0</v>
      </c>
      <c r="Z525" t="b">
        <f t="shared" si="1026"/>
        <v>0</v>
      </c>
      <c r="AA525">
        <f t="shared" ref="AA525:AC525" si="1027">IF(X525=FALSE,1,0)</f>
        <v>0</v>
      </c>
      <c r="AB525">
        <f t="shared" si="1027"/>
        <v>1</v>
      </c>
      <c r="AC525">
        <f t="shared" si="1027"/>
        <v>1</v>
      </c>
      <c r="AD525">
        <f t="shared" si="6"/>
        <v>2</v>
      </c>
      <c r="AE525">
        <f t="shared" si="7"/>
        <v>1</v>
      </c>
      <c r="AF525">
        <f>if(iferror(vlookup($A525,'Description Database'!$E$2:$H$951,3,0),0)=TRUE,1,0)</f>
        <v>0</v>
      </c>
      <c r="AG525">
        <f>if(iferror(vlookup($A525,'Description Database'!$E$2:$H$951,4,0),0)=TRUE,1,0)</f>
        <v>0</v>
      </c>
    </row>
    <row r="526">
      <c r="A526" t="str">
        <f>IFERROR(__xludf.DUMMYFUNCTION("""COMPUTED_VALUE"""),"Vivo Y91i (2 GB/32 GB)")</f>
        <v>Vivo Y91i (2 GB/32 GB)</v>
      </c>
      <c r="B526" t="str">
        <f>IFERROR(__xludf.DUMMYFUNCTION("""COMPUTED_VALUE"""),"")</f>
        <v/>
      </c>
      <c r="C526" t="str">
        <f>IFERROR(__xludf.DUMMYFUNCTION("""COMPUTED_VALUE"""),"")</f>
        <v/>
      </c>
      <c r="D526" t="str">
        <f>IFERROR(__xludf.DUMMYFUNCTION("""COMPUTED_VALUE"""),"")</f>
        <v/>
      </c>
      <c r="E526" t="str">
        <f>IFERROR(__xludf.DUMMYFUNCTION("""COMPUTED_VALUE"""),"")</f>
        <v/>
      </c>
      <c r="F526">
        <f>IFERROR(__xludf.DUMMYFUNCTION("""COMPUTED_VALUE"""),1.0)</f>
        <v>1</v>
      </c>
      <c r="G526">
        <f>IFERROR(__xludf.DUMMYFUNCTION("""COMPUTED_VALUE"""),1.0)</f>
        <v>1</v>
      </c>
      <c r="H526" t="str">
        <f>IFERROR(__xludf.DUMMYFUNCTION("""COMPUTED_VALUE"""),"")</f>
        <v/>
      </c>
      <c r="I526">
        <f>IFERROR(__xludf.DUMMYFUNCTION("""COMPUTED_VALUE"""),2.0)</f>
        <v>2</v>
      </c>
      <c r="J526">
        <f>IFERROR(__xludf.DUMMYFUNCTION("""COMPUTED_VALUE"""),4.0)</f>
        <v>4</v>
      </c>
      <c r="L526" s="250" t="str">
        <f>IFERROR(__xludf.DUMMYFUNCTION("""COMPUTED_VALUE"""),"")</f>
        <v/>
      </c>
      <c r="M526" s="250" t="str">
        <f>IFERROR(__xludf.DUMMYFUNCTION("""COMPUTED_VALUE"""),"")</f>
        <v/>
      </c>
      <c r="N526" s="250" t="str">
        <f>IFERROR(__xludf.DUMMYFUNCTION("""COMPUTED_VALUE"""),"")</f>
        <v/>
      </c>
      <c r="O526" s="250" t="str">
        <f>IFERROR(__xludf.DUMMYFUNCTION("""COMPUTED_VALUE"""),"")</f>
        <v/>
      </c>
      <c r="P526" s="250">
        <f>IFERROR(__xludf.DUMMYFUNCTION("""COMPUTED_VALUE"""),3959.0)</f>
        <v>3959</v>
      </c>
      <c r="Q526" s="250">
        <f>IFERROR(__xludf.DUMMYFUNCTION("""COMPUTED_VALUE"""),2819.0)</f>
        <v>2819</v>
      </c>
      <c r="R526" s="250" t="str">
        <f>IFERROR(__xludf.DUMMYFUNCTION("""COMPUTED_VALUE"""),"")</f>
        <v/>
      </c>
      <c r="U526" s="250">
        <f>IFERROR(__xludf.DUMMYFUNCTION("""COMPUTED_VALUE"""),6079.0)</f>
        <v>6079</v>
      </c>
      <c r="V526" s="250">
        <f>IFERROR(__xludf.DUMMYFUNCTION("""COMPUTED_VALUE"""),5779.0)</f>
        <v>5779</v>
      </c>
      <c r="W526" s="250">
        <f>IFERROR(__xludf.DUMMYFUNCTION("""COMPUTED_VALUE"""),5279.0)</f>
        <v>5279</v>
      </c>
      <c r="X526" t="b">
        <f t="shared" ref="X526:Z526" si="1028">ISBLANK(K526)</f>
        <v>1</v>
      </c>
      <c r="Y526" t="b">
        <f t="shared" si="1028"/>
        <v>0</v>
      </c>
      <c r="Z526" t="b">
        <f t="shared" si="1028"/>
        <v>0</v>
      </c>
      <c r="AA526">
        <f t="shared" ref="AA526:AC526" si="1029">IF(X526=FALSE,1,0)</f>
        <v>0</v>
      </c>
      <c r="AB526">
        <f t="shared" si="1029"/>
        <v>1</v>
      </c>
      <c r="AC526">
        <f t="shared" si="1029"/>
        <v>1</v>
      </c>
      <c r="AD526">
        <f t="shared" si="6"/>
        <v>2</v>
      </c>
      <c r="AE526">
        <f t="shared" si="7"/>
        <v>1</v>
      </c>
      <c r="AF526">
        <f>if(iferror(vlookup($A526,'Description Database'!$E$2:$H$951,3,0),0)=TRUE,1,0)</f>
        <v>0</v>
      </c>
      <c r="AG526">
        <f>if(iferror(vlookup($A526,'Description Database'!$E$2:$H$951,4,0),0)=TRUE,1,0)</f>
        <v>0</v>
      </c>
    </row>
    <row r="527">
      <c r="A527" t="str">
        <f>IFERROR(__xludf.DUMMYFUNCTION("""COMPUTED_VALUE"""),"Samsung Galaxy Note 4 (3 GB/32 GB)")</f>
        <v>Samsung Galaxy Note 4 (3 GB/32 GB)</v>
      </c>
      <c r="B527" t="str">
        <f>IFERROR(__xludf.DUMMYFUNCTION("""COMPUTED_VALUE"""),"")</f>
        <v/>
      </c>
      <c r="C527" t="str">
        <f>IFERROR(__xludf.DUMMYFUNCTION("""COMPUTED_VALUE"""),"")</f>
        <v/>
      </c>
      <c r="D527" t="str">
        <f>IFERROR(__xludf.DUMMYFUNCTION("""COMPUTED_VALUE"""),"")</f>
        <v/>
      </c>
      <c r="E527" t="str">
        <f>IFERROR(__xludf.DUMMYFUNCTION("""COMPUTED_VALUE"""),"")</f>
        <v/>
      </c>
      <c r="F527" t="str">
        <f>IFERROR(__xludf.DUMMYFUNCTION("""COMPUTED_VALUE"""),"")</f>
        <v/>
      </c>
      <c r="G527" t="str">
        <f>IFERROR(__xludf.DUMMYFUNCTION("""COMPUTED_VALUE"""),"")</f>
        <v/>
      </c>
      <c r="H527" t="str">
        <f>IFERROR(__xludf.DUMMYFUNCTION("""COMPUTED_VALUE"""),"")</f>
        <v/>
      </c>
      <c r="I527">
        <f>IFERROR(__xludf.DUMMYFUNCTION("""COMPUTED_VALUE"""),6.0)</f>
        <v>6</v>
      </c>
      <c r="J527">
        <f>IFERROR(__xludf.DUMMYFUNCTION("""COMPUTED_VALUE"""),6.0)</f>
        <v>6</v>
      </c>
      <c r="L527" s="250" t="str">
        <f>IFERROR(__xludf.DUMMYFUNCTION("""COMPUTED_VALUE"""),"")</f>
        <v/>
      </c>
      <c r="M527" s="250" t="str">
        <f>IFERROR(__xludf.DUMMYFUNCTION("""COMPUTED_VALUE"""),"")</f>
        <v/>
      </c>
      <c r="N527" s="250" t="str">
        <f>IFERROR(__xludf.DUMMYFUNCTION("""COMPUTED_VALUE"""),"")</f>
        <v/>
      </c>
      <c r="O527" s="250" t="str">
        <f>IFERROR(__xludf.DUMMYFUNCTION("""COMPUTED_VALUE"""),"")</f>
        <v/>
      </c>
      <c r="P527" s="250" t="str">
        <f>IFERROR(__xludf.DUMMYFUNCTION("""COMPUTED_VALUE"""),"")</f>
        <v/>
      </c>
      <c r="Q527" s="250" t="str">
        <f>IFERROR(__xludf.DUMMYFUNCTION("""COMPUTED_VALUE"""),"")</f>
        <v/>
      </c>
      <c r="R527" s="250" t="str">
        <f>IFERROR(__xludf.DUMMYFUNCTION("""COMPUTED_VALUE"""),"")</f>
        <v/>
      </c>
      <c r="U527" s="250">
        <f>IFERROR(__xludf.DUMMYFUNCTION("""COMPUTED_VALUE"""),3069.0)</f>
        <v>3069</v>
      </c>
      <c r="V527" s="250">
        <f>IFERROR(__xludf.DUMMYFUNCTION("""COMPUTED_VALUE"""),2919.0)</f>
        <v>2919</v>
      </c>
      <c r="W527" s="250">
        <f>IFERROR(__xludf.DUMMYFUNCTION("""COMPUTED_VALUE"""),2629.0)</f>
        <v>2629</v>
      </c>
      <c r="X527" t="b">
        <f t="shared" ref="X527:Z527" si="1030">ISBLANK(K527)</f>
        <v>1</v>
      </c>
      <c r="Y527" t="b">
        <f t="shared" si="1030"/>
        <v>0</v>
      </c>
      <c r="Z527" t="b">
        <f t="shared" si="1030"/>
        <v>0</v>
      </c>
      <c r="AA527">
        <f t="shared" ref="AA527:AC527" si="1031">IF(X527=FALSE,1,0)</f>
        <v>0</v>
      </c>
      <c r="AB527">
        <f t="shared" si="1031"/>
        <v>1</v>
      </c>
      <c r="AC527">
        <f t="shared" si="1031"/>
        <v>1</v>
      </c>
      <c r="AD527">
        <f t="shared" si="6"/>
        <v>2</v>
      </c>
      <c r="AE527">
        <f t="shared" si="7"/>
        <v>1</v>
      </c>
      <c r="AF527">
        <f>if(iferror(vlookup($A527,'Description Database'!$E$2:$H$951,3,0),0)=TRUE,1,0)</f>
        <v>0</v>
      </c>
      <c r="AG527">
        <f>if(iferror(vlookup($A527,'Description Database'!$E$2:$H$951,4,0),0)=TRUE,1,0)</f>
        <v>0</v>
      </c>
    </row>
    <row r="528">
      <c r="A528" t="str">
        <f>IFERROR(__xludf.DUMMYFUNCTION("""COMPUTED_VALUE"""),"Realme 2 Pro (6 GB/64 GB)")</f>
        <v>Realme 2 Pro (6 GB/64 GB)</v>
      </c>
      <c r="B528" t="str">
        <f>IFERROR(__xludf.DUMMYFUNCTION("""COMPUTED_VALUE"""),"")</f>
        <v/>
      </c>
      <c r="C528" t="str">
        <f>IFERROR(__xludf.DUMMYFUNCTION("""COMPUTED_VALUE"""),"")</f>
        <v/>
      </c>
      <c r="D528" t="str">
        <f>IFERROR(__xludf.DUMMYFUNCTION("""COMPUTED_VALUE"""),"")</f>
        <v/>
      </c>
      <c r="E528" t="str">
        <f>IFERROR(__xludf.DUMMYFUNCTION("""COMPUTED_VALUE"""),"")</f>
        <v/>
      </c>
      <c r="F528" t="str">
        <f>IFERROR(__xludf.DUMMYFUNCTION("""COMPUTED_VALUE"""),"")</f>
        <v/>
      </c>
      <c r="G528">
        <f>IFERROR(__xludf.DUMMYFUNCTION("""COMPUTED_VALUE"""),1.0)</f>
        <v>1</v>
      </c>
      <c r="H528" t="str">
        <f>IFERROR(__xludf.DUMMYFUNCTION("""COMPUTED_VALUE"""),"")</f>
        <v/>
      </c>
      <c r="I528" t="str">
        <f>IFERROR(__xludf.DUMMYFUNCTION("""COMPUTED_VALUE"""),"")</f>
        <v/>
      </c>
      <c r="J528">
        <f>IFERROR(__xludf.DUMMYFUNCTION("""COMPUTED_VALUE"""),1.0)</f>
        <v>1</v>
      </c>
      <c r="L528" s="250" t="str">
        <f>IFERROR(__xludf.DUMMYFUNCTION("""COMPUTED_VALUE"""),"")</f>
        <v/>
      </c>
      <c r="M528" s="250" t="str">
        <f>IFERROR(__xludf.DUMMYFUNCTION("""COMPUTED_VALUE"""),"")</f>
        <v/>
      </c>
      <c r="N528" s="250" t="str">
        <f>IFERROR(__xludf.DUMMYFUNCTION("""COMPUTED_VALUE"""),"")</f>
        <v/>
      </c>
      <c r="O528" s="250" t="str">
        <f>IFERROR(__xludf.DUMMYFUNCTION("""COMPUTED_VALUE"""),"")</f>
        <v/>
      </c>
      <c r="P528" s="250" t="str">
        <f>IFERROR(__xludf.DUMMYFUNCTION("""COMPUTED_VALUE"""),"")</f>
        <v/>
      </c>
      <c r="Q528" s="250">
        <f>IFERROR(__xludf.DUMMYFUNCTION("""COMPUTED_VALUE"""),4109.0)</f>
        <v>4109</v>
      </c>
      <c r="R528" s="250" t="str">
        <f>IFERROR(__xludf.DUMMYFUNCTION("""COMPUTED_VALUE"""),"")</f>
        <v/>
      </c>
      <c r="U528" s="250">
        <f>IFERROR(__xludf.DUMMYFUNCTION("""COMPUTED_VALUE"""),8289.0)</f>
        <v>8289</v>
      </c>
      <c r="V528" s="250">
        <f>IFERROR(__xludf.DUMMYFUNCTION("""COMPUTED_VALUE"""),7889.0)</f>
        <v>7889</v>
      </c>
      <c r="W528" s="250">
        <f>IFERROR(__xludf.DUMMYFUNCTION("""COMPUTED_VALUE"""),7209.0)</f>
        <v>7209</v>
      </c>
      <c r="X528" t="b">
        <f t="shared" ref="X528:Z528" si="1032">ISBLANK(K528)</f>
        <v>1</v>
      </c>
      <c r="Y528" t="b">
        <f t="shared" si="1032"/>
        <v>0</v>
      </c>
      <c r="Z528" t="b">
        <f t="shared" si="1032"/>
        <v>0</v>
      </c>
      <c r="AA528">
        <f t="shared" ref="AA528:AC528" si="1033">IF(X528=FALSE,1,0)</f>
        <v>0</v>
      </c>
      <c r="AB528">
        <f t="shared" si="1033"/>
        <v>1</v>
      </c>
      <c r="AC528">
        <f t="shared" si="1033"/>
        <v>1</v>
      </c>
      <c r="AD528">
        <f t="shared" si="6"/>
        <v>2</v>
      </c>
      <c r="AE528">
        <f t="shared" si="7"/>
        <v>1</v>
      </c>
      <c r="AF528">
        <f>if(iferror(vlookup($A528,'Description Database'!$E$2:$H$951,3,0),0)=TRUE,1,0)</f>
        <v>0</v>
      </c>
      <c r="AG528">
        <f>if(iferror(vlookup($A528,'Description Database'!$E$2:$H$951,4,0),0)=TRUE,1,0)</f>
        <v>1</v>
      </c>
    </row>
    <row r="529">
      <c r="A529" t="str">
        <f>IFERROR(__xludf.DUMMYFUNCTION("""COMPUTED_VALUE"""),"Motorola MOTO G5S (3 GB/32 GB)")</f>
        <v>Motorola MOTO G5S (3 GB/32 GB)</v>
      </c>
      <c r="B529" t="str">
        <f>IFERROR(__xludf.DUMMYFUNCTION("""COMPUTED_VALUE"""),"")</f>
        <v/>
      </c>
      <c r="C529" t="str">
        <f>IFERROR(__xludf.DUMMYFUNCTION("""COMPUTED_VALUE"""),"")</f>
        <v/>
      </c>
      <c r="D529" t="str">
        <f>IFERROR(__xludf.DUMMYFUNCTION("""COMPUTED_VALUE"""),"")</f>
        <v/>
      </c>
      <c r="E529" t="str">
        <f>IFERROR(__xludf.DUMMYFUNCTION("""COMPUTED_VALUE"""),"")</f>
        <v/>
      </c>
      <c r="F529" t="str">
        <f>IFERROR(__xludf.DUMMYFUNCTION("""COMPUTED_VALUE"""),"")</f>
        <v/>
      </c>
      <c r="G529" t="str">
        <f>IFERROR(__xludf.DUMMYFUNCTION("""COMPUTED_VALUE"""),"")</f>
        <v/>
      </c>
      <c r="H529" t="str">
        <f>IFERROR(__xludf.DUMMYFUNCTION("""COMPUTED_VALUE"""),"")</f>
        <v/>
      </c>
      <c r="I529">
        <f>IFERROR(__xludf.DUMMYFUNCTION("""COMPUTED_VALUE"""),1.0)</f>
        <v>1</v>
      </c>
      <c r="J529">
        <f>IFERROR(__xludf.DUMMYFUNCTION("""COMPUTED_VALUE"""),1.0)</f>
        <v>1</v>
      </c>
      <c r="L529" s="250" t="str">
        <f>IFERROR(__xludf.DUMMYFUNCTION("""COMPUTED_VALUE"""),"")</f>
        <v/>
      </c>
      <c r="M529" s="250" t="str">
        <f>IFERROR(__xludf.DUMMYFUNCTION("""COMPUTED_VALUE"""),"")</f>
        <v/>
      </c>
      <c r="N529" s="250" t="str">
        <f>IFERROR(__xludf.DUMMYFUNCTION("""COMPUTED_VALUE"""),"")</f>
        <v/>
      </c>
      <c r="O529" s="250" t="str">
        <f>IFERROR(__xludf.DUMMYFUNCTION("""COMPUTED_VALUE"""),"")</f>
        <v/>
      </c>
      <c r="P529" s="250" t="str">
        <f>IFERROR(__xludf.DUMMYFUNCTION("""COMPUTED_VALUE"""),"")</f>
        <v/>
      </c>
      <c r="Q529" s="250" t="str">
        <f>IFERROR(__xludf.DUMMYFUNCTION("""COMPUTED_VALUE"""),"")</f>
        <v/>
      </c>
      <c r="R529" s="250" t="str">
        <f>IFERROR(__xludf.DUMMYFUNCTION("""COMPUTED_VALUE"""),"")</f>
        <v/>
      </c>
      <c r="U529" s="250">
        <f>IFERROR(__xludf.DUMMYFUNCTION("""COMPUTED_VALUE"""),3339.0)</f>
        <v>3339</v>
      </c>
      <c r="V529" s="250">
        <f>IFERROR(__xludf.DUMMYFUNCTION("""COMPUTED_VALUE"""),3169.0)</f>
        <v>3169</v>
      </c>
      <c r="W529" s="250">
        <f>IFERROR(__xludf.DUMMYFUNCTION("""COMPUTED_VALUE"""),2859.0)</f>
        <v>2859</v>
      </c>
      <c r="X529" t="b">
        <f t="shared" ref="X529:Z529" si="1034">ISBLANK(K529)</f>
        <v>1</v>
      </c>
      <c r="Y529" t="b">
        <f t="shared" si="1034"/>
        <v>0</v>
      </c>
      <c r="Z529" t="b">
        <f t="shared" si="1034"/>
        <v>0</v>
      </c>
      <c r="AA529">
        <f t="shared" ref="AA529:AC529" si="1035">IF(X529=FALSE,1,0)</f>
        <v>0</v>
      </c>
      <c r="AB529">
        <f t="shared" si="1035"/>
        <v>1</v>
      </c>
      <c r="AC529">
        <f t="shared" si="1035"/>
        <v>1</v>
      </c>
      <c r="AD529">
        <f t="shared" si="6"/>
        <v>2</v>
      </c>
      <c r="AE529">
        <f t="shared" si="7"/>
        <v>1</v>
      </c>
      <c r="AF529">
        <f>if(iferror(vlookup($A529,'Description Database'!$E$2:$H$951,3,0),0)=TRUE,1,0)</f>
        <v>0</v>
      </c>
      <c r="AG529">
        <f>if(iferror(vlookup($A529,'Description Database'!$E$2:$H$951,4,0),0)=TRUE,1,0)</f>
        <v>0</v>
      </c>
    </row>
    <row r="530">
      <c r="A530" t="str">
        <f>IFERROR(__xludf.DUMMYFUNCTION("""COMPUTED_VALUE"""),"Samsung GALAXY GRAND NEO (1 GB/8 GB)")</f>
        <v>Samsung GALAXY GRAND NEO (1 GB/8 GB)</v>
      </c>
      <c r="B530" t="str">
        <f>IFERROR(__xludf.DUMMYFUNCTION("""COMPUTED_VALUE"""),"")</f>
        <v/>
      </c>
      <c r="C530" t="str">
        <f>IFERROR(__xludf.DUMMYFUNCTION("""COMPUTED_VALUE"""),"")</f>
        <v/>
      </c>
      <c r="D530" t="str">
        <f>IFERROR(__xludf.DUMMYFUNCTION("""COMPUTED_VALUE"""),"")</f>
        <v/>
      </c>
      <c r="E530" t="str">
        <f>IFERROR(__xludf.DUMMYFUNCTION("""COMPUTED_VALUE"""),"")</f>
        <v/>
      </c>
      <c r="F530" t="str">
        <f>IFERROR(__xludf.DUMMYFUNCTION("""COMPUTED_VALUE"""),"")</f>
        <v/>
      </c>
      <c r="G530" t="str">
        <f>IFERROR(__xludf.DUMMYFUNCTION("""COMPUTED_VALUE"""),"")</f>
        <v/>
      </c>
      <c r="H530" t="str">
        <f>IFERROR(__xludf.DUMMYFUNCTION("""COMPUTED_VALUE"""),"")</f>
        <v/>
      </c>
      <c r="I530">
        <f>IFERROR(__xludf.DUMMYFUNCTION("""COMPUTED_VALUE"""),5.0)</f>
        <v>5</v>
      </c>
      <c r="J530">
        <f>IFERROR(__xludf.DUMMYFUNCTION("""COMPUTED_VALUE"""),5.0)</f>
        <v>5</v>
      </c>
      <c r="L530" s="250" t="str">
        <f>IFERROR(__xludf.DUMMYFUNCTION("""COMPUTED_VALUE"""),"")</f>
        <v/>
      </c>
      <c r="M530" s="250" t="str">
        <f>IFERROR(__xludf.DUMMYFUNCTION("""COMPUTED_VALUE"""),"")</f>
        <v/>
      </c>
      <c r="N530" s="250" t="str">
        <f>IFERROR(__xludf.DUMMYFUNCTION("""COMPUTED_VALUE"""),"")</f>
        <v/>
      </c>
      <c r="O530" s="250" t="str">
        <f>IFERROR(__xludf.DUMMYFUNCTION("""COMPUTED_VALUE"""),"")</f>
        <v/>
      </c>
      <c r="P530" s="250" t="str">
        <f>IFERROR(__xludf.DUMMYFUNCTION("""COMPUTED_VALUE"""),"")</f>
        <v/>
      </c>
      <c r="Q530" s="250" t="str">
        <f>IFERROR(__xludf.DUMMYFUNCTION("""COMPUTED_VALUE"""),"")</f>
        <v/>
      </c>
      <c r="R530" s="250" t="str">
        <f>IFERROR(__xludf.DUMMYFUNCTION("""COMPUTED_VALUE"""),"")</f>
        <v/>
      </c>
      <c r="U530" s="250" t="str">
        <f>IFERROR(__xludf.DUMMYFUNCTION("""COMPUTED_VALUE"""),"#N/A")</f>
        <v>#N/A</v>
      </c>
      <c r="V530" s="250" t="str">
        <f>IFERROR(__xludf.DUMMYFUNCTION("""COMPUTED_VALUE"""),"#N/A")</f>
        <v>#N/A</v>
      </c>
      <c r="W530" s="250" t="str">
        <f>IFERROR(__xludf.DUMMYFUNCTION("""COMPUTED_VALUE"""),"#N/A")</f>
        <v>#N/A</v>
      </c>
      <c r="X530" t="b">
        <f t="shared" ref="X530:Z530" si="1036">ISBLANK(K530)</f>
        <v>1</v>
      </c>
      <c r="Y530" t="b">
        <f t="shared" si="1036"/>
        <v>0</v>
      </c>
      <c r="Z530" t="b">
        <f t="shared" si="1036"/>
        <v>0</v>
      </c>
      <c r="AA530">
        <f t="shared" ref="AA530:AC530" si="1037">IF(X530=FALSE,1,0)</f>
        <v>0</v>
      </c>
      <c r="AB530">
        <f t="shared" si="1037"/>
        <v>1</v>
      </c>
      <c r="AC530">
        <f t="shared" si="1037"/>
        <v>1</v>
      </c>
      <c r="AD530">
        <f t="shared" si="6"/>
        <v>2</v>
      </c>
      <c r="AE530">
        <f t="shared" si="7"/>
        <v>1</v>
      </c>
      <c r="AF530">
        <f>if(iferror(vlookup($A530,'Description Database'!$E$2:$H$951,3,0),0)=TRUE,1,0)</f>
        <v>0</v>
      </c>
      <c r="AG530">
        <f>if(iferror(vlookup($A530,'Description Database'!$E$2:$H$951,4,0),0)=TRUE,1,0)</f>
        <v>0</v>
      </c>
    </row>
    <row r="531">
      <c r="A531" t="str">
        <f>IFERROR(__xludf.DUMMYFUNCTION("""COMPUTED_VALUE"""),"Motorola E5+ (4 GB/64 GB)")</f>
        <v>Motorola E5+ (4 GB/64 GB)</v>
      </c>
      <c r="B531" t="str">
        <f>IFERROR(__xludf.DUMMYFUNCTION("""COMPUTED_VALUE"""),"")</f>
        <v/>
      </c>
      <c r="C531" t="str">
        <f>IFERROR(__xludf.DUMMYFUNCTION("""COMPUTED_VALUE"""),"")</f>
        <v/>
      </c>
      <c r="D531" t="str">
        <f>IFERROR(__xludf.DUMMYFUNCTION("""COMPUTED_VALUE"""),"")</f>
        <v/>
      </c>
      <c r="E531" t="str">
        <f>IFERROR(__xludf.DUMMYFUNCTION("""COMPUTED_VALUE"""),"")</f>
        <v/>
      </c>
      <c r="F531" t="str">
        <f>IFERROR(__xludf.DUMMYFUNCTION("""COMPUTED_VALUE"""),"")</f>
        <v/>
      </c>
      <c r="G531" t="str">
        <f>IFERROR(__xludf.DUMMYFUNCTION("""COMPUTED_VALUE"""),"")</f>
        <v/>
      </c>
      <c r="H531" t="str">
        <f>IFERROR(__xludf.DUMMYFUNCTION("""COMPUTED_VALUE"""),"")</f>
        <v/>
      </c>
      <c r="I531" t="str">
        <f>IFERROR(__xludf.DUMMYFUNCTION("""COMPUTED_VALUE"""),"")</f>
        <v/>
      </c>
      <c r="J531">
        <f>IFERROR(__xludf.DUMMYFUNCTION("""COMPUTED_VALUE"""),0.0)</f>
        <v>0</v>
      </c>
      <c r="L531" s="250" t="str">
        <f>IFERROR(__xludf.DUMMYFUNCTION("""COMPUTED_VALUE"""),"")</f>
        <v/>
      </c>
      <c r="M531" s="250" t="str">
        <f>IFERROR(__xludf.DUMMYFUNCTION("""COMPUTED_VALUE"""),"")</f>
        <v/>
      </c>
      <c r="N531" s="250" t="str">
        <f>IFERROR(__xludf.DUMMYFUNCTION("""COMPUTED_VALUE"""),"")</f>
        <v/>
      </c>
      <c r="O531" s="250" t="str">
        <f>IFERROR(__xludf.DUMMYFUNCTION("""COMPUTED_VALUE"""),"")</f>
        <v/>
      </c>
      <c r="P531" s="250" t="str">
        <f>IFERROR(__xludf.DUMMYFUNCTION("""COMPUTED_VALUE"""),"")</f>
        <v/>
      </c>
      <c r="Q531" s="250" t="str">
        <f>IFERROR(__xludf.DUMMYFUNCTION("""COMPUTED_VALUE"""),"")</f>
        <v/>
      </c>
      <c r="R531" s="250" t="str">
        <f>IFERROR(__xludf.DUMMYFUNCTION("""COMPUTED_VALUE"""),"")</f>
        <v/>
      </c>
      <c r="U531" s="250" t="str">
        <f>IFERROR(__xludf.DUMMYFUNCTION("""COMPUTED_VALUE"""),"#N/A")</f>
        <v>#N/A</v>
      </c>
      <c r="V531" s="250" t="str">
        <f>IFERROR(__xludf.DUMMYFUNCTION("""COMPUTED_VALUE"""),"#N/A")</f>
        <v>#N/A</v>
      </c>
      <c r="W531" s="250" t="str">
        <f>IFERROR(__xludf.DUMMYFUNCTION("""COMPUTED_VALUE"""),"#N/A")</f>
        <v>#N/A</v>
      </c>
      <c r="X531" t="b">
        <f t="shared" ref="X531:Z531" si="1038">ISBLANK(K531)</f>
        <v>1</v>
      </c>
      <c r="Y531" t="b">
        <f t="shared" si="1038"/>
        <v>0</v>
      </c>
      <c r="Z531" t="b">
        <f t="shared" si="1038"/>
        <v>0</v>
      </c>
      <c r="AA531">
        <f t="shared" ref="AA531:AC531" si="1039">IF(X531=FALSE,1,0)</f>
        <v>0</v>
      </c>
      <c r="AB531">
        <f t="shared" si="1039"/>
        <v>1</v>
      </c>
      <c r="AC531">
        <f t="shared" si="1039"/>
        <v>1</v>
      </c>
      <c r="AD531">
        <f t="shared" si="6"/>
        <v>2</v>
      </c>
      <c r="AE531">
        <f t="shared" si="7"/>
        <v>1</v>
      </c>
      <c r="AF531">
        <f>if(iferror(vlookup($A531,'Description Database'!$E$2:$H$951,3,0),0)=TRUE,1,0)</f>
        <v>0</v>
      </c>
      <c r="AG531">
        <f>if(iferror(vlookup($A531,'Description Database'!$E$2:$H$951,4,0),0)=TRUE,1,0)</f>
        <v>0</v>
      </c>
    </row>
    <row r="532">
      <c r="A532" t="str">
        <f>IFERROR(__xludf.DUMMYFUNCTION("""COMPUTED_VALUE"""),"Lenovo VIBE K4 NOTE (4 GB/32 GB)")</f>
        <v>Lenovo VIBE K4 NOTE (4 GB/32 GB)</v>
      </c>
      <c r="B532" t="str">
        <f>IFERROR(__xludf.DUMMYFUNCTION("""COMPUTED_VALUE"""),"")</f>
        <v/>
      </c>
      <c r="C532" t="str">
        <f>IFERROR(__xludf.DUMMYFUNCTION("""COMPUTED_VALUE"""),"")</f>
        <v/>
      </c>
      <c r="D532" t="str">
        <f>IFERROR(__xludf.DUMMYFUNCTION("""COMPUTED_VALUE"""),"")</f>
        <v/>
      </c>
      <c r="E532" t="str">
        <f>IFERROR(__xludf.DUMMYFUNCTION("""COMPUTED_VALUE"""),"")</f>
        <v/>
      </c>
      <c r="F532" t="str">
        <f>IFERROR(__xludf.DUMMYFUNCTION("""COMPUTED_VALUE"""),"")</f>
        <v/>
      </c>
      <c r="G532" t="str">
        <f>IFERROR(__xludf.DUMMYFUNCTION("""COMPUTED_VALUE"""),"")</f>
        <v/>
      </c>
      <c r="H532" t="str">
        <f>IFERROR(__xludf.DUMMYFUNCTION("""COMPUTED_VALUE"""),"")</f>
        <v/>
      </c>
      <c r="I532">
        <f>IFERROR(__xludf.DUMMYFUNCTION("""COMPUTED_VALUE"""),1.0)</f>
        <v>1</v>
      </c>
      <c r="J532">
        <f>IFERROR(__xludf.DUMMYFUNCTION("""COMPUTED_VALUE"""),1.0)</f>
        <v>1</v>
      </c>
      <c r="L532" s="250" t="str">
        <f>IFERROR(__xludf.DUMMYFUNCTION("""COMPUTED_VALUE"""),"")</f>
        <v/>
      </c>
      <c r="M532" s="250" t="str">
        <f>IFERROR(__xludf.DUMMYFUNCTION("""COMPUTED_VALUE"""),"")</f>
        <v/>
      </c>
      <c r="N532" s="250" t="str">
        <f>IFERROR(__xludf.DUMMYFUNCTION("""COMPUTED_VALUE"""),"")</f>
        <v/>
      </c>
      <c r="O532" s="250" t="str">
        <f>IFERROR(__xludf.DUMMYFUNCTION("""COMPUTED_VALUE"""),"")</f>
        <v/>
      </c>
      <c r="P532" s="250" t="str">
        <f>IFERROR(__xludf.DUMMYFUNCTION("""COMPUTED_VALUE"""),"")</f>
        <v/>
      </c>
      <c r="Q532" s="250" t="str">
        <f>IFERROR(__xludf.DUMMYFUNCTION("""COMPUTED_VALUE"""),"")</f>
        <v/>
      </c>
      <c r="R532" s="250" t="str">
        <f>IFERROR(__xludf.DUMMYFUNCTION("""COMPUTED_VALUE"""),"")</f>
        <v/>
      </c>
      <c r="U532" s="250" t="str">
        <f>IFERROR(__xludf.DUMMYFUNCTION("""COMPUTED_VALUE"""),"#N/A")</f>
        <v>#N/A</v>
      </c>
      <c r="V532" s="250" t="str">
        <f>IFERROR(__xludf.DUMMYFUNCTION("""COMPUTED_VALUE"""),"#N/A")</f>
        <v>#N/A</v>
      </c>
      <c r="W532" s="250" t="str">
        <f>IFERROR(__xludf.DUMMYFUNCTION("""COMPUTED_VALUE"""),"#N/A")</f>
        <v>#N/A</v>
      </c>
      <c r="X532" t="b">
        <f t="shared" ref="X532:Z532" si="1040">ISBLANK(K532)</f>
        <v>1</v>
      </c>
      <c r="Y532" t="b">
        <f t="shared" si="1040"/>
        <v>0</v>
      </c>
      <c r="Z532" t="b">
        <f t="shared" si="1040"/>
        <v>0</v>
      </c>
      <c r="AA532">
        <f t="shared" ref="AA532:AC532" si="1041">IF(X532=FALSE,1,0)</f>
        <v>0</v>
      </c>
      <c r="AB532">
        <f t="shared" si="1041"/>
        <v>1</v>
      </c>
      <c r="AC532">
        <f t="shared" si="1041"/>
        <v>1</v>
      </c>
      <c r="AD532">
        <f t="shared" si="6"/>
        <v>2</v>
      </c>
      <c r="AE532">
        <f t="shared" si="7"/>
        <v>1</v>
      </c>
      <c r="AF532">
        <f>if(iferror(vlookup($A532,'Description Database'!$E$2:$H$951,3,0),0)=TRUE,1,0)</f>
        <v>0</v>
      </c>
      <c r="AG532">
        <f>if(iferror(vlookup($A532,'Description Database'!$E$2:$H$951,4,0),0)=TRUE,1,0)</f>
        <v>0</v>
      </c>
    </row>
    <row r="533">
      <c r="A533" t="str">
        <f>IFERROR(__xludf.DUMMYFUNCTION("""COMPUTED_VALUE"""),"Motorola MOTO G5S+ (4 GB/32 GB)")</f>
        <v>Motorola MOTO G5S+ (4 GB/32 GB)</v>
      </c>
      <c r="B533" t="str">
        <f>IFERROR(__xludf.DUMMYFUNCTION("""COMPUTED_VALUE"""),"")</f>
        <v/>
      </c>
      <c r="C533" t="str">
        <f>IFERROR(__xludf.DUMMYFUNCTION("""COMPUTED_VALUE"""),"")</f>
        <v/>
      </c>
      <c r="D533" t="str">
        <f>IFERROR(__xludf.DUMMYFUNCTION("""COMPUTED_VALUE"""),"")</f>
        <v/>
      </c>
      <c r="E533" t="str">
        <f>IFERROR(__xludf.DUMMYFUNCTION("""COMPUTED_VALUE"""),"")</f>
        <v/>
      </c>
      <c r="F533" t="str">
        <f>IFERROR(__xludf.DUMMYFUNCTION("""COMPUTED_VALUE"""),"")</f>
        <v/>
      </c>
      <c r="G533" t="str">
        <f>IFERROR(__xludf.DUMMYFUNCTION("""COMPUTED_VALUE"""),"")</f>
        <v/>
      </c>
      <c r="H533" t="str">
        <f>IFERROR(__xludf.DUMMYFUNCTION("""COMPUTED_VALUE"""),"")</f>
        <v/>
      </c>
      <c r="I533">
        <f>IFERROR(__xludf.DUMMYFUNCTION("""COMPUTED_VALUE"""),1.0)</f>
        <v>1</v>
      </c>
      <c r="J533">
        <f>IFERROR(__xludf.DUMMYFUNCTION("""COMPUTED_VALUE"""),1.0)</f>
        <v>1</v>
      </c>
      <c r="L533" s="250" t="str">
        <f>IFERROR(__xludf.DUMMYFUNCTION("""COMPUTED_VALUE"""),"")</f>
        <v/>
      </c>
      <c r="M533" s="250" t="str">
        <f>IFERROR(__xludf.DUMMYFUNCTION("""COMPUTED_VALUE"""),"")</f>
        <v/>
      </c>
      <c r="N533" s="250" t="str">
        <f>IFERROR(__xludf.DUMMYFUNCTION("""COMPUTED_VALUE"""),"")</f>
        <v/>
      </c>
      <c r="O533" s="250" t="str">
        <f>IFERROR(__xludf.DUMMYFUNCTION("""COMPUTED_VALUE"""),"")</f>
        <v/>
      </c>
      <c r="P533" s="250" t="str">
        <f>IFERROR(__xludf.DUMMYFUNCTION("""COMPUTED_VALUE"""),"")</f>
        <v/>
      </c>
      <c r="Q533" s="250" t="str">
        <f>IFERROR(__xludf.DUMMYFUNCTION("""COMPUTED_VALUE"""),"")</f>
        <v/>
      </c>
      <c r="R533" s="250" t="str">
        <f>IFERROR(__xludf.DUMMYFUNCTION("""COMPUTED_VALUE"""),"")</f>
        <v/>
      </c>
      <c r="U533" s="250" t="str">
        <f>IFERROR(__xludf.DUMMYFUNCTION("""COMPUTED_VALUE"""),"#N/A")</f>
        <v>#N/A</v>
      </c>
      <c r="V533" s="250" t="str">
        <f>IFERROR(__xludf.DUMMYFUNCTION("""COMPUTED_VALUE"""),"#N/A")</f>
        <v>#N/A</v>
      </c>
      <c r="W533" s="250" t="str">
        <f>IFERROR(__xludf.DUMMYFUNCTION("""COMPUTED_VALUE"""),"#N/A")</f>
        <v>#N/A</v>
      </c>
      <c r="X533" t="b">
        <f t="shared" ref="X533:Z533" si="1042">ISBLANK(K533)</f>
        <v>1</v>
      </c>
      <c r="Y533" t="b">
        <f t="shared" si="1042"/>
        <v>0</v>
      </c>
      <c r="Z533" t="b">
        <f t="shared" si="1042"/>
        <v>0</v>
      </c>
      <c r="AA533">
        <f t="shared" ref="AA533:AC533" si="1043">IF(X533=FALSE,1,0)</f>
        <v>0</v>
      </c>
      <c r="AB533">
        <f t="shared" si="1043"/>
        <v>1</v>
      </c>
      <c r="AC533">
        <f t="shared" si="1043"/>
        <v>1</v>
      </c>
      <c r="AD533">
        <f t="shared" si="6"/>
        <v>2</v>
      </c>
      <c r="AE533">
        <f t="shared" si="7"/>
        <v>1</v>
      </c>
      <c r="AF533">
        <f>if(iferror(vlookup($A533,'Description Database'!$E$2:$H$951,3,0),0)=TRUE,1,0)</f>
        <v>0</v>
      </c>
      <c r="AG533">
        <f>if(iferror(vlookup($A533,'Description Database'!$E$2:$H$951,4,0),0)=TRUE,1,0)</f>
        <v>0</v>
      </c>
    </row>
    <row r="534">
      <c r="A534" t="str">
        <f>IFERROR(__xludf.DUMMYFUNCTION("""COMPUTED_VALUE"""),"ONEPLUS ONE (3 GB/32 GB)")</f>
        <v>ONEPLUS ONE (3 GB/32 GB)</v>
      </c>
      <c r="B534" t="str">
        <f>IFERROR(__xludf.DUMMYFUNCTION("""COMPUTED_VALUE"""),"")</f>
        <v/>
      </c>
      <c r="C534" t="str">
        <f>IFERROR(__xludf.DUMMYFUNCTION("""COMPUTED_VALUE"""),"")</f>
        <v/>
      </c>
      <c r="D534" t="str">
        <f>IFERROR(__xludf.DUMMYFUNCTION("""COMPUTED_VALUE"""),"")</f>
        <v/>
      </c>
      <c r="E534" t="str">
        <f>IFERROR(__xludf.DUMMYFUNCTION("""COMPUTED_VALUE"""),"")</f>
        <v/>
      </c>
      <c r="F534" t="str">
        <f>IFERROR(__xludf.DUMMYFUNCTION("""COMPUTED_VALUE"""),"")</f>
        <v/>
      </c>
      <c r="G534" t="str">
        <f>IFERROR(__xludf.DUMMYFUNCTION("""COMPUTED_VALUE"""),"")</f>
        <v/>
      </c>
      <c r="H534" t="str">
        <f>IFERROR(__xludf.DUMMYFUNCTION("""COMPUTED_VALUE"""),"")</f>
        <v/>
      </c>
      <c r="I534" t="str">
        <f>IFERROR(__xludf.DUMMYFUNCTION("""COMPUTED_VALUE"""),"")</f>
        <v/>
      </c>
      <c r="J534">
        <f>IFERROR(__xludf.DUMMYFUNCTION("""COMPUTED_VALUE"""),0.0)</f>
        <v>0</v>
      </c>
      <c r="L534" s="250" t="str">
        <f>IFERROR(__xludf.DUMMYFUNCTION("""COMPUTED_VALUE"""),"")</f>
        <v/>
      </c>
      <c r="M534" s="250" t="str">
        <f>IFERROR(__xludf.DUMMYFUNCTION("""COMPUTED_VALUE"""),"")</f>
        <v/>
      </c>
      <c r="N534" s="250" t="str">
        <f>IFERROR(__xludf.DUMMYFUNCTION("""COMPUTED_VALUE"""),"")</f>
        <v/>
      </c>
      <c r="O534" s="250" t="str">
        <f>IFERROR(__xludf.DUMMYFUNCTION("""COMPUTED_VALUE"""),"")</f>
        <v/>
      </c>
      <c r="P534" s="250" t="str">
        <f>IFERROR(__xludf.DUMMYFUNCTION("""COMPUTED_VALUE"""),"")</f>
        <v/>
      </c>
      <c r="Q534" s="250" t="str">
        <f>IFERROR(__xludf.DUMMYFUNCTION("""COMPUTED_VALUE"""),"")</f>
        <v/>
      </c>
      <c r="R534" s="250" t="str">
        <f>IFERROR(__xludf.DUMMYFUNCTION("""COMPUTED_VALUE"""),"")</f>
        <v/>
      </c>
      <c r="U534" s="250" t="str">
        <f>IFERROR(__xludf.DUMMYFUNCTION("""COMPUTED_VALUE"""),"#N/A")</f>
        <v>#N/A</v>
      </c>
      <c r="V534" s="250" t="str">
        <f>IFERROR(__xludf.DUMMYFUNCTION("""COMPUTED_VALUE"""),"#N/A")</f>
        <v>#N/A</v>
      </c>
      <c r="W534" s="250" t="str">
        <f>IFERROR(__xludf.DUMMYFUNCTION("""COMPUTED_VALUE"""),"#N/A")</f>
        <v>#N/A</v>
      </c>
      <c r="X534" t="b">
        <f t="shared" ref="X534:Z534" si="1044">ISBLANK(K534)</f>
        <v>1</v>
      </c>
      <c r="Y534" t="b">
        <f t="shared" si="1044"/>
        <v>0</v>
      </c>
      <c r="Z534" t="b">
        <f t="shared" si="1044"/>
        <v>0</v>
      </c>
      <c r="AA534">
        <f t="shared" ref="AA534:AC534" si="1045">IF(X534=FALSE,1,0)</f>
        <v>0</v>
      </c>
      <c r="AB534">
        <f t="shared" si="1045"/>
        <v>1</v>
      </c>
      <c r="AC534">
        <f t="shared" si="1045"/>
        <v>1</v>
      </c>
      <c r="AD534">
        <f t="shared" si="6"/>
        <v>2</v>
      </c>
      <c r="AE534">
        <f t="shared" si="7"/>
        <v>1</v>
      </c>
      <c r="AF534">
        <f>if(iferror(vlookup($A534,'Description Database'!$E$2:$H$951,3,0),0)=TRUE,1,0)</f>
        <v>0</v>
      </c>
      <c r="AG534">
        <f>if(iferror(vlookup($A534,'Description Database'!$E$2:$H$951,4,0),0)=TRUE,1,0)</f>
        <v>0</v>
      </c>
    </row>
    <row r="535">
      <c r="A535" t="str">
        <f>IFERROR(__xludf.DUMMYFUNCTION("""COMPUTED_VALUE"""),"Motorola MOTO E3 POWER (3 GB/32 GB)")</f>
        <v>Motorola MOTO E3 POWER (3 GB/32 GB)</v>
      </c>
      <c r="B535" t="str">
        <f>IFERROR(__xludf.DUMMYFUNCTION("""COMPUTED_VALUE"""),"")</f>
        <v/>
      </c>
      <c r="C535" t="str">
        <f>IFERROR(__xludf.DUMMYFUNCTION("""COMPUTED_VALUE"""),"")</f>
        <v/>
      </c>
      <c r="D535" t="str">
        <f>IFERROR(__xludf.DUMMYFUNCTION("""COMPUTED_VALUE"""),"")</f>
        <v/>
      </c>
      <c r="E535" t="str">
        <f>IFERROR(__xludf.DUMMYFUNCTION("""COMPUTED_VALUE"""),"")</f>
        <v/>
      </c>
      <c r="F535" t="str">
        <f>IFERROR(__xludf.DUMMYFUNCTION("""COMPUTED_VALUE"""),"")</f>
        <v/>
      </c>
      <c r="G535" t="str">
        <f>IFERROR(__xludf.DUMMYFUNCTION("""COMPUTED_VALUE"""),"")</f>
        <v/>
      </c>
      <c r="H535" t="str">
        <f>IFERROR(__xludf.DUMMYFUNCTION("""COMPUTED_VALUE"""),"")</f>
        <v/>
      </c>
      <c r="I535">
        <f>IFERROR(__xludf.DUMMYFUNCTION("""COMPUTED_VALUE"""),2.0)</f>
        <v>2</v>
      </c>
      <c r="J535">
        <f>IFERROR(__xludf.DUMMYFUNCTION("""COMPUTED_VALUE"""),2.0)</f>
        <v>2</v>
      </c>
      <c r="L535" s="250" t="str">
        <f>IFERROR(__xludf.DUMMYFUNCTION("""COMPUTED_VALUE"""),"")</f>
        <v/>
      </c>
      <c r="M535" s="250" t="str">
        <f>IFERROR(__xludf.DUMMYFUNCTION("""COMPUTED_VALUE"""),"")</f>
        <v/>
      </c>
      <c r="N535" s="250" t="str">
        <f>IFERROR(__xludf.DUMMYFUNCTION("""COMPUTED_VALUE"""),"")</f>
        <v/>
      </c>
      <c r="O535" s="250" t="str">
        <f>IFERROR(__xludf.DUMMYFUNCTION("""COMPUTED_VALUE"""),"")</f>
        <v/>
      </c>
      <c r="P535" s="250" t="str">
        <f>IFERROR(__xludf.DUMMYFUNCTION("""COMPUTED_VALUE"""),"")</f>
        <v/>
      </c>
      <c r="Q535" s="250" t="str">
        <f>IFERROR(__xludf.DUMMYFUNCTION("""COMPUTED_VALUE"""),"")</f>
        <v/>
      </c>
      <c r="R535" s="250" t="str">
        <f>IFERROR(__xludf.DUMMYFUNCTION("""COMPUTED_VALUE"""),"")</f>
        <v/>
      </c>
      <c r="U535" s="250" t="str">
        <f>IFERROR(__xludf.DUMMYFUNCTION("""COMPUTED_VALUE"""),"#N/A")</f>
        <v>#N/A</v>
      </c>
      <c r="V535" s="250" t="str">
        <f>IFERROR(__xludf.DUMMYFUNCTION("""COMPUTED_VALUE"""),"#N/A")</f>
        <v>#N/A</v>
      </c>
      <c r="W535" s="250" t="str">
        <f>IFERROR(__xludf.DUMMYFUNCTION("""COMPUTED_VALUE"""),"#N/A")</f>
        <v>#N/A</v>
      </c>
      <c r="X535" t="b">
        <f t="shared" ref="X535:Z535" si="1046">ISBLANK(K535)</f>
        <v>1</v>
      </c>
      <c r="Y535" t="b">
        <f t="shared" si="1046"/>
        <v>0</v>
      </c>
      <c r="Z535" t="b">
        <f t="shared" si="1046"/>
        <v>0</v>
      </c>
      <c r="AA535">
        <f t="shared" ref="AA535:AC535" si="1047">IF(X535=FALSE,1,0)</f>
        <v>0</v>
      </c>
      <c r="AB535">
        <f t="shared" si="1047"/>
        <v>1</v>
      </c>
      <c r="AC535">
        <f t="shared" si="1047"/>
        <v>1</v>
      </c>
      <c r="AD535">
        <f t="shared" si="6"/>
        <v>2</v>
      </c>
      <c r="AE535">
        <f t="shared" si="7"/>
        <v>1</v>
      </c>
      <c r="AF535">
        <f>if(iferror(vlookup($A535,'Description Database'!$E$2:$H$951,3,0),0)=TRUE,1,0)</f>
        <v>0</v>
      </c>
      <c r="AG535">
        <f>if(iferror(vlookup($A535,'Description Database'!$E$2:$H$951,4,0),0)=TRUE,1,0)</f>
        <v>0</v>
      </c>
    </row>
    <row r="536">
      <c r="A536" t="str">
        <f>IFERROR(__xludf.DUMMYFUNCTION("""COMPUTED_VALUE"""),"Samsung GALAXY J7 2018 (2 GB/16 GB)")</f>
        <v>Samsung GALAXY J7 2018 (2 GB/16 GB)</v>
      </c>
      <c r="B536" t="str">
        <f>IFERROR(__xludf.DUMMYFUNCTION("""COMPUTED_VALUE"""),"")</f>
        <v/>
      </c>
      <c r="C536" t="str">
        <f>IFERROR(__xludf.DUMMYFUNCTION("""COMPUTED_VALUE"""),"")</f>
        <v/>
      </c>
      <c r="D536" t="str">
        <f>IFERROR(__xludf.DUMMYFUNCTION("""COMPUTED_VALUE"""),"")</f>
        <v/>
      </c>
      <c r="E536" t="str">
        <f>IFERROR(__xludf.DUMMYFUNCTION("""COMPUTED_VALUE"""),"")</f>
        <v/>
      </c>
      <c r="F536" t="str">
        <f>IFERROR(__xludf.DUMMYFUNCTION("""COMPUTED_VALUE"""),"")</f>
        <v/>
      </c>
      <c r="G536" t="str">
        <f>IFERROR(__xludf.DUMMYFUNCTION("""COMPUTED_VALUE"""),"")</f>
        <v/>
      </c>
      <c r="H536" t="str">
        <f>IFERROR(__xludf.DUMMYFUNCTION("""COMPUTED_VALUE"""),"")</f>
        <v/>
      </c>
      <c r="I536" t="str">
        <f>IFERROR(__xludf.DUMMYFUNCTION("""COMPUTED_VALUE"""),"")</f>
        <v/>
      </c>
      <c r="J536">
        <f>IFERROR(__xludf.DUMMYFUNCTION("""COMPUTED_VALUE"""),0.0)</f>
        <v>0</v>
      </c>
      <c r="L536" s="250" t="str">
        <f>IFERROR(__xludf.DUMMYFUNCTION("""COMPUTED_VALUE"""),"")</f>
        <v/>
      </c>
      <c r="M536" s="250" t="str">
        <f>IFERROR(__xludf.DUMMYFUNCTION("""COMPUTED_VALUE"""),"")</f>
        <v/>
      </c>
      <c r="N536" s="250" t="str">
        <f>IFERROR(__xludf.DUMMYFUNCTION("""COMPUTED_VALUE"""),"")</f>
        <v/>
      </c>
      <c r="O536" s="250" t="str">
        <f>IFERROR(__xludf.DUMMYFUNCTION("""COMPUTED_VALUE"""),"")</f>
        <v/>
      </c>
      <c r="P536" s="250" t="str">
        <f>IFERROR(__xludf.DUMMYFUNCTION("""COMPUTED_VALUE"""),"")</f>
        <v/>
      </c>
      <c r="Q536" s="250" t="str">
        <f>IFERROR(__xludf.DUMMYFUNCTION("""COMPUTED_VALUE"""),"")</f>
        <v/>
      </c>
      <c r="R536" s="250" t="str">
        <f>IFERROR(__xludf.DUMMYFUNCTION("""COMPUTED_VALUE"""),"")</f>
        <v/>
      </c>
      <c r="U536" s="250" t="str">
        <f>IFERROR(__xludf.DUMMYFUNCTION("""COMPUTED_VALUE"""),"#N/A")</f>
        <v>#N/A</v>
      </c>
      <c r="V536" s="250" t="str">
        <f>IFERROR(__xludf.DUMMYFUNCTION("""COMPUTED_VALUE"""),"#N/A")</f>
        <v>#N/A</v>
      </c>
      <c r="W536" s="250" t="str">
        <f>IFERROR(__xludf.DUMMYFUNCTION("""COMPUTED_VALUE"""),"#N/A")</f>
        <v>#N/A</v>
      </c>
      <c r="X536" t="b">
        <f t="shared" ref="X536:Z536" si="1048">ISBLANK(K536)</f>
        <v>1</v>
      </c>
      <c r="Y536" t="b">
        <f t="shared" si="1048"/>
        <v>0</v>
      </c>
      <c r="Z536" t="b">
        <f t="shared" si="1048"/>
        <v>0</v>
      </c>
      <c r="AA536">
        <f t="shared" ref="AA536:AC536" si="1049">IF(X536=FALSE,1,0)</f>
        <v>0</v>
      </c>
      <c r="AB536">
        <f t="shared" si="1049"/>
        <v>1</v>
      </c>
      <c r="AC536">
        <f t="shared" si="1049"/>
        <v>1</v>
      </c>
      <c r="AD536">
        <f t="shared" si="6"/>
        <v>2</v>
      </c>
      <c r="AE536">
        <f t="shared" si="7"/>
        <v>1</v>
      </c>
      <c r="AF536">
        <f>if(iferror(vlookup($A536,'Description Database'!$E$2:$H$951,3,0),0)=TRUE,1,0)</f>
        <v>0</v>
      </c>
      <c r="AG536">
        <f>if(iferror(vlookup($A536,'Description Database'!$E$2:$H$951,4,0),0)=TRUE,1,0)</f>
        <v>0</v>
      </c>
    </row>
    <row r="537">
      <c r="A537" t="str">
        <f>IFERROR(__xludf.DUMMYFUNCTION("""COMPUTED_VALUE"""),"Xiaomi REDMI Y1 LITE (3 GB/32 GB)")</f>
        <v>Xiaomi REDMI Y1 LITE (3 GB/32 GB)</v>
      </c>
      <c r="B537" t="str">
        <f>IFERROR(__xludf.DUMMYFUNCTION("""COMPUTED_VALUE"""),"")</f>
        <v/>
      </c>
      <c r="C537" t="str">
        <f>IFERROR(__xludf.DUMMYFUNCTION("""COMPUTED_VALUE"""),"")</f>
        <v/>
      </c>
      <c r="D537" t="str">
        <f>IFERROR(__xludf.DUMMYFUNCTION("""COMPUTED_VALUE"""),"")</f>
        <v/>
      </c>
      <c r="E537" t="str">
        <f>IFERROR(__xludf.DUMMYFUNCTION("""COMPUTED_VALUE"""),"")</f>
        <v/>
      </c>
      <c r="F537" t="str">
        <f>IFERROR(__xludf.DUMMYFUNCTION("""COMPUTED_VALUE"""),"")</f>
        <v/>
      </c>
      <c r="G537" t="str">
        <f>IFERROR(__xludf.DUMMYFUNCTION("""COMPUTED_VALUE"""),"")</f>
        <v/>
      </c>
      <c r="H537" t="str">
        <f>IFERROR(__xludf.DUMMYFUNCTION("""COMPUTED_VALUE"""),"")</f>
        <v/>
      </c>
      <c r="I537" t="str">
        <f>IFERROR(__xludf.DUMMYFUNCTION("""COMPUTED_VALUE"""),"")</f>
        <v/>
      </c>
      <c r="J537">
        <f>IFERROR(__xludf.DUMMYFUNCTION("""COMPUTED_VALUE"""),0.0)</f>
        <v>0</v>
      </c>
      <c r="L537" s="250" t="str">
        <f>IFERROR(__xludf.DUMMYFUNCTION("""COMPUTED_VALUE"""),"")</f>
        <v/>
      </c>
      <c r="M537" s="250" t="str">
        <f>IFERROR(__xludf.DUMMYFUNCTION("""COMPUTED_VALUE"""),"")</f>
        <v/>
      </c>
      <c r="N537" s="250" t="str">
        <f>IFERROR(__xludf.DUMMYFUNCTION("""COMPUTED_VALUE"""),"")</f>
        <v/>
      </c>
      <c r="O537" s="250" t="str">
        <f>IFERROR(__xludf.DUMMYFUNCTION("""COMPUTED_VALUE"""),"")</f>
        <v/>
      </c>
      <c r="P537" s="250" t="str">
        <f>IFERROR(__xludf.DUMMYFUNCTION("""COMPUTED_VALUE"""),"")</f>
        <v/>
      </c>
      <c r="Q537" s="250" t="str">
        <f>IFERROR(__xludf.DUMMYFUNCTION("""COMPUTED_VALUE"""),"")</f>
        <v/>
      </c>
      <c r="R537" s="250" t="str">
        <f>IFERROR(__xludf.DUMMYFUNCTION("""COMPUTED_VALUE"""),"")</f>
        <v/>
      </c>
      <c r="U537" s="250" t="str">
        <f>IFERROR(__xludf.DUMMYFUNCTION("""COMPUTED_VALUE"""),"#N/A")</f>
        <v>#N/A</v>
      </c>
      <c r="V537" s="250" t="str">
        <f>IFERROR(__xludf.DUMMYFUNCTION("""COMPUTED_VALUE"""),"#N/A")</f>
        <v>#N/A</v>
      </c>
      <c r="W537" s="250" t="str">
        <f>IFERROR(__xludf.DUMMYFUNCTION("""COMPUTED_VALUE"""),"#N/A")</f>
        <v>#N/A</v>
      </c>
      <c r="X537" t="b">
        <f t="shared" ref="X537:Z537" si="1050">ISBLANK(K537)</f>
        <v>1</v>
      </c>
      <c r="Y537" t="b">
        <f t="shared" si="1050"/>
        <v>0</v>
      </c>
      <c r="Z537" t="b">
        <f t="shared" si="1050"/>
        <v>0</v>
      </c>
      <c r="AA537">
        <f t="shared" ref="AA537:AC537" si="1051">IF(X537=FALSE,1,0)</f>
        <v>0</v>
      </c>
      <c r="AB537">
        <f t="shared" si="1051"/>
        <v>1</v>
      </c>
      <c r="AC537">
        <f t="shared" si="1051"/>
        <v>1</v>
      </c>
      <c r="AD537">
        <f t="shared" si="6"/>
        <v>2</v>
      </c>
      <c r="AE537">
        <f t="shared" si="7"/>
        <v>1</v>
      </c>
      <c r="AF537">
        <f>if(iferror(vlookup($A537,'Description Database'!$E$2:$H$951,3,0),0)=TRUE,1,0)</f>
        <v>0</v>
      </c>
      <c r="AG537">
        <f>if(iferror(vlookup($A537,'Description Database'!$E$2:$H$951,4,0),0)=TRUE,1,0)</f>
        <v>0</v>
      </c>
    </row>
    <row r="538">
      <c r="A538" t="str">
        <f>IFERROR(__xludf.DUMMYFUNCTION("""COMPUTED_VALUE"""),"Samsung GALAXY J2 2018 (2 GB/16 GB)")</f>
        <v>Samsung GALAXY J2 2018 (2 GB/16 GB)</v>
      </c>
      <c r="B538" t="str">
        <f>IFERROR(__xludf.DUMMYFUNCTION("""COMPUTED_VALUE"""),"")</f>
        <v/>
      </c>
      <c r="C538" t="str">
        <f>IFERROR(__xludf.DUMMYFUNCTION("""COMPUTED_VALUE"""),"")</f>
        <v/>
      </c>
      <c r="D538" t="str">
        <f>IFERROR(__xludf.DUMMYFUNCTION("""COMPUTED_VALUE"""),"")</f>
        <v/>
      </c>
      <c r="E538" t="str">
        <f>IFERROR(__xludf.DUMMYFUNCTION("""COMPUTED_VALUE"""),"")</f>
        <v/>
      </c>
      <c r="F538" t="str">
        <f>IFERROR(__xludf.DUMMYFUNCTION("""COMPUTED_VALUE"""),"")</f>
        <v/>
      </c>
      <c r="G538">
        <f>IFERROR(__xludf.DUMMYFUNCTION("""COMPUTED_VALUE"""),2.0)</f>
        <v>2</v>
      </c>
      <c r="H538" t="str">
        <f>IFERROR(__xludf.DUMMYFUNCTION("""COMPUTED_VALUE"""),"")</f>
        <v/>
      </c>
      <c r="I538">
        <f>IFERROR(__xludf.DUMMYFUNCTION("""COMPUTED_VALUE"""),5.0)</f>
        <v>5</v>
      </c>
      <c r="J538">
        <f>IFERROR(__xludf.DUMMYFUNCTION("""COMPUTED_VALUE"""),7.0)</f>
        <v>7</v>
      </c>
      <c r="L538" s="250" t="str">
        <f>IFERROR(__xludf.DUMMYFUNCTION("""COMPUTED_VALUE"""),"")</f>
        <v/>
      </c>
      <c r="M538" s="250" t="str">
        <f>IFERROR(__xludf.DUMMYFUNCTION("""COMPUTED_VALUE"""),"")</f>
        <v/>
      </c>
      <c r="N538" s="250" t="str">
        <f>IFERROR(__xludf.DUMMYFUNCTION("""COMPUTED_VALUE"""),"")</f>
        <v/>
      </c>
      <c r="O538" s="250" t="str">
        <f>IFERROR(__xludf.DUMMYFUNCTION("""COMPUTED_VALUE"""),"")</f>
        <v/>
      </c>
      <c r="P538" s="250" t="str">
        <f>IFERROR(__xludf.DUMMYFUNCTION("""COMPUTED_VALUE"""),"")</f>
        <v/>
      </c>
      <c r="Q538" s="250">
        <f>IFERROR(__xludf.DUMMYFUNCTION("""COMPUTED_VALUE"""),1489.0)</f>
        <v>1489</v>
      </c>
      <c r="R538" s="250" t="str">
        <f>IFERROR(__xludf.DUMMYFUNCTION("""COMPUTED_VALUE"""),"")</f>
        <v/>
      </c>
      <c r="U538" s="250">
        <f>IFERROR(__xludf.DUMMYFUNCTION("""COMPUTED_VALUE"""),3369.0)</f>
        <v>3369</v>
      </c>
      <c r="V538" s="250">
        <f>IFERROR(__xludf.DUMMYFUNCTION("""COMPUTED_VALUE"""),3199.0)</f>
        <v>3199</v>
      </c>
      <c r="W538" s="250">
        <f>IFERROR(__xludf.DUMMYFUNCTION("""COMPUTED_VALUE"""),2889.0)</f>
        <v>2889</v>
      </c>
      <c r="X538" t="b">
        <f t="shared" ref="X538:Z538" si="1052">ISBLANK(K538)</f>
        <v>1</v>
      </c>
      <c r="Y538" t="b">
        <f t="shared" si="1052"/>
        <v>0</v>
      </c>
      <c r="Z538" t="b">
        <f t="shared" si="1052"/>
        <v>0</v>
      </c>
      <c r="AA538">
        <f t="shared" ref="AA538:AC538" si="1053">IF(X538=FALSE,1,0)</f>
        <v>0</v>
      </c>
      <c r="AB538">
        <f t="shared" si="1053"/>
        <v>1</v>
      </c>
      <c r="AC538">
        <f t="shared" si="1053"/>
        <v>1</v>
      </c>
      <c r="AD538">
        <f t="shared" si="6"/>
        <v>2</v>
      </c>
      <c r="AE538">
        <f t="shared" si="7"/>
        <v>1</v>
      </c>
      <c r="AF538">
        <f>if(iferror(vlookup($A538,'Description Database'!$E$2:$H$951,3,0),0)=TRUE,1,0)</f>
        <v>0</v>
      </c>
      <c r="AG538">
        <f>if(iferror(vlookup($A538,'Description Database'!$E$2:$H$951,4,0),0)=TRUE,1,0)</f>
        <v>0</v>
      </c>
    </row>
    <row r="539">
      <c r="A539" t="str">
        <f>IFERROR(__xludf.DUMMYFUNCTION("""COMPUTED_VALUE"""),"Samsung GALAXY J3 PRO (3 GB/32 GB)")</f>
        <v>Samsung GALAXY J3 PRO (3 GB/32 GB)</v>
      </c>
      <c r="B539" t="str">
        <f>IFERROR(__xludf.DUMMYFUNCTION("""COMPUTED_VALUE"""),"")</f>
        <v/>
      </c>
      <c r="C539" t="str">
        <f>IFERROR(__xludf.DUMMYFUNCTION("""COMPUTED_VALUE"""),"")</f>
        <v/>
      </c>
      <c r="D539" t="str">
        <f>IFERROR(__xludf.DUMMYFUNCTION("""COMPUTED_VALUE"""),"")</f>
        <v/>
      </c>
      <c r="E539" t="str">
        <f>IFERROR(__xludf.DUMMYFUNCTION("""COMPUTED_VALUE"""),"")</f>
        <v/>
      </c>
      <c r="F539" t="str">
        <f>IFERROR(__xludf.DUMMYFUNCTION("""COMPUTED_VALUE"""),"")</f>
        <v/>
      </c>
      <c r="G539" t="str">
        <f>IFERROR(__xludf.DUMMYFUNCTION("""COMPUTED_VALUE"""),"")</f>
        <v/>
      </c>
      <c r="H539" t="str">
        <f>IFERROR(__xludf.DUMMYFUNCTION("""COMPUTED_VALUE"""),"")</f>
        <v/>
      </c>
      <c r="I539" t="str">
        <f>IFERROR(__xludf.DUMMYFUNCTION("""COMPUTED_VALUE"""),"")</f>
        <v/>
      </c>
      <c r="J539">
        <f>IFERROR(__xludf.DUMMYFUNCTION("""COMPUTED_VALUE"""),0.0)</f>
        <v>0</v>
      </c>
      <c r="L539" s="250" t="str">
        <f>IFERROR(__xludf.DUMMYFUNCTION("""COMPUTED_VALUE"""),"")</f>
        <v/>
      </c>
      <c r="M539" s="250" t="str">
        <f>IFERROR(__xludf.DUMMYFUNCTION("""COMPUTED_VALUE"""),"")</f>
        <v/>
      </c>
      <c r="N539" s="250" t="str">
        <f>IFERROR(__xludf.DUMMYFUNCTION("""COMPUTED_VALUE"""),"")</f>
        <v/>
      </c>
      <c r="O539" s="250" t="str">
        <f>IFERROR(__xludf.DUMMYFUNCTION("""COMPUTED_VALUE"""),"")</f>
        <v/>
      </c>
      <c r="P539" s="250" t="str">
        <f>IFERROR(__xludf.DUMMYFUNCTION("""COMPUTED_VALUE"""),"")</f>
        <v/>
      </c>
      <c r="Q539" s="250" t="str">
        <f>IFERROR(__xludf.DUMMYFUNCTION("""COMPUTED_VALUE"""),"")</f>
        <v/>
      </c>
      <c r="R539" s="250" t="str">
        <f>IFERROR(__xludf.DUMMYFUNCTION("""COMPUTED_VALUE"""),"")</f>
        <v/>
      </c>
      <c r="U539" s="250" t="str">
        <f>IFERROR(__xludf.DUMMYFUNCTION("""COMPUTED_VALUE"""),"#N/A")</f>
        <v>#N/A</v>
      </c>
      <c r="V539" s="250" t="str">
        <f>IFERROR(__xludf.DUMMYFUNCTION("""COMPUTED_VALUE"""),"#N/A")</f>
        <v>#N/A</v>
      </c>
      <c r="W539" s="250" t="str">
        <f>IFERROR(__xludf.DUMMYFUNCTION("""COMPUTED_VALUE"""),"#N/A")</f>
        <v>#N/A</v>
      </c>
      <c r="X539" t="b">
        <f t="shared" ref="X539:Z539" si="1054">ISBLANK(K539)</f>
        <v>1</v>
      </c>
      <c r="Y539" t="b">
        <f t="shared" si="1054"/>
        <v>0</v>
      </c>
      <c r="Z539" t="b">
        <f t="shared" si="1054"/>
        <v>0</v>
      </c>
      <c r="AA539">
        <f t="shared" ref="AA539:AC539" si="1055">IF(X539=FALSE,1,0)</f>
        <v>0</v>
      </c>
      <c r="AB539">
        <f t="shared" si="1055"/>
        <v>1</v>
      </c>
      <c r="AC539">
        <f t="shared" si="1055"/>
        <v>1</v>
      </c>
      <c r="AD539">
        <f t="shared" si="6"/>
        <v>2</v>
      </c>
      <c r="AE539">
        <f t="shared" si="7"/>
        <v>1</v>
      </c>
      <c r="AF539">
        <f>if(iferror(vlookup($A539,'Description Database'!$E$2:$H$951,3,0),0)=TRUE,1,0)</f>
        <v>0</v>
      </c>
      <c r="AG539">
        <f>if(iferror(vlookup($A539,'Description Database'!$E$2:$H$951,4,0),0)=TRUE,1,0)</f>
        <v>0</v>
      </c>
    </row>
    <row r="540">
      <c r="A540" t="str">
        <f>IFERROR(__xludf.DUMMYFUNCTION("""COMPUTED_VALUE"""),"Oppo F1 (2 GB/16 GB)")</f>
        <v>Oppo F1 (2 GB/16 GB)</v>
      </c>
      <c r="B540" t="str">
        <f>IFERROR(__xludf.DUMMYFUNCTION("""COMPUTED_VALUE"""),"")</f>
        <v/>
      </c>
      <c r="C540" t="str">
        <f>IFERROR(__xludf.DUMMYFUNCTION("""COMPUTED_VALUE"""),"")</f>
        <v/>
      </c>
      <c r="D540" t="str">
        <f>IFERROR(__xludf.DUMMYFUNCTION("""COMPUTED_VALUE"""),"")</f>
        <v/>
      </c>
      <c r="E540" t="str">
        <f>IFERROR(__xludf.DUMMYFUNCTION("""COMPUTED_VALUE"""),"")</f>
        <v/>
      </c>
      <c r="F540" t="str">
        <f>IFERROR(__xludf.DUMMYFUNCTION("""COMPUTED_VALUE"""),"")</f>
        <v/>
      </c>
      <c r="G540" t="str">
        <f>IFERROR(__xludf.DUMMYFUNCTION("""COMPUTED_VALUE"""),"")</f>
        <v/>
      </c>
      <c r="H540" t="str">
        <f>IFERROR(__xludf.DUMMYFUNCTION("""COMPUTED_VALUE"""),"")</f>
        <v/>
      </c>
      <c r="I540" t="str">
        <f>IFERROR(__xludf.DUMMYFUNCTION("""COMPUTED_VALUE"""),"")</f>
        <v/>
      </c>
      <c r="J540">
        <f>IFERROR(__xludf.DUMMYFUNCTION("""COMPUTED_VALUE"""),0.0)</f>
        <v>0</v>
      </c>
      <c r="L540" s="250" t="str">
        <f>IFERROR(__xludf.DUMMYFUNCTION("""COMPUTED_VALUE"""),"")</f>
        <v/>
      </c>
      <c r="M540" s="250" t="str">
        <f>IFERROR(__xludf.DUMMYFUNCTION("""COMPUTED_VALUE"""),"")</f>
        <v/>
      </c>
      <c r="N540" s="250" t="str">
        <f>IFERROR(__xludf.DUMMYFUNCTION("""COMPUTED_VALUE"""),"")</f>
        <v/>
      </c>
      <c r="O540" s="250" t="str">
        <f>IFERROR(__xludf.DUMMYFUNCTION("""COMPUTED_VALUE"""),"")</f>
        <v/>
      </c>
      <c r="P540" s="250" t="str">
        <f>IFERROR(__xludf.DUMMYFUNCTION("""COMPUTED_VALUE"""),"")</f>
        <v/>
      </c>
      <c r="Q540" s="250" t="str">
        <f>IFERROR(__xludf.DUMMYFUNCTION("""COMPUTED_VALUE"""),"")</f>
        <v/>
      </c>
      <c r="R540" s="250" t="str">
        <f>IFERROR(__xludf.DUMMYFUNCTION("""COMPUTED_VALUE"""),"")</f>
        <v/>
      </c>
      <c r="U540" s="250" t="str">
        <f>IFERROR(__xludf.DUMMYFUNCTION("""COMPUTED_VALUE"""),"#N/A")</f>
        <v>#N/A</v>
      </c>
      <c r="V540" s="250" t="str">
        <f>IFERROR(__xludf.DUMMYFUNCTION("""COMPUTED_VALUE"""),"#N/A")</f>
        <v>#N/A</v>
      </c>
      <c r="W540" s="250" t="str">
        <f>IFERROR(__xludf.DUMMYFUNCTION("""COMPUTED_VALUE"""),"#N/A")</f>
        <v>#N/A</v>
      </c>
      <c r="X540" t="b">
        <f t="shared" ref="X540:Z540" si="1056">ISBLANK(K540)</f>
        <v>1</v>
      </c>
      <c r="Y540" t="b">
        <f t="shared" si="1056"/>
        <v>0</v>
      </c>
      <c r="Z540" t="b">
        <f t="shared" si="1056"/>
        <v>0</v>
      </c>
      <c r="AA540">
        <f t="shared" ref="AA540:AC540" si="1057">IF(X540=FALSE,1,0)</f>
        <v>0</v>
      </c>
      <c r="AB540">
        <f t="shared" si="1057"/>
        <v>1</v>
      </c>
      <c r="AC540">
        <f t="shared" si="1057"/>
        <v>1</v>
      </c>
      <c r="AD540">
        <f t="shared" si="6"/>
        <v>2</v>
      </c>
      <c r="AE540">
        <f t="shared" si="7"/>
        <v>1</v>
      </c>
      <c r="AF540">
        <f>if(iferror(vlookup($A540,'Description Database'!$E$2:$H$951,3,0),0)=TRUE,1,0)</f>
        <v>0</v>
      </c>
      <c r="AG540">
        <f>if(iferror(vlookup($A540,'Description Database'!$E$2:$H$951,4,0),0)=TRUE,1,0)</f>
        <v>0</v>
      </c>
    </row>
    <row r="541">
      <c r="A541" t="str">
        <f>IFERROR(__xludf.DUMMYFUNCTION("""COMPUTED_VALUE"""),"Oppo NEO 7 (3 GB/32 GB)")</f>
        <v>Oppo NEO 7 (3 GB/32 GB)</v>
      </c>
      <c r="B541" t="str">
        <f>IFERROR(__xludf.DUMMYFUNCTION("""COMPUTED_VALUE"""),"")</f>
        <v/>
      </c>
      <c r="C541" t="str">
        <f>IFERROR(__xludf.DUMMYFUNCTION("""COMPUTED_VALUE"""),"")</f>
        <v/>
      </c>
      <c r="D541" t="str">
        <f>IFERROR(__xludf.DUMMYFUNCTION("""COMPUTED_VALUE"""),"")</f>
        <v/>
      </c>
      <c r="E541" t="str">
        <f>IFERROR(__xludf.DUMMYFUNCTION("""COMPUTED_VALUE"""),"")</f>
        <v/>
      </c>
      <c r="F541" t="str">
        <f>IFERROR(__xludf.DUMMYFUNCTION("""COMPUTED_VALUE"""),"")</f>
        <v/>
      </c>
      <c r="G541" t="str">
        <f>IFERROR(__xludf.DUMMYFUNCTION("""COMPUTED_VALUE"""),"")</f>
        <v/>
      </c>
      <c r="H541" t="str">
        <f>IFERROR(__xludf.DUMMYFUNCTION("""COMPUTED_VALUE"""),"")</f>
        <v/>
      </c>
      <c r="I541" t="str">
        <f>IFERROR(__xludf.DUMMYFUNCTION("""COMPUTED_VALUE"""),"")</f>
        <v/>
      </c>
      <c r="J541">
        <f>IFERROR(__xludf.DUMMYFUNCTION("""COMPUTED_VALUE"""),0.0)</f>
        <v>0</v>
      </c>
      <c r="L541" s="250" t="str">
        <f>IFERROR(__xludf.DUMMYFUNCTION("""COMPUTED_VALUE"""),"")</f>
        <v/>
      </c>
      <c r="M541" s="250" t="str">
        <f>IFERROR(__xludf.DUMMYFUNCTION("""COMPUTED_VALUE"""),"")</f>
        <v/>
      </c>
      <c r="N541" s="250" t="str">
        <f>IFERROR(__xludf.DUMMYFUNCTION("""COMPUTED_VALUE"""),"")</f>
        <v/>
      </c>
      <c r="O541" s="250" t="str">
        <f>IFERROR(__xludf.DUMMYFUNCTION("""COMPUTED_VALUE"""),"")</f>
        <v/>
      </c>
      <c r="P541" s="250" t="str">
        <f>IFERROR(__xludf.DUMMYFUNCTION("""COMPUTED_VALUE"""),"")</f>
        <v/>
      </c>
      <c r="Q541" s="250" t="str">
        <f>IFERROR(__xludf.DUMMYFUNCTION("""COMPUTED_VALUE"""),"")</f>
        <v/>
      </c>
      <c r="R541" s="250" t="str">
        <f>IFERROR(__xludf.DUMMYFUNCTION("""COMPUTED_VALUE"""),"")</f>
        <v/>
      </c>
      <c r="U541" s="250" t="str">
        <f>IFERROR(__xludf.DUMMYFUNCTION("""COMPUTED_VALUE"""),"#N/A")</f>
        <v>#N/A</v>
      </c>
      <c r="V541" s="250" t="str">
        <f>IFERROR(__xludf.DUMMYFUNCTION("""COMPUTED_VALUE"""),"#N/A")</f>
        <v>#N/A</v>
      </c>
      <c r="W541" s="250" t="str">
        <f>IFERROR(__xludf.DUMMYFUNCTION("""COMPUTED_VALUE"""),"#N/A")</f>
        <v>#N/A</v>
      </c>
      <c r="X541" t="b">
        <f t="shared" ref="X541:Z541" si="1058">ISBLANK(K541)</f>
        <v>1</v>
      </c>
      <c r="Y541" t="b">
        <f t="shared" si="1058"/>
        <v>0</v>
      </c>
      <c r="Z541" t="b">
        <f t="shared" si="1058"/>
        <v>0</v>
      </c>
      <c r="AA541">
        <f t="shared" ref="AA541:AC541" si="1059">IF(X541=FALSE,1,0)</f>
        <v>0</v>
      </c>
      <c r="AB541">
        <f t="shared" si="1059"/>
        <v>1</v>
      </c>
      <c r="AC541">
        <f t="shared" si="1059"/>
        <v>1</v>
      </c>
      <c r="AD541">
        <f t="shared" si="6"/>
        <v>2</v>
      </c>
      <c r="AE541">
        <f t="shared" si="7"/>
        <v>1</v>
      </c>
      <c r="AF541">
        <f>if(iferror(vlookup($A541,'Description Database'!$E$2:$H$951,3,0),0)=TRUE,1,0)</f>
        <v>0</v>
      </c>
      <c r="AG541">
        <f>if(iferror(vlookup($A541,'Description Database'!$E$2:$H$951,4,0),0)=TRUE,1,0)</f>
        <v>0</v>
      </c>
    </row>
    <row r="542">
      <c r="A542" t="str">
        <f>IFERROR(__xludf.DUMMYFUNCTION("""COMPUTED_VALUE"""),"Lenovo VIBE K5(3 GB 32GB)")</f>
        <v>Lenovo VIBE K5(3 GB 32GB)</v>
      </c>
      <c r="B542" t="str">
        <f>IFERROR(__xludf.DUMMYFUNCTION("""COMPUTED_VALUE"""),"")</f>
        <v/>
      </c>
      <c r="C542" t="str">
        <f>IFERROR(__xludf.DUMMYFUNCTION("""COMPUTED_VALUE"""),"")</f>
        <v/>
      </c>
      <c r="D542" t="str">
        <f>IFERROR(__xludf.DUMMYFUNCTION("""COMPUTED_VALUE"""),"")</f>
        <v/>
      </c>
      <c r="E542" t="str">
        <f>IFERROR(__xludf.DUMMYFUNCTION("""COMPUTED_VALUE"""),"")</f>
        <v/>
      </c>
      <c r="F542" t="str">
        <f>IFERROR(__xludf.DUMMYFUNCTION("""COMPUTED_VALUE"""),"")</f>
        <v/>
      </c>
      <c r="G542" t="str">
        <f>IFERROR(__xludf.DUMMYFUNCTION("""COMPUTED_VALUE"""),"")</f>
        <v/>
      </c>
      <c r="H542" t="str">
        <f>IFERROR(__xludf.DUMMYFUNCTION("""COMPUTED_VALUE"""),"")</f>
        <v/>
      </c>
      <c r="I542" t="str">
        <f>IFERROR(__xludf.DUMMYFUNCTION("""COMPUTED_VALUE"""),"")</f>
        <v/>
      </c>
      <c r="J542">
        <f>IFERROR(__xludf.DUMMYFUNCTION("""COMPUTED_VALUE"""),0.0)</f>
        <v>0</v>
      </c>
      <c r="L542" s="250" t="str">
        <f>IFERROR(__xludf.DUMMYFUNCTION("""COMPUTED_VALUE"""),"")</f>
        <v/>
      </c>
      <c r="M542" s="250" t="str">
        <f>IFERROR(__xludf.DUMMYFUNCTION("""COMPUTED_VALUE"""),"")</f>
        <v/>
      </c>
      <c r="N542" s="250" t="str">
        <f>IFERROR(__xludf.DUMMYFUNCTION("""COMPUTED_VALUE"""),"")</f>
        <v/>
      </c>
      <c r="O542" s="250" t="str">
        <f>IFERROR(__xludf.DUMMYFUNCTION("""COMPUTED_VALUE"""),"")</f>
        <v/>
      </c>
      <c r="P542" s="250" t="str">
        <f>IFERROR(__xludf.DUMMYFUNCTION("""COMPUTED_VALUE"""),"")</f>
        <v/>
      </c>
      <c r="Q542" s="250" t="str">
        <f>IFERROR(__xludf.DUMMYFUNCTION("""COMPUTED_VALUE"""),"")</f>
        <v/>
      </c>
      <c r="R542" s="250" t="str">
        <f>IFERROR(__xludf.DUMMYFUNCTION("""COMPUTED_VALUE"""),"")</f>
        <v/>
      </c>
      <c r="U542" s="250" t="str">
        <f>IFERROR(__xludf.DUMMYFUNCTION("""COMPUTED_VALUE"""),"#N/A")</f>
        <v>#N/A</v>
      </c>
      <c r="V542" s="250" t="str">
        <f>IFERROR(__xludf.DUMMYFUNCTION("""COMPUTED_VALUE"""),"#N/A")</f>
        <v>#N/A</v>
      </c>
      <c r="W542" s="250" t="str">
        <f>IFERROR(__xludf.DUMMYFUNCTION("""COMPUTED_VALUE"""),"#N/A")</f>
        <v>#N/A</v>
      </c>
      <c r="X542" t="b">
        <f t="shared" ref="X542:Z542" si="1060">ISBLANK(K542)</f>
        <v>1</v>
      </c>
      <c r="Y542" t="b">
        <f t="shared" si="1060"/>
        <v>0</v>
      </c>
      <c r="Z542" t="b">
        <f t="shared" si="1060"/>
        <v>0</v>
      </c>
      <c r="AA542">
        <f t="shared" ref="AA542:AC542" si="1061">IF(X542=FALSE,1,0)</f>
        <v>0</v>
      </c>
      <c r="AB542">
        <f t="shared" si="1061"/>
        <v>1</v>
      </c>
      <c r="AC542">
        <f t="shared" si="1061"/>
        <v>1</v>
      </c>
      <c r="AD542">
        <f t="shared" si="6"/>
        <v>2</v>
      </c>
      <c r="AE542">
        <f t="shared" si="7"/>
        <v>1</v>
      </c>
      <c r="AF542">
        <f>if(iferror(vlookup($A542,'Description Database'!$E$2:$H$951,3,0),0)=TRUE,1,0)</f>
        <v>0</v>
      </c>
      <c r="AG542">
        <f>if(iferror(vlookup($A542,'Description Database'!$E$2:$H$951,4,0),0)=TRUE,1,0)</f>
        <v>0</v>
      </c>
    </row>
    <row r="543">
      <c r="A543" t="str">
        <f>IFERROR(__xludf.DUMMYFUNCTION("""COMPUTED_VALUE"""),"Samsung GALAXY J8 (3 GB/32 GB)")</f>
        <v>Samsung GALAXY J8 (3 GB/32 GB)</v>
      </c>
      <c r="B543" t="str">
        <f>IFERROR(__xludf.DUMMYFUNCTION("""COMPUTED_VALUE"""),"")</f>
        <v/>
      </c>
      <c r="C543" t="str">
        <f>IFERROR(__xludf.DUMMYFUNCTION("""COMPUTED_VALUE"""),"")</f>
        <v/>
      </c>
      <c r="D543" t="str">
        <f>IFERROR(__xludf.DUMMYFUNCTION("""COMPUTED_VALUE"""),"")</f>
        <v/>
      </c>
      <c r="E543" t="str">
        <f>IFERROR(__xludf.DUMMYFUNCTION("""COMPUTED_VALUE"""),"")</f>
        <v/>
      </c>
      <c r="F543" t="str">
        <f>IFERROR(__xludf.DUMMYFUNCTION("""COMPUTED_VALUE"""),"")</f>
        <v/>
      </c>
      <c r="G543" t="str">
        <f>IFERROR(__xludf.DUMMYFUNCTION("""COMPUTED_VALUE"""),"")</f>
        <v/>
      </c>
      <c r="H543" t="str">
        <f>IFERROR(__xludf.DUMMYFUNCTION("""COMPUTED_VALUE"""),"")</f>
        <v/>
      </c>
      <c r="I543" t="str">
        <f>IFERROR(__xludf.DUMMYFUNCTION("""COMPUTED_VALUE"""),"")</f>
        <v/>
      </c>
      <c r="J543">
        <f>IFERROR(__xludf.DUMMYFUNCTION("""COMPUTED_VALUE"""),0.0)</f>
        <v>0</v>
      </c>
      <c r="L543" s="250" t="str">
        <f>IFERROR(__xludf.DUMMYFUNCTION("""COMPUTED_VALUE"""),"")</f>
        <v/>
      </c>
      <c r="M543" s="250" t="str">
        <f>IFERROR(__xludf.DUMMYFUNCTION("""COMPUTED_VALUE"""),"")</f>
        <v/>
      </c>
      <c r="N543" s="250" t="str">
        <f>IFERROR(__xludf.DUMMYFUNCTION("""COMPUTED_VALUE"""),"")</f>
        <v/>
      </c>
      <c r="O543" s="250" t="str">
        <f>IFERROR(__xludf.DUMMYFUNCTION("""COMPUTED_VALUE"""),"")</f>
        <v/>
      </c>
      <c r="P543" s="250" t="str">
        <f>IFERROR(__xludf.DUMMYFUNCTION("""COMPUTED_VALUE"""),"")</f>
        <v/>
      </c>
      <c r="Q543" s="250" t="str">
        <f>IFERROR(__xludf.DUMMYFUNCTION("""COMPUTED_VALUE"""),"")</f>
        <v/>
      </c>
      <c r="R543" s="250" t="str">
        <f>IFERROR(__xludf.DUMMYFUNCTION("""COMPUTED_VALUE"""),"")</f>
        <v/>
      </c>
      <c r="U543" s="250">
        <f>IFERROR(__xludf.DUMMYFUNCTION("""COMPUTED_VALUE"""),5829.0)</f>
        <v>5829</v>
      </c>
      <c r="V543" s="250">
        <f>IFERROR(__xludf.DUMMYFUNCTION("""COMPUTED_VALUE"""),5549.0)</f>
        <v>5549</v>
      </c>
      <c r="W543" s="250">
        <f>IFERROR(__xludf.DUMMYFUNCTION("""COMPUTED_VALUE"""),4999.0)</f>
        <v>4999</v>
      </c>
      <c r="X543" t="b">
        <f t="shared" ref="X543:Z543" si="1062">ISBLANK(K543)</f>
        <v>1</v>
      </c>
      <c r="Y543" t="b">
        <f t="shared" si="1062"/>
        <v>0</v>
      </c>
      <c r="Z543" t="b">
        <f t="shared" si="1062"/>
        <v>0</v>
      </c>
      <c r="AA543">
        <f t="shared" ref="AA543:AC543" si="1063">IF(X543=FALSE,1,0)</f>
        <v>0</v>
      </c>
      <c r="AB543">
        <f t="shared" si="1063"/>
        <v>1</v>
      </c>
      <c r="AC543">
        <f t="shared" si="1063"/>
        <v>1</v>
      </c>
      <c r="AD543">
        <f t="shared" si="6"/>
        <v>2</v>
      </c>
      <c r="AE543">
        <f t="shared" si="7"/>
        <v>1</v>
      </c>
      <c r="AF543">
        <f>if(iferror(vlookup($A543,'Description Database'!$E$2:$H$951,3,0),0)=TRUE,1,0)</f>
        <v>0</v>
      </c>
      <c r="AG543">
        <f>if(iferror(vlookup($A543,'Description Database'!$E$2:$H$951,4,0),0)=TRUE,1,0)</f>
        <v>0</v>
      </c>
    </row>
    <row r="544">
      <c r="A544" t="str">
        <f>IFERROR(__xludf.DUMMYFUNCTION("""COMPUTED_VALUE"""),"Lenovo K6 NOTE (4 GB/64 GB)")</f>
        <v>Lenovo K6 NOTE (4 GB/64 GB)</v>
      </c>
      <c r="B544" t="str">
        <f>IFERROR(__xludf.DUMMYFUNCTION("""COMPUTED_VALUE"""),"")</f>
        <v/>
      </c>
      <c r="C544" t="str">
        <f>IFERROR(__xludf.DUMMYFUNCTION("""COMPUTED_VALUE"""),"")</f>
        <v/>
      </c>
      <c r="D544" t="str">
        <f>IFERROR(__xludf.DUMMYFUNCTION("""COMPUTED_VALUE"""),"")</f>
        <v/>
      </c>
      <c r="E544" t="str">
        <f>IFERROR(__xludf.DUMMYFUNCTION("""COMPUTED_VALUE"""),"")</f>
        <v/>
      </c>
      <c r="F544" t="str">
        <f>IFERROR(__xludf.DUMMYFUNCTION("""COMPUTED_VALUE"""),"")</f>
        <v/>
      </c>
      <c r="G544" t="str">
        <f>IFERROR(__xludf.DUMMYFUNCTION("""COMPUTED_VALUE"""),"")</f>
        <v/>
      </c>
      <c r="H544" t="str">
        <f>IFERROR(__xludf.DUMMYFUNCTION("""COMPUTED_VALUE"""),"")</f>
        <v/>
      </c>
      <c r="I544" t="str">
        <f>IFERROR(__xludf.DUMMYFUNCTION("""COMPUTED_VALUE"""),"")</f>
        <v/>
      </c>
      <c r="J544">
        <f>IFERROR(__xludf.DUMMYFUNCTION("""COMPUTED_VALUE"""),0.0)</f>
        <v>0</v>
      </c>
      <c r="L544" s="250" t="str">
        <f>IFERROR(__xludf.DUMMYFUNCTION("""COMPUTED_VALUE"""),"")</f>
        <v/>
      </c>
      <c r="M544" s="250" t="str">
        <f>IFERROR(__xludf.DUMMYFUNCTION("""COMPUTED_VALUE"""),"")</f>
        <v/>
      </c>
      <c r="N544" s="250" t="str">
        <f>IFERROR(__xludf.DUMMYFUNCTION("""COMPUTED_VALUE"""),"")</f>
        <v/>
      </c>
      <c r="O544" s="250" t="str">
        <f>IFERROR(__xludf.DUMMYFUNCTION("""COMPUTED_VALUE"""),"")</f>
        <v/>
      </c>
      <c r="P544" s="250" t="str">
        <f>IFERROR(__xludf.DUMMYFUNCTION("""COMPUTED_VALUE"""),"")</f>
        <v/>
      </c>
      <c r="Q544" s="250" t="str">
        <f>IFERROR(__xludf.DUMMYFUNCTION("""COMPUTED_VALUE"""),"")</f>
        <v/>
      </c>
      <c r="R544" s="250" t="str">
        <f>IFERROR(__xludf.DUMMYFUNCTION("""COMPUTED_VALUE"""),"")</f>
        <v/>
      </c>
      <c r="U544" s="250" t="str">
        <f>IFERROR(__xludf.DUMMYFUNCTION("""COMPUTED_VALUE"""),"#N/A")</f>
        <v>#N/A</v>
      </c>
      <c r="V544" s="250" t="str">
        <f>IFERROR(__xludf.DUMMYFUNCTION("""COMPUTED_VALUE"""),"#N/A")</f>
        <v>#N/A</v>
      </c>
      <c r="W544" s="250" t="str">
        <f>IFERROR(__xludf.DUMMYFUNCTION("""COMPUTED_VALUE"""),"#N/A")</f>
        <v>#N/A</v>
      </c>
      <c r="X544" t="b">
        <f t="shared" ref="X544:Z544" si="1064">ISBLANK(K544)</f>
        <v>1</v>
      </c>
      <c r="Y544" t="b">
        <f t="shared" si="1064"/>
        <v>0</v>
      </c>
      <c r="Z544" t="b">
        <f t="shared" si="1064"/>
        <v>0</v>
      </c>
      <c r="AA544">
        <f t="shared" ref="AA544:AC544" si="1065">IF(X544=FALSE,1,0)</f>
        <v>0</v>
      </c>
      <c r="AB544">
        <f t="shared" si="1065"/>
        <v>1</v>
      </c>
      <c r="AC544">
        <f t="shared" si="1065"/>
        <v>1</v>
      </c>
      <c r="AD544">
        <f t="shared" si="6"/>
        <v>2</v>
      </c>
      <c r="AE544">
        <f t="shared" si="7"/>
        <v>1</v>
      </c>
      <c r="AF544">
        <f>if(iferror(vlookup($A544,'Description Database'!$E$2:$H$951,3,0),0)=TRUE,1,0)</f>
        <v>0</v>
      </c>
      <c r="AG544">
        <f>if(iferror(vlookup($A544,'Description Database'!$E$2:$H$951,4,0),0)=TRUE,1,0)</f>
        <v>0</v>
      </c>
    </row>
    <row r="545">
      <c r="A545" t="str">
        <f>IFERROR(__xludf.DUMMYFUNCTION("""COMPUTED_VALUE"""),"ONEPLUS X (2 GB/16 GB)")</f>
        <v>ONEPLUS X (2 GB/16 GB)</v>
      </c>
      <c r="B545" t="str">
        <f>IFERROR(__xludf.DUMMYFUNCTION("""COMPUTED_VALUE"""),"")</f>
        <v/>
      </c>
      <c r="C545" t="str">
        <f>IFERROR(__xludf.DUMMYFUNCTION("""COMPUTED_VALUE"""),"")</f>
        <v/>
      </c>
      <c r="D545" t="str">
        <f>IFERROR(__xludf.DUMMYFUNCTION("""COMPUTED_VALUE"""),"")</f>
        <v/>
      </c>
      <c r="E545" t="str">
        <f>IFERROR(__xludf.DUMMYFUNCTION("""COMPUTED_VALUE"""),"")</f>
        <v/>
      </c>
      <c r="F545" t="str">
        <f>IFERROR(__xludf.DUMMYFUNCTION("""COMPUTED_VALUE"""),"")</f>
        <v/>
      </c>
      <c r="G545" t="str">
        <f>IFERROR(__xludf.DUMMYFUNCTION("""COMPUTED_VALUE"""),"")</f>
        <v/>
      </c>
      <c r="H545" t="str">
        <f>IFERROR(__xludf.DUMMYFUNCTION("""COMPUTED_VALUE"""),"")</f>
        <v/>
      </c>
      <c r="I545">
        <f>IFERROR(__xludf.DUMMYFUNCTION("""COMPUTED_VALUE"""),5.0)</f>
        <v>5</v>
      </c>
      <c r="J545">
        <f>IFERROR(__xludf.DUMMYFUNCTION("""COMPUTED_VALUE"""),5.0)</f>
        <v>5</v>
      </c>
      <c r="L545" s="250" t="str">
        <f>IFERROR(__xludf.DUMMYFUNCTION("""COMPUTED_VALUE"""),"")</f>
        <v/>
      </c>
      <c r="M545" s="250" t="str">
        <f>IFERROR(__xludf.DUMMYFUNCTION("""COMPUTED_VALUE"""),"")</f>
        <v/>
      </c>
      <c r="N545" s="250" t="str">
        <f>IFERROR(__xludf.DUMMYFUNCTION("""COMPUTED_VALUE"""),"")</f>
        <v/>
      </c>
      <c r="O545" s="250" t="str">
        <f>IFERROR(__xludf.DUMMYFUNCTION("""COMPUTED_VALUE"""),"")</f>
        <v/>
      </c>
      <c r="P545" s="250" t="str">
        <f>IFERROR(__xludf.DUMMYFUNCTION("""COMPUTED_VALUE"""),"")</f>
        <v/>
      </c>
      <c r="Q545" s="250" t="str">
        <f>IFERROR(__xludf.DUMMYFUNCTION("""COMPUTED_VALUE"""),"")</f>
        <v/>
      </c>
      <c r="R545" s="250" t="str">
        <f>IFERROR(__xludf.DUMMYFUNCTION("""COMPUTED_VALUE"""),"")</f>
        <v/>
      </c>
      <c r="U545" s="250" t="str">
        <f>IFERROR(__xludf.DUMMYFUNCTION("""COMPUTED_VALUE"""),"#N/A")</f>
        <v>#N/A</v>
      </c>
      <c r="V545" s="250" t="str">
        <f>IFERROR(__xludf.DUMMYFUNCTION("""COMPUTED_VALUE"""),"#N/A")</f>
        <v>#N/A</v>
      </c>
      <c r="W545" s="250" t="str">
        <f>IFERROR(__xludf.DUMMYFUNCTION("""COMPUTED_VALUE"""),"#N/A")</f>
        <v>#N/A</v>
      </c>
      <c r="X545" t="b">
        <f t="shared" ref="X545:Z545" si="1066">ISBLANK(K545)</f>
        <v>1</v>
      </c>
      <c r="Y545" t="b">
        <f t="shared" si="1066"/>
        <v>0</v>
      </c>
      <c r="Z545" t="b">
        <f t="shared" si="1066"/>
        <v>0</v>
      </c>
      <c r="AA545">
        <f t="shared" ref="AA545:AC545" si="1067">IF(X545=FALSE,1,0)</f>
        <v>0</v>
      </c>
      <c r="AB545">
        <f t="shared" si="1067"/>
        <v>1</v>
      </c>
      <c r="AC545">
        <f t="shared" si="1067"/>
        <v>1</v>
      </c>
      <c r="AD545">
        <f t="shared" si="6"/>
        <v>2</v>
      </c>
      <c r="AE545">
        <f t="shared" si="7"/>
        <v>1</v>
      </c>
      <c r="AF545">
        <f>if(iferror(vlookup($A545,'Description Database'!$E$2:$H$951,3,0),0)=TRUE,1,0)</f>
        <v>0</v>
      </c>
      <c r="AG545">
        <f>if(iferror(vlookup($A545,'Description Database'!$E$2:$H$951,4,0),0)=TRUE,1,0)</f>
        <v>0</v>
      </c>
    </row>
    <row r="546">
      <c r="A546" t="str">
        <f>IFERROR(__xludf.DUMMYFUNCTION("""COMPUTED_VALUE"""),"Samsung GALAXY J7 NXT (3 GB/32 GB)")</f>
        <v>Samsung GALAXY J7 NXT (3 GB/32 GB)</v>
      </c>
      <c r="B546" t="str">
        <f>IFERROR(__xludf.DUMMYFUNCTION("""COMPUTED_VALUE"""),"")</f>
        <v/>
      </c>
      <c r="C546" t="str">
        <f>IFERROR(__xludf.DUMMYFUNCTION("""COMPUTED_VALUE"""),"")</f>
        <v/>
      </c>
      <c r="D546" t="str">
        <f>IFERROR(__xludf.DUMMYFUNCTION("""COMPUTED_VALUE"""),"")</f>
        <v/>
      </c>
      <c r="E546" t="str">
        <f>IFERROR(__xludf.DUMMYFUNCTION("""COMPUTED_VALUE"""),"")</f>
        <v/>
      </c>
      <c r="F546" t="str">
        <f>IFERROR(__xludf.DUMMYFUNCTION("""COMPUTED_VALUE"""),"")</f>
        <v/>
      </c>
      <c r="G546" t="str">
        <f>IFERROR(__xludf.DUMMYFUNCTION("""COMPUTED_VALUE"""),"")</f>
        <v/>
      </c>
      <c r="H546" t="str">
        <f>IFERROR(__xludf.DUMMYFUNCTION("""COMPUTED_VALUE"""),"")</f>
        <v/>
      </c>
      <c r="I546">
        <f>IFERROR(__xludf.DUMMYFUNCTION("""COMPUTED_VALUE"""),5.0)</f>
        <v>5</v>
      </c>
      <c r="J546">
        <f>IFERROR(__xludf.DUMMYFUNCTION("""COMPUTED_VALUE"""),5.0)</f>
        <v>5</v>
      </c>
      <c r="L546" s="250" t="str">
        <f>IFERROR(__xludf.DUMMYFUNCTION("""COMPUTED_VALUE"""),"")</f>
        <v/>
      </c>
      <c r="M546" s="250" t="str">
        <f>IFERROR(__xludf.DUMMYFUNCTION("""COMPUTED_VALUE"""),"")</f>
        <v/>
      </c>
      <c r="N546" s="250" t="str">
        <f>IFERROR(__xludf.DUMMYFUNCTION("""COMPUTED_VALUE"""),"")</f>
        <v/>
      </c>
      <c r="O546" s="250" t="str">
        <f>IFERROR(__xludf.DUMMYFUNCTION("""COMPUTED_VALUE"""),"")</f>
        <v/>
      </c>
      <c r="P546" s="250" t="str">
        <f>IFERROR(__xludf.DUMMYFUNCTION("""COMPUTED_VALUE"""),"")</f>
        <v/>
      </c>
      <c r="Q546" s="250" t="str">
        <f>IFERROR(__xludf.DUMMYFUNCTION("""COMPUTED_VALUE"""),"")</f>
        <v/>
      </c>
      <c r="R546" s="250" t="str">
        <f>IFERROR(__xludf.DUMMYFUNCTION("""COMPUTED_VALUE"""),"")</f>
        <v/>
      </c>
      <c r="U546" s="250">
        <f>IFERROR(__xludf.DUMMYFUNCTION("""COMPUTED_VALUE"""),4879.0)</f>
        <v>4879</v>
      </c>
      <c r="V546" s="250">
        <f>IFERROR(__xludf.DUMMYFUNCTION("""COMPUTED_VALUE"""),4649.0)</f>
        <v>4649</v>
      </c>
      <c r="W546" s="250">
        <f>IFERROR(__xludf.DUMMYFUNCTION("""COMPUTED_VALUE"""),4169.0)</f>
        <v>4169</v>
      </c>
      <c r="X546" t="b">
        <f t="shared" ref="X546:Z546" si="1068">ISBLANK(K546)</f>
        <v>1</v>
      </c>
      <c r="Y546" t="b">
        <f t="shared" si="1068"/>
        <v>0</v>
      </c>
      <c r="Z546" t="b">
        <f t="shared" si="1068"/>
        <v>0</v>
      </c>
      <c r="AA546">
        <f t="shared" ref="AA546:AC546" si="1069">IF(X546=FALSE,1,0)</f>
        <v>0</v>
      </c>
      <c r="AB546">
        <f t="shared" si="1069"/>
        <v>1</v>
      </c>
      <c r="AC546">
        <f t="shared" si="1069"/>
        <v>1</v>
      </c>
      <c r="AD546">
        <f t="shared" si="6"/>
        <v>2</v>
      </c>
      <c r="AE546">
        <f t="shared" si="7"/>
        <v>1</v>
      </c>
      <c r="AF546">
        <f>if(iferror(vlookup($A546,'Description Database'!$E$2:$H$951,3,0),0)=TRUE,1,0)</f>
        <v>0</v>
      </c>
      <c r="AG546">
        <f>if(iferror(vlookup($A546,'Description Database'!$E$2:$H$951,4,0),0)=TRUE,1,0)</f>
        <v>0</v>
      </c>
    </row>
    <row r="547">
      <c r="A547" t="str">
        <f>IFERROR(__xludf.DUMMYFUNCTION("""COMPUTED_VALUE"""),"Samsung GALAXY J2 2018(2 GB 8GB)")</f>
        <v>Samsung GALAXY J2 2018(2 GB 8GB)</v>
      </c>
      <c r="B547" t="str">
        <f>IFERROR(__xludf.DUMMYFUNCTION("""COMPUTED_VALUE"""),"")</f>
        <v/>
      </c>
      <c r="C547" t="str">
        <f>IFERROR(__xludf.DUMMYFUNCTION("""COMPUTED_VALUE"""),"")</f>
        <v/>
      </c>
      <c r="D547" t="str">
        <f>IFERROR(__xludf.DUMMYFUNCTION("""COMPUTED_VALUE"""),"")</f>
        <v/>
      </c>
      <c r="E547" t="str">
        <f>IFERROR(__xludf.DUMMYFUNCTION("""COMPUTED_VALUE"""),"")</f>
        <v/>
      </c>
      <c r="F547" t="str">
        <f>IFERROR(__xludf.DUMMYFUNCTION("""COMPUTED_VALUE"""),"")</f>
        <v/>
      </c>
      <c r="G547" t="str">
        <f>IFERROR(__xludf.DUMMYFUNCTION("""COMPUTED_VALUE"""),"")</f>
        <v/>
      </c>
      <c r="H547" t="str">
        <f>IFERROR(__xludf.DUMMYFUNCTION("""COMPUTED_VALUE"""),"")</f>
        <v/>
      </c>
      <c r="I547" t="str">
        <f>IFERROR(__xludf.DUMMYFUNCTION("""COMPUTED_VALUE"""),"")</f>
        <v/>
      </c>
      <c r="J547">
        <f>IFERROR(__xludf.DUMMYFUNCTION("""COMPUTED_VALUE"""),0.0)</f>
        <v>0</v>
      </c>
      <c r="L547" s="250" t="str">
        <f>IFERROR(__xludf.DUMMYFUNCTION("""COMPUTED_VALUE"""),"")</f>
        <v/>
      </c>
      <c r="M547" s="250" t="str">
        <f>IFERROR(__xludf.DUMMYFUNCTION("""COMPUTED_VALUE"""),"")</f>
        <v/>
      </c>
      <c r="N547" s="250" t="str">
        <f>IFERROR(__xludf.DUMMYFUNCTION("""COMPUTED_VALUE"""),"")</f>
        <v/>
      </c>
      <c r="O547" s="250" t="str">
        <f>IFERROR(__xludf.DUMMYFUNCTION("""COMPUTED_VALUE"""),"")</f>
        <v/>
      </c>
      <c r="P547" s="250" t="str">
        <f>IFERROR(__xludf.DUMMYFUNCTION("""COMPUTED_VALUE"""),"")</f>
        <v/>
      </c>
      <c r="Q547" s="250" t="str">
        <f>IFERROR(__xludf.DUMMYFUNCTION("""COMPUTED_VALUE"""),"")</f>
        <v/>
      </c>
      <c r="R547" s="250" t="str">
        <f>IFERROR(__xludf.DUMMYFUNCTION("""COMPUTED_VALUE"""),"")</f>
        <v/>
      </c>
      <c r="U547" s="250" t="str">
        <f>IFERROR(__xludf.DUMMYFUNCTION("""COMPUTED_VALUE"""),"#N/A")</f>
        <v>#N/A</v>
      </c>
      <c r="V547" s="250" t="str">
        <f>IFERROR(__xludf.DUMMYFUNCTION("""COMPUTED_VALUE"""),"#N/A")</f>
        <v>#N/A</v>
      </c>
      <c r="W547" s="250" t="str">
        <f>IFERROR(__xludf.DUMMYFUNCTION("""COMPUTED_VALUE"""),"#N/A")</f>
        <v>#N/A</v>
      </c>
      <c r="X547" t="b">
        <f t="shared" ref="X547:Z547" si="1070">ISBLANK(K547)</f>
        <v>1</v>
      </c>
      <c r="Y547" t="b">
        <f t="shared" si="1070"/>
        <v>0</v>
      </c>
      <c r="Z547" t="b">
        <f t="shared" si="1070"/>
        <v>0</v>
      </c>
      <c r="AA547">
        <f t="shared" ref="AA547:AC547" si="1071">IF(X547=FALSE,1,0)</f>
        <v>0</v>
      </c>
      <c r="AB547">
        <f t="shared" si="1071"/>
        <v>1</v>
      </c>
      <c r="AC547">
        <f t="shared" si="1071"/>
        <v>1</v>
      </c>
      <c r="AD547">
        <f t="shared" si="6"/>
        <v>2</v>
      </c>
      <c r="AE547">
        <f t="shared" si="7"/>
        <v>1</v>
      </c>
      <c r="AF547">
        <f>if(iferror(vlookup($A547,'Description Database'!$E$2:$H$951,3,0),0)=TRUE,1,0)</f>
        <v>0</v>
      </c>
      <c r="AG547">
        <f>if(iferror(vlookup($A547,'Description Database'!$E$2:$H$951,4,0),0)=TRUE,1,0)</f>
        <v>0</v>
      </c>
    </row>
    <row r="548">
      <c r="A548" t="str">
        <f>IFERROR(__xludf.DUMMYFUNCTION("""COMPUTED_VALUE"""),"Samsung GALAXY J1 ACE (1 G/ 8 GB)")</f>
        <v>Samsung GALAXY J1 ACE (1 G/ 8 GB)</v>
      </c>
      <c r="B548" t="str">
        <f>IFERROR(__xludf.DUMMYFUNCTION("""COMPUTED_VALUE"""),"")</f>
        <v/>
      </c>
      <c r="C548" t="str">
        <f>IFERROR(__xludf.DUMMYFUNCTION("""COMPUTED_VALUE"""),"")</f>
        <v/>
      </c>
      <c r="D548" t="str">
        <f>IFERROR(__xludf.DUMMYFUNCTION("""COMPUTED_VALUE"""),"")</f>
        <v/>
      </c>
      <c r="E548" t="str">
        <f>IFERROR(__xludf.DUMMYFUNCTION("""COMPUTED_VALUE"""),"")</f>
        <v/>
      </c>
      <c r="F548" t="str">
        <f>IFERROR(__xludf.DUMMYFUNCTION("""COMPUTED_VALUE"""),"")</f>
        <v/>
      </c>
      <c r="G548" t="str">
        <f>IFERROR(__xludf.DUMMYFUNCTION("""COMPUTED_VALUE"""),"")</f>
        <v/>
      </c>
      <c r="H548" t="str">
        <f>IFERROR(__xludf.DUMMYFUNCTION("""COMPUTED_VALUE"""),"")</f>
        <v/>
      </c>
      <c r="I548">
        <f>IFERROR(__xludf.DUMMYFUNCTION("""COMPUTED_VALUE"""),1.0)</f>
        <v>1</v>
      </c>
      <c r="J548">
        <f>IFERROR(__xludf.DUMMYFUNCTION("""COMPUTED_VALUE"""),1.0)</f>
        <v>1</v>
      </c>
      <c r="L548" s="250" t="str">
        <f>IFERROR(__xludf.DUMMYFUNCTION("""COMPUTED_VALUE"""),"")</f>
        <v/>
      </c>
      <c r="M548" s="250" t="str">
        <f>IFERROR(__xludf.DUMMYFUNCTION("""COMPUTED_VALUE"""),"")</f>
        <v/>
      </c>
      <c r="N548" s="250" t="str">
        <f>IFERROR(__xludf.DUMMYFUNCTION("""COMPUTED_VALUE"""),"")</f>
        <v/>
      </c>
      <c r="O548" s="250" t="str">
        <f>IFERROR(__xludf.DUMMYFUNCTION("""COMPUTED_VALUE"""),"")</f>
        <v/>
      </c>
      <c r="P548" s="250" t="str">
        <f>IFERROR(__xludf.DUMMYFUNCTION("""COMPUTED_VALUE"""),"")</f>
        <v/>
      </c>
      <c r="Q548" s="250" t="str">
        <f>IFERROR(__xludf.DUMMYFUNCTION("""COMPUTED_VALUE"""),"")</f>
        <v/>
      </c>
      <c r="R548" s="250" t="str">
        <f>IFERROR(__xludf.DUMMYFUNCTION("""COMPUTED_VALUE"""),"")</f>
        <v/>
      </c>
      <c r="U548" s="250" t="str">
        <f>IFERROR(__xludf.DUMMYFUNCTION("""COMPUTED_VALUE"""),"#N/A")</f>
        <v>#N/A</v>
      </c>
      <c r="V548" s="250" t="str">
        <f>IFERROR(__xludf.DUMMYFUNCTION("""COMPUTED_VALUE"""),"#N/A")</f>
        <v>#N/A</v>
      </c>
      <c r="W548" s="250" t="str">
        <f>IFERROR(__xludf.DUMMYFUNCTION("""COMPUTED_VALUE"""),"#N/A")</f>
        <v>#N/A</v>
      </c>
      <c r="X548" t="b">
        <f t="shared" ref="X548:Z548" si="1072">ISBLANK(K548)</f>
        <v>1</v>
      </c>
      <c r="Y548" t="b">
        <f t="shared" si="1072"/>
        <v>0</v>
      </c>
      <c r="Z548" t="b">
        <f t="shared" si="1072"/>
        <v>0</v>
      </c>
      <c r="AA548">
        <f t="shared" ref="AA548:AC548" si="1073">IF(X548=FALSE,1,0)</f>
        <v>0</v>
      </c>
      <c r="AB548">
        <f t="shared" si="1073"/>
        <v>1</v>
      </c>
      <c r="AC548">
        <f t="shared" si="1073"/>
        <v>1</v>
      </c>
      <c r="AD548">
        <f t="shared" si="6"/>
        <v>2</v>
      </c>
      <c r="AE548">
        <f t="shared" si="7"/>
        <v>1</v>
      </c>
      <c r="AF548">
        <f>if(iferror(vlookup($A548,'Description Database'!$E$2:$H$951,3,0),0)=TRUE,1,0)</f>
        <v>0</v>
      </c>
      <c r="AG548">
        <f>if(iferror(vlookup($A548,'Description Database'!$E$2:$H$951,4,0),0)=TRUE,1,0)</f>
        <v>0</v>
      </c>
    </row>
    <row r="549">
      <c r="A549" t="str">
        <f>IFERROR(__xludf.DUMMYFUNCTION("""COMPUTED_VALUE"""),"ASUS MAX M2 (3 GB/32 GB)")</f>
        <v>ASUS MAX M2 (3 GB/32 GB)</v>
      </c>
      <c r="B549" t="str">
        <f>IFERROR(__xludf.DUMMYFUNCTION("""COMPUTED_VALUE"""),"")</f>
        <v/>
      </c>
      <c r="C549" t="str">
        <f>IFERROR(__xludf.DUMMYFUNCTION("""COMPUTED_VALUE"""),"")</f>
        <v/>
      </c>
      <c r="D549" t="str">
        <f>IFERROR(__xludf.DUMMYFUNCTION("""COMPUTED_VALUE"""),"")</f>
        <v/>
      </c>
      <c r="E549" t="str">
        <f>IFERROR(__xludf.DUMMYFUNCTION("""COMPUTED_VALUE"""),"")</f>
        <v/>
      </c>
      <c r="F549" t="str">
        <f>IFERROR(__xludf.DUMMYFUNCTION("""COMPUTED_VALUE"""),"")</f>
        <v/>
      </c>
      <c r="G549" t="str">
        <f>IFERROR(__xludf.DUMMYFUNCTION("""COMPUTED_VALUE"""),"")</f>
        <v/>
      </c>
      <c r="H549" t="str">
        <f>IFERROR(__xludf.DUMMYFUNCTION("""COMPUTED_VALUE"""),"")</f>
        <v/>
      </c>
      <c r="I549">
        <f>IFERROR(__xludf.DUMMYFUNCTION("""COMPUTED_VALUE"""),1.0)</f>
        <v>1</v>
      </c>
      <c r="J549">
        <f>IFERROR(__xludf.DUMMYFUNCTION("""COMPUTED_VALUE"""),1.0)</f>
        <v>1</v>
      </c>
      <c r="L549" s="250" t="str">
        <f>IFERROR(__xludf.DUMMYFUNCTION("""COMPUTED_VALUE"""),"")</f>
        <v/>
      </c>
      <c r="M549" s="250" t="str">
        <f>IFERROR(__xludf.DUMMYFUNCTION("""COMPUTED_VALUE"""),"")</f>
        <v/>
      </c>
      <c r="N549" s="250" t="str">
        <f>IFERROR(__xludf.DUMMYFUNCTION("""COMPUTED_VALUE"""),"")</f>
        <v/>
      </c>
      <c r="O549" s="250" t="str">
        <f>IFERROR(__xludf.DUMMYFUNCTION("""COMPUTED_VALUE"""),"")</f>
        <v/>
      </c>
      <c r="P549" s="250" t="str">
        <f>IFERROR(__xludf.DUMMYFUNCTION("""COMPUTED_VALUE"""),"")</f>
        <v/>
      </c>
      <c r="Q549" s="250" t="str">
        <f>IFERROR(__xludf.DUMMYFUNCTION("""COMPUTED_VALUE"""),"")</f>
        <v/>
      </c>
      <c r="R549" s="250" t="str">
        <f>IFERROR(__xludf.DUMMYFUNCTION("""COMPUTED_VALUE"""),"")</f>
        <v/>
      </c>
      <c r="U549" s="250" t="str">
        <f>IFERROR(__xludf.DUMMYFUNCTION("""COMPUTED_VALUE"""),"#N/A")</f>
        <v>#N/A</v>
      </c>
      <c r="V549" s="250" t="str">
        <f>IFERROR(__xludf.DUMMYFUNCTION("""COMPUTED_VALUE"""),"#N/A")</f>
        <v>#N/A</v>
      </c>
      <c r="W549" s="250" t="str">
        <f>IFERROR(__xludf.DUMMYFUNCTION("""COMPUTED_VALUE"""),"#N/A")</f>
        <v>#N/A</v>
      </c>
      <c r="X549" t="b">
        <f t="shared" ref="X549:Z549" si="1074">ISBLANK(K549)</f>
        <v>1</v>
      </c>
      <c r="Y549" t="b">
        <f t="shared" si="1074"/>
        <v>0</v>
      </c>
      <c r="Z549" t="b">
        <f t="shared" si="1074"/>
        <v>0</v>
      </c>
      <c r="AA549">
        <f t="shared" ref="AA549:AC549" si="1075">IF(X549=FALSE,1,0)</f>
        <v>0</v>
      </c>
      <c r="AB549">
        <f t="shared" si="1075"/>
        <v>1</v>
      </c>
      <c r="AC549">
        <f t="shared" si="1075"/>
        <v>1</v>
      </c>
      <c r="AD549">
        <f t="shared" si="6"/>
        <v>2</v>
      </c>
      <c r="AE549">
        <f t="shared" si="7"/>
        <v>1</v>
      </c>
      <c r="AF549">
        <f>if(iferror(vlookup($A549,'Description Database'!$E$2:$H$951,3,0),0)=TRUE,1,0)</f>
        <v>0</v>
      </c>
      <c r="AG549">
        <f>if(iferror(vlookup($A549,'Description Database'!$E$2:$H$951,4,0),0)=TRUE,1,0)</f>
        <v>0</v>
      </c>
    </row>
    <row r="550">
      <c r="A550" t="str">
        <f>IFERROR(__xludf.DUMMYFUNCTION("""COMPUTED_VALUE"""),"Google PIXEL (4 GB/32 GB)")</f>
        <v>Google PIXEL (4 GB/32 GB)</v>
      </c>
      <c r="B550" t="str">
        <f>IFERROR(__xludf.DUMMYFUNCTION("""COMPUTED_VALUE"""),"")</f>
        <v/>
      </c>
      <c r="C550" t="str">
        <f>IFERROR(__xludf.DUMMYFUNCTION("""COMPUTED_VALUE"""),"")</f>
        <v/>
      </c>
      <c r="D550" t="str">
        <f>IFERROR(__xludf.DUMMYFUNCTION("""COMPUTED_VALUE"""),"")</f>
        <v/>
      </c>
      <c r="E550" t="str">
        <f>IFERROR(__xludf.DUMMYFUNCTION("""COMPUTED_VALUE"""),"")</f>
        <v/>
      </c>
      <c r="F550" t="str">
        <f>IFERROR(__xludf.DUMMYFUNCTION("""COMPUTED_VALUE"""),"")</f>
        <v/>
      </c>
      <c r="G550">
        <f>IFERROR(__xludf.DUMMYFUNCTION("""COMPUTED_VALUE"""),1.0)</f>
        <v>1</v>
      </c>
      <c r="H550" t="str">
        <f>IFERROR(__xludf.DUMMYFUNCTION("""COMPUTED_VALUE"""),"")</f>
        <v/>
      </c>
      <c r="I550">
        <f>IFERROR(__xludf.DUMMYFUNCTION("""COMPUTED_VALUE"""),2.0)</f>
        <v>2</v>
      </c>
      <c r="J550">
        <f>IFERROR(__xludf.DUMMYFUNCTION("""COMPUTED_VALUE"""),3.0)</f>
        <v>3</v>
      </c>
      <c r="L550" s="250" t="str">
        <f>IFERROR(__xludf.DUMMYFUNCTION("""COMPUTED_VALUE"""),"")</f>
        <v/>
      </c>
      <c r="M550" s="250" t="str">
        <f>IFERROR(__xludf.DUMMYFUNCTION("""COMPUTED_VALUE"""),"")</f>
        <v/>
      </c>
      <c r="N550" s="250" t="str">
        <f>IFERROR(__xludf.DUMMYFUNCTION("""COMPUTED_VALUE"""),"")</f>
        <v/>
      </c>
      <c r="O550" s="250" t="str">
        <f>IFERROR(__xludf.DUMMYFUNCTION("""COMPUTED_VALUE"""),"")</f>
        <v/>
      </c>
      <c r="P550" s="250" t="str">
        <f>IFERROR(__xludf.DUMMYFUNCTION("""COMPUTED_VALUE"""),"")</f>
        <v/>
      </c>
      <c r="Q550" s="250">
        <f>IFERROR(__xludf.DUMMYFUNCTION("""COMPUTED_VALUE"""),2119.0)</f>
        <v>2119</v>
      </c>
      <c r="R550" s="250" t="str">
        <f>IFERROR(__xludf.DUMMYFUNCTION("""COMPUTED_VALUE"""),"")</f>
        <v/>
      </c>
      <c r="U550" s="250">
        <f>IFERROR(__xludf.DUMMYFUNCTION("""COMPUTED_VALUE"""),4269.0)</f>
        <v>4269</v>
      </c>
      <c r="V550" s="250">
        <f>IFERROR(__xludf.DUMMYFUNCTION("""COMPUTED_VALUE"""),4059.0)</f>
        <v>4059</v>
      </c>
      <c r="W550" s="250">
        <f>IFERROR(__xludf.DUMMYFUNCTION("""COMPUTED_VALUE"""),3669.0)</f>
        <v>3669</v>
      </c>
      <c r="X550" t="b">
        <f t="shared" ref="X550:Z550" si="1076">ISBLANK(K550)</f>
        <v>1</v>
      </c>
      <c r="Y550" t="b">
        <f t="shared" si="1076"/>
        <v>0</v>
      </c>
      <c r="Z550" t="b">
        <f t="shared" si="1076"/>
        <v>0</v>
      </c>
      <c r="AA550">
        <f t="shared" ref="AA550:AC550" si="1077">IF(X550=FALSE,1,0)</f>
        <v>0</v>
      </c>
      <c r="AB550">
        <f t="shared" si="1077"/>
        <v>1</v>
      </c>
      <c r="AC550">
        <f t="shared" si="1077"/>
        <v>1</v>
      </c>
      <c r="AD550">
        <f t="shared" si="6"/>
        <v>2</v>
      </c>
      <c r="AE550">
        <f t="shared" si="7"/>
        <v>1</v>
      </c>
      <c r="AF550">
        <f>if(iferror(vlookup($A550,'Description Database'!$E$2:$H$951,3,0),0)=TRUE,1,0)</f>
        <v>0</v>
      </c>
      <c r="AG550">
        <f>if(iferror(vlookup($A550,'Description Database'!$E$2:$H$951,4,0),0)=TRUE,1,0)</f>
        <v>0</v>
      </c>
    </row>
    <row r="551">
      <c r="A551" t="str">
        <f>IFERROR(__xludf.DUMMYFUNCTION("""COMPUTED_VALUE"""),"ONEPLUS 1 (3 GB/64 GB)")</f>
        <v>ONEPLUS 1 (3 GB/64 GB)</v>
      </c>
      <c r="B551" t="str">
        <f>IFERROR(__xludf.DUMMYFUNCTION("""COMPUTED_VALUE"""),"")</f>
        <v/>
      </c>
      <c r="C551" t="str">
        <f>IFERROR(__xludf.DUMMYFUNCTION("""COMPUTED_VALUE"""),"")</f>
        <v/>
      </c>
      <c r="D551" t="str">
        <f>IFERROR(__xludf.DUMMYFUNCTION("""COMPUTED_VALUE"""),"")</f>
        <v/>
      </c>
      <c r="E551" t="str">
        <f>IFERROR(__xludf.DUMMYFUNCTION("""COMPUTED_VALUE"""),"")</f>
        <v/>
      </c>
      <c r="F551">
        <f>IFERROR(__xludf.DUMMYFUNCTION("""COMPUTED_VALUE"""),1.0)</f>
        <v>1</v>
      </c>
      <c r="G551" t="str">
        <f>IFERROR(__xludf.DUMMYFUNCTION("""COMPUTED_VALUE"""),"")</f>
        <v/>
      </c>
      <c r="H551" t="str">
        <f>IFERROR(__xludf.DUMMYFUNCTION("""COMPUTED_VALUE"""),"")</f>
        <v/>
      </c>
      <c r="I551">
        <f>IFERROR(__xludf.DUMMYFUNCTION("""COMPUTED_VALUE"""),11.0)</f>
        <v>11</v>
      </c>
      <c r="J551">
        <f>IFERROR(__xludf.DUMMYFUNCTION("""COMPUTED_VALUE"""),12.0)</f>
        <v>12</v>
      </c>
      <c r="L551" s="250" t="str">
        <f>IFERROR(__xludf.DUMMYFUNCTION("""COMPUTED_VALUE"""),"")</f>
        <v/>
      </c>
      <c r="M551" s="250" t="str">
        <f>IFERROR(__xludf.DUMMYFUNCTION("""COMPUTED_VALUE"""),"")</f>
        <v/>
      </c>
      <c r="N551" s="250" t="str">
        <f>IFERROR(__xludf.DUMMYFUNCTION("""COMPUTED_VALUE"""),"")</f>
        <v/>
      </c>
      <c r="O551" s="250" t="str">
        <f>IFERROR(__xludf.DUMMYFUNCTION("""COMPUTED_VALUE"""),"")</f>
        <v/>
      </c>
      <c r="P551" s="250" t="str">
        <f>IFERROR(__xludf.DUMMYFUNCTION("""COMPUTED_VALUE"""),"#N/A")</f>
        <v>#N/A</v>
      </c>
      <c r="Q551" s="250" t="str">
        <f>IFERROR(__xludf.DUMMYFUNCTION("""COMPUTED_VALUE"""),"")</f>
        <v/>
      </c>
      <c r="R551" s="250" t="str">
        <f>IFERROR(__xludf.DUMMYFUNCTION("""COMPUTED_VALUE"""),"")</f>
        <v/>
      </c>
      <c r="U551" s="250" t="str">
        <f>IFERROR(__xludf.DUMMYFUNCTION("""COMPUTED_VALUE"""),"#N/A")</f>
        <v>#N/A</v>
      </c>
      <c r="V551" s="250" t="str">
        <f>IFERROR(__xludf.DUMMYFUNCTION("""COMPUTED_VALUE"""),"#N/A")</f>
        <v>#N/A</v>
      </c>
      <c r="W551" s="250" t="str">
        <f>IFERROR(__xludf.DUMMYFUNCTION("""COMPUTED_VALUE"""),"#N/A")</f>
        <v>#N/A</v>
      </c>
      <c r="X551" t="b">
        <f t="shared" ref="X551:Z551" si="1078">ISBLANK(K551)</f>
        <v>1</v>
      </c>
      <c r="Y551" t="b">
        <f t="shared" si="1078"/>
        <v>0</v>
      </c>
      <c r="Z551" t="b">
        <f t="shared" si="1078"/>
        <v>0</v>
      </c>
      <c r="AA551">
        <f t="shared" ref="AA551:AC551" si="1079">IF(X551=FALSE,1,0)</f>
        <v>0</v>
      </c>
      <c r="AB551">
        <f t="shared" si="1079"/>
        <v>1</v>
      </c>
      <c r="AC551">
        <f t="shared" si="1079"/>
        <v>1</v>
      </c>
      <c r="AD551">
        <f t="shared" si="6"/>
        <v>2</v>
      </c>
      <c r="AE551">
        <f t="shared" si="7"/>
        <v>1</v>
      </c>
      <c r="AF551">
        <f>if(iferror(vlookup($A551,'Description Database'!$E$2:$H$951,3,0),0)=TRUE,1,0)</f>
        <v>0</v>
      </c>
      <c r="AG551">
        <f>if(iferror(vlookup($A551,'Description Database'!$E$2:$H$951,4,0),0)=TRUE,1,0)</f>
        <v>0</v>
      </c>
    </row>
    <row r="552">
      <c r="A552" t="str">
        <f>IFERROR(__xludf.DUMMYFUNCTION("""COMPUTED_VALUE"""),"Samsung NOTE 8 (6 GB/64 GB)")</f>
        <v>Samsung NOTE 8 (6 GB/64 GB)</v>
      </c>
      <c r="B552" t="str">
        <f>IFERROR(__xludf.DUMMYFUNCTION("""COMPUTED_VALUE"""),"")</f>
        <v/>
      </c>
      <c r="C552" t="str">
        <f>IFERROR(__xludf.DUMMYFUNCTION("""COMPUTED_VALUE"""),"")</f>
        <v/>
      </c>
      <c r="D552" t="str">
        <f>IFERROR(__xludf.DUMMYFUNCTION("""COMPUTED_VALUE"""),"")</f>
        <v/>
      </c>
      <c r="E552" t="str">
        <f>IFERROR(__xludf.DUMMYFUNCTION("""COMPUTED_VALUE"""),"")</f>
        <v/>
      </c>
      <c r="F552" t="str">
        <f>IFERROR(__xludf.DUMMYFUNCTION("""COMPUTED_VALUE"""),"")</f>
        <v/>
      </c>
      <c r="G552" t="str">
        <f>IFERROR(__xludf.DUMMYFUNCTION("""COMPUTED_VALUE"""),"")</f>
        <v/>
      </c>
      <c r="H552" t="str">
        <f>IFERROR(__xludf.DUMMYFUNCTION("""COMPUTED_VALUE"""),"")</f>
        <v/>
      </c>
      <c r="I552" t="str">
        <f>IFERROR(__xludf.DUMMYFUNCTION("""COMPUTED_VALUE"""),"")</f>
        <v/>
      </c>
      <c r="J552">
        <f>IFERROR(__xludf.DUMMYFUNCTION("""COMPUTED_VALUE"""),0.0)</f>
        <v>0</v>
      </c>
      <c r="L552" s="250" t="str">
        <f>IFERROR(__xludf.DUMMYFUNCTION("""COMPUTED_VALUE"""),"")</f>
        <v/>
      </c>
      <c r="M552" s="250" t="str">
        <f>IFERROR(__xludf.DUMMYFUNCTION("""COMPUTED_VALUE"""),"")</f>
        <v/>
      </c>
      <c r="N552" s="250" t="str">
        <f>IFERROR(__xludf.DUMMYFUNCTION("""COMPUTED_VALUE"""),"")</f>
        <v/>
      </c>
      <c r="O552" s="250" t="str">
        <f>IFERROR(__xludf.DUMMYFUNCTION("""COMPUTED_VALUE"""),"")</f>
        <v/>
      </c>
      <c r="P552" s="250" t="str">
        <f>IFERROR(__xludf.DUMMYFUNCTION("""COMPUTED_VALUE"""),"")</f>
        <v/>
      </c>
      <c r="Q552" s="250" t="str">
        <f>IFERROR(__xludf.DUMMYFUNCTION("""COMPUTED_VALUE"""),"")</f>
        <v/>
      </c>
      <c r="R552" s="250" t="str">
        <f>IFERROR(__xludf.DUMMYFUNCTION("""COMPUTED_VALUE"""),"")</f>
        <v/>
      </c>
      <c r="U552" s="250" t="str">
        <f>IFERROR(__xludf.DUMMYFUNCTION("""COMPUTED_VALUE"""),"#N/A")</f>
        <v>#N/A</v>
      </c>
      <c r="V552" s="250" t="str">
        <f>IFERROR(__xludf.DUMMYFUNCTION("""COMPUTED_VALUE"""),"#N/A")</f>
        <v>#N/A</v>
      </c>
      <c r="W552" s="250" t="str">
        <f>IFERROR(__xludf.DUMMYFUNCTION("""COMPUTED_VALUE"""),"#N/A")</f>
        <v>#N/A</v>
      </c>
      <c r="X552" t="b">
        <f t="shared" ref="X552:Z552" si="1080">ISBLANK(K552)</f>
        <v>1</v>
      </c>
      <c r="Y552" t="b">
        <f t="shared" si="1080"/>
        <v>0</v>
      </c>
      <c r="Z552" t="b">
        <f t="shared" si="1080"/>
        <v>0</v>
      </c>
      <c r="AA552">
        <f t="shared" ref="AA552:AC552" si="1081">IF(X552=FALSE,1,0)</f>
        <v>0</v>
      </c>
      <c r="AB552">
        <f t="shared" si="1081"/>
        <v>1</v>
      </c>
      <c r="AC552">
        <f t="shared" si="1081"/>
        <v>1</v>
      </c>
      <c r="AD552">
        <f t="shared" si="6"/>
        <v>2</v>
      </c>
      <c r="AE552">
        <f t="shared" si="7"/>
        <v>1</v>
      </c>
      <c r="AF552">
        <f>if(iferror(vlookup($A552,'Description Database'!$E$2:$H$951,3,0),0)=TRUE,1,0)</f>
        <v>0</v>
      </c>
      <c r="AG552">
        <f>if(iferror(vlookup($A552,'Description Database'!$E$2:$H$951,4,0),0)=TRUE,1,0)</f>
        <v>0</v>
      </c>
    </row>
    <row r="553">
      <c r="A553" t="str">
        <f>IFERROR(__xludf.DUMMYFUNCTION("""COMPUTED_VALUE"""),"Motorola MOTO G5S (4 GB/32 GB)")</f>
        <v>Motorola MOTO G5S (4 GB/32 GB)</v>
      </c>
      <c r="B553" t="str">
        <f>IFERROR(__xludf.DUMMYFUNCTION("""COMPUTED_VALUE"""),"")</f>
        <v/>
      </c>
      <c r="C553" t="str">
        <f>IFERROR(__xludf.DUMMYFUNCTION("""COMPUTED_VALUE"""),"")</f>
        <v/>
      </c>
      <c r="D553" t="str">
        <f>IFERROR(__xludf.DUMMYFUNCTION("""COMPUTED_VALUE"""),"")</f>
        <v/>
      </c>
      <c r="E553" t="str">
        <f>IFERROR(__xludf.DUMMYFUNCTION("""COMPUTED_VALUE"""),"")</f>
        <v/>
      </c>
      <c r="F553" t="str">
        <f>IFERROR(__xludf.DUMMYFUNCTION("""COMPUTED_VALUE"""),"")</f>
        <v/>
      </c>
      <c r="G553" t="str">
        <f>IFERROR(__xludf.DUMMYFUNCTION("""COMPUTED_VALUE"""),"")</f>
        <v/>
      </c>
      <c r="H553" t="str">
        <f>IFERROR(__xludf.DUMMYFUNCTION("""COMPUTED_VALUE"""),"")</f>
        <v/>
      </c>
      <c r="I553">
        <f>IFERROR(__xludf.DUMMYFUNCTION("""COMPUTED_VALUE"""),6.0)</f>
        <v>6</v>
      </c>
      <c r="J553">
        <f>IFERROR(__xludf.DUMMYFUNCTION("""COMPUTED_VALUE"""),6.0)</f>
        <v>6</v>
      </c>
      <c r="L553" s="250" t="str">
        <f>IFERROR(__xludf.DUMMYFUNCTION("""COMPUTED_VALUE"""),"")</f>
        <v/>
      </c>
      <c r="M553" s="250" t="str">
        <f>IFERROR(__xludf.DUMMYFUNCTION("""COMPUTED_VALUE"""),"")</f>
        <v/>
      </c>
      <c r="N553" s="250" t="str">
        <f>IFERROR(__xludf.DUMMYFUNCTION("""COMPUTED_VALUE"""),"")</f>
        <v/>
      </c>
      <c r="O553" s="250" t="str">
        <f>IFERROR(__xludf.DUMMYFUNCTION("""COMPUTED_VALUE"""),"")</f>
        <v/>
      </c>
      <c r="P553" s="250" t="str">
        <f>IFERROR(__xludf.DUMMYFUNCTION("""COMPUTED_VALUE"""),"")</f>
        <v/>
      </c>
      <c r="Q553" s="250" t="str">
        <f>IFERROR(__xludf.DUMMYFUNCTION("""COMPUTED_VALUE"""),"")</f>
        <v/>
      </c>
      <c r="R553" s="250" t="str">
        <f>IFERROR(__xludf.DUMMYFUNCTION("""COMPUTED_VALUE"""),"")</f>
        <v/>
      </c>
      <c r="U553" s="250">
        <f>IFERROR(__xludf.DUMMYFUNCTION("""COMPUTED_VALUE"""),3939.0)</f>
        <v>3939</v>
      </c>
      <c r="V553" s="250">
        <f>IFERROR(__xludf.DUMMYFUNCTION("""COMPUTED_VALUE"""),3749.0)</f>
        <v>3749</v>
      </c>
      <c r="W553" s="250">
        <f>IFERROR(__xludf.DUMMYFUNCTION("""COMPUTED_VALUE"""),3379.0)</f>
        <v>3379</v>
      </c>
      <c r="X553" t="b">
        <f t="shared" ref="X553:Z553" si="1082">ISBLANK(K553)</f>
        <v>1</v>
      </c>
      <c r="Y553" t="b">
        <f t="shared" si="1082"/>
        <v>0</v>
      </c>
      <c r="Z553" t="b">
        <f t="shared" si="1082"/>
        <v>0</v>
      </c>
      <c r="AA553">
        <f t="shared" ref="AA553:AC553" si="1083">IF(X553=FALSE,1,0)</f>
        <v>0</v>
      </c>
      <c r="AB553">
        <f t="shared" si="1083"/>
        <v>1</v>
      </c>
      <c r="AC553">
        <f t="shared" si="1083"/>
        <v>1</v>
      </c>
      <c r="AD553">
        <f t="shared" si="6"/>
        <v>2</v>
      </c>
      <c r="AE553">
        <f t="shared" si="7"/>
        <v>1</v>
      </c>
      <c r="AF553">
        <f>if(iferror(vlookup($A553,'Description Database'!$E$2:$H$951,3,0),0)=TRUE,1,0)</f>
        <v>0</v>
      </c>
      <c r="AG553">
        <f>if(iferror(vlookup($A553,'Description Database'!$E$2:$H$951,4,0),0)=TRUE,1,0)</f>
        <v>0</v>
      </c>
    </row>
    <row r="554">
      <c r="A554" t="str">
        <f>IFERROR(__xludf.DUMMYFUNCTION("""COMPUTED_VALUE"""),"LETV HONOR 8 (3 GB/32 GB)")</f>
        <v>LETV HONOR 8 (3 GB/32 GB)</v>
      </c>
      <c r="B554" t="str">
        <f>IFERROR(__xludf.DUMMYFUNCTION("""COMPUTED_VALUE"""),"")</f>
        <v/>
      </c>
      <c r="C554" t="str">
        <f>IFERROR(__xludf.DUMMYFUNCTION("""COMPUTED_VALUE"""),"")</f>
        <v/>
      </c>
      <c r="D554" t="str">
        <f>IFERROR(__xludf.DUMMYFUNCTION("""COMPUTED_VALUE"""),"")</f>
        <v/>
      </c>
      <c r="E554" t="str">
        <f>IFERROR(__xludf.DUMMYFUNCTION("""COMPUTED_VALUE"""),"")</f>
        <v/>
      </c>
      <c r="F554" t="str">
        <f>IFERROR(__xludf.DUMMYFUNCTION("""COMPUTED_VALUE"""),"")</f>
        <v/>
      </c>
      <c r="G554" t="str">
        <f>IFERROR(__xludf.DUMMYFUNCTION("""COMPUTED_VALUE"""),"")</f>
        <v/>
      </c>
      <c r="H554" t="str">
        <f>IFERROR(__xludf.DUMMYFUNCTION("""COMPUTED_VALUE"""),"")</f>
        <v/>
      </c>
      <c r="I554" t="str">
        <f>IFERROR(__xludf.DUMMYFUNCTION("""COMPUTED_VALUE"""),"")</f>
        <v/>
      </c>
      <c r="J554">
        <f>IFERROR(__xludf.DUMMYFUNCTION("""COMPUTED_VALUE"""),0.0)</f>
        <v>0</v>
      </c>
      <c r="L554" s="250" t="str">
        <f>IFERROR(__xludf.DUMMYFUNCTION("""COMPUTED_VALUE"""),"")</f>
        <v/>
      </c>
      <c r="M554" s="250" t="str">
        <f>IFERROR(__xludf.DUMMYFUNCTION("""COMPUTED_VALUE"""),"")</f>
        <v/>
      </c>
      <c r="N554" s="250" t="str">
        <f>IFERROR(__xludf.DUMMYFUNCTION("""COMPUTED_VALUE"""),"")</f>
        <v/>
      </c>
      <c r="O554" s="250" t="str">
        <f>IFERROR(__xludf.DUMMYFUNCTION("""COMPUTED_VALUE"""),"")</f>
        <v/>
      </c>
      <c r="P554" s="250" t="str">
        <f>IFERROR(__xludf.DUMMYFUNCTION("""COMPUTED_VALUE"""),"")</f>
        <v/>
      </c>
      <c r="Q554" s="250" t="str">
        <f>IFERROR(__xludf.DUMMYFUNCTION("""COMPUTED_VALUE"""),"")</f>
        <v/>
      </c>
      <c r="R554" s="250" t="str">
        <f>IFERROR(__xludf.DUMMYFUNCTION("""COMPUTED_VALUE"""),"")</f>
        <v/>
      </c>
      <c r="U554" s="250" t="str">
        <f>IFERROR(__xludf.DUMMYFUNCTION("""COMPUTED_VALUE"""),"#N/A")</f>
        <v>#N/A</v>
      </c>
      <c r="V554" s="250" t="str">
        <f>IFERROR(__xludf.DUMMYFUNCTION("""COMPUTED_VALUE"""),"#N/A")</f>
        <v>#N/A</v>
      </c>
      <c r="W554" s="250" t="str">
        <f>IFERROR(__xludf.DUMMYFUNCTION("""COMPUTED_VALUE"""),"#N/A")</f>
        <v>#N/A</v>
      </c>
      <c r="X554" t="b">
        <f t="shared" ref="X554:Z554" si="1084">ISBLANK(K554)</f>
        <v>1</v>
      </c>
      <c r="Y554" t="b">
        <f t="shared" si="1084"/>
        <v>0</v>
      </c>
      <c r="Z554" t="b">
        <f t="shared" si="1084"/>
        <v>0</v>
      </c>
      <c r="AA554">
        <f t="shared" ref="AA554:AC554" si="1085">IF(X554=FALSE,1,0)</f>
        <v>0</v>
      </c>
      <c r="AB554">
        <f t="shared" si="1085"/>
        <v>1</v>
      </c>
      <c r="AC554">
        <f t="shared" si="1085"/>
        <v>1</v>
      </c>
      <c r="AD554">
        <f t="shared" si="6"/>
        <v>2</v>
      </c>
      <c r="AE554">
        <f t="shared" si="7"/>
        <v>1</v>
      </c>
      <c r="AF554">
        <f>if(iferror(vlookup($A554,'Description Database'!$E$2:$H$951,3,0),0)=TRUE,1,0)</f>
        <v>0</v>
      </c>
      <c r="AG554">
        <f>if(iferror(vlookup($A554,'Description Database'!$E$2:$H$951,4,0),0)=TRUE,1,0)</f>
        <v>0</v>
      </c>
    </row>
    <row r="555">
      <c r="A555" t="str">
        <f>IFERROR(__xludf.DUMMYFUNCTION("""COMPUTED_VALUE"""),"Lenovo P2 (3 GB/32 GB)")</f>
        <v>Lenovo P2 (3 GB/32 GB)</v>
      </c>
      <c r="B555" t="str">
        <f>IFERROR(__xludf.DUMMYFUNCTION("""COMPUTED_VALUE"""),"")</f>
        <v/>
      </c>
      <c r="C555" t="str">
        <f>IFERROR(__xludf.DUMMYFUNCTION("""COMPUTED_VALUE"""),"")</f>
        <v/>
      </c>
      <c r="D555" t="str">
        <f>IFERROR(__xludf.DUMMYFUNCTION("""COMPUTED_VALUE"""),"")</f>
        <v/>
      </c>
      <c r="E555" t="str">
        <f>IFERROR(__xludf.DUMMYFUNCTION("""COMPUTED_VALUE"""),"")</f>
        <v/>
      </c>
      <c r="F555" t="str">
        <f>IFERROR(__xludf.DUMMYFUNCTION("""COMPUTED_VALUE"""),"")</f>
        <v/>
      </c>
      <c r="G555" t="str">
        <f>IFERROR(__xludf.DUMMYFUNCTION("""COMPUTED_VALUE"""),"")</f>
        <v/>
      </c>
      <c r="H555" t="str">
        <f>IFERROR(__xludf.DUMMYFUNCTION("""COMPUTED_VALUE"""),"")</f>
        <v/>
      </c>
      <c r="I555" t="str">
        <f>IFERROR(__xludf.DUMMYFUNCTION("""COMPUTED_VALUE"""),"")</f>
        <v/>
      </c>
      <c r="J555">
        <f>IFERROR(__xludf.DUMMYFUNCTION("""COMPUTED_VALUE"""),0.0)</f>
        <v>0</v>
      </c>
      <c r="L555" s="250" t="str">
        <f>IFERROR(__xludf.DUMMYFUNCTION("""COMPUTED_VALUE"""),"")</f>
        <v/>
      </c>
      <c r="M555" s="250" t="str">
        <f>IFERROR(__xludf.DUMMYFUNCTION("""COMPUTED_VALUE"""),"")</f>
        <v/>
      </c>
      <c r="N555" s="250" t="str">
        <f>IFERROR(__xludf.DUMMYFUNCTION("""COMPUTED_VALUE"""),"")</f>
        <v/>
      </c>
      <c r="O555" s="250" t="str">
        <f>IFERROR(__xludf.DUMMYFUNCTION("""COMPUTED_VALUE"""),"")</f>
        <v/>
      </c>
      <c r="P555" s="250" t="str">
        <f>IFERROR(__xludf.DUMMYFUNCTION("""COMPUTED_VALUE"""),"")</f>
        <v/>
      </c>
      <c r="Q555" s="250" t="str">
        <f>IFERROR(__xludf.DUMMYFUNCTION("""COMPUTED_VALUE"""),"")</f>
        <v/>
      </c>
      <c r="R555" s="250" t="str">
        <f>IFERROR(__xludf.DUMMYFUNCTION("""COMPUTED_VALUE"""),"")</f>
        <v/>
      </c>
      <c r="U555" s="250">
        <f>IFERROR(__xludf.DUMMYFUNCTION("""COMPUTED_VALUE"""),4009.0)</f>
        <v>4009</v>
      </c>
      <c r="V555" s="250">
        <f>IFERROR(__xludf.DUMMYFUNCTION("""COMPUTED_VALUE"""),3809.0)</f>
        <v>3809</v>
      </c>
      <c r="W555" s="250">
        <f>IFERROR(__xludf.DUMMYFUNCTION("""COMPUTED_VALUE"""),3439.0)</f>
        <v>3439</v>
      </c>
      <c r="X555" t="b">
        <f t="shared" ref="X555:Z555" si="1086">ISBLANK(K555)</f>
        <v>1</v>
      </c>
      <c r="Y555" t="b">
        <f t="shared" si="1086"/>
        <v>0</v>
      </c>
      <c r="Z555" t="b">
        <f t="shared" si="1086"/>
        <v>0</v>
      </c>
      <c r="AA555">
        <f t="shared" ref="AA555:AC555" si="1087">IF(X555=FALSE,1,0)</f>
        <v>0</v>
      </c>
      <c r="AB555">
        <f t="shared" si="1087"/>
        <v>1</v>
      </c>
      <c r="AC555">
        <f t="shared" si="1087"/>
        <v>1</v>
      </c>
      <c r="AD555">
        <f t="shared" si="6"/>
        <v>2</v>
      </c>
      <c r="AE555">
        <f t="shared" si="7"/>
        <v>1</v>
      </c>
      <c r="AF555">
        <f>if(iferror(vlookup($A555,'Description Database'!$E$2:$H$951,3,0),0)=TRUE,1,0)</f>
        <v>0</v>
      </c>
      <c r="AG555">
        <f>if(iferror(vlookup($A555,'Description Database'!$E$2:$H$951,4,0),0)=TRUE,1,0)</f>
        <v>0</v>
      </c>
    </row>
    <row r="556">
      <c r="A556" t="str">
        <f>IFERROR(__xludf.DUMMYFUNCTION("""COMPUTED_VALUE"""),"ASUS LE MAX 2 (2 GB/32 GB)")</f>
        <v>ASUS LE MAX 2 (2 GB/32 GB)</v>
      </c>
      <c r="B556" t="str">
        <f>IFERROR(__xludf.DUMMYFUNCTION("""COMPUTED_VALUE"""),"")</f>
        <v/>
      </c>
      <c r="C556" t="str">
        <f>IFERROR(__xludf.DUMMYFUNCTION("""COMPUTED_VALUE"""),"")</f>
        <v/>
      </c>
      <c r="D556" t="str">
        <f>IFERROR(__xludf.DUMMYFUNCTION("""COMPUTED_VALUE"""),"")</f>
        <v/>
      </c>
      <c r="E556" t="str">
        <f>IFERROR(__xludf.DUMMYFUNCTION("""COMPUTED_VALUE"""),"")</f>
        <v/>
      </c>
      <c r="F556" t="str">
        <f>IFERROR(__xludf.DUMMYFUNCTION("""COMPUTED_VALUE"""),"")</f>
        <v/>
      </c>
      <c r="G556" t="str">
        <f>IFERROR(__xludf.DUMMYFUNCTION("""COMPUTED_VALUE"""),"")</f>
        <v/>
      </c>
      <c r="H556" t="str">
        <f>IFERROR(__xludf.DUMMYFUNCTION("""COMPUTED_VALUE"""),"")</f>
        <v/>
      </c>
      <c r="I556" t="str">
        <f>IFERROR(__xludf.DUMMYFUNCTION("""COMPUTED_VALUE"""),"")</f>
        <v/>
      </c>
      <c r="J556">
        <f>IFERROR(__xludf.DUMMYFUNCTION("""COMPUTED_VALUE"""),0.0)</f>
        <v>0</v>
      </c>
      <c r="L556" s="250" t="str">
        <f>IFERROR(__xludf.DUMMYFUNCTION("""COMPUTED_VALUE"""),"")</f>
        <v/>
      </c>
      <c r="M556" s="250" t="str">
        <f>IFERROR(__xludf.DUMMYFUNCTION("""COMPUTED_VALUE"""),"")</f>
        <v/>
      </c>
      <c r="N556" s="250" t="str">
        <f>IFERROR(__xludf.DUMMYFUNCTION("""COMPUTED_VALUE"""),"")</f>
        <v/>
      </c>
      <c r="O556" s="250" t="str">
        <f>IFERROR(__xludf.DUMMYFUNCTION("""COMPUTED_VALUE"""),"")</f>
        <v/>
      </c>
      <c r="P556" s="250" t="str">
        <f>IFERROR(__xludf.DUMMYFUNCTION("""COMPUTED_VALUE"""),"")</f>
        <v/>
      </c>
      <c r="Q556" s="250" t="str">
        <f>IFERROR(__xludf.DUMMYFUNCTION("""COMPUTED_VALUE"""),"")</f>
        <v/>
      </c>
      <c r="R556" s="250" t="str">
        <f>IFERROR(__xludf.DUMMYFUNCTION("""COMPUTED_VALUE"""),"")</f>
        <v/>
      </c>
      <c r="U556" s="250" t="str">
        <f>IFERROR(__xludf.DUMMYFUNCTION("""COMPUTED_VALUE"""),"#N/A")</f>
        <v>#N/A</v>
      </c>
      <c r="V556" s="250" t="str">
        <f>IFERROR(__xludf.DUMMYFUNCTION("""COMPUTED_VALUE"""),"#N/A")</f>
        <v>#N/A</v>
      </c>
      <c r="W556" s="250" t="str">
        <f>IFERROR(__xludf.DUMMYFUNCTION("""COMPUTED_VALUE"""),"#N/A")</f>
        <v>#N/A</v>
      </c>
      <c r="X556" t="b">
        <f t="shared" ref="X556:Z556" si="1088">ISBLANK(K556)</f>
        <v>1</v>
      </c>
      <c r="Y556" t="b">
        <f t="shared" si="1088"/>
        <v>0</v>
      </c>
      <c r="Z556" t="b">
        <f t="shared" si="1088"/>
        <v>0</v>
      </c>
      <c r="AA556">
        <f t="shared" ref="AA556:AC556" si="1089">IF(X556=FALSE,1,0)</f>
        <v>0</v>
      </c>
      <c r="AB556">
        <f t="shared" si="1089"/>
        <v>1</v>
      </c>
      <c r="AC556">
        <f t="shared" si="1089"/>
        <v>1</v>
      </c>
      <c r="AD556">
        <f t="shared" si="6"/>
        <v>2</v>
      </c>
      <c r="AE556">
        <f t="shared" si="7"/>
        <v>1</v>
      </c>
      <c r="AF556">
        <f>if(iferror(vlookup($A556,'Description Database'!$E$2:$H$951,3,0),0)=TRUE,1,0)</f>
        <v>0</v>
      </c>
      <c r="AG556">
        <f>if(iferror(vlookup($A556,'Description Database'!$E$2:$H$951,4,0),0)=TRUE,1,0)</f>
        <v>0</v>
      </c>
    </row>
    <row r="557">
      <c r="A557" t="str">
        <f>IFERROR(__xludf.DUMMYFUNCTION("""COMPUTED_VALUE"""),"Xiaomi REDMI 5 (4 GB/64 GB)")</f>
        <v>Xiaomi REDMI 5 (4 GB/64 GB)</v>
      </c>
      <c r="B557" t="str">
        <f>IFERROR(__xludf.DUMMYFUNCTION("""COMPUTED_VALUE"""),"")</f>
        <v/>
      </c>
      <c r="C557" t="str">
        <f>IFERROR(__xludf.DUMMYFUNCTION("""COMPUTED_VALUE"""),"")</f>
        <v/>
      </c>
      <c r="D557" t="str">
        <f>IFERROR(__xludf.DUMMYFUNCTION("""COMPUTED_VALUE"""),"")</f>
        <v/>
      </c>
      <c r="E557">
        <f>IFERROR(__xludf.DUMMYFUNCTION("""COMPUTED_VALUE"""),1.0)</f>
        <v>1</v>
      </c>
      <c r="F557" t="str">
        <f>IFERROR(__xludf.DUMMYFUNCTION("""COMPUTED_VALUE"""),"")</f>
        <v/>
      </c>
      <c r="G557">
        <f>IFERROR(__xludf.DUMMYFUNCTION("""COMPUTED_VALUE"""),1.0)</f>
        <v>1</v>
      </c>
      <c r="H557" t="str">
        <f>IFERROR(__xludf.DUMMYFUNCTION("""COMPUTED_VALUE"""),"")</f>
        <v/>
      </c>
      <c r="I557">
        <f>IFERROR(__xludf.DUMMYFUNCTION("""COMPUTED_VALUE"""),3.0)</f>
        <v>3</v>
      </c>
      <c r="J557">
        <f>IFERROR(__xludf.DUMMYFUNCTION("""COMPUTED_VALUE"""),5.0)</f>
        <v>5</v>
      </c>
      <c r="L557" s="250" t="str">
        <f>IFERROR(__xludf.DUMMYFUNCTION("""COMPUTED_VALUE"""),"")</f>
        <v/>
      </c>
      <c r="M557" s="250" t="str">
        <f>IFERROR(__xludf.DUMMYFUNCTION("""COMPUTED_VALUE"""),"")</f>
        <v/>
      </c>
      <c r="N557" s="250" t="str">
        <f>IFERROR(__xludf.DUMMYFUNCTION("""COMPUTED_VALUE"""),"")</f>
        <v/>
      </c>
      <c r="O557" s="250">
        <f>IFERROR(__xludf.DUMMYFUNCTION("""COMPUTED_VALUE"""),4359.0)</f>
        <v>4359</v>
      </c>
      <c r="P557" s="250" t="str">
        <f>IFERROR(__xludf.DUMMYFUNCTION("""COMPUTED_VALUE"""),"")</f>
        <v/>
      </c>
      <c r="Q557" s="250">
        <f>IFERROR(__xludf.DUMMYFUNCTION("""COMPUTED_VALUE"""),3029.0)</f>
        <v>3029</v>
      </c>
      <c r="R557" s="250" t="str">
        <f>IFERROR(__xludf.DUMMYFUNCTION("""COMPUTED_VALUE"""),"")</f>
        <v/>
      </c>
      <c r="U557" s="250">
        <f>IFERROR(__xludf.DUMMYFUNCTION("""COMPUTED_VALUE"""),6119.0)</f>
        <v>6119</v>
      </c>
      <c r="V557" s="250">
        <f>IFERROR(__xludf.DUMMYFUNCTION("""COMPUTED_VALUE"""),5819.0)</f>
        <v>5819</v>
      </c>
      <c r="W557" s="250">
        <f>IFERROR(__xludf.DUMMYFUNCTION("""COMPUTED_VALUE"""),5239.0)</f>
        <v>5239</v>
      </c>
      <c r="X557" t="b">
        <f t="shared" ref="X557:Z557" si="1090">ISBLANK(K557)</f>
        <v>1</v>
      </c>
      <c r="Y557" t="b">
        <f t="shared" si="1090"/>
        <v>0</v>
      </c>
      <c r="Z557" t="b">
        <f t="shared" si="1090"/>
        <v>0</v>
      </c>
      <c r="AA557">
        <f t="shared" ref="AA557:AC557" si="1091">IF(X557=FALSE,1,0)</f>
        <v>0</v>
      </c>
      <c r="AB557">
        <f t="shared" si="1091"/>
        <v>1</v>
      </c>
      <c r="AC557">
        <f t="shared" si="1091"/>
        <v>1</v>
      </c>
      <c r="AD557">
        <f t="shared" si="6"/>
        <v>2</v>
      </c>
      <c r="AE557">
        <f t="shared" si="7"/>
        <v>1</v>
      </c>
      <c r="AF557">
        <f>if(iferror(vlookup($A557,'Description Database'!$E$2:$H$951,3,0),0)=TRUE,1,0)</f>
        <v>0</v>
      </c>
      <c r="AG557">
        <f>if(iferror(vlookup($A557,'Description Database'!$E$2:$H$951,4,0),0)=TRUE,1,0)</f>
        <v>0</v>
      </c>
    </row>
    <row r="558">
      <c r="A558" t="str">
        <f>IFERROR(__xludf.DUMMYFUNCTION("""COMPUTED_VALUE"""),"Motorola MOTO C (2 GB/16 GB)")</f>
        <v>Motorola MOTO C (2 GB/16 GB)</v>
      </c>
      <c r="B558" t="str">
        <f>IFERROR(__xludf.DUMMYFUNCTION("""COMPUTED_VALUE"""),"")</f>
        <v/>
      </c>
      <c r="C558" t="str">
        <f>IFERROR(__xludf.DUMMYFUNCTION("""COMPUTED_VALUE"""),"")</f>
        <v/>
      </c>
      <c r="D558" t="str">
        <f>IFERROR(__xludf.DUMMYFUNCTION("""COMPUTED_VALUE"""),"")</f>
        <v/>
      </c>
      <c r="E558" t="str">
        <f>IFERROR(__xludf.DUMMYFUNCTION("""COMPUTED_VALUE"""),"")</f>
        <v/>
      </c>
      <c r="F558" t="str">
        <f>IFERROR(__xludf.DUMMYFUNCTION("""COMPUTED_VALUE"""),"")</f>
        <v/>
      </c>
      <c r="G558" t="str">
        <f>IFERROR(__xludf.DUMMYFUNCTION("""COMPUTED_VALUE"""),"")</f>
        <v/>
      </c>
      <c r="H558" t="str">
        <f>IFERROR(__xludf.DUMMYFUNCTION("""COMPUTED_VALUE"""),"")</f>
        <v/>
      </c>
      <c r="I558">
        <f>IFERROR(__xludf.DUMMYFUNCTION("""COMPUTED_VALUE"""),2.0)</f>
        <v>2</v>
      </c>
      <c r="J558">
        <f>IFERROR(__xludf.DUMMYFUNCTION("""COMPUTED_VALUE"""),2.0)</f>
        <v>2</v>
      </c>
      <c r="L558" s="250" t="str">
        <f>IFERROR(__xludf.DUMMYFUNCTION("""COMPUTED_VALUE"""),"")</f>
        <v/>
      </c>
      <c r="M558" s="250" t="str">
        <f>IFERROR(__xludf.DUMMYFUNCTION("""COMPUTED_VALUE"""),"")</f>
        <v/>
      </c>
      <c r="N558" s="250" t="str">
        <f>IFERROR(__xludf.DUMMYFUNCTION("""COMPUTED_VALUE"""),"")</f>
        <v/>
      </c>
      <c r="O558" s="250" t="str">
        <f>IFERROR(__xludf.DUMMYFUNCTION("""COMPUTED_VALUE"""),"")</f>
        <v/>
      </c>
      <c r="P558" s="250" t="str">
        <f>IFERROR(__xludf.DUMMYFUNCTION("""COMPUTED_VALUE"""),"")</f>
        <v/>
      </c>
      <c r="Q558" s="250" t="str">
        <f>IFERROR(__xludf.DUMMYFUNCTION("""COMPUTED_VALUE"""),"")</f>
        <v/>
      </c>
      <c r="R558" s="250" t="str">
        <f>IFERROR(__xludf.DUMMYFUNCTION("""COMPUTED_VALUE"""),"")</f>
        <v/>
      </c>
      <c r="U558" s="250" t="str">
        <f>IFERROR(__xludf.DUMMYFUNCTION("""COMPUTED_VALUE"""),"#N/A")</f>
        <v>#N/A</v>
      </c>
      <c r="V558" s="250" t="str">
        <f>IFERROR(__xludf.DUMMYFUNCTION("""COMPUTED_VALUE"""),"#N/A")</f>
        <v>#N/A</v>
      </c>
      <c r="W558" s="250" t="str">
        <f>IFERROR(__xludf.DUMMYFUNCTION("""COMPUTED_VALUE"""),"#N/A")</f>
        <v>#N/A</v>
      </c>
      <c r="X558" t="b">
        <f t="shared" ref="X558:Z558" si="1092">ISBLANK(K558)</f>
        <v>1</v>
      </c>
      <c r="Y558" t="b">
        <f t="shared" si="1092"/>
        <v>0</v>
      </c>
      <c r="Z558" t="b">
        <f t="shared" si="1092"/>
        <v>0</v>
      </c>
      <c r="AA558">
        <f t="shared" ref="AA558:AC558" si="1093">IF(X558=FALSE,1,0)</f>
        <v>0</v>
      </c>
      <c r="AB558">
        <f t="shared" si="1093"/>
        <v>1</v>
      </c>
      <c r="AC558">
        <f t="shared" si="1093"/>
        <v>1</v>
      </c>
      <c r="AD558">
        <f t="shared" si="6"/>
        <v>2</v>
      </c>
      <c r="AE558">
        <f t="shared" si="7"/>
        <v>1</v>
      </c>
      <c r="AF558">
        <f>if(iferror(vlookup($A558,'Description Database'!$E$2:$H$951,3,0),0)=TRUE,1,0)</f>
        <v>0</v>
      </c>
      <c r="AG558">
        <f>if(iferror(vlookup($A558,'Description Database'!$E$2:$H$951,4,0),0)=TRUE,1,0)</f>
        <v>0</v>
      </c>
    </row>
    <row r="559">
      <c r="A559" t="str">
        <f>IFERROR(__xludf.DUMMYFUNCTION("""COMPUTED_VALUE"""),"Apple IPHONE 6 (2 GB/32 GB)")</f>
        <v>Apple IPHONE 6 (2 GB/32 GB)</v>
      </c>
      <c r="B559" t="str">
        <f>IFERROR(__xludf.DUMMYFUNCTION("""COMPUTED_VALUE"""),"")</f>
        <v/>
      </c>
      <c r="C559" t="str">
        <f>IFERROR(__xludf.DUMMYFUNCTION("""COMPUTED_VALUE"""),"")</f>
        <v/>
      </c>
      <c r="D559" t="str">
        <f>IFERROR(__xludf.DUMMYFUNCTION("""COMPUTED_VALUE"""),"")</f>
        <v/>
      </c>
      <c r="E559" t="str">
        <f>IFERROR(__xludf.DUMMYFUNCTION("""COMPUTED_VALUE"""),"")</f>
        <v/>
      </c>
      <c r="F559" t="str">
        <f>IFERROR(__xludf.DUMMYFUNCTION("""COMPUTED_VALUE"""),"")</f>
        <v/>
      </c>
      <c r="G559" t="str">
        <f>IFERROR(__xludf.DUMMYFUNCTION("""COMPUTED_VALUE"""),"")</f>
        <v/>
      </c>
      <c r="H559" t="str">
        <f>IFERROR(__xludf.DUMMYFUNCTION("""COMPUTED_VALUE"""),"")</f>
        <v/>
      </c>
      <c r="I559" t="str">
        <f>IFERROR(__xludf.DUMMYFUNCTION("""COMPUTED_VALUE"""),"")</f>
        <v/>
      </c>
      <c r="J559">
        <f>IFERROR(__xludf.DUMMYFUNCTION("""COMPUTED_VALUE"""),0.0)</f>
        <v>0</v>
      </c>
      <c r="L559" s="250" t="str">
        <f>IFERROR(__xludf.DUMMYFUNCTION("""COMPUTED_VALUE"""),"")</f>
        <v/>
      </c>
      <c r="M559" s="250" t="str">
        <f>IFERROR(__xludf.DUMMYFUNCTION("""COMPUTED_VALUE"""),"")</f>
        <v/>
      </c>
      <c r="N559" s="250" t="str">
        <f>IFERROR(__xludf.DUMMYFUNCTION("""COMPUTED_VALUE"""),"")</f>
        <v/>
      </c>
      <c r="O559" s="250" t="str">
        <f>IFERROR(__xludf.DUMMYFUNCTION("""COMPUTED_VALUE"""),"")</f>
        <v/>
      </c>
      <c r="P559" s="250" t="str">
        <f>IFERROR(__xludf.DUMMYFUNCTION("""COMPUTED_VALUE"""),"")</f>
        <v/>
      </c>
      <c r="Q559" s="250" t="str">
        <f>IFERROR(__xludf.DUMMYFUNCTION("""COMPUTED_VALUE"""),"")</f>
        <v/>
      </c>
      <c r="R559" s="250" t="str">
        <f>IFERROR(__xludf.DUMMYFUNCTION("""COMPUTED_VALUE"""),"")</f>
        <v/>
      </c>
      <c r="U559" s="250" t="str">
        <f>IFERROR(__xludf.DUMMYFUNCTION("""COMPUTED_VALUE"""),"#N/A")</f>
        <v>#N/A</v>
      </c>
      <c r="V559" s="250" t="str">
        <f>IFERROR(__xludf.DUMMYFUNCTION("""COMPUTED_VALUE"""),"#N/A")</f>
        <v>#N/A</v>
      </c>
      <c r="W559" s="250" t="str">
        <f>IFERROR(__xludf.DUMMYFUNCTION("""COMPUTED_VALUE"""),"#N/A")</f>
        <v>#N/A</v>
      </c>
      <c r="X559" t="b">
        <f t="shared" ref="X559:Z559" si="1094">ISBLANK(K559)</f>
        <v>1</v>
      </c>
      <c r="Y559" t="b">
        <f t="shared" si="1094"/>
        <v>0</v>
      </c>
      <c r="Z559" t="b">
        <f t="shared" si="1094"/>
        <v>0</v>
      </c>
      <c r="AA559">
        <f t="shared" ref="AA559:AC559" si="1095">IF(X559=FALSE,1,0)</f>
        <v>0</v>
      </c>
      <c r="AB559">
        <f t="shared" si="1095"/>
        <v>1</v>
      </c>
      <c r="AC559">
        <f t="shared" si="1095"/>
        <v>1</v>
      </c>
      <c r="AD559">
        <f t="shared" si="6"/>
        <v>2</v>
      </c>
      <c r="AE559">
        <f t="shared" si="7"/>
        <v>1</v>
      </c>
      <c r="AF559">
        <f>if(iferror(vlookup($A559,'Description Database'!$E$2:$H$951,3,0),0)=TRUE,1,0)</f>
        <v>0</v>
      </c>
      <c r="AG559">
        <f>if(iferror(vlookup($A559,'Description Database'!$E$2:$H$951,4,0),0)=TRUE,1,0)</f>
        <v>0</v>
      </c>
    </row>
    <row r="560">
      <c r="A560" t="str">
        <f>IFERROR(__xludf.DUMMYFUNCTION("""COMPUTED_VALUE"""),"NOKIA 6.1+ (6 GB/64 GB)")</f>
        <v>NOKIA 6.1+ (6 GB/64 GB)</v>
      </c>
      <c r="B560" t="str">
        <f>IFERROR(__xludf.DUMMYFUNCTION("""COMPUTED_VALUE"""),"")</f>
        <v/>
      </c>
      <c r="C560" t="str">
        <f>IFERROR(__xludf.DUMMYFUNCTION("""COMPUTED_VALUE"""),"")</f>
        <v/>
      </c>
      <c r="D560" t="str">
        <f>IFERROR(__xludf.DUMMYFUNCTION("""COMPUTED_VALUE"""),"")</f>
        <v/>
      </c>
      <c r="E560" t="str">
        <f>IFERROR(__xludf.DUMMYFUNCTION("""COMPUTED_VALUE"""),"")</f>
        <v/>
      </c>
      <c r="F560" t="str">
        <f>IFERROR(__xludf.DUMMYFUNCTION("""COMPUTED_VALUE"""),"")</f>
        <v/>
      </c>
      <c r="G560" t="str">
        <f>IFERROR(__xludf.DUMMYFUNCTION("""COMPUTED_VALUE"""),"")</f>
        <v/>
      </c>
      <c r="H560" t="str">
        <f>IFERROR(__xludf.DUMMYFUNCTION("""COMPUTED_VALUE"""),"")</f>
        <v/>
      </c>
      <c r="I560">
        <f>IFERROR(__xludf.DUMMYFUNCTION("""COMPUTED_VALUE"""),4.0)</f>
        <v>4</v>
      </c>
      <c r="J560">
        <f>IFERROR(__xludf.DUMMYFUNCTION("""COMPUTED_VALUE"""),4.0)</f>
        <v>4</v>
      </c>
      <c r="L560" s="250" t="str">
        <f>IFERROR(__xludf.DUMMYFUNCTION("""COMPUTED_VALUE"""),"")</f>
        <v/>
      </c>
      <c r="M560" s="250" t="str">
        <f>IFERROR(__xludf.DUMMYFUNCTION("""COMPUTED_VALUE"""),"")</f>
        <v/>
      </c>
      <c r="N560" s="250" t="str">
        <f>IFERROR(__xludf.DUMMYFUNCTION("""COMPUTED_VALUE"""),"")</f>
        <v/>
      </c>
      <c r="O560" s="250" t="str">
        <f>IFERROR(__xludf.DUMMYFUNCTION("""COMPUTED_VALUE"""),"")</f>
        <v/>
      </c>
      <c r="P560" s="250" t="str">
        <f>IFERROR(__xludf.DUMMYFUNCTION("""COMPUTED_VALUE"""),"")</f>
        <v/>
      </c>
      <c r="Q560" s="250" t="str">
        <f>IFERROR(__xludf.DUMMYFUNCTION("""COMPUTED_VALUE"""),"")</f>
        <v/>
      </c>
      <c r="R560" s="250" t="str">
        <f>IFERROR(__xludf.DUMMYFUNCTION("""COMPUTED_VALUE"""),"")</f>
        <v/>
      </c>
      <c r="U560" s="250" t="str">
        <f>IFERROR(__xludf.DUMMYFUNCTION("""COMPUTED_VALUE"""),"#N/A")</f>
        <v>#N/A</v>
      </c>
      <c r="V560" s="250" t="str">
        <f>IFERROR(__xludf.DUMMYFUNCTION("""COMPUTED_VALUE"""),"#N/A")</f>
        <v>#N/A</v>
      </c>
      <c r="W560" s="250" t="str">
        <f>IFERROR(__xludf.DUMMYFUNCTION("""COMPUTED_VALUE"""),"#N/A")</f>
        <v>#N/A</v>
      </c>
      <c r="X560" t="b">
        <f t="shared" ref="X560:Z560" si="1096">ISBLANK(K560)</f>
        <v>1</v>
      </c>
      <c r="Y560" t="b">
        <f t="shared" si="1096"/>
        <v>0</v>
      </c>
      <c r="Z560" t="b">
        <f t="shared" si="1096"/>
        <v>0</v>
      </c>
      <c r="AA560">
        <f t="shared" ref="AA560:AC560" si="1097">IF(X560=FALSE,1,0)</f>
        <v>0</v>
      </c>
      <c r="AB560">
        <f t="shared" si="1097"/>
        <v>1</v>
      </c>
      <c r="AC560">
        <f t="shared" si="1097"/>
        <v>1</v>
      </c>
      <c r="AD560">
        <f t="shared" si="6"/>
        <v>2</v>
      </c>
      <c r="AE560">
        <f t="shared" si="7"/>
        <v>1</v>
      </c>
      <c r="AF560">
        <f>if(iferror(vlookup($A560,'Description Database'!$E$2:$H$951,3,0),0)=TRUE,1,0)</f>
        <v>0</v>
      </c>
      <c r="AG560">
        <f>if(iferror(vlookup($A560,'Description Database'!$E$2:$H$951,4,0),0)=TRUE,1,0)</f>
        <v>0</v>
      </c>
    </row>
    <row r="561">
      <c r="A561" t="str">
        <f>IFERROR(__xludf.DUMMYFUNCTION("""COMPUTED_VALUE"""),"ASUS MAX M1 (1 GB/8 GB)")</f>
        <v>ASUS MAX M1 (1 GB/8 GB)</v>
      </c>
      <c r="B561" t="str">
        <f>IFERROR(__xludf.DUMMYFUNCTION("""COMPUTED_VALUE"""),"")</f>
        <v/>
      </c>
      <c r="C561" t="str">
        <f>IFERROR(__xludf.DUMMYFUNCTION("""COMPUTED_VALUE"""),"")</f>
        <v/>
      </c>
      <c r="D561" t="str">
        <f>IFERROR(__xludf.DUMMYFUNCTION("""COMPUTED_VALUE"""),"")</f>
        <v/>
      </c>
      <c r="E561" t="str">
        <f>IFERROR(__xludf.DUMMYFUNCTION("""COMPUTED_VALUE"""),"")</f>
        <v/>
      </c>
      <c r="F561" t="str">
        <f>IFERROR(__xludf.DUMMYFUNCTION("""COMPUTED_VALUE"""),"")</f>
        <v/>
      </c>
      <c r="G561" t="str">
        <f>IFERROR(__xludf.DUMMYFUNCTION("""COMPUTED_VALUE"""),"")</f>
        <v/>
      </c>
      <c r="H561" t="str">
        <f>IFERROR(__xludf.DUMMYFUNCTION("""COMPUTED_VALUE"""),"")</f>
        <v/>
      </c>
      <c r="I561" t="str">
        <f>IFERROR(__xludf.DUMMYFUNCTION("""COMPUTED_VALUE"""),"")</f>
        <v/>
      </c>
      <c r="J561">
        <f>IFERROR(__xludf.DUMMYFUNCTION("""COMPUTED_VALUE"""),0.0)</f>
        <v>0</v>
      </c>
      <c r="L561" s="250" t="str">
        <f>IFERROR(__xludf.DUMMYFUNCTION("""COMPUTED_VALUE"""),"")</f>
        <v/>
      </c>
      <c r="M561" s="250" t="str">
        <f>IFERROR(__xludf.DUMMYFUNCTION("""COMPUTED_VALUE"""),"")</f>
        <v/>
      </c>
      <c r="N561" s="250" t="str">
        <f>IFERROR(__xludf.DUMMYFUNCTION("""COMPUTED_VALUE"""),"")</f>
        <v/>
      </c>
      <c r="O561" s="250" t="str">
        <f>IFERROR(__xludf.DUMMYFUNCTION("""COMPUTED_VALUE"""),"")</f>
        <v/>
      </c>
      <c r="P561" s="250" t="str">
        <f>IFERROR(__xludf.DUMMYFUNCTION("""COMPUTED_VALUE"""),"")</f>
        <v/>
      </c>
      <c r="Q561" s="250" t="str">
        <f>IFERROR(__xludf.DUMMYFUNCTION("""COMPUTED_VALUE"""),"")</f>
        <v/>
      </c>
      <c r="R561" s="250" t="str">
        <f>IFERROR(__xludf.DUMMYFUNCTION("""COMPUTED_VALUE"""),"")</f>
        <v/>
      </c>
      <c r="U561" s="250" t="str">
        <f>IFERROR(__xludf.DUMMYFUNCTION("""COMPUTED_VALUE"""),"#N/A")</f>
        <v>#N/A</v>
      </c>
      <c r="V561" s="250" t="str">
        <f>IFERROR(__xludf.DUMMYFUNCTION("""COMPUTED_VALUE"""),"#N/A")</f>
        <v>#N/A</v>
      </c>
      <c r="W561" s="250" t="str">
        <f>IFERROR(__xludf.DUMMYFUNCTION("""COMPUTED_VALUE"""),"#N/A")</f>
        <v>#N/A</v>
      </c>
      <c r="X561" t="b">
        <f t="shared" ref="X561:Z561" si="1098">ISBLANK(K561)</f>
        <v>1</v>
      </c>
      <c r="Y561" t="b">
        <f t="shared" si="1098"/>
        <v>0</v>
      </c>
      <c r="Z561" t="b">
        <f t="shared" si="1098"/>
        <v>0</v>
      </c>
      <c r="AA561">
        <f t="shared" ref="AA561:AC561" si="1099">IF(X561=FALSE,1,0)</f>
        <v>0</v>
      </c>
      <c r="AB561">
        <f t="shared" si="1099"/>
        <v>1</v>
      </c>
      <c r="AC561">
        <f t="shared" si="1099"/>
        <v>1</v>
      </c>
      <c r="AD561">
        <f t="shared" si="6"/>
        <v>2</v>
      </c>
      <c r="AE561">
        <f t="shared" si="7"/>
        <v>1</v>
      </c>
      <c r="AF561">
        <f>if(iferror(vlookup($A561,'Description Database'!$E$2:$H$951,3,0),0)=TRUE,1,0)</f>
        <v>0</v>
      </c>
      <c r="AG561">
        <f>if(iferror(vlookup($A561,'Description Database'!$E$2:$H$951,4,0),0)=TRUE,1,0)</f>
        <v>0</v>
      </c>
    </row>
    <row r="562">
      <c r="A562" t="str">
        <f>IFERROR(__xludf.DUMMYFUNCTION("""COMPUTED_VALUE"""),"Oppo F1 PLUS (3 GB/2 GB)")</f>
        <v>Oppo F1 PLUS (3 GB/2 GB)</v>
      </c>
      <c r="B562" t="str">
        <f>IFERROR(__xludf.DUMMYFUNCTION("""COMPUTED_VALUE"""),"")</f>
        <v/>
      </c>
      <c r="C562" t="str">
        <f>IFERROR(__xludf.DUMMYFUNCTION("""COMPUTED_VALUE"""),"")</f>
        <v/>
      </c>
      <c r="D562" t="str">
        <f>IFERROR(__xludf.DUMMYFUNCTION("""COMPUTED_VALUE"""),"")</f>
        <v/>
      </c>
      <c r="E562" t="str">
        <f>IFERROR(__xludf.DUMMYFUNCTION("""COMPUTED_VALUE"""),"")</f>
        <v/>
      </c>
      <c r="F562" t="str">
        <f>IFERROR(__xludf.DUMMYFUNCTION("""COMPUTED_VALUE"""),"")</f>
        <v/>
      </c>
      <c r="G562" t="str">
        <f>IFERROR(__xludf.DUMMYFUNCTION("""COMPUTED_VALUE"""),"")</f>
        <v/>
      </c>
      <c r="H562" t="str">
        <f>IFERROR(__xludf.DUMMYFUNCTION("""COMPUTED_VALUE"""),"")</f>
        <v/>
      </c>
      <c r="I562" t="str">
        <f>IFERROR(__xludf.DUMMYFUNCTION("""COMPUTED_VALUE"""),"")</f>
        <v/>
      </c>
      <c r="J562">
        <f>IFERROR(__xludf.DUMMYFUNCTION("""COMPUTED_VALUE"""),0.0)</f>
        <v>0</v>
      </c>
      <c r="L562" s="250" t="str">
        <f>IFERROR(__xludf.DUMMYFUNCTION("""COMPUTED_VALUE"""),"")</f>
        <v/>
      </c>
      <c r="M562" s="250" t="str">
        <f>IFERROR(__xludf.DUMMYFUNCTION("""COMPUTED_VALUE"""),"")</f>
        <v/>
      </c>
      <c r="N562" s="250" t="str">
        <f>IFERROR(__xludf.DUMMYFUNCTION("""COMPUTED_VALUE"""),"")</f>
        <v/>
      </c>
      <c r="O562" s="250" t="str">
        <f>IFERROR(__xludf.DUMMYFUNCTION("""COMPUTED_VALUE"""),"")</f>
        <v/>
      </c>
      <c r="P562" s="250" t="str">
        <f>IFERROR(__xludf.DUMMYFUNCTION("""COMPUTED_VALUE"""),"")</f>
        <v/>
      </c>
      <c r="Q562" s="250" t="str">
        <f>IFERROR(__xludf.DUMMYFUNCTION("""COMPUTED_VALUE"""),"")</f>
        <v/>
      </c>
      <c r="R562" s="250" t="str">
        <f>IFERROR(__xludf.DUMMYFUNCTION("""COMPUTED_VALUE"""),"")</f>
        <v/>
      </c>
      <c r="U562" s="250" t="str">
        <f>IFERROR(__xludf.DUMMYFUNCTION("""COMPUTED_VALUE"""),"#N/A")</f>
        <v>#N/A</v>
      </c>
      <c r="V562" s="250" t="str">
        <f>IFERROR(__xludf.DUMMYFUNCTION("""COMPUTED_VALUE"""),"#N/A")</f>
        <v>#N/A</v>
      </c>
      <c r="W562" s="250" t="str">
        <f>IFERROR(__xludf.DUMMYFUNCTION("""COMPUTED_VALUE"""),"#N/A")</f>
        <v>#N/A</v>
      </c>
      <c r="X562" t="b">
        <f t="shared" ref="X562:Z562" si="1100">ISBLANK(K562)</f>
        <v>1</v>
      </c>
      <c r="Y562" t="b">
        <f t="shared" si="1100"/>
        <v>0</v>
      </c>
      <c r="Z562" t="b">
        <f t="shared" si="1100"/>
        <v>0</v>
      </c>
      <c r="AA562">
        <f t="shared" ref="AA562:AC562" si="1101">IF(X562=FALSE,1,0)</f>
        <v>0</v>
      </c>
      <c r="AB562">
        <f t="shared" si="1101"/>
        <v>1</v>
      </c>
      <c r="AC562">
        <f t="shared" si="1101"/>
        <v>1</v>
      </c>
      <c r="AD562">
        <f t="shared" si="6"/>
        <v>2</v>
      </c>
      <c r="AE562">
        <f t="shared" si="7"/>
        <v>1</v>
      </c>
      <c r="AF562">
        <f>if(iferror(vlookup($A562,'Description Database'!$E$2:$H$951,3,0),0)=TRUE,1,0)</f>
        <v>0</v>
      </c>
      <c r="AG562">
        <f>if(iferror(vlookup($A562,'Description Database'!$E$2:$H$951,4,0),0)=TRUE,1,0)</f>
        <v>0</v>
      </c>
    </row>
    <row r="563">
      <c r="A563" t="str">
        <f>IFERROR(__xludf.DUMMYFUNCTION("""COMPUTED_VALUE"""),"Realme 2 (3 GB/32 GB)")</f>
        <v>Realme 2 (3 GB/32 GB)</v>
      </c>
      <c r="B563" t="str">
        <f>IFERROR(__xludf.DUMMYFUNCTION("""COMPUTED_VALUE"""),"")</f>
        <v/>
      </c>
      <c r="C563" t="str">
        <f>IFERROR(__xludf.DUMMYFUNCTION("""COMPUTED_VALUE"""),"")</f>
        <v/>
      </c>
      <c r="D563" t="str">
        <f>IFERROR(__xludf.DUMMYFUNCTION("""COMPUTED_VALUE"""),"")</f>
        <v/>
      </c>
      <c r="E563" t="str">
        <f>IFERROR(__xludf.DUMMYFUNCTION("""COMPUTED_VALUE"""),"")</f>
        <v/>
      </c>
      <c r="F563" t="str">
        <f>IFERROR(__xludf.DUMMYFUNCTION("""COMPUTED_VALUE"""),"")</f>
        <v/>
      </c>
      <c r="G563" t="str">
        <f>IFERROR(__xludf.DUMMYFUNCTION("""COMPUTED_VALUE"""),"")</f>
        <v/>
      </c>
      <c r="H563" t="str">
        <f>IFERROR(__xludf.DUMMYFUNCTION("""COMPUTED_VALUE"""),"")</f>
        <v/>
      </c>
      <c r="I563" t="str">
        <f>IFERROR(__xludf.DUMMYFUNCTION("""COMPUTED_VALUE"""),"")</f>
        <v/>
      </c>
      <c r="J563">
        <f>IFERROR(__xludf.DUMMYFUNCTION("""COMPUTED_VALUE"""),0.0)</f>
        <v>0</v>
      </c>
      <c r="L563" s="250" t="str">
        <f>IFERROR(__xludf.DUMMYFUNCTION("""COMPUTED_VALUE"""),"")</f>
        <v/>
      </c>
      <c r="M563" s="250" t="str">
        <f>IFERROR(__xludf.DUMMYFUNCTION("""COMPUTED_VALUE"""),"")</f>
        <v/>
      </c>
      <c r="N563" s="250" t="str">
        <f>IFERROR(__xludf.DUMMYFUNCTION("""COMPUTED_VALUE"""),"")</f>
        <v/>
      </c>
      <c r="O563" s="250" t="str">
        <f>IFERROR(__xludf.DUMMYFUNCTION("""COMPUTED_VALUE"""),"")</f>
        <v/>
      </c>
      <c r="P563" s="250" t="str">
        <f>IFERROR(__xludf.DUMMYFUNCTION("""COMPUTED_VALUE"""),"")</f>
        <v/>
      </c>
      <c r="Q563" s="250" t="str">
        <f>IFERROR(__xludf.DUMMYFUNCTION("""COMPUTED_VALUE"""),"")</f>
        <v/>
      </c>
      <c r="R563" s="250" t="str">
        <f>IFERROR(__xludf.DUMMYFUNCTION("""COMPUTED_VALUE"""),"")</f>
        <v/>
      </c>
      <c r="U563" s="250" t="str">
        <f>IFERROR(__xludf.DUMMYFUNCTION("""COMPUTED_VALUE"""),"#N/A")</f>
        <v>#N/A</v>
      </c>
      <c r="V563" s="250" t="str">
        <f>IFERROR(__xludf.DUMMYFUNCTION("""COMPUTED_VALUE"""),"#N/A")</f>
        <v>#N/A</v>
      </c>
      <c r="W563" s="250" t="str">
        <f>IFERROR(__xludf.DUMMYFUNCTION("""COMPUTED_VALUE"""),"#N/A")</f>
        <v>#N/A</v>
      </c>
      <c r="X563" t="b">
        <f t="shared" ref="X563:Z563" si="1102">ISBLANK(K563)</f>
        <v>1</v>
      </c>
      <c r="Y563" t="b">
        <f t="shared" si="1102"/>
        <v>0</v>
      </c>
      <c r="Z563" t="b">
        <f t="shared" si="1102"/>
        <v>0</v>
      </c>
      <c r="AA563">
        <f t="shared" ref="AA563:AC563" si="1103">IF(X563=FALSE,1,0)</f>
        <v>0</v>
      </c>
      <c r="AB563">
        <f t="shared" si="1103"/>
        <v>1</v>
      </c>
      <c r="AC563">
        <f t="shared" si="1103"/>
        <v>1</v>
      </c>
      <c r="AD563">
        <f t="shared" si="6"/>
        <v>2</v>
      </c>
      <c r="AE563">
        <f t="shared" si="7"/>
        <v>1</v>
      </c>
      <c r="AF563">
        <f>if(iferror(vlookup($A563,'Description Database'!$E$2:$H$951,3,0),0)=TRUE,1,0)</f>
        <v>0</v>
      </c>
      <c r="AG563">
        <f>if(iferror(vlookup($A563,'Description Database'!$E$2:$H$951,4,0),0)=TRUE,1,0)</f>
        <v>0</v>
      </c>
    </row>
    <row r="564">
      <c r="A564" t="str">
        <f>IFERROR(__xludf.DUMMYFUNCTION("""COMPUTED_VALUE"""),"Xiaomi POCO F1 (4 GB/64 GB)")</f>
        <v>Xiaomi POCO F1 (4 GB/64 GB)</v>
      </c>
      <c r="B564" t="str">
        <f>IFERROR(__xludf.DUMMYFUNCTION("""COMPUTED_VALUE"""),"")</f>
        <v/>
      </c>
      <c r="C564" t="str">
        <f>IFERROR(__xludf.DUMMYFUNCTION("""COMPUTED_VALUE"""),"")</f>
        <v/>
      </c>
      <c r="D564" t="str">
        <f>IFERROR(__xludf.DUMMYFUNCTION("""COMPUTED_VALUE"""),"")</f>
        <v/>
      </c>
      <c r="E564" t="str">
        <f>IFERROR(__xludf.DUMMYFUNCTION("""COMPUTED_VALUE"""),"")</f>
        <v/>
      </c>
      <c r="F564" t="str">
        <f>IFERROR(__xludf.DUMMYFUNCTION("""COMPUTED_VALUE"""),"")</f>
        <v/>
      </c>
      <c r="G564" t="str">
        <f>IFERROR(__xludf.DUMMYFUNCTION("""COMPUTED_VALUE"""),"")</f>
        <v/>
      </c>
      <c r="H564" t="str">
        <f>IFERROR(__xludf.DUMMYFUNCTION("""COMPUTED_VALUE"""),"")</f>
        <v/>
      </c>
      <c r="I564" t="str">
        <f>IFERROR(__xludf.DUMMYFUNCTION("""COMPUTED_VALUE"""),"")</f>
        <v/>
      </c>
      <c r="J564">
        <f>IFERROR(__xludf.DUMMYFUNCTION("""COMPUTED_VALUE"""),0.0)</f>
        <v>0</v>
      </c>
      <c r="L564" s="250" t="str">
        <f>IFERROR(__xludf.DUMMYFUNCTION("""COMPUTED_VALUE"""),"")</f>
        <v/>
      </c>
      <c r="M564" s="250" t="str">
        <f>IFERROR(__xludf.DUMMYFUNCTION("""COMPUTED_VALUE"""),"")</f>
        <v/>
      </c>
      <c r="N564" s="250" t="str">
        <f>IFERROR(__xludf.DUMMYFUNCTION("""COMPUTED_VALUE"""),"")</f>
        <v/>
      </c>
      <c r="O564" s="250" t="str">
        <f>IFERROR(__xludf.DUMMYFUNCTION("""COMPUTED_VALUE"""),"")</f>
        <v/>
      </c>
      <c r="P564" s="250" t="str">
        <f>IFERROR(__xludf.DUMMYFUNCTION("""COMPUTED_VALUE"""),"")</f>
        <v/>
      </c>
      <c r="Q564" s="250" t="str">
        <f>IFERROR(__xludf.DUMMYFUNCTION("""COMPUTED_VALUE"""),"")</f>
        <v/>
      </c>
      <c r="R564" s="250" t="str">
        <f>IFERROR(__xludf.DUMMYFUNCTION("""COMPUTED_VALUE"""),"")</f>
        <v/>
      </c>
      <c r="U564" s="250" t="str">
        <f>IFERROR(__xludf.DUMMYFUNCTION("""COMPUTED_VALUE"""),"#N/A")</f>
        <v>#N/A</v>
      </c>
      <c r="V564" s="250" t="str">
        <f>IFERROR(__xludf.DUMMYFUNCTION("""COMPUTED_VALUE"""),"#N/A")</f>
        <v>#N/A</v>
      </c>
      <c r="W564" s="250" t="str">
        <f>IFERROR(__xludf.DUMMYFUNCTION("""COMPUTED_VALUE"""),"#N/A")</f>
        <v>#N/A</v>
      </c>
      <c r="X564" t="b">
        <f t="shared" ref="X564:Z564" si="1104">ISBLANK(K564)</f>
        <v>1</v>
      </c>
      <c r="Y564" t="b">
        <f t="shared" si="1104"/>
        <v>0</v>
      </c>
      <c r="Z564" t="b">
        <f t="shared" si="1104"/>
        <v>0</v>
      </c>
      <c r="AA564">
        <f t="shared" ref="AA564:AC564" si="1105">IF(X564=FALSE,1,0)</f>
        <v>0</v>
      </c>
      <c r="AB564">
        <f t="shared" si="1105"/>
        <v>1</v>
      </c>
      <c r="AC564">
        <f t="shared" si="1105"/>
        <v>1</v>
      </c>
      <c r="AD564">
        <f t="shared" si="6"/>
        <v>2</v>
      </c>
      <c r="AE564">
        <f t="shared" si="7"/>
        <v>1</v>
      </c>
      <c r="AF564">
        <f>if(iferror(vlookup($A564,'Description Database'!$E$2:$H$951,3,0),0)=TRUE,1,0)</f>
        <v>0</v>
      </c>
      <c r="AG564">
        <f>if(iferror(vlookup($A564,'Description Database'!$E$2:$H$951,4,0),0)=TRUE,1,0)</f>
        <v>0</v>
      </c>
    </row>
    <row r="565">
      <c r="A565" t="str">
        <f>IFERROR(__xludf.DUMMYFUNCTION("""COMPUTED_VALUE"""),"Google PIXEL XL (4 GB/128 GB)")</f>
        <v>Google PIXEL XL (4 GB/128 GB)</v>
      </c>
      <c r="B565" t="str">
        <f>IFERROR(__xludf.DUMMYFUNCTION("""COMPUTED_VALUE"""),"")</f>
        <v/>
      </c>
      <c r="C565" t="str">
        <f>IFERROR(__xludf.DUMMYFUNCTION("""COMPUTED_VALUE"""),"")</f>
        <v/>
      </c>
      <c r="D565" t="str">
        <f>IFERROR(__xludf.DUMMYFUNCTION("""COMPUTED_VALUE"""),"")</f>
        <v/>
      </c>
      <c r="E565" t="str">
        <f>IFERROR(__xludf.DUMMYFUNCTION("""COMPUTED_VALUE"""),"")</f>
        <v/>
      </c>
      <c r="F565" t="str">
        <f>IFERROR(__xludf.DUMMYFUNCTION("""COMPUTED_VALUE"""),"")</f>
        <v/>
      </c>
      <c r="G565" t="str">
        <f>IFERROR(__xludf.DUMMYFUNCTION("""COMPUTED_VALUE"""),"")</f>
        <v/>
      </c>
      <c r="H565" t="str">
        <f>IFERROR(__xludf.DUMMYFUNCTION("""COMPUTED_VALUE"""),"")</f>
        <v/>
      </c>
      <c r="I565" t="str">
        <f>IFERROR(__xludf.DUMMYFUNCTION("""COMPUTED_VALUE"""),"")</f>
        <v/>
      </c>
      <c r="J565">
        <f>IFERROR(__xludf.DUMMYFUNCTION("""COMPUTED_VALUE"""),0.0)</f>
        <v>0</v>
      </c>
      <c r="L565" s="250" t="str">
        <f>IFERROR(__xludf.DUMMYFUNCTION("""COMPUTED_VALUE"""),"")</f>
        <v/>
      </c>
      <c r="M565" s="250" t="str">
        <f>IFERROR(__xludf.DUMMYFUNCTION("""COMPUTED_VALUE"""),"")</f>
        <v/>
      </c>
      <c r="N565" s="250" t="str">
        <f>IFERROR(__xludf.DUMMYFUNCTION("""COMPUTED_VALUE"""),"")</f>
        <v/>
      </c>
      <c r="O565" s="250" t="str">
        <f>IFERROR(__xludf.DUMMYFUNCTION("""COMPUTED_VALUE"""),"")</f>
        <v/>
      </c>
      <c r="P565" s="250" t="str">
        <f>IFERROR(__xludf.DUMMYFUNCTION("""COMPUTED_VALUE"""),"")</f>
        <v/>
      </c>
      <c r="Q565" s="250" t="str">
        <f>IFERROR(__xludf.DUMMYFUNCTION("""COMPUTED_VALUE"""),"")</f>
        <v/>
      </c>
      <c r="R565" s="250" t="str">
        <f>IFERROR(__xludf.DUMMYFUNCTION("""COMPUTED_VALUE"""),"")</f>
        <v/>
      </c>
      <c r="U565" s="250" t="str">
        <f>IFERROR(__xludf.DUMMYFUNCTION("""COMPUTED_VALUE"""),"#N/A")</f>
        <v>#N/A</v>
      </c>
      <c r="V565" s="250" t="str">
        <f>IFERROR(__xludf.DUMMYFUNCTION("""COMPUTED_VALUE"""),"#N/A")</f>
        <v>#N/A</v>
      </c>
      <c r="W565" s="250" t="str">
        <f>IFERROR(__xludf.DUMMYFUNCTION("""COMPUTED_VALUE"""),"#N/A")</f>
        <v>#N/A</v>
      </c>
      <c r="X565" t="b">
        <f t="shared" ref="X565:Z565" si="1106">ISBLANK(K565)</f>
        <v>1</v>
      </c>
      <c r="Y565" t="b">
        <f t="shared" si="1106"/>
        <v>0</v>
      </c>
      <c r="Z565" t="b">
        <f t="shared" si="1106"/>
        <v>0</v>
      </c>
      <c r="AA565">
        <f t="shared" ref="AA565:AC565" si="1107">IF(X565=FALSE,1,0)</f>
        <v>0</v>
      </c>
      <c r="AB565">
        <f t="shared" si="1107"/>
        <v>1</v>
      </c>
      <c r="AC565">
        <f t="shared" si="1107"/>
        <v>1</v>
      </c>
      <c r="AD565">
        <f t="shared" si="6"/>
        <v>2</v>
      </c>
      <c r="AE565">
        <f t="shared" si="7"/>
        <v>1</v>
      </c>
      <c r="AF565">
        <f>if(iferror(vlookup($A565,'Description Database'!$E$2:$H$951,3,0),0)=TRUE,1,0)</f>
        <v>0</v>
      </c>
      <c r="AG565">
        <f>if(iferror(vlookup($A565,'Description Database'!$E$2:$H$951,4,0),0)=TRUE,1,0)</f>
        <v>0</v>
      </c>
    </row>
    <row r="566">
      <c r="A566" t="str">
        <f>IFERROR(__xludf.DUMMYFUNCTION("""COMPUTED_VALUE"""),"COOLPAD REDMI NOTE 3 (1 GB/16 GB)")</f>
        <v>COOLPAD REDMI NOTE 3 (1 GB/16 GB)</v>
      </c>
      <c r="B566" t="str">
        <f>IFERROR(__xludf.DUMMYFUNCTION("""COMPUTED_VALUE"""),"")</f>
        <v/>
      </c>
      <c r="C566" t="str">
        <f>IFERROR(__xludf.DUMMYFUNCTION("""COMPUTED_VALUE"""),"")</f>
        <v/>
      </c>
      <c r="D566" t="str">
        <f>IFERROR(__xludf.DUMMYFUNCTION("""COMPUTED_VALUE"""),"")</f>
        <v/>
      </c>
      <c r="E566" t="str">
        <f>IFERROR(__xludf.DUMMYFUNCTION("""COMPUTED_VALUE"""),"")</f>
        <v/>
      </c>
      <c r="F566" t="str">
        <f>IFERROR(__xludf.DUMMYFUNCTION("""COMPUTED_VALUE"""),"")</f>
        <v/>
      </c>
      <c r="G566" t="str">
        <f>IFERROR(__xludf.DUMMYFUNCTION("""COMPUTED_VALUE"""),"")</f>
        <v/>
      </c>
      <c r="H566" t="str">
        <f>IFERROR(__xludf.DUMMYFUNCTION("""COMPUTED_VALUE"""),"")</f>
        <v/>
      </c>
      <c r="I566" t="str">
        <f>IFERROR(__xludf.DUMMYFUNCTION("""COMPUTED_VALUE"""),"")</f>
        <v/>
      </c>
      <c r="J566">
        <f>IFERROR(__xludf.DUMMYFUNCTION("""COMPUTED_VALUE"""),0.0)</f>
        <v>0</v>
      </c>
      <c r="L566" s="250" t="str">
        <f>IFERROR(__xludf.DUMMYFUNCTION("""COMPUTED_VALUE"""),"")</f>
        <v/>
      </c>
      <c r="M566" s="250" t="str">
        <f>IFERROR(__xludf.DUMMYFUNCTION("""COMPUTED_VALUE"""),"")</f>
        <v/>
      </c>
      <c r="N566" s="250" t="str">
        <f>IFERROR(__xludf.DUMMYFUNCTION("""COMPUTED_VALUE"""),"")</f>
        <v/>
      </c>
      <c r="O566" s="250" t="str">
        <f>IFERROR(__xludf.DUMMYFUNCTION("""COMPUTED_VALUE"""),"")</f>
        <v/>
      </c>
      <c r="P566" s="250" t="str">
        <f>IFERROR(__xludf.DUMMYFUNCTION("""COMPUTED_VALUE"""),"")</f>
        <v/>
      </c>
      <c r="Q566" s="250" t="str">
        <f>IFERROR(__xludf.DUMMYFUNCTION("""COMPUTED_VALUE"""),"")</f>
        <v/>
      </c>
      <c r="R566" s="250" t="str">
        <f>IFERROR(__xludf.DUMMYFUNCTION("""COMPUTED_VALUE"""),"")</f>
        <v/>
      </c>
      <c r="U566" s="250" t="str">
        <f>IFERROR(__xludf.DUMMYFUNCTION("""COMPUTED_VALUE"""),"#N/A")</f>
        <v>#N/A</v>
      </c>
      <c r="V566" s="250" t="str">
        <f>IFERROR(__xludf.DUMMYFUNCTION("""COMPUTED_VALUE"""),"#N/A")</f>
        <v>#N/A</v>
      </c>
      <c r="W566" s="250" t="str">
        <f>IFERROR(__xludf.DUMMYFUNCTION("""COMPUTED_VALUE"""),"#N/A")</f>
        <v>#N/A</v>
      </c>
      <c r="X566" t="b">
        <f t="shared" ref="X566:Z566" si="1108">ISBLANK(K566)</f>
        <v>1</v>
      </c>
      <c r="Y566" t="b">
        <f t="shared" si="1108"/>
        <v>0</v>
      </c>
      <c r="Z566" t="b">
        <f t="shared" si="1108"/>
        <v>0</v>
      </c>
      <c r="AA566">
        <f t="shared" ref="AA566:AC566" si="1109">IF(X566=FALSE,1,0)</f>
        <v>0</v>
      </c>
      <c r="AB566">
        <f t="shared" si="1109"/>
        <v>1</v>
      </c>
      <c r="AC566">
        <f t="shared" si="1109"/>
        <v>1</v>
      </c>
      <c r="AD566">
        <f t="shared" si="6"/>
        <v>2</v>
      </c>
      <c r="AE566">
        <f t="shared" si="7"/>
        <v>1</v>
      </c>
      <c r="AF566">
        <f>if(iferror(vlookup($A566,'Description Database'!$E$2:$H$951,3,0),0)=TRUE,1,0)</f>
        <v>0</v>
      </c>
      <c r="AG566">
        <f>if(iferror(vlookup($A566,'Description Database'!$E$2:$H$951,4,0),0)=TRUE,1,0)</f>
        <v>0</v>
      </c>
    </row>
    <row r="567">
      <c r="A567" t="str">
        <f>IFERROR(__xludf.DUMMYFUNCTION("""COMPUTED_VALUE"""),"Samsung GALAXY QUATTRO (1 GB/8 GB)")</f>
        <v>Samsung GALAXY QUATTRO (1 GB/8 GB)</v>
      </c>
      <c r="B567" t="str">
        <f>IFERROR(__xludf.DUMMYFUNCTION("""COMPUTED_VALUE"""),"")</f>
        <v/>
      </c>
      <c r="C567" t="str">
        <f>IFERROR(__xludf.DUMMYFUNCTION("""COMPUTED_VALUE"""),"")</f>
        <v/>
      </c>
      <c r="D567" t="str">
        <f>IFERROR(__xludf.DUMMYFUNCTION("""COMPUTED_VALUE"""),"")</f>
        <v/>
      </c>
      <c r="E567" t="str">
        <f>IFERROR(__xludf.DUMMYFUNCTION("""COMPUTED_VALUE"""),"")</f>
        <v/>
      </c>
      <c r="F567" t="str">
        <f>IFERROR(__xludf.DUMMYFUNCTION("""COMPUTED_VALUE"""),"")</f>
        <v/>
      </c>
      <c r="G567" t="str">
        <f>IFERROR(__xludf.DUMMYFUNCTION("""COMPUTED_VALUE"""),"")</f>
        <v/>
      </c>
      <c r="H567" t="str">
        <f>IFERROR(__xludf.DUMMYFUNCTION("""COMPUTED_VALUE"""),"")</f>
        <v/>
      </c>
      <c r="I567" t="str">
        <f>IFERROR(__xludf.DUMMYFUNCTION("""COMPUTED_VALUE"""),"")</f>
        <v/>
      </c>
      <c r="J567">
        <f>IFERROR(__xludf.DUMMYFUNCTION("""COMPUTED_VALUE"""),0.0)</f>
        <v>0</v>
      </c>
      <c r="L567" s="250" t="str">
        <f>IFERROR(__xludf.DUMMYFUNCTION("""COMPUTED_VALUE"""),"")</f>
        <v/>
      </c>
      <c r="M567" s="250" t="str">
        <f>IFERROR(__xludf.DUMMYFUNCTION("""COMPUTED_VALUE"""),"")</f>
        <v/>
      </c>
      <c r="N567" s="250" t="str">
        <f>IFERROR(__xludf.DUMMYFUNCTION("""COMPUTED_VALUE"""),"")</f>
        <v/>
      </c>
      <c r="O567" s="250" t="str">
        <f>IFERROR(__xludf.DUMMYFUNCTION("""COMPUTED_VALUE"""),"")</f>
        <v/>
      </c>
      <c r="P567" s="250" t="str">
        <f>IFERROR(__xludf.DUMMYFUNCTION("""COMPUTED_VALUE"""),"")</f>
        <v/>
      </c>
      <c r="Q567" s="250" t="str">
        <f>IFERROR(__xludf.DUMMYFUNCTION("""COMPUTED_VALUE"""),"")</f>
        <v/>
      </c>
      <c r="R567" s="250" t="str">
        <f>IFERROR(__xludf.DUMMYFUNCTION("""COMPUTED_VALUE"""),"")</f>
        <v/>
      </c>
      <c r="U567" s="250" t="str">
        <f>IFERROR(__xludf.DUMMYFUNCTION("""COMPUTED_VALUE"""),"#N/A")</f>
        <v>#N/A</v>
      </c>
      <c r="V567" s="250" t="str">
        <f>IFERROR(__xludf.DUMMYFUNCTION("""COMPUTED_VALUE"""),"#N/A")</f>
        <v>#N/A</v>
      </c>
      <c r="W567" s="250" t="str">
        <f>IFERROR(__xludf.DUMMYFUNCTION("""COMPUTED_VALUE"""),"#N/A")</f>
        <v>#N/A</v>
      </c>
      <c r="X567" t="b">
        <f t="shared" ref="X567:Z567" si="1110">ISBLANK(K567)</f>
        <v>1</v>
      </c>
      <c r="Y567" t="b">
        <f t="shared" si="1110"/>
        <v>0</v>
      </c>
      <c r="Z567" t="b">
        <f t="shared" si="1110"/>
        <v>0</v>
      </c>
      <c r="AA567">
        <f t="shared" ref="AA567:AC567" si="1111">IF(X567=FALSE,1,0)</f>
        <v>0</v>
      </c>
      <c r="AB567">
        <f t="shared" si="1111"/>
        <v>1</v>
      </c>
      <c r="AC567">
        <f t="shared" si="1111"/>
        <v>1</v>
      </c>
      <c r="AD567">
        <f t="shared" si="6"/>
        <v>2</v>
      </c>
      <c r="AE567">
        <f t="shared" si="7"/>
        <v>1</v>
      </c>
      <c r="AF567">
        <f>if(iferror(vlookup($A567,'Description Database'!$E$2:$H$951,3,0),0)=TRUE,1,0)</f>
        <v>0</v>
      </c>
      <c r="AG567">
        <f>if(iferror(vlookup($A567,'Description Database'!$E$2:$H$951,4,0),0)=TRUE,1,0)</f>
        <v>0</v>
      </c>
    </row>
    <row r="568">
      <c r="A568" t="str">
        <f>IFERROR(__xludf.DUMMYFUNCTION("""COMPUTED_VALUE"""),"Xiaomi REDMI Y2 (2 GB/32 GB)")</f>
        <v>Xiaomi REDMI Y2 (2 GB/32 GB)</v>
      </c>
      <c r="B568" t="str">
        <f>IFERROR(__xludf.DUMMYFUNCTION("""COMPUTED_VALUE"""),"")</f>
        <v/>
      </c>
      <c r="C568" t="str">
        <f>IFERROR(__xludf.DUMMYFUNCTION("""COMPUTED_VALUE"""),"")</f>
        <v/>
      </c>
      <c r="D568" t="str">
        <f>IFERROR(__xludf.DUMMYFUNCTION("""COMPUTED_VALUE"""),"")</f>
        <v/>
      </c>
      <c r="E568" t="str">
        <f>IFERROR(__xludf.DUMMYFUNCTION("""COMPUTED_VALUE"""),"")</f>
        <v/>
      </c>
      <c r="F568" t="str">
        <f>IFERROR(__xludf.DUMMYFUNCTION("""COMPUTED_VALUE"""),"")</f>
        <v/>
      </c>
      <c r="G568" t="str">
        <f>IFERROR(__xludf.DUMMYFUNCTION("""COMPUTED_VALUE"""),"")</f>
        <v/>
      </c>
      <c r="H568" t="str">
        <f>IFERROR(__xludf.DUMMYFUNCTION("""COMPUTED_VALUE"""),"")</f>
        <v/>
      </c>
      <c r="I568" t="str">
        <f>IFERROR(__xludf.DUMMYFUNCTION("""COMPUTED_VALUE"""),"")</f>
        <v/>
      </c>
      <c r="J568">
        <f>IFERROR(__xludf.DUMMYFUNCTION("""COMPUTED_VALUE"""),0.0)</f>
        <v>0</v>
      </c>
      <c r="L568" s="250" t="str">
        <f>IFERROR(__xludf.DUMMYFUNCTION("""COMPUTED_VALUE"""),"")</f>
        <v/>
      </c>
      <c r="M568" s="250" t="str">
        <f>IFERROR(__xludf.DUMMYFUNCTION("""COMPUTED_VALUE"""),"")</f>
        <v/>
      </c>
      <c r="N568" s="250" t="str">
        <f>IFERROR(__xludf.DUMMYFUNCTION("""COMPUTED_VALUE"""),"")</f>
        <v/>
      </c>
      <c r="O568" s="250" t="str">
        <f>IFERROR(__xludf.DUMMYFUNCTION("""COMPUTED_VALUE"""),"")</f>
        <v/>
      </c>
      <c r="P568" s="250" t="str">
        <f>IFERROR(__xludf.DUMMYFUNCTION("""COMPUTED_VALUE"""),"")</f>
        <v/>
      </c>
      <c r="Q568" s="250" t="str">
        <f>IFERROR(__xludf.DUMMYFUNCTION("""COMPUTED_VALUE"""),"")</f>
        <v/>
      </c>
      <c r="R568" s="250" t="str">
        <f>IFERROR(__xludf.DUMMYFUNCTION("""COMPUTED_VALUE"""),"")</f>
        <v/>
      </c>
      <c r="U568" s="250" t="str">
        <f>IFERROR(__xludf.DUMMYFUNCTION("""COMPUTED_VALUE"""),"#N/A")</f>
        <v>#N/A</v>
      </c>
      <c r="V568" s="250" t="str">
        <f>IFERROR(__xludf.DUMMYFUNCTION("""COMPUTED_VALUE"""),"#N/A")</f>
        <v>#N/A</v>
      </c>
      <c r="W568" s="250" t="str">
        <f>IFERROR(__xludf.DUMMYFUNCTION("""COMPUTED_VALUE"""),"#N/A")</f>
        <v>#N/A</v>
      </c>
      <c r="X568" t="b">
        <f t="shared" ref="X568:Z568" si="1112">ISBLANK(K568)</f>
        <v>1</v>
      </c>
      <c r="Y568" t="b">
        <f t="shared" si="1112"/>
        <v>0</v>
      </c>
      <c r="Z568" t="b">
        <f t="shared" si="1112"/>
        <v>0</v>
      </c>
      <c r="AA568">
        <f t="shared" ref="AA568:AC568" si="1113">IF(X568=FALSE,1,0)</f>
        <v>0</v>
      </c>
      <c r="AB568">
        <f t="shared" si="1113"/>
        <v>1</v>
      </c>
      <c r="AC568">
        <f t="shared" si="1113"/>
        <v>1</v>
      </c>
      <c r="AD568">
        <f t="shared" si="6"/>
        <v>2</v>
      </c>
      <c r="AE568">
        <f t="shared" si="7"/>
        <v>1</v>
      </c>
      <c r="AF568">
        <f>if(iferror(vlookup($A568,'Description Database'!$E$2:$H$951,3,0),0)=TRUE,1,0)</f>
        <v>0</v>
      </c>
      <c r="AG568">
        <f>if(iferror(vlookup($A568,'Description Database'!$E$2:$H$951,4,0),0)=TRUE,1,0)</f>
        <v>0</v>
      </c>
    </row>
    <row r="569">
      <c r="A569" t="str">
        <f>IFERROR(__xludf.DUMMYFUNCTION("""COMPUTED_VALUE"""),"Samsung GALAXY A6+ 2018 (4 GB/64 GB)")</f>
        <v>Samsung GALAXY A6+ 2018 (4 GB/64 GB)</v>
      </c>
      <c r="B569" t="str">
        <f>IFERROR(__xludf.DUMMYFUNCTION("""COMPUTED_VALUE"""),"")</f>
        <v/>
      </c>
      <c r="C569" t="str">
        <f>IFERROR(__xludf.DUMMYFUNCTION("""COMPUTED_VALUE"""),"")</f>
        <v/>
      </c>
      <c r="D569" t="str">
        <f>IFERROR(__xludf.DUMMYFUNCTION("""COMPUTED_VALUE"""),"")</f>
        <v/>
      </c>
      <c r="E569" t="str">
        <f>IFERROR(__xludf.DUMMYFUNCTION("""COMPUTED_VALUE"""),"")</f>
        <v/>
      </c>
      <c r="F569" t="str">
        <f>IFERROR(__xludf.DUMMYFUNCTION("""COMPUTED_VALUE"""),"")</f>
        <v/>
      </c>
      <c r="G569" t="str">
        <f>IFERROR(__xludf.DUMMYFUNCTION("""COMPUTED_VALUE"""),"")</f>
        <v/>
      </c>
      <c r="H569" t="str">
        <f>IFERROR(__xludf.DUMMYFUNCTION("""COMPUTED_VALUE"""),"")</f>
        <v/>
      </c>
      <c r="I569" t="str">
        <f>IFERROR(__xludf.DUMMYFUNCTION("""COMPUTED_VALUE"""),"")</f>
        <v/>
      </c>
      <c r="J569">
        <f>IFERROR(__xludf.DUMMYFUNCTION("""COMPUTED_VALUE"""),0.0)</f>
        <v>0</v>
      </c>
      <c r="L569" s="250" t="str">
        <f>IFERROR(__xludf.DUMMYFUNCTION("""COMPUTED_VALUE"""),"")</f>
        <v/>
      </c>
      <c r="M569" s="250" t="str">
        <f>IFERROR(__xludf.DUMMYFUNCTION("""COMPUTED_VALUE"""),"")</f>
        <v/>
      </c>
      <c r="N569" s="250" t="str">
        <f>IFERROR(__xludf.DUMMYFUNCTION("""COMPUTED_VALUE"""),"")</f>
        <v/>
      </c>
      <c r="O569" s="250" t="str">
        <f>IFERROR(__xludf.DUMMYFUNCTION("""COMPUTED_VALUE"""),"")</f>
        <v/>
      </c>
      <c r="P569" s="250" t="str">
        <f>IFERROR(__xludf.DUMMYFUNCTION("""COMPUTED_VALUE"""),"")</f>
        <v/>
      </c>
      <c r="Q569" s="250" t="str">
        <f>IFERROR(__xludf.DUMMYFUNCTION("""COMPUTED_VALUE"""),"")</f>
        <v/>
      </c>
      <c r="R569" s="250" t="str">
        <f>IFERROR(__xludf.DUMMYFUNCTION("""COMPUTED_VALUE"""),"")</f>
        <v/>
      </c>
      <c r="U569" s="250" t="str">
        <f>IFERROR(__xludf.DUMMYFUNCTION("""COMPUTED_VALUE"""),"#N/A")</f>
        <v>#N/A</v>
      </c>
      <c r="V569" s="250" t="str">
        <f>IFERROR(__xludf.DUMMYFUNCTION("""COMPUTED_VALUE"""),"#N/A")</f>
        <v>#N/A</v>
      </c>
      <c r="W569" s="250" t="str">
        <f>IFERROR(__xludf.DUMMYFUNCTION("""COMPUTED_VALUE"""),"#N/A")</f>
        <v>#N/A</v>
      </c>
      <c r="X569" t="b">
        <f t="shared" ref="X569:Z569" si="1114">ISBLANK(K569)</f>
        <v>1</v>
      </c>
      <c r="Y569" t="b">
        <f t="shared" si="1114"/>
        <v>0</v>
      </c>
      <c r="Z569" t="b">
        <f t="shared" si="1114"/>
        <v>0</v>
      </c>
      <c r="AA569">
        <f t="shared" ref="AA569:AC569" si="1115">IF(X569=FALSE,1,0)</f>
        <v>0</v>
      </c>
      <c r="AB569">
        <f t="shared" si="1115"/>
        <v>1</v>
      </c>
      <c r="AC569">
        <f t="shared" si="1115"/>
        <v>1</v>
      </c>
      <c r="AD569">
        <f t="shared" si="6"/>
        <v>2</v>
      </c>
      <c r="AE569">
        <f t="shared" si="7"/>
        <v>1</v>
      </c>
      <c r="AF569">
        <f>if(iferror(vlookup($A569,'Description Database'!$E$2:$H$951,3,0),0)=TRUE,1,0)</f>
        <v>0</v>
      </c>
      <c r="AG569">
        <f>if(iferror(vlookup($A569,'Description Database'!$E$2:$H$951,4,0),0)=TRUE,1,0)</f>
        <v>0</v>
      </c>
    </row>
    <row r="570">
      <c r="A570" t="str">
        <f>IFERROR(__xludf.DUMMYFUNCTION("""COMPUTED_VALUE"""),"Xiaomi REDMI 7A (3 GB/32 GB)")</f>
        <v>Xiaomi REDMI 7A (3 GB/32 GB)</v>
      </c>
      <c r="B570" t="str">
        <f>IFERROR(__xludf.DUMMYFUNCTION("""COMPUTED_VALUE"""),"")</f>
        <v/>
      </c>
      <c r="C570" t="str">
        <f>IFERROR(__xludf.DUMMYFUNCTION("""COMPUTED_VALUE"""),"")</f>
        <v/>
      </c>
      <c r="D570" t="str">
        <f>IFERROR(__xludf.DUMMYFUNCTION("""COMPUTED_VALUE"""),"")</f>
        <v/>
      </c>
      <c r="E570" t="str">
        <f>IFERROR(__xludf.DUMMYFUNCTION("""COMPUTED_VALUE"""),"")</f>
        <v/>
      </c>
      <c r="F570" t="str">
        <f>IFERROR(__xludf.DUMMYFUNCTION("""COMPUTED_VALUE"""),"")</f>
        <v/>
      </c>
      <c r="G570" t="str">
        <f>IFERROR(__xludf.DUMMYFUNCTION("""COMPUTED_VALUE"""),"")</f>
        <v/>
      </c>
      <c r="H570" t="str">
        <f>IFERROR(__xludf.DUMMYFUNCTION("""COMPUTED_VALUE"""),"")</f>
        <v/>
      </c>
      <c r="I570" t="str">
        <f>IFERROR(__xludf.DUMMYFUNCTION("""COMPUTED_VALUE"""),"")</f>
        <v/>
      </c>
      <c r="J570">
        <f>IFERROR(__xludf.DUMMYFUNCTION("""COMPUTED_VALUE"""),0.0)</f>
        <v>0</v>
      </c>
      <c r="L570" s="250" t="str">
        <f>IFERROR(__xludf.DUMMYFUNCTION("""COMPUTED_VALUE"""),"")</f>
        <v/>
      </c>
      <c r="M570" s="250" t="str">
        <f>IFERROR(__xludf.DUMMYFUNCTION("""COMPUTED_VALUE"""),"")</f>
        <v/>
      </c>
      <c r="N570" s="250" t="str">
        <f>IFERROR(__xludf.DUMMYFUNCTION("""COMPUTED_VALUE"""),"")</f>
        <v/>
      </c>
      <c r="O570" s="250" t="str">
        <f>IFERROR(__xludf.DUMMYFUNCTION("""COMPUTED_VALUE"""),"")</f>
        <v/>
      </c>
      <c r="P570" s="250" t="str">
        <f>IFERROR(__xludf.DUMMYFUNCTION("""COMPUTED_VALUE"""),"")</f>
        <v/>
      </c>
      <c r="Q570" s="250" t="str">
        <f>IFERROR(__xludf.DUMMYFUNCTION("""COMPUTED_VALUE"""),"")</f>
        <v/>
      </c>
      <c r="R570" s="250" t="str">
        <f>IFERROR(__xludf.DUMMYFUNCTION("""COMPUTED_VALUE"""),"")</f>
        <v/>
      </c>
      <c r="U570" s="250">
        <f>IFERROR(__xludf.DUMMYFUNCTION("""COMPUTED_VALUE"""),5639.0)</f>
        <v>5639</v>
      </c>
      <c r="V570" s="250">
        <f>IFERROR(__xludf.DUMMYFUNCTION("""COMPUTED_VALUE"""),5359.0)</f>
        <v>5359</v>
      </c>
      <c r="W570" s="250">
        <f>IFERROR(__xludf.DUMMYFUNCTION("""COMPUTED_VALUE"""),4819.0)</f>
        <v>4819</v>
      </c>
      <c r="X570" t="b">
        <f t="shared" ref="X570:Z570" si="1116">ISBLANK(K570)</f>
        <v>1</v>
      </c>
      <c r="Y570" t="b">
        <f t="shared" si="1116"/>
        <v>0</v>
      </c>
      <c r="Z570" t="b">
        <f t="shared" si="1116"/>
        <v>0</v>
      </c>
      <c r="AA570">
        <f t="shared" ref="AA570:AC570" si="1117">IF(X570=FALSE,1,0)</f>
        <v>0</v>
      </c>
      <c r="AB570">
        <f t="shared" si="1117"/>
        <v>1</v>
      </c>
      <c r="AC570">
        <f t="shared" si="1117"/>
        <v>1</v>
      </c>
      <c r="AD570">
        <f t="shared" si="6"/>
        <v>2</v>
      </c>
      <c r="AE570">
        <f t="shared" si="7"/>
        <v>1</v>
      </c>
      <c r="AF570">
        <f>if(iferror(vlookup($A570,'Description Database'!$E$2:$H$951,3,0),0)=TRUE,1,0)</f>
        <v>0</v>
      </c>
      <c r="AG570">
        <f>if(iferror(vlookup($A570,'Description Database'!$E$2:$H$951,4,0),0)=TRUE,1,0)</f>
        <v>0</v>
      </c>
    </row>
    <row r="571">
      <c r="A571" t="str">
        <f>IFERROR(__xludf.DUMMYFUNCTION("""COMPUTED_VALUE"""),"NOKIA 2.1 (1 GB/8 GB)")</f>
        <v>NOKIA 2.1 (1 GB/8 GB)</v>
      </c>
      <c r="B571" t="str">
        <f>IFERROR(__xludf.DUMMYFUNCTION("""COMPUTED_VALUE"""),"")</f>
        <v/>
      </c>
      <c r="C571" t="str">
        <f>IFERROR(__xludf.DUMMYFUNCTION("""COMPUTED_VALUE"""),"")</f>
        <v/>
      </c>
      <c r="D571" t="str">
        <f>IFERROR(__xludf.DUMMYFUNCTION("""COMPUTED_VALUE"""),"")</f>
        <v/>
      </c>
      <c r="E571" t="str">
        <f>IFERROR(__xludf.DUMMYFUNCTION("""COMPUTED_VALUE"""),"")</f>
        <v/>
      </c>
      <c r="F571" t="str">
        <f>IFERROR(__xludf.DUMMYFUNCTION("""COMPUTED_VALUE"""),"")</f>
        <v/>
      </c>
      <c r="G571" t="str">
        <f>IFERROR(__xludf.DUMMYFUNCTION("""COMPUTED_VALUE"""),"")</f>
        <v/>
      </c>
      <c r="H571" t="str">
        <f>IFERROR(__xludf.DUMMYFUNCTION("""COMPUTED_VALUE"""),"")</f>
        <v/>
      </c>
      <c r="I571">
        <f>IFERROR(__xludf.DUMMYFUNCTION("""COMPUTED_VALUE"""),2.0)</f>
        <v>2</v>
      </c>
      <c r="J571">
        <f>IFERROR(__xludf.DUMMYFUNCTION("""COMPUTED_VALUE"""),2.0)</f>
        <v>2</v>
      </c>
      <c r="L571" s="250" t="str">
        <f>IFERROR(__xludf.DUMMYFUNCTION("""COMPUTED_VALUE"""),"")</f>
        <v/>
      </c>
      <c r="M571" s="250" t="str">
        <f>IFERROR(__xludf.DUMMYFUNCTION("""COMPUTED_VALUE"""),"")</f>
        <v/>
      </c>
      <c r="N571" s="250" t="str">
        <f>IFERROR(__xludf.DUMMYFUNCTION("""COMPUTED_VALUE"""),"")</f>
        <v/>
      </c>
      <c r="O571" s="250" t="str">
        <f>IFERROR(__xludf.DUMMYFUNCTION("""COMPUTED_VALUE"""),"")</f>
        <v/>
      </c>
      <c r="P571" s="250" t="str">
        <f>IFERROR(__xludf.DUMMYFUNCTION("""COMPUTED_VALUE"""),"")</f>
        <v/>
      </c>
      <c r="Q571" s="250" t="str">
        <f>IFERROR(__xludf.DUMMYFUNCTION("""COMPUTED_VALUE"""),"")</f>
        <v/>
      </c>
      <c r="R571" s="250" t="str">
        <f>IFERROR(__xludf.DUMMYFUNCTION("""COMPUTED_VALUE"""),"")</f>
        <v/>
      </c>
      <c r="U571" s="250">
        <f>IFERROR(__xludf.DUMMYFUNCTION("""COMPUTED_VALUE"""),3149.0)</f>
        <v>3149</v>
      </c>
      <c r="V571" s="250">
        <f>IFERROR(__xludf.DUMMYFUNCTION("""COMPUTED_VALUE"""),2999.0)</f>
        <v>2999</v>
      </c>
      <c r="W571" s="250">
        <f>IFERROR(__xludf.DUMMYFUNCTION("""COMPUTED_VALUE"""),2699.0)</f>
        <v>2699</v>
      </c>
      <c r="X571" t="b">
        <f t="shared" ref="X571:Z571" si="1118">ISBLANK(K571)</f>
        <v>1</v>
      </c>
      <c r="Y571" t="b">
        <f t="shared" si="1118"/>
        <v>0</v>
      </c>
      <c r="Z571" t="b">
        <f t="shared" si="1118"/>
        <v>0</v>
      </c>
      <c r="AA571">
        <f t="shared" ref="AA571:AC571" si="1119">IF(X571=FALSE,1,0)</f>
        <v>0</v>
      </c>
      <c r="AB571">
        <f t="shared" si="1119"/>
        <v>1</v>
      </c>
      <c r="AC571">
        <f t="shared" si="1119"/>
        <v>1</v>
      </c>
      <c r="AD571">
        <f t="shared" si="6"/>
        <v>2</v>
      </c>
      <c r="AE571">
        <f t="shared" si="7"/>
        <v>1</v>
      </c>
      <c r="AF571">
        <f>if(iferror(vlookup($A571,'Description Database'!$E$2:$H$951,3,0),0)=TRUE,1,0)</f>
        <v>0</v>
      </c>
      <c r="AG571">
        <f>if(iferror(vlookup($A571,'Description Database'!$E$2:$H$951,4,0),0)=TRUE,1,0)</f>
        <v>0</v>
      </c>
    </row>
    <row r="572">
      <c r="A572" t="str">
        <f>IFERROR(__xludf.DUMMYFUNCTION("""COMPUTED_VALUE"""),"INFINIX SMART 2 (2 GB/16 GB)")</f>
        <v>INFINIX SMART 2 (2 GB/16 GB)</v>
      </c>
      <c r="B572" t="str">
        <f>IFERROR(__xludf.DUMMYFUNCTION("""COMPUTED_VALUE"""),"")</f>
        <v/>
      </c>
      <c r="C572" t="str">
        <f>IFERROR(__xludf.DUMMYFUNCTION("""COMPUTED_VALUE"""),"")</f>
        <v/>
      </c>
      <c r="D572" t="str">
        <f>IFERROR(__xludf.DUMMYFUNCTION("""COMPUTED_VALUE"""),"")</f>
        <v/>
      </c>
      <c r="E572" t="str">
        <f>IFERROR(__xludf.DUMMYFUNCTION("""COMPUTED_VALUE"""),"")</f>
        <v/>
      </c>
      <c r="F572" t="str">
        <f>IFERROR(__xludf.DUMMYFUNCTION("""COMPUTED_VALUE"""),"")</f>
        <v/>
      </c>
      <c r="G572">
        <f>IFERROR(__xludf.DUMMYFUNCTION("""COMPUTED_VALUE"""),1.0)</f>
        <v>1</v>
      </c>
      <c r="H572" t="str">
        <f>IFERROR(__xludf.DUMMYFUNCTION("""COMPUTED_VALUE"""),"")</f>
        <v/>
      </c>
      <c r="I572" t="str">
        <f>IFERROR(__xludf.DUMMYFUNCTION("""COMPUTED_VALUE"""),"")</f>
        <v/>
      </c>
      <c r="J572">
        <f>IFERROR(__xludf.DUMMYFUNCTION("""COMPUTED_VALUE"""),1.0)</f>
        <v>1</v>
      </c>
      <c r="L572" s="250" t="str">
        <f>IFERROR(__xludf.DUMMYFUNCTION("""COMPUTED_VALUE"""),"")</f>
        <v/>
      </c>
      <c r="M572" s="250" t="str">
        <f>IFERROR(__xludf.DUMMYFUNCTION("""COMPUTED_VALUE"""),"")</f>
        <v/>
      </c>
      <c r="N572" s="250" t="str">
        <f>IFERROR(__xludf.DUMMYFUNCTION("""COMPUTED_VALUE"""),"")</f>
        <v/>
      </c>
      <c r="O572" s="250" t="str">
        <f>IFERROR(__xludf.DUMMYFUNCTION("""COMPUTED_VALUE"""),"")</f>
        <v/>
      </c>
      <c r="P572" s="250" t="str">
        <f>IFERROR(__xludf.DUMMYFUNCTION("""COMPUTED_VALUE"""),"")</f>
        <v/>
      </c>
      <c r="Q572" s="250">
        <f>IFERROR(__xludf.DUMMYFUNCTION("""COMPUTED_VALUE"""),1569.0)</f>
        <v>1569</v>
      </c>
      <c r="R572" s="250" t="str">
        <f>IFERROR(__xludf.DUMMYFUNCTION("""COMPUTED_VALUE"""),"")</f>
        <v/>
      </c>
      <c r="U572" s="250">
        <f>IFERROR(__xludf.DUMMYFUNCTION("""COMPUTED_VALUE"""),3159.0)</f>
        <v>3159</v>
      </c>
      <c r="V572" s="250">
        <f>IFERROR(__xludf.DUMMYFUNCTION("""COMPUTED_VALUE"""),3009.0)</f>
        <v>3009</v>
      </c>
      <c r="W572" s="250">
        <f>IFERROR(__xludf.DUMMYFUNCTION("""COMPUTED_VALUE"""),2709.0)</f>
        <v>2709</v>
      </c>
      <c r="X572" t="b">
        <f t="shared" ref="X572:Z572" si="1120">ISBLANK(K572)</f>
        <v>1</v>
      </c>
      <c r="Y572" t="b">
        <f t="shared" si="1120"/>
        <v>0</v>
      </c>
      <c r="Z572" t="b">
        <f t="shared" si="1120"/>
        <v>0</v>
      </c>
      <c r="AA572">
        <f t="shared" ref="AA572:AC572" si="1121">IF(X572=FALSE,1,0)</f>
        <v>0</v>
      </c>
      <c r="AB572">
        <f t="shared" si="1121"/>
        <v>1</v>
      </c>
      <c r="AC572">
        <f t="shared" si="1121"/>
        <v>1</v>
      </c>
      <c r="AD572">
        <f t="shared" si="6"/>
        <v>2</v>
      </c>
      <c r="AE572">
        <f t="shared" si="7"/>
        <v>1</v>
      </c>
      <c r="AF572">
        <f>if(iferror(vlookup($A572,'Description Database'!$E$2:$H$951,3,0),0)=TRUE,1,0)</f>
        <v>0</v>
      </c>
      <c r="AG572">
        <f>if(iferror(vlookup($A572,'Description Database'!$E$2:$H$951,4,0),0)=TRUE,1,0)</f>
        <v>0</v>
      </c>
    </row>
    <row r="573">
      <c r="A573" t="str">
        <f>IFERROR(__xludf.DUMMYFUNCTION("""COMPUTED_VALUE"""),"Samsung GALAXY ON NXT (3 GB/64 GB)")</f>
        <v>Samsung GALAXY ON NXT (3 GB/64 GB)</v>
      </c>
      <c r="B573" t="str">
        <f>IFERROR(__xludf.DUMMYFUNCTION("""COMPUTED_VALUE"""),"")</f>
        <v/>
      </c>
      <c r="C573" t="str">
        <f>IFERROR(__xludf.DUMMYFUNCTION("""COMPUTED_VALUE"""),"")</f>
        <v/>
      </c>
      <c r="D573" t="str">
        <f>IFERROR(__xludf.DUMMYFUNCTION("""COMPUTED_VALUE"""),"")</f>
        <v/>
      </c>
      <c r="E573" t="str">
        <f>IFERROR(__xludf.DUMMYFUNCTION("""COMPUTED_VALUE"""),"")</f>
        <v/>
      </c>
      <c r="F573" t="str">
        <f>IFERROR(__xludf.DUMMYFUNCTION("""COMPUTED_VALUE"""),"")</f>
        <v/>
      </c>
      <c r="G573" t="str">
        <f>IFERROR(__xludf.DUMMYFUNCTION("""COMPUTED_VALUE"""),"")</f>
        <v/>
      </c>
      <c r="H573" t="str">
        <f>IFERROR(__xludf.DUMMYFUNCTION("""COMPUTED_VALUE"""),"")</f>
        <v/>
      </c>
      <c r="I573">
        <f>IFERROR(__xludf.DUMMYFUNCTION("""COMPUTED_VALUE"""),11.0)</f>
        <v>11</v>
      </c>
      <c r="J573">
        <f>IFERROR(__xludf.DUMMYFUNCTION("""COMPUTED_VALUE"""),11.0)</f>
        <v>11</v>
      </c>
      <c r="L573" s="250" t="str">
        <f>IFERROR(__xludf.DUMMYFUNCTION("""COMPUTED_VALUE"""),"")</f>
        <v/>
      </c>
      <c r="M573" s="250" t="str">
        <f>IFERROR(__xludf.DUMMYFUNCTION("""COMPUTED_VALUE"""),"")</f>
        <v/>
      </c>
      <c r="N573" s="250" t="str">
        <f>IFERROR(__xludf.DUMMYFUNCTION("""COMPUTED_VALUE"""),"")</f>
        <v/>
      </c>
      <c r="O573" s="250" t="str">
        <f>IFERROR(__xludf.DUMMYFUNCTION("""COMPUTED_VALUE"""),"")</f>
        <v/>
      </c>
      <c r="P573" s="250" t="str">
        <f>IFERROR(__xludf.DUMMYFUNCTION("""COMPUTED_VALUE"""),"")</f>
        <v/>
      </c>
      <c r="Q573" s="250" t="str">
        <f>IFERROR(__xludf.DUMMYFUNCTION("""COMPUTED_VALUE"""),"")</f>
        <v/>
      </c>
      <c r="R573" s="250" t="str">
        <f>IFERROR(__xludf.DUMMYFUNCTION("""COMPUTED_VALUE"""),"")</f>
        <v/>
      </c>
      <c r="U573" s="250">
        <f>IFERROR(__xludf.DUMMYFUNCTION("""COMPUTED_VALUE"""),5709.0)</f>
        <v>5709</v>
      </c>
      <c r="V573" s="250">
        <f>IFERROR(__xludf.DUMMYFUNCTION("""COMPUTED_VALUE"""),5439.0)</f>
        <v>5439</v>
      </c>
      <c r="W573" s="250">
        <f>IFERROR(__xludf.DUMMYFUNCTION("""COMPUTED_VALUE"""),4889.0)</f>
        <v>4889</v>
      </c>
      <c r="X573" t="b">
        <f t="shared" ref="X573:Z573" si="1122">ISBLANK(K573)</f>
        <v>1</v>
      </c>
      <c r="Y573" t="b">
        <f t="shared" si="1122"/>
        <v>0</v>
      </c>
      <c r="Z573" t="b">
        <f t="shared" si="1122"/>
        <v>0</v>
      </c>
      <c r="AA573">
        <f t="shared" ref="AA573:AC573" si="1123">IF(X573=FALSE,1,0)</f>
        <v>0</v>
      </c>
      <c r="AB573">
        <f t="shared" si="1123"/>
        <v>1</v>
      </c>
      <c r="AC573">
        <f t="shared" si="1123"/>
        <v>1</v>
      </c>
      <c r="AD573">
        <f t="shared" si="6"/>
        <v>2</v>
      </c>
      <c r="AE573">
        <f t="shared" si="7"/>
        <v>1</v>
      </c>
      <c r="AF573">
        <f>if(iferror(vlookup($A573,'Description Database'!$E$2:$H$951,3,0),0)=TRUE,1,0)</f>
        <v>0</v>
      </c>
      <c r="AG573">
        <f>if(iferror(vlookup($A573,'Description Database'!$E$2:$H$951,4,0),0)=TRUE,1,0)</f>
        <v>0</v>
      </c>
    </row>
    <row r="574">
      <c r="A574" t="str">
        <f>IFERROR(__xludf.DUMMYFUNCTION("""COMPUTED_VALUE"""),"Lenovo VIBE P2 (4 GB/32 GB)")</f>
        <v>Lenovo VIBE P2 (4 GB/32 GB)</v>
      </c>
      <c r="B574" t="str">
        <f>IFERROR(__xludf.DUMMYFUNCTION("""COMPUTED_VALUE"""),"")</f>
        <v/>
      </c>
      <c r="C574" t="str">
        <f>IFERROR(__xludf.DUMMYFUNCTION("""COMPUTED_VALUE"""),"")</f>
        <v/>
      </c>
      <c r="D574" t="str">
        <f>IFERROR(__xludf.DUMMYFUNCTION("""COMPUTED_VALUE"""),"")</f>
        <v/>
      </c>
      <c r="E574" t="str">
        <f>IFERROR(__xludf.DUMMYFUNCTION("""COMPUTED_VALUE"""),"")</f>
        <v/>
      </c>
      <c r="F574" t="str">
        <f>IFERROR(__xludf.DUMMYFUNCTION("""COMPUTED_VALUE"""),"")</f>
        <v/>
      </c>
      <c r="G574" t="str">
        <f>IFERROR(__xludf.DUMMYFUNCTION("""COMPUTED_VALUE"""),"")</f>
        <v/>
      </c>
      <c r="H574" t="str">
        <f>IFERROR(__xludf.DUMMYFUNCTION("""COMPUTED_VALUE"""),"")</f>
        <v/>
      </c>
      <c r="I574" t="str">
        <f>IFERROR(__xludf.DUMMYFUNCTION("""COMPUTED_VALUE"""),"")</f>
        <v/>
      </c>
      <c r="J574">
        <f>IFERROR(__xludf.DUMMYFUNCTION("""COMPUTED_VALUE"""),0.0)</f>
        <v>0</v>
      </c>
      <c r="L574" s="250" t="str">
        <f>IFERROR(__xludf.DUMMYFUNCTION("""COMPUTED_VALUE"""),"")</f>
        <v/>
      </c>
      <c r="M574" s="250" t="str">
        <f>IFERROR(__xludf.DUMMYFUNCTION("""COMPUTED_VALUE"""),"")</f>
        <v/>
      </c>
      <c r="N574" s="250" t="str">
        <f>IFERROR(__xludf.DUMMYFUNCTION("""COMPUTED_VALUE"""),"")</f>
        <v/>
      </c>
      <c r="O574" s="250" t="str">
        <f>IFERROR(__xludf.DUMMYFUNCTION("""COMPUTED_VALUE"""),"")</f>
        <v/>
      </c>
      <c r="P574" s="250" t="str">
        <f>IFERROR(__xludf.DUMMYFUNCTION("""COMPUTED_VALUE"""),"")</f>
        <v/>
      </c>
      <c r="Q574" s="250" t="str">
        <f>IFERROR(__xludf.DUMMYFUNCTION("""COMPUTED_VALUE"""),"")</f>
        <v/>
      </c>
      <c r="R574" s="250" t="str">
        <f>IFERROR(__xludf.DUMMYFUNCTION("""COMPUTED_VALUE"""),"")</f>
        <v/>
      </c>
      <c r="U574" s="250" t="str">
        <f>IFERROR(__xludf.DUMMYFUNCTION("""COMPUTED_VALUE"""),"#N/A")</f>
        <v>#N/A</v>
      </c>
      <c r="V574" s="250" t="str">
        <f>IFERROR(__xludf.DUMMYFUNCTION("""COMPUTED_VALUE"""),"#N/A")</f>
        <v>#N/A</v>
      </c>
      <c r="W574" s="250" t="str">
        <f>IFERROR(__xludf.DUMMYFUNCTION("""COMPUTED_VALUE"""),"#N/A")</f>
        <v>#N/A</v>
      </c>
      <c r="X574" t="b">
        <f t="shared" ref="X574:Z574" si="1124">ISBLANK(K574)</f>
        <v>1</v>
      </c>
      <c r="Y574" t="b">
        <f t="shared" si="1124"/>
        <v>0</v>
      </c>
      <c r="Z574" t="b">
        <f t="shared" si="1124"/>
        <v>0</v>
      </c>
      <c r="AA574">
        <f t="shared" ref="AA574:AC574" si="1125">IF(X574=FALSE,1,0)</f>
        <v>0</v>
      </c>
      <c r="AB574">
        <f t="shared" si="1125"/>
        <v>1</v>
      </c>
      <c r="AC574">
        <f t="shared" si="1125"/>
        <v>1</v>
      </c>
      <c r="AD574">
        <f t="shared" si="6"/>
        <v>2</v>
      </c>
      <c r="AE574">
        <f t="shared" si="7"/>
        <v>1</v>
      </c>
      <c r="AF574">
        <f>if(iferror(vlookup($A574,'Description Database'!$E$2:$H$951,3,0),0)=TRUE,1,0)</f>
        <v>0</v>
      </c>
      <c r="AG574">
        <f>if(iferror(vlookup($A574,'Description Database'!$E$2:$H$951,4,0),0)=TRUE,1,0)</f>
        <v>0</v>
      </c>
    </row>
    <row r="575">
      <c r="A575" t="str">
        <f>IFERROR(__xludf.DUMMYFUNCTION("""COMPUTED_VALUE"""),"HTC DESIRE 828 (2 GB/16 GB)")</f>
        <v>HTC DESIRE 828 (2 GB/16 GB)</v>
      </c>
      <c r="B575" t="str">
        <f>IFERROR(__xludf.DUMMYFUNCTION("""COMPUTED_VALUE"""),"")</f>
        <v/>
      </c>
      <c r="C575" t="str">
        <f>IFERROR(__xludf.DUMMYFUNCTION("""COMPUTED_VALUE"""),"")</f>
        <v/>
      </c>
      <c r="D575" t="str">
        <f>IFERROR(__xludf.DUMMYFUNCTION("""COMPUTED_VALUE"""),"")</f>
        <v/>
      </c>
      <c r="E575" t="str">
        <f>IFERROR(__xludf.DUMMYFUNCTION("""COMPUTED_VALUE"""),"")</f>
        <v/>
      </c>
      <c r="F575" t="str">
        <f>IFERROR(__xludf.DUMMYFUNCTION("""COMPUTED_VALUE"""),"")</f>
        <v/>
      </c>
      <c r="G575" t="str">
        <f>IFERROR(__xludf.DUMMYFUNCTION("""COMPUTED_VALUE"""),"")</f>
        <v/>
      </c>
      <c r="H575" t="str">
        <f>IFERROR(__xludf.DUMMYFUNCTION("""COMPUTED_VALUE"""),"")</f>
        <v/>
      </c>
      <c r="I575">
        <f>IFERROR(__xludf.DUMMYFUNCTION("""COMPUTED_VALUE"""),1.0)</f>
        <v>1</v>
      </c>
      <c r="J575">
        <f>IFERROR(__xludf.DUMMYFUNCTION("""COMPUTED_VALUE"""),1.0)</f>
        <v>1</v>
      </c>
      <c r="L575" s="250" t="str">
        <f>IFERROR(__xludf.DUMMYFUNCTION("""COMPUTED_VALUE"""),"")</f>
        <v/>
      </c>
      <c r="M575" s="250" t="str">
        <f>IFERROR(__xludf.DUMMYFUNCTION("""COMPUTED_VALUE"""),"")</f>
        <v/>
      </c>
      <c r="N575" s="250" t="str">
        <f>IFERROR(__xludf.DUMMYFUNCTION("""COMPUTED_VALUE"""),"")</f>
        <v/>
      </c>
      <c r="O575" s="250" t="str">
        <f>IFERROR(__xludf.DUMMYFUNCTION("""COMPUTED_VALUE"""),"")</f>
        <v/>
      </c>
      <c r="P575" s="250" t="str">
        <f>IFERROR(__xludf.DUMMYFUNCTION("""COMPUTED_VALUE"""),"")</f>
        <v/>
      </c>
      <c r="Q575" s="250" t="str">
        <f>IFERROR(__xludf.DUMMYFUNCTION("""COMPUTED_VALUE"""),"")</f>
        <v/>
      </c>
      <c r="R575" s="250" t="str">
        <f>IFERROR(__xludf.DUMMYFUNCTION("""COMPUTED_VALUE"""),"")</f>
        <v/>
      </c>
      <c r="U575" s="250" t="str">
        <f>IFERROR(__xludf.DUMMYFUNCTION("""COMPUTED_VALUE"""),"#N/A")</f>
        <v>#N/A</v>
      </c>
      <c r="V575" s="250" t="str">
        <f>IFERROR(__xludf.DUMMYFUNCTION("""COMPUTED_VALUE"""),"#N/A")</f>
        <v>#N/A</v>
      </c>
      <c r="W575" s="250" t="str">
        <f>IFERROR(__xludf.DUMMYFUNCTION("""COMPUTED_VALUE"""),"#N/A")</f>
        <v>#N/A</v>
      </c>
      <c r="X575" t="b">
        <f t="shared" ref="X575:Z575" si="1126">ISBLANK(K575)</f>
        <v>1</v>
      </c>
      <c r="Y575" t="b">
        <f t="shared" si="1126"/>
        <v>0</v>
      </c>
      <c r="Z575" t="b">
        <f t="shared" si="1126"/>
        <v>0</v>
      </c>
      <c r="AA575">
        <f t="shared" ref="AA575:AC575" si="1127">IF(X575=FALSE,1,0)</f>
        <v>0</v>
      </c>
      <c r="AB575">
        <f t="shared" si="1127"/>
        <v>1</v>
      </c>
      <c r="AC575">
        <f t="shared" si="1127"/>
        <v>1</v>
      </c>
      <c r="AD575">
        <f t="shared" si="6"/>
        <v>2</v>
      </c>
      <c r="AE575">
        <f t="shared" si="7"/>
        <v>1</v>
      </c>
      <c r="AF575">
        <f>if(iferror(vlookup($A575,'Description Database'!$E$2:$H$951,3,0),0)=TRUE,1,0)</f>
        <v>0</v>
      </c>
      <c r="AG575">
        <f>if(iferror(vlookup($A575,'Description Database'!$E$2:$H$951,4,0),0)=TRUE,1,0)</f>
        <v>0</v>
      </c>
    </row>
    <row r="576">
      <c r="A576" t="str">
        <f>IFERROR(__xludf.DUMMYFUNCTION("""COMPUTED_VALUE"""),"Xiaomi REDMI Y1 (2 GB/16 GB)")</f>
        <v>Xiaomi REDMI Y1 (2 GB/16 GB)</v>
      </c>
      <c r="B576" t="str">
        <f>IFERROR(__xludf.DUMMYFUNCTION("""COMPUTED_VALUE"""),"")</f>
        <v/>
      </c>
      <c r="C576" t="str">
        <f>IFERROR(__xludf.DUMMYFUNCTION("""COMPUTED_VALUE"""),"")</f>
        <v/>
      </c>
      <c r="D576" t="str">
        <f>IFERROR(__xludf.DUMMYFUNCTION("""COMPUTED_VALUE"""),"")</f>
        <v/>
      </c>
      <c r="E576" t="str">
        <f>IFERROR(__xludf.DUMMYFUNCTION("""COMPUTED_VALUE"""),"")</f>
        <v/>
      </c>
      <c r="F576" t="str">
        <f>IFERROR(__xludf.DUMMYFUNCTION("""COMPUTED_VALUE"""),"")</f>
        <v/>
      </c>
      <c r="G576" t="str">
        <f>IFERROR(__xludf.DUMMYFUNCTION("""COMPUTED_VALUE"""),"")</f>
        <v/>
      </c>
      <c r="H576" t="str">
        <f>IFERROR(__xludf.DUMMYFUNCTION("""COMPUTED_VALUE"""),"")</f>
        <v/>
      </c>
      <c r="I576" t="str">
        <f>IFERROR(__xludf.DUMMYFUNCTION("""COMPUTED_VALUE"""),"")</f>
        <v/>
      </c>
      <c r="J576">
        <f>IFERROR(__xludf.DUMMYFUNCTION("""COMPUTED_VALUE"""),0.0)</f>
        <v>0</v>
      </c>
      <c r="L576" s="250" t="str">
        <f>IFERROR(__xludf.DUMMYFUNCTION("""COMPUTED_VALUE"""),"")</f>
        <v/>
      </c>
      <c r="M576" s="250" t="str">
        <f>IFERROR(__xludf.DUMMYFUNCTION("""COMPUTED_VALUE"""),"")</f>
        <v/>
      </c>
      <c r="N576" s="250" t="str">
        <f>IFERROR(__xludf.DUMMYFUNCTION("""COMPUTED_VALUE"""),"")</f>
        <v/>
      </c>
      <c r="O576" s="250" t="str">
        <f>IFERROR(__xludf.DUMMYFUNCTION("""COMPUTED_VALUE"""),"")</f>
        <v/>
      </c>
      <c r="P576" s="250" t="str">
        <f>IFERROR(__xludf.DUMMYFUNCTION("""COMPUTED_VALUE"""),"")</f>
        <v/>
      </c>
      <c r="Q576" s="250" t="str">
        <f>IFERROR(__xludf.DUMMYFUNCTION("""COMPUTED_VALUE"""),"")</f>
        <v/>
      </c>
      <c r="R576" s="250" t="str">
        <f>IFERROR(__xludf.DUMMYFUNCTION("""COMPUTED_VALUE"""),"")</f>
        <v/>
      </c>
      <c r="U576" s="250" t="str">
        <f>IFERROR(__xludf.DUMMYFUNCTION("""COMPUTED_VALUE"""),"#N/A")</f>
        <v>#N/A</v>
      </c>
      <c r="V576" s="250" t="str">
        <f>IFERROR(__xludf.DUMMYFUNCTION("""COMPUTED_VALUE"""),"#N/A")</f>
        <v>#N/A</v>
      </c>
      <c r="W576" s="250" t="str">
        <f>IFERROR(__xludf.DUMMYFUNCTION("""COMPUTED_VALUE"""),"#N/A")</f>
        <v>#N/A</v>
      </c>
      <c r="X576" t="b">
        <f t="shared" ref="X576:Z576" si="1128">ISBLANK(K576)</f>
        <v>1</v>
      </c>
      <c r="Y576" t="b">
        <f t="shared" si="1128"/>
        <v>0</v>
      </c>
      <c r="Z576" t="b">
        <f t="shared" si="1128"/>
        <v>0</v>
      </c>
      <c r="AA576">
        <f t="shared" ref="AA576:AC576" si="1129">IF(X576=FALSE,1,0)</f>
        <v>0</v>
      </c>
      <c r="AB576">
        <f t="shared" si="1129"/>
        <v>1</v>
      </c>
      <c r="AC576">
        <f t="shared" si="1129"/>
        <v>1</v>
      </c>
      <c r="AD576">
        <f t="shared" si="6"/>
        <v>2</v>
      </c>
      <c r="AE576">
        <f t="shared" si="7"/>
        <v>1</v>
      </c>
      <c r="AF576">
        <f>if(iferror(vlookup($A576,'Description Database'!$E$2:$H$951,3,0),0)=TRUE,1,0)</f>
        <v>0</v>
      </c>
      <c r="AG576">
        <f>if(iferror(vlookup($A576,'Description Database'!$E$2:$H$951,4,0),0)=TRUE,1,0)</f>
        <v>0</v>
      </c>
    </row>
    <row r="577">
      <c r="A577" t="str">
        <f>IFERROR(__xludf.DUMMYFUNCTION("""COMPUTED_VALUE"""),"Xiaomi NOTE 5 (3 GB/32 GB)")</f>
        <v>Xiaomi NOTE 5 (3 GB/32 GB)</v>
      </c>
      <c r="B577" t="str">
        <f>IFERROR(__xludf.DUMMYFUNCTION("""COMPUTED_VALUE"""),"")</f>
        <v/>
      </c>
      <c r="C577" t="str">
        <f>IFERROR(__xludf.DUMMYFUNCTION("""COMPUTED_VALUE"""),"")</f>
        <v/>
      </c>
      <c r="D577" t="str">
        <f>IFERROR(__xludf.DUMMYFUNCTION("""COMPUTED_VALUE"""),"")</f>
        <v/>
      </c>
      <c r="E577" t="str">
        <f>IFERROR(__xludf.DUMMYFUNCTION("""COMPUTED_VALUE"""),"")</f>
        <v/>
      </c>
      <c r="F577" t="str">
        <f>IFERROR(__xludf.DUMMYFUNCTION("""COMPUTED_VALUE"""),"")</f>
        <v/>
      </c>
      <c r="G577" t="str">
        <f>IFERROR(__xludf.DUMMYFUNCTION("""COMPUTED_VALUE"""),"")</f>
        <v/>
      </c>
      <c r="H577" t="str">
        <f>IFERROR(__xludf.DUMMYFUNCTION("""COMPUTED_VALUE"""),"")</f>
        <v/>
      </c>
      <c r="I577" t="str">
        <f>IFERROR(__xludf.DUMMYFUNCTION("""COMPUTED_VALUE"""),"")</f>
        <v/>
      </c>
      <c r="J577">
        <f>IFERROR(__xludf.DUMMYFUNCTION("""COMPUTED_VALUE"""),0.0)</f>
        <v>0</v>
      </c>
      <c r="L577" s="250" t="str">
        <f>IFERROR(__xludf.DUMMYFUNCTION("""COMPUTED_VALUE"""),"")</f>
        <v/>
      </c>
      <c r="M577" s="250" t="str">
        <f>IFERROR(__xludf.DUMMYFUNCTION("""COMPUTED_VALUE"""),"")</f>
        <v/>
      </c>
      <c r="N577" s="250" t="str">
        <f>IFERROR(__xludf.DUMMYFUNCTION("""COMPUTED_VALUE"""),"")</f>
        <v/>
      </c>
      <c r="O577" s="250" t="str">
        <f>IFERROR(__xludf.DUMMYFUNCTION("""COMPUTED_VALUE"""),"")</f>
        <v/>
      </c>
      <c r="P577" s="250" t="str">
        <f>IFERROR(__xludf.DUMMYFUNCTION("""COMPUTED_VALUE"""),"")</f>
        <v/>
      </c>
      <c r="Q577" s="250" t="str">
        <f>IFERROR(__xludf.DUMMYFUNCTION("""COMPUTED_VALUE"""),"")</f>
        <v/>
      </c>
      <c r="R577" s="250" t="str">
        <f>IFERROR(__xludf.DUMMYFUNCTION("""COMPUTED_VALUE"""),"")</f>
        <v/>
      </c>
      <c r="U577" s="250" t="str">
        <f>IFERROR(__xludf.DUMMYFUNCTION("""COMPUTED_VALUE"""),"#N/A")</f>
        <v>#N/A</v>
      </c>
      <c r="V577" s="250" t="str">
        <f>IFERROR(__xludf.DUMMYFUNCTION("""COMPUTED_VALUE"""),"#N/A")</f>
        <v>#N/A</v>
      </c>
      <c r="W577" s="250" t="str">
        <f>IFERROR(__xludf.DUMMYFUNCTION("""COMPUTED_VALUE"""),"#N/A")</f>
        <v>#N/A</v>
      </c>
      <c r="X577" t="b">
        <f t="shared" ref="X577:Z577" si="1130">ISBLANK(K577)</f>
        <v>1</v>
      </c>
      <c r="Y577" t="b">
        <f t="shared" si="1130"/>
        <v>0</v>
      </c>
      <c r="Z577" t="b">
        <f t="shared" si="1130"/>
        <v>0</v>
      </c>
      <c r="AA577">
        <f t="shared" ref="AA577:AC577" si="1131">IF(X577=FALSE,1,0)</f>
        <v>0</v>
      </c>
      <c r="AB577">
        <f t="shared" si="1131"/>
        <v>1</v>
      </c>
      <c r="AC577">
        <f t="shared" si="1131"/>
        <v>1</v>
      </c>
      <c r="AD577">
        <f t="shared" si="6"/>
        <v>2</v>
      </c>
      <c r="AE577">
        <f t="shared" si="7"/>
        <v>1</v>
      </c>
      <c r="AF577">
        <f>if(iferror(vlookup($A577,'Description Database'!$E$2:$H$951,3,0),0)=TRUE,1,0)</f>
        <v>0</v>
      </c>
      <c r="AG577">
        <f>if(iferror(vlookup($A577,'Description Database'!$E$2:$H$951,4,0),0)=TRUE,1,0)</f>
        <v>0</v>
      </c>
    </row>
    <row r="578">
      <c r="A578" t="str">
        <f>IFERROR(__xludf.DUMMYFUNCTION("""COMPUTED_VALUE"""),"Motorola MOTO G5S (4 GB/64 GB)")</f>
        <v>Motorola MOTO G5S (4 GB/64 GB)</v>
      </c>
      <c r="B578" t="str">
        <f>IFERROR(__xludf.DUMMYFUNCTION("""COMPUTED_VALUE"""),"")</f>
        <v/>
      </c>
      <c r="C578" t="str">
        <f>IFERROR(__xludf.DUMMYFUNCTION("""COMPUTED_VALUE"""),"")</f>
        <v/>
      </c>
      <c r="D578" t="str">
        <f>IFERROR(__xludf.DUMMYFUNCTION("""COMPUTED_VALUE"""),"")</f>
        <v/>
      </c>
      <c r="E578" t="str">
        <f>IFERROR(__xludf.DUMMYFUNCTION("""COMPUTED_VALUE"""),"")</f>
        <v/>
      </c>
      <c r="F578" t="str">
        <f>IFERROR(__xludf.DUMMYFUNCTION("""COMPUTED_VALUE"""),"")</f>
        <v/>
      </c>
      <c r="G578" t="str">
        <f>IFERROR(__xludf.DUMMYFUNCTION("""COMPUTED_VALUE"""),"")</f>
        <v/>
      </c>
      <c r="H578" t="str">
        <f>IFERROR(__xludf.DUMMYFUNCTION("""COMPUTED_VALUE"""),"")</f>
        <v/>
      </c>
      <c r="I578">
        <f>IFERROR(__xludf.DUMMYFUNCTION("""COMPUTED_VALUE"""),1.0)</f>
        <v>1</v>
      </c>
      <c r="J578">
        <f>IFERROR(__xludf.DUMMYFUNCTION("""COMPUTED_VALUE"""),1.0)</f>
        <v>1</v>
      </c>
      <c r="L578" s="250" t="str">
        <f>IFERROR(__xludf.DUMMYFUNCTION("""COMPUTED_VALUE"""),"")</f>
        <v/>
      </c>
      <c r="M578" s="250" t="str">
        <f>IFERROR(__xludf.DUMMYFUNCTION("""COMPUTED_VALUE"""),"")</f>
        <v/>
      </c>
      <c r="N578" s="250" t="str">
        <f>IFERROR(__xludf.DUMMYFUNCTION("""COMPUTED_VALUE"""),"")</f>
        <v/>
      </c>
      <c r="O578" s="250" t="str">
        <f>IFERROR(__xludf.DUMMYFUNCTION("""COMPUTED_VALUE"""),"")</f>
        <v/>
      </c>
      <c r="P578" s="250" t="str">
        <f>IFERROR(__xludf.DUMMYFUNCTION("""COMPUTED_VALUE"""),"")</f>
        <v/>
      </c>
      <c r="Q578" s="250" t="str">
        <f>IFERROR(__xludf.DUMMYFUNCTION("""COMPUTED_VALUE"""),"")</f>
        <v/>
      </c>
      <c r="R578" s="250" t="str">
        <f>IFERROR(__xludf.DUMMYFUNCTION("""COMPUTED_VALUE"""),"")</f>
        <v/>
      </c>
      <c r="U578" s="250" t="str">
        <f>IFERROR(__xludf.DUMMYFUNCTION("""COMPUTED_VALUE"""),"#N/A")</f>
        <v>#N/A</v>
      </c>
      <c r="V578" s="250" t="str">
        <f>IFERROR(__xludf.DUMMYFUNCTION("""COMPUTED_VALUE"""),"#N/A")</f>
        <v>#N/A</v>
      </c>
      <c r="W578" s="250" t="str">
        <f>IFERROR(__xludf.DUMMYFUNCTION("""COMPUTED_VALUE"""),"#N/A")</f>
        <v>#N/A</v>
      </c>
      <c r="X578" t="b">
        <f t="shared" ref="X578:Z578" si="1132">ISBLANK(K578)</f>
        <v>1</v>
      </c>
      <c r="Y578" t="b">
        <f t="shared" si="1132"/>
        <v>0</v>
      </c>
      <c r="Z578" t="b">
        <f t="shared" si="1132"/>
        <v>0</v>
      </c>
      <c r="AA578">
        <f t="shared" ref="AA578:AC578" si="1133">IF(X578=FALSE,1,0)</f>
        <v>0</v>
      </c>
      <c r="AB578">
        <f t="shared" si="1133"/>
        <v>1</v>
      </c>
      <c r="AC578">
        <f t="shared" si="1133"/>
        <v>1</v>
      </c>
      <c r="AD578">
        <f t="shared" si="6"/>
        <v>2</v>
      </c>
      <c r="AE578">
        <f t="shared" si="7"/>
        <v>1</v>
      </c>
      <c r="AF578">
        <f>if(iferror(vlookup($A578,'Description Database'!$E$2:$H$951,3,0),0)=TRUE,1,0)</f>
        <v>0</v>
      </c>
      <c r="AG578">
        <f>if(iferror(vlookup($A578,'Description Database'!$E$2:$H$951,4,0),0)=TRUE,1,0)</f>
        <v>0</v>
      </c>
    </row>
    <row r="579">
      <c r="A579" t="str">
        <f>IFERROR(__xludf.DUMMYFUNCTION("""COMPUTED_VALUE"""),"Motorola E5+ (2 GB/32 GB)")</f>
        <v>Motorola E5+ (2 GB/32 GB)</v>
      </c>
      <c r="B579" t="str">
        <f>IFERROR(__xludf.DUMMYFUNCTION("""COMPUTED_VALUE"""),"")</f>
        <v/>
      </c>
      <c r="C579" t="str">
        <f>IFERROR(__xludf.DUMMYFUNCTION("""COMPUTED_VALUE"""),"")</f>
        <v/>
      </c>
      <c r="D579" t="str">
        <f>IFERROR(__xludf.DUMMYFUNCTION("""COMPUTED_VALUE"""),"")</f>
        <v/>
      </c>
      <c r="E579" t="str">
        <f>IFERROR(__xludf.DUMMYFUNCTION("""COMPUTED_VALUE"""),"")</f>
        <v/>
      </c>
      <c r="F579" t="str">
        <f>IFERROR(__xludf.DUMMYFUNCTION("""COMPUTED_VALUE"""),"")</f>
        <v/>
      </c>
      <c r="G579" t="str">
        <f>IFERROR(__xludf.DUMMYFUNCTION("""COMPUTED_VALUE"""),"")</f>
        <v/>
      </c>
      <c r="H579" t="str">
        <f>IFERROR(__xludf.DUMMYFUNCTION("""COMPUTED_VALUE"""),"")</f>
        <v/>
      </c>
      <c r="I579" t="str">
        <f>IFERROR(__xludf.DUMMYFUNCTION("""COMPUTED_VALUE"""),"")</f>
        <v/>
      </c>
      <c r="J579">
        <f>IFERROR(__xludf.DUMMYFUNCTION("""COMPUTED_VALUE"""),0.0)</f>
        <v>0</v>
      </c>
      <c r="L579" s="250" t="str">
        <f>IFERROR(__xludf.DUMMYFUNCTION("""COMPUTED_VALUE"""),"")</f>
        <v/>
      </c>
      <c r="M579" s="250" t="str">
        <f>IFERROR(__xludf.DUMMYFUNCTION("""COMPUTED_VALUE"""),"")</f>
        <v/>
      </c>
      <c r="N579" s="250" t="str">
        <f>IFERROR(__xludf.DUMMYFUNCTION("""COMPUTED_VALUE"""),"")</f>
        <v/>
      </c>
      <c r="O579" s="250" t="str">
        <f>IFERROR(__xludf.DUMMYFUNCTION("""COMPUTED_VALUE"""),"")</f>
        <v/>
      </c>
      <c r="P579" s="250" t="str">
        <f>IFERROR(__xludf.DUMMYFUNCTION("""COMPUTED_VALUE"""),"")</f>
        <v/>
      </c>
      <c r="Q579" s="250" t="str">
        <f>IFERROR(__xludf.DUMMYFUNCTION("""COMPUTED_VALUE"""),"")</f>
        <v/>
      </c>
      <c r="R579" s="250" t="str">
        <f>IFERROR(__xludf.DUMMYFUNCTION("""COMPUTED_VALUE"""),"")</f>
        <v/>
      </c>
      <c r="U579" s="250" t="str">
        <f>IFERROR(__xludf.DUMMYFUNCTION("""COMPUTED_VALUE"""),"#N/A")</f>
        <v>#N/A</v>
      </c>
      <c r="V579" s="250" t="str">
        <f>IFERROR(__xludf.DUMMYFUNCTION("""COMPUTED_VALUE"""),"#N/A")</f>
        <v>#N/A</v>
      </c>
      <c r="W579" s="250" t="str">
        <f>IFERROR(__xludf.DUMMYFUNCTION("""COMPUTED_VALUE"""),"#N/A")</f>
        <v>#N/A</v>
      </c>
      <c r="X579" t="b">
        <f t="shared" ref="X579:Z579" si="1134">ISBLANK(K579)</f>
        <v>1</v>
      </c>
      <c r="Y579" t="b">
        <f t="shared" si="1134"/>
        <v>0</v>
      </c>
      <c r="Z579" t="b">
        <f t="shared" si="1134"/>
        <v>0</v>
      </c>
      <c r="AA579">
        <f t="shared" ref="AA579:AC579" si="1135">IF(X579=FALSE,1,0)</f>
        <v>0</v>
      </c>
      <c r="AB579">
        <f t="shared" si="1135"/>
        <v>1</v>
      </c>
      <c r="AC579">
        <f t="shared" si="1135"/>
        <v>1</v>
      </c>
      <c r="AD579">
        <f t="shared" si="6"/>
        <v>2</v>
      </c>
      <c r="AE579">
        <f t="shared" si="7"/>
        <v>1</v>
      </c>
      <c r="AF579">
        <f>if(iferror(vlookup($A579,'Description Database'!$E$2:$H$951,3,0),0)=TRUE,1,0)</f>
        <v>0</v>
      </c>
      <c r="AG579">
        <f>if(iferror(vlookup($A579,'Description Database'!$E$2:$H$951,4,0),0)=TRUE,1,0)</f>
        <v>0</v>
      </c>
    </row>
    <row r="580">
      <c r="A580" t="str">
        <f>IFERROR(__xludf.DUMMYFUNCTION("""COMPUTED_VALUE"""),"Motorola Moto G6 Play (3 GB/32 GB)")</f>
        <v>Motorola Moto G6 Play (3 GB/32 GB)</v>
      </c>
      <c r="B580" t="str">
        <f>IFERROR(__xludf.DUMMYFUNCTION("""COMPUTED_VALUE"""),"")</f>
        <v/>
      </c>
      <c r="C580" t="str">
        <f>IFERROR(__xludf.DUMMYFUNCTION("""COMPUTED_VALUE"""),"")</f>
        <v/>
      </c>
      <c r="D580" t="str">
        <f>IFERROR(__xludf.DUMMYFUNCTION("""COMPUTED_VALUE"""),"")</f>
        <v/>
      </c>
      <c r="E580" t="str">
        <f>IFERROR(__xludf.DUMMYFUNCTION("""COMPUTED_VALUE"""),"")</f>
        <v/>
      </c>
      <c r="F580" t="str">
        <f>IFERROR(__xludf.DUMMYFUNCTION("""COMPUTED_VALUE"""),"")</f>
        <v/>
      </c>
      <c r="G580" t="str">
        <f>IFERROR(__xludf.DUMMYFUNCTION("""COMPUTED_VALUE"""),"")</f>
        <v/>
      </c>
      <c r="H580" t="str">
        <f>IFERROR(__xludf.DUMMYFUNCTION("""COMPUTED_VALUE"""),"")</f>
        <v/>
      </c>
      <c r="I580">
        <f>IFERROR(__xludf.DUMMYFUNCTION("""COMPUTED_VALUE"""),7.0)</f>
        <v>7</v>
      </c>
      <c r="J580">
        <f>IFERROR(__xludf.DUMMYFUNCTION("""COMPUTED_VALUE"""),7.0)</f>
        <v>7</v>
      </c>
      <c r="L580" s="250" t="str">
        <f>IFERROR(__xludf.DUMMYFUNCTION("""COMPUTED_VALUE"""),"")</f>
        <v/>
      </c>
      <c r="M580" s="250" t="str">
        <f>IFERROR(__xludf.DUMMYFUNCTION("""COMPUTED_VALUE"""),"")</f>
        <v/>
      </c>
      <c r="N580" s="250" t="str">
        <f>IFERROR(__xludf.DUMMYFUNCTION("""COMPUTED_VALUE"""),"")</f>
        <v/>
      </c>
      <c r="O580" s="250" t="str">
        <f>IFERROR(__xludf.DUMMYFUNCTION("""COMPUTED_VALUE"""),"")</f>
        <v/>
      </c>
      <c r="P580" s="250" t="str">
        <f>IFERROR(__xludf.DUMMYFUNCTION("""COMPUTED_VALUE"""),"")</f>
        <v/>
      </c>
      <c r="Q580" s="250" t="str">
        <f>IFERROR(__xludf.DUMMYFUNCTION("""COMPUTED_VALUE"""),"")</f>
        <v/>
      </c>
      <c r="R580" s="250" t="str">
        <f>IFERROR(__xludf.DUMMYFUNCTION("""COMPUTED_VALUE"""),"")</f>
        <v/>
      </c>
      <c r="U580" s="250">
        <f>IFERROR(__xludf.DUMMYFUNCTION("""COMPUTED_VALUE"""),5249.0)</f>
        <v>5249</v>
      </c>
      <c r="V580" s="250">
        <f>IFERROR(__xludf.DUMMYFUNCTION("""COMPUTED_VALUE"""),4999.0)</f>
        <v>4999</v>
      </c>
      <c r="W580" s="250">
        <f>IFERROR(__xludf.DUMMYFUNCTION("""COMPUTED_VALUE"""),4499.0)</f>
        <v>4499</v>
      </c>
      <c r="X580" t="b">
        <f t="shared" ref="X580:Z580" si="1136">ISBLANK(K580)</f>
        <v>1</v>
      </c>
      <c r="Y580" t="b">
        <f t="shared" si="1136"/>
        <v>0</v>
      </c>
      <c r="Z580" t="b">
        <f t="shared" si="1136"/>
        <v>0</v>
      </c>
      <c r="AA580">
        <f t="shared" ref="AA580:AC580" si="1137">IF(X580=FALSE,1,0)</f>
        <v>0</v>
      </c>
      <c r="AB580">
        <f t="shared" si="1137"/>
        <v>1</v>
      </c>
      <c r="AC580">
        <f t="shared" si="1137"/>
        <v>1</v>
      </c>
      <c r="AD580">
        <f t="shared" si="6"/>
        <v>2</v>
      </c>
      <c r="AE580">
        <f t="shared" si="7"/>
        <v>1</v>
      </c>
      <c r="AF580">
        <f>if(iferror(vlookup($A580,'Description Database'!$E$2:$H$951,3,0),0)=TRUE,1,0)</f>
        <v>0</v>
      </c>
      <c r="AG580">
        <f>if(iferror(vlookup($A580,'Description Database'!$E$2:$H$951,4,0),0)=TRUE,1,0)</f>
        <v>0</v>
      </c>
    </row>
    <row r="581">
      <c r="A581" t="str">
        <f>IFERROR(__xludf.DUMMYFUNCTION("""COMPUTED_VALUE"""),"Vivo V7 (4 GB/64 GB)")</f>
        <v>Vivo V7 (4 GB/64 GB)</v>
      </c>
      <c r="B581" t="str">
        <f>IFERROR(__xludf.DUMMYFUNCTION("""COMPUTED_VALUE"""),"")</f>
        <v/>
      </c>
      <c r="C581" t="str">
        <f>IFERROR(__xludf.DUMMYFUNCTION("""COMPUTED_VALUE"""),"")</f>
        <v/>
      </c>
      <c r="D581" t="str">
        <f>IFERROR(__xludf.DUMMYFUNCTION("""COMPUTED_VALUE"""),"")</f>
        <v/>
      </c>
      <c r="E581" t="str">
        <f>IFERROR(__xludf.DUMMYFUNCTION("""COMPUTED_VALUE"""),"")</f>
        <v/>
      </c>
      <c r="F581" t="str">
        <f>IFERROR(__xludf.DUMMYFUNCTION("""COMPUTED_VALUE"""),"")</f>
        <v/>
      </c>
      <c r="G581" t="str">
        <f>IFERROR(__xludf.DUMMYFUNCTION("""COMPUTED_VALUE"""),"")</f>
        <v/>
      </c>
      <c r="H581" t="str">
        <f>IFERROR(__xludf.DUMMYFUNCTION("""COMPUTED_VALUE"""),"")</f>
        <v/>
      </c>
      <c r="I581" t="str">
        <f>IFERROR(__xludf.DUMMYFUNCTION("""COMPUTED_VALUE"""),"")</f>
        <v/>
      </c>
      <c r="J581">
        <f>IFERROR(__xludf.DUMMYFUNCTION("""COMPUTED_VALUE"""),0.0)</f>
        <v>0</v>
      </c>
      <c r="L581" s="250" t="str">
        <f>IFERROR(__xludf.DUMMYFUNCTION("""COMPUTED_VALUE"""),"")</f>
        <v/>
      </c>
      <c r="M581" s="250" t="str">
        <f>IFERROR(__xludf.DUMMYFUNCTION("""COMPUTED_VALUE"""),"")</f>
        <v/>
      </c>
      <c r="N581" s="250" t="str">
        <f>IFERROR(__xludf.DUMMYFUNCTION("""COMPUTED_VALUE"""),"")</f>
        <v/>
      </c>
      <c r="O581" s="250" t="str">
        <f>IFERROR(__xludf.DUMMYFUNCTION("""COMPUTED_VALUE"""),"")</f>
        <v/>
      </c>
      <c r="P581" s="250" t="str">
        <f>IFERROR(__xludf.DUMMYFUNCTION("""COMPUTED_VALUE"""),"")</f>
        <v/>
      </c>
      <c r="Q581" s="250" t="str">
        <f>IFERROR(__xludf.DUMMYFUNCTION("""COMPUTED_VALUE"""),"")</f>
        <v/>
      </c>
      <c r="R581" s="250" t="str">
        <f>IFERROR(__xludf.DUMMYFUNCTION("""COMPUTED_VALUE"""),"")</f>
        <v/>
      </c>
      <c r="U581" s="250" t="str">
        <f>IFERROR(__xludf.DUMMYFUNCTION("""COMPUTED_VALUE"""),"#N/A")</f>
        <v>#N/A</v>
      </c>
      <c r="V581" s="250" t="str">
        <f>IFERROR(__xludf.DUMMYFUNCTION("""COMPUTED_VALUE"""),"#N/A")</f>
        <v>#N/A</v>
      </c>
      <c r="W581" s="250" t="str">
        <f>IFERROR(__xludf.DUMMYFUNCTION("""COMPUTED_VALUE"""),"#N/A")</f>
        <v>#N/A</v>
      </c>
      <c r="X581" t="b">
        <f t="shared" ref="X581:Z581" si="1138">ISBLANK(K581)</f>
        <v>1</v>
      </c>
      <c r="Y581" t="b">
        <f t="shared" si="1138"/>
        <v>0</v>
      </c>
      <c r="Z581" t="b">
        <f t="shared" si="1138"/>
        <v>0</v>
      </c>
      <c r="AA581">
        <f t="shared" ref="AA581:AC581" si="1139">IF(X581=FALSE,1,0)</f>
        <v>0</v>
      </c>
      <c r="AB581">
        <f t="shared" si="1139"/>
        <v>1</v>
      </c>
      <c r="AC581">
        <f t="shared" si="1139"/>
        <v>1</v>
      </c>
      <c r="AD581">
        <f t="shared" si="6"/>
        <v>2</v>
      </c>
      <c r="AE581">
        <f t="shared" si="7"/>
        <v>1</v>
      </c>
      <c r="AF581">
        <f>if(iferror(vlookup($A581,'Description Database'!$E$2:$H$951,3,0),0)=TRUE,1,0)</f>
        <v>0</v>
      </c>
      <c r="AG581">
        <f>if(iferror(vlookup($A581,'Description Database'!$E$2:$H$951,4,0),0)=TRUE,1,0)</f>
        <v>0</v>
      </c>
    </row>
    <row r="582">
      <c r="A582" t="str">
        <f>IFERROR(__xludf.DUMMYFUNCTION("""COMPUTED_VALUE"""),"Xiaomi REDMI NOTE PRIME (2 GB/16 GB)")</f>
        <v>Xiaomi REDMI NOTE PRIME (2 GB/16 GB)</v>
      </c>
      <c r="B582" t="str">
        <f>IFERROR(__xludf.DUMMYFUNCTION("""COMPUTED_VALUE"""),"")</f>
        <v/>
      </c>
      <c r="C582" t="str">
        <f>IFERROR(__xludf.DUMMYFUNCTION("""COMPUTED_VALUE"""),"")</f>
        <v/>
      </c>
      <c r="D582" t="str">
        <f>IFERROR(__xludf.DUMMYFUNCTION("""COMPUTED_VALUE"""),"")</f>
        <v/>
      </c>
      <c r="E582" t="str">
        <f>IFERROR(__xludf.DUMMYFUNCTION("""COMPUTED_VALUE"""),"")</f>
        <v/>
      </c>
      <c r="F582" t="str">
        <f>IFERROR(__xludf.DUMMYFUNCTION("""COMPUTED_VALUE"""),"")</f>
        <v/>
      </c>
      <c r="G582" t="str">
        <f>IFERROR(__xludf.DUMMYFUNCTION("""COMPUTED_VALUE"""),"")</f>
        <v/>
      </c>
      <c r="H582" t="str">
        <f>IFERROR(__xludf.DUMMYFUNCTION("""COMPUTED_VALUE"""),"")</f>
        <v/>
      </c>
      <c r="I582">
        <f>IFERROR(__xludf.DUMMYFUNCTION("""COMPUTED_VALUE"""),4.0)</f>
        <v>4</v>
      </c>
      <c r="J582">
        <f>IFERROR(__xludf.DUMMYFUNCTION("""COMPUTED_VALUE"""),4.0)</f>
        <v>4</v>
      </c>
      <c r="L582" s="250" t="str">
        <f>IFERROR(__xludf.DUMMYFUNCTION("""COMPUTED_VALUE"""),"")</f>
        <v/>
      </c>
      <c r="M582" s="250" t="str">
        <f>IFERROR(__xludf.DUMMYFUNCTION("""COMPUTED_VALUE"""),"")</f>
        <v/>
      </c>
      <c r="N582" s="250" t="str">
        <f>IFERROR(__xludf.DUMMYFUNCTION("""COMPUTED_VALUE"""),"")</f>
        <v/>
      </c>
      <c r="O582" s="250" t="str">
        <f>IFERROR(__xludf.DUMMYFUNCTION("""COMPUTED_VALUE"""),"")</f>
        <v/>
      </c>
      <c r="P582" s="250" t="str">
        <f>IFERROR(__xludf.DUMMYFUNCTION("""COMPUTED_VALUE"""),"")</f>
        <v/>
      </c>
      <c r="Q582" s="250" t="str">
        <f>IFERROR(__xludf.DUMMYFUNCTION("""COMPUTED_VALUE"""),"")</f>
        <v/>
      </c>
      <c r="R582" s="250" t="str">
        <f>IFERROR(__xludf.DUMMYFUNCTION("""COMPUTED_VALUE"""),"")</f>
        <v/>
      </c>
      <c r="U582" s="250">
        <f>IFERROR(__xludf.DUMMYFUNCTION("""COMPUTED_VALUE"""),2409.0)</f>
        <v>2409</v>
      </c>
      <c r="V582" s="250">
        <f>IFERROR(__xludf.DUMMYFUNCTION("""COMPUTED_VALUE"""),2289.0)</f>
        <v>2289</v>
      </c>
      <c r="W582" s="250">
        <f>IFERROR(__xludf.DUMMYFUNCTION("""COMPUTED_VALUE"""),2059.0)</f>
        <v>2059</v>
      </c>
      <c r="X582" t="b">
        <f t="shared" ref="X582:Z582" si="1140">ISBLANK(K582)</f>
        <v>1</v>
      </c>
      <c r="Y582" t="b">
        <f t="shared" si="1140"/>
        <v>0</v>
      </c>
      <c r="Z582" t="b">
        <f t="shared" si="1140"/>
        <v>0</v>
      </c>
      <c r="AA582">
        <f t="shared" ref="AA582:AC582" si="1141">IF(X582=FALSE,1,0)</f>
        <v>0</v>
      </c>
      <c r="AB582">
        <f t="shared" si="1141"/>
        <v>1</v>
      </c>
      <c r="AC582">
        <f t="shared" si="1141"/>
        <v>1</v>
      </c>
      <c r="AD582">
        <f t="shared" si="6"/>
        <v>2</v>
      </c>
      <c r="AE582">
        <f t="shared" si="7"/>
        <v>1</v>
      </c>
      <c r="AF582">
        <f>if(iferror(vlookup($A582,'Description Database'!$E$2:$H$951,3,0),0)=TRUE,1,0)</f>
        <v>0</v>
      </c>
      <c r="AG582">
        <f>if(iferror(vlookup($A582,'Description Database'!$E$2:$H$951,4,0),0)=TRUE,1,0)</f>
        <v>0</v>
      </c>
    </row>
    <row r="583">
      <c r="A583" t="str">
        <f>IFERROR(__xludf.DUMMYFUNCTION("""COMPUTED_VALUE"""),"ASUS ZENFONE 4 SELFI (2 GB/16 GB)")</f>
        <v>ASUS ZENFONE 4 SELFI (2 GB/16 GB)</v>
      </c>
      <c r="B583" t="str">
        <f>IFERROR(__xludf.DUMMYFUNCTION("""COMPUTED_VALUE"""),"")</f>
        <v/>
      </c>
      <c r="C583" t="str">
        <f>IFERROR(__xludf.DUMMYFUNCTION("""COMPUTED_VALUE"""),"")</f>
        <v/>
      </c>
      <c r="D583" t="str">
        <f>IFERROR(__xludf.DUMMYFUNCTION("""COMPUTED_VALUE"""),"")</f>
        <v/>
      </c>
      <c r="E583" t="str">
        <f>IFERROR(__xludf.DUMMYFUNCTION("""COMPUTED_VALUE"""),"")</f>
        <v/>
      </c>
      <c r="F583" t="str">
        <f>IFERROR(__xludf.DUMMYFUNCTION("""COMPUTED_VALUE"""),"")</f>
        <v/>
      </c>
      <c r="G583" t="str">
        <f>IFERROR(__xludf.DUMMYFUNCTION("""COMPUTED_VALUE"""),"")</f>
        <v/>
      </c>
      <c r="H583" t="str">
        <f>IFERROR(__xludf.DUMMYFUNCTION("""COMPUTED_VALUE"""),"")</f>
        <v/>
      </c>
      <c r="I583" t="str">
        <f>IFERROR(__xludf.DUMMYFUNCTION("""COMPUTED_VALUE"""),"")</f>
        <v/>
      </c>
      <c r="J583">
        <f>IFERROR(__xludf.DUMMYFUNCTION("""COMPUTED_VALUE"""),0.0)</f>
        <v>0</v>
      </c>
      <c r="L583" s="250" t="str">
        <f>IFERROR(__xludf.DUMMYFUNCTION("""COMPUTED_VALUE"""),"")</f>
        <v/>
      </c>
      <c r="M583" s="250" t="str">
        <f>IFERROR(__xludf.DUMMYFUNCTION("""COMPUTED_VALUE"""),"")</f>
        <v/>
      </c>
      <c r="N583" s="250" t="str">
        <f>IFERROR(__xludf.DUMMYFUNCTION("""COMPUTED_VALUE"""),"")</f>
        <v/>
      </c>
      <c r="O583" s="250" t="str">
        <f>IFERROR(__xludf.DUMMYFUNCTION("""COMPUTED_VALUE"""),"")</f>
        <v/>
      </c>
      <c r="P583" s="250" t="str">
        <f>IFERROR(__xludf.DUMMYFUNCTION("""COMPUTED_VALUE"""),"")</f>
        <v/>
      </c>
      <c r="Q583" s="250" t="str">
        <f>IFERROR(__xludf.DUMMYFUNCTION("""COMPUTED_VALUE"""),"")</f>
        <v/>
      </c>
      <c r="R583" s="250" t="str">
        <f>IFERROR(__xludf.DUMMYFUNCTION("""COMPUTED_VALUE"""),"")</f>
        <v/>
      </c>
      <c r="U583" s="250" t="str">
        <f>IFERROR(__xludf.DUMMYFUNCTION("""COMPUTED_VALUE"""),"#N/A")</f>
        <v>#N/A</v>
      </c>
      <c r="V583" s="250" t="str">
        <f>IFERROR(__xludf.DUMMYFUNCTION("""COMPUTED_VALUE"""),"#N/A")</f>
        <v>#N/A</v>
      </c>
      <c r="W583" s="250" t="str">
        <f>IFERROR(__xludf.DUMMYFUNCTION("""COMPUTED_VALUE"""),"#N/A")</f>
        <v>#N/A</v>
      </c>
      <c r="X583" t="b">
        <f t="shared" ref="X583:Z583" si="1142">ISBLANK(K583)</f>
        <v>1</v>
      </c>
      <c r="Y583" t="b">
        <f t="shared" si="1142"/>
        <v>0</v>
      </c>
      <c r="Z583" t="b">
        <f t="shared" si="1142"/>
        <v>0</v>
      </c>
      <c r="AA583">
        <f t="shared" ref="AA583:AC583" si="1143">IF(X583=FALSE,1,0)</f>
        <v>0</v>
      </c>
      <c r="AB583">
        <f t="shared" si="1143"/>
        <v>1</v>
      </c>
      <c r="AC583">
        <f t="shared" si="1143"/>
        <v>1</v>
      </c>
      <c r="AD583">
        <f t="shared" si="6"/>
        <v>2</v>
      </c>
      <c r="AE583">
        <f t="shared" si="7"/>
        <v>1</v>
      </c>
      <c r="AF583">
        <f>if(iferror(vlookup($A583,'Description Database'!$E$2:$H$951,3,0),0)=TRUE,1,0)</f>
        <v>0</v>
      </c>
      <c r="AG583">
        <f>if(iferror(vlookup($A583,'Description Database'!$E$2:$H$951,4,0),0)=TRUE,1,0)</f>
        <v>0</v>
      </c>
    </row>
    <row r="584">
      <c r="A584" t="str">
        <f>IFERROR(__xludf.DUMMYFUNCTION("""COMPUTED_VALUE"""),"ONEPLUS 7 (6 GB/128 GB)")</f>
        <v>ONEPLUS 7 (6 GB/128 GB)</v>
      </c>
      <c r="B584" t="str">
        <f>IFERROR(__xludf.DUMMYFUNCTION("""COMPUTED_VALUE"""),"")</f>
        <v/>
      </c>
      <c r="C584">
        <f>IFERROR(__xludf.DUMMYFUNCTION("""COMPUTED_VALUE"""),2.0)</f>
        <v>2</v>
      </c>
      <c r="D584">
        <f>IFERROR(__xludf.DUMMYFUNCTION("""COMPUTED_VALUE"""),6.0)</f>
        <v>6</v>
      </c>
      <c r="E584" t="str">
        <f>IFERROR(__xludf.DUMMYFUNCTION("""COMPUTED_VALUE"""),"")</f>
        <v/>
      </c>
      <c r="F584">
        <f>IFERROR(__xludf.DUMMYFUNCTION("""COMPUTED_VALUE"""),2.0)</f>
        <v>2</v>
      </c>
      <c r="G584">
        <f>IFERROR(__xludf.DUMMYFUNCTION("""COMPUTED_VALUE"""),1.0)</f>
        <v>1</v>
      </c>
      <c r="H584" t="str">
        <f>IFERROR(__xludf.DUMMYFUNCTION("""COMPUTED_VALUE"""),"")</f>
        <v/>
      </c>
      <c r="I584">
        <f>IFERROR(__xludf.DUMMYFUNCTION("""COMPUTED_VALUE"""),3.0)</f>
        <v>3</v>
      </c>
      <c r="J584">
        <f>IFERROR(__xludf.DUMMYFUNCTION("""COMPUTED_VALUE"""),14.0)</f>
        <v>14</v>
      </c>
      <c r="L584" s="250" t="str">
        <f>IFERROR(__xludf.DUMMYFUNCTION("""COMPUTED_VALUE"""),"")</f>
        <v/>
      </c>
      <c r="M584" s="250">
        <f>IFERROR(__xludf.DUMMYFUNCTION("""COMPUTED_VALUE"""),17769.0)</f>
        <v>17769</v>
      </c>
      <c r="N584" s="250">
        <f>IFERROR(__xludf.DUMMYFUNCTION("""COMPUTED_VALUE"""),15999.0)</f>
        <v>15999</v>
      </c>
      <c r="O584" s="250" t="str">
        <f>IFERROR(__xludf.DUMMYFUNCTION("""COMPUTED_VALUE"""),"")</f>
        <v/>
      </c>
      <c r="P584" s="250">
        <f>IFERROR(__xludf.DUMMYFUNCTION("""COMPUTED_VALUE"""),13329.0)</f>
        <v>13329</v>
      </c>
      <c r="Q584" s="250">
        <f>IFERROR(__xludf.DUMMYFUNCTION("""COMPUTED_VALUE"""),10199.0)</f>
        <v>10199</v>
      </c>
      <c r="R584" s="250" t="str">
        <f>IFERROR(__xludf.DUMMYFUNCTION("""COMPUTED_VALUE"""),"")</f>
        <v/>
      </c>
      <c r="U584" s="250">
        <f>IFERROR(__xludf.DUMMYFUNCTION("""COMPUTED_VALUE"""),20529.0)</f>
        <v>20529</v>
      </c>
      <c r="V584" s="250">
        <f>IFERROR(__xludf.DUMMYFUNCTION("""COMPUTED_VALUE"""),19549.0)</f>
        <v>19549</v>
      </c>
      <c r="W584" s="250">
        <f>IFERROR(__xludf.DUMMYFUNCTION("""COMPUTED_VALUE"""),17599.0)</f>
        <v>17599</v>
      </c>
      <c r="X584" t="b">
        <f t="shared" ref="X584:Z584" si="1144">ISBLANK(K584)</f>
        <v>1</v>
      </c>
      <c r="Y584" t="b">
        <f t="shared" si="1144"/>
        <v>0</v>
      </c>
      <c r="Z584" t="b">
        <f t="shared" si="1144"/>
        <v>0</v>
      </c>
      <c r="AA584">
        <f t="shared" ref="AA584:AC584" si="1145">IF(X584=FALSE,1,0)</f>
        <v>0</v>
      </c>
      <c r="AB584">
        <f t="shared" si="1145"/>
        <v>1</v>
      </c>
      <c r="AC584">
        <f t="shared" si="1145"/>
        <v>1</v>
      </c>
      <c r="AD584">
        <f t="shared" si="6"/>
        <v>2</v>
      </c>
      <c r="AE584">
        <f t="shared" si="7"/>
        <v>1</v>
      </c>
      <c r="AF584">
        <f>if(iferror(vlookup($A584,'Description Database'!$E$2:$H$951,3,0),0)=TRUE,1,0)</f>
        <v>0</v>
      </c>
      <c r="AG584">
        <f>if(iferror(vlookup($A584,'Description Database'!$E$2:$H$951,4,0),0)=TRUE,1,0)</f>
        <v>0</v>
      </c>
    </row>
    <row r="585">
      <c r="A585" t="str">
        <f>IFERROR(__xludf.DUMMYFUNCTION("""COMPUTED_VALUE"""),"Xiaomi REDMI 8A (2 GB/32 GB)")</f>
        <v>Xiaomi REDMI 8A (2 GB/32 GB)</v>
      </c>
      <c r="B585" t="str">
        <f>IFERROR(__xludf.DUMMYFUNCTION("""COMPUTED_VALUE"""),"")</f>
        <v/>
      </c>
      <c r="C585" t="str">
        <f>IFERROR(__xludf.DUMMYFUNCTION("""COMPUTED_VALUE"""),"")</f>
        <v/>
      </c>
      <c r="D585" t="str">
        <f>IFERROR(__xludf.DUMMYFUNCTION("""COMPUTED_VALUE"""),"")</f>
        <v/>
      </c>
      <c r="E585" t="str">
        <f>IFERROR(__xludf.DUMMYFUNCTION("""COMPUTED_VALUE"""),"")</f>
        <v/>
      </c>
      <c r="F585" t="str">
        <f>IFERROR(__xludf.DUMMYFUNCTION("""COMPUTED_VALUE"""),"")</f>
        <v/>
      </c>
      <c r="G585" t="str">
        <f>IFERROR(__xludf.DUMMYFUNCTION("""COMPUTED_VALUE"""),"")</f>
        <v/>
      </c>
      <c r="H585" t="str">
        <f>IFERROR(__xludf.DUMMYFUNCTION("""COMPUTED_VALUE"""),"")</f>
        <v/>
      </c>
      <c r="I585">
        <f>IFERROR(__xludf.DUMMYFUNCTION("""COMPUTED_VALUE"""),4.0)</f>
        <v>4</v>
      </c>
      <c r="J585">
        <f>IFERROR(__xludf.DUMMYFUNCTION("""COMPUTED_VALUE"""),4.0)</f>
        <v>4</v>
      </c>
      <c r="L585" s="250" t="str">
        <f>IFERROR(__xludf.DUMMYFUNCTION("""COMPUTED_VALUE"""),"")</f>
        <v/>
      </c>
      <c r="M585" s="250" t="str">
        <f>IFERROR(__xludf.DUMMYFUNCTION("""COMPUTED_VALUE"""),"")</f>
        <v/>
      </c>
      <c r="N585" s="250" t="str">
        <f>IFERROR(__xludf.DUMMYFUNCTION("""COMPUTED_VALUE"""),"")</f>
        <v/>
      </c>
      <c r="O585" s="250" t="str">
        <f>IFERROR(__xludf.DUMMYFUNCTION("""COMPUTED_VALUE"""),"")</f>
        <v/>
      </c>
      <c r="P585" s="250" t="str">
        <f>IFERROR(__xludf.DUMMYFUNCTION("""COMPUTED_VALUE"""),"")</f>
        <v/>
      </c>
      <c r="Q585" s="250" t="str">
        <f>IFERROR(__xludf.DUMMYFUNCTION("""COMPUTED_VALUE"""),"")</f>
        <v/>
      </c>
      <c r="R585" s="250" t="str">
        <f>IFERROR(__xludf.DUMMYFUNCTION("""COMPUTED_VALUE"""),"")</f>
        <v/>
      </c>
      <c r="U585" s="250">
        <f>IFERROR(__xludf.DUMMYFUNCTION("""COMPUTED_VALUE"""),6029.0)</f>
        <v>6029</v>
      </c>
      <c r="V585" s="250">
        <f>IFERROR(__xludf.DUMMYFUNCTION("""COMPUTED_VALUE"""),5749.0)</f>
        <v>5749</v>
      </c>
      <c r="W585" s="250">
        <f>IFERROR(__xludf.DUMMYFUNCTION("""COMPUTED_VALUE"""),5159.0)</f>
        <v>5159</v>
      </c>
      <c r="X585" t="b">
        <f t="shared" ref="X585:Z585" si="1146">ISBLANK(K585)</f>
        <v>1</v>
      </c>
      <c r="Y585" t="b">
        <f t="shared" si="1146"/>
        <v>0</v>
      </c>
      <c r="Z585" t="b">
        <f t="shared" si="1146"/>
        <v>0</v>
      </c>
      <c r="AA585">
        <f t="shared" ref="AA585:AC585" si="1147">IF(X585=FALSE,1,0)</f>
        <v>0</v>
      </c>
      <c r="AB585">
        <f t="shared" si="1147"/>
        <v>1</v>
      </c>
      <c r="AC585">
        <f t="shared" si="1147"/>
        <v>1</v>
      </c>
      <c r="AD585">
        <f t="shared" si="6"/>
        <v>2</v>
      </c>
      <c r="AE585">
        <f t="shared" si="7"/>
        <v>1</v>
      </c>
      <c r="AF585">
        <f>if(iferror(vlookup($A585,'Description Database'!$E$2:$H$951,3,0),0)=TRUE,1,0)</f>
        <v>0</v>
      </c>
      <c r="AG585">
        <f>if(iferror(vlookup($A585,'Description Database'!$E$2:$H$951,4,0),0)=TRUE,1,0)</f>
        <v>0</v>
      </c>
    </row>
    <row r="586">
      <c r="A586" t="str">
        <f>IFERROR(__xludf.DUMMYFUNCTION("""COMPUTED_VALUE"""),"Apple IPHONE 8 (2 GB/256 GB)")</f>
        <v>Apple IPHONE 8 (2 GB/256 GB)</v>
      </c>
      <c r="B586" t="str">
        <f>IFERROR(__xludf.DUMMYFUNCTION("""COMPUTED_VALUE"""),"")</f>
        <v/>
      </c>
      <c r="C586" t="str">
        <f>IFERROR(__xludf.DUMMYFUNCTION("""COMPUTED_VALUE"""),"")</f>
        <v/>
      </c>
      <c r="D586" t="str">
        <f>IFERROR(__xludf.DUMMYFUNCTION("""COMPUTED_VALUE"""),"")</f>
        <v/>
      </c>
      <c r="E586" t="str">
        <f>IFERROR(__xludf.DUMMYFUNCTION("""COMPUTED_VALUE"""),"")</f>
        <v/>
      </c>
      <c r="F586" t="str">
        <f>IFERROR(__xludf.DUMMYFUNCTION("""COMPUTED_VALUE"""),"")</f>
        <v/>
      </c>
      <c r="G586" t="str">
        <f>IFERROR(__xludf.DUMMYFUNCTION("""COMPUTED_VALUE"""),"")</f>
        <v/>
      </c>
      <c r="H586" t="str">
        <f>IFERROR(__xludf.DUMMYFUNCTION("""COMPUTED_VALUE"""),"")</f>
        <v/>
      </c>
      <c r="I586" t="str">
        <f>IFERROR(__xludf.DUMMYFUNCTION("""COMPUTED_VALUE"""),"")</f>
        <v/>
      </c>
      <c r="J586">
        <f>IFERROR(__xludf.DUMMYFUNCTION("""COMPUTED_VALUE"""),0.0)</f>
        <v>0</v>
      </c>
      <c r="L586" s="250" t="str">
        <f>IFERROR(__xludf.DUMMYFUNCTION("""COMPUTED_VALUE"""),"")</f>
        <v/>
      </c>
      <c r="M586" s="250" t="str">
        <f>IFERROR(__xludf.DUMMYFUNCTION("""COMPUTED_VALUE"""),"")</f>
        <v/>
      </c>
      <c r="N586" s="250" t="str">
        <f>IFERROR(__xludf.DUMMYFUNCTION("""COMPUTED_VALUE"""),"")</f>
        <v/>
      </c>
      <c r="O586" s="250" t="str">
        <f>IFERROR(__xludf.DUMMYFUNCTION("""COMPUTED_VALUE"""),"")</f>
        <v/>
      </c>
      <c r="P586" s="250" t="str">
        <f>IFERROR(__xludf.DUMMYFUNCTION("""COMPUTED_VALUE"""),"")</f>
        <v/>
      </c>
      <c r="Q586" s="250" t="str">
        <f>IFERROR(__xludf.DUMMYFUNCTION("""COMPUTED_VALUE"""),"")</f>
        <v/>
      </c>
      <c r="R586" s="250" t="str">
        <f>IFERROR(__xludf.DUMMYFUNCTION("""COMPUTED_VALUE"""),"")</f>
        <v/>
      </c>
      <c r="U586" s="250">
        <f>IFERROR(__xludf.DUMMYFUNCTION("""COMPUTED_VALUE"""),21709.0)</f>
        <v>21709</v>
      </c>
      <c r="V586" s="250">
        <f>IFERROR(__xludf.DUMMYFUNCTION("""COMPUTED_VALUE"""),20669.0)</f>
        <v>20669</v>
      </c>
      <c r="W586" s="250">
        <f>IFERROR(__xludf.DUMMYFUNCTION("""COMPUTED_VALUE"""),18599.0)</f>
        <v>18599</v>
      </c>
      <c r="X586" t="b">
        <f t="shared" ref="X586:Z586" si="1148">ISBLANK(K586)</f>
        <v>1</v>
      </c>
      <c r="Y586" t="b">
        <f t="shared" si="1148"/>
        <v>0</v>
      </c>
      <c r="Z586" t="b">
        <f t="shared" si="1148"/>
        <v>0</v>
      </c>
      <c r="AA586">
        <f t="shared" ref="AA586:AC586" si="1149">IF(X586=FALSE,1,0)</f>
        <v>0</v>
      </c>
      <c r="AB586">
        <f t="shared" si="1149"/>
        <v>1</v>
      </c>
      <c r="AC586">
        <f t="shared" si="1149"/>
        <v>1</v>
      </c>
      <c r="AD586">
        <f t="shared" si="6"/>
        <v>2</v>
      </c>
      <c r="AE586">
        <f t="shared" si="7"/>
        <v>1</v>
      </c>
      <c r="AF586">
        <f>if(iferror(vlookup($A586,'Description Database'!$E$2:$H$951,3,0),0)=TRUE,1,0)</f>
        <v>0</v>
      </c>
      <c r="AG586">
        <f>if(iferror(vlookup($A586,'Description Database'!$E$2:$H$951,4,0),0)=TRUE,1,0)</f>
        <v>0</v>
      </c>
    </row>
    <row r="587">
      <c r="A587" t="str">
        <f>IFERROR(__xludf.DUMMYFUNCTION("""COMPUTED_VALUE"""),"Oppo A53 (4 GB/64 GB)")</f>
        <v>Oppo A53 (4 GB/64 GB)</v>
      </c>
      <c r="B587" t="str">
        <f>IFERROR(__xludf.DUMMYFUNCTION("""COMPUTED_VALUE"""),"")</f>
        <v/>
      </c>
      <c r="C587" t="str">
        <f>IFERROR(__xludf.DUMMYFUNCTION("""COMPUTED_VALUE"""),"")</f>
        <v/>
      </c>
      <c r="D587" t="str">
        <f>IFERROR(__xludf.DUMMYFUNCTION("""COMPUTED_VALUE"""),"")</f>
        <v/>
      </c>
      <c r="E587" t="str">
        <f>IFERROR(__xludf.DUMMYFUNCTION("""COMPUTED_VALUE"""),"")</f>
        <v/>
      </c>
      <c r="F587" t="str">
        <f>IFERROR(__xludf.DUMMYFUNCTION("""COMPUTED_VALUE"""),"")</f>
        <v/>
      </c>
      <c r="G587" t="str">
        <f>IFERROR(__xludf.DUMMYFUNCTION("""COMPUTED_VALUE"""),"")</f>
        <v/>
      </c>
      <c r="H587" t="str">
        <f>IFERROR(__xludf.DUMMYFUNCTION("""COMPUTED_VALUE"""),"")</f>
        <v/>
      </c>
      <c r="I587" t="str">
        <f>IFERROR(__xludf.DUMMYFUNCTION("""COMPUTED_VALUE"""),"")</f>
        <v/>
      </c>
      <c r="J587">
        <f>IFERROR(__xludf.DUMMYFUNCTION("""COMPUTED_VALUE"""),0.0)</f>
        <v>0</v>
      </c>
      <c r="L587" s="250" t="str">
        <f>IFERROR(__xludf.DUMMYFUNCTION("""COMPUTED_VALUE"""),"")</f>
        <v/>
      </c>
      <c r="M587" s="250" t="str">
        <f>IFERROR(__xludf.DUMMYFUNCTION("""COMPUTED_VALUE"""),"")</f>
        <v/>
      </c>
      <c r="N587" s="250" t="str">
        <f>IFERROR(__xludf.DUMMYFUNCTION("""COMPUTED_VALUE"""),"")</f>
        <v/>
      </c>
      <c r="O587" s="250" t="str">
        <f>IFERROR(__xludf.DUMMYFUNCTION("""COMPUTED_VALUE"""),"")</f>
        <v/>
      </c>
      <c r="P587" s="250" t="str">
        <f>IFERROR(__xludf.DUMMYFUNCTION("""COMPUTED_VALUE"""),"")</f>
        <v/>
      </c>
      <c r="Q587" s="250" t="str">
        <f>IFERROR(__xludf.DUMMYFUNCTION("""COMPUTED_VALUE"""),"")</f>
        <v/>
      </c>
      <c r="R587" s="250" t="str">
        <f>IFERROR(__xludf.DUMMYFUNCTION("""COMPUTED_VALUE"""),"")</f>
        <v/>
      </c>
      <c r="U587" s="250">
        <f>IFERROR(__xludf.DUMMYFUNCTION("""COMPUTED_VALUE"""),10639.0)</f>
        <v>10639</v>
      </c>
      <c r="V587" s="250">
        <f>IFERROR(__xludf.DUMMYFUNCTION("""COMPUTED_VALUE"""),10129.0)</f>
        <v>10129</v>
      </c>
      <c r="W587" s="250">
        <f>IFERROR(__xludf.DUMMYFUNCTION("""COMPUTED_VALUE"""),9119.0)</f>
        <v>9119</v>
      </c>
      <c r="X587" t="b">
        <f t="shared" ref="X587:Z587" si="1150">ISBLANK(K587)</f>
        <v>1</v>
      </c>
      <c r="Y587" t="b">
        <f t="shared" si="1150"/>
        <v>0</v>
      </c>
      <c r="Z587" t="b">
        <f t="shared" si="1150"/>
        <v>0</v>
      </c>
      <c r="AA587">
        <f t="shared" ref="AA587:AC587" si="1151">IF(X587=FALSE,1,0)</f>
        <v>0</v>
      </c>
      <c r="AB587">
        <f t="shared" si="1151"/>
        <v>1</v>
      </c>
      <c r="AC587">
        <f t="shared" si="1151"/>
        <v>1</v>
      </c>
      <c r="AD587">
        <f t="shared" si="6"/>
        <v>2</v>
      </c>
      <c r="AE587">
        <f t="shared" si="7"/>
        <v>1</v>
      </c>
      <c r="AF587">
        <f>if(iferror(vlookup($A587,'Description Database'!$E$2:$H$951,3,0),0)=TRUE,1,0)</f>
        <v>0</v>
      </c>
      <c r="AG587">
        <f>if(iferror(vlookup($A587,'Description Database'!$E$2:$H$951,4,0),0)=TRUE,1,0)</f>
        <v>0</v>
      </c>
    </row>
    <row r="588">
      <c r="A588" t="str">
        <f>IFERROR(__xludf.DUMMYFUNCTION("""COMPUTED_VALUE"""),"Vivo Y30 (4 GB/128 GB)")</f>
        <v>Vivo Y30 (4 GB/128 GB)</v>
      </c>
      <c r="B588" t="str">
        <f>IFERROR(__xludf.DUMMYFUNCTION("""COMPUTED_VALUE"""),"")</f>
        <v/>
      </c>
      <c r="C588" t="str">
        <f>IFERROR(__xludf.DUMMYFUNCTION("""COMPUTED_VALUE"""),"")</f>
        <v/>
      </c>
      <c r="D588" t="str">
        <f>IFERROR(__xludf.DUMMYFUNCTION("""COMPUTED_VALUE"""),"")</f>
        <v/>
      </c>
      <c r="E588" t="str">
        <f>IFERROR(__xludf.DUMMYFUNCTION("""COMPUTED_VALUE"""),"")</f>
        <v/>
      </c>
      <c r="F588" t="str">
        <f>IFERROR(__xludf.DUMMYFUNCTION("""COMPUTED_VALUE"""),"")</f>
        <v/>
      </c>
      <c r="G588" t="str">
        <f>IFERROR(__xludf.DUMMYFUNCTION("""COMPUTED_VALUE"""),"")</f>
        <v/>
      </c>
      <c r="H588" t="str">
        <f>IFERROR(__xludf.DUMMYFUNCTION("""COMPUTED_VALUE"""),"")</f>
        <v/>
      </c>
      <c r="I588" t="str">
        <f>IFERROR(__xludf.DUMMYFUNCTION("""COMPUTED_VALUE"""),"")</f>
        <v/>
      </c>
      <c r="J588">
        <f>IFERROR(__xludf.DUMMYFUNCTION("""COMPUTED_VALUE"""),0.0)</f>
        <v>0</v>
      </c>
      <c r="L588" s="250" t="str">
        <f>IFERROR(__xludf.DUMMYFUNCTION("""COMPUTED_VALUE"""),"")</f>
        <v/>
      </c>
      <c r="M588" s="250" t="str">
        <f>IFERROR(__xludf.DUMMYFUNCTION("""COMPUTED_VALUE"""),"")</f>
        <v/>
      </c>
      <c r="N588" s="250" t="str">
        <f>IFERROR(__xludf.DUMMYFUNCTION("""COMPUTED_VALUE"""),"")</f>
        <v/>
      </c>
      <c r="O588" s="250" t="str">
        <f>IFERROR(__xludf.DUMMYFUNCTION("""COMPUTED_VALUE"""),"")</f>
        <v/>
      </c>
      <c r="P588" s="250" t="str">
        <f>IFERROR(__xludf.DUMMYFUNCTION("""COMPUTED_VALUE"""),"")</f>
        <v/>
      </c>
      <c r="Q588" s="250" t="str">
        <f>IFERROR(__xludf.DUMMYFUNCTION("""COMPUTED_VALUE"""),"")</f>
        <v/>
      </c>
      <c r="R588" s="250" t="str">
        <f>IFERROR(__xludf.DUMMYFUNCTION("""COMPUTED_VALUE"""),"")</f>
        <v/>
      </c>
      <c r="U588" s="250">
        <f>IFERROR(__xludf.DUMMYFUNCTION("""COMPUTED_VALUE"""),11429.0)</f>
        <v>11429</v>
      </c>
      <c r="V588" s="250">
        <f>IFERROR(__xludf.DUMMYFUNCTION("""COMPUTED_VALUE"""),10879.0)</f>
        <v>10879</v>
      </c>
      <c r="W588" s="250">
        <f>IFERROR(__xludf.DUMMYFUNCTION("""COMPUTED_VALUE"""),9789.0)</f>
        <v>9789</v>
      </c>
      <c r="X588" t="b">
        <f t="shared" ref="X588:Z588" si="1152">ISBLANK(K588)</f>
        <v>1</v>
      </c>
      <c r="Y588" t="b">
        <f t="shared" si="1152"/>
        <v>0</v>
      </c>
      <c r="Z588" t="b">
        <f t="shared" si="1152"/>
        <v>0</v>
      </c>
      <c r="AA588">
        <f t="shared" ref="AA588:AC588" si="1153">IF(X588=FALSE,1,0)</f>
        <v>0</v>
      </c>
      <c r="AB588">
        <f t="shared" si="1153"/>
        <v>1</v>
      </c>
      <c r="AC588">
        <f t="shared" si="1153"/>
        <v>1</v>
      </c>
      <c r="AD588">
        <f t="shared" si="6"/>
        <v>2</v>
      </c>
      <c r="AE588">
        <f t="shared" si="7"/>
        <v>1</v>
      </c>
      <c r="AF588">
        <f>if(iferror(vlookup($A588,'Description Database'!$E$2:$H$951,3,0),0)=TRUE,1,0)</f>
        <v>0</v>
      </c>
      <c r="AG588">
        <f>if(iferror(vlookup($A588,'Description Database'!$E$2:$H$951,4,0),0)=TRUE,1,0)</f>
        <v>0</v>
      </c>
    </row>
    <row r="589">
      <c r="A589" t="str">
        <f>IFERROR(__xludf.DUMMYFUNCTION("""COMPUTED_VALUE"""),"OnePlus 7T (8 GB/256 GB)")</f>
        <v>OnePlus 7T (8 GB/256 GB)</v>
      </c>
      <c r="B589" t="str">
        <f>IFERROR(__xludf.DUMMYFUNCTION("""COMPUTED_VALUE"""),"")</f>
        <v/>
      </c>
      <c r="C589">
        <f>IFERROR(__xludf.DUMMYFUNCTION("""COMPUTED_VALUE"""),1.0)</f>
        <v>1</v>
      </c>
      <c r="D589">
        <f>IFERROR(__xludf.DUMMYFUNCTION("""COMPUTED_VALUE"""),1.0)</f>
        <v>1</v>
      </c>
      <c r="E589" t="str">
        <f>IFERROR(__xludf.DUMMYFUNCTION("""COMPUTED_VALUE"""),"")</f>
        <v/>
      </c>
      <c r="F589" t="str">
        <f>IFERROR(__xludf.DUMMYFUNCTION("""COMPUTED_VALUE"""),"")</f>
        <v/>
      </c>
      <c r="G589" t="str">
        <f>IFERROR(__xludf.DUMMYFUNCTION("""COMPUTED_VALUE"""),"")</f>
        <v/>
      </c>
      <c r="H589" t="str">
        <f>IFERROR(__xludf.DUMMYFUNCTION("""COMPUTED_VALUE"""),"")</f>
        <v/>
      </c>
      <c r="I589" t="str">
        <f>IFERROR(__xludf.DUMMYFUNCTION("""COMPUTED_VALUE"""),"")</f>
        <v/>
      </c>
      <c r="J589">
        <f>IFERROR(__xludf.DUMMYFUNCTION("""COMPUTED_VALUE"""),2.0)</f>
        <v>2</v>
      </c>
      <c r="L589" s="250" t="str">
        <f>IFERROR(__xludf.DUMMYFUNCTION("""COMPUTED_VALUE"""),"")</f>
        <v/>
      </c>
      <c r="M589" s="250">
        <f>IFERROR(__xludf.DUMMYFUNCTION("""COMPUTED_VALUE"""),23909.0)</f>
        <v>23909</v>
      </c>
      <c r="N589" s="250">
        <f>IFERROR(__xludf.DUMMYFUNCTION("""COMPUTED_VALUE"""),21519.0)</f>
        <v>21519</v>
      </c>
      <c r="O589" s="250" t="str">
        <f>IFERROR(__xludf.DUMMYFUNCTION("""COMPUTED_VALUE"""),"")</f>
        <v/>
      </c>
      <c r="P589" s="250" t="str">
        <f>IFERROR(__xludf.DUMMYFUNCTION("""COMPUTED_VALUE"""),"")</f>
        <v/>
      </c>
      <c r="Q589" s="250" t="str">
        <f>IFERROR(__xludf.DUMMYFUNCTION("""COMPUTED_VALUE"""),"")</f>
        <v/>
      </c>
      <c r="R589" s="250" t="str">
        <f>IFERROR(__xludf.DUMMYFUNCTION("""COMPUTED_VALUE"""),"")</f>
        <v/>
      </c>
      <c r="U589" s="250">
        <f>IFERROR(__xludf.DUMMYFUNCTION("""COMPUTED_VALUE"""),27619.0)</f>
        <v>27619</v>
      </c>
      <c r="V589" s="250">
        <f>IFERROR(__xludf.DUMMYFUNCTION("""COMPUTED_VALUE"""),26299.0)</f>
        <v>26299</v>
      </c>
      <c r="W589" s="250">
        <f>IFERROR(__xludf.DUMMYFUNCTION("""COMPUTED_VALUE"""),23679.0)</f>
        <v>23679</v>
      </c>
      <c r="X589" t="b">
        <f t="shared" ref="X589:Z589" si="1154">ISBLANK(K589)</f>
        <v>1</v>
      </c>
      <c r="Y589" t="b">
        <f t="shared" si="1154"/>
        <v>0</v>
      </c>
      <c r="Z589" t="b">
        <f t="shared" si="1154"/>
        <v>0</v>
      </c>
      <c r="AA589">
        <f t="shared" ref="AA589:AC589" si="1155">IF(X589=FALSE,1,0)</f>
        <v>0</v>
      </c>
      <c r="AB589">
        <f t="shared" si="1155"/>
        <v>1</v>
      </c>
      <c r="AC589">
        <f t="shared" si="1155"/>
        <v>1</v>
      </c>
      <c r="AD589">
        <f t="shared" si="6"/>
        <v>2</v>
      </c>
      <c r="AE589">
        <f t="shared" si="7"/>
        <v>1</v>
      </c>
      <c r="AF589">
        <f>if(iferror(vlookup($A589,'Description Database'!$E$2:$H$951,3,0),0)=TRUE,1,0)</f>
        <v>0</v>
      </c>
      <c r="AG589">
        <f>if(iferror(vlookup($A589,'Description Database'!$E$2:$H$951,4,0),0)=TRUE,1,0)</f>
        <v>0</v>
      </c>
    </row>
    <row r="590">
      <c r="A590" t="str">
        <f>IFERROR(__xludf.DUMMYFUNCTION("""COMPUTED_VALUE"""),"ONEPLUS 7 PRO (6 GB/128 GB)")</f>
        <v>ONEPLUS 7 PRO (6 GB/128 GB)</v>
      </c>
      <c r="B590" t="str">
        <f>IFERROR(__xludf.DUMMYFUNCTION("""COMPUTED_VALUE"""),"")</f>
        <v/>
      </c>
      <c r="C590" t="str">
        <f>IFERROR(__xludf.DUMMYFUNCTION("""COMPUTED_VALUE"""),"")</f>
        <v/>
      </c>
      <c r="D590" t="str">
        <f>IFERROR(__xludf.DUMMYFUNCTION("""COMPUTED_VALUE"""),"")</f>
        <v/>
      </c>
      <c r="E590">
        <f>IFERROR(__xludf.DUMMYFUNCTION("""COMPUTED_VALUE"""),1.0)</f>
        <v>1</v>
      </c>
      <c r="F590">
        <f>IFERROR(__xludf.DUMMYFUNCTION("""COMPUTED_VALUE"""),2.0)</f>
        <v>2</v>
      </c>
      <c r="G590" t="str">
        <f>IFERROR(__xludf.DUMMYFUNCTION("""COMPUTED_VALUE"""),"")</f>
        <v/>
      </c>
      <c r="H590" t="str">
        <f>IFERROR(__xludf.DUMMYFUNCTION("""COMPUTED_VALUE"""),"")</f>
        <v/>
      </c>
      <c r="I590" t="str">
        <f>IFERROR(__xludf.DUMMYFUNCTION("""COMPUTED_VALUE"""),"")</f>
        <v/>
      </c>
      <c r="J590">
        <f>IFERROR(__xludf.DUMMYFUNCTION("""COMPUTED_VALUE"""),3.0)</f>
        <v>3</v>
      </c>
      <c r="L590" s="250" t="str">
        <f>IFERROR(__xludf.DUMMYFUNCTION("""COMPUTED_VALUE"""),"")</f>
        <v/>
      </c>
      <c r="M590" s="250" t="str">
        <f>IFERROR(__xludf.DUMMYFUNCTION("""COMPUTED_VALUE"""),"")</f>
        <v/>
      </c>
      <c r="N590" s="250" t="str">
        <f>IFERROR(__xludf.DUMMYFUNCTION("""COMPUTED_VALUE"""),"")</f>
        <v/>
      </c>
      <c r="O590" s="250">
        <f>IFERROR(__xludf.DUMMYFUNCTION("""COMPUTED_VALUE"""),18354.0)</f>
        <v>18354</v>
      </c>
      <c r="P590" s="250">
        <f>IFERROR(__xludf.DUMMYFUNCTION("""COMPUTED_VALUE"""),16689.0)</f>
        <v>16689</v>
      </c>
      <c r="Q590" s="250" t="str">
        <f>IFERROR(__xludf.DUMMYFUNCTION("""COMPUTED_VALUE"""),"")</f>
        <v/>
      </c>
      <c r="R590" s="250" t="str">
        <f>IFERROR(__xludf.DUMMYFUNCTION("""COMPUTED_VALUE"""),"")</f>
        <v/>
      </c>
      <c r="U590" s="250">
        <f>IFERROR(__xludf.DUMMYFUNCTION("""COMPUTED_VALUE"""),25709.0)</f>
        <v>25709</v>
      </c>
      <c r="V590" s="250">
        <f>IFERROR(__xludf.DUMMYFUNCTION("""COMPUTED_VALUE"""),24479.0)</f>
        <v>24479</v>
      </c>
      <c r="W590" s="250">
        <f>IFERROR(__xludf.DUMMYFUNCTION("""COMPUTED_VALUE"""),22029.0)</f>
        <v>22029</v>
      </c>
      <c r="X590" t="b">
        <f t="shared" ref="X590:Z590" si="1156">ISBLANK(K590)</f>
        <v>1</v>
      </c>
      <c r="Y590" t="b">
        <f t="shared" si="1156"/>
        <v>0</v>
      </c>
      <c r="Z590" t="b">
        <f t="shared" si="1156"/>
        <v>0</v>
      </c>
      <c r="AA590">
        <f t="shared" ref="AA590:AC590" si="1157">IF(X590=FALSE,1,0)</f>
        <v>0</v>
      </c>
      <c r="AB590">
        <f t="shared" si="1157"/>
        <v>1</v>
      </c>
      <c r="AC590">
        <f t="shared" si="1157"/>
        <v>1</v>
      </c>
      <c r="AD590">
        <f t="shared" si="6"/>
        <v>2</v>
      </c>
      <c r="AE590">
        <f t="shared" si="7"/>
        <v>1</v>
      </c>
      <c r="AF590">
        <f>if(iferror(vlookup($A590,'Description Database'!$E$2:$H$951,3,0),0)=TRUE,1,0)</f>
        <v>0</v>
      </c>
      <c r="AG590">
        <f>if(iferror(vlookup($A590,'Description Database'!$E$2:$H$951,4,0),0)=TRUE,1,0)</f>
        <v>0</v>
      </c>
    </row>
    <row r="591">
      <c r="A591" t="str">
        <f>IFERROR(__xludf.DUMMYFUNCTION("""COMPUTED_VALUE"""),"ONEPLUS 7T (8 GB/128 GB)")</f>
        <v>ONEPLUS 7T (8 GB/128 GB)</v>
      </c>
      <c r="B591" t="str">
        <f>IFERROR(__xludf.DUMMYFUNCTION("""COMPUTED_VALUE"""),"")</f>
        <v/>
      </c>
      <c r="C591" t="str">
        <f>IFERROR(__xludf.DUMMYFUNCTION("""COMPUTED_VALUE"""),"")</f>
        <v/>
      </c>
      <c r="D591" t="str">
        <f>IFERROR(__xludf.DUMMYFUNCTION("""COMPUTED_VALUE"""),"")</f>
        <v/>
      </c>
      <c r="E591">
        <f>IFERROR(__xludf.DUMMYFUNCTION("""COMPUTED_VALUE"""),1.0)</f>
        <v>1</v>
      </c>
      <c r="F591" t="str">
        <f>IFERROR(__xludf.DUMMYFUNCTION("""COMPUTED_VALUE"""),"")</f>
        <v/>
      </c>
      <c r="G591" t="str">
        <f>IFERROR(__xludf.DUMMYFUNCTION("""COMPUTED_VALUE"""),"")</f>
        <v/>
      </c>
      <c r="H591" t="str">
        <f>IFERROR(__xludf.DUMMYFUNCTION("""COMPUTED_VALUE"""),"")</f>
        <v/>
      </c>
      <c r="I591" t="str">
        <f>IFERROR(__xludf.DUMMYFUNCTION("""COMPUTED_VALUE"""),"")</f>
        <v/>
      </c>
      <c r="J591">
        <f>IFERROR(__xludf.DUMMYFUNCTION("""COMPUTED_VALUE"""),1.0)</f>
        <v>1</v>
      </c>
      <c r="L591" s="250" t="str">
        <f>IFERROR(__xludf.DUMMYFUNCTION("""COMPUTED_VALUE"""),"")</f>
        <v/>
      </c>
      <c r="M591" s="250" t="str">
        <f>IFERROR(__xludf.DUMMYFUNCTION("""COMPUTED_VALUE"""),"")</f>
        <v/>
      </c>
      <c r="N591" s="250" t="str">
        <f>IFERROR(__xludf.DUMMYFUNCTION("""COMPUTED_VALUE"""),"")</f>
        <v/>
      </c>
      <c r="O591" s="250">
        <f>IFERROR(__xludf.DUMMYFUNCTION("""COMPUTED_VALUE"""),18754.0)</f>
        <v>18754</v>
      </c>
      <c r="P591" s="250" t="str">
        <f>IFERROR(__xludf.DUMMYFUNCTION("""COMPUTED_VALUE"""),"")</f>
        <v/>
      </c>
      <c r="Q591" s="250" t="str">
        <f>IFERROR(__xludf.DUMMYFUNCTION("""COMPUTED_VALUE"""),"")</f>
        <v/>
      </c>
      <c r="R591" s="250" t="str">
        <f>IFERROR(__xludf.DUMMYFUNCTION("""COMPUTED_VALUE"""),"")</f>
        <v/>
      </c>
      <c r="U591" s="250">
        <f>IFERROR(__xludf.DUMMYFUNCTION("""COMPUTED_VALUE"""),26259.0)</f>
        <v>26259</v>
      </c>
      <c r="V591" s="250">
        <f>IFERROR(__xludf.DUMMYFUNCTION("""COMPUTED_VALUE"""),25009.0)</f>
        <v>25009</v>
      </c>
      <c r="W591" s="250">
        <f>IFERROR(__xludf.DUMMYFUNCTION("""COMPUTED_VALUE"""),22509.0)</f>
        <v>22509</v>
      </c>
      <c r="X591" t="b">
        <f t="shared" ref="X591:Z591" si="1158">ISBLANK(K591)</f>
        <v>1</v>
      </c>
      <c r="Y591" t="b">
        <f t="shared" si="1158"/>
        <v>0</v>
      </c>
      <c r="Z591" t="b">
        <f t="shared" si="1158"/>
        <v>0</v>
      </c>
      <c r="AA591">
        <f t="shared" ref="AA591:AC591" si="1159">IF(X591=FALSE,1,0)</f>
        <v>0</v>
      </c>
      <c r="AB591">
        <f t="shared" si="1159"/>
        <v>1</v>
      </c>
      <c r="AC591">
        <f t="shared" si="1159"/>
        <v>1</v>
      </c>
      <c r="AD591">
        <f t="shared" si="6"/>
        <v>2</v>
      </c>
      <c r="AE591">
        <f t="shared" si="7"/>
        <v>1</v>
      </c>
      <c r="AF591">
        <f>if(iferror(vlookup($A591,'Description Database'!$E$2:$H$951,3,0),0)=TRUE,1,0)</f>
        <v>0</v>
      </c>
      <c r="AG591">
        <f>if(iferror(vlookup($A591,'Description Database'!$E$2:$H$951,4,0),0)=TRUE,1,0)</f>
        <v>0</v>
      </c>
    </row>
    <row r="592">
      <c r="A592" t="str">
        <f>IFERROR(__xludf.DUMMYFUNCTION("""COMPUTED_VALUE"""),"Samsung GALAXY A21S (4 GB/64 GB)")</f>
        <v>Samsung GALAXY A21S (4 GB/64 GB)</v>
      </c>
      <c r="B592" t="str">
        <f>IFERROR(__xludf.DUMMYFUNCTION("""COMPUTED_VALUE"""),"")</f>
        <v/>
      </c>
      <c r="C592" t="str">
        <f>IFERROR(__xludf.DUMMYFUNCTION("""COMPUTED_VALUE"""),"")</f>
        <v/>
      </c>
      <c r="D592" t="str">
        <f>IFERROR(__xludf.DUMMYFUNCTION("""COMPUTED_VALUE"""),"")</f>
        <v/>
      </c>
      <c r="E592" t="str">
        <f>IFERROR(__xludf.DUMMYFUNCTION("""COMPUTED_VALUE"""),"")</f>
        <v/>
      </c>
      <c r="F592" t="str">
        <f>IFERROR(__xludf.DUMMYFUNCTION("""COMPUTED_VALUE"""),"")</f>
        <v/>
      </c>
      <c r="G592" t="str">
        <f>IFERROR(__xludf.DUMMYFUNCTION("""COMPUTED_VALUE"""),"")</f>
        <v/>
      </c>
      <c r="H592" t="str">
        <f>IFERROR(__xludf.DUMMYFUNCTION("""COMPUTED_VALUE"""),"")</f>
        <v/>
      </c>
      <c r="I592">
        <f>IFERROR(__xludf.DUMMYFUNCTION("""COMPUTED_VALUE"""),1.0)</f>
        <v>1</v>
      </c>
      <c r="J592">
        <f>IFERROR(__xludf.DUMMYFUNCTION("""COMPUTED_VALUE"""),1.0)</f>
        <v>1</v>
      </c>
      <c r="L592" s="250" t="str">
        <f>IFERROR(__xludf.DUMMYFUNCTION("""COMPUTED_VALUE"""),"")</f>
        <v/>
      </c>
      <c r="M592" s="250" t="str">
        <f>IFERROR(__xludf.DUMMYFUNCTION("""COMPUTED_VALUE"""),"")</f>
        <v/>
      </c>
      <c r="N592" s="250" t="str">
        <f>IFERROR(__xludf.DUMMYFUNCTION("""COMPUTED_VALUE"""),"")</f>
        <v/>
      </c>
      <c r="O592" s="250" t="str">
        <f>IFERROR(__xludf.DUMMYFUNCTION("""COMPUTED_VALUE"""),"")</f>
        <v/>
      </c>
      <c r="P592" s="250" t="str">
        <f>IFERROR(__xludf.DUMMYFUNCTION("""COMPUTED_VALUE"""),"")</f>
        <v/>
      </c>
      <c r="Q592" s="250" t="str">
        <f>IFERROR(__xludf.DUMMYFUNCTION("""COMPUTED_VALUE"""),"")</f>
        <v/>
      </c>
      <c r="R592" s="250" t="str">
        <f>IFERROR(__xludf.DUMMYFUNCTION("""COMPUTED_VALUE"""),"")</f>
        <v/>
      </c>
      <c r="U592" s="250">
        <f>IFERROR(__xludf.DUMMYFUNCTION("""COMPUTED_VALUE"""),9679.0)</f>
        <v>9679</v>
      </c>
      <c r="V592" s="250">
        <f>IFERROR(__xludf.DUMMYFUNCTION("""COMPUTED_VALUE"""),9219.0)</f>
        <v>9219</v>
      </c>
      <c r="W592" s="250">
        <f>IFERROR(__xludf.DUMMYFUNCTION("""COMPUTED_VALUE"""),8419.0)</f>
        <v>8419</v>
      </c>
      <c r="X592" t="b">
        <f t="shared" ref="X592:Z592" si="1160">ISBLANK(K592)</f>
        <v>1</v>
      </c>
      <c r="Y592" t="b">
        <f t="shared" si="1160"/>
        <v>0</v>
      </c>
      <c r="Z592" t="b">
        <f t="shared" si="1160"/>
        <v>0</v>
      </c>
      <c r="AA592">
        <f t="shared" ref="AA592:AC592" si="1161">IF(X592=FALSE,1,0)</f>
        <v>0</v>
      </c>
      <c r="AB592">
        <f t="shared" si="1161"/>
        <v>1</v>
      </c>
      <c r="AC592">
        <f t="shared" si="1161"/>
        <v>1</v>
      </c>
      <c r="AD592">
        <f t="shared" si="6"/>
        <v>2</v>
      </c>
      <c r="AE592">
        <f t="shared" si="7"/>
        <v>1</v>
      </c>
      <c r="AF592">
        <f>if(iferror(vlookup($A592,'Description Database'!$E$2:$H$951,3,0),0)=TRUE,1,0)</f>
        <v>0</v>
      </c>
      <c r="AG592">
        <f>if(iferror(vlookup($A592,'Description Database'!$E$2:$H$951,4,0),0)=TRUE,1,0)</f>
        <v>0</v>
      </c>
    </row>
    <row r="593">
      <c r="A593" t="str">
        <f>IFERROR(__xludf.DUMMYFUNCTION("""COMPUTED_VALUE"""),"Apple IPHONE X (3 GB/256 GB)")</f>
        <v>Apple IPHONE X (3 GB/256 GB)</v>
      </c>
      <c r="B593" t="str">
        <f>IFERROR(__xludf.DUMMYFUNCTION("""COMPUTED_VALUE"""),"")</f>
        <v/>
      </c>
      <c r="C593" t="str">
        <f>IFERROR(__xludf.DUMMYFUNCTION("""COMPUTED_VALUE"""),"")</f>
        <v/>
      </c>
      <c r="D593" t="str">
        <f>IFERROR(__xludf.DUMMYFUNCTION("""COMPUTED_VALUE"""),"")</f>
        <v/>
      </c>
      <c r="E593" t="str">
        <f>IFERROR(__xludf.DUMMYFUNCTION("""COMPUTED_VALUE"""),"")</f>
        <v/>
      </c>
      <c r="F593" t="str">
        <f>IFERROR(__xludf.DUMMYFUNCTION("""COMPUTED_VALUE"""),"")</f>
        <v/>
      </c>
      <c r="G593" t="str">
        <f>IFERROR(__xludf.DUMMYFUNCTION("""COMPUTED_VALUE"""),"")</f>
        <v/>
      </c>
      <c r="H593" t="str">
        <f>IFERROR(__xludf.DUMMYFUNCTION("""COMPUTED_VALUE"""),"")</f>
        <v/>
      </c>
      <c r="I593" t="str">
        <f>IFERROR(__xludf.DUMMYFUNCTION("""COMPUTED_VALUE"""),"")</f>
        <v/>
      </c>
      <c r="J593">
        <f>IFERROR(__xludf.DUMMYFUNCTION("""COMPUTED_VALUE"""),0.0)</f>
        <v>0</v>
      </c>
      <c r="L593" s="250" t="str">
        <f>IFERROR(__xludf.DUMMYFUNCTION("""COMPUTED_VALUE"""),"")</f>
        <v/>
      </c>
      <c r="M593" s="250" t="str">
        <f>IFERROR(__xludf.DUMMYFUNCTION("""COMPUTED_VALUE"""),"")</f>
        <v/>
      </c>
      <c r="N593" s="250" t="str">
        <f>IFERROR(__xludf.DUMMYFUNCTION("""COMPUTED_VALUE"""),"")</f>
        <v/>
      </c>
      <c r="O593" s="250" t="str">
        <f>IFERROR(__xludf.DUMMYFUNCTION("""COMPUTED_VALUE"""),"")</f>
        <v/>
      </c>
      <c r="P593" s="250" t="str">
        <f>IFERROR(__xludf.DUMMYFUNCTION("""COMPUTED_VALUE"""),"")</f>
        <v/>
      </c>
      <c r="Q593" s="250" t="str">
        <f>IFERROR(__xludf.DUMMYFUNCTION("""COMPUTED_VALUE"""),"")</f>
        <v/>
      </c>
      <c r="R593" s="250" t="str">
        <f>IFERROR(__xludf.DUMMYFUNCTION("""COMPUTED_VALUE"""),"")</f>
        <v/>
      </c>
      <c r="U593" s="250">
        <f>IFERROR(__xludf.DUMMYFUNCTION("""COMPUTED_VALUE"""),30799.0)</f>
        <v>30799</v>
      </c>
      <c r="V593" s="250">
        <f>IFERROR(__xludf.DUMMYFUNCTION("""COMPUTED_VALUE"""),29329.0)</f>
        <v>29329</v>
      </c>
      <c r="W593" s="250">
        <f>IFERROR(__xludf.DUMMYFUNCTION("""COMPUTED_VALUE"""),26389.0)</f>
        <v>26389</v>
      </c>
      <c r="X593" t="b">
        <f t="shared" ref="X593:Z593" si="1162">ISBLANK(K593)</f>
        <v>1</v>
      </c>
      <c r="Y593" t="b">
        <f t="shared" si="1162"/>
        <v>0</v>
      </c>
      <c r="Z593" t="b">
        <f t="shared" si="1162"/>
        <v>0</v>
      </c>
      <c r="AA593">
        <f t="shared" ref="AA593:AC593" si="1163">IF(X593=FALSE,1,0)</f>
        <v>0</v>
      </c>
      <c r="AB593">
        <f t="shared" si="1163"/>
        <v>1</v>
      </c>
      <c r="AC593">
        <f t="shared" si="1163"/>
        <v>1</v>
      </c>
      <c r="AD593">
        <f t="shared" si="6"/>
        <v>2</v>
      </c>
      <c r="AE593">
        <f t="shared" si="7"/>
        <v>1</v>
      </c>
      <c r="AF593">
        <f>if(iferror(vlookup($A593,'Description Database'!$E$2:$H$951,3,0),0)=TRUE,1,0)</f>
        <v>0</v>
      </c>
      <c r="AG593">
        <f>if(iferror(vlookup($A593,'Description Database'!$E$2:$H$951,4,0),0)=TRUE,1,0)</f>
        <v>0</v>
      </c>
    </row>
    <row r="594">
      <c r="A594" t="str">
        <f>IFERROR(__xludf.DUMMYFUNCTION("""COMPUTED_VALUE"""),"Realme 2 Pro (8 GB/128 GB)")</f>
        <v>Realme 2 Pro (8 GB/128 GB)</v>
      </c>
      <c r="B594" t="str">
        <f>IFERROR(__xludf.DUMMYFUNCTION("""COMPUTED_VALUE"""),"")</f>
        <v/>
      </c>
      <c r="C594" t="str">
        <f>IFERROR(__xludf.DUMMYFUNCTION("""COMPUTED_VALUE"""),"")</f>
        <v/>
      </c>
      <c r="D594" t="str">
        <f>IFERROR(__xludf.DUMMYFUNCTION("""COMPUTED_VALUE"""),"")</f>
        <v/>
      </c>
      <c r="E594" t="str">
        <f>IFERROR(__xludf.DUMMYFUNCTION("""COMPUTED_VALUE"""),"")</f>
        <v/>
      </c>
      <c r="F594" t="str">
        <f>IFERROR(__xludf.DUMMYFUNCTION("""COMPUTED_VALUE"""),"")</f>
        <v/>
      </c>
      <c r="G594" t="str">
        <f>IFERROR(__xludf.DUMMYFUNCTION("""COMPUTED_VALUE"""),"")</f>
        <v/>
      </c>
      <c r="H594" t="str">
        <f>IFERROR(__xludf.DUMMYFUNCTION("""COMPUTED_VALUE"""),"")</f>
        <v/>
      </c>
      <c r="I594">
        <f>IFERROR(__xludf.DUMMYFUNCTION("""COMPUTED_VALUE"""),2.0)</f>
        <v>2</v>
      </c>
      <c r="J594">
        <f>IFERROR(__xludf.DUMMYFUNCTION("""COMPUTED_VALUE"""),2.0)</f>
        <v>2</v>
      </c>
      <c r="L594" s="250" t="str">
        <f>IFERROR(__xludf.DUMMYFUNCTION("""COMPUTED_VALUE"""),"")</f>
        <v/>
      </c>
      <c r="M594" s="250" t="str">
        <f>IFERROR(__xludf.DUMMYFUNCTION("""COMPUTED_VALUE"""),"")</f>
        <v/>
      </c>
      <c r="N594" s="250" t="str">
        <f>IFERROR(__xludf.DUMMYFUNCTION("""COMPUTED_VALUE"""),"")</f>
        <v/>
      </c>
      <c r="O594" s="250" t="str">
        <f>IFERROR(__xludf.DUMMYFUNCTION("""COMPUTED_VALUE"""),"")</f>
        <v/>
      </c>
      <c r="P594" s="250" t="str">
        <f>IFERROR(__xludf.DUMMYFUNCTION("""COMPUTED_VALUE"""),"")</f>
        <v/>
      </c>
      <c r="Q594" s="250" t="str">
        <f>IFERROR(__xludf.DUMMYFUNCTION("""COMPUTED_VALUE"""),"")</f>
        <v/>
      </c>
      <c r="R594" s="250" t="str">
        <f>IFERROR(__xludf.DUMMYFUNCTION("""COMPUTED_VALUE"""),"")</f>
        <v/>
      </c>
      <c r="U594" s="250">
        <f>IFERROR(__xludf.DUMMYFUNCTION("""COMPUTED_VALUE"""),9179.0)</f>
        <v>9179</v>
      </c>
      <c r="V594" s="250">
        <f>IFERROR(__xludf.DUMMYFUNCTION("""COMPUTED_VALUE"""),8739.0)</f>
        <v>8739</v>
      </c>
      <c r="W594" s="250">
        <f>IFERROR(__xludf.DUMMYFUNCTION("""COMPUTED_VALUE"""),7869.0)</f>
        <v>7869</v>
      </c>
      <c r="X594" t="b">
        <f t="shared" ref="X594:Z594" si="1164">ISBLANK(K594)</f>
        <v>1</v>
      </c>
      <c r="Y594" t="b">
        <f t="shared" si="1164"/>
        <v>0</v>
      </c>
      <c r="Z594" t="b">
        <f t="shared" si="1164"/>
        <v>0</v>
      </c>
      <c r="AA594">
        <f t="shared" ref="AA594:AC594" si="1165">IF(X594=FALSE,1,0)</f>
        <v>0</v>
      </c>
      <c r="AB594">
        <f t="shared" si="1165"/>
        <v>1</v>
      </c>
      <c r="AC594">
        <f t="shared" si="1165"/>
        <v>1</v>
      </c>
      <c r="AD594">
        <f t="shared" si="6"/>
        <v>2</v>
      </c>
      <c r="AE594">
        <f t="shared" si="7"/>
        <v>1</v>
      </c>
      <c r="AF594">
        <f>if(iferror(vlookup($A594,'Description Database'!$E$2:$H$951,3,0),0)=TRUE,1,0)</f>
        <v>0</v>
      </c>
      <c r="AG594">
        <f>if(iferror(vlookup($A594,'Description Database'!$E$2:$H$951,4,0),0)=TRUE,1,0)</f>
        <v>0</v>
      </c>
    </row>
    <row r="595">
      <c r="A595" t="str">
        <f>IFERROR(__xludf.DUMMYFUNCTION("""COMPUTED_VALUE"""),"Samsung GALAXY ON NXT (3 GB/16 GB)")</f>
        <v>Samsung GALAXY ON NXT (3 GB/16 GB)</v>
      </c>
      <c r="B595" t="str">
        <f>IFERROR(__xludf.DUMMYFUNCTION("""COMPUTED_VALUE"""),"")</f>
        <v/>
      </c>
      <c r="C595" t="str">
        <f>IFERROR(__xludf.DUMMYFUNCTION("""COMPUTED_VALUE"""),"")</f>
        <v/>
      </c>
      <c r="D595" t="str">
        <f>IFERROR(__xludf.DUMMYFUNCTION("""COMPUTED_VALUE"""),"")</f>
        <v/>
      </c>
      <c r="E595" t="str">
        <f>IFERROR(__xludf.DUMMYFUNCTION("""COMPUTED_VALUE"""),"")</f>
        <v/>
      </c>
      <c r="F595" t="str">
        <f>IFERROR(__xludf.DUMMYFUNCTION("""COMPUTED_VALUE"""),"")</f>
        <v/>
      </c>
      <c r="G595">
        <f>IFERROR(__xludf.DUMMYFUNCTION("""COMPUTED_VALUE"""),1.0)</f>
        <v>1</v>
      </c>
      <c r="H595" t="str">
        <f>IFERROR(__xludf.DUMMYFUNCTION("""COMPUTED_VALUE"""),"")</f>
        <v/>
      </c>
      <c r="I595">
        <f>IFERROR(__xludf.DUMMYFUNCTION("""COMPUTED_VALUE"""),5.0)</f>
        <v>5</v>
      </c>
      <c r="J595">
        <f>IFERROR(__xludf.DUMMYFUNCTION("""COMPUTED_VALUE"""),6.0)</f>
        <v>6</v>
      </c>
      <c r="L595" s="250" t="str">
        <f>IFERROR(__xludf.DUMMYFUNCTION("""COMPUTED_VALUE"""),"")</f>
        <v/>
      </c>
      <c r="M595" s="250" t="str">
        <f>IFERROR(__xludf.DUMMYFUNCTION("""COMPUTED_VALUE"""),"")</f>
        <v/>
      </c>
      <c r="N595" s="250" t="str">
        <f>IFERROR(__xludf.DUMMYFUNCTION("""COMPUTED_VALUE"""),"")</f>
        <v/>
      </c>
      <c r="O595" s="250" t="str">
        <f>IFERROR(__xludf.DUMMYFUNCTION("""COMPUTED_VALUE"""),"")</f>
        <v/>
      </c>
      <c r="P595" s="250" t="str">
        <f>IFERROR(__xludf.DUMMYFUNCTION("""COMPUTED_VALUE"""),"")</f>
        <v/>
      </c>
      <c r="Q595" s="250">
        <f>IFERROR(__xludf.DUMMYFUNCTION("""COMPUTED_VALUE"""),1669.0)</f>
        <v>1669</v>
      </c>
      <c r="R595" s="250" t="str">
        <f>IFERROR(__xludf.DUMMYFUNCTION("""COMPUTED_VALUE"""),"")</f>
        <v/>
      </c>
      <c r="U595" s="250">
        <f>IFERROR(__xludf.DUMMYFUNCTION("""COMPUTED_VALUE"""),3289.0)</f>
        <v>3289</v>
      </c>
      <c r="V595" s="250">
        <f>IFERROR(__xludf.DUMMYFUNCTION("""COMPUTED_VALUE"""),3129.0)</f>
        <v>3129</v>
      </c>
      <c r="W595" s="250">
        <f>IFERROR(__xludf.DUMMYFUNCTION("""COMPUTED_VALUE"""),2819.0)</f>
        <v>2819</v>
      </c>
      <c r="X595" t="b">
        <f t="shared" ref="X595:Z595" si="1166">ISBLANK(K595)</f>
        <v>1</v>
      </c>
      <c r="Y595" t="b">
        <f t="shared" si="1166"/>
        <v>0</v>
      </c>
      <c r="Z595" t="b">
        <f t="shared" si="1166"/>
        <v>0</v>
      </c>
      <c r="AA595">
        <f t="shared" ref="AA595:AC595" si="1167">IF(X595=FALSE,1,0)</f>
        <v>0</v>
      </c>
      <c r="AB595">
        <f t="shared" si="1167"/>
        <v>1</v>
      </c>
      <c r="AC595">
        <f t="shared" si="1167"/>
        <v>1</v>
      </c>
      <c r="AD595">
        <f t="shared" si="6"/>
        <v>2</v>
      </c>
      <c r="AE595">
        <f t="shared" si="7"/>
        <v>1</v>
      </c>
      <c r="AF595">
        <f>if(iferror(vlookup($A595,'Description Database'!$E$2:$H$951,3,0),0)=TRUE,1,0)</f>
        <v>0</v>
      </c>
      <c r="AG595">
        <f>if(iferror(vlookup($A595,'Description Database'!$E$2:$H$951,4,0),0)=TRUE,1,0)</f>
        <v>0</v>
      </c>
    </row>
    <row r="596">
      <c r="A596" t="str">
        <f>IFERROR(__xludf.DUMMYFUNCTION("""COMPUTED_VALUE"""),"Samsung GALAXY A7 2016 (3 GB/16 GB)")</f>
        <v>Samsung GALAXY A7 2016 (3 GB/16 GB)</v>
      </c>
      <c r="B596" t="str">
        <f>IFERROR(__xludf.DUMMYFUNCTION("""COMPUTED_VALUE"""),"")</f>
        <v/>
      </c>
      <c r="C596" t="str">
        <f>IFERROR(__xludf.DUMMYFUNCTION("""COMPUTED_VALUE"""),"")</f>
        <v/>
      </c>
      <c r="D596" t="str">
        <f>IFERROR(__xludf.DUMMYFUNCTION("""COMPUTED_VALUE"""),"")</f>
        <v/>
      </c>
      <c r="E596" t="str">
        <f>IFERROR(__xludf.DUMMYFUNCTION("""COMPUTED_VALUE"""),"")</f>
        <v/>
      </c>
      <c r="F596" t="str">
        <f>IFERROR(__xludf.DUMMYFUNCTION("""COMPUTED_VALUE"""),"")</f>
        <v/>
      </c>
      <c r="G596" t="str">
        <f>IFERROR(__xludf.DUMMYFUNCTION("""COMPUTED_VALUE"""),"")</f>
        <v/>
      </c>
      <c r="H596" t="str">
        <f>IFERROR(__xludf.DUMMYFUNCTION("""COMPUTED_VALUE"""),"")</f>
        <v/>
      </c>
      <c r="I596">
        <f>IFERROR(__xludf.DUMMYFUNCTION("""COMPUTED_VALUE"""),3.0)</f>
        <v>3</v>
      </c>
      <c r="J596">
        <f>IFERROR(__xludf.DUMMYFUNCTION("""COMPUTED_VALUE"""),3.0)</f>
        <v>3</v>
      </c>
      <c r="L596" s="250" t="str">
        <f>IFERROR(__xludf.DUMMYFUNCTION("""COMPUTED_VALUE"""),"")</f>
        <v/>
      </c>
      <c r="M596" s="250" t="str">
        <f>IFERROR(__xludf.DUMMYFUNCTION("""COMPUTED_VALUE"""),"")</f>
        <v/>
      </c>
      <c r="N596" s="250" t="str">
        <f>IFERROR(__xludf.DUMMYFUNCTION("""COMPUTED_VALUE"""),"")</f>
        <v/>
      </c>
      <c r="O596" s="250" t="str">
        <f>IFERROR(__xludf.DUMMYFUNCTION("""COMPUTED_VALUE"""),"")</f>
        <v/>
      </c>
      <c r="P596" s="250" t="str">
        <f>IFERROR(__xludf.DUMMYFUNCTION("""COMPUTED_VALUE"""),"")</f>
        <v/>
      </c>
      <c r="Q596" s="250" t="str">
        <f>IFERROR(__xludf.DUMMYFUNCTION("""COMPUTED_VALUE"""),"")</f>
        <v/>
      </c>
      <c r="R596" s="250" t="str">
        <f>IFERROR(__xludf.DUMMYFUNCTION("""COMPUTED_VALUE"""),"")</f>
        <v/>
      </c>
      <c r="U596" s="250">
        <f>IFERROR(__xludf.DUMMYFUNCTION("""COMPUTED_VALUE"""),4739.0)</f>
        <v>4739</v>
      </c>
      <c r="V596" s="250">
        <f>IFERROR(__xludf.DUMMYFUNCTION("""COMPUTED_VALUE"""),4509.0)</f>
        <v>4509</v>
      </c>
      <c r="W596" s="250">
        <f>IFERROR(__xludf.DUMMYFUNCTION("""COMPUTED_VALUE"""),4059.0)</f>
        <v>4059</v>
      </c>
      <c r="X596" t="b">
        <f t="shared" ref="X596:Z596" si="1168">ISBLANK(K596)</f>
        <v>1</v>
      </c>
      <c r="Y596" t="b">
        <f t="shared" si="1168"/>
        <v>0</v>
      </c>
      <c r="Z596" t="b">
        <f t="shared" si="1168"/>
        <v>0</v>
      </c>
      <c r="AA596">
        <f t="shared" ref="AA596:AC596" si="1169">IF(X596=FALSE,1,0)</f>
        <v>0</v>
      </c>
      <c r="AB596">
        <f t="shared" si="1169"/>
        <v>1</v>
      </c>
      <c r="AC596">
        <f t="shared" si="1169"/>
        <v>1</v>
      </c>
      <c r="AD596">
        <f t="shared" si="6"/>
        <v>2</v>
      </c>
      <c r="AE596">
        <f t="shared" si="7"/>
        <v>1</v>
      </c>
      <c r="AF596">
        <f>if(iferror(vlookup($A596,'Description Database'!$E$2:$H$951,3,0),0)=TRUE,1,0)</f>
        <v>0</v>
      </c>
      <c r="AG596">
        <f>if(iferror(vlookup($A596,'Description Database'!$E$2:$H$951,4,0),0)=TRUE,1,0)</f>
        <v>0</v>
      </c>
    </row>
    <row r="597">
      <c r="A597" t="str">
        <f>IFERROR(__xludf.DUMMYFUNCTION("""COMPUTED_VALUE"""),"Oppo A7 (2 GB/16 GB)")</f>
        <v>Oppo A7 (2 GB/16 GB)</v>
      </c>
      <c r="B597" t="str">
        <f>IFERROR(__xludf.DUMMYFUNCTION("""COMPUTED_VALUE"""),"")</f>
        <v/>
      </c>
      <c r="C597" t="str">
        <f>IFERROR(__xludf.DUMMYFUNCTION("""COMPUTED_VALUE"""),"")</f>
        <v/>
      </c>
      <c r="D597" t="str">
        <f>IFERROR(__xludf.DUMMYFUNCTION("""COMPUTED_VALUE"""),"")</f>
        <v/>
      </c>
      <c r="E597" t="str">
        <f>IFERROR(__xludf.DUMMYFUNCTION("""COMPUTED_VALUE"""),"")</f>
        <v/>
      </c>
      <c r="F597" t="str">
        <f>IFERROR(__xludf.DUMMYFUNCTION("""COMPUTED_VALUE"""),"")</f>
        <v/>
      </c>
      <c r="G597" t="str">
        <f>IFERROR(__xludf.DUMMYFUNCTION("""COMPUTED_VALUE"""),"")</f>
        <v/>
      </c>
      <c r="H597" t="str">
        <f>IFERROR(__xludf.DUMMYFUNCTION("""COMPUTED_VALUE"""),"")</f>
        <v/>
      </c>
      <c r="I597" t="str">
        <f>IFERROR(__xludf.DUMMYFUNCTION("""COMPUTED_VALUE"""),"")</f>
        <v/>
      </c>
      <c r="J597">
        <f>IFERROR(__xludf.DUMMYFUNCTION("""COMPUTED_VALUE"""),0.0)</f>
        <v>0</v>
      </c>
      <c r="L597" s="250" t="str">
        <f>IFERROR(__xludf.DUMMYFUNCTION("""COMPUTED_VALUE"""),"")</f>
        <v/>
      </c>
      <c r="M597" s="250" t="str">
        <f>IFERROR(__xludf.DUMMYFUNCTION("""COMPUTED_VALUE"""),"")</f>
        <v/>
      </c>
      <c r="N597" s="250" t="str">
        <f>IFERROR(__xludf.DUMMYFUNCTION("""COMPUTED_VALUE"""),"")</f>
        <v/>
      </c>
      <c r="O597" s="250" t="str">
        <f>IFERROR(__xludf.DUMMYFUNCTION("""COMPUTED_VALUE"""),"")</f>
        <v/>
      </c>
      <c r="P597" s="250" t="str">
        <f>IFERROR(__xludf.DUMMYFUNCTION("""COMPUTED_VALUE"""),"")</f>
        <v/>
      </c>
      <c r="Q597" s="250" t="str">
        <f>IFERROR(__xludf.DUMMYFUNCTION("""COMPUTED_VALUE"""),"")</f>
        <v/>
      </c>
      <c r="R597" s="250" t="str">
        <f>IFERROR(__xludf.DUMMYFUNCTION("""COMPUTED_VALUE"""),"")</f>
        <v/>
      </c>
      <c r="U597" s="250" t="str">
        <f>IFERROR(__xludf.DUMMYFUNCTION("""COMPUTED_VALUE"""),"#N/A")</f>
        <v>#N/A</v>
      </c>
      <c r="V597" s="250" t="str">
        <f>IFERROR(__xludf.DUMMYFUNCTION("""COMPUTED_VALUE"""),"#N/A")</f>
        <v>#N/A</v>
      </c>
      <c r="W597" s="250" t="str">
        <f>IFERROR(__xludf.DUMMYFUNCTION("""COMPUTED_VALUE"""),"#N/A")</f>
        <v>#N/A</v>
      </c>
      <c r="X597" t="b">
        <f t="shared" ref="X597:Z597" si="1170">ISBLANK(K597)</f>
        <v>1</v>
      </c>
      <c r="Y597" t="b">
        <f t="shared" si="1170"/>
        <v>0</v>
      </c>
      <c r="Z597" t="b">
        <f t="shared" si="1170"/>
        <v>0</v>
      </c>
      <c r="AA597">
        <f t="shared" ref="AA597:AC597" si="1171">IF(X597=FALSE,1,0)</f>
        <v>0</v>
      </c>
      <c r="AB597">
        <f t="shared" si="1171"/>
        <v>1</v>
      </c>
      <c r="AC597">
        <f t="shared" si="1171"/>
        <v>1</v>
      </c>
      <c r="AD597">
        <f t="shared" si="6"/>
        <v>2</v>
      </c>
      <c r="AE597">
        <f t="shared" si="7"/>
        <v>1</v>
      </c>
      <c r="AF597">
        <f>if(iferror(vlookup($A597,'Description Database'!$E$2:$H$951,3,0),0)=TRUE,1,0)</f>
        <v>0</v>
      </c>
      <c r="AG597">
        <f>if(iferror(vlookup($A597,'Description Database'!$E$2:$H$951,4,0),0)=TRUE,1,0)</f>
        <v>0</v>
      </c>
    </row>
    <row r="598">
      <c r="A598" t="str">
        <f>IFERROR(__xludf.DUMMYFUNCTION("""COMPUTED_VALUE"""),"Honor 8 Smart (2 GB/16 GB)")</f>
        <v>Honor 8 Smart (2 GB/16 GB)</v>
      </c>
      <c r="B598" t="str">
        <f>IFERROR(__xludf.DUMMYFUNCTION("""COMPUTED_VALUE"""),"")</f>
        <v/>
      </c>
      <c r="C598" t="str">
        <f>IFERROR(__xludf.DUMMYFUNCTION("""COMPUTED_VALUE"""),"")</f>
        <v/>
      </c>
      <c r="D598" t="str">
        <f>IFERROR(__xludf.DUMMYFUNCTION("""COMPUTED_VALUE"""),"")</f>
        <v/>
      </c>
      <c r="E598" t="str">
        <f>IFERROR(__xludf.DUMMYFUNCTION("""COMPUTED_VALUE"""),"")</f>
        <v/>
      </c>
      <c r="F598" t="str">
        <f>IFERROR(__xludf.DUMMYFUNCTION("""COMPUTED_VALUE"""),"")</f>
        <v/>
      </c>
      <c r="G598" t="str">
        <f>IFERROR(__xludf.DUMMYFUNCTION("""COMPUTED_VALUE"""),"")</f>
        <v/>
      </c>
      <c r="H598" t="str">
        <f>IFERROR(__xludf.DUMMYFUNCTION("""COMPUTED_VALUE"""),"")</f>
        <v/>
      </c>
      <c r="I598">
        <f>IFERROR(__xludf.DUMMYFUNCTION("""COMPUTED_VALUE"""),1.0)</f>
        <v>1</v>
      </c>
      <c r="J598">
        <f>IFERROR(__xludf.DUMMYFUNCTION("""COMPUTED_VALUE"""),1.0)</f>
        <v>1</v>
      </c>
      <c r="L598" s="250" t="str">
        <f>IFERROR(__xludf.DUMMYFUNCTION("""COMPUTED_VALUE"""),"")</f>
        <v/>
      </c>
      <c r="M598" s="250" t="str">
        <f>IFERROR(__xludf.DUMMYFUNCTION("""COMPUTED_VALUE"""),"")</f>
        <v/>
      </c>
      <c r="N598" s="250" t="str">
        <f>IFERROR(__xludf.DUMMYFUNCTION("""COMPUTED_VALUE"""),"")</f>
        <v/>
      </c>
      <c r="O598" s="250" t="str">
        <f>IFERROR(__xludf.DUMMYFUNCTION("""COMPUTED_VALUE"""),"")</f>
        <v/>
      </c>
      <c r="P598" s="250" t="str">
        <f>IFERROR(__xludf.DUMMYFUNCTION("""COMPUTED_VALUE"""),"")</f>
        <v/>
      </c>
      <c r="Q598" s="250" t="str">
        <f>IFERROR(__xludf.DUMMYFUNCTION("""COMPUTED_VALUE"""),"")</f>
        <v/>
      </c>
      <c r="R598" s="250" t="str">
        <f>IFERROR(__xludf.DUMMYFUNCTION("""COMPUTED_VALUE"""),"")</f>
        <v/>
      </c>
      <c r="U598" s="250">
        <f>IFERROR(__xludf.DUMMYFUNCTION("""COMPUTED_VALUE"""),2899.0)</f>
        <v>2899</v>
      </c>
      <c r="V598" s="250">
        <f>IFERROR(__xludf.DUMMYFUNCTION("""COMPUTED_VALUE"""),2749.0)</f>
        <v>2749</v>
      </c>
      <c r="W598" s="250">
        <f>IFERROR(__xludf.DUMMYFUNCTION("""COMPUTED_VALUE"""),2489.0)</f>
        <v>2489</v>
      </c>
      <c r="X598" t="b">
        <f t="shared" ref="X598:Z598" si="1172">ISBLANK(K598)</f>
        <v>1</v>
      </c>
      <c r="Y598" t="b">
        <f t="shared" si="1172"/>
        <v>0</v>
      </c>
      <c r="Z598" t="b">
        <f t="shared" si="1172"/>
        <v>0</v>
      </c>
      <c r="AA598">
        <f t="shared" ref="AA598:AC598" si="1173">IF(X598=FALSE,1,0)</f>
        <v>0</v>
      </c>
      <c r="AB598">
        <f t="shared" si="1173"/>
        <v>1</v>
      </c>
      <c r="AC598">
        <f t="shared" si="1173"/>
        <v>1</v>
      </c>
      <c r="AD598">
        <f t="shared" si="6"/>
        <v>2</v>
      </c>
      <c r="AE598">
        <f t="shared" si="7"/>
        <v>1</v>
      </c>
      <c r="AF598">
        <f>if(iferror(vlookup($A598,'Description Database'!$E$2:$H$951,3,0),0)=TRUE,1,0)</f>
        <v>0</v>
      </c>
      <c r="AG598">
        <f>if(iferror(vlookup($A598,'Description Database'!$E$2:$H$951,4,0),0)=TRUE,1,0)</f>
        <v>0</v>
      </c>
    </row>
    <row r="599">
      <c r="A599" t="str">
        <f>IFERROR(__xludf.DUMMYFUNCTION("""COMPUTED_VALUE"""),"Lenovo Vibe P1 Turbo (3 GB/32 GB)")</f>
        <v>Lenovo Vibe P1 Turbo (3 GB/32 GB)</v>
      </c>
      <c r="B599" t="str">
        <f>IFERROR(__xludf.DUMMYFUNCTION("""COMPUTED_VALUE"""),"")</f>
        <v/>
      </c>
      <c r="C599" t="str">
        <f>IFERROR(__xludf.DUMMYFUNCTION("""COMPUTED_VALUE"""),"")</f>
        <v/>
      </c>
      <c r="D599" t="str">
        <f>IFERROR(__xludf.DUMMYFUNCTION("""COMPUTED_VALUE"""),"")</f>
        <v/>
      </c>
      <c r="E599" t="str">
        <f>IFERROR(__xludf.DUMMYFUNCTION("""COMPUTED_VALUE"""),"")</f>
        <v/>
      </c>
      <c r="F599" t="str">
        <f>IFERROR(__xludf.DUMMYFUNCTION("""COMPUTED_VALUE"""),"")</f>
        <v/>
      </c>
      <c r="G599" t="str">
        <f>IFERROR(__xludf.DUMMYFUNCTION("""COMPUTED_VALUE"""),"")</f>
        <v/>
      </c>
      <c r="H599" t="str">
        <f>IFERROR(__xludf.DUMMYFUNCTION("""COMPUTED_VALUE"""),"")</f>
        <v/>
      </c>
      <c r="I599">
        <f>IFERROR(__xludf.DUMMYFUNCTION("""COMPUTED_VALUE"""),1.0)</f>
        <v>1</v>
      </c>
      <c r="J599">
        <f>IFERROR(__xludf.DUMMYFUNCTION("""COMPUTED_VALUE"""),1.0)</f>
        <v>1</v>
      </c>
      <c r="L599" s="250" t="str">
        <f>IFERROR(__xludf.DUMMYFUNCTION("""COMPUTED_VALUE"""),"")</f>
        <v/>
      </c>
      <c r="M599" s="250" t="str">
        <f>IFERROR(__xludf.DUMMYFUNCTION("""COMPUTED_VALUE"""),"")</f>
        <v/>
      </c>
      <c r="N599" s="250" t="str">
        <f>IFERROR(__xludf.DUMMYFUNCTION("""COMPUTED_VALUE"""),"")</f>
        <v/>
      </c>
      <c r="O599" s="250" t="str">
        <f>IFERROR(__xludf.DUMMYFUNCTION("""COMPUTED_VALUE"""),"")</f>
        <v/>
      </c>
      <c r="P599" s="250" t="str">
        <f>IFERROR(__xludf.DUMMYFUNCTION("""COMPUTED_VALUE"""),"")</f>
        <v/>
      </c>
      <c r="Q599" s="250" t="str">
        <f>IFERROR(__xludf.DUMMYFUNCTION("""COMPUTED_VALUE"""),"")</f>
        <v/>
      </c>
      <c r="R599" s="250" t="str">
        <f>IFERROR(__xludf.DUMMYFUNCTION("""COMPUTED_VALUE"""),"")</f>
        <v/>
      </c>
      <c r="U599" s="250">
        <f>IFERROR(__xludf.DUMMYFUNCTION("""COMPUTED_VALUE"""),3579.0)</f>
        <v>3579</v>
      </c>
      <c r="V599" s="250">
        <f>IFERROR(__xludf.DUMMYFUNCTION("""COMPUTED_VALUE"""),3399.0)</f>
        <v>3399</v>
      </c>
      <c r="W599" s="250">
        <f>IFERROR(__xludf.DUMMYFUNCTION("""COMPUTED_VALUE"""),3059.0)</f>
        <v>3059</v>
      </c>
      <c r="X599" t="b">
        <f t="shared" ref="X599:Z599" si="1174">ISBLANK(K599)</f>
        <v>1</v>
      </c>
      <c r="Y599" t="b">
        <f t="shared" si="1174"/>
        <v>0</v>
      </c>
      <c r="Z599" t="b">
        <f t="shared" si="1174"/>
        <v>0</v>
      </c>
      <c r="AA599">
        <f t="shared" ref="AA599:AC599" si="1175">IF(X599=FALSE,1,0)</f>
        <v>0</v>
      </c>
      <c r="AB599">
        <f t="shared" si="1175"/>
        <v>1</v>
      </c>
      <c r="AC599">
        <f t="shared" si="1175"/>
        <v>1</v>
      </c>
      <c r="AD599">
        <f t="shared" si="6"/>
        <v>2</v>
      </c>
      <c r="AE599">
        <f t="shared" si="7"/>
        <v>1</v>
      </c>
      <c r="AF599">
        <f>if(iferror(vlookup($A599,'Description Database'!$E$2:$H$951,3,0),0)=TRUE,1,0)</f>
        <v>0</v>
      </c>
      <c r="AG599">
        <f>if(iferror(vlookup($A599,'Description Database'!$E$2:$H$951,4,0),0)=TRUE,1,0)</f>
        <v>0</v>
      </c>
    </row>
    <row r="600">
      <c r="A600" t="str">
        <f>IFERROR(__xludf.DUMMYFUNCTION("""COMPUTED_VALUE"""),"Apple IPHONE 6S (1 GB/16 GB)")</f>
        <v>Apple IPHONE 6S (1 GB/16 GB)</v>
      </c>
      <c r="B600" t="str">
        <f>IFERROR(__xludf.DUMMYFUNCTION("""COMPUTED_VALUE"""),"")</f>
        <v/>
      </c>
      <c r="C600" t="str">
        <f>IFERROR(__xludf.DUMMYFUNCTION("""COMPUTED_VALUE"""),"")</f>
        <v/>
      </c>
      <c r="D600" t="str">
        <f>IFERROR(__xludf.DUMMYFUNCTION("""COMPUTED_VALUE"""),"")</f>
        <v/>
      </c>
      <c r="E600" t="str">
        <f>IFERROR(__xludf.DUMMYFUNCTION("""COMPUTED_VALUE"""),"")</f>
        <v/>
      </c>
      <c r="F600" t="str">
        <f>IFERROR(__xludf.DUMMYFUNCTION("""COMPUTED_VALUE"""),"")</f>
        <v/>
      </c>
      <c r="G600" t="str">
        <f>IFERROR(__xludf.DUMMYFUNCTION("""COMPUTED_VALUE"""),"")</f>
        <v/>
      </c>
      <c r="H600" t="str">
        <f>IFERROR(__xludf.DUMMYFUNCTION("""COMPUTED_VALUE"""),"")</f>
        <v/>
      </c>
      <c r="I600" t="str">
        <f>IFERROR(__xludf.DUMMYFUNCTION("""COMPUTED_VALUE"""),"")</f>
        <v/>
      </c>
      <c r="J600">
        <f>IFERROR(__xludf.DUMMYFUNCTION("""COMPUTED_VALUE"""),0.0)</f>
        <v>0</v>
      </c>
      <c r="L600" s="250" t="str">
        <f>IFERROR(__xludf.DUMMYFUNCTION("""COMPUTED_VALUE"""),"")</f>
        <v/>
      </c>
      <c r="M600" s="250" t="str">
        <f>IFERROR(__xludf.DUMMYFUNCTION("""COMPUTED_VALUE"""),"")</f>
        <v/>
      </c>
      <c r="N600" s="250" t="str">
        <f>IFERROR(__xludf.DUMMYFUNCTION("""COMPUTED_VALUE"""),"")</f>
        <v/>
      </c>
      <c r="O600" s="250" t="str">
        <f>IFERROR(__xludf.DUMMYFUNCTION("""COMPUTED_VALUE"""),"")</f>
        <v/>
      </c>
      <c r="P600" s="250" t="str">
        <f>IFERROR(__xludf.DUMMYFUNCTION("""COMPUTED_VALUE"""),"")</f>
        <v/>
      </c>
      <c r="Q600" s="250" t="str">
        <f>IFERROR(__xludf.DUMMYFUNCTION("""COMPUTED_VALUE"""),"")</f>
        <v/>
      </c>
      <c r="R600" s="250" t="str">
        <f>IFERROR(__xludf.DUMMYFUNCTION("""COMPUTED_VALUE"""),"")</f>
        <v/>
      </c>
      <c r="U600" s="250" t="str">
        <f>IFERROR(__xludf.DUMMYFUNCTION("""COMPUTED_VALUE"""),"#N/A")</f>
        <v>#N/A</v>
      </c>
      <c r="V600" s="250" t="str">
        <f>IFERROR(__xludf.DUMMYFUNCTION("""COMPUTED_VALUE"""),"#N/A")</f>
        <v>#N/A</v>
      </c>
      <c r="W600" s="250" t="str">
        <f>IFERROR(__xludf.DUMMYFUNCTION("""COMPUTED_VALUE"""),"#N/A")</f>
        <v>#N/A</v>
      </c>
      <c r="X600" t="b">
        <f t="shared" ref="X600:Z600" si="1176">ISBLANK(K600)</f>
        <v>1</v>
      </c>
      <c r="Y600" t="b">
        <f t="shared" si="1176"/>
        <v>0</v>
      </c>
      <c r="Z600" t="b">
        <f t="shared" si="1176"/>
        <v>0</v>
      </c>
      <c r="AA600">
        <f t="shared" ref="AA600:AC600" si="1177">IF(X600=FALSE,1,0)</f>
        <v>0</v>
      </c>
      <c r="AB600">
        <f t="shared" si="1177"/>
        <v>1</v>
      </c>
      <c r="AC600">
        <f t="shared" si="1177"/>
        <v>1</v>
      </c>
      <c r="AD600">
        <f t="shared" si="6"/>
        <v>2</v>
      </c>
      <c r="AE600">
        <f t="shared" si="7"/>
        <v>1</v>
      </c>
      <c r="AF600">
        <f>if(iferror(vlookup($A600,'Description Database'!$E$2:$H$951,3,0),0)=TRUE,1,0)</f>
        <v>0</v>
      </c>
      <c r="AG600">
        <f>if(iferror(vlookup($A600,'Description Database'!$E$2:$H$951,4,0),0)=TRUE,1,0)</f>
        <v>0</v>
      </c>
    </row>
    <row r="601">
      <c r="A601" t="str">
        <f>IFERROR(__xludf.DUMMYFUNCTION("""COMPUTED_VALUE"""),"Motorola Moto G 2nd Gen (1 GB/16 GB)")</f>
        <v>Motorola Moto G 2nd Gen (1 GB/16 GB)</v>
      </c>
      <c r="B601" t="str">
        <f>IFERROR(__xludf.DUMMYFUNCTION("""COMPUTED_VALUE"""),"")</f>
        <v/>
      </c>
      <c r="C601" t="str">
        <f>IFERROR(__xludf.DUMMYFUNCTION("""COMPUTED_VALUE"""),"")</f>
        <v/>
      </c>
      <c r="D601" t="str">
        <f>IFERROR(__xludf.DUMMYFUNCTION("""COMPUTED_VALUE"""),"")</f>
        <v/>
      </c>
      <c r="E601" t="str">
        <f>IFERROR(__xludf.DUMMYFUNCTION("""COMPUTED_VALUE"""),"")</f>
        <v/>
      </c>
      <c r="F601" t="str">
        <f>IFERROR(__xludf.DUMMYFUNCTION("""COMPUTED_VALUE"""),"")</f>
        <v/>
      </c>
      <c r="G601" t="str">
        <f>IFERROR(__xludf.DUMMYFUNCTION("""COMPUTED_VALUE"""),"")</f>
        <v/>
      </c>
      <c r="H601" t="str">
        <f>IFERROR(__xludf.DUMMYFUNCTION("""COMPUTED_VALUE"""),"")</f>
        <v/>
      </c>
      <c r="I601" t="str">
        <f>IFERROR(__xludf.DUMMYFUNCTION("""COMPUTED_VALUE"""),"")</f>
        <v/>
      </c>
      <c r="J601">
        <f>IFERROR(__xludf.DUMMYFUNCTION("""COMPUTED_VALUE"""),0.0)</f>
        <v>0</v>
      </c>
      <c r="L601" s="250" t="str">
        <f>IFERROR(__xludf.DUMMYFUNCTION("""COMPUTED_VALUE"""),"")</f>
        <v/>
      </c>
      <c r="M601" s="250" t="str">
        <f>IFERROR(__xludf.DUMMYFUNCTION("""COMPUTED_VALUE"""),"")</f>
        <v/>
      </c>
      <c r="N601" s="250" t="str">
        <f>IFERROR(__xludf.DUMMYFUNCTION("""COMPUTED_VALUE"""),"")</f>
        <v/>
      </c>
      <c r="O601" s="250" t="str">
        <f>IFERROR(__xludf.DUMMYFUNCTION("""COMPUTED_VALUE"""),"")</f>
        <v/>
      </c>
      <c r="P601" s="250" t="str">
        <f>IFERROR(__xludf.DUMMYFUNCTION("""COMPUTED_VALUE"""),"")</f>
        <v/>
      </c>
      <c r="Q601" s="250" t="str">
        <f>IFERROR(__xludf.DUMMYFUNCTION("""COMPUTED_VALUE"""),"")</f>
        <v/>
      </c>
      <c r="R601" s="250" t="str">
        <f>IFERROR(__xludf.DUMMYFUNCTION("""COMPUTED_VALUE"""),"")</f>
        <v/>
      </c>
      <c r="U601" s="250">
        <f>IFERROR(__xludf.DUMMYFUNCTION("""COMPUTED_VALUE"""),1219.0)</f>
        <v>1219</v>
      </c>
      <c r="V601" s="250">
        <f>IFERROR(__xludf.DUMMYFUNCTION("""COMPUTED_VALUE"""),1159.0)</f>
        <v>1159</v>
      </c>
      <c r="W601" s="250">
        <f>IFERROR(__xludf.DUMMYFUNCTION("""COMPUTED_VALUE"""),1039.0)</f>
        <v>1039</v>
      </c>
      <c r="X601" t="b">
        <f t="shared" ref="X601:Z601" si="1178">ISBLANK(K601)</f>
        <v>1</v>
      </c>
      <c r="Y601" t="b">
        <f t="shared" si="1178"/>
        <v>0</v>
      </c>
      <c r="Z601" t="b">
        <f t="shared" si="1178"/>
        <v>0</v>
      </c>
      <c r="AA601">
        <f t="shared" ref="AA601:AC601" si="1179">IF(X601=FALSE,1,0)</f>
        <v>0</v>
      </c>
      <c r="AB601">
        <f t="shared" si="1179"/>
        <v>1</v>
      </c>
      <c r="AC601">
        <f t="shared" si="1179"/>
        <v>1</v>
      </c>
      <c r="AD601">
        <f t="shared" si="6"/>
        <v>2</v>
      </c>
      <c r="AE601">
        <f t="shared" si="7"/>
        <v>1</v>
      </c>
      <c r="AF601">
        <f>if(iferror(vlookup($A601,'Description Database'!$E$2:$H$951,3,0),0)=TRUE,1,0)</f>
        <v>0</v>
      </c>
      <c r="AG601">
        <f>if(iferror(vlookup($A601,'Description Database'!$E$2:$H$951,4,0),0)=TRUE,1,0)</f>
        <v>0</v>
      </c>
    </row>
    <row r="602">
      <c r="A602" t="str">
        <f>IFERROR(__xludf.DUMMYFUNCTION("""COMPUTED_VALUE"""),"LENOVO K5+(4 GB 64GB)")</f>
        <v>LENOVO K5+(4 GB 64GB)</v>
      </c>
      <c r="B602" t="str">
        <f>IFERROR(__xludf.DUMMYFUNCTION("""COMPUTED_VALUE"""),"")</f>
        <v/>
      </c>
      <c r="C602" t="str">
        <f>IFERROR(__xludf.DUMMYFUNCTION("""COMPUTED_VALUE"""),"")</f>
        <v/>
      </c>
      <c r="D602" t="str">
        <f>IFERROR(__xludf.DUMMYFUNCTION("""COMPUTED_VALUE"""),"")</f>
        <v/>
      </c>
      <c r="E602" t="str">
        <f>IFERROR(__xludf.DUMMYFUNCTION("""COMPUTED_VALUE"""),"")</f>
        <v/>
      </c>
      <c r="F602" t="str">
        <f>IFERROR(__xludf.DUMMYFUNCTION("""COMPUTED_VALUE"""),"")</f>
        <v/>
      </c>
      <c r="G602" t="str">
        <f>IFERROR(__xludf.DUMMYFUNCTION("""COMPUTED_VALUE"""),"")</f>
        <v/>
      </c>
      <c r="H602" t="str">
        <f>IFERROR(__xludf.DUMMYFUNCTION("""COMPUTED_VALUE"""),"")</f>
        <v/>
      </c>
      <c r="I602">
        <f>IFERROR(__xludf.DUMMYFUNCTION("""COMPUTED_VALUE"""),1.0)</f>
        <v>1</v>
      </c>
      <c r="J602">
        <f>IFERROR(__xludf.DUMMYFUNCTION("""COMPUTED_VALUE"""),1.0)</f>
        <v>1</v>
      </c>
      <c r="L602" s="250" t="str">
        <f>IFERROR(__xludf.DUMMYFUNCTION("""COMPUTED_VALUE"""),"")</f>
        <v/>
      </c>
      <c r="M602" s="250" t="str">
        <f>IFERROR(__xludf.DUMMYFUNCTION("""COMPUTED_VALUE"""),"")</f>
        <v/>
      </c>
      <c r="N602" s="250" t="str">
        <f>IFERROR(__xludf.DUMMYFUNCTION("""COMPUTED_VALUE"""),"")</f>
        <v/>
      </c>
      <c r="O602" s="250" t="str">
        <f>IFERROR(__xludf.DUMMYFUNCTION("""COMPUTED_VALUE"""),"")</f>
        <v/>
      </c>
      <c r="P602" s="250" t="str">
        <f>IFERROR(__xludf.DUMMYFUNCTION("""COMPUTED_VALUE"""),"")</f>
        <v/>
      </c>
      <c r="Q602" s="250" t="str">
        <f>IFERROR(__xludf.DUMMYFUNCTION("""COMPUTED_VALUE"""),"")</f>
        <v/>
      </c>
      <c r="R602" s="250" t="str">
        <f>IFERROR(__xludf.DUMMYFUNCTION("""COMPUTED_VALUE"""),"")</f>
        <v/>
      </c>
      <c r="U602" s="250" t="str">
        <f>IFERROR(__xludf.DUMMYFUNCTION("""COMPUTED_VALUE"""),"#N/A")</f>
        <v>#N/A</v>
      </c>
      <c r="V602" s="250" t="str">
        <f>IFERROR(__xludf.DUMMYFUNCTION("""COMPUTED_VALUE"""),"#N/A")</f>
        <v>#N/A</v>
      </c>
      <c r="W602" s="250" t="str">
        <f>IFERROR(__xludf.DUMMYFUNCTION("""COMPUTED_VALUE"""),"#N/A")</f>
        <v>#N/A</v>
      </c>
      <c r="X602" t="b">
        <f t="shared" ref="X602:Z602" si="1180">ISBLANK(K602)</f>
        <v>1</v>
      </c>
      <c r="Y602" t="b">
        <f t="shared" si="1180"/>
        <v>0</v>
      </c>
      <c r="Z602" t="b">
        <f t="shared" si="1180"/>
        <v>0</v>
      </c>
      <c r="AA602">
        <f t="shared" ref="AA602:AC602" si="1181">IF(X602=FALSE,1,0)</f>
        <v>0</v>
      </c>
      <c r="AB602">
        <f t="shared" si="1181"/>
        <v>1</v>
      </c>
      <c r="AC602">
        <f t="shared" si="1181"/>
        <v>1</v>
      </c>
      <c r="AD602">
        <f t="shared" si="6"/>
        <v>2</v>
      </c>
      <c r="AE602">
        <f t="shared" si="7"/>
        <v>1</v>
      </c>
      <c r="AF602">
        <f>if(iferror(vlookup($A602,'Description Database'!$E$2:$H$951,3,0),0)=TRUE,1,0)</f>
        <v>0</v>
      </c>
      <c r="AG602">
        <f>if(iferror(vlookup($A602,'Description Database'!$E$2:$H$951,4,0),0)=TRUE,1,0)</f>
        <v>0</v>
      </c>
    </row>
    <row r="603">
      <c r="A603" t="str">
        <f>IFERROR(__xludf.DUMMYFUNCTION("""COMPUTED_VALUE"""),"Xiaomi Redmi K20 Pro (8 GB/256 GB)")</f>
        <v>Xiaomi Redmi K20 Pro (8 GB/256 GB)</v>
      </c>
      <c r="B603">
        <f>IFERROR(__xludf.DUMMYFUNCTION("""COMPUTED_VALUE"""),1.0)</f>
        <v>1</v>
      </c>
      <c r="C603" t="str">
        <f>IFERROR(__xludf.DUMMYFUNCTION("""COMPUTED_VALUE"""),"")</f>
        <v/>
      </c>
      <c r="D603" t="str">
        <f>IFERROR(__xludf.DUMMYFUNCTION("""COMPUTED_VALUE"""),"")</f>
        <v/>
      </c>
      <c r="E603" t="str">
        <f>IFERROR(__xludf.DUMMYFUNCTION("""COMPUTED_VALUE"""),"")</f>
        <v/>
      </c>
      <c r="F603" t="str">
        <f>IFERROR(__xludf.DUMMYFUNCTION("""COMPUTED_VALUE"""),"")</f>
        <v/>
      </c>
      <c r="G603" t="str">
        <f>IFERROR(__xludf.DUMMYFUNCTION("""COMPUTED_VALUE"""),"")</f>
        <v/>
      </c>
      <c r="H603" t="str">
        <f>IFERROR(__xludf.DUMMYFUNCTION("""COMPUTED_VALUE"""),"")</f>
        <v/>
      </c>
      <c r="I603" t="str">
        <f>IFERROR(__xludf.DUMMYFUNCTION("""COMPUTED_VALUE"""),"")</f>
        <v/>
      </c>
      <c r="J603">
        <f>IFERROR(__xludf.DUMMYFUNCTION("""COMPUTED_VALUE"""),1.0)</f>
        <v>1</v>
      </c>
      <c r="L603" s="250">
        <f>IFERROR(__xludf.DUMMYFUNCTION("""COMPUTED_VALUE"""),15799.0)</f>
        <v>15799</v>
      </c>
      <c r="M603" s="250" t="str">
        <f>IFERROR(__xludf.DUMMYFUNCTION("""COMPUTED_VALUE"""),"")</f>
        <v/>
      </c>
      <c r="N603" s="250" t="str">
        <f>IFERROR(__xludf.DUMMYFUNCTION("""COMPUTED_VALUE"""),"")</f>
        <v/>
      </c>
      <c r="O603" s="250" t="str">
        <f>IFERROR(__xludf.DUMMYFUNCTION("""COMPUTED_VALUE"""),"")</f>
        <v/>
      </c>
      <c r="P603" s="250" t="str">
        <f>IFERROR(__xludf.DUMMYFUNCTION("""COMPUTED_VALUE"""),"")</f>
        <v/>
      </c>
      <c r="Q603" s="250" t="str">
        <f>IFERROR(__xludf.DUMMYFUNCTION("""COMPUTED_VALUE"""),"")</f>
        <v/>
      </c>
      <c r="R603" s="250" t="str">
        <f>IFERROR(__xludf.DUMMYFUNCTION("""COMPUTED_VALUE"""),"")</f>
        <v/>
      </c>
      <c r="U603" s="250">
        <f>IFERROR(__xludf.DUMMYFUNCTION("""COMPUTED_VALUE"""),17379.0)</f>
        <v>17379</v>
      </c>
      <c r="V603" s="250">
        <f>IFERROR(__xludf.DUMMYFUNCTION("""COMPUTED_VALUE"""),16549.0)</f>
        <v>16549</v>
      </c>
      <c r="W603" s="250">
        <f>IFERROR(__xludf.DUMMYFUNCTION("""COMPUTED_VALUE"""),14899.0)</f>
        <v>14899</v>
      </c>
      <c r="X603" t="b">
        <f t="shared" ref="X603:Z603" si="1182">ISBLANK(K603)</f>
        <v>1</v>
      </c>
      <c r="Y603" t="b">
        <f t="shared" si="1182"/>
        <v>0</v>
      </c>
      <c r="Z603" t="b">
        <f t="shared" si="1182"/>
        <v>0</v>
      </c>
      <c r="AA603">
        <f t="shared" ref="AA603:AC603" si="1183">IF(X603=FALSE,1,0)</f>
        <v>0</v>
      </c>
      <c r="AB603">
        <f t="shared" si="1183"/>
        <v>1</v>
      </c>
      <c r="AC603">
        <f t="shared" si="1183"/>
        <v>1</v>
      </c>
      <c r="AD603">
        <f t="shared" si="6"/>
        <v>2</v>
      </c>
      <c r="AE603">
        <f t="shared" si="7"/>
        <v>1</v>
      </c>
      <c r="AF603">
        <f>if(iferror(vlookup($A603,'Description Database'!$E$2:$H$951,3,0),0)=TRUE,1,0)</f>
        <v>0</v>
      </c>
      <c r="AG603">
        <f>if(iferror(vlookup($A603,'Description Database'!$E$2:$H$951,4,0),0)=TRUE,1,0)</f>
        <v>0</v>
      </c>
    </row>
    <row r="604">
      <c r="A604" t="str">
        <f>IFERROR(__xludf.DUMMYFUNCTION("""COMPUTED_VALUE"""),"Oppo A5 (4 GB/64 GB)")</f>
        <v>Oppo A5 (4 GB/64 GB)</v>
      </c>
      <c r="B604" t="str">
        <f>IFERROR(__xludf.DUMMYFUNCTION("""COMPUTED_VALUE"""),"")</f>
        <v/>
      </c>
      <c r="C604" t="str">
        <f>IFERROR(__xludf.DUMMYFUNCTION("""COMPUTED_VALUE"""),"")</f>
        <v/>
      </c>
      <c r="D604" t="str">
        <f>IFERROR(__xludf.DUMMYFUNCTION("""COMPUTED_VALUE"""),"")</f>
        <v/>
      </c>
      <c r="E604" t="str">
        <f>IFERROR(__xludf.DUMMYFUNCTION("""COMPUTED_VALUE"""),"")</f>
        <v/>
      </c>
      <c r="F604" t="str">
        <f>IFERROR(__xludf.DUMMYFUNCTION("""COMPUTED_VALUE"""),"")</f>
        <v/>
      </c>
      <c r="G604" t="str">
        <f>IFERROR(__xludf.DUMMYFUNCTION("""COMPUTED_VALUE"""),"")</f>
        <v/>
      </c>
      <c r="H604" t="str">
        <f>IFERROR(__xludf.DUMMYFUNCTION("""COMPUTED_VALUE"""),"")</f>
        <v/>
      </c>
      <c r="I604">
        <f>IFERROR(__xludf.DUMMYFUNCTION("""COMPUTED_VALUE"""),3.0)</f>
        <v>3</v>
      </c>
      <c r="J604">
        <f>IFERROR(__xludf.DUMMYFUNCTION("""COMPUTED_VALUE"""),3.0)</f>
        <v>3</v>
      </c>
      <c r="L604" s="250" t="str">
        <f>IFERROR(__xludf.DUMMYFUNCTION("""COMPUTED_VALUE"""),"")</f>
        <v/>
      </c>
      <c r="M604" s="250" t="str">
        <f>IFERROR(__xludf.DUMMYFUNCTION("""COMPUTED_VALUE"""),"")</f>
        <v/>
      </c>
      <c r="N604" s="250" t="str">
        <f>IFERROR(__xludf.DUMMYFUNCTION("""COMPUTED_VALUE"""),"")</f>
        <v/>
      </c>
      <c r="O604" s="250" t="str">
        <f>IFERROR(__xludf.DUMMYFUNCTION("""COMPUTED_VALUE"""),"")</f>
        <v/>
      </c>
      <c r="P604" s="250" t="str">
        <f>IFERROR(__xludf.DUMMYFUNCTION("""COMPUTED_VALUE"""),"")</f>
        <v/>
      </c>
      <c r="Q604" s="250" t="str">
        <f>IFERROR(__xludf.DUMMYFUNCTION("""COMPUTED_VALUE"""),"")</f>
        <v/>
      </c>
      <c r="R604" s="250" t="str">
        <f>IFERROR(__xludf.DUMMYFUNCTION("""COMPUTED_VALUE"""),"")</f>
        <v/>
      </c>
      <c r="U604" s="250">
        <f>IFERROR(__xludf.DUMMYFUNCTION("""COMPUTED_VALUE"""),7969.0)</f>
        <v>7969</v>
      </c>
      <c r="V604" s="250">
        <f>IFERROR(__xludf.DUMMYFUNCTION("""COMPUTED_VALUE"""),7579.0)</f>
        <v>7579</v>
      </c>
      <c r="W604" s="250">
        <f>IFERROR(__xludf.DUMMYFUNCTION("""COMPUTED_VALUE"""),6829.0)</f>
        <v>6829</v>
      </c>
      <c r="X604" t="b">
        <f t="shared" ref="X604:Z604" si="1184">ISBLANK(K604)</f>
        <v>1</v>
      </c>
      <c r="Y604" t="b">
        <f t="shared" si="1184"/>
        <v>0</v>
      </c>
      <c r="Z604" t="b">
        <f t="shared" si="1184"/>
        <v>0</v>
      </c>
      <c r="AA604">
        <f t="shared" ref="AA604:AC604" si="1185">IF(X604=FALSE,1,0)</f>
        <v>0</v>
      </c>
      <c r="AB604">
        <f t="shared" si="1185"/>
        <v>1</v>
      </c>
      <c r="AC604">
        <f t="shared" si="1185"/>
        <v>1</v>
      </c>
      <c r="AD604">
        <f t="shared" si="6"/>
        <v>2</v>
      </c>
      <c r="AE604">
        <f t="shared" si="7"/>
        <v>1</v>
      </c>
      <c r="AF604">
        <f>if(iferror(vlookup($A604,'Description Database'!$E$2:$H$951,3,0),0)=TRUE,1,0)</f>
        <v>0</v>
      </c>
      <c r="AG604">
        <f>if(iferror(vlookup($A604,'Description Database'!$E$2:$H$951,4,0),0)=TRUE,1,0)</f>
        <v>0</v>
      </c>
    </row>
    <row r="605">
      <c r="A605" t="str">
        <f>IFERROR(__xludf.DUMMYFUNCTION("""COMPUTED_VALUE"""),"Oppo F9 (4 GB/64 GB)")</f>
        <v>Oppo F9 (4 GB/64 GB)</v>
      </c>
      <c r="B605" t="str">
        <f>IFERROR(__xludf.DUMMYFUNCTION("""COMPUTED_VALUE"""),"")</f>
        <v/>
      </c>
      <c r="C605" t="str">
        <f>IFERROR(__xludf.DUMMYFUNCTION("""COMPUTED_VALUE"""),"")</f>
        <v/>
      </c>
      <c r="D605" t="str">
        <f>IFERROR(__xludf.DUMMYFUNCTION("""COMPUTED_VALUE"""),"")</f>
        <v/>
      </c>
      <c r="E605" t="str">
        <f>IFERROR(__xludf.DUMMYFUNCTION("""COMPUTED_VALUE"""),"")</f>
        <v/>
      </c>
      <c r="F605" t="str">
        <f>IFERROR(__xludf.DUMMYFUNCTION("""COMPUTED_VALUE"""),"")</f>
        <v/>
      </c>
      <c r="G605" t="str">
        <f>IFERROR(__xludf.DUMMYFUNCTION("""COMPUTED_VALUE"""),"")</f>
        <v/>
      </c>
      <c r="H605" t="str">
        <f>IFERROR(__xludf.DUMMYFUNCTION("""COMPUTED_VALUE"""),"")</f>
        <v/>
      </c>
      <c r="I605" t="str">
        <f>IFERROR(__xludf.DUMMYFUNCTION("""COMPUTED_VALUE"""),"")</f>
        <v/>
      </c>
      <c r="J605">
        <f>IFERROR(__xludf.DUMMYFUNCTION("""COMPUTED_VALUE"""),0.0)</f>
        <v>0</v>
      </c>
      <c r="L605" s="250" t="str">
        <f>IFERROR(__xludf.DUMMYFUNCTION("""COMPUTED_VALUE"""),"")</f>
        <v/>
      </c>
      <c r="M605" s="250" t="str">
        <f>IFERROR(__xludf.DUMMYFUNCTION("""COMPUTED_VALUE"""),"")</f>
        <v/>
      </c>
      <c r="N605" s="250" t="str">
        <f>IFERROR(__xludf.DUMMYFUNCTION("""COMPUTED_VALUE"""),"")</f>
        <v/>
      </c>
      <c r="O605" s="250" t="str">
        <f>IFERROR(__xludf.DUMMYFUNCTION("""COMPUTED_VALUE"""),"")</f>
        <v/>
      </c>
      <c r="P605" s="250" t="str">
        <f>IFERROR(__xludf.DUMMYFUNCTION("""COMPUTED_VALUE"""),"")</f>
        <v/>
      </c>
      <c r="Q605" s="250" t="str">
        <f>IFERROR(__xludf.DUMMYFUNCTION("""COMPUTED_VALUE"""),"")</f>
        <v/>
      </c>
      <c r="R605" s="250" t="str">
        <f>IFERROR(__xludf.DUMMYFUNCTION("""COMPUTED_VALUE"""),"")</f>
        <v/>
      </c>
      <c r="U605" s="250">
        <f>IFERROR(__xludf.DUMMYFUNCTION("""COMPUTED_VALUE"""),8409.0)</f>
        <v>8409</v>
      </c>
      <c r="V605" s="250">
        <f>IFERROR(__xludf.DUMMYFUNCTION("""COMPUTED_VALUE"""),7999.0)</f>
        <v>7999</v>
      </c>
      <c r="W605" s="250">
        <f>IFERROR(__xludf.DUMMYFUNCTION("""COMPUTED_VALUE"""),7309.0)</f>
        <v>7309</v>
      </c>
      <c r="X605" t="b">
        <f t="shared" ref="X605:Z605" si="1186">ISBLANK(K605)</f>
        <v>1</v>
      </c>
      <c r="Y605" t="b">
        <f t="shared" si="1186"/>
        <v>0</v>
      </c>
      <c r="Z605" t="b">
        <f t="shared" si="1186"/>
        <v>0</v>
      </c>
      <c r="AA605">
        <f t="shared" ref="AA605:AC605" si="1187">IF(X605=FALSE,1,0)</f>
        <v>0</v>
      </c>
      <c r="AB605">
        <f t="shared" si="1187"/>
        <v>1</v>
      </c>
      <c r="AC605">
        <f t="shared" si="1187"/>
        <v>1</v>
      </c>
      <c r="AD605">
        <f t="shared" si="6"/>
        <v>2</v>
      </c>
      <c r="AE605">
        <f t="shared" si="7"/>
        <v>1</v>
      </c>
      <c r="AF605">
        <f>if(iferror(vlookup($A605,'Description Database'!$E$2:$H$951,3,0),0)=TRUE,1,0)</f>
        <v>0</v>
      </c>
      <c r="AG605">
        <f>if(iferror(vlookup($A605,'Description Database'!$E$2:$H$951,4,0),0)=TRUE,1,0)</f>
        <v>0</v>
      </c>
    </row>
    <row r="606">
      <c r="A606" t="str">
        <f>IFERROR(__xludf.DUMMYFUNCTION("""COMPUTED_VALUE"""),"Lenovo Zuk Z1 (3 GB/64 GB)")</f>
        <v>Lenovo Zuk Z1 (3 GB/64 GB)</v>
      </c>
      <c r="B606" t="str">
        <f>IFERROR(__xludf.DUMMYFUNCTION("""COMPUTED_VALUE"""),"")</f>
        <v/>
      </c>
      <c r="C606" t="str">
        <f>IFERROR(__xludf.DUMMYFUNCTION("""COMPUTED_VALUE"""),"")</f>
        <v/>
      </c>
      <c r="D606" t="str">
        <f>IFERROR(__xludf.DUMMYFUNCTION("""COMPUTED_VALUE"""),"")</f>
        <v/>
      </c>
      <c r="E606" t="str">
        <f>IFERROR(__xludf.DUMMYFUNCTION("""COMPUTED_VALUE"""),"")</f>
        <v/>
      </c>
      <c r="F606" t="str">
        <f>IFERROR(__xludf.DUMMYFUNCTION("""COMPUTED_VALUE"""),"")</f>
        <v/>
      </c>
      <c r="G606" t="str">
        <f>IFERROR(__xludf.DUMMYFUNCTION("""COMPUTED_VALUE"""),"")</f>
        <v/>
      </c>
      <c r="H606" t="str">
        <f>IFERROR(__xludf.DUMMYFUNCTION("""COMPUTED_VALUE"""),"")</f>
        <v/>
      </c>
      <c r="I606">
        <f>IFERROR(__xludf.DUMMYFUNCTION("""COMPUTED_VALUE"""),4.0)</f>
        <v>4</v>
      </c>
      <c r="J606">
        <f>IFERROR(__xludf.DUMMYFUNCTION("""COMPUTED_VALUE"""),4.0)</f>
        <v>4</v>
      </c>
      <c r="L606" s="250" t="str">
        <f>IFERROR(__xludf.DUMMYFUNCTION("""COMPUTED_VALUE"""),"")</f>
        <v/>
      </c>
      <c r="M606" s="250" t="str">
        <f>IFERROR(__xludf.DUMMYFUNCTION("""COMPUTED_VALUE"""),"")</f>
        <v/>
      </c>
      <c r="N606" s="250" t="str">
        <f>IFERROR(__xludf.DUMMYFUNCTION("""COMPUTED_VALUE"""),"")</f>
        <v/>
      </c>
      <c r="O606" s="250" t="str">
        <f>IFERROR(__xludf.DUMMYFUNCTION("""COMPUTED_VALUE"""),"")</f>
        <v/>
      </c>
      <c r="P606" s="250" t="str">
        <f>IFERROR(__xludf.DUMMYFUNCTION("""COMPUTED_VALUE"""),"")</f>
        <v/>
      </c>
      <c r="Q606" s="250" t="str">
        <f>IFERROR(__xludf.DUMMYFUNCTION("""COMPUTED_VALUE"""),"")</f>
        <v/>
      </c>
      <c r="R606" s="250" t="str">
        <f>IFERROR(__xludf.DUMMYFUNCTION("""COMPUTED_VALUE"""),"")</f>
        <v/>
      </c>
      <c r="U606" s="250">
        <f>IFERROR(__xludf.DUMMYFUNCTION("""COMPUTED_VALUE"""),2399.0)</f>
        <v>2399</v>
      </c>
      <c r="V606" s="250">
        <f>IFERROR(__xludf.DUMMYFUNCTION("""COMPUTED_VALUE"""),2279.0)</f>
        <v>2279</v>
      </c>
      <c r="W606" s="250">
        <f>IFERROR(__xludf.DUMMYFUNCTION("""COMPUTED_VALUE"""),2049.0)</f>
        <v>2049</v>
      </c>
      <c r="X606" t="b">
        <f t="shared" ref="X606:Z606" si="1188">ISBLANK(K606)</f>
        <v>1</v>
      </c>
      <c r="Y606" t="b">
        <f t="shared" si="1188"/>
        <v>0</v>
      </c>
      <c r="Z606" t="b">
        <f t="shared" si="1188"/>
        <v>0</v>
      </c>
      <c r="AA606">
        <f t="shared" ref="AA606:AC606" si="1189">IF(X606=FALSE,1,0)</f>
        <v>0</v>
      </c>
      <c r="AB606">
        <f t="shared" si="1189"/>
        <v>1</v>
      </c>
      <c r="AC606">
        <f t="shared" si="1189"/>
        <v>1</v>
      </c>
      <c r="AD606">
        <f t="shared" si="6"/>
        <v>2</v>
      </c>
      <c r="AE606">
        <f t="shared" si="7"/>
        <v>1</v>
      </c>
      <c r="AF606">
        <f>if(iferror(vlookup($A606,'Description Database'!$E$2:$H$951,3,0),0)=TRUE,1,0)</f>
        <v>0</v>
      </c>
      <c r="AG606">
        <f>if(iferror(vlookup($A606,'Description Database'!$E$2:$H$951,4,0),0)=TRUE,1,0)</f>
        <v>0</v>
      </c>
    </row>
    <row r="607">
      <c r="A607" t="str">
        <f>IFERROR(__xludf.DUMMYFUNCTION("""COMPUTED_VALUE"""),"Samsung Galaxy Grand 2 (1.5 GB/8 GB)")</f>
        <v>Samsung Galaxy Grand 2 (1.5 GB/8 GB)</v>
      </c>
      <c r="B607" t="str">
        <f>IFERROR(__xludf.DUMMYFUNCTION("""COMPUTED_VALUE"""),"")</f>
        <v/>
      </c>
      <c r="C607" t="str">
        <f>IFERROR(__xludf.DUMMYFUNCTION("""COMPUTED_VALUE"""),"")</f>
        <v/>
      </c>
      <c r="D607" t="str">
        <f>IFERROR(__xludf.DUMMYFUNCTION("""COMPUTED_VALUE"""),"")</f>
        <v/>
      </c>
      <c r="E607" t="str">
        <f>IFERROR(__xludf.DUMMYFUNCTION("""COMPUTED_VALUE"""),"")</f>
        <v/>
      </c>
      <c r="F607" t="str">
        <f>IFERROR(__xludf.DUMMYFUNCTION("""COMPUTED_VALUE"""),"")</f>
        <v/>
      </c>
      <c r="G607" t="str">
        <f>IFERROR(__xludf.DUMMYFUNCTION("""COMPUTED_VALUE"""),"")</f>
        <v/>
      </c>
      <c r="H607" t="str">
        <f>IFERROR(__xludf.DUMMYFUNCTION("""COMPUTED_VALUE"""),"")</f>
        <v/>
      </c>
      <c r="I607">
        <f>IFERROR(__xludf.DUMMYFUNCTION("""COMPUTED_VALUE"""),7.0)</f>
        <v>7</v>
      </c>
      <c r="J607">
        <f>IFERROR(__xludf.DUMMYFUNCTION("""COMPUTED_VALUE"""),7.0)</f>
        <v>7</v>
      </c>
      <c r="L607" s="250" t="str">
        <f>IFERROR(__xludf.DUMMYFUNCTION("""COMPUTED_VALUE"""),"")</f>
        <v/>
      </c>
      <c r="M607" s="250" t="str">
        <f>IFERROR(__xludf.DUMMYFUNCTION("""COMPUTED_VALUE"""),"")</f>
        <v/>
      </c>
      <c r="N607" s="250" t="str">
        <f>IFERROR(__xludf.DUMMYFUNCTION("""COMPUTED_VALUE"""),"")</f>
        <v/>
      </c>
      <c r="O607" s="250" t="str">
        <f>IFERROR(__xludf.DUMMYFUNCTION("""COMPUTED_VALUE"""),"")</f>
        <v/>
      </c>
      <c r="P607" s="250" t="str">
        <f>IFERROR(__xludf.DUMMYFUNCTION("""COMPUTED_VALUE"""),"")</f>
        <v/>
      </c>
      <c r="Q607" s="250" t="str">
        <f>IFERROR(__xludf.DUMMYFUNCTION("""COMPUTED_VALUE"""),"")</f>
        <v/>
      </c>
      <c r="R607" s="250" t="str">
        <f>IFERROR(__xludf.DUMMYFUNCTION("""COMPUTED_VALUE"""),"")</f>
        <v/>
      </c>
      <c r="U607" s="250">
        <f>IFERROR(__xludf.DUMMYFUNCTION("""COMPUTED_VALUE"""),1359.0)</f>
        <v>1359</v>
      </c>
      <c r="V607" s="250">
        <f>IFERROR(__xludf.DUMMYFUNCTION("""COMPUTED_VALUE"""),1289.0)</f>
        <v>1289</v>
      </c>
      <c r="W607" s="250">
        <f>IFERROR(__xludf.DUMMYFUNCTION("""COMPUTED_VALUE"""),1169.0)</f>
        <v>1169</v>
      </c>
      <c r="X607" t="b">
        <f t="shared" ref="X607:Z607" si="1190">ISBLANK(K607)</f>
        <v>1</v>
      </c>
      <c r="Y607" t="b">
        <f t="shared" si="1190"/>
        <v>0</v>
      </c>
      <c r="Z607" t="b">
        <f t="shared" si="1190"/>
        <v>0</v>
      </c>
      <c r="AA607">
        <f t="shared" ref="AA607:AC607" si="1191">IF(X607=FALSE,1,0)</f>
        <v>0</v>
      </c>
      <c r="AB607">
        <f t="shared" si="1191"/>
        <v>1</v>
      </c>
      <c r="AC607">
        <f t="shared" si="1191"/>
        <v>1</v>
      </c>
      <c r="AD607">
        <f t="shared" si="6"/>
        <v>2</v>
      </c>
      <c r="AE607">
        <f t="shared" si="7"/>
        <v>1</v>
      </c>
      <c r="AF607">
        <f>if(iferror(vlookup($A607,'Description Database'!$E$2:$H$951,3,0),0)=TRUE,1,0)</f>
        <v>0</v>
      </c>
      <c r="AG607">
        <f>if(iferror(vlookup($A607,'Description Database'!$E$2:$H$951,4,0),0)=TRUE,1,0)</f>
        <v>0</v>
      </c>
    </row>
    <row r="608">
      <c r="A608" t="str">
        <f>IFERROR(__xludf.DUMMYFUNCTION("""COMPUTED_VALUE"""),"Vivo V15 (6 GB/128 GB)")</f>
        <v>Vivo V15 (6 GB/128 GB)</v>
      </c>
      <c r="B608" t="str">
        <f>IFERROR(__xludf.DUMMYFUNCTION("""COMPUTED_VALUE"""),"")</f>
        <v/>
      </c>
      <c r="C608" t="str">
        <f>IFERROR(__xludf.DUMMYFUNCTION("""COMPUTED_VALUE"""),"")</f>
        <v/>
      </c>
      <c r="D608" t="str">
        <f>IFERROR(__xludf.DUMMYFUNCTION("""COMPUTED_VALUE"""),"")</f>
        <v/>
      </c>
      <c r="E608" t="str">
        <f>IFERROR(__xludf.DUMMYFUNCTION("""COMPUTED_VALUE"""),"")</f>
        <v/>
      </c>
      <c r="F608" t="str">
        <f>IFERROR(__xludf.DUMMYFUNCTION("""COMPUTED_VALUE"""),"")</f>
        <v/>
      </c>
      <c r="G608" t="str">
        <f>IFERROR(__xludf.DUMMYFUNCTION("""COMPUTED_VALUE"""),"")</f>
        <v/>
      </c>
      <c r="H608" t="str">
        <f>IFERROR(__xludf.DUMMYFUNCTION("""COMPUTED_VALUE"""),"")</f>
        <v/>
      </c>
      <c r="I608" t="str">
        <f>IFERROR(__xludf.DUMMYFUNCTION("""COMPUTED_VALUE"""),"")</f>
        <v/>
      </c>
      <c r="J608">
        <f>IFERROR(__xludf.DUMMYFUNCTION("""COMPUTED_VALUE"""),0.0)</f>
        <v>0</v>
      </c>
      <c r="L608" s="250" t="str">
        <f>IFERROR(__xludf.DUMMYFUNCTION("""COMPUTED_VALUE"""),"")</f>
        <v/>
      </c>
      <c r="M608" s="250" t="str">
        <f>IFERROR(__xludf.DUMMYFUNCTION("""COMPUTED_VALUE"""),"")</f>
        <v/>
      </c>
      <c r="N608" s="250" t="str">
        <f>IFERROR(__xludf.DUMMYFUNCTION("""COMPUTED_VALUE"""),"")</f>
        <v/>
      </c>
      <c r="O608" s="250" t="str">
        <f>IFERROR(__xludf.DUMMYFUNCTION("""COMPUTED_VALUE"""),"")</f>
        <v/>
      </c>
      <c r="P608" s="250" t="str">
        <f>IFERROR(__xludf.DUMMYFUNCTION("""COMPUTED_VALUE"""),"")</f>
        <v/>
      </c>
      <c r="Q608" s="250" t="str">
        <f>IFERROR(__xludf.DUMMYFUNCTION("""COMPUTED_VALUE"""),"")</f>
        <v/>
      </c>
      <c r="R608" s="250" t="str">
        <f>IFERROR(__xludf.DUMMYFUNCTION("""COMPUTED_VALUE"""),"")</f>
        <v/>
      </c>
      <c r="U608" s="250">
        <f>IFERROR(__xludf.DUMMYFUNCTION("""COMPUTED_VALUE"""),11659.0)</f>
        <v>11659</v>
      </c>
      <c r="V608" s="250">
        <f>IFERROR(__xludf.DUMMYFUNCTION("""COMPUTED_VALUE"""),11099.0)</f>
        <v>11099</v>
      </c>
      <c r="W608" s="250">
        <f>IFERROR(__xludf.DUMMYFUNCTION("""COMPUTED_VALUE"""),9989.0)</f>
        <v>9989</v>
      </c>
      <c r="X608" t="b">
        <f t="shared" ref="X608:Z608" si="1192">ISBLANK(K608)</f>
        <v>1</v>
      </c>
      <c r="Y608" t="b">
        <f t="shared" si="1192"/>
        <v>0</v>
      </c>
      <c r="Z608" t="b">
        <f t="shared" si="1192"/>
        <v>0</v>
      </c>
      <c r="AA608">
        <f t="shared" ref="AA608:AC608" si="1193">IF(X608=FALSE,1,0)</f>
        <v>0</v>
      </c>
      <c r="AB608">
        <f t="shared" si="1193"/>
        <v>1</v>
      </c>
      <c r="AC608">
        <f t="shared" si="1193"/>
        <v>1</v>
      </c>
      <c r="AD608">
        <f t="shared" si="6"/>
        <v>2</v>
      </c>
      <c r="AE608">
        <f t="shared" si="7"/>
        <v>1</v>
      </c>
      <c r="AF608">
        <f>if(iferror(vlookup($A608,'Description Database'!$E$2:$H$951,3,0),0)=TRUE,1,0)</f>
        <v>0</v>
      </c>
      <c r="AG608">
        <f>if(iferror(vlookup($A608,'Description Database'!$E$2:$H$951,4,0),0)=TRUE,1,0)</f>
        <v>0</v>
      </c>
    </row>
    <row r="609">
      <c r="A609" t="str">
        <f>IFERROR(__xludf.DUMMYFUNCTION("""COMPUTED_VALUE"""),"SAMSUNG GALAXY A20E (3 GB/32 GB)")</f>
        <v>SAMSUNG GALAXY A20E (3 GB/32 GB)</v>
      </c>
      <c r="B609" t="str">
        <f>IFERROR(__xludf.DUMMYFUNCTION("""COMPUTED_VALUE"""),"")</f>
        <v/>
      </c>
      <c r="C609" t="str">
        <f>IFERROR(__xludf.DUMMYFUNCTION("""COMPUTED_VALUE"""),"")</f>
        <v/>
      </c>
      <c r="D609" t="str">
        <f>IFERROR(__xludf.DUMMYFUNCTION("""COMPUTED_VALUE"""),"")</f>
        <v/>
      </c>
      <c r="E609" t="str">
        <f>IFERROR(__xludf.DUMMYFUNCTION("""COMPUTED_VALUE"""),"")</f>
        <v/>
      </c>
      <c r="F609" t="str">
        <f>IFERROR(__xludf.DUMMYFUNCTION("""COMPUTED_VALUE"""),"")</f>
        <v/>
      </c>
      <c r="G609" t="str">
        <f>IFERROR(__xludf.DUMMYFUNCTION("""COMPUTED_VALUE"""),"")</f>
        <v/>
      </c>
      <c r="H609" t="str">
        <f>IFERROR(__xludf.DUMMYFUNCTION("""COMPUTED_VALUE"""),"")</f>
        <v/>
      </c>
      <c r="I609" t="str">
        <f>IFERROR(__xludf.DUMMYFUNCTION("""COMPUTED_VALUE"""),"")</f>
        <v/>
      </c>
      <c r="J609">
        <f>IFERROR(__xludf.DUMMYFUNCTION("""COMPUTED_VALUE"""),0.0)</f>
        <v>0</v>
      </c>
      <c r="L609" s="250" t="str">
        <f>IFERROR(__xludf.DUMMYFUNCTION("""COMPUTED_VALUE"""),"")</f>
        <v/>
      </c>
      <c r="M609" s="250" t="str">
        <f>IFERROR(__xludf.DUMMYFUNCTION("""COMPUTED_VALUE"""),"")</f>
        <v/>
      </c>
      <c r="N609" s="250" t="str">
        <f>IFERROR(__xludf.DUMMYFUNCTION("""COMPUTED_VALUE"""),"")</f>
        <v/>
      </c>
      <c r="O609" s="250" t="str">
        <f>IFERROR(__xludf.DUMMYFUNCTION("""COMPUTED_VALUE"""),"")</f>
        <v/>
      </c>
      <c r="P609" s="250" t="str">
        <f>IFERROR(__xludf.DUMMYFUNCTION("""COMPUTED_VALUE"""),"")</f>
        <v/>
      </c>
      <c r="Q609" s="250" t="str">
        <f>IFERROR(__xludf.DUMMYFUNCTION("""COMPUTED_VALUE"""),"")</f>
        <v/>
      </c>
      <c r="R609" s="250" t="str">
        <f>IFERROR(__xludf.DUMMYFUNCTION("""COMPUTED_VALUE"""),"")</f>
        <v/>
      </c>
      <c r="U609" s="250" t="str">
        <f>IFERROR(__xludf.DUMMYFUNCTION("""COMPUTED_VALUE"""),"#N/A")</f>
        <v>#N/A</v>
      </c>
      <c r="V609" s="250" t="str">
        <f>IFERROR(__xludf.DUMMYFUNCTION("""COMPUTED_VALUE"""),"#N/A")</f>
        <v>#N/A</v>
      </c>
      <c r="W609" s="250" t="str">
        <f>IFERROR(__xludf.DUMMYFUNCTION("""COMPUTED_VALUE"""),"#N/A")</f>
        <v>#N/A</v>
      </c>
      <c r="X609" t="b">
        <f t="shared" ref="X609:Z609" si="1194">ISBLANK(K609)</f>
        <v>1</v>
      </c>
      <c r="Y609" t="b">
        <f t="shared" si="1194"/>
        <v>0</v>
      </c>
      <c r="Z609" t="b">
        <f t="shared" si="1194"/>
        <v>0</v>
      </c>
      <c r="AA609">
        <f t="shared" ref="AA609:AC609" si="1195">IF(X609=FALSE,1,0)</f>
        <v>0</v>
      </c>
      <c r="AB609">
        <f t="shared" si="1195"/>
        <v>1</v>
      </c>
      <c r="AC609">
        <f t="shared" si="1195"/>
        <v>1</v>
      </c>
      <c r="AD609">
        <f t="shared" si="6"/>
        <v>2</v>
      </c>
      <c r="AE609">
        <f t="shared" si="7"/>
        <v>1</v>
      </c>
      <c r="AF609">
        <f>if(iferror(vlookup($A609,'Description Database'!$E$2:$H$951,3,0),0)=TRUE,1,0)</f>
        <v>0</v>
      </c>
      <c r="AG609">
        <f>if(iferror(vlookup($A609,'Description Database'!$E$2:$H$951,4,0),0)=TRUE,1,0)</f>
        <v>0</v>
      </c>
    </row>
    <row r="610">
      <c r="A610" t="str">
        <f>IFERROR(__xludf.DUMMYFUNCTION("""COMPUTED_VALUE"""),"Motorola Moto E6s (4 GB/64 GB)")</f>
        <v>Motorola Moto E6s (4 GB/64 GB)</v>
      </c>
      <c r="B610" t="str">
        <f>IFERROR(__xludf.DUMMYFUNCTION("""COMPUTED_VALUE"""),"")</f>
        <v/>
      </c>
      <c r="C610" t="str">
        <f>IFERROR(__xludf.DUMMYFUNCTION("""COMPUTED_VALUE"""),"")</f>
        <v/>
      </c>
      <c r="D610" t="str">
        <f>IFERROR(__xludf.DUMMYFUNCTION("""COMPUTED_VALUE"""),"")</f>
        <v/>
      </c>
      <c r="E610" t="str">
        <f>IFERROR(__xludf.DUMMYFUNCTION("""COMPUTED_VALUE"""),"")</f>
        <v/>
      </c>
      <c r="F610" t="str">
        <f>IFERROR(__xludf.DUMMYFUNCTION("""COMPUTED_VALUE"""),"")</f>
        <v/>
      </c>
      <c r="G610" t="str">
        <f>IFERROR(__xludf.DUMMYFUNCTION("""COMPUTED_VALUE"""),"")</f>
        <v/>
      </c>
      <c r="H610">
        <f>IFERROR(__xludf.DUMMYFUNCTION("""COMPUTED_VALUE"""),1.0)</f>
        <v>1</v>
      </c>
      <c r="I610">
        <f>IFERROR(__xludf.DUMMYFUNCTION("""COMPUTED_VALUE"""),1.0)</f>
        <v>1</v>
      </c>
      <c r="J610">
        <f>IFERROR(__xludf.DUMMYFUNCTION("""COMPUTED_VALUE"""),2.0)</f>
        <v>2</v>
      </c>
      <c r="L610" s="250" t="str">
        <f>IFERROR(__xludf.DUMMYFUNCTION("""COMPUTED_VALUE"""),"")</f>
        <v/>
      </c>
      <c r="M610" s="250" t="str">
        <f>IFERROR(__xludf.DUMMYFUNCTION("""COMPUTED_VALUE"""),"")</f>
        <v/>
      </c>
      <c r="N610" s="250" t="str">
        <f>IFERROR(__xludf.DUMMYFUNCTION("""COMPUTED_VALUE"""),"")</f>
        <v/>
      </c>
      <c r="O610" s="250" t="str">
        <f>IFERROR(__xludf.DUMMYFUNCTION("""COMPUTED_VALUE"""),"")</f>
        <v/>
      </c>
      <c r="P610" s="250" t="str">
        <f>IFERROR(__xludf.DUMMYFUNCTION("""COMPUTED_VALUE"""),"")</f>
        <v/>
      </c>
      <c r="Q610" s="250" t="str">
        <f>IFERROR(__xludf.DUMMYFUNCTION("""COMPUTED_VALUE"""),"")</f>
        <v/>
      </c>
      <c r="R610" s="250">
        <f>IFERROR(__xludf.DUMMYFUNCTION("""COMPUTED_VALUE"""),2089.0)</f>
        <v>2089</v>
      </c>
      <c r="U610" s="250">
        <f>IFERROR(__xludf.DUMMYFUNCTION("""COMPUTED_VALUE"""),6089.0)</f>
        <v>6089</v>
      </c>
      <c r="V610" s="250">
        <f>IFERROR(__xludf.DUMMYFUNCTION("""COMPUTED_VALUE"""),5789.0)</f>
        <v>5789</v>
      </c>
      <c r="W610" s="250">
        <f>IFERROR(__xludf.DUMMYFUNCTION("""COMPUTED_VALUE"""),5209.0)</f>
        <v>5209</v>
      </c>
      <c r="X610" t="b">
        <f t="shared" ref="X610:Z610" si="1196">ISBLANK(K610)</f>
        <v>1</v>
      </c>
      <c r="Y610" t="b">
        <f t="shared" si="1196"/>
        <v>0</v>
      </c>
      <c r="Z610" t="b">
        <f t="shared" si="1196"/>
        <v>0</v>
      </c>
      <c r="AA610">
        <f t="shared" ref="AA610:AC610" si="1197">IF(X610=FALSE,1,0)</f>
        <v>0</v>
      </c>
      <c r="AB610">
        <f t="shared" si="1197"/>
        <v>1</v>
      </c>
      <c r="AC610">
        <f t="shared" si="1197"/>
        <v>1</v>
      </c>
      <c r="AD610">
        <f t="shared" si="6"/>
        <v>2</v>
      </c>
      <c r="AE610">
        <f t="shared" si="7"/>
        <v>1</v>
      </c>
      <c r="AF610">
        <f>if(iferror(vlookup($A610,'Description Database'!$E$2:$H$951,3,0),0)=TRUE,1,0)</f>
        <v>0</v>
      </c>
      <c r="AG610">
        <f>if(iferror(vlookup($A610,'Description Database'!$E$2:$H$951,4,0),0)=TRUE,1,0)</f>
        <v>0</v>
      </c>
    </row>
    <row r="611">
      <c r="A611" t="str">
        <f>IFERROR(__xludf.DUMMYFUNCTION("""COMPUTED_VALUE"""),"Xiaomi POCO F1 (8 GB/256 GB)")</f>
        <v>Xiaomi POCO F1 (8 GB/256 GB)</v>
      </c>
      <c r="B611" t="str">
        <f>IFERROR(__xludf.DUMMYFUNCTION("""COMPUTED_VALUE"""),"")</f>
        <v/>
      </c>
      <c r="C611" t="str">
        <f>IFERROR(__xludf.DUMMYFUNCTION("""COMPUTED_VALUE"""),"")</f>
        <v/>
      </c>
      <c r="D611" t="str">
        <f>IFERROR(__xludf.DUMMYFUNCTION("""COMPUTED_VALUE"""),"")</f>
        <v/>
      </c>
      <c r="E611" t="str">
        <f>IFERROR(__xludf.DUMMYFUNCTION("""COMPUTED_VALUE"""),"")</f>
        <v/>
      </c>
      <c r="F611" t="str">
        <f>IFERROR(__xludf.DUMMYFUNCTION("""COMPUTED_VALUE"""),"")</f>
        <v/>
      </c>
      <c r="G611" t="str">
        <f>IFERROR(__xludf.DUMMYFUNCTION("""COMPUTED_VALUE"""),"")</f>
        <v/>
      </c>
      <c r="H611" t="str">
        <f>IFERROR(__xludf.DUMMYFUNCTION("""COMPUTED_VALUE"""),"")</f>
        <v/>
      </c>
      <c r="I611">
        <f>IFERROR(__xludf.DUMMYFUNCTION("""COMPUTED_VALUE"""),1.0)</f>
        <v>1</v>
      </c>
      <c r="J611">
        <f>IFERROR(__xludf.DUMMYFUNCTION("""COMPUTED_VALUE"""),1.0)</f>
        <v>1</v>
      </c>
      <c r="L611" s="250" t="str">
        <f>IFERROR(__xludf.DUMMYFUNCTION("""COMPUTED_VALUE"""),"")</f>
        <v/>
      </c>
      <c r="M611" s="250" t="str">
        <f>IFERROR(__xludf.DUMMYFUNCTION("""COMPUTED_VALUE"""),"")</f>
        <v/>
      </c>
      <c r="N611" s="250" t="str">
        <f>IFERROR(__xludf.DUMMYFUNCTION("""COMPUTED_VALUE"""),"")</f>
        <v/>
      </c>
      <c r="O611" s="250" t="str">
        <f>IFERROR(__xludf.DUMMYFUNCTION("""COMPUTED_VALUE"""),"")</f>
        <v/>
      </c>
      <c r="P611" s="250" t="str">
        <f>IFERROR(__xludf.DUMMYFUNCTION("""COMPUTED_VALUE"""),"")</f>
        <v/>
      </c>
      <c r="Q611" s="250" t="str">
        <f>IFERROR(__xludf.DUMMYFUNCTION("""COMPUTED_VALUE"""),"")</f>
        <v/>
      </c>
      <c r="R611" s="250" t="str">
        <f>IFERROR(__xludf.DUMMYFUNCTION("""COMPUTED_VALUE"""),"")</f>
        <v/>
      </c>
      <c r="U611" s="250">
        <f>IFERROR(__xludf.DUMMYFUNCTION("""COMPUTED_VALUE"""),11549.0)</f>
        <v>11549</v>
      </c>
      <c r="V611" s="250">
        <f>IFERROR(__xludf.DUMMYFUNCTION("""COMPUTED_VALUE"""),10999.0)</f>
        <v>10999</v>
      </c>
      <c r="W611" s="250">
        <f>IFERROR(__xludf.DUMMYFUNCTION("""COMPUTED_VALUE"""),9899.0)</f>
        <v>9899</v>
      </c>
      <c r="X611" t="b">
        <f t="shared" ref="X611:Z611" si="1198">ISBLANK(K611)</f>
        <v>1</v>
      </c>
      <c r="Y611" t="b">
        <f t="shared" si="1198"/>
        <v>0</v>
      </c>
      <c r="Z611" t="b">
        <f t="shared" si="1198"/>
        <v>0</v>
      </c>
      <c r="AA611">
        <f t="shared" ref="AA611:AC611" si="1199">IF(X611=FALSE,1,0)</f>
        <v>0</v>
      </c>
      <c r="AB611">
        <f t="shared" si="1199"/>
        <v>1</v>
      </c>
      <c r="AC611">
        <f t="shared" si="1199"/>
        <v>1</v>
      </c>
      <c r="AD611">
        <f t="shared" si="6"/>
        <v>2</v>
      </c>
      <c r="AE611">
        <f t="shared" si="7"/>
        <v>1</v>
      </c>
      <c r="AF611">
        <f>if(iferror(vlookup($A611,'Description Database'!$E$2:$H$951,3,0),0)=TRUE,1,0)</f>
        <v>0</v>
      </c>
      <c r="AG611">
        <f>if(iferror(vlookup($A611,'Description Database'!$E$2:$H$951,4,0),0)=TRUE,1,0)</f>
        <v>0</v>
      </c>
    </row>
    <row r="612">
      <c r="A612" t="str">
        <f>IFERROR(__xludf.DUMMYFUNCTION("""COMPUTED_VALUE"""),"Xiaomi POCO F1(8 GB 256GB)")</f>
        <v>Xiaomi POCO F1(8 GB 256GB)</v>
      </c>
      <c r="B612" t="str">
        <f>IFERROR(__xludf.DUMMYFUNCTION("""COMPUTED_VALUE"""),"")</f>
        <v/>
      </c>
      <c r="C612" t="str">
        <f>IFERROR(__xludf.DUMMYFUNCTION("""COMPUTED_VALUE"""),"")</f>
        <v/>
      </c>
      <c r="D612" t="str">
        <f>IFERROR(__xludf.DUMMYFUNCTION("""COMPUTED_VALUE"""),"")</f>
        <v/>
      </c>
      <c r="E612" t="str">
        <f>IFERROR(__xludf.DUMMYFUNCTION("""COMPUTED_VALUE"""),"")</f>
        <v/>
      </c>
      <c r="F612" t="str">
        <f>IFERROR(__xludf.DUMMYFUNCTION("""COMPUTED_VALUE"""),"")</f>
        <v/>
      </c>
      <c r="G612" t="str">
        <f>IFERROR(__xludf.DUMMYFUNCTION("""COMPUTED_VALUE"""),"")</f>
        <v/>
      </c>
      <c r="H612" t="str">
        <f>IFERROR(__xludf.DUMMYFUNCTION("""COMPUTED_VALUE"""),"")</f>
        <v/>
      </c>
      <c r="I612" t="str">
        <f>IFERROR(__xludf.DUMMYFUNCTION("""COMPUTED_VALUE"""),"")</f>
        <v/>
      </c>
      <c r="J612">
        <f>IFERROR(__xludf.DUMMYFUNCTION("""COMPUTED_VALUE"""),0.0)</f>
        <v>0</v>
      </c>
      <c r="L612" s="250" t="str">
        <f>IFERROR(__xludf.DUMMYFUNCTION("""COMPUTED_VALUE"""),"")</f>
        <v/>
      </c>
      <c r="M612" s="250" t="str">
        <f>IFERROR(__xludf.DUMMYFUNCTION("""COMPUTED_VALUE"""),"")</f>
        <v/>
      </c>
      <c r="N612" s="250" t="str">
        <f>IFERROR(__xludf.DUMMYFUNCTION("""COMPUTED_VALUE"""),"")</f>
        <v/>
      </c>
      <c r="O612" s="250" t="str">
        <f>IFERROR(__xludf.DUMMYFUNCTION("""COMPUTED_VALUE"""),"")</f>
        <v/>
      </c>
      <c r="P612" s="250" t="str">
        <f>IFERROR(__xludf.DUMMYFUNCTION("""COMPUTED_VALUE"""),"")</f>
        <v/>
      </c>
      <c r="Q612" s="250" t="str">
        <f>IFERROR(__xludf.DUMMYFUNCTION("""COMPUTED_VALUE"""),"")</f>
        <v/>
      </c>
      <c r="R612" s="250" t="str">
        <f>IFERROR(__xludf.DUMMYFUNCTION("""COMPUTED_VALUE"""),"")</f>
        <v/>
      </c>
      <c r="U612" s="250" t="str">
        <f>IFERROR(__xludf.DUMMYFUNCTION("""COMPUTED_VALUE"""),"#N/A")</f>
        <v>#N/A</v>
      </c>
      <c r="V612" s="250" t="str">
        <f>IFERROR(__xludf.DUMMYFUNCTION("""COMPUTED_VALUE"""),"#N/A")</f>
        <v>#N/A</v>
      </c>
      <c r="W612" s="250" t="str">
        <f>IFERROR(__xludf.DUMMYFUNCTION("""COMPUTED_VALUE"""),"#N/A")</f>
        <v>#N/A</v>
      </c>
      <c r="X612" t="b">
        <f t="shared" ref="X612:Z612" si="1200">ISBLANK(K612)</f>
        <v>1</v>
      </c>
      <c r="Y612" t="b">
        <f t="shared" si="1200"/>
        <v>0</v>
      </c>
      <c r="Z612" t="b">
        <f t="shared" si="1200"/>
        <v>0</v>
      </c>
      <c r="AA612">
        <f t="shared" ref="AA612:AC612" si="1201">IF(X612=FALSE,1,0)</f>
        <v>0</v>
      </c>
      <c r="AB612">
        <f t="shared" si="1201"/>
        <v>1</v>
      </c>
      <c r="AC612">
        <f t="shared" si="1201"/>
        <v>1</v>
      </c>
      <c r="AD612">
        <f t="shared" si="6"/>
        <v>2</v>
      </c>
      <c r="AE612">
        <f t="shared" si="7"/>
        <v>1</v>
      </c>
      <c r="AF612">
        <f>if(iferror(vlookup($A612,'Description Database'!$E$2:$H$951,3,0),0)=TRUE,1,0)</f>
        <v>0</v>
      </c>
      <c r="AG612">
        <f>if(iferror(vlookup($A612,'Description Database'!$E$2:$H$951,4,0),0)=TRUE,1,0)</f>
        <v>0</v>
      </c>
    </row>
    <row r="613">
      <c r="A613" t="str">
        <f>IFERROR(__xludf.DUMMYFUNCTION("""COMPUTED_VALUE"""),"Samsung Galaxy C7 4 GB/64 GB")</f>
        <v>Samsung Galaxy C7 4 GB/64 GB</v>
      </c>
      <c r="B613" t="str">
        <f>IFERROR(__xludf.DUMMYFUNCTION("""COMPUTED_VALUE"""),"")</f>
        <v/>
      </c>
      <c r="C613" t="str">
        <f>IFERROR(__xludf.DUMMYFUNCTION("""COMPUTED_VALUE"""),"")</f>
        <v/>
      </c>
      <c r="D613" t="str">
        <f>IFERROR(__xludf.DUMMYFUNCTION("""COMPUTED_VALUE"""),"")</f>
        <v/>
      </c>
      <c r="E613" t="str">
        <f>IFERROR(__xludf.DUMMYFUNCTION("""COMPUTED_VALUE"""),"")</f>
        <v/>
      </c>
      <c r="F613" t="str">
        <f>IFERROR(__xludf.DUMMYFUNCTION("""COMPUTED_VALUE"""),"")</f>
        <v/>
      </c>
      <c r="G613" t="str">
        <f>IFERROR(__xludf.DUMMYFUNCTION("""COMPUTED_VALUE"""),"")</f>
        <v/>
      </c>
      <c r="H613" t="str">
        <f>IFERROR(__xludf.DUMMYFUNCTION("""COMPUTED_VALUE"""),"")</f>
        <v/>
      </c>
      <c r="I613" t="str">
        <f>IFERROR(__xludf.DUMMYFUNCTION("""COMPUTED_VALUE"""),"")</f>
        <v/>
      </c>
      <c r="J613">
        <f>IFERROR(__xludf.DUMMYFUNCTION("""COMPUTED_VALUE"""),0.0)</f>
        <v>0</v>
      </c>
      <c r="L613" s="250" t="str">
        <f>IFERROR(__xludf.DUMMYFUNCTION("""COMPUTED_VALUE"""),"")</f>
        <v/>
      </c>
      <c r="M613" s="250" t="str">
        <f>IFERROR(__xludf.DUMMYFUNCTION("""COMPUTED_VALUE"""),"")</f>
        <v/>
      </c>
      <c r="N613" s="250" t="str">
        <f>IFERROR(__xludf.DUMMYFUNCTION("""COMPUTED_VALUE"""),"")</f>
        <v/>
      </c>
      <c r="O613" s="250" t="str">
        <f>IFERROR(__xludf.DUMMYFUNCTION("""COMPUTED_VALUE"""),"")</f>
        <v/>
      </c>
      <c r="P613" s="250" t="str">
        <f>IFERROR(__xludf.DUMMYFUNCTION("""COMPUTED_VALUE"""),"")</f>
        <v/>
      </c>
      <c r="Q613" s="250" t="str">
        <f>IFERROR(__xludf.DUMMYFUNCTION("""COMPUTED_VALUE"""),"")</f>
        <v/>
      </c>
      <c r="R613" s="250" t="str">
        <f>IFERROR(__xludf.DUMMYFUNCTION("""COMPUTED_VALUE"""),"")</f>
        <v/>
      </c>
      <c r="U613" s="250">
        <f>IFERROR(__xludf.DUMMYFUNCTION("""COMPUTED_VALUE"""),1919.0)</f>
        <v>1919</v>
      </c>
      <c r="V613" s="250">
        <f>IFERROR(__xludf.DUMMYFUNCTION("""COMPUTED_VALUE"""),1819.0)</f>
        <v>1819</v>
      </c>
      <c r="W613" s="250">
        <f>IFERROR(__xludf.DUMMYFUNCTION("""COMPUTED_VALUE"""),1639.0)</f>
        <v>1639</v>
      </c>
      <c r="X613" t="b">
        <f t="shared" ref="X613:Z613" si="1202">ISBLANK(K613)</f>
        <v>1</v>
      </c>
      <c r="Y613" t="b">
        <f t="shared" si="1202"/>
        <v>0</v>
      </c>
      <c r="Z613" t="b">
        <f t="shared" si="1202"/>
        <v>0</v>
      </c>
      <c r="AA613">
        <f t="shared" ref="AA613:AC613" si="1203">IF(X613=FALSE,1,0)</f>
        <v>0</v>
      </c>
      <c r="AB613">
        <f t="shared" si="1203"/>
        <v>1</v>
      </c>
      <c r="AC613">
        <f t="shared" si="1203"/>
        <v>1</v>
      </c>
      <c r="AD613">
        <f t="shared" si="6"/>
        <v>2</v>
      </c>
      <c r="AE613">
        <f t="shared" si="7"/>
        <v>1</v>
      </c>
      <c r="AF613">
        <f>if(iferror(vlookup($A613,'Description Database'!$E$2:$H$951,3,0),0)=TRUE,1,0)</f>
        <v>0</v>
      </c>
      <c r="AG613">
        <f>if(iferror(vlookup($A613,'Description Database'!$E$2:$H$951,4,0),0)=TRUE,1,0)</f>
        <v>0</v>
      </c>
    </row>
    <row r="614">
      <c r="A614" t="str">
        <f>IFERROR(__xludf.DUMMYFUNCTION("""COMPUTED_VALUE"""),"Nokia 8 (4 GB/64 GB)")</f>
        <v>Nokia 8 (4 GB/64 GB)</v>
      </c>
      <c r="B614" t="str">
        <f>IFERROR(__xludf.DUMMYFUNCTION("""COMPUTED_VALUE"""),"")</f>
        <v/>
      </c>
      <c r="C614" t="str">
        <f>IFERROR(__xludf.DUMMYFUNCTION("""COMPUTED_VALUE"""),"")</f>
        <v/>
      </c>
      <c r="D614" t="str">
        <f>IFERROR(__xludf.DUMMYFUNCTION("""COMPUTED_VALUE"""),"")</f>
        <v/>
      </c>
      <c r="E614" t="str">
        <f>IFERROR(__xludf.DUMMYFUNCTION("""COMPUTED_VALUE"""),"")</f>
        <v/>
      </c>
      <c r="F614" t="str">
        <f>IFERROR(__xludf.DUMMYFUNCTION("""COMPUTED_VALUE"""),"")</f>
        <v/>
      </c>
      <c r="G614" t="str">
        <f>IFERROR(__xludf.DUMMYFUNCTION("""COMPUTED_VALUE"""),"")</f>
        <v/>
      </c>
      <c r="H614" t="str">
        <f>IFERROR(__xludf.DUMMYFUNCTION("""COMPUTED_VALUE"""),"")</f>
        <v/>
      </c>
      <c r="I614">
        <f>IFERROR(__xludf.DUMMYFUNCTION("""COMPUTED_VALUE"""),3.0)</f>
        <v>3</v>
      </c>
      <c r="J614">
        <f>IFERROR(__xludf.DUMMYFUNCTION("""COMPUTED_VALUE"""),3.0)</f>
        <v>3</v>
      </c>
      <c r="L614" s="250" t="str">
        <f>IFERROR(__xludf.DUMMYFUNCTION("""COMPUTED_VALUE"""),"")</f>
        <v/>
      </c>
      <c r="M614" s="250" t="str">
        <f>IFERROR(__xludf.DUMMYFUNCTION("""COMPUTED_VALUE"""),"")</f>
        <v/>
      </c>
      <c r="N614" s="250" t="str">
        <f>IFERROR(__xludf.DUMMYFUNCTION("""COMPUTED_VALUE"""),"")</f>
        <v/>
      </c>
      <c r="O614" s="250" t="str">
        <f>IFERROR(__xludf.DUMMYFUNCTION("""COMPUTED_VALUE"""),"")</f>
        <v/>
      </c>
      <c r="P614" s="250" t="str">
        <f>IFERROR(__xludf.DUMMYFUNCTION("""COMPUTED_VALUE"""),"")</f>
        <v/>
      </c>
      <c r="Q614" s="250" t="str">
        <f>IFERROR(__xludf.DUMMYFUNCTION("""COMPUTED_VALUE"""),"")</f>
        <v/>
      </c>
      <c r="R614" s="250" t="str">
        <f>IFERROR(__xludf.DUMMYFUNCTION("""COMPUTED_VALUE"""),"")</f>
        <v/>
      </c>
      <c r="U614" s="250">
        <f>IFERROR(__xludf.DUMMYFUNCTION("""COMPUTED_VALUE"""),5309.0)</f>
        <v>5309</v>
      </c>
      <c r="V614" s="250">
        <f>IFERROR(__xludf.DUMMYFUNCTION("""COMPUTED_VALUE"""),5049.0)</f>
        <v>5049</v>
      </c>
      <c r="W614" s="250">
        <f>IFERROR(__xludf.DUMMYFUNCTION("""COMPUTED_VALUE"""),4559.0)</f>
        <v>4559</v>
      </c>
      <c r="X614" t="b">
        <f t="shared" ref="X614:Z614" si="1204">ISBLANK(K614)</f>
        <v>1</v>
      </c>
      <c r="Y614" t="b">
        <f t="shared" si="1204"/>
        <v>0</v>
      </c>
      <c r="Z614" t="b">
        <f t="shared" si="1204"/>
        <v>0</v>
      </c>
      <c r="AA614">
        <f t="shared" ref="AA614:AC614" si="1205">IF(X614=FALSE,1,0)</f>
        <v>0</v>
      </c>
      <c r="AB614">
        <f t="shared" si="1205"/>
        <v>1</v>
      </c>
      <c r="AC614">
        <f t="shared" si="1205"/>
        <v>1</v>
      </c>
      <c r="AD614">
        <f t="shared" si="6"/>
        <v>2</v>
      </c>
      <c r="AE614">
        <f t="shared" si="7"/>
        <v>1</v>
      </c>
      <c r="AF614">
        <f>if(iferror(vlookup($A614,'Description Database'!$E$2:$H$951,3,0),0)=TRUE,1,0)</f>
        <v>0</v>
      </c>
      <c r="AG614">
        <f>if(iferror(vlookup($A614,'Description Database'!$E$2:$H$951,4,0),0)=TRUE,1,0)</f>
        <v>0</v>
      </c>
    </row>
    <row r="615">
      <c r="A615" t="str">
        <f>IFERROR(__xludf.DUMMYFUNCTION("""COMPUTED_VALUE"""),"Vivo V9 Pro (4 GB/64 GB)")</f>
        <v>Vivo V9 Pro (4 GB/64 GB)</v>
      </c>
      <c r="B615" t="str">
        <f>IFERROR(__xludf.DUMMYFUNCTION("""COMPUTED_VALUE"""),"")</f>
        <v/>
      </c>
      <c r="C615" t="str">
        <f>IFERROR(__xludf.DUMMYFUNCTION("""COMPUTED_VALUE"""),"")</f>
        <v/>
      </c>
      <c r="D615" t="str">
        <f>IFERROR(__xludf.DUMMYFUNCTION("""COMPUTED_VALUE"""),"")</f>
        <v/>
      </c>
      <c r="E615" t="str">
        <f>IFERROR(__xludf.DUMMYFUNCTION("""COMPUTED_VALUE"""),"")</f>
        <v/>
      </c>
      <c r="F615">
        <f>IFERROR(__xludf.DUMMYFUNCTION("""COMPUTED_VALUE"""),2.0)</f>
        <v>2</v>
      </c>
      <c r="G615">
        <f>IFERROR(__xludf.DUMMYFUNCTION("""COMPUTED_VALUE"""),1.0)</f>
        <v>1</v>
      </c>
      <c r="H615" t="str">
        <f>IFERROR(__xludf.DUMMYFUNCTION("""COMPUTED_VALUE"""),"")</f>
        <v/>
      </c>
      <c r="I615" t="str">
        <f>IFERROR(__xludf.DUMMYFUNCTION("""COMPUTED_VALUE"""),"")</f>
        <v/>
      </c>
      <c r="J615">
        <f>IFERROR(__xludf.DUMMYFUNCTION("""COMPUTED_VALUE"""),3.0)</f>
        <v>3</v>
      </c>
      <c r="L615" s="250" t="str">
        <f>IFERROR(__xludf.DUMMYFUNCTION("""COMPUTED_VALUE"""),"")</f>
        <v/>
      </c>
      <c r="M615" s="250" t="str">
        <f>IFERROR(__xludf.DUMMYFUNCTION("""COMPUTED_VALUE"""),"")</f>
        <v/>
      </c>
      <c r="N615" s="250" t="str">
        <f>IFERROR(__xludf.DUMMYFUNCTION("""COMPUTED_VALUE"""),"")</f>
        <v/>
      </c>
      <c r="O615" s="250" t="str">
        <f>IFERROR(__xludf.DUMMYFUNCTION("""COMPUTED_VALUE"""),"")</f>
        <v/>
      </c>
      <c r="P615" s="250">
        <f>IFERROR(__xludf.DUMMYFUNCTION("""COMPUTED_VALUE"""),5329.0)</f>
        <v>5329</v>
      </c>
      <c r="Q615" s="250">
        <f>IFERROR(__xludf.DUMMYFUNCTION("""COMPUTED_VALUE"""),3869.0)</f>
        <v>3869</v>
      </c>
      <c r="R615" s="250" t="str">
        <f>IFERROR(__xludf.DUMMYFUNCTION("""COMPUTED_VALUE"""),"")</f>
        <v/>
      </c>
      <c r="U615" s="250">
        <f>IFERROR(__xludf.DUMMYFUNCTION("""COMPUTED_VALUE"""),8169.0)</f>
        <v>8169</v>
      </c>
      <c r="V615" s="250">
        <f>IFERROR(__xludf.DUMMYFUNCTION("""COMPUTED_VALUE"""),7769.0)</f>
        <v>7769</v>
      </c>
      <c r="W615" s="250">
        <f>IFERROR(__xludf.DUMMYFUNCTION("""COMPUTED_VALUE"""),6999.0)</f>
        <v>6999</v>
      </c>
      <c r="X615" t="b">
        <f t="shared" ref="X615:Z615" si="1206">ISBLANK(K615)</f>
        <v>1</v>
      </c>
      <c r="Y615" t="b">
        <f t="shared" si="1206"/>
        <v>0</v>
      </c>
      <c r="Z615" t="b">
        <f t="shared" si="1206"/>
        <v>0</v>
      </c>
      <c r="AA615">
        <f t="shared" ref="AA615:AC615" si="1207">IF(X615=FALSE,1,0)</f>
        <v>0</v>
      </c>
      <c r="AB615">
        <f t="shared" si="1207"/>
        <v>1</v>
      </c>
      <c r="AC615">
        <f t="shared" si="1207"/>
        <v>1</v>
      </c>
      <c r="AD615">
        <f t="shared" si="6"/>
        <v>2</v>
      </c>
      <c r="AE615">
        <f t="shared" si="7"/>
        <v>1</v>
      </c>
      <c r="AF615">
        <f>if(iferror(vlookup($A615,'Description Database'!$E$2:$H$951,3,0),0)=TRUE,1,0)</f>
        <v>0</v>
      </c>
      <c r="AG615">
        <f>if(iferror(vlookup($A615,'Description Database'!$E$2:$H$951,4,0),0)=TRUE,1,0)</f>
        <v>1</v>
      </c>
    </row>
    <row r="616">
      <c r="A616" t="str">
        <f>IFERROR(__xludf.DUMMYFUNCTION("""COMPUTED_VALUE"""),"Infinix Smart 2 (3 GB/32 GB)")</f>
        <v>Infinix Smart 2 (3 GB/32 GB)</v>
      </c>
      <c r="B616" t="str">
        <f>IFERROR(__xludf.DUMMYFUNCTION("""COMPUTED_VALUE"""),"")</f>
        <v/>
      </c>
      <c r="C616" t="str">
        <f>IFERROR(__xludf.DUMMYFUNCTION("""COMPUTED_VALUE"""),"")</f>
        <v/>
      </c>
      <c r="D616" t="str">
        <f>IFERROR(__xludf.DUMMYFUNCTION("""COMPUTED_VALUE"""),"")</f>
        <v/>
      </c>
      <c r="E616" t="str">
        <f>IFERROR(__xludf.DUMMYFUNCTION("""COMPUTED_VALUE"""),"")</f>
        <v/>
      </c>
      <c r="F616" t="str">
        <f>IFERROR(__xludf.DUMMYFUNCTION("""COMPUTED_VALUE"""),"")</f>
        <v/>
      </c>
      <c r="G616" t="str">
        <f>IFERROR(__xludf.DUMMYFUNCTION("""COMPUTED_VALUE"""),"")</f>
        <v/>
      </c>
      <c r="H616" t="str">
        <f>IFERROR(__xludf.DUMMYFUNCTION("""COMPUTED_VALUE"""),"")</f>
        <v/>
      </c>
      <c r="I616" t="str">
        <f>IFERROR(__xludf.DUMMYFUNCTION("""COMPUTED_VALUE"""),"")</f>
        <v/>
      </c>
      <c r="J616">
        <f>IFERROR(__xludf.DUMMYFUNCTION("""COMPUTED_VALUE"""),0.0)</f>
        <v>0</v>
      </c>
      <c r="L616" s="250" t="str">
        <f>IFERROR(__xludf.DUMMYFUNCTION("""COMPUTED_VALUE"""),"")</f>
        <v/>
      </c>
      <c r="M616" s="250" t="str">
        <f>IFERROR(__xludf.DUMMYFUNCTION("""COMPUTED_VALUE"""),"")</f>
        <v/>
      </c>
      <c r="N616" s="250" t="str">
        <f>IFERROR(__xludf.DUMMYFUNCTION("""COMPUTED_VALUE"""),"")</f>
        <v/>
      </c>
      <c r="O616" s="250" t="str">
        <f>IFERROR(__xludf.DUMMYFUNCTION("""COMPUTED_VALUE"""),"")</f>
        <v/>
      </c>
      <c r="P616" s="250" t="str">
        <f>IFERROR(__xludf.DUMMYFUNCTION("""COMPUTED_VALUE"""),"")</f>
        <v/>
      </c>
      <c r="Q616" s="250" t="str">
        <f>IFERROR(__xludf.DUMMYFUNCTION("""COMPUTED_VALUE"""),"")</f>
        <v/>
      </c>
      <c r="R616" s="250" t="str">
        <f>IFERROR(__xludf.DUMMYFUNCTION("""COMPUTED_VALUE"""),"")</f>
        <v/>
      </c>
      <c r="U616" s="250">
        <f>IFERROR(__xludf.DUMMYFUNCTION("""COMPUTED_VALUE"""),3899.0)</f>
        <v>3899</v>
      </c>
      <c r="V616" s="250">
        <f>IFERROR(__xludf.DUMMYFUNCTION("""COMPUTED_VALUE"""),3709.0)</f>
        <v>3709</v>
      </c>
      <c r="W616" s="250">
        <f>IFERROR(__xludf.DUMMYFUNCTION("""COMPUTED_VALUE"""),3339.0)</f>
        <v>3339</v>
      </c>
      <c r="X616" t="b">
        <f t="shared" ref="X616:Z616" si="1208">ISBLANK(K616)</f>
        <v>1</v>
      </c>
      <c r="Y616" t="b">
        <f t="shared" si="1208"/>
        <v>0</v>
      </c>
      <c r="Z616" t="b">
        <f t="shared" si="1208"/>
        <v>0</v>
      </c>
      <c r="AA616">
        <f t="shared" ref="AA616:AC616" si="1209">IF(X616=FALSE,1,0)</f>
        <v>0</v>
      </c>
      <c r="AB616">
        <f t="shared" si="1209"/>
        <v>1</v>
      </c>
      <c r="AC616">
        <f t="shared" si="1209"/>
        <v>1</v>
      </c>
      <c r="AD616">
        <f t="shared" si="6"/>
        <v>2</v>
      </c>
      <c r="AE616">
        <f t="shared" si="7"/>
        <v>1</v>
      </c>
      <c r="AF616">
        <f>if(iferror(vlookup($A616,'Description Database'!$E$2:$H$951,3,0),0)=TRUE,1,0)</f>
        <v>0</v>
      </c>
      <c r="AG616">
        <f>if(iferror(vlookup($A616,'Description Database'!$E$2:$H$951,4,0),0)=TRUE,1,0)</f>
        <v>0</v>
      </c>
    </row>
    <row r="617">
      <c r="A617" t="str">
        <f>IFERROR(__xludf.DUMMYFUNCTION("""COMPUTED_VALUE"""),"Samsung GALAXY A50S (4 GB/128 GB)")</f>
        <v>Samsung GALAXY A50S (4 GB/128 GB)</v>
      </c>
      <c r="B617" t="str">
        <f>IFERROR(__xludf.DUMMYFUNCTION("""COMPUTED_VALUE"""),"")</f>
        <v/>
      </c>
      <c r="C617" t="str">
        <f>IFERROR(__xludf.DUMMYFUNCTION("""COMPUTED_VALUE"""),"")</f>
        <v/>
      </c>
      <c r="D617">
        <f>IFERROR(__xludf.DUMMYFUNCTION("""COMPUTED_VALUE"""),1.0)</f>
        <v>1</v>
      </c>
      <c r="E617" t="str">
        <f>IFERROR(__xludf.DUMMYFUNCTION("""COMPUTED_VALUE"""),"")</f>
        <v/>
      </c>
      <c r="F617" t="str">
        <f>IFERROR(__xludf.DUMMYFUNCTION("""COMPUTED_VALUE"""),"")</f>
        <v/>
      </c>
      <c r="G617" t="str">
        <f>IFERROR(__xludf.DUMMYFUNCTION("""COMPUTED_VALUE"""),"")</f>
        <v/>
      </c>
      <c r="H617" t="str">
        <f>IFERROR(__xludf.DUMMYFUNCTION("""COMPUTED_VALUE"""),"")</f>
        <v/>
      </c>
      <c r="I617">
        <f>IFERROR(__xludf.DUMMYFUNCTION("""COMPUTED_VALUE"""),13.0)</f>
        <v>13</v>
      </c>
      <c r="J617">
        <f>IFERROR(__xludf.DUMMYFUNCTION("""COMPUTED_VALUE"""),14.0)</f>
        <v>14</v>
      </c>
      <c r="L617" s="250" t="str">
        <f>IFERROR(__xludf.DUMMYFUNCTION("""COMPUTED_VALUE"""),"")</f>
        <v/>
      </c>
      <c r="M617" s="250" t="str">
        <f>IFERROR(__xludf.DUMMYFUNCTION("""COMPUTED_VALUE"""),"")</f>
        <v/>
      </c>
      <c r="N617" s="250">
        <f>IFERROR(__xludf.DUMMYFUNCTION("""COMPUTED_VALUE"""),7179.0)</f>
        <v>7179</v>
      </c>
      <c r="O617" s="250" t="str">
        <f>IFERROR(__xludf.DUMMYFUNCTION("""COMPUTED_VALUE"""),"")</f>
        <v/>
      </c>
      <c r="P617" s="250" t="str">
        <f>IFERROR(__xludf.DUMMYFUNCTION("""COMPUTED_VALUE"""),"")</f>
        <v/>
      </c>
      <c r="Q617" s="250" t="str">
        <f>IFERROR(__xludf.DUMMYFUNCTION("""COMPUTED_VALUE"""),"")</f>
        <v/>
      </c>
      <c r="R617" s="250" t="str">
        <f>IFERROR(__xludf.DUMMYFUNCTION("""COMPUTED_VALUE"""),"")</f>
        <v/>
      </c>
      <c r="U617" s="250">
        <f>IFERROR(__xludf.DUMMYFUNCTION("""COMPUTED_VALUE"""),9209.0)</f>
        <v>9209</v>
      </c>
      <c r="V617" s="250">
        <f>IFERROR(__xludf.DUMMYFUNCTION("""COMPUTED_VALUE"""),8769.0)</f>
        <v>8769</v>
      </c>
      <c r="W617" s="250">
        <f>IFERROR(__xludf.DUMMYFUNCTION("""COMPUTED_VALUE"""),7899.0)</f>
        <v>7899</v>
      </c>
      <c r="X617" t="b">
        <f t="shared" ref="X617:Z617" si="1210">ISBLANK(K617)</f>
        <v>1</v>
      </c>
      <c r="Y617" t="b">
        <f t="shared" si="1210"/>
        <v>0</v>
      </c>
      <c r="Z617" t="b">
        <f t="shared" si="1210"/>
        <v>0</v>
      </c>
      <c r="AA617">
        <f t="shared" ref="AA617:AC617" si="1211">IF(X617=FALSE,1,0)</f>
        <v>0</v>
      </c>
      <c r="AB617">
        <f t="shared" si="1211"/>
        <v>1</v>
      </c>
      <c r="AC617">
        <f t="shared" si="1211"/>
        <v>1</v>
      </c>
      <c r="AD617">
        <f t="shared" si="6"/>
        <v>2</v>
      </c>
      <c r="AE617">
        <f t="shared" si="7"/>
        <v>1</v>
      </c>
      <c r="AF617">
        <f>if(iferror(vlookup($A617,'Description Database'!$E$2:$H$951,3,0),0)=TRUE,1,0)</f>
        <v>0</v>
      </c>
      <c r="AG617">
        <f>if(iferror(vlookup($A617,'Description Database'!$E$2:$H$951,4,0),0)=TRUE,1,0)</f>
        <v>0</v>
      </c>
    </row>
    <row r="618">
      <c r="A618" t="str">
        <f>IFERROR(__xludf.DUMMYFUNCTION("""COMPUTED_VALUE"""),"Samsung Galaxy A5 2017 (3 GB/32 GB)")</f>
        <v>Samsung Galaxy A5 2017 (3 GB/32 GB)</v>
      </c>
      <c r="B618" t="str">
        <f>IFERROR(__xludf.DUMMYFUNCTION("""COMPUTED_VALUE"""),"")</f>
        <v/>
      </c>
      <c r="C618" t="str">
        <f>IFERROR(__xludf.DUMMYFUNCTION("""COMPUTED_VALUE"""),"")</f>
        <v/>
      </c>
      <c r="D618" t="str">
        <f>IFERROR(__xludf.DUMMYFUNCTION("""COMPUTED_VALUE"""),"")</f>
        <v/>
      </c>
      <c r="E618" t="str">
        <f>IFERROR(__xludf.DUMMYFUNCTION("""COMPUTED_VALUE"""),"")</f>
        <v/>
      </c>
      <c r="F618" t="str">
        <f>IFERROR(__xludf.DUMMYFUNCTION("""COMPUTED_VALUE"""),"")</f>
        <v/>
      </c>
      <c r="G618" t="str">
        <f>IFERROR(__xludf.DUMMYFUNCTION("""COMPUTED_VALUE"""),"")</f>
        <v/>
      </c>
      <c r="H618" t="str">
        <f>IFERROR(__xludf.DUMMYFUNCTION("""COMPUTED_VALUE"""),"")</f>
        <v/>
      </c>
      <c r="I618" t="str">
        <f>IFERROR(__xludf.DUMMYFUNCTION("""COMPUTED_VALUE"""),"")</f>
        <v/>
      </c>
      <c r="J618">
        <f>IFERROR(__xludf.DUMMYFUNCTION("""COMPUTED_VALUE"""),0.0)</f>
        <v>0</v>
      </c>
      <c r="L618" s="250" t="str">
        <f>IFERROR(__xludf.DUMMYFUNCTION("""COMPUTED_VALUE"""),"")</f>
        <v/>
      </c>
      <c r="M618" s="250" t="str">
        <f>IFERROR(__xludf.DUMMYFUNCTION("""COMPUTED_VALUE"""),"")</f>
        <v/>
      </c>
      <c r="N618" s="250" t="str">
        <f>IFERROR(__xludf.DUMMYFUNCTION("""COMPUTED_VALUE"""),"")</f>
        <v/>
      </c>
      <c r="O618" s="250" t="str">
        <f>IFERROR(__xludf.DUMMYFUNCTION("""COMPUTED_VALUE"""),"")</f>
        <v/>
      </c>
      <c r="P618" s="250" t="str">
        <f>IFERROR(__xludf.DUMMYFUNCTION("""COMPUTED_VALUE"""),"")</f>
        <v/>
      </c>
      <c r="Q618" s="250" t="str">
        <f>IFERROR(__xludf.DUMMYFUNCTION("""COMPUTED_VALUE"""),"")</f>
        <v/>
      </c>
      <c r="R618" s="250" t="str">
        <f>IFERROR(__xludf.DUMMYFUNCTION("""COMPUTED_VALUE"""),"")</f>
        <v/>
      </c>
      <c r="U618" s="250">
        <f>IFERROR(__xludf.DUMMYFUNCTION("""COMPUTED_VALUE"""),4849.0)</f>
        <v>4849</v>
      </c>
      <c r="V618" s="250">
        <f>IFERROR(__xludf.DUMMYFUNCTION("""COMPUTED_VALUE"""),4619.0)</f>
        <v>4619</v>
      </c>
      <c r="W618" s="250">
        <f>IFERROR(__xludf.DUMMYFUNCTION("""COMPUTED_VALUE"""),4159.0)</f>
        <v>4159</v>
      </c>
      <c r="X618" t="b">
        <f t="shared" ref="X618:Z618" si="1212">ISBLANK(K618)</f>
        <v>1</v>
      </c>
      <c r="Y618" t="b">
        <f t="shared" si="1212"/>
        <v>0</v>
      </c>
      <c r="Z618" t="b">
        <f t="shared" si="1212"/>
        <v>0</v>
      </c>
      <c r="AA618">
        <f t="shared" ref="AA618:AC618" si="1213">IF(X618=FALSE,1,0)</f>
        <v>0</v>
      </c>
      <c r="AB618">
        <f t="shared" si="1213"/>
        <v>1</v>
      </c>
      <c r="AC618">
        <f t="shared" si="1213"/>
        <v>1</v>
      </c>
      <c r="AD618">
        <f t="shared" si="6"/>
        <v>2</v>
      </c>
      <c r="AE618">
        <f t="shared" si="7"/>
        <v>1</v>
      </c>
      <c r="AF618">
        <f>if(iferror(vlookup($A618,'Description Database'!$E$2:$H$951,3,0),0)=TRUE,1,0)</f>
        <v>0</v>
      </c>
      <c r="AG618">
        <f>if(iferror(vlookup($A618,'Description Database'!$E$2:$H$951,4,0),0)=TRUE,1,0)</f>
        <v>0</v>
      </c>
    </row>
    <row r="619">
      <c r="A619" t="str">
        <f>IFERROR(__xludf.DUMMYFUNCTION("""COMPUTED_VALUE"""),"Samsung GALAXY S10 (8 GB/128 GB)")</f>
        <v>Samsung GALAXY S10 (8 GB/128 GB)</v>
      </c>
      <c r="B619" t="str">
        <f>IFERROR(__xludf.DUMMYFUNCTION("""COMPUTED_VALUE"""),"")</f>
        <v/>
      </c>
      <c r="C619" t="str">
        <f>IFERROR(__xludf.DUMMYFUNCTION("""COMPUTED_VALUE"""),"")</f>
        <v/>
      </c>
      <c r="D619">
        <f>IFERROR(__xludf.DUMMYFUNCTION("""COMPUTED_VALUE"""),1.0)</f>
        <v>1</v>
      </c>
      <c r="E619" t="str">
        <f>IFERROR(__xludf.DUMMYFUNCTION("""COMPUTED_VALUE"""),"")</f>
        <v/>
      </c>
      <c r="F619" t="str">
        <f>IFERROR(__xludf.DUMMYFUNCTION("""COMPUTED_VALUE"""),"")</f>
        <v/>
      </c>
      <c r="G619" t="str">
        <f>IFERROR(__xludf.DUMMYFUNCTION("""COMPUTED_VALUE"""),"")</f>
        <v/>
      </c>
      <c r="H619" t="str">
        <f>IFERROR(__xludf.DUMMYFUNCTION("""COMPUTED_VALUE"""),"")</f>
        <v/>
      </c>
      <c r="I619" t="str">
        <f>IFERROR(__xludf.DUMMYFUNCTION("""COMPUTED_VALUE"""),"")</f>
        <v/>
      </c>
      <c r="J619">
        <f>IFERROR(__xludf.DUMMYFUNCTION("""COMPUTED_VALUE"""),1.0)</f>
        <v>1</v>
      </c>
      <c r="L619" s="250" t="str">
        <f>IFERROR(__xludf.DUMMYFUNCTION("""COMPUTED_VALUE"""),"")</f>
        <v/>
      </c>
      <c r="M619" s="250" t="str">
        <f>IFERROR(__xludf.DUMMYFUNCTION("""COMPUTED_VALUE"""),"")</f>
        <v/>
      </c>
      <c r="N619" s="250">
        <f>IFERROR(__xludf.DUMMYFUNCTION("""COMPUTED_VALUE"""),18519.0)</f>
        <v>18519</v>
      </c>
      <c r="O619" s="250" t="str">
        <f>IFERROR(__xludf.DUMMYFUNCTION("""COMPUTED_VALUE"""),"")</f>
        <v/>
      </c>
      <c r="P619" s="250" t="str">
        <f>IFERROR(__xludf.DUMMYFUNCTION("""COMPUTED_VALUE"""),"")</f>
        <v/>
      </c>
      <c r="Q619" s="250" t="str">
        <f>IFERROR(__xludf.DUMMYFUNCTION("""COMPUTED_VALUE"""),"")</f>
        <v/>
      </c>
      <c r="R619" s="250" t="str">
        <f>IFERROR(__xludf.DUMMYFUNCTION("""COMPUTED_VALUE"""),"")</f>
        <v/>
      </c>
      <c r="U619" s="250">
        <f>IFERROR(__xludf.DUMMYFUNCTION("""COMPUTED_VALUE"""),23769.0)</f>
        <v>23769</v>
      </c>
      <c r="V619" s="250">
        <f>IFERROR(__xludf.DUMMYFUNCTION("""COMPUTED_VALUE"""),22639.0)</f>
        <v>22639</v>
      </c>
      <c r="W619" s="250">
        <f>IFERROR(__xludf.DUMMYFUNCTION("""COMPUTED_VALUE"""),20379.0)</f>
        <v>20379</v>
      </c>
      <c r="X619" t="b">
        <f t="shared" ref="X619:Z619" si="1214">ISBLANK(K619)</f>
        <v>1</v>
      </c>
      <c r="Y619" t="b">
        <f t="shared" si="1214"/>
        <v>0</v>
      </c>
      <c r="Z619" t="b">
        <f t="shared" si="1214"/>
        <v>0</v>
      </c>
      <c r="AA619">
        <f t="shared" ref="AA619:AC619" si="1215">IF(X619=FALSE,1,0)</f>
        <v>0</v>
      </c>
      <c r="AB619">
        <f t="shared" si="1215"/>
        <v>1</v>
      </c>
      <c r="AC619">
        <f t="shared" si="1215"/>
        <v>1</v>
      </c>
      <c r="AD619">
        <f t="shared" si="6"/>
        <v>2</v>
      </c>
      <c r="AE619">
        <f t="shared" si="7"/>
        <v>1</v>
      </c>
      <c r="AF619">
        <f>if(iferror(vlookup($A619,'Description Database'!$E$2:$H$951,3,0),0)=TRUE,1,0)</f>
        <v>0</v>
      </c>
      <c r="AG619">
        <f>if(iferror(vlookup($A619,'Description Database'!$E$2:$H$951,4,0),0)=TRUE,1,0)</f>
        <v>0</v>
      </c>
    </row>
    <row r="620">
      <c r="A620" t="str">
        <f>IFERROR(__xludf.DUMMYFUNCTION("""COMPUTED_VALUE"""),"Apple IPHONE 7 (2 GB/256 GB)")</f>
        <v>Apple IPHONE 7 (2 GB/256 GB)</v>
      </c>
      <c r="B620" t="str">
        <f>IFERROR(__xludf.DUMMYFUNCTION("""COMPUTED_VALUE"""),"")</f>
        <v/>
      </c>
      <c r="C620" t="str">
        <f>IFERROR(__xludf.DUMMYFUNCTION("""COMPUTED_VALUE"""),"")</f>
        <v/>
      </c>
      <c r="D620" t="str">
        <f>IFERROR(__xludf.DUMMYFUNCTION("""COMPUTED_VALUE"""),"")</f>
        <v/>
      </c>
      <c r="E620" t="str">
        <f>IFERROR(__xludf.DUMMYFUNCTION("""COMPUTED_VALUE"""),"")</f>
        <v/>
      </c>
      <c r="F620">
        <f>IFERROR(__xludf.DUMMYFUNCTION("""COMPUTED_VALUE"""),1.0)</f>
        <v>1</v>
      </c>
      <c r="G620" t="str">
        <f>IFERROR(__xludf.DUMMYFUNCTION("""COMPUTED_VALUE"""),"")</f>
        <v/>
      </c>
      <c r="H620" t="str">
        <f>IFERROR(__xludf.DUMMYFUNCTION("""COMPUTED_VALUE"""),"")</f>
        <v/>
      </c>
      <c r="I620" t="str">
        <f>IFERROR(__xludf.DUMMYFUNCTION("""COMPUTED_VALUE"""),"")</f>
        <v/>
      </c>
      <c r="J620">
        <f>IFERROR(__xludf.DUMMYFUNCTION("""COMPUTED_VALUE"""),1.0)</f>
        <v>1</v>
      </c>
      <c r="L620" s="250" t="str">
        <f>IFERROR(__xludf.DUMMYFUNCTION("""COMPUTED_VALUE"""),"")</f>
        <v/>
      </c>
      <c r="M620" s="250" t="str">
        <f>IFERROR(__xludf.DUMMYFUNCTION("""COMPUTED_VALUE"""),"")</f>
        <v/>
      </c>
      <c r="N620" s="250" t="str">
        <f>IFERROR(__xludf.DUMMYFUNCTION("""COMPUTED_VALUE"""),"")</f>
        <v/>
      </c>
      <c r="O620" s="250" t="str">
        <f>IFERROR(__xludf.DUMMYFUNCTION("""COMPUTED_VALUE"""),"")</f>
        <v/>
      </c>
      <c r="P620" s="250">
        <f>IFERROR(__xludf.DUMMYFUNCTION("""COMPUTED_VALUE"""),10289.0)</f>
        <v>10289</v>
      </c>
      <c r="Q620" s="250" t="str">
        <f>IFERROR(__xludf.DUMMYFUNCTION("""COMPUTED_VALUE"""),"")</f>
        <v/>
      </c>
      <c r="R620" s="250" t="str">
        <f>IFERROR(__xludf.DUMMYFUNCTION("""COMPUTED_VALUE"""),"")</f>
        <v/>
      </c>
      <c r="U620" s="250">
        <f>IFERROR(__xludf.DUMMYFUNCTION("""COMPUTED_VALUE"""),15839.0)</f>
        <v>15839</v>
      </c>
      <c r="V620" s="250">
        <f>IFERROR(__xludf.DUMMYFUNCTION("""COMPUTED_VALUE"""),15079.0)</f>
        <v>15079</v>
      </c>
      <c r="W620" s="250">
        <f>IFERROR(__xludf.DUMMYFUNCTION("""COMPUTED_VALUE"""),13579.0)</f>
        <v>13579</v>
      </c>
      <c r="X620" t="b">
        <f t="shared" ref="X620:Z620" si="1216">ISBLANK(K620)</f>
        <v>1</v>
      </c>
      <c r="Y620" t="b">
        <f t="shared" si="1216"/>
        <v>0</v>
      </c>
      <c r="Z620" t="b">
        <f t="shared" si="1216"/>
        <v>0</v>
      </c>
      <c r="AA620">
        <f t="shared" ref="AA620:AC620" si="1217">IF(X620=FALSE,1,0)</f>
        <v>0</v>
      </c>
      <c r="AB620">
        <f t="shared" si="1217"/>
        <v>1</v>
      </c>
      <c r="AC620">
        <f t="shared" si="1217"/>
        <v>1</v>
      </c>
      <c r="AD620">
        <f t="shared" si="6"/>
        <v>2</v>
      </c>
      <c r="AE620">
        <f t="shared" si="7"/>
        <v>1</v>
      </c>
      <c r="AF620">
        <f>if(iferror(vlookup($A620,'Description Database'!$E$2:$H$951,3,0),0)=TRUE,1,0)</f>
        <v>1</v>
      </c>
      <c r="AG620">
        <f>if(iferror(vlookup($A620,'Description Database'!$E$2:$H$951,4,0),0)=TRUE,1,0)</f>
        <v>0</v>
      </c>
    </row>
    <row r="621">
      <c r="A621" t="str">
        <f>IFERROR(__xludf.DUMMYFUNCTION("""COMPUTED_VALUE"""),"Samsung GALAXY M20 (4 GB/64 GB)")</f>
        <v>Samsung GALAXY M20 (4 GB/64 GB)</v>
      </c>
      <c r="B621" t="str">
        <f>IFERROR(__xludf.DUMMYFUNCTION("""COMPUTED_VALUE"""),"")</f>
        <v/>
      </c>
      <c r="C621" t="str">
        <f>IFERROR(__xludf.DUMMYFUNCTION("""COMPUTED_VALUE"""),"")</f>
        <v/>
      </c>
      <c r="D621" t="str">
        <f>IFERROR(__xludf.DUMMYFUNCTION("""COMPUTED_VALUE"""),"")</f>
        <v/>
      </c>
      <c r="E621" t="str">
        <f>IFERROR(__xludf.DUMMYFUNCTION("""COMPUTED_VALUE"""),"")</f>
        <v/>
      </c>
      <c r="F621">
        <f>IFERROR(__xludf.DUMMYFUNCTION("""COMPUTED_VALUE"""),1.0)</f>
        <v>1</v>
      </c>
      <c r="G621">
        <f>IFERROR(__xludf.DUMMYFUNCTION("""COMPUTED_VALUE"""),2.0)</f>
        <v>2</v>
      </c>
      <c r="H621">
        <f>IFERROR(__xludf.DUMMYFUNCTION("""COMPUTED_VALUE"""),1.0)</f>
        <v>1</v>
      </c>
      <c r="I621">
        <f>IFERROR(__xludf.DUMMYFUNCTION("""COMPUTED_VALUE"""),8.0)</f>
        <v>8</v>
      </c>
      <c r="J621">
        <f>IFERROR(__xludf.DUMMYFUNCTION("""COMPUTED_VALUE"""),12.0)</f>
        <v>12</v>
      </c>
      <c r="L621" s="250" t="str">
        <f>IFERROR(__xludf.DUMMYFUNCTION("""COMPUTED_VALUE"""),"")</f>
        <v/>
      </c>
      <c r="M621" s="250" t="str">
        <f>IFERROR(__xludf.DUMMYFUNCTION("""COMPUTED_VALUE"""),"")</f>
        <v/>
      </c>
      <c r="N621" s="250" t="str">
        <f>IFERROR(__xludf.DUMMYFUNCTION("""COMPUTED_VALUE"""),"")</f>
        <v/>
      </c>
      <c r="O621" s="250" t="str">
        <f>IFERROR(__xludf.DUMMYFUNCTION("""COMPUTED_VALUE"""),"")</f>
        <v/>
      </c>
      <c r="P621" s="250">
        <f>IFERROR(__xludf.DUMMYFUNCTION("""COMPUTED_VALUE"""),4839.0)</f>
        <v>4839</v>
      </c>
      <c r="Q621" s="250">
        <f>IFERROR(__xludf.DUMMYFUNCTION("""COMPUTED_VALUE"""),3049.0)</f>
        <v>3049</v>
      </c>
      <c r="R621" s="250">
        <f>IFERROR(__xludf.DUMMYFUNCTION("""COMPUTED_VALUE"""),2429.0)</f>
        <v>2429</v>
      </c>
      <c r="U621" s="250">
        <f>IFERROR(__xludf.DUMMYFUNCTION("""COMPUTED_VALUE"""),7469.0)</f>
        <v>7469</v>
      </c>
      <c r="V621" s="250">
        <f>IFERROR(__xludf.DUMMYFUNCTION("""COMPUTED_VALUE"""),7109.0)</f>
        <v>7109</v>
      </c>
      <c r="W621" s="250">
        <f>IFERROR(__xludf.DUMMYFUNCTION("""COMPUTED_VALUE"""),6409.0)</f>
        <v>6409</v>
      </c>
      <c r="X621" t="b">
        <f t="shared" ref="X621:Z621" si="1218">ISBLANK(K621)</f>
        <v>1</v>
      </c>
      <c r="Y621" t="b">
        <f t="shared" si="1218"/>
        <v>0</v>
      </c>
      <c r="Z621" t="b">
        <f t="shared" si="1218"/>
        <v>0</v>
      </c>
      <c r="AA621">
        <f t="shared" ref="AA621:AC621" si="1219">IF(X621=FALSE,1,0)</f>
        <v>0</v>
      </c>
      <c r="AB621">
        <f t="shared" si="1219"/>
        <v>1</v>
      </c>
      <c r="AC621">
        <f t="shared" si="1219"/>
        <v>1</v>
      </c>
      <c r="AD621">
        <f t="shared" si="6"/>
        <v>2</v>
      </c>
      <c r="AE621">
        <f t="shared" si="7"/>
        <v>1</v>
      </c>
      <c r="AF621">
        <f>if(iferror(vlookup($A621,'Description Database'!$E$2:$H$951,3,0),0)=TRUE,1,0)</f>
        <v>0</v>
      </c>
      <c r="AG621">
        <f>if(iferror(vlookup($A621,'Description Database'!$E$2:$H$951,4,0),0)=TRUE,1,0)</f>
        <v>0</v>
      </c>
    </row>
    <row r="622">
      <c r="A622" t="str">
        <f>IFERROR(__xludf.DUMMYFUNCTION("""COMPUTED_VALUE"""),"Apple iPhone 6 Plus (1 GB/64 GB)")</f>
        <v>Apple iPhone 6 Plus (1 GB/64 GB)</v>
      </c>
      <c r="B622" t="str">
        <f>IFERROR(__xludf.DUMMYFUNCTION("""COMPUTED_VALUE"""),"")</f>
        <v/>
      </c>
      <c r="C622" t="str">
        <f>IFERROR(__xludf.DUMMYFUNCTION("""COMPUTED_VALUE"""),"")</f>
        <v/>
      </c>
      <c r="D622" t="str">
        <f>IFERROR(__xludf.DUMMYFUNCTION("""COMPUTED_VALUE"""),"")</f>
        <v/>
      </c>
      <c r="E622" t="str">
        <f>IFERROR(__xludf.DUMMYFUNCTION("""COMPUTED_VALUE"""),"")</f>
        <v/>
      </c>
      <c r="F622" t="str">
        <f>IFERROR(__xludf.DUMMYFUNCTION("""COMPUTED_VALUE"""),"")</f>
        <v/>
      </c>
      <c r="G622" t="str">
        <f>IFERROR(__xludf.DUMMYFUNCTION("""COMPUTED_VALUE"""),"")</f>
        <v/>
      </c>
      <c r="H622">
        <f>IFERROR(__xludf.DUMMYFUNCTION("""COMPUTED_VALUE"""),1.0)</f>
        <v>1</v>
      </c>
      <c r="I622" t="str">
        <f>IFERROR(__xludf.DUMMYFUNCTION("""COMPUTED_VALUE"""),"")</f>
        <v/>
      </c>
      <c r="J622">
        <f>IFERROR(__xludf.DUMMYFUNCTION("""COMPUTED_VALUE"""),1.0)</f>
        <v>1</v>
      </c>
      <c r="L622" s="250" t="str">
        <f>IFERROR(__xludf.DUMMYFUNCTION("""COMPUTED_VALUE"""),"")</f>
        <v/>
      </c>
      <c r="M622" s="250" t="str">
        <f>IFERROR(__xludf.DUMMYFUNCTION("""COMPUTED_VALUE"""),"")</f>
        <v/>
      </c>
      <c r="N622" s="250" t="str">
        <f>IFERROR(__xludf.DUMMYFUNCTION("""COMPUTED_VALUE"""),"")</f>
        <v/>
      </c>
      <c r="O622" s="250" t="str">
        <f>IFERROR(__xludf.DUMMYFUNCTION("""COMPUTED_VALUE"""),"")</f>
        <v/>
      </c>
      <c r="P622" s="250" t="str">
        <f>IFERROR(__xludf.DUMMYFUNCTION("""COMPUTED_VALUE"""),"")</f>
        <v/>
      </c>
      <c r="Q622" s="250" t="str">
        <f>IFERROR(__xludf.DUMMYFUNCTION("""COMPUTED_VALUE"""),"")</f>
        <v/>
      </c>
      <c r="R622" s="250">
        <f>IFERROR(__xludf.DUMMYFUNCTION("""COMPUTED_VALUE"""),3599.0)</f>
        <v>3599</v>
      </c>
      <c r="U622" s="250">
        <f>IFERROR(__xludf.DUMMYFUNCTION("""COMPUTED_VALUE"""),10509.0)</f>
        <v>10509</v>
      </c>
      <c r="V622" s="250">
        <f>IFERROR(__xludf.DUMMYFUNCTION("""COMPUTED_VALUE"""),9999.0)</f>
        <v>9999</v>
      </c>
      <c r="W622" s="250">
        <f>IFERROR(__xludf.DUMMYFUNCTION("""COMPUTED_VALUE"""),9009.0)</f>
        <v>9009</v>
      </c>
      <c r="X622" t="b">
        <f t="shared" ref="X622:Z622" si="1220">ISBLANK(K622)</f>
        <v>1</v>
      </c>
      <c r="Y622" t="b">
        <f t="shared" si="1220"/>
        <v>0</v>
      </c>
      <c r="Z622" t="b">
        <f t="shared" si="1220"/>
        <v>0</v>
      </c>
      <c r="AA622">
        <f t="shared" ref="AA622:AC622" si="1221">IF(X622=FALSE,1,0)</f>
        <v>0</v>
      </c>
      <c r="AB622">
        <f t="shared" si="1221"/>
        <v>1</v>
      </c>
      <c r="AC622">
        <f t="shared" si="1221"/>
        <v>1</v>
      </c>
      <c r="AD622">
        <f t="shared" si="6"/>
        <v>2</v>
      </c>
      <c r="AE622">
        <f t="shared" si="7"/>
        <v>1</v>
      </c>
      <c r="AF622">
        <f>if(iferror(vlookup($A622,'Description Database'!$E$2:$H$951,3,0),0)=TRUE,1,0)</f>
        <v>0</v>
      </c>
      <c r="AG622">
        <f>if(iferror(vlookup($A622,'Description Database'!$E$2:$H$951,4,0),0)=TRUE,1,0)</f>
        <v>0</v>
      </c>
    </row>
    <row r="623">
      <c r="A623" t="str">
        <f>IFERROR(__xludf.DUMMYFUNCTION("""COMPUTED_VALUE"""),"Apple IPHONE SE (2 GB/32 GB)")</f>
        <v>Apple IPHONE SE (2 GB/32 GB)</v>
      </c>
      <c r="B623" t="str">
        <f>IFERROR(__xludf.DUMMYFUNCTION("""COMPUTED_VALUE"""),"")</f>
        <v/>
      </c>
      <c r="C623" t="str">
        <f>IFERROR(__xludf.DUMMYFUNCTION("""COMPUTED_VALUE"""),"")</f>
        <v/>
      </c>
      <c r="D623" t="str">
        <f>IFERROR(__xludf.DUMMYFUNCTION("""COMPUTED_VALUE"""),"")</f>
        <v/>
      </c>
      <c r="E623" t="str">
        <f>IFERROR(__xludf.DUMMYFUNCTION("""COMPUTED_VALUE"""),"")</f>
        <v/>
      </c>
      <c r="F623" t="str">
        <f>IFERROR(__xludf.DUMMYFUNCTION("""COMPUTED_VALUE"""),"")</f>
        <v/>
      </c>
      <c r="G623" t="str">
        <f>IFERROR(__xludf.DUMMYFUNCTION("""COMPUTED_VALUE"""),"")</f>
        <v/>
      </c>
      <c r="H623" t="str">
        <f>IFERROR(__xludf.DUMMYFUNCTION("""COMPUTED_VALUE"""),"")</f>
        <v/>
      </c>
      <c r="I623" t="str">
        <f>IFERROR(__xludf.DUMMYFUNCTION("""COMPUTED_VALUE"""),"")</f>
        <v/>
      </c>
      <c r="J623">
        <f>IFERROR(__xludf.DUMMYFUNCTION("""COMPUTED_VALUE"""),0.0)</f>
        <v>0</v>
      </c>
      <c r="L623" s="250" t="str">
        <f>IFERROR(__xludf.DUMMYFUNCTION("""COMPUTED_VALUE"""),"")</f>
        <v/>
      </c>
      <c r="M623" s="250" t="str">
        <f>IFERROR(__xludf.DUMMYFUNCTION("""COMPUTED_VALUE"""),"")</f>
        <v/>
      </c>
      <c r="N623" s="250" t="str">
        <f>IFERROR(__xludf.DUMMYFUNCTION("""COMPUTED_VALUE"""),"")</f>
        <v/>
      </c>
      <c r="O623" s="250" t="str">
        <f>IFERROR(__xludf.DUMMYFUNCTION("""COMPUTED_VALUE"""),"")</f>
        <v/>
      </c>
      <c r="P623" s="250" t="str">
        <f>IFERROR(__xludf.DUMMYFUNCTION("""COMPUTED_VALUE"""),"")</f>
        <v/>
      </c>
      <c r="Q623" s="250" t="str">
        <f>IFERROR(__xludf.DUMMYFUNCTION("""COMPUTED_VALUE"""),"")</f>
        <v/>
      </c>
      <c r="R623" s="250" t="str">
        <f>IFERROR(__xludf.DUMMYFUNCTION("""COMPUTED_VALUE"""),"")</f>
        <v/>
      </c>
      <c r="U623" s="250">
        <f>IFERROR(__xludf.DUMMYFUNCTION("""COMPUTED_VALUE"""),7079.0)</f>
        <v>7079</v>
      </c>
      <c r="V623" s="250">
        <f>IFERROR(__xludf.DUMMYFUNCTION("""COMPUTED_VALUE"""),6739.0)</f>
        <v>6739</v>
      </c>
      <c r="W623" s="250">
        <f>IFERROR(__xludf.DUMMYFUNCTION("""COMPUTED_VALUE"""),6059.0)</f>
        <v>6059</v>
      </c>
      <c r="X623" t="b">
        <f t="shared" ref="X623:Z623" si="1222">ISBLANK(K623)</f>
        <v>1</v>
      </c>
      <c r="Y623" t="b">
        <f t="shared" si="1222"/>
        <v>0</v>
      </c>
      <c r="Z623" t="b">
        <f t="shared" si="1222"/>
        <v>0</v>
      </c>
      <c r="AA623">
        <f t="shared" ref="AA623:AC623" si="1223">IF(X623=FALSE,1,0)</f>
        <v>0</v>
      </c>
      <c r="AB623">
        <f t="shared" si="1223"/>
        <v>1</v>
      </c>
      <c r="AC623">
        <f t="shared" si="1223"/>
        <v>1</v>
      </c>
      <c r="AD623">
        <f t="shared" si="6"/>
        <v>2</v>
      </c>
      <c r="AE623">
        <f t="shared" si="7"/>
        <v>1</v>
      </c>
      <c r="AF623">
        <f>if(iferror(vlookup($A623,'Description Database'!$E$2:$H$951,3,0),0)=TRUE,1,0)</f>
        <v>0</v>
      </c>
      <c r="AG623">
        <f>if(iferror(vlookup($A623,'Description Database'!$E$2:$H$951,4,0),0)=TRUE,1,0)</f>
        <v>0</v>
      </c>
    </row>
    <row r="624">
      <c r="A624" t="str">
        <f>IFERROR(__xludf.DUMMYFUNCTION("""COMPUTED_VALUE"""),"Xiaomi Redmi Note 8 Pro (6 GB/128 GB)")</f>
        <v>Xiaomi Redmi Note 8 Pro (6 GB/128 GB)</v>
      </c>
      <c r="B624" t="str">
        <f>IFERROR(__xludf.DUMMYFUNCTION("""COMPUTED_VALUE"""),"")</f>
        <v/>
      </c>
      <c r="C624">
        <f>IFERROR(__xludf.DUMMYFUNCTION("""COMPUTED_VALUE"""),1.0)</f>
        <v>1</v>
      </c>
      <c r="D624" t="str">
        <f>IFERROR(__xludf.DUMMYFUNCTION("""COMPUTED_VALUE"""),"")</f>
        <v/>
      </c>
      <c r="E624" t="str">
        <f>IFERROR(__xludf.DUMMYFUNCTION("""COMPUTED_VALUE"""),"")</f>
        <v/>
      </c>
      <c r="F624" t="str">
        <f>IFERROR(__xludf.DUMMYFUNCTION("""COMPUTED_VALUE"""),"")</f>
        <v/>
      </c>
      <c r="G624" t="str">
        <f>IFERROR(__xludf.DUMMYFUNCTION("""COMPUTED_VALUE"""),"")</f>
        <v/>
      </c>
      <c r="H624" t="str">
        <f>IFERROR(__xludf.DUMMYFUNCTION("""COMPUTED_VALUE"""),"")</f>
        <v/>
      </c>
      <c r="I624">
        <f>IFERROR(__xludf.DUMMYFUNCTION("""COMPUTED_VALUE"""),2.0)</f>
        <v>2</v>
      </c>
      <c r="J624">
        <f>IFERROR(__xludf.DUMMYFUNCTION("""COMPUTED_VALUE"""),3.0)</f>
        <v>3</v>
      </c>
      <c r="L624" s="250" t="str">
        <f>IFERROR(__xludf.DUMMYFUNCTION("""COMPUTED_VALUE"""),"")</f>
        <v/>
      </c>
      <c r="M624" s="250">
        <f>IFERROR(__xludf.DUMMYFUNCTION("""COMPUTED_VALUE"""),10619.0)</f>
        <v>10619</v>
      </c>
      <c r="N624" s="250" t="str">
        <f>IFERROR(__xludf.DUMMYFUNCTION("""COMPUTED_VALUE"""),"")</f>
        <v/>
      </c>
      <c r="O624" s="250" t="str">
        <f>IFERROR(__xludf.DUMMYFUNCTION("""COMPUTED_VALUE"""),"")</f>
        <v/>
      </c>
      <c r="P624" s="250" t="str">
        <f>IFERROR(__xludf.DUMMYFUNCTION("""COMPUTED_VALUE"""),"")</f>
        <v/>
      </c>
      <c r="Q624" s="250" t="str">
        <f>IFERROR(__xludf.DUMMYFUNCTION("""COMPUTED_VALUE"""),"")</f>
        <v/>
      </c>
      <c r="R624" s="250" t="str">
        <f>IFERROR(__xludf.DUMMYFUNCTION("""COMPUTED_VALUE"""),"")</f>
        <v/>
      </c>
      <c r="U624" s="250">
        <f>IFERROR(__xludf.DUMMYFUNCTION("""COMPUTED_VALUE"""),12269.0)</f>
        <v>12269</v>
      </c>
      <c r="V624" s="250">
        <f>IFERROR(__xludf.DUMMYFUNCTION("""COMPUTED_VALUE"""),11689.0)</f>
        <v>11689</v>
      </c>
      <c r="W624" s="250">
        <f>IFERROR(__xludf.DUMMYFUNCTION("""COMPUTED_VALUE"""),10669.0)</f>
        <v>10669</v>
      </c>
      <c r="X624" t="b">
        <f t="shared" ref="X624:Z624" si="1224">ISBLANK(K624)</f>
        <v>1</v>
      </c>
      <c r="Y624" t="b">
        <f t="shared" si="1224"/>
        <v>0</v>
      </c>
      <c r="Z624" t="b">
        <f t="shared" si="1224"/>
        <v>0</v>
      </c>
      <c r="AA624">
        <f t="shared" ref="AA624:AC624" si="1225">IF(X624=FALSE,1,0)</f>
        <v>0</v>
      </c>
      <c r="AB624">
        <f t="shared" si="1225"/>
        <v>1</v>
      </c>
      <c r="AC624">
        <f t="shared" si="1225"/>
        <v>1</v>
      </c>
      <c r="AD624">
        <f t="shared" si="6"/>
        <v>2</v>
      </c>
      <c r="AE624">
        <f t="shared" si="7"/>
        <v>1</v>
      </c>
      <c r="AF624">
        <f>if(iferror(vlookup($A624,'Description Database'!$E$2:$H$951,3,0),0)=TRUE,1,0)</f>
        <v>0</v>
      </c>
      <c r="AG624">
        <f>if(iferror(vlookup($A624,'Description Database'!$E$2:$H$951,4,0),0)=TRUE,1,0)</f>
        <v>0</v>
      </c>
    </row>
    <row r="625">
      <c r="A625" t="str">
        <f>IFERROR(__xludf.DUMMYFUNCTION("""COMPUTED_VALUE"""),"Samsung Galaxy M30s (4 GB/128 GB)")</f>
        <v>Samsung Galaxy M30s (4 GB/128 GB)</v>
      </c>
      <c r="B625" t="str">
        <f>IFERROR(__xludf.DUMMYFUNCTION("""COMPUTED_VALUE"""),"")</f>
        <v/>
      </c>
      <c r="C625" t="str">
        <f>IFERROR(__xludf.DUMMYFUNCTION("""COMPUTED_VALUE"""),"")</f>
        <v/>
      </c>
      <c r="D625">
        <f>IFERROR(__xludf.DUMMYFUNCTION("""COMPUTED_VALUE"""),1.0)</f>
        <v>1</v>
      </c>
      <c r="E625" t="str">
        <f>IFERROR(__xludf.DUMMYFUNCTION("""COMPUTED_VALUE"""),"")</f>
        <v/>
      </c>
      <c r="F625" t="str">
        <f>IFERROR(__xludf.DUMMYFUNCTION("""COMPUTED_VALUE"""),"")</f>
        <v/>
      </c>
      <c r="G625">
        <f>IFERROR(__xludf.DUMMYFUNCTION("""COMPUTED_VALUE"""),1.0)</f>
        <v>1</v>
      </c>
      <c r="H625" t="str">
        <f>IFERROR(__xludf.DUMMYFUNCTION("""COMPUTED_VALUE"""),"")</f>
        <v/>
      </c>
      <c r="I625">
        <f>IFERROR(__xludf.DUMMYFUNCTION("""COMPUTED_VALUE"""),2.0)</f>
        <v>2</v>
      </c>
      <c r="J625">
        <f>IFERROR(__xludf.DUMMYFUNCTION("""COMPUTED_VALUE"""),4.0)</f>
        <v>4</v>
      </c>
      <c r="L625" s="250" t="str">
        <f>IFERROR(__xludf.DUMMYFUNCTION("""COMPUTED_VALUE"""),"")</f>
        <v/>
      </c>
      <c r="M625" s="250" t="str">
        <f>IFERROR(__xludf.DUMMYFUNCTION("""COMPUTED_VALUE"""),"")</f>
        <v/>
      </c>
      <c r="N625" s="250">
        <f>IFERROR(__xludf.DUMMYFUNCTION("""COMPUTED_VALUE"""),6809.0)</f>
        <v>6809</v>
      </c>
      <c r="O625" s="250" t="str">
        <f>IFERROR(__xludf.DUMMYFUNCTION("""COMPUTED_VALUE"""),"")</f>
        <v/>
      </c>
      <c r="P625" s="250" t="str">
        <f>IFERROR(__xludf.DUMMYFUNCTION("""COMPUTED_VALUE"""),"")</f>
        <v/>
      </c>
      <c r="Q625" s="250">
        <f>IFERROR(__xludf.DUMMYFUNCTION("""COMPUTED_VALUE"""),4289.0)</f>
        <v>4289</v>
      </c>
      <c r="R625" s="250" t="str">
        <f>IFERROR(__xludf.DUMMYFUNCTION("""COMPUTED_VALUE"""),"")</f>
        <v/>
      </c>
      <c r="U625" s="250">
        <f>IFERROR(__xludf.DUMMYFUNCTION("""COMPUTED_VALUE"""),8749.0)</f>
        <v>8749</v>
      </c>
      <c r="V625" s="250">
        <f>IFERROR(__xludf.DUMMYFUNCTION("""COMPUTED_VALUE"""),8329.0)</f>
        <v>8329</v>
      </c>
      <c r="W625" s="250">
        <f>IFERROR(__xludf.DUMMYFUNCTION("""COMPUTED_VALUE"""),7489.0)</f>
        <v>7489</v>
      </c>
      <c r="X625" t="b">
        <f t="shared" ref="X625:Z625" si="1226">ISBLANK(K625)</f>
        <v>1</v>
      </c>
      <c r="Y625" t="b">
        <f t="shared" si="1226"/>
        <v>0</v>
      </c>
      <c r="Z625" t="b">
        <f t="shared" si="1226"/>
        <v>0</v>
      </c>
      <c r="AA625">
        <f t="shared" ref="AA625:AC625" si="1227">IF(X625=FALSE,1,0)</f>
        <v>0</v>
      </c>
      <c r="AB625">
        <f t="shared" si="1227"/>
        <v>1</v>
      </c>
      <c r="AC625">
        <f t="shared" si="1227"/>
        <v>1</v>
      </c>
      <c r="AD625">
        <f t="shared" si="6"/>
        <v>2</v>
      </c>
      <c r="AE625">
        <f t="shared" si="7"/>
        <v>1</v>
      </c>
      <c r="AF625">
        <f>if(iferror(vlookup($A625,'Description Database'!$E$2:$H$951,3,0),0)=TRUE,1,0)</f>
        <v>0</v>
      </c>
      <c r="AG625">
        <f>if(iferror(vlookup($A625,'Description Database'!$E$2:$H$951,4,0),0)=TRUE,1,0)</f>
        <v>0</v>
      </c>
    </row>
    <row r="626">
      <c r="A626" t="str">
        <f>IFERROR(__xludf.DUMMYFUNCTION("""COMPUTED_VALUE"""),"Oppo F11 (4 GB/128 GB)")</f>
        <v>Oppo F11 (4 GB/128 GB)</v>
      </c>
      <c r="B626" t="str">
        <f>IFERROR(__xludf.DUMMYFUNCTION("""COMPUTED_VALUE"""),"")</f>
        <v/>
      </c>
      <c r="C626" t="str">
        <f>IFERROR(__xludf.DUMMYFUNCTION("""COMPUTED_VALUE"""),"")</f>
        <v/>
      </c>
      <c r="D626" t="str">
        <f>IFERROR(__xludf.DUMMYFUNCTION("""COMPUTED_VALUE"""),"")</f>
        <v/>
      </c>
      <c r="E626" t="str">
        <f>IFERROR(__xludf.DUMMYFUNCTION("""COMPUTED_VALUE"""),"")</f>
        <v/>
      </c>
      <c r="F626" t="str">
        <f>IFERROR(__xludf.DUMMYFUNCTION("""COMPUTED_VALUE"""),"")</f>
        <v/>
      </c>
      <c r="G626" t="str">
        <f>IFERROR(__xludf.DUMMYFUNCTION("""COMPUTED_VALUE"""),"")</f>
        <v/>
      </c>
      <c r="H626" t="str">
        <f>IFERROR(__xludf.DUMMYFUNCTION("""COMPUTED_VALUE"""),"")</f>
        <v/>
      </c>
      <c r="I626">
        <f>IFERROR(__xludf.DUMMYFUNCTION("""COMPUTED_VALUE"""),1.0)</f>
        <v>1</v>
      </c>
      <c r="J626">
        <f>IFERROR(__xludf.DUMMYFUNCTION("""COMPUTED_VALUE"""),1.0)</f>
        <v>1</v>
      </c>
      <c r="L626" s="250" t="str">
        <f>IFERROR(__xludf.DUMMYFUNCTION("""COMPUTED_VALUE"""),"")</f>
        <v/>
      </c>
      <c r="M626" s="250" t="str">
        <f>IFERROR(__xludf.DUMMYFUNCTION("""COMPUTED_VALUE"""),"")</f>
        <v/>
      </c>
      <c r="N626" s="250" t="str">
        <f>IFERROR(__xludf.DUMMYFUNCTION("""COMPUTED_VALUE"""),"")</f>
        <v/>
      </c>
      <c r="O626" s="250" t="str">
        <f>IFERROR(__xludf.DUMMYFUNCTION("""COMPUTED_VALUE"""),"")</f>
        <v/>
      </c>
      <c r="P626" s="250" t="str">
        <f>IFERROR(__xludf.DUMMYFUNCTION("""COMPUTED_VALUE"""),"")</f>
        <v/>
      </c>
      <c r="Q626" s="250" t="str">
        <f>IFERROR(__xludf.DUMMYFUNCTION("""COMPUTED_VALUE"""),"")</f>
        <v/>
      </c>
      <c r="R626" s="250" t="str">
        <f>IFERROR(__xludf.DUMMYFUNCTION("""COMPUTED_VALUE"""),"")</f>
        <v/>
      </c>
      <c r="U626" s="250">
        <f>IFERROR(__xludf.DUMMYFUNCTION("""COMPUTED_VALUE"""),9449.0)</f>
        <v>9449</v>
      </c>
      <c r="V626" s="250">
        <f>IFERROR(__xludf.DUMMYFUNCTION("""COMPUTED_VALUE"""),8999.0)</f>
        <v>8999</v>
      </c>
      <c r="W626" s="250">
        <f>IFERROR(__xludf.DUMMYFUNCTION("""COMPUTED_VALUE"""),8219.0)</f>
        <v>8219</v>
      </c>
      <c r="X626" t="b">
        <f t="shared" ref="X626:Z626" si="1228">ISBLANK(K626)</f>
        <v>1</v>
      </c>
      <c r="Y626" t="b">
        <f t="shared" si="1228"/>
        <v>0</v>
      </c>
      <c r="Z626" t="b">
        <f t="shared" si="1228"/>
        <v>0</v>
      </c>
      <c r="AA626">
        <f t="shared" ref="AA626:AC626" si="1229">IF(X626=FALSE,1,0)</f>
        <v>0</v>
      </c>
      <c r="AB626">
        <f t="shared" si="1229"/>
        <v>1</v>
      </c>
      <c r="AC626">
        <f t="shared" si="1229"/>
        <v>1</v>
      </c>
      <c r="AD626">
        <f t="shared" si="6"/>
        <v>2</v>
      </c>
      <c r="AE626">
        <f t="shared" si="7"/>
        <v>1</v>
      </c>
      <c r="AF626">
        <f>if(iferror(vlookup($A626,'Description Database'!$E$2:$H$951,3,0),0)=TRUE,1,0)</f>
        <v>0</v>
      </c>
      <c r="AG626">
        <f>if(iferror(vlookup($A626,'Description Database'!$E$2:$H$951,4,0),0)=TRUE,1,0)</f>
        <v>0</v>
      </c>
    </row>
    <row r="627">
      <c r="A627" t="str">
        <f>IFERROR(__xludf.DUMMYFUNCTION("""COMPUTED_VALUE"""),"Vivo V17 (8 GB/128 GB)")</f>
        <v>Vivo V17 (8 GB/128 GB)</v>
      </c>
      <c r="B627" t="str">
        <f>IFERROR(__xludf.DUMMYFUNCTION("""COMPUTED_VALUE"""),"")</f>
        <v/>
      </c>
      <c r="C627" t="str">
        <f>IFERROR(__xludf.DUMMYFUNCTION("""COMPUTED_VALUE"""),"")</f>
        <v/>
      </c>
      <c r="D627" t="str">
        <f>IFERROR(__xludf.DUMMYFUNCTION("""COMPUTED_VALUE"""),"")</f>
        <v/>
      </c>
      <c r="E627" t="str">
        <f>IFERROR(__xludf.DUMMYFUNCTION("""COMPUTED_VALUE"""),"")</f>
        <v/>
      </c>
      <c r="F627" t="str">
        <f>IFERROR(__xludf.DUMMYFUNCTION("""COMPUTED_VALUE"""),"")</f>
        <v/>
      </c>
      <c r="G627" t="str">
        <f>IFERROR(__xludf.DUMMYFUNCTION("""COMPUTED_VALUE"""),"")</f>
        <v/>
      </c>
      <c r="H627" t="str">
        <f>IFERROR(__xludf.DUMMYFUNCTION("""COMPUTED_VALUE"""),"")</f>
        <v/>
      </c>
      <c r="I627" t="str">
        <f>IFERROR(__xludf.DUMMYFUNCTION("""COMPUTED_VALUE"""),"")</f>
        <v/>
      </c>
      <c r="J627">
        <f>IFERROR(__xludf.DUMMYFUNCTION("""COMPUTED_VALUE"""),0.0)</f>
        <v>0</v>
      </c>
      <c r="L627" s="250" t="str">
        <f>IFERROR(__xludf.DUMMYFUNCTION("""COMPUTED_VALUE"""),"")</f>
        <v/>
      </c>
      <c r="M627" s="250" t="str">
        <f>IFERROR(__xludf.DUMMYFUNCTION("""COMPUTED_VALUE"""),"")</f>
        <v/>
      </c>
      <c r="N627" s="250" t="str">
        <f>IFERROR(__xludf.DUMMYFUNCTION("""COMPUTED_VALUE"""),"")</f>
        <v/>
      </c>
      <c r="O627" s="250" t="str">
        <f>IFERROR(__xludf.DUMMYFUNCTION("""COMPUTED_VALUE"""),"")</f>
        <v/>
      </c>
      <c r="P627" s="250" t="str">
        <f>IFERROR(__xludf.DUMMYFUNCTION("""COMPUTED_VALUE"""),"")</f>
        <v/>
      </c>
      <c r="Q627" s="250" t="str">
        <f>IFERROR(__xludf.DUMMYFUNCTION("""COMPUTED_VALUE"""),"")</f>
        <v/>
      </c>
      <c r="R627" s="250" t="str">
        <f>IFERROR(__xludf.DUMMYFUNCTION("""COMPUTED_VALUE"""),"")</f>
        <v/>
      </c>
      <c r="U627" s="250">
        <f>IFERROR(__xludf.DUMMYFUNCTION("""COMPUTED_VALUE"""),14699.0)</f>
        <v>14699</v>
      </c>
      <c r="V627" s="250">
        <f>IFERROR(__xludf.DUMMYFUNCTION("""COMPUTED_VALUE"""),13999.0)</f>
        <v>13999</v>
      </c>
      <c r="W627" s="250">
        <f>IFERROR(__xludf.DUMMYFUNCTION("""COMPUTED_VALUE"""),12599.0)</f>
        <v>12599</v>
      </c>
      <c r="X627" t="b">
        <f t="shared" ref="X627:Z627" si="1230">ISBLANK(K627)</f>
        <v>1</v>
      </c>
      <c r="Y627" t="b">
        <f t="shared" si="1230"/>
        <v>0</v>
      </c>
      <c r="Z627" t="b">
        <f t="shared" si="1230"/>
        <v>0</v>
      </c>
      <c r="AA627">
        <f t="shared" ref="AA627:AC627" si="1231">IF(X627=FALSE,1,0)</f>
        <v>0</v>
      </c>
      <c r="AB627">
        <f t="shared" si="1231"/>
        <v>1</v>
      </c>
      <c r="AC627">
        <f t="shared" si="1231"/>
        <v>1</v>
      </c>
      <c r="AD627">
        <f t="shared" si="6"/>
        <v>2</v>
      </c>
      <c r="AE627">
        <f t="shared" si="7"/>
        <v>1</v>
      </c>
      <c r="AF627">
        <f>if(iferror(vlookup($A627,'Description Database'!$E$2:$H$951,3,0),0)=TRUE,1,0)</f>
        <v>0</v>
      </c>
      <c r="AG627">
        <f>if(iferror(vlookup($A627,'Description Database'!$E$2:$H$951,4,0),0)=TRUE,1,0)</f>
        <v>0</v>
      </c>
    </row>
    <row r="628">
      <c r="A628" t="str">
        <f>IFERROR(__xludf.DUMMYFUNCTION("""COMPUTED_VALUE"""),"Xiaomi Redmi Note 9 Pro Max (6 GB/128 GB)")</f>
        <v>Xiaomi Redmi Note 9 Pro Max (6 GB/128 GB)</v>
      </c>
      <c r="B628" t="str">
        <f>IFERROR(__xludf.DUMMYFUNCTION("""COMPUTED_VALUE"""),"")</f>
        <v/>
      </c>
      <c r="C628" t="str">
        <f>IFERROR(__xludf.DUMMYFUNCTION("""COMPUTED_VALUE"""),"")</f>
        <v/>
      </c>
      <c r="D628" t="str">
        <f>IFERROR(__xludf.DUMMYFUNCTION("""COMPUTED_VALUE"""),"")</f>
        <v/>
      </c>
      <c r="E628" t="str">
        <f>IFERROR(__xludf.DUMMYFUNCTION("""COMPUTED_VALUE"""),"")</f>
        <v/>
      </c>
      <c r="F628" t="str">
        <f>IFERROR(__xludf.DUMMYFUNCTION("""COMPUTED_VALUE"""),"")</f>
        <v/>
      </c>
      <c r="G628" t="str">
        <f>IFERROR(__xludf.DUMMYFUNCTION("""COMPUTED_VALUE"""),"")</f>
        <v/>
      </c>
      <c r="H628" t="str">
        <f>IFERROR(__xludf.DUMMYFUNCTION("""COMPUTED_VALUE"""),"")</f>
        <v/>
      </c>
      <c r="I628" t="str">
        <f>IFERROR(__xludf.DUMMYFUNCTION("""COMPUTED_VALUE"""),"")</f>
        <v/>
      </c>
      <c r="J628">
        <f>IFERROR(__xludf.DUMMYFUNCTION("""COMPUTED_VALUE"""),0.0)</f>
        <v>0</v>
      </c>
      <c r="L628" s="250" t="str">
        <f>IFERROR(__xludf.DUMMYFUNCTION("""COMPUTED_VALUE"""),"")</f>
        <v/>
      </c>
      <c r="M628" s="250" t="str">
        <f>IFERROR(__xludf.DUMMYFUNCTION("""COMPUTED_VALUE"""),"")</f>
        <v/>
      </c>
      <c r="N628" s="250" t="str">
        <f>IFERROR(__xludf.DUMMYFUNCTION("""COMPUTED_VALUE"""),"")</f>
        <v/>
      </c>
      <c r="O628" s="250" t="str">
        <f>IFERROR(__xludf.DUMMYFUNCTION("""COMPUTED_VALUE"""),"")</f>
        <v/>
      </c>
      <c r="P628" s="250" t="str">
        <f>IFERROR(__xludf.DUMMYFUNCTION("""COMPUTED_VALUE"""),"")</f>
        <v/>
      </c>
      <c r="Q628" s="250" t="str">
        <f>IFERROR(__xludf.DUMMYFUNCTION("""COMPUTED_VALUE"""),"")</f>
        <v/>
      </c>
      <c r="R628" s="250" t="str">
        <f>IFERROR(__xludf.DUMMYFUNCTION("""COMPUTED_VALUE"""),"")</f>
        <v/>
      </c>
      <c r="U628" s="250">
        <f>IFERROR(__xludf.DUMMYFUNCTION("""COMPUTED_VALUE"""),13999.0)</f>
        <v>13999</v>
      </c>
      <c r="V628" s="250">
        <f>IFERROR(__xludf.DUMMYFUNCTION("""COMPUTED_VALUE"""),13319.0)</f>
        <v>13319</v>
      </c>
      <c r="W628" s="250">
        <f>IFERROR(__xludf.DUMMYFUNCTION("""COMPUTED_VALUE"""),12169.0)</f>
        <v>12169</v>
      </c>
      <c r="X628" t="b">
        <f t="shared" ref="X628:Z628" si="1232">ISBLANK(K628)</f>
        <v>1</v>
      </c>
      <c r="Y628" t="b">
        <f t="shared" si="1232"/>
        <v>0</v>
      </c>
      <c r="Z628" t="b">
        <f t="shared" si="1232"/>
        <v>0</v>
      </c>
      <c r="AA628">
        <f t="shared" ref="AA628:AC628" si="1233">IF(X628=FALSE,1,0)</f>
        <v>0</v>
      </c>
      <c r="AB628">
        <f t="shared" si="1233"/>
        <v>1</v>
      </c>
      <c r="AC628">
        <f t="shared" si="1233"/>
        <v>1</v>
      </c>
      <c r="AD628">
        <f t="shared" si="6"/>
        <v>2</v>
      </c>
      <c r="AE628">
        <f t="shared" si="7"/>
        <v>1</v>
      </c>
      <c r="AF628">
        <f>if(iferror(vlookup($A628,'Description Database'!$E$2:$H$951,3,0),0)=TRUE,1,0)</f>
        <v>0</v>
      </c>
      <c r="AG628">
        <f>if(iferror(vlookup($A628,'Description Database'!$E$2:$H$951,4,0),0)=TRUE,1,0)</f>
        <v>0</v>
      </c>
    </row>
    <row r="629">
      <c r="A629" t="str">
        <f>IFERROR(__xludf.DUMMYFUNCTION("""COMPUTED_VALUE"""),"Xiaomi Mi Mix 2 (6 GB/128 GB)")</f>
        <v>Xiaomi Mi Mix 2 (6 GB/128 GB)</v>
      </c>
      <c r="B629" t="str">
        <f>IFERROR(__xludf.DUMMYFUNCTION("""COMPUTED_VALUE"""),"")</f>
        <v/>
      </c>
      <c r="C629" t="str">
        <f>IFERROR(__xludf.DUMMYFUNCTION("""COMPUTED_VALUE"""),"")</f>
        <v/>
      </c>
      <c r="D629" t="str">
        <f>IFERROR(__xludf.DUMMYFUNCTION("""COMPUTED_VALUE"""),"")</f>
        <v/>
      </c>
      <c r="E629" t="str">
        <f>IFERROR(__xludf.DUMMYFUNCTION("""COMPUTED_VALUE"""),"")</f>
        <v/>
      </c>
      <c r="F629" t="str">
        <f>IFERROR(__xludf.DUMMYFUNCTION("""COMPUTED_VALUE"""),"")</f>
        <v/>
      </c>
      <c r="G629" t="str">
        <f>IFERROR(__xludf.DUMMYFUNCTION("""COMPUTED_VALUE"""),"")</f>
        <v/>
      </c>
      <c r="H629" t="str">
        <f>IFERROR(__xludf.DUMMYFUNCTION("""COMPUTED_VALUE"""),"")</f>
        <v/>
      </c>
      <c r="I629" t="str">
        <f>IFERROR(__xludf.DUMMYFUNCTION("""COMPUTED_VALUE"""),"")</f>
        <v/>
      </c>
      <c r="J629">
        <f>IFERROR(__xludf.DUMMYFUNCTION("""COMPUTED_VALUE"""),0.0)</f>
        <v>0</v>
      </c>
      <c r="L629" s="250" t="str">
        <f>IFERROR(__xludf.DUMMYFUNCTION("""COMPUTED_VALUE"""),"")</f>
        <v/>
      </c>
      <c r="M629" s="250" t="str">
        <f>IFERROR(__xludf.DUMMYFUNCTION("""COMPUTED_VALUE"""),"")</f>
        <v/>
      </c>
      <c r="N629" s="250" t="str">
        <f>IFERROR(__xludf.DUMMYFUNCTION("""COMPUTED_VALUE"""),"")</f>
        <v/>
      </c>
      <c r="O629" s="250" t="str">
        <f>IFERROR(__xludf.DUMMYFUNCTION("""COMPUTED_VALUE"""),"")</f>
        <v/>
      </c>
      <c r="P629" s="250" t="str">
        <f>IFERROR(__xludf.DUMMYFUNCTION("""COMPUTED_VALUE"""),"")</f>
        <v/>
      </c>
      <c r="Q629" s="250" t="str">
        <f>IFERROR(__xludf.DUMMYFUNCTION("""COMPUTED_VALUE"""),"")</f>
        <v/>
      </c>
      <c r="R629" s="250" t="str">
        <f>IFERROR(__xludf.DUMMYFUNCTION("""COMPUTED_VALUE"""),"")</f>
        <v/>
      </c>
      <c r="U629" s="250">
        <f>IFERROR(__xludf.DUMMYFUNCTION("""COMPUTED_VALUE"""),8519.0)</f>
        <v>8519</v>
      </c>
      <c r="V629" s="250">
        <f>IFERROR(__xludf.DUMMYFUNCTION("""COMPUTED_VALUE"""),8109.0)</f>
        <v>8109</v>
      </c>
      <c r="W629" s="250">
        <f>IFERROR(__xludf.DUMMYFUNCTION("""COMPUTED_VALUE"""),7299.0)</f>
        <v>7299</v>
      </c>
      <c r="X629" t="b">
        <f t="shared" ref="X629:Z629" si="1234">ISBLANK(K629)</f>
        <v>1</v>
      </c>
      <c r="Y629" t="b">
        <f t="shared" si="1234"/>
        <v>0</v>
      </c>
      <c r="Z629" t="b">
        <f t="shared" si="1234"/>
        <v>0</v>
      </c>
      <c r="AA629">
        <f t="shared" ref="AA629:AC629" si="1235">IF(X629=FALSE,1,0)</f>
        <v>0</v>
      </c>
      <c r="AB629">
        <f t="shared" si="1235"/>
        <v>1</v>
      </c>
      <c r="AC629">
        <f t="shared" si="1235"/>
        <v>1</v>
      </c>
      <c r="AD629">
        <f t="shared" si="6"/>
        <v>2</v>
      </c>
      <c r="AE629">
        <f t="shared" si="7"/>
        <v>1</v>
      </c>
      <c r="AF629">
        <f>if(iferror(vlookup($A629,'Description Database'!$E$2:$H$951,3,0),0)=TRUE,1,0)</f>
        <v>0</v>
      </c>
      <c r="AG629">
        <f>if(iferror(vlookup($A629,'Description Database'!$E$2:$H$951,4,0),0)=TRUE,1,0)</f>
        <v>0</v>
      </c>
    </row>
    <row r="630">
      <c r="A630" t="str">
        <f>IFERROR(__xludf.DUMMYFUNCTION("""COMPUTED_VALUE"""),"Apple iPhone 6S Plus (2 GB/16 GB)")</f>
        <v>Apple iPhone 6S Plus (2 GB/16 GB)</v>
      </c>
      <c r="B630" t="str">
        <f>IFERROR(__xludf.DUMMYFUNCTION("""COMPUTED_VALUE"""),"")</f>
        <v/>
      </c>
      <c r="C630" t="str">
        <f>IFERROR(__xludf.DUMMYFUNCTION("""COMPUTED_VALUE"""),"")</f>
        <v/>
      </c>
      <c r="D630" t="str">
        <f>IFERROR(__xludf.DUMMYFUNCTION("""COMPUTED_VALUE"""),"")</f>
        <v/>
      </c>
      <c r="E630" t="str">
        <f>IFERROR(__xludf.DUMMYFUNCTION("""COMPUTED_VALUE"""),"")</f>
        <v/>
      </c>
      <c r="F630" t="str">
        <f>IFERROR(__xludf.DUMMYFUNCTION("""COMPUTED_VALUE"""),"")</f>
        <v/>
      </c>
      <c r="G630" t="str">
        <f>IFERROR(__xludf.DUMMYFUNCTION("""COMPUTED_VALUE"""),"")</f>
        <v/>
      </c>
      <c r="H630" t="str">
        <f>IFERROR(__xludf.DUMMYFUNCTION("""COMPUTED_VALUE"""),"")</f>
        <v/>
      </c>
      <c r="I630" t="str">
        <f>IFERROR(__xludf.DUMMYFUNCTION("""COMPUTED_VALUE"""),"")</f>
        <v/>
      </c>
      <c r="J630">
        <f>IFERROR(__xludf.DUMMYFUNCTION("""COMPUTED_VALUE"""),0.0)</f>
        <v>0</v>
      </c>
      <c r="L630" s="250" t="str">
        <f>IFERROR(__xludf.DUMMYFUNCTION("""COMPUTED_VALUE"""),"")</f>
        <v/>
      </c>
      <c r="M630" s="250" t="str">
        <f>IFERROR(__xludf.DUMMYFUNCTION("""COMPUTED_VALUE"""),"")</f>
        <v/>
      </c>
      <c r="N630" s="250" t="str">
        <f>IFERROR(__xludf.DUMMYFUNCTION("""COMPUTED_VALUE"""),"")</f>
        <v/>
      </c>
      <c r="O630" s="250" t="str">
        <f>IFERROR(__xludf.DUMMYFUNCTION("""COMPUTED_VALUE"""),"")</f>
        <v/>
      </c>
      <c r="P630" s="250" t="str">
        <f>IFERROR(__xludf.DUMMYFUNCTION("""COMPUTED_VALUE"""),"")</f>
        <v/>
      </c>
      <c r="Q630" s="250" t="str">
        <f>IFERROR(__xludf.DUMMYFUNCTION("""COMPUTED_VALUE"""),"")</f>
        <v/>
      </c>
      <c r="R630" s="250" t="str">
        <f>IFERROR(__xludf.DUMMYFUNCTION("""COMPUTED_VALUE"""),"")</f>
        <v/>
      </c>
      <c r="U630" s="250">
        <f>IFERROR(__xludf.DUMMYFUNCTION("""COMPUTED_VALUE"""),9909.0)</f>
        <v>9909</v>
      </c>
      <c r="V630" s="250">
        <f>IFERROR(__xludf.DUMMYFUNCTION("""COMPUTED_VALUE"""),9439.0)</f>
        <v>9439</v>
      </c>
      <c r="W630" s="250">
        <f>IFERROR(__xludf.DUMMYFUNCTION("""COMPUTED_VALUE"""),8499.0)</f>
        <v>8499</v>
      </c>
      <c r="X630" t="b">
        <f t="shared" ref="X630:Z630" si="1236">ISBLANK(K630)</f>
        <v>1</v>
      </c>
      <c r="Y630" t="b">
        <f t="shared" si="1236"/>
        <v>0</v>
      </c>
      <c r="Z630" t="b">
        <f t="shared" si="1236"/>
        <v>0</v>
      </c>
      <c r="AA630">
        <f t="shared" ref="AA630:AC630" si="1237">IF(X630=FALSE,1,0)</f>
        <v>0</v>
      </c>
      <c r="AB630">
        <f t="shared" si="1237"/>
        <v>1</v>
      </c>
      <c r="AC630">
        <f t="shared" si="1237"/>
        <v>1</v>
      </c>
      <c r="AD630">
        <f t="shared" si="6"/>
        <v>2</v>
      </c>
      <c r="AE630">
        <f t="shared" si="7"/>
        <v>1</v>
      </c>
      <c r="AF630">
        <f>if(iferror(vlookup($A630,'Description Database'!$E$2:$H$951,3,0),0)=TRUE,1,0)</f>
        <v>1</v>
      </c>
      <c r="AG630">
        <f>if(iferror(vlookup($A630,'Description Database'!$E$2:$H$951,4,0),0)=TRUE,1,0)</f>
        <v>1</v>
      </c>
    </row>
    <row r="631">
      <c r="A631" t="str">
        <f>IFERROR(__xludf.DUMMYFUNCTION("""COMPUTED_VALUE"""),"Vivo Y20 (4 GB/64 GB)")</f>
        <v>Vivo Y20 (4 GB/64 GB)</v>
      </c>
      <c r="B631" t="str">
        <f>IFERROR(__xludf.DUMMYFUNCTION("""COMPUTED_VALUE"""),"")</f>
        <v/>
      </c>
      <c r="C631" t="str">
        <f>IFERROR(__xludf.DUMMYFUNCTION("""COMPUTED_VALUE"""),"")</f>
        <v/>
      </c>
      <c r="D631" t="str">
        <f>IFERROR(__xludf.DUMMYFUNCTION("""COMPUTED_VALUE"""),"")</f>
        <v/>
      </c>
      <c r="E631" t="str">
        <f>IFERROR(__xludf.DUMMYFUNCTION("""COMPUTED_VALUE"""),"")</f>
        <v/>
      </c>
      <c r="F631" t="str">
        <f>IFERROR(__xludf.DUMMYFUNCTION("""COMPUTED_VALUE"""),"")</f>
        <v/>
      </c>
      <c r="G631" t="str">
        <f>IFERROR(__xludf.DUMMYFUNCTION("""COMPUTED_VALUE"""),"")</f>
        <v/>
      </c>
      <c r="H631" t="str">
        <f>IFERROR(__xludf.DUMMYFUNCTION("""COMPUTED_VALUE"""),"")</f>
        <v/>
      </c>
      <c r="I631" t="str">
        <f>IFERROR(__xludf.DUMMYFUNCTION("""COMPUTED_VALUE"""),"")</f>
        <v/>
      </c>
      <c r="J631">
        <f>IFERROR(__xludf.DUMMYFUNCTION("""COMPUTED_VALUE"""),0.0)</f>
        <v>0</v>
      </c>
      <c r="L631" s="250" t="str">
        <f>IFERROR(__xludf.DUMMYFUNCTION("""COMPUTED_VALUE"""),"")</f>
        <v/>
      </c>
      <c r="M631" s="250" t="str">
        <f>IFERROR(__xludf.DUMMYFUNCTION("""COMPUTED_VALUE"""),"")</f>
        <v/>
      </c>
      <c r="N631" s="250" t="str">
        <f>IFERROR(__xludf.DUMMYFUNCTION("""COMPUTED_VALUE"""),"")</f>
        <v/>
      </c>
      <c r="O631" s="250" t="str">
        <f>IFERROR(__xludf.DUMMYFUNCTION("""COMPUTED_VALUE"""),"")</f>
        <v/>
      </c>
      <c r="P631" s="250" t="str">
        <f>IFERROR(__xludf.DUMMYFUNCTION("""COMPUTED_VALUE"""),"")</f>
        <v/>
      </c>
      <c r="Q631" s="250" t="str">
        <f>IFERROR(__xludf.DUMMYFUNCTION("""COMPUTED_VALUE"""),"")</f>
        <v/>
      </c>
      <c r="R631" s="250" t="str">
        <f>IFERROR(__xludf.DUMMYFUNCTION("""COMPUTED_VALUE"""),"")</f>
        <v/>
      </c>
      <c r="U631" s="250">
        <f>IFERROR(__xludf.DUMMYFUNCTION("""COMPUTED_VALUE"""),10079.0)</f>
        <v>10079</v>
      </c>
      <c r="V631" s="250">
        <f>IFERROR(__xludf.DUMMYFUNCTION("""COMPUTED_VALUE"""),9599.0)</f>
        <v>9599</v>
      </c>
      <c r="W631" s="250">
        <f>IFERROR(__xludf.DUMMYFUNCTION("""COMPUTED_VALUE"""),8639.0)</f>
        <v>8639</v>
      </c>
      <c r="X631" t="b">
        <f t="shared" ref="X631:Z631" si="1238">ISBLANK(K631)</f>
        <v>1</v>
      </c>
      <c r="Y631" t="b">
        <f t="shared" si="1238"/>
        <v>0</v>
      </c>
      <c r="Z631" t="b">
        <f t="shared" si="1238"/>
        <v>0</v>
      </c>
      <c r="AA631">
        <f t="shared" ref="AA631:AC631" si="1239">IF(X631=FALSE,1,0)</f>
        <v>0</v>
      </c>
      <c r="AB631">
        <f t="shared" si="1239"/>
        <v>1</v>
      </c>
      <c r="AC631">
        <f t="shared" si="1239"/>
        <v>1</v>
      </c>
      <c r="AD631">
        <f t="shared" si="6"/>
        <v>2</v>
      </c>
      <c r="AE631">
        <f t="shared" si="7"/>
        <v>1</v>
      </c>
      <c r="AF631">
        <f>if(iferror(vlookup($A631,'Description Database'!$E$2:$H$951,3,0),0)=TRUE,1,0)</f>
        <v>0</v>
      </c>
      <c r="AG631">
        <f>if(iferror(vlookup($A631,'Description Database'!$E$2:$H$951,4,0),0)=TRUE,1,0)</f>
        <v>0</v>
      </c>
    </row>
    <row r="632">
      <c r="A632" t="str">
        <f>IFERROR(__xludf.DUMMYFUNCTION("""COMPUTED_VALUE"""),"Samsung Galaxy M21 (4 GB/64 GB)")</f>
        <v>Samsung Galaxy M21 (4 GB/64 GB)</v>
      </c>
      <c r="B632" t="str">
        <f>IFERROR(__xludf.DUMMYFUNCTION("""COMPUTED_VALUE"""),"")</f>
        <v/>
      </c>
      <c r="C632" t="str">
        <f>IFERROR(__xludf.DUMMYFUNCTION("""COMPUTED_VALUE"""),"")</f>
        <v/>
      </c>
      <c r="D632" t="str">
        <f>IFERROR(__xludf.DUMMYFUNCTION("""COMPUTED_VALUE"""),"")</f>
        <v/>
      </c>
      <c r="E632" t="str">
        <f>IFERROR(__xludf.DUMMYFUNCTION("""COMPUTED_VALUE"""),"")</f>
        <v/>
      </c>
      <c r="F632" t="str">
        <f>IFERROR(__xludf.DUMMYFUNCTION("""COMPUTED_VALUE"""),"")</f>
        <v/>
      </c>
      <c r="G632" t="str">
        <f>IFERROR(__xludf.DUMMYFUNCTION("""COMPUTED_VALUE"""),"")</f>
        <v/>
      </c>
      <c r="H632" t="str">
        <f>IFERROR(__xludf.DUMMYFUNCTION("""COMPUTED_VALUE"""),"")</f>
        <v/>
      </c>
      <c r="I632">
        <f>IFERROR(__xludf.DUMMYFUNCTION("""COMPUTED_VALUE"""),5.0)</f>
        <v>5</v>
      </c>
      <c r="J632">
        <f>IFERROR(__xludf.DUMMYFUNCTION("""COMPUTED_VALUE"""),5.0)</f>
        <v>5</v>
      </c>
      <c r="L632" s="250" t="str">
        <f>IFERROR(__xludf.DUMMYFUNCTION("""COMPUTED_VALUE"""),"")</f>
        <v/>
      </c>
      <c r="M632" s="250" t="str">
        <f>IFERROR(__xludf.DUMMYFUNCTION("""COMPUTED_VALUE"""),"")</f>
        <v/>
      </c>
      <c r="N632" s="250" t="str">
        <f>IFERROR(__xludf.DUMMYFUNCTION("""COMPUTED_VALUE"""),"")</f>
        <v/>
      </c>
      <c r="O632" s="250" t="str">
        <f>IFERROR(__xludf.DUMMYFUNCTION("""COMPUTED_VALUE"""),"")</f>
        <v/>
      </c>
      <c r="P632" s="250" t="str">
        <f>IFERROR(__xludf.DUMMYFUNCTION("""COMPUTED_VALUE"""),"")</f>
        <v/>
      </c>
      <c r="Q632" s="250" t="str">
        <f>IFERROR(__xludf.DUMMYFUNCTION("""COMPUTED_VALUE"""),"")</f>
        <v/>
      </c>
      <c r="R632" s="250" t="str">
        <f>IFERROR(__xludf.DUMMYFUNCTION("""COMPUTED_VALUE"""),"")</f>
        <v/>
      </c>
      <c r="U632" s="250">
        <f>IFERROR(__xludf.DUMMYFUNCTION("""COMPUTED_VALUE"""),8289.0)</f>
        <v>8289</v>
      </c>
      <c r="V632" s="250">
        <f>IFERROR(__xludf.DUMMYFUNCTION("""COMPUTED_VALUE"""),7889.0)</f>
        <v>7889</v>
      </c>
      <c r="W632" s="250">
        <f>IFERROR(__xludf.DUMMYFUNCTION("""COMPUTED_VALUE"""),7099.0)</f>
        <v>7099</v>
      </c>
      <c r="X632" t="b">
        <f t="shared" ref="X632:Z632" si="1240">ISBLANK(K632)</f>
        <v>1</v>
      </c>
      <c r="Y632" t="b">
        <f t="shared" si="1240"/>
        <v>0</v>
      </c>
      <c r="Z632" t="b">
        <f t="shared" si="1240"/>
        <v>0</v>
      </c>
      <c r="AA632">
        <f t="shared" ref="AA632:AC632" si="1241">IF(X632=FALSE,1,0)</f>
        <v>0</v>
      </c>
      <c r="AB632">
        <f t="shared" si="1241"/>
        <v>1</v>
      </c>
      <c r="AC632">
        <f t="shared" si="1241"/>
        <v>1</v>
      </c>
      <c r="AD632">
        <f t="shared" si="6"/>
        <v>2</v>
      </c>
      <c r="AE632">
        <f t="shared" si="7"/>
        <v>1</v>
      </c>
      <c r="AF632">
        <f>if(iferror(vlookup($A632,'Description Database'!$E$2:$H$951,3,0),0)=TRUE,1,0)</f>
        <v>0</v>
      </c>
      <c r="AG632">
        <f>if(iferror(vlookup($A632,'Description Database'!$E$2:$H$951,4,0),0)=TRUE,1,0)</f>
        <v>0</v>
      </c>
    </row>
    <row r="633">
      <c r="A633" t="str">
        <f>IFERROR(__xludf.DUMMYFUNCTION("""COMPUTED_VALUE"""),"ONEPLUS 6 (8 GB/128 GB)")</f>
        <v>ONEPLUS 6 (8 GB/128 GB)</v>
      </c>
      <c r="B633" t="str">
        <f>IFERROR(__xludf.DUMMYFUNCTION("""COMPUTED_VALUE"""),"")</f>
        <v/>
      </c>
      <c r="C633" t="str">
        <f>IFERROR(__xludf.DUMMYFUNCTION("""COMPUTED_VALUE"""),"")</f>
        <v/>
      </c>
      <c r="D633" t="str">
        <f>IFERROR(__xludf.DUMMYFUNCTION("""COMPUTED_VALUE"""),"")</f>
        <v/>
      </c>
      <c r="E633" t="str">
        <f>IFERROR(__xludf.DUMMYFUNCTION("""COMPUTED_VALUE"""),"")</f>
        <v/>
      </c>
      <c r="F633">
        <f>IFERROR(__xludf.DUMMYFUNCTION("""COMPUTED_VALUE"""),1.0)</f>
        <v>1</v>
      </c>
      <c r="G633" t="str">
        <f>IFERROR(__xludf.DUMMYFUNCTION("""COMPUTED_VALUE"""),"")</f>
        <v/>
      </c>
      <c r="H633">
        <f>IFERROR(__xludf.DUMMYFUNCTION("""COMPUTED_VALUE"""),1.0)</f>
        <v>1</v>
      </c>
      <c r="I633">
        <f>IFERROR(__xludf.DUMMYFUNCTION("""COMPUTED_VALUE"""),4.0)</f>
        <v>4</v>
      </c>
      <c r="J633">
        <f>IFERROR(__xludf.DUMMYFUNCTION("""COMPUTED_VALUE"""),6.0)</f>
        <v>6</v>
      </c>
      <c r="L633" s="250" t="str">
        <f>IFERROR(__xludf.DUMMYFUNCTION("""COMPUTED_VALUE"""),"")</f>
        <v/>
      </c>
      <c r="M633" s="250" t="str">
        <f>IFERROR(__xludf.DUMMYFUNCTION("""COMPUTED_VALUE"""),"")</f>
        <v/>
      </c>
      <c r="N633" s="250" t="str">
        <f>IFERROR(__xludf.DUMMYFUNCTION("""COMPUTED_VALUE"""),"")</f>
        <v/>
      </c>
      <c r="O633" s="250" t="str">
        <f>IFERROR(__xludf.DUMMYFUNCTION("""COMPUTED_VALUE"""),"")</f>
        <v/>
      </c>
      <c r="P633" s="250">
        <f>IFERROR(__xludf.DUMMYFUNCTION("""COMPUTED_VALUE"""),9139.0)</f>
        <v>9139</v>
      </c>
      <c r="Q633" s="250" t="str">
        <f>IFERROR(__xludf.DUMMYFUNCTION("""COMPUTED_VALUE"""),"")</f>
        <v/>
      </c>
      <c r="R633" s="250">
        <f>IFERROR(__xludf.DUMMYFUNCTION("""COMPUTED_VALUE"""),4789.0)</f>
        <v>4789</v>
      </c>
      <c r="U633" s="250">
        <f>IFERROR(__xludf.DUMMYFUNCTION("""COMPUTED_VALUE"""),13999.0)</f>
        <v>13999</v>
      </c>
      <c r="V633" s="250">
        <f>IFERROR(__xludf.DUMMYFUNCTION("""COMPUTED_VALUE"""),13319.0)</f>
        <v>13319</v>
      </c>
      <c r="W633" s="250">
        <f>IFERROR(__xludf.DUMMYFUNCTION("""COMPUTED_VALUE"""),11989.0)</f>
        <v>11989</v>
      </c>
      <c r="X633" t="b">
        <f t="shared" ref="X633:Z633" si="1242">ISBLANK(K633)</f>
        <v>1</v>
      </c>
      <c r="Y633" t="b">
        <f t="shared" si="1242"/>
        <v>0</v>
      </c>
      <c r="Z633" t="b">
        <f t="shared" si="1242"/>
        <v>0</v>
      </c>
      <c r="AA633">
        <f t="shared" ref="AA633:AC633" si="1243">IF(X633=FALSE,1,0)</f>
        <v>0</v>
      </c>
      <c r="AB633">
        <f t="shared" si="1243"/>
        <v>1</v>
      </c>
      <c r="AC633">
        <f t="shared" si="1243"/>
        <v>1</v>
      </c>
      <c r="AD633">
        <f t="shared" si="6"/>
        <v>2</v>
      </c>
      <c r="AE633">
        <f t="shared" si="7"/>
        <v>1</v>
      </c>
      <c r="AF633">
        <f>if(iferror(vlookup($A633,'Description Database'!$E$2:$H$951,3,0),0)=TRUE,1,0)</f>
        <v>0</v>
      </c>
      <c r="AG633">
        <f>if(iferror(vlookup($A633,'Description Database'!$E$2:$H$951,4,0),0)=TRUE,1,0)</f>
        <v>0</v>
      </c>
    </row>
    <row r="634">
      <c r="A634" t="str">
        <f>IFERROR(__xludf.DUMMYFUNCTION("""COMPUTED_VALUE"""),"Samsung GALAXY A7 2018 (4 GB/64 GB)")</f>
        <v>Samsung GALAXY A7 2018 (4 GB/64 GB)</v>
      </c>
      <c r="B634" t="str">
        <f>IFERROR(__xludf.DUMMYFUNCTION("""COMPUTED_VALUE"""),"")</f>
        <v/>
      </c>
      <c r="C634" t="str">
        <f>IFERROR(__xludf.DUMMYFUNCTION("""COMPUTED_VALUE"""),"")</f>
        <v/>
      </c>
      <c r="D634" t="str">
        <f>IFERROR(__xludf.DUMMYFUNCTION("""COMPUTED_VALUE"""),"")</f>
        <v/>
      </c>
      <c r="E634" t="str">
        <f>IFERROR(__xludf.DUMMYFUNCTION("""COMPUTED_VALUE"""),"")</f>
        <v/>
      </c>
      <c r="F634">
        <f>IFERROR(__xludf.DUMMYFUNCTION("""COMPUTED_VALUE"""),1.0)</f>
        <v>1</v>
      </c>
      <c r="G634" t="str">
        <f>IFERROR(__xludf.DUMMYFUNCTION("""COMPUTED_VALUE"""),"")</f>
        <v/>
      </c>
      <c r="H634" t="str">
        <f>IFERROR(__xludf.DUMMYFUNCTION("""COMPUTED_VALUE"""),"")</f>
        <v/>
      </c>
      <c r="I634" t="str">
        <f>IFERROR(__xludf.DUMMYFUNCTION("""COMPUTED_VALUE"""),"")</f>
        <v/>
      </c>
      <c r="J634">
        <f>IFERROR(__xludf.DUMMYFUNCTION("""COMPUTED_VALUE"""),1.0)</f>
        <v>1</v>
      </c>
      <c r="L634" s="250" t="str">
        <f>IFERROR(__xludf.DUMMYFUNCTION("""COMPUTED_VALUE"""),"")</f>
        <v/>
      </c>
      <c r="M634" s="250" t="str">
        <f>IFERROR(__xludf.DUMMYFUNCTION("""COMPUTED_VALUE"""),"")</f>
        <v/>
      </c>
      <c r="N634" s="250" t="str">
        <f>IFERROR(__xludf.DUMMYFUNCTION("""COMPUTED_VALUE"""),"")</f>
        <v/>
      </c>
      <c r="O634" s="250" t="str">
        <f>IFERROR(__xludf.DUMMYFUNCTION("""COMPUTED_VALUE"""),"")</f>
        <v/>
      </c>
      <c r="P634" s="250">
        <f>IFERROR(__xludf.DUMMYFUNCTION("""COMPUTED_VALUE"""),4629.0)</f>
        <v>4629</v>
      </c>
      <c r="Q634" s="250" t="str">
        <f>IFERROR(__xludf.DUMMYFUNCTION("""COMPUTED_VALUE"""),"")</f>
        <v/>
      </c>
      <c r="R634" s="250" t="str">
        <f>IFERROR(__xludf.DUMMYFUNCTION("""COMPUTED_VALUE"""),"")</f>
        <v/>
      </c>
      <c r="U634" s="250">
        <f>IFERROR(__xludf.DUMMYFUNCTION("""COMPUTED_VALUE"""),7099.0)</f>
        <v>7099</v>
      </c>
      <c r="V634" s="250">
        <f>IFERROR(__xludf.DUMMYFUNCTION("""COMPUTED_VALUE"""),6759.0)</f>
        <v>6759</v>
      </c>
      <c r="W634" s="250">
        <f>IFERROR(__xludf.DUMMYFUNCTION("""COMPUTED_VALUE"""),6079.0)</f>
        <v>6079</v>
      </c>
      <c r="X634" t="b">
        <f t="shared" ref="X634:Z634" si="1244">ISBLANK(K634)</f>
        <v>1</v>
      </c>
      <c r="Y634" t="b">
        <f t="shared" si="1244"/>
        <v>0</v>
      </c>
      <c r="Z634" t="b">
        <f t="shared" si="1244"/>
        <v>0</v>
      </c>
      <c r="AA634">
        <f t="shared" ref="AA634:AC634" si="1245">IF(X634=FALSE,1,0)</f>
        <v>0</v>
      </c>
      <c r="AB634">
        <f t="shared" si="1245"/>
        <v>1</v>
      </c>
      <c r="AC634">
        <f t="shared" si="1245"/>
        <v>1</v>
      </c>
      <c r="AD634">
        <f t="shared" si="6"/>
        <v>2</v>
      </c>
      <c r="AE634">
        <f t="shared" si="7"/>
        <v>1</v>
      </c>
      <c r="AF634">
        <f>if(iferror(vlookup($A634,'Description Database'!$E$2:$H$951,3,0),0)=TRUE,1,0)</f>
        <v>0</v>
      </c>
      <c r="AG634">
        <f>if(iferror(vlookup($A634,'Description Database'!$E$2:$H$951,4,0),0)=TRUE,1,0)</f>
        <v>0</v>
      </c>
    </row>
    <row r="635">
      <c r="A635" t="str">
        <f>IFERROR(__xludf.DUMMYFUNCTION("""COMPUTED_VALUE"""),"Samsung Galaxy J4 Plus (2 GB/32 GB)")</f>
        <v>Samsung Galaxy J4 Plus (2 GB/32 GB)</v>
      </c>
      <c r="B635" t="str">
        <f>IFERROR(__xludf.DUMMYFUNCTION("""COMPUTED_VALUE"""),"")</f>
        <v/>
      </c>
      <c r="C635" t="str">
        <f>IFERROR(__xludf.DUMMYFUNCTION("""COMPUTED_VALUE"""),"")</f>
        <v/>
      </c>
      <c r="D635" t="str">
        <f>IFERROR(__xludf.DUMMYFUNCTION("""COMPUTED_VALUE"""),"")</f>
        <v/>
      </c>
      <c r="E635" t="str">
        <f>IFERROR(__xludf.DUMMYFUNCTION("""COMPUTED_VALUE"""),"")</f>
        <v/>
      </c>
      <c r="F635" t="str">
        <f>IFERROR(__xludf.DUMMYFUNCTION("""COMPUTED_VALUE"""),"")</f>
        <v/>
      </c>
      <c r="G635">
        <f>IFERROR(__xludf.DUMMYFUNCTION("""COMPUTED_VALUE"""),1.0)</f>
        <v>1</v>
      </c>
      <c r="H635" t="str">
        <f>IFERROR(__xludf.DUMMYFUNCTION("""COMPUTED_VALUE"""),"")</f>
        <v/>
      </c>
      <c r="I635" t="str">
        <f>IFERROR(__xludf.DUMMYFUNCTION("""COMPUTED_VALUE"""),"")</f>
        <v/>
      </c>
      <c r="J635">
        <f>IFERROR(__xludf.DUMMYFUNCTION("""COMPUTED_VALUE"""),1.0)</f>
        <v>1</v>
      </c>
      <c r="L635" s="250" t="str">
        <f>IFERROR(__xludf.DUMMYFUNCTION("""COMPUTED_VALUE"""),"")</f>
        <v/>
      </c>
      <c r="M635" s="250" t="str">
        <f>IFERROR(__xludf.DUMMYFUNCTION("""COMPUTED_VALUE"""),"")</f>
        <v/>
      </c>
      <c r="N635" s="250" t="str">
        <f>IFERROR(__xludf.DUMMYFUNCTION("""COMPUTED_VALUE"""),"")</f>
        <v/>
      </c>
      <c r="O635" s="250" t="str">
        <f>IFERROR(__xludf.DUMMYFUNCTION("""COMPUTED_VALUE"""),"")</f>
        <v/>
      </c>
      <c r="P635" s="250" t="str">
        <f>IFERROR(__xludf.DUMMYFUNCTION("""COMPUTED_VALUE"""),"")</f>
        <v/>
      </c>
      <c r="Q635" s="250">
        <f>IFERROR(__xludf.DUMMYFUNCTION("""COMPUTED_VALUE"""),2469.0)</f>
        <v>2469</v>
      </c>
      <c r="R635" s="250" t="str">
        <f>IFERROR(__xludf.DUMMYFUNCTION("""COMPUTED_VALUE"""),"")</f>
        <v/>
      </c>
      <c r="U635" s="250">
        <f>IFERROR(__xludf.DUMMYFUNCTION("""COMPUTED_VALUE"""),5259.0)</f>
        <v>5259</v>
      </c>
      <c r="V635" s="250">
        <f>IFERROR(__xludf.DUMMYFUNCTION("""COMPUTED_VALUE"""),5009.0)</f>
        <v>5009</v>
      </c>
      <c r="W635" s="250">
        <f>IFERROR(__xludf.DUMMYFUNCTION("""COMPUTED_VALUE"""),4579.0)</f>
        <v>4579</v>
      </c>
      <c r="X635" t="b">
        <f t="shared" ref="X635:Z635" si="1246">ISBLANK(K635)</f>
        <v>1</v>
      </c>
      <c r="Y635" t="b">
        <f t="shared" si="1246"/>
        <v>0</v>
      </c>
      <c r="Z635" t="b">
        <f t="shared" si="1246"/>
        <v>0</v>
      </c>
      <c r="AA635">
        <f t="shared" ref="AA635:AC635" si="1247">IF(X635=FALSE,1,0)</f>
        <v>0</v>
      </c>
      <c r="AB635">
        <f t="shared" si="1247"/>
        <v>1</v>
      </c>
      <c r="AC635">
        <f t="shared" si="1247"/>
        <v>1</v>
      </c>
      <c r="AD635">
        <f t="shared" si="6"/>
        <v>2</v>
      </c>
      <c r="AE635">
        <f t="shared" si="7"/>
        <v>1</v>
      </c>
      <c r="AF635">
        <f>if(iferror(vlookup($A635,'Description Database'!$E$2:$H$951,3,0),0)=TRUE,1,0)</f>
        <v>0</v>
      </c>
      <c r="AG635">
        <f>if(iferror(vlookup($A635,'Description Database'!$E$2:$H$951,4,0),0)=TRUE,1,0)</f>
        <v>0</v>
      </c>
    </row>
    <row r="636">
      <c r="A636" t="str">
        <f>IFERROR(__xludf.DUMMYFUNCTION("""COMPUTED_VALUE"""),"Apple iPhone 6 (1 GB/128 GB)")</f>
        <v>Apple iPhone 6 (1 GB/128 GB)</v>
      </c>
      <c r="B636" t="str">
        <f>IFERROR(__xludf.DUMMYFUNCTION("""COMPUTED_VALUE"""),"")</f>
        <v/>
      </c>
      <c r="C636" t="str">
        <f>IFERROR(__xludf.DUMMYFUNCTION("""COMPUTED_VALUE"""),"")</f>
        <v/>
      </c>
      <c r="D636" t="str">
        <f>IFERROR(__xludf.DUMMYFUNCTION("""COMPUTED_VALUE"""),"")</f>
        <v/>
      </c>
      <c r="E636" t="str">
        <f>IFERROR(__xludf.DUMMYFUNCTION("""COMPUTED_VALUE"""),"")</f>
        <v/>
      </c>
      <c r="F636">
        <f>IFERROR(__xludf.DUMMYFUNCTION("""COMPUTED_VALUE"""),1.0)</f>
        <v>1</v>
      </c>
      <c r="G636" t="str">
        <f>IFERROR(__xludf.DUMMYFUNCTION("""COMPUTED_VALUE"""),"")</f>
        <v/>
      </c>
      <c r="H636" t="str">
        <f>IFERROR(__xludf.DUMMYFUNCTION("""COMPUTED_VALUE"""),"")</f>
        <v/>
      </c>
      <c r="I636">
        <f>IFERROR(__xludf.DUMMYFUNCTION("""COMPUTED_VALUE"""),1.0)</f>
        <v>1</v>
      </c>
      <c r="J636">
        <f>IFERROR(__xludf.DUMMYFUNCTION("""COMPUTED_VALUE"""),2.0)</f>
        <v>2</v>
      </c>
      <c r="L636" s="250" t="str">
        <f>IFERROR(__xludf.DUMMYFUNCTION("""COMPUTED_VALUE"""),"")</f>
        <v/>
      </c>
      <c r="M636" s="250" t="str">
        <f>IFERROR(__xludf.DUMMYFUNCTION("""COMPUTED_VALUE"""),"")</f>
        <v/>
      </c>
      <c r="N636" s="250" t="str">
        <f>IFERROR(__xludf.DUMMYFUNCTION("""COMPUTED_VALUE"""),"")</f>
        <v/>
      </c>
      <c r="O636" s="250" t="str">
        <f>IFERROR(__xludf.DUMMYFUNCTION("""COMPUTED_VALUE"""),"")</f>
        <v/>
      </c>
      <c r="P636" s="250">
        <f>IFERROR(__xludf.DUMMYFUNCTION("""COMPUTED_VALUE"""),5929.0)</f>
        <v>5929</v>
      </c>
      <c r="Q636" s="250" t="str">
        <f>IFERROR(__xludf.DUMMYFUNCTION("""COMPUTED_VALUE"""),"")</f>
        <v/>
      </c>
      <c r="R636" s="250" t="str">
        <f>IFERROR(__xludf.DUMMYFUNCTION("""COMPUTED_VALUE"""),"")</f>
        <v/>
      </c>
      <c r="U636" s="250">
        <f>IFERROR(__xludf.DUMMYFUNCTION("""COMPUTED_VALUE"""),9139.0)</f>
        <v>9139</v>
      </c>
      <c r="V636" s="250">
        <f>IFERROR(__xludf.DUMMYFUNCTION("""COMPUTED_VALUE"""),8699.0)</f>
        <v>8699</v>
      </c>
      <c r="W636" s="250">
        <f>IFERROR(__xludf.DUMMYFUNCTION("""COMPUTED_VALUE"""),7839.0)</f>
        <v>7839</v>
      </c>
      <c r="X636" t="b">
        <f t="shared" ref="X636:Z636" si="1248">ISBLANK(K636)</f>
        <v>1</v>
      </c>
      <c r="Y636" t="b">
        <f t="shared" si="1248"/>
        <v>0</v>
      </c>
      <c r="Z636" t="b">
        <f t="shared" si="1248"/>
        <v>0</v>
      </c>
      <c r="AA636">
        <f t="shared" ref="AA636:AC636" si="1249">IF(X636=FALSE,1,0)</f>
        <v>0</v>
      </c>
      <c r="AB636">
        <f t="shared" si="1249"/>
        <v>1</v>
      </c>
      <c r="AC636">
        <f t="shared" si="1249"/>
        <v>1</v>
      </c>
      <c r="AD636">
        <f t="shared" si="6"/>
        <v>2</v>
      </c>
      <c r="AE636">
        <f t="shared" si="7"/>
        <v>1</v>
      </c>
      <c r="AF636">
        <f>if(iferror(vlookup($A636,'Description Database'!$E$2:$H$951,3,0),0)=TRUE,1,0)</f>
        <v>0</v>
      </c>
      <c r="AG636">
        <f>if(iferror(vlookup($A636,'Description Database'!$E$2:$H$951,4,0),0)=TRUE,1,0)</f>
        <v>0</v>
      </c>
    </row>
    <row r="637">
      <c r="A637" t="str">
        <f>IFERROR(__xludf.DUMMYFUNCTION("""COMPUTED_VALUE"""),"Vivo V11 (6 GB/64 GB)")</f>
        <v>Vivo V11 (6 GB/64 GB)</v>
      </c>
      <c r="B637" t="str">
        <f>IFERROR(__xludf.DUMMYFUNCTION("""COMPUTED_VALUE"""),"")</f>
        <v/>
      </c>
      <c r="C637" t="str">
        <f>IFERROR(__xludf.DUMMYFUNCTION("""COMPUTED_VALUE"""),"")</f>
        <v/>
      </c>
      <c r="D637" t="str">
        <f>IFERROR(__xludf.DUMMYFUNCTION("""COMPUTED_VALUE"""),"")</f>
        <v/>
      </c>
      <c r="E637" t="str">
        <f>IFERROR(__xludf.DUMMYFUNCTION("""COMPUTED_VALUE"""),"")</f>
        <v/>
      </c>
      <c r="F637" t="str">
        <f>IFERROR(__xludf.DUMMYFUNCTION("""COMPUTED_VALUE"""),"")</f>
        <v/>
      </c>
      <c r="G637" t="str">
        <f>IFERROR(__xludf.DUMMYFUNCTION("""COMPUTED_VALUE"""),"")</f>
        <v/>
      </c>
      <c r="H637" t="str">
        <f>IFERROR(__xludf.DUMMYFUNCTION("""COMPUTED_VALUE"""),"")</f>
        <v/>
      </c>
      <c r="I637">
        <f>IFERROR(__xludf.DUMMYFUNCTION("""COMPUTED_VALUE"""),5.0)</f>
        <v>5</v>
      </c>
      <c r="J637">
        <f>IFERROR(__xludf.DUMMYFUNCTION("""COMPUTED_VALUE"""),5.0)</f>
        <v>5</v>
      </c>
      <c r="L637" s="250" t="str">
        <f>IFERROR(__xludf.DUMMYFUNCTION("""COMPUTED_VALUE"""),"")</f>
        <v/>
      </c>
      <c r="M637" s="250" t="str">
        <f>IFERROR(__xludf.DUMMYFUNCTION("""COMPUTED_VALUE"""),"")</f>
        <v/>
      </c>
      <c r="N637" s="250" t="str">
        <f>IFERROR(__xludf.DUMMYFUNCTION("""COMPUTED_VALUE"""),"")</f>
        <v/>
      </c>
      <c r="O637" s="250" t="str">
        <f>IFERROR(__xludf.DUMMYFUNCTION("""COMPUTED_VALUE"""),"")</f>
        <v/>
      </c>
      <c r="P637" s="250" t="str">
        <f>IFERROR(__xludf.DUMMYFUNCTION("""COMPUTED_VALUE"""),"")</f>
        <v/>
      </c>
      <c r="Q637" s="250" t="str">
        <f>IFERROR(__xludf.DUMMYFUNCTION("""COMPUTED_VALUE"""),"")</f>
        <v/>
      </c>
      <c r="R637" s="250" t="str">
        <f>IFERROR(__xludf.DUMMYFUNCTION("""COMPUTED_VALUE"""),"")</f>
        <v/>
      </c>
      <c r="U637" s="250">
        <f>IFERROR(__xludf.DUMMYFUNCTION("""COMPUTED_VALUE"""),8979.0)</f>
        <v>8979</v>
      </c>
      <c r="V637" s="250">
        <f>IFERROR(__xludf.DUMMYFUNCTION("""COMPUTED_VALUE"""),8549.0)</f>
        <v>8549</v>
      </c>
      <c r="W637" s="250">
        <f>IFERROR(__xludf.DUMMYFUNCTION("""COMPUTED_VALUE"""),7809.0)</f>
        <v>7809</v>
      </c>
      <c r="X637" t="b">
        <f t="shared" ref="X637:Z637" si="1250">ISBLANK(K637)</f>
        <v>1</v>
      </c>
      <c r="Y637" t="b">
        <f t="shared" si="1250"/>
        <v>0</v>
      </c>
      <c r="Z637" t="b">
        <f t="shared" si="1250"/>
        <v>0</v>
      </c>
      <c r="AA637">
        <f t="shared" ref="AA637:AC637" si="1251">IF(X637=FALSE,1,0)</f>
        <v>0</v>
      </c>
      <c r="AB637">
        <f t="shared" si="1251"/>
        <v>1</v>
      </c>
      <c r="AC637">
        <f t="shared" si="1251"/>
        <v>1</v>
      </c>
      <c r="AD637">
        <f t="shared" si="6"/>
        <v>2</v>
      </c>
      <c r="AE637">
        <f t="shared" si="7"/>
        <v>1</v>
      </c>
      <c r="AF637">
        <f>if(iferror(vlookup($A637,'Description Database'!$E$2:$H$951,3,0),0)=TRUE,1,0)</f>
        <v>0</v>
      </c>
      <c r="AG637">
        <f>if(iferror(vlookup($A637,'Description Database'!$E$2:$H$951,4,0),0)=TRUE,1,0)</f>
        <v>1</v>
      </c>
    </row>
    <row r="638">
      <c r="A638" t="str">
        <f>IFERROR(__xludf.DUMMYFUNCTION("""COMPUTED_VALUE"""),"Samsung Galaxy A50s (6 GB/128 GB)")</f>
        <v>Samsung Galaxy A50s (6 GB/128 GB)</v>
      </c>
      <c r="B638" t="str">
        <f>IFERROR(__xludf.DUMMYFUNCTION("""COMPUTED_VALUE"""),"")</f>
        <v/>
      </c>
      <c r="C638" t="str">
        <f>IFERROR(__xludf.DUMMYFUNCTION("""COMPUTED_VALUE"""),"")</f>
        <v/>
      </c>
      <c r="D638" t="str">
        <f>IFERROR(__xludf.DUMMYFUNCTION("""COMPUTED_VALUE"""),"")</f>
        <v/>
      </c>
      <c r="E638" t="str">
        <f>IFERROR(__xludf.DUMMYFUNCTION("""COMPUTED_VALUE"""),"")</f>
        <v/>
      </c>
      <c r="F638" t="str">
        <f>IFERROR(__xludf.DUMMYFUNCTION("""COMPUTED_VALUE"""),"")</f>
        <v/>
      </c>
      <c r="G638" t="str">
        <f>IFERROR(__xludf.DUMMYFUNCTION("""COMPUTED_VALUE"""),"")</f>
        <v/>
      </c>
      <c r="H638" t="str">
        <f>IFERROR(__xludf.DUMMYFUNCTION("""COMPUTED_VALUE"""),"")</f>
        <v/>
      </c>
      <c r="I638">
        <f>IFERROR(__xludf.DUMMYFUNCTION("""COMPUTED_VALUE"""),8.0)</f>
        <v>8</v>
      </c>
      <c r="J638">
        <f>IFERROR(__xludf.DUMMYFUNCTION("""COMPUTED_VALUE"""),8.0)</f>
        <v>8</v>
      </c>
      <c r="L638" s="250" t="str">
        <f>IFERROR(__xludf.DUMMYFUNCTION("""COMPUTED_VALUE"""),"")</f>
        <v/>
      </c>
      <c r="M638" s="250" t="str">
        <f>IFERROR(__xludf.DUMMYFUNCTION("""COMPUTED_VALUE"""),"")</f>
        <v/>
      </c>
      <c r="N638" s="250" t="str">
        <f>IFERROR(__xludf.DUMMYFUNCTION("""COMPUTED_VALUE"""),"")</f>
        <v/>
      </c>
      <c r="O638" s="250" t="str">
        <f>IFERROR(__xludf.DUMMYFUNCTION("""COMPUTED_VALUE"""),"")</f>
        <v/>
      </c>
      <c r="P638" s="250" t="str">
        <f>IFERROR(__xludf.DUMMYFUNCTION("""COMPUTED_VALUE"""),"")</f>
        <v/>
      </c>
      <c r="Q638" s="250" t="str">
        <f>IFERROR(__xludf.DUMMYFUNCTION("""COMPUTED_VALUE"""),"")</f>
        <v/>
      </c>
      <c r="R638" s="250" t="str">
        <f>IFERROR(__xludf.DUMMYFUNCTION("""COMPUTED_VALUE"""),"")</f>
        <v/>
      </c>
      <c r="U638" s="250">
        <f>IFERROR(__xludf.DUMMYFUNCTION("""COMPUTED_VALUE"""),9749.0)</f>
        <v>9749</v>
      </c>
      <c r="V638" s="250">
        <f>IFERROR(__xludf.DUMMYFUNCTION("""COMPUTED_VALUE"""),9279.0)</f>
        <v>9279</v>
      </c>
      <c r="W638" s="250">
        <f>IFERROR(__xludf.DUMMYFUNCTION("""COMPUTED_VALUE"""),8339.0)</f>
        <v>8339</v>
      </c>
      <c r="X638" t="b">
        <f t="shared" ref="X638:Z638" si="1252">ISBLANK(K638)</f>
        <v>1</v>
      </c>
      <c r="Y638" t="b">
        <f t="shared" si="1252"/>
        <v>0</v>
      </c>
      <c r="Z638" t="b">
        <f t="shared" si="1252"/>
        <v>0</v>
      </c>
      <c r="AA638">
        <f t="shared" ref="AA638:AC638" si="1253">IF(X638=FALSE,1,0)</f>
        <v>0</v>
      </c>
      <c r="AB638">
        <f t="shared" si="1253"/>
        <v>1</v>
      </c>
      <c r="AC638">
        <f t="shared" si="1253"/>
        <v>1</v>
      </c>
      <c r="AD638">
        <f t="shared" si="6"/>
        <v>2</v>
      </c>
      <c r="AE638">
        <f t="shared" si="7"/>
        <v>1</v>
      </c>
      <c r="AF638">
        <f>if(iferror(vlookup($A638,'Description Database'!$E$2:$H$951,3,0),0)=TRUE,1,0)</f>
        <v>0</v>
      </c>
      <c r="AG638">
        <f>if(iferror(vlookup($A638,'Description Database'!$E$2:$H$951,4,0),0)=TRUE,1,0)</f>
        <v>0</v>
      </c>
    </row>
    <row r="639">
      <c r="A639" t="str">
        <f>IFERROR(__xludf.DUMMYFUNCTION("""COMPUTED_VALUE"""),"Vivo S1 Pro (8 GB/128 GB)")</f>
        <v>Vivo S1 Pro (8 GB/128 GB)</v>
      </c>
      <c r="B639" t="str">
        <f>IFERROR(__xludf.DUMMYFUNCTION("""COMPUTED_VALUE"""),"")</f>
        <v/>
      </c>
      <c r="C639" t="str">
        <f>IFERROR(__xludf.DUMMYFUNCTION("""COMPUTED_VALUE"""),"")</f>
        <v/>
      </c>
      <c r="D639" t="str">
        <f>IFERROR(__xludf.DUMMYFUNCTION("""COMPUTED_VALUE"""),"")</f>
        <v/>
      </c>
      <c r="E639" t="str">
        <f>IFERROR(__xludf.DUMMYFUNCTION("""COMPUTED_VALUE"""),"")</f>
        <v/>
      </c>
      <c r="F639" t="str">
        <f>IFERROR(__xludf.DUMMYFUNCTION("""COMPUTED_VALUE"""),"")</f>
        <v/>
      </c>
      <c r="G639" t="str">
        <f>IFERROR(__xludf.DUMMYFUNCTION("""COMPUTED_VALUE"""),"")</f>
        <v/>
      </c>
      <c r="H639" t="str">
        <f>IFERROR(__xludf.DUMMYFUNCTION("""COMPUTED_VALUE"""),"")</f>
        <v/>
      </c>
      <c r="I639">
        <f>IFERROR(__xludf.DUMMYFUNCTION("""COMPUTED_VALUE"""),1.0)</f>
        <v>1</v>
      </c>
      <c r="J639">
        <f>IFERROR(__xludf.DUMMYFUNCTION("""COMPUTED_VALUE"""),1.0)</f>
        <v>1</v>
      </c>
      <c r="L639" s="250" t="str">
        <f>IFERROR(__xludf.DUMMYFUNCTION("""COMPUTED_VALUE"""),"")</f>
        <v/>
      </c>
      <c r="M639" s="250" t="str">
        <f>IFERROR(__xludf.DUMMYFUNCTION("""COMPUTED_VALUE"""),"")</f>
        <v/>
      </c>
      <c r="N639" s="250" t="str">
        <f>IFERROR(__xludf.DUMMYFUNCTION("""COMPUTED_VALUE"""),"")</f>
        <v/>
      </c>
      <c r="O639" s="250" t="str">
        <f>IFERROR(__xludf.DUMMYFUNCTION("""COMPUTED_VALUE"""),"")</f>
        <v/>
      </c>
      <c r="P639" s="250" t="str">
        <f>IFERROR(__xludf.DUMMYFUNCTION("""COMPUTED_VALUE"""),"")</f>
        <v/>
      </c>
      <c r="Q639" s="250" t="str">
        <f>IFERROR(__xludf.DUMMYFUNCTION("""COMPUTED_VALUE"""),"")</f>
        <v/>
      </c>
      <c r="R639" s="250" t="str">
        <f>IFERROR(__xludf.DUMMYFUNCTION("""COMPUTED_VALUE"""),"")</f>
        <v/>
      </c>
      <c r="U639" s="250">
        <f>IFERROR(__xludf.DUMMYFUNCTION("""COMPUTED_VALUE"""),13809.0)</f>
        <v>13809</v>
      </c>
      <c r="V639" s="250">
        <f>IFERROR(__xludf.DUMMYFUNCTION("""COMPUTED_VALUE"""),13149.0)</f>
        <v>13149</v>
      </c>
      <c r="W639" s="250">
        <f>IFERROR(__xludf.DUMMYFUNCTION("""COMPUTED_VALUE"""),11839.0)</f>
        <v>11839</v>
      </c>
      <c r="X639" t="b">
        <f t="shared" ref="X639:Z639" si="1254">ISBLANK(K639)</f>
        <v>1</v>
      </c>
      <c r="Y639" t="b">
        <f t="shared" si="1254"/>
        <v>0</v>
      </c>
      <c r="Z639" t="b">
        <f t="shared" si="1254"/>
        <v>0</v>
      </c>
      <c r="AA639">
        <f t="shared" ref="AA639:AC639" si="1255">IF(X639=FALSE,1,0)</f>
        <v>0</v>
      </c>
      <c r="AB639">
        <f t="shared" si="1255"/>
        <v>1</v>
      </c>
      <c r="AC639">
        <f t="shared" si="1255"/>
        <v>1</v>
      </c>
      <c r="AD639">
        <f t="shared" si="6"/>
        <v>2</v>
      </c>
      <c r="AE639">
        <f t="shared" si="7"/>
        <v>1</v>
      </c>
      <c r="AF639">
        <f>if(iferror(vlookup($A639,'Description Database'!$E$2:$H$951,3,0),0)=TRUE,1,0)</f>
        <v>0</v>
      </c>
      <c r="AG639">
        <f>if(iferror(vlookup($A639,'Description Database'!$E$2:$H$951,4,0),0)=TRUE,1,0)</f>
        <v>0</v>
      </c>
    </row>
    <row r="640">
      <c r="A640" t="str">
        <f>IFERROR(__xludf.DUMMYFUNCTION("""COMPUTED_VALUE"""),"Vivo NEX (8 GB/128 GB)")</f>
        <v>Vivo NEX (8 GB/128 GB)</v>
      </c>
      <c r="B640" t="str">
        <f>IFERROR(__xludf.DUMMYFUNCTION("""COMPUTED_VALUE"""),"")</f>
        <v/>
      </c>
      <c r="C640" t="str">
        <f>IFERROR(__xludf.DUMMYFUNCTION("""COMPUTED_VALUE"""),"")</f>
        <v/>
      </c>
      <c r="D640" t="str">
        <f>IFERROR(__xludf.DUMMYFUNCTION("""COMPUTED_VALUE"""),"")</f>
        <v/>
      </c>
      <c r="E640" t="str">
        <f>IFERROR(__xludf.DUMMYFUNCTION("""COMPUTED_VALUE"""),"")</f>
        <v/>
      </c>
      <c r="F640" t="str">
        <f>IFERROR(__xludf.DUMMYFUNCTION("""COMPUTED_VALUE"""),"")</f>
        <v/>
      </c>
      <c r="G640" t="str">
        <f>IFERROR(__xludf.DUMMYFUNCTION("""COMPUTED_VALUE"""),"")</f>
        <v/>
      </c>
      <c r="H640" t="str">
        <f>IFERROR(__xludf.DUMMYFUNCTION("""COMPUTED_VALUE"""),"")</f>
        <v/>
      </c>
      <c r="I640" t="str">
        <f>IFERROR(__xludf.DUMMYFUNCTION("""COMPUTED_VALUE"""),"")</f>
        <v/>
      </c>
      <c r="J640">
        <f>IFERROR(__xludf.DUMMYFUNCTION("""COMPUTED_VALUE"""),0.0)</f>
        <v>0</v>
      </c>
      <c r="L640" s="250" t="str">
        <f>IFERROR(__xludf.DUMMYFUNCTION("""COMPUTED_VALUE"""),"")</f>
        <v/>
      </c>
      <c r="M640" s="250" t="str">
        <f>IFERROR(__xludf.DUMMYFUNCTION("""COMPUTED_VALUE"""),"")</f>
        <v/>
      </c>
      <c r="N640" s="250" t="str">
        <f>IFERROR(__xludf.DUMMYFUNCTION("""COMPUTED_VALUE"""),"")</f>
        <v/>
      </c>
      <c r="O640" s="250" t="str">
        <f>IFERROR(__xludf.DUMMYFUNCTION("""COMPUTED_VALUE"""),"")</f>
        <v/>
      </c>
      <c r="P640" s="250" t="str">
        <f>IFERROR(__xludf.DUMMYFUNCTION("""COMPUTED_VALUE"""),"")</f>
        <v/>
      </c>
      <c r="Q640" s="250" t="str">
        <f>IFERROR(__xludf.DUMMYFUNCTION("""COMPUTED_VALUE"""),"")</f>
        <v/>
      </c>
      <c r="R640" s="250" t="str">
        <f>IFERROR(__xludf.DUMMYFUNCTION("""COMPUTED_VALUE"""),"")</f>
        <v/>
      </c>
      <c r="U640" s="250">
        <f>IFERROR(__xludf.DUMMYFUNCTION("""COMPUTED_VALUE"""),14299.0)</f>
        <v>14299</v>
      </c>
      <c r="V640" s="250">
        <f>IFERROR(__xludf.DUMMYFUNCTION("""COMPUTED_VALUE"""),13619.0)</f>
        <v>13619</v>
      </c>
      <c r="W640" s="250">
        <f>IFERROR(__xludf.DUMMYFUNCTION("""COMPUTED_VALUE"""),12269.0)</f>
        <v>12269</v>
      </c>
      <c r="X640" t="b">
        <f t="shared" ref="X640:Z640" si="1256">ISBLANK(K640)</f>
        <v>1</v>
      </c>
      <c r="Y640" t="b">
        <f t="shared" si="1256"/>
        <v>0</v>
      </c>
      <c r="Z640" t="b">
        <f t="shared" si="1256"/>
        <v>0</v>
      </c>
      <c r="AA640">
        <f t="shared" ref="AA640:AC640" si="1257">IF(X640=FALSE,1,0)</f>
        <v>0</v>
      </c>
      <c r="AB640">
        <f t="shared" si="1257"/>
        <v>1</v>
      </c>
      <c r="AC640">
        <f t="shared" si="1257"/>
        <v>1</v>
      </c>
      <c r="AD640">
        <f t="shared" si="6"/>
        <v>2</v>
      </c>
      <c r="AE640">
        <f t="shared" si="7"/>
        <v>1</v>
      </c>
      <c r="AF640">
        <f>if(iferror(vlookup($A640,'Description Database'!$E$2:$H$951,3,0),0)=TRUE,1,0)</f>
        <v>0</v>
      </c>
      <c r="AG640">
        <f>if(iferror(vlookup($A640,'Description Database'!$E$2:$H$951,4,0),0)=TRUE,1,0)</f>
        <v>0</v>
      </c>
    </row>
    <row r="641">
      <c r="A641" t="str">
        <f>IFERROR(__xludf.DUMMYFUNCTION("""COMPUTED_VALUE"""),"Oppo F5 YOUTH (3 GB/32GB)")</f>
        <v>Oppo F5 YOUTH (3 GB/32GB)</v>
      </c>
      <c r="B641" t="str">
        <f>IFERROR(__xludf.DUMMYFUNCTION("""COMPUTED_VALUE"""),"")</f>
        <v/>
      </c>
      <c r="C641" t="str">
        <f>IFERROR(__xludf.DUMMYFUNCTION("""COMPUTED_VALUE"""),"")</f>
        <v/>
      </c>
      <c r="D641" t="str">
        <f>IFERROR(__xludf.DUMMYFUNCTION("""COMPUTED_VALUE"""),"")</f>
        <v/>
      </c>
      <c r="E641" t="str">
        <f>IFERROR(__xludf.DUMMYFUNCTION("""COMPUTED_VALUE"""),"")</f>
        <v/>
      </c>
      <c r="F641" t="str">
        <f>IFERROR(__xludf.DUMMYFUNCTION("""COMPUTED_VALUE"""),"")</f>
        <v/>
      </c>
      <c r="G641" t="str">
        <f>IFERROR(__xludf.DUMMYFUNCTION("""COMPUTED_VALUE"""),"")</f>
        <v/>
      </c>
      <c r="H641" t="str">
        <f>IFERROR(__xludf.DUMMYFUNCTION("""COMPUTED_VALUE"""),"")</f>
        <v/>
      </c>
      <c r="I641">
        <f>IFERROR(__xludf.DUMMYFUNCTION("""COMPUTED_VALUE"""),3.0)</f>
        <v>3</v>
      </c>
      <c r="J641">
        <f>IFERROR(__xludf.DUMMYFUNCTION("""COMPUTED_VALUE"""),3.0)</f>
        <v>3</v>
      </c>
      <c r="L641" s="250" t="str">
        <f>IFERROR(__xludf.DUMMYFUNCTION("""COMPUTED_VALUE"""),"")</f>
        <v/>
      </c>
      <c r="M641" s="250" t="str">
        <f>IFERROR(__xludf.DUMMYFUNCTION("""COMPUTED_VALUE"""),"")</f>
        <v/>
      </c>
      <c r="N641" s="250" t="str">
        <f>IFERROR(__xludf.DUMMYFUNCTION("""COMPUTED_VALUE"""),"")</f>
        <v/>
      </c>
      <c r="O641" s="250" t="str">
        <f>IFERROR(__xludf.DUMMYFUNCTION("""COMPUTED_VALUE"""),"")</f>
        <v/>
      </c>
      <c r="P641" s="250" t="str">
        <f>IFERROR(__xludf.DUMMYFUNCTION("""COMPUTED_VALUE"""),"")</f>
        <v/>
      </c>
      <c r="Q641" s="250" t="str">
        <f>IFERROR(__xludf.DUMMYFUNCTION("""COMPUTED_VALUE"""),"")</f>
        <v/>
      </c>
      <c r="R641" s="250" t="str">
        <f>IFERROR(__xludf.DUMMYFUNCTION("""COMPUTED_VALUE"""),"")</f>
        <v/>
      </c>
      <c r="U641" s="250" t="str">
        <f>IFERROR(__xludf.DUMMYFUNCTION("""COMPUTED_VALUE"""),"#N/A")</f>
        <v>#N/A</v>
      </c>
      <c r="V641" s="250" t="str">
        <f>IFERROR(__xludf.DUMMYFUNCTION("""COMPUTED_VALUE"""),"#N/A")</f>
        <v>#N/A</v>
      </c>
      <c r="W641" s="250" t="str">
        <f>IFERROR(__xludf.DUMMYFUNCTION("""COMPUTED_VALUE"""),"#N/A")</f>
        <v>#N/A</v>
      </c>
      <c r="X641" t="b">
        <f t="shared" ref="X641:Z641" si="1258">ISBLANK(K641)</f>
        <v>1</v>
      </c>
      <c r="Y641" t="b">
        <f t="shared" si="1258"/>
        <v>0</v>
      </c>
      <c r="Z641" t="b">
        <f t="shared" si="1258"/>
        <v>0</v>
      </c>
      <c r="AA641">
        <f t="shared" ref="AA641:AC641" si="1259">IF(X641=FALSE,1,0)</f>
        <v>0</v>
      </c>
      <c r="AB641">
        <f t="shared" si="1259"/>
        <v>1</v>
      </c>
      <c r="AC641">
        <f t="shared" si="1259"/>
        <v>1</v>
      </c>
      <c r="AD641">
        <f t="shared" si="6"/>
        <v>2</v>
      </c>
      <c r="AE641">
        <f t="shared" si="7"/>
        <v>1</v>
      </c>
      <c r="AF641">
        <f>if(iferror(vlookup($A641,'Description Database'!$E$2:$H$951,3,0),0)=TRUE,1,0)</f>
        <v>0</v>
      </c>
      <c r="AG641">
        <f>if(iferror(vlookup($A641,'Description Database'!$E$2:$H$951,4,0),0)=TRUE,1,0)</f>
        <v>0</v>
      </c>
    </row>
    <row r="642">
      <c r="A642" t="str">
        <f>IFERROR(__xludf.DUMMYFUNCTION("""COMPUTED_VALUE"""),"Samsung Galaxy A10s (2 GB/32 GB)")</f>
        <v>Samsung Galaxy A10s (2 GB/32 GB)</v>
      </c>
      <c r="B642" t="str">
        <f>IFERROR(__xludf.DUMMYFUNCTION("""COMPUTED_VALUE"""),"")</f>
        <v/>
      </c>
      <c r="C642" t="str">
        <f>IFERROR(__xludf.DUMMYFUNCTION("""COMPUTED_VALUE"""),"")</f>
        <v/>
      </c>
      <c r="D642" t="str">
        <f>IFERROR(__xludf.DUMMYFUNCTION("""COMPUTED_VALUE"""),"")</f>
        <v/>
      </c>
      <c r="E642" t="str">
        <f>IFERROR(__xludf.DUMMYFUNCTION("""COMPUTED_VALUE"""),"")</f>
        <v/>
      </c>
      <c r="F642" t="str">
        <f>IFERROR(__xludf.DUMMYFUNCTION("""COMPUTED_VALUE"""),"")</f>
        <v/>
      </c>
      <c r="G642" t="str">
        <f>IFERROR(__xludf.DUMMYFUNCTION("""COMPUTED_VALUE"""),"")</f>
        <v/>
      </c>
      <c r="H642" t="str">
        <f>IFERROR(__xludf.DUMMYFUNCTION("""COMPUTED_VALUE"""),"")</f>
        <v/>
      </c>
      <c r="I642">
        <f>IFERROR(__xludf.DUMMYFUNCTION("""COMPUTED_VALUE"""),1.0)</f>
        <v>1</v>
      </c>
      <c r="J642">
        <f>IFERROR(__xludf.DUMMYFUNCTION("""COMPUTED_VALUE"""),1.0)</f>
        <v>1</v>
      </c>
      <c r="L642" s="250" t="str">
        <f>IFERROR(__xludf.DUMMYFUNCTION("""COMPUTED_VALUE"""),"")</f>
        <v/>
      </c>
      <c r="M642" s="250" t="str">
        <f>IFERROR(__xludf.DUMMYFUNCTION("""COMPUTED_VALUE"""),"")</f>
        <v/>
      </c>
      <c r="N642" s="250" t="str">
        <f>IFERROR(__xludf.DUMMYFUNCTION("""COMPUTED_VALUE"""),"")</f>
        <v/>
      </c>
      <c r="O642" s="250" t="str">
        <f>IFERROR(__xludf.DUMMYFUNCTION("""COMPUTED_VALUE"""),"")</f>
        <v/>
      </c>
      <c r="P642" s="250" t="str">
        <f>IFERROR(__xludf.DUMMYFUNCTION("""COMPUTED_VALUE"""),"")</f>
        <v/>
      </c>
      <c r="Q642" s="250" t="str">
        <f>IFERROR(__xludf.DUMMYFUNCTION("""COMPUTED_VALUE"""),"")</f>
        <v/>
      </c>
      <c r="R642" s="250" t="str">
        <f>IFERROR(__xludf.DUMMYFUNCTION("""COMPUTED_VALUE"""),"")</f>
        <v/>
      </c>
      <c r="U642" s="250">
        <f>IFERROR(__xludf.DUMMYFUNCTION("""COMPUTED_VALUE"""),6079.0)</f>
        <v>6079</v>
      </c>
      <c r="V642" s="250">
        <f>IFERROR(__xludf.DUMMYFUNCTION("""COMPUTED_VALUE"""),5779.0)</f>
        <v>5779</v>
      </c>
      <c r="W642" s="250">
        <f>IFERROR(__xludf.DUMMYFUNCTION("""COMPUTED_VALUE"""),5209.0)</f>
        <v>5209</v>
      </c>
      <c r="X642" t="b">
        <f t="shared" ref="X642:Z642" si="1260">ISBLANK(K642)</f>
        <v>1</v>
      </c>
      <c r="Y642" t="b">
        <f t="shared" si="1260"/>
        <v>0</v>
      </c>
      <c r="Z642" t="b">
        <f t="shared" si="1260"/>
        <v>0</v>
      </c>
      <c r="AA642">
        <f t="shared" ref="AA642:AC642" si="1261">IF(X642=FALSE,1,0)</f>
        <v>0</v>
      </c>
      <c r="AB642">
        <f t="shared" si="1261"/>
        <v>1</v>
      </c>
      <c r="AC642">
        <f t="shared" si="1261"/>
        <v>1</v>
      </c>
      <c r="AD642">
        <f t="shared" si="6"/>
        <v>2</v>
      </c>
      <c r="AE642">
        <f t="shared" si="7"/>
        <v>1</v>
      </c>
      <c r="AF642">
        <f>if(iferror(vlookup($A642,'Description Database'!$E$2:$H$951,3,0),0)=TRUE,1,0)</f>
        <v>0</v>
      </c>
      <c r="AG642">
        <f>if(iferror(vlookup($A642,'Description Database'!$E$2:$H$951,4,0),0)=TRUE,1,0)</f>
        <v>0</v>
      </c>
    </row>
    <row r="643">
      <c r="A643" t="str">
        <f>IFERROR(__xludf.DUMMYFUNCTION("""COMPUTED_VALUE"""),"Oppo A7 (3 GB/32 GB)")</f>
        <v>Oppo A7 (3 GB/32 GB)</v>
      </c>
      <c r="B643" t="str">
        <f>IFERROR(__xludf.DUMMYFUNCTION("""COMPUTED_VALUE"""),"")</f>
        <v/>
      </c>
      <c r="C643" t="str">
        <f>IFERROR(__xludf.DUMMYFUNCTION("""COMPUTED_VALUE"""),"")</f>
        <v/>
      </c>
      <c r="D643" t="str">
        <f>IFERROR(__xludf.DUMMYFUNCTION("""COMPUTED_VALUE"""),"")</f>
        <v/>
      </c>
      <c r="E643" t="str">
        <f>IFERROR(__xludf.DUMMYFUNCTION("""COMPUTED_VALUE"""),"")</f>
        <v/>
      </c>
      <c r="F643" t="str">
        <f>IFERROR(__xludf.DUMMYFUNCTION("""COMPUTED_VALUE"""),"")</f>
        <v/>
      </c>
      <c r="G643" t="str">
        <f>IFERROR(__xludf.DUMMYFUNCTION("""COMPUTED_VALUE"""),"")</f>
        <v/>
      </c>
      <c r="H643" t="str">
        <f>IFERROR(__xludf.DUMMYFUNCTION("""COMPUTED_VALUE"""),"")</f>
        <v/>
      </c>
      <c r="I643" t="str">
        <f>IFERROR(__xludf.DUMMYFUNCTION("""COMPUTED_VALUE"""),"")</f>
        <v/>
      </c>
      <c r="J643">
        <f>IFERROR(__xludf.DUMMYFUNCTION("""COMPUTED_VALUE"""),0.0)</f>
        <v>0</v>
      </c>
      <c r="L643" s="250" t="str">
        <f>IFERROR(__xludf.DUMMYFUNCTION("""COMPUTED_VALUE"""),"")</f>
        <v/>
      </c>
      <c r="M643" s="250" t="str">
        <f>IFERROR(__xludf.DUMMYFUNCTION("""COMPUTED_VALUE"""),"")</f>
        <v/>
      </c>
      <c r="N643" s="250" t="str">
        <f>IFERROR(__xludf.DUMMYFUNCTION("""COMPUTED_VALUE"""),"")</f>
        <v/>
      </c>
      <c r="O643" s="250" t="str">
        <f>IFERROR(__xludf.DUMMYFUNCTION("""COMPUTED_VALUE"""),"")</f>
        <v/>
      </c>
      <c r="P643" s="250" t="str">
        <f>IFERROR(__xludf.DUMMYFUNCTION("""COMPUTED_VALUE"""),"")</f>
        <v/>
      </c>
      <c r="Q643" s="250" t="str">
        <f>IFERROR(__xludf.DUMMYFUNCTION("""COMPUTED_VALUE"""),"")</f>
        <v/>
      </c>
      <c r="R643" s="250" t="str">
        <f>IFERROR(__xludf.DUMMYFUNCTION("""COMPUTED_VALUE"""),"")</f>
        <v/>
      </c>
      <c r="U643" s="250">
        <f>IFERROR(__xludf.DUMMYFUNCTION("""COMPUTED_VALUE"""),7549.0)</f>
        <v>7549</v>
      </c>
      <c r="V643" s="250">
        <f>IFERROR(__xludf.DUMMYFUNCTION("""COMPUTED_VALUE"""),7189.0)</f>
        <v>7189</v>
      </c>
      <c r="W643" s="250">
        <f>IFERROR(__xludf.DUMMYFUNCTION("""COMPUTED_VALUE"""),6469.0)</f>
        <v>6469</v>
      </c>
      <c r="X643" t="b">
        <f t="shared" ref="X643:Z643" si="1262">ISBLANK(K643)</f>
        <v>1</v>
      </c>
      <c r="Y643" t="b">
        <f t="shared" si="1262"/>
        <v>0</v>
      </c>
      <c r="Z643" t="b">
        <f t="shared" si="1262"/>
        <v>0</v>
      </c>
      <c r="AA643">
        <f t="shared" ref="AA643:AC643" si="1263">IF(X643=FALSE,1,0)</f>
        <v>0</v>
      </c>
      <c r="AB643">
        <f t="shared" si="1263"/>
        <v>1</v>
      </c>
      <c r="AC643">
        <f t="shared" si="1263"/>
        <v>1</v>
      </c>
      <c r="AD643">
        <f t="shared" si="6"/>
        <v>2</v>
      </c>
      <c r="AE643">
        <f t="shared" si="7"/>
        <v>1</v>
      </c>
      <c r="AF643">
        <f>if(iferror(vlookup($A643,'Description Database'!$E$2:$H$951,3,0),0)=TRUE,1,0)</f>
        <v>0</v>
      </c>
      <c r="AG643">
        <f>if(iferror(vlookup($A643,'Description Database'!$E$2:$H$951,4,0),0)=TRUE,1,0)</f>
        <v>0</v>
      </c>
    </row>
    <row r="644">
      <c r="A644" t="str">
        <f>IFERROR(__xludf.DUMMYFUNCTION("""COMPUTED_VALUE"""),"Apple IPHONE 8 plus (2 GB/64 GB)")</f>
        <v>Apple IPHONE 8 plus (2 GB/64 GB)</v>
      </c>
      <c r="B644" t="str">
        <f>IFERROR(__xludf.DUMMYFUNCTION("""COMPUTED_VALUE"""),"")</f>
        <v/>
      </c>
      <c r="C644" t="str">
        <f>IFERROR(__xludf.DUMMYFUNCTION("""COMPUTED_VALUE"""),"")</f>
        <v/>
      </c>
      <c r="D644" t="str">
        <f>IFERROR(__xludf.DUMMYFUNCTION("""COMPUTED_VALUE"""),"")</f>
        <v/>
      </c>
      <c r="E644" t="str">
        <f>IFERROR(__xludf.DUMMYFUNCTION("""COMPUTED_VALUE"""),"")</f>
        <v/>
      </c>
      <c r="F644" t="str">
        <f>IFERROR(__xludf.DUMMYFUNCTION("""COMPUTED_VALUE"""),"")</f>
        <v/>
      </c>
      <c r="G644" t="str">
        <f>IFERROR(__xludf.DUMMYFUNCTION("""COMPUTED_VALUE"""),"")</f>
        <v/>
      </c>
      <c r="H644" t="str">
        <f>IFERROR(__xludf.DUMMYFUNCTION("""COMPUTED_VALUE"""),"")</f>
        <v/>
      </c>
      <c r="I644" t="str">
        <f>IFERROR(__xludf.DUMMYFUNCTION("""COMPUTED_VALUE"""),"")</f>
        <v/>
      </c>
      <c r="J644">
        <f>IFERROR(__xludf.DUMMYFUNCTION("""COMPUTED_VALUE"""),0.0)</f>
        <v>0</v>
      </c>
      <c r="L644" s="250" t="str">
        <f>IFERROR(__xludf.DUMMYFUNCTION("""COMPUTED_VALUE"""),"")</f>
        <v/>
      </c>
      <c r="M644" s="250" t="str">
        <f>IFERROR(__xludf.DUMMYFUNCTION("""COMPUTED_VALUE"""),"")</f>
        <v/>
      </c>
      <c r="N644" s="250" t="str">
        <f>IFERROR(__xludf.DUMMYFUNCTION("""COMPUTED_VALUE"""),"")</f>
        <v/>
      </c>
      <c r="O644" s="250" t="str">
        <f>IFERROR(__xludf.DUMMYFUNCTION("""COMPUTED_VALUE"""),"")</f>
        <v/>
      </c>
      <c r="P644" s="250" t="str">
        <f>IFERROR(__xludf.DUMMYFUNCTION("""COMPUTED_VALUE"""),"")</f>
        <v/>
      </c>
      <c r="Q644" s="250" t="str">
        <f>IFERROR(__xludf.DUMMYFUNCTION("""COMPUTED_VALUE"""),"")</f>
        <v/>
      </c>
      <c r="R644" s="250" t="str">
        <f>IFERROR(__xludf.DUMMYFUNCTION("""COMPUTED_VALUE"""),"")</f>
        <v/>
      </c>
      <c r="U644" s="250" t="str">
        <f>IFERROR(__xludf.DUMMYFUNCTION("""COMPUTED_VALUE"""),"#N/A")</f>
        <v>#N/A</v>
      </c>
      <c r="V644" s="250" t="str">
        <f>IFERROR(__xludf.DUMMYFUNCTION("""COMPUTED_VALUE"""),"#N/A")</f>
        <v>#N/A</v>
      </c>
      <c r="W644" s="250" t="str">
        <f>IFERROR(__xludf.DUMMYFUNCTION("""COMPUTED_VALUE"""),"#N/A")</f>
        <v>#N/A</v>
      </c>
      <c r="X644" t="b">
        <f t="shared" ref="X644:Z644" si="1264">ISBLANK(K644)</f>
        <v>1</v>
      </c>
      <c r="Y644" t="b">
        <f t="shared" si="1264"/>
        <v>0</v>
      </c>
      <c r="Z644" t="b">
        <f t="shared" si="1264"/>
        <v>0</v>
      </c>
      <c r="AA644">
        <f t="shared" ref="AA644:AC644" si="1265">IF(X644=FALSE,1,0)</f>
        <v>0</v>
      </c>
      <c r="AB644">
        <f t="shared" si="1265"/>
        <v>1</v>
      </c>
      <c r="AC644">
        <f t="shared" si="1265"/>
        <v>1</v>
      </c>
      <c r="AD644">
        <f t="shared" si="6"/>
        <v>2</v>
      </c>
      <c r="AE644">
        <f t="shared" si="7"/>
        <v>1</v>
      </c>
      <c r="AF644">
        <f>if(iferror(vlookup($A644,'Description Database'!$E$2:$H$951,3,0),0)=TRUE,1,0)</f>
        <v>0</v>
      </c>
      <c r="AG644">
        <f>if(iferror(vlookup($A644,'Description Database'!$E$2:$H$951,4,0),0)=TRUE,1,0)</f>
        <v>0</v>
      </c>
    </row>
    <row r="645">
      <c r="A645" t="str">
        <f>IFERROR(__xludf.DUMMYFUNCTION("""COMPUTED_VALUE"""),"Samsung Galaxy M51 (8 GB/128 GB)")</f>
        <v>Samsung Galaxy M51 (8 GB/128 GB)</v>
      </c>
      <c r="B645" t="str">
        <f>IFERROR(__xludf.DUMMYFUNCTION("""COMPUTED_VALUE"""),"")</f>
        <v/>
      </c>
      <c r="C645" t="str">
        <f>IFERROR(__xludf.DUMMYFUNCTION("""COMPUTED_VALUE"""),"")</f>
        <v/>
      </c>
      <c r="D645" t="str">
        <f>IFERROR(__xludf.DUMMYFUNCTION("""COMPUTED_VALUE"""),"")</f>
        <v/>
      </c>
      <c r="E645" t="str">
        <f>IFERROR(__xludf.DUMMYFUNCTION("""COMPUTED_VALUE"""),"")</f>
        <v/>
      </c>
      <c r="F645" t="str">
        <f>IFERROR(__xludf.DUMMYFUNCTION("""COMPUTED_VALUE"""),"")</f>
        <v/>
      </c>
      <c r="G645" t="str">
        <f>IFERROR(__xludf.DUMMYFUNCTION("""COMPUTED_VALUE"""),"")</f>
        <v/>
      </c>
      <c r="H645" t="str">
        <f>IFERROR(__xludf.DUMMYFUNCTION("""COMPUTED_VALUE"""),"")</f>
        <v/>
      </c>
      <c r="I645" t="str">
        <f>IFERROR(__xludf.DUMMYFUNCTION("""COMPUTED_VALUE"""),"")</f>
        <v/>
      </c>
      <c r="J645">
        <f>IFERROR(__xludf.DUMMYFUNCTION("""COMPUTED_VALUE"""),0.0)</f>
        <v>0</v>
      </c>
      <c r="L645" s="250" t="str">
        <f>IFERROR(__xludf.DUMMYFUNCTION("""COMPUTED_VALUE"""),"")</f>
        <v/>
      </c>
      <c r="M645" s="250" t="str">
        <f>IFERROR(__xludf.DUMMYFUNCTION("""COMPUTED_VALUE"""),"")</f>
        <v/>
      </c>
      <c r="N645" s="250" t="str">
        <f>IFERROR(__xludf.DUMMYFUNCTION("""COMPUTED_VALUE"""),"")</f>
        <v/>
      </c>
      <c r="O645" s="250" t="str">
        <f>IFERROR(__xludf.DUMMYFUNCTION("""COMPUTED_VALUE"""),"")</f>
        <v/>
      </c>
      <c r="P645" s="250" t="str">
        <f>IFERROR(__xludf.DUMMYFUNCTION("""COMPUTED_VALUE"""),"")</f>
        <v/>
      </c>
      <c r="Q645" s="250" t="str">
        <f>IFERROR(__xludf.DUMMYFUNCTION("""COMPUTED_VALUE"""),"")</f>
        <v/>
      </c>
      <c r="R645" s="250" t="str">
        <f>IFERROR(__xludf.DUMMYFUNCTION("""COMPUTED_VALUE"""),"")</f>
        <v/>
      </c>
      <c r="U645" s="250">
        <f>IFERROR(__xludf.DUMMYFUNCTION("""COMPUTED_VALUE"""),15759.0)</f>
        <v>15759</v>
      </c>
      <c r="V645" s="250">
        <f>IFERROR(__xludf.DUMMYFUNCTION("""COMPUTED_VALUE"""),14999.0)</f>
        <v>14999</v>
      </c>
      <c r="W645" s="250">
        <f>IFERROR(__xludf.DUMMYFUNCTION("""COMPUTED_VALUE"""),13499.0)</f>
        <v>13499</v>
      </c>
      <c r="X645" t="b">
        <f t="shared" ref="X645:Z645" si="1266">ISBLANK(K645)</f>
        <v>1</v>
      </c>
      <c r="Y645" t="b">
        <f t="shared" si="1266"/>
        <v>0</v>
      </c>
      <c r="Z645" t="b">
        <f t="shared" si="1266"/>
        <v>0</v>
      </c>
      <c r="AA645">
        <f t="shared" ref="AA645:AC645" si="1267">IF(X645=FALSE,1,0)</f>
        <v>0</v>
      </c>
      <c r="AB645">
        <f t="shared" si="1267"/>
        <v>1</v>
      </c>
      <c r="AC645">
        <f t="shared" si="1267"/>
        <v>1</v>
      </c>
      <c r="AD645">
        <f t="shared" si="6"/>
        <v>2</v>
      </c>
      <c r="AE645">
        <f t="shared" si="7"/>
        <v>1</v>
      </c>
      <c r="AF645">
        <f>if(iferror(vlookup($A645,'Description Database'!$E$2:$H$951,3,0),0)=TRUE,1,0)</f>
        <v>0</v>
      </c>
      <c r="AG645">
        <f>if(iferror(vlookup($A645,'Description Database'!$E$2:$H$951,4,0),0)=TRUE,1,0)</f>
        <v>0</v>
      </c>
    </row>
    <row r="646">
      <c r="A646" t="str">
        <f>IFERROR(__xludf.DUMMYFUNCTION("""COMPUTED_VALUE"""),"Xiaomi Mi A3 (4 GB/64 GB)")</f>
        <v>Xiaomi Mi A3 (4 GB/64 GB)</v>
      </c>
      <c r="B646" t="str">
        <f>IFERROR(__xludf.DUMMYFUNCTION("""COMPUTED_VALUE"""),"")</f>
        <v/>
      </c>
      <c r="C646" t="str">
        <f>IFERROR(__xludf.DUMMYFUNCTION("""COMPUTED_VALUE"""),"")</f>
        <v/>
      </c>
      <c r="D646" t="str">
        <f>IFERROR(__xludf.DUMMYFUNCTION("""COMPUTED_VALUE"""),"")</f>
        <v/>
      </c>
      <c r="E646" t="str">
        <f>IFERROR(__xludf.DUMMYFUNCTION("""COMPUTED_VALUE"""),"")</f>
        <v/>
      </c>
      <c r="F646">
        <f>IFERROR(__xludf.DUMMYFUNCTION("""COMPUTED_VALUE"""),1.0)</f>
        <v>1</v>
      </c>
      <c r="G646">
        <f>IFERROR(__xludf.DUMMYFUNCTION("""COMPUTED_VALUE"""),3.0)</f>
        <v>3</v>
      </c>
      <c r="H646">
        <f>IFERROR(__xludf.DUMMYFUNCTION("""COMPUTED_VALUE"""),3.0)</f>
        <v>3</v>
      </c>
      <c r="I646">
        <f>IFERROR(__xludf.DUMMYFUNCTION("""COMPUTED_VALUE"""),19.0)</f>
        <v>19</v>
      </c>
      <c r="J646">
        <f>IFERROR(__xludf.DUMMYFUNCTION("""COMPUTED_VALUE"""),26.0)</f>
        <v>26</v>
      </c>
      <c r="L646" s="250" t="str">
        <f>IFERROR(__xludf.DUMMYFUNCTION("""COMPUTED_VALUE"""),"")</f>
        <v/>
      </c>
      <c r="M646" s="250" t="str">
        <f>IFERROR(__xludf.DUMMYFUNCTION("""COMPUTED_VALUE"""),"")</f>
        <v/>
      </c>
      <c r="N646" s="250" t="str">
        <f>IFERROR(__xludf.DUMMYFUNCTION("""COMPUTED_VALUE"""),"")</f>
        <v/>
      </c>
      <c r="O646" s="250" t="str">
        <f>IFERROR(__xludf.DUMMYFUNCTION("""COMPUTED_VALUE"""),"")</f>
        <v/>
      </c>
      <c r="P646" s="250">
        <f>IFERROR(__xludf.DUMMYFUNCTION("""COMPUTED_VALUE"""),5999.0)</f>
        <v>5999</v>
      </c>
      <c r="Q646" s="250">
        <f>IFERROR(__xludf.DUMMYFUNCTION("""COMPUTED_VALUE"""),4519.0)</f>
        <v>4519</v>
      </c>
      <c r="R646" s="250">
        <f>IFERROR(__xludf.DUMMYFUNCTION("""COMPUTED_VALUE"""),3169.0)</f>
        <v>3169</v>
      </c>
      <c r="U646" s="250">
        <f>IFERROR(__xludf.DUMMYFUNCTION("""COMPUTED_VALUE"""),9239.0)</f>
        <v>9239</v>
      </c>
      <c r="V646" s="250">
        <f>IFERROR(__xludf.DUMMYFUNCTION("""COMPUTED_VALUE"""),8799.0)</f>
        <v>8799</v>
      </c>
      <c r="W646" s="250">
        <f>IFERROR(__xludf.DUMMYFUNCTION("""COMPUTED_VALUE"""),8039.0)</f>
        <v>8039</v>
      </c>
      <c r="X646" t="b">
        <f t="shared" ref="X646:Z646" si="1268">ISBLANK(K646)</f>
        <v>1</v>
      </c>
      <c r="Y646" t="b">
        <f t="shared" si="1268"/>
        <v>0</v>
      </c>
      <c r="Z646" t="b">
        <f t="shared" si="1268"/>
        <v>0</v>
      </c>
      <c r="AA646">
        <f t="shared" ref="AA646:AC646" si="1269">IF(X646=FALSE,1,0)</f>
        <v>0</v>
      </c>
      <c r="AB646">
        <f t="shared" si="1269"/>
        <v>1</v>
      </c>
      <c r="AC646">
        <f t="shared" si="1269"/>
        <v>1</v>
      </c>
      <c r="AD646">
        <f t="shared" si="6"/>
        <v>2</v>
      </c>
      <c r="AE646">
        <f t="shared" si="7"/>
        <v>1</v>
      </c>
      <c r="AF646">
        <f>if(iferror(vlookup($A646,'Description Database'!$E$2:$H$951,3,0),0)=TRUE,1,0)</f>
        <v>0</v>
      </c>
      <c r="AG646">
        <f>if(iferror(vlookup($A646,'Description Database'!$E$2:$H$951,4,0),0)=TRUE,1,0)</f>
        <v>0</v>
      </c>
    </row>
    <row r="647">
      <c r="A647" t="str">
        <f>IFERROR(__xludf.DUMMYFUNCTION("""COMPUTED_VALUE"""),"Samsung GALAXY A7 (4 GB/64 GB)")</f>
        <v>Samsung GALAXY A7 (4 GB/64 GB)</v>
      </c>
      <c r="B647" t="str">
        <f>IFERROR(__xludf.DUMMYFUNCTION("""COMPUTED_VALUE"""),"")</f>
        <v/>
      </c>
      <c r="C647" t="str">
        <f>IFERROR(__xludf.DUMMYFUNCTION("""COMPUTED_VALUE"""),"")</f>
        <v/>
      </c>
      <c r="D647" t="str">
        <f>IFERROR(__xludf.DUMMYFUNCTION("""COMPUTED_VALUE"""),"")</f>
        <v/>
      </c>
      <c r="E647" t="str">
        <f>IFERROR(__xludf.DUMMYFUNCTION("""COMPUTED_VALUE"""),"")</f>
        <v/>
      </c>
      <c r="F647" t="str">
        <f>IFERROR(__xludf.DUMMYFUNCTION("""COMPUTED_VALUE"""),"")</f>
        <v/>
      </c>
      <c r="G647" t="str">
        <f>IFERROR(__xludf.DUMMYFUNCTION("""COMPUTED_VALUE"""),"")</f>
        <v/>
      </c>
      <c r="H647" t="str">
        <f>IFERROR(__xludf.DUMMYFUNCTION("""COMPUTED_VALUE"""),"")</f>
        <v/>
      </c>
      <c r="I647" t="str">
        <f>IFERROR(__xludf.DUMMYFUNCTION("""COMPUTED_VALUE"""),"")</f>
        <v/>
      </c>
      <c r="J647">
        <f>IFERROR(__xludf.DUMMYFUNCTION("""COMPUTED_VALUE"""),0.0)</f>
        <v>0</v>
      </c>
      <c r="L647" s="250" t="str">
        <f>IFERROR(__xludf.DUMMYFUNCTION("""COMPUTED_VALUE"""),"")</f>
        <v/>
      </c>
      <c r="M647" s="250" t="str">
        <f>IFERROR(__xludf.DUMMYFUNCTION("""COMPUTED_VALUE"""),"")</f>
        <v/>
      </c>
      <c r="N647" s="250" t="str">
        <f>IFERROR(__xludf.DUMMYFUNCTION("""COMPUTED_VALUE"""),"")</f>
        <v/>
      </c>
      <c r="O647" s="250" t="str">
        <f>IFERROR(__xludf.DUMMYFUNCTION("""COMPUTED_VALUE"""),"")</f>
        <v/>
      </c>
      <c r="P647" s="250" t="str">
        <f>IFERROR(__xludf.DUMMYFUNCTION("""COMPUTED_VALUE"""),"")</f>
        <v/>
      </c>
      <c r="Q647" s="250" t="str">
        <f>IFERROR(__xludf.DUMMYFUNCTION("""COMPUTED_VALUE"""),"")</f>
        <v/>
      </c>
      <c r="R647" s="250" t="str">
        <f>IFERROR(__xludf.DUMMYFUNCTION("""COMPUTED_VALUE"""),"")</f>
        <v/>
      </c>
      <c r="U647" s="250" t="str">
        <f>IFERROR(__xludf.DUMMYFUNCTION("""COMPUTED_VALUE"""),"#N/A")</f>
        <v>#N/A</v>
      </c>
      <c r="V647" s="250" t="str">
        <f>IFERROR(__xludf.DUMMYFUNCTION("""COMPUTED_VALUE"""),"#N/A")</f>
        <v>#N/A</v>
      </c>
      <c r="W647" s="250" t="str">
        <f>IFERROR(__xludf.DUMMYFUNCTION("""COMPUTED_VALUE"""),"#N/A")</f>
        <v>#N/A</v>
      </c>
      <c r="X647" t="b">
        <f t="shared" ref="X647:Z647" si="1270">ISBLANK(K647)</f>
        <v>1</v>
      </c>
      <c r="Y647" t="b">
        <f t="shared" si="1270"/>
        <v>0</v>
      </c>
      <c r="Z647" t="b">
        <f t="shared" si="1270"/>
        <v>0</v>
      </c>
      <c r="AA647">
        <f t="shared" ref="AA647:AC647" si="1271">IF(X647=FALSE,1,0)</f>
        <v>0</v>
      </c>
      <c r="AB647">
        <f t="shared" si="1271"/>
        <v>1</v>
      </c>
      <c r="AC647">
        <f t="shared" si="1271"/>
        <v>1</v>
      </c>
      <c r="AD647">
        <f t="shared" si="6"/>
        <v>2</v>
      </c>
      <c r="AE647">
        <f t="shared" si="7"/>
        <v>1</v>
      </c>
      <c r="AF647">
        <f>if(iferror(vlookup($A647,'Description Database'!$E$2:$H$951,3,0),0)=TRUE,1,0)</f>
        <v>0</v>
      </c>
      <c r="AG647">
        <f>if(iferror(vlookup($A647,'Description Database'!$E$2:$H$951,4,0),0)=TRUE,1,0)</f>
        <v>0</v>
      </c>
    </row>
    <row r="648">
      <c r="A648" t="str">
        <f>IFERROR(__xludf.DUMMYFUNCTION("""COMPUTED_VALUE"""),"Samsung Galaxy A7 2018 (6 GB/128 GB)")</f>
        <v>Samsung Galaxy A7 2018 (6 GB/128 GB)</v>
      </c>
      <c r="B648" t="str">
        <f>IFERROR(__xludf.DUMMYFUNCTION("""COMPUTED_VALUE"""),"")</f>
        <v/>
      </c>
      <c r="C648" t="str">
        <f>IFERROR(__xludf.DUMMYFUNCTION("""COMPUTED_VALUE"""),"")</f>
        <v/>
      </c>
      <c r="D648" t="str">
        <f>IFERROR(__xludf.DUMMYFUNCTION("""COMPUTED_VALUE"""),"")</f>
        <v/>
      </c>
      <c r="E648" t="str">
        <f>IFERROR(__xludf.DUMMYFUNCTION("""COMPUTED_VALUE"""),"")</f>
        <v/>
      </c>
      <c r="F648" t="str">
        <f>IFERROR(__xludf.DUMMYFUNCTION("""COMPUTED_VALUE"""),"")</f>
        <v/>
      </c>
      <c r="G648" t="str">
        <f>IFERROR(__xludf.DUMMYFUNCTION("""COMPUTED_VALUE"""),"")</f>
        <v/>
      </c>
      <c r="H648" t="str">
        <f>IFERROR(__xludf.DUMMYFUNCTION("""COMPUTED_VALUE"""),"")</f>
        <v/>
      </c>
      <c r="I648" t="str">
        <f>IFERROR(__xludf.DUMMYFUNCTION("""COMPUTED_VALUE"""),"")</f>
        <v/>
      </c>
      <c r="J648">
        <f>IFERROR(__xludf.DUMMYFUNCTION("""COMPUTED_VALUE"""),0.0)</f>
        <v>0</v>
      </c>
      <c r="L648" s="250" t="str">
        <f>IFERROR(__xludf.DUMMYFUNCTION("""COMPUTED_VALUE"""),"")</f>
        <v/>
      </c>
      <c r="M648" s="250" t="str">
        <f>IFERROR(__xludf.DUMMYFUNCTION("""COMPUTED_VALUE"""),"")</f>
        <v/>
      </c>
      <c r="N648" s="250" t="str">
        <f>IFERROR(__xludf.DUMMYFUNCTION("""COMPUTED_VALUE"""),"")</f>
        <v/>
      </c>
      <c r="O648" s="250" t="str">
        <f>IFERROR(__xludf.DUMMYFUNCTION("""COMPUTED_VALUE"""),"")</f>
        <v/>
      </c>
      <c r="P648" s="250" t="str">
        <f>IFERROR(__xludf.DUMMYFUNCTION("""COMPUTED_VALUE"""),"")</f>
        <v/>
      </c>
      <c r="Q648" s="250" t="str">
        <f>IFERROR(__xludf.DUMMYFUNCTION("""COMPUTED_VALUE"""),"")</f>
        <v/>
      </c>
      <c r="R648" s="250" t="str">
        <f>IFERROR(__xludf.DUMMYFUNCTION("""COMPUTED_VALUE"""),"")</f>
        <v/>
      </c>
      <c r="U648" s="250">
        <f>IFERROR(__xludf.DUMMYFUNCTION("""COMPUTED_VALUE"""),7929.0)</f>
        <v>7929</v>
      </c>
      <c r="V648" s="250">
        <f>IFERROR(__xludf.DUMMYFUNCTION("""COMPUTED_VALUE"""),7549.0)</f>
        <v>7549</v>
      </c>
      <c r="W648" s="250">
        <f>IFERROR(__xludf.DUMMYFUNCTION("""COMPUTED_VALUE"""),6799.0)</f>
        <v>6799</v>
      </c>
      <c r="X648" t="b">
        <f t="shared" ref="X648:Z648" si="1272">ISBLANK(K648)</f>
        <v>1</v>
      </c>
      <c r="Y648" t="b">
        <f t="shared" si="1272"/>
        <v>0</v>
      </c>
      <c r="Z648" t="b">
        <f t="shared" si="1272"/>
        <v>0</v>
      </c>
      <c r="AA648">
        <f t="shared" ref="AA648:AC648" si="1273">IF(X648=FALSE,1,0)</f>
        <v>0</v>
      </c>
      <c r="AB648">
        <f t="shared" si="1273"/>
        <v>1</v>
      </c>
      <c r="AC648">
        <f t="shared" si="1273"/>
        <v>1</v>
      </c>
      <c r="AD648">
        <f t="shared" si="6"/>
        <v>2</v>
      </c>
      <c r="AE648">
        <f t="shared" si="7"/>
        <v>1</v>
      </c>
      <c r="AF648">
        <f>if(iferror(vlookup($A648,'Description Database'!$E$2:$H$951,3,0),0)=TRUE,1,0)</f>
        <v>0</v>
      </c>
      <c r="AG648">
        <f>if(iferror(vlookup($A648,'Description Database'!$E$2:$H$951,4,0),0)=TRUE,1,0)</f>
        <v>0</v>
      </c>
    </row>
    <row r="649">
      <c r="A649" t="str">
        <f>IFERROR(__xludf.DUMMYFUNCTION("""COMPUTED_VALUE"""),"Samsung GALAXY A8 PLUS 2018 (6 GB/64 GB)")</f>
        <v>Samsung GALAXY A8 PLUS 2018 (6 GB/64 GB)</v>
      </c>
      <c r="B649" t="str">
        <f>IFERROR(__xludf.DUMMYFUNCTION("""COMPUTED_VALUE"""),"")</f>
        <v/>
      </c>
      <c r="C649" t="str">
        <f>IFERROR(__xludf.DUMMYFUNCTION("""COMPUTED_VALUE"""),"")</f>
        <v/>
      </c>
      <c r="D649" t="str">
        <f>IFERROR(__xludf.DUMMYFUNCTION("""COMPUTED_VALUE"""),"")</f>
        <v/>
      </c>
      <c r="E649" t="str">
        <f>IFERROR(__xludf.DUMMYFUNCTION("""COMPUTED_VALUE"""),"")</f>
        <v/>
      </c>
      <c r="F649" t="str">
        <f>IFERROR(__xludf.DUMMYFUNCTION("""COMPUTED_VALUE"""),"")</f>
        <v/>
      </c>
      <c r="G649" t="str">
        <f>IFERROR(__xludf.DUMMYFUNCTION("""COMPUTED_VALUE"""),"")</f>
        <v/>
      </c>
      <c r="H649" t="str">
        <f>IFERROR(__xludf.DUMMYFUNCTION("""COMPUTED_VALUE"""),"")</f>
        <v/>
      </c>
      <c r="I649" t="str">
        <f>IFERROR(__xludf.DUMMYFUNCTION("""COMPUTED_VALUE"""),"")</f>
        <v/>
      </c>
      <c r="J649">
        <f>IFERROR(__xludf.DUMMYFUNCTION("""COMPUTED_VALUE"""),0.0)</f>
        <v>0</v>
      </c>
      <c r="L649" s="250" t="str">
        <f>IFERROR(__xludf.DUMMYFUNCTION("""COMPUTED_VALUE"""),"")</f>
        <v/>
      </c>
      <c r="M649" s="250" t="str">
        <f>IFERROR(__xludf.DUMMYFUNCTION("""COMPUTED_VALUE"""),"")</f>
        <v/>
      </c>
      <c r="N649" s="250" t="str">
        <f>IFERROR(__xludf.DUMMYFUNCTION("""COMPUTED_VALUE"""),"")</f>
        <v/>
      </c>
      <c r="O649" s="250" t="str">
        <f>IFERROR(__xludf.DUMMYFUNCTION("""COMPUTED_VALUE"""),"")</f>
        <v/>
      </c>
      <c r="P649" s="250" t="str">
        <f>IFERROR(__xludf.DUMMYFUNCTION("""COMPUTED_VALUE"""),"")</f>
        <v/>
      </c>
      <c r="Q649" s="250" t="str">
        <f>IFERROR(__xludf.DUMMYFUNCTION("""COMPUTED_VALUE"""),"")</f>
        <v/>
      </c>
      <c r="R649" s="250" t="str">
        <f>IFERROR(__xludf.DUMMYFUNCTION("""COMPUTED_VALUE"""),"")</f>
        <v/>
      </c>
      <c r="U649" s="250" t="str">
        <f>IFERROR(__xludf.DUMMYFUNCTION("""COMPUTED_VALUE"""),"#N/A")</f>
        <v>#N/A</v>
      </c>
      <c r="V649" s="250" t="str">
        <f>IFERROR(__xludf.DUMMYFUNCTION("""COMPUTED_VALUE"""),"#N/A")</f>
        <v>#N/A</v>
      </c>
      <c r="W649" s="250" t="str">
        <f>IFERROR(__xludf.DUMMYFUNCTION("""COMPUTED_VALUE"""),"#N/A")</f>
        <v>#N/A</v>
      </c>
      <c r="X649" t="b">
        <f t="shared" ref="X649:Z649" si="1274">ISBLANK(K649)</f>
        <v>1</v>
      </c>
      <c r="Y649" t="b">
        <f t="shared" si="1274"/>
        <v>0</v>
      </c>
      <c r="Z649" t="b">
        <f t="shared" si="1274"/>
        <v>0</v>
      </c>
      <c r="AA649">
        <f t="shared" ref="AA649:AC649" si="1275">IF(X649=FALSE,1,0)</f>
        <v>0</v>
      </c>
      <c r="AB649">
        <f t="shared" si="1275"/>
        <v>1</v>
      </c>
      <c r="AC649">
        <f t="shared" si="1275"/>
        <v>1</v>
      </c>
      <c r="AD649">
        <f t="shared" si="6"/>
        <v>2</v>
      </c>
      <c r="AE649">
        <f t="shared" si="7"/>
        <v>1</v>
      </c>
      <c r="AF649">
        <f>if(iferror(vlookup($A649,'Description Database'!$E$2:$H$951,3,0),0)=TRUE,1,0)</f>
        <v>0</v>
      </c>
      <c r="AG649">
        <f>if(iferror(vlookup($A649,'Description Database'!$E$2:$H$951,4,0),0)=TRUE,1,0)</f>
        <v>0</v>
      </c>
    </row>
    <row r="650">
      <c r="A650" t="str">
        <f>IFERROR(__xludf.DUMMYFUNCTION("""COMPUTED_VALUE"""),"Oneplus 7T PRO (8 GB/256 GB)")</f>
        <v>Oneplus 7T PRO (8 GB/256 GB)</v>
      </c>
      <c r="B650" t="str">
        <f>IFERROR(__xludf.DUMMYFUNCTION("""COMPUTED_VALUE"""),"")</f>
        <v/>
      </c>
      <c r="C650" t="str">
        <f>IFERROR(__xludf.DUMMYFUNCTION("""COMPUTED_VALUE"""),"")</f>
        <v/>
      </c>
      <c r="D650" t="str">
        <f>IFERROR(__xludf.DUMMYFUNCTION("""COMPUTED_VALUE"""),"")</f>
        <v/>
      </c>
      <c r="E650" t="str">
        <f>IFERROR(__xludf.DUMMYFUNCTION("""COMPUTED_VALUE"""),"")</f>
        <v/>
      </c>
      <c r="F650" t="str">
        <f>IFERROR(__xludf.DUMMYFUNCTION("""COMPUTED_VALUE"""),"")</f>
        <v/>
      </c>
      <c r="G650">
        <f>IFERROR(__xludf.DUMMYFUNCTION("""COMPUTED_VALUE"""),2.0)</f>
        <v>2</v>
      </c>
      <c r="H650" t="str">
        <f>IFERROR(__xludf.DUMMYFUNCTION("""COMPUTED_VALUE"""),"")</f>
        <v/>
      </c>
      <c r="I650" t="str">
        <f>IFERROR(__xludf.DUMMYFUNCTION("""COMPUTED_VALUE"""),"")</f>
        <v/>
      </c>
      <c r="J650">
        <f>IFERROR(__xludf.DUMMYFUNCTION("""COMPUTED_VALUE"""),2.0)</f>
        <v>2</v>
      </c>
      <c r="L650" s="250" t="str">
        <f>IFERROR(__xludf.DUMMYFUNCTION("""COMPUTED_VALUE"""),"")</f>
        <v/>
      </c>
      <c r="M650" s="250" t="str">
        <f>IFERROR(__xludf.DUMMYFUNCTION("""COMPUTED_VALUE"""),"")</f>
        <v/>
      </c>
      <c r="N650" s="250" t="str">
        <f>IFERROR(__xludf.DUMMYFUNCTION("""COMPUTED_VALUE"""),"")</f>
        <v/>
      </c>
      <c r="O650" s="250" t="str">
        <f>IFERROR(__xludf.DUMMYFUNCTION("""COMPUTED_VALUE"""),"")</f>
        <v/>
      </c>
      <c r="P650" s="250" t="str">
        <f>IFERROR(__xludf.DUMMYFUNCTION("""COMPUTED_VALUE"""),"")</f>
        <v/>
      </c>
      <c r="Q650" s="250">
        <f>IFERROR(__xludf.DUMMYFUNCTION("""COMPUTED_VALUE"""),16109.0)</f>
        <v>16109</v>
      </c>
      <c r="R650" s="250" t="str">
        <f>IFERROR(__xludf.DUMMYFUNCTION("""COMPUTED_VALUE"""),"")</f>
        <v/>
      </c>
      <c r="U650" s="250">
        <f>IFERROR(__xludf.DUMMYFUNCTION("""COMPUTED_VALUE"""),32419.0)</f>
        <v>32419</v>
      </c>
      <c r="V650" s="250">
        <f>IFERROR(__xludf.DUMMYFUNCTION("""COMPUTED_VALUE"""),30869.0)</f>
        <v>30869</v>
      </c>
      <c r="W650" s="250">
        <f>IFERROR(__xludf.DUMMYFUNCTION("""COMPUTED_VALUE"""),27779.0)</f>
        <v>27779</v>
      </c>
      <c r="X650" t="b">
        <f t="shared" ref="X650:Z650" si="1276">ISBLANK(K650)</f>
        <v>1</v>
      </c>
      <c r="Y650" t="b">
        <f t="shared" si="1276"/>
        <v>0</v>
      </c>
      <c r="Z650" t="b">
        <f t="shared" si="1276"/>
        <v>0</v>
      </c>
      <c r="AA650">
        <f t="shared" ref="AA650:AC650" si="1277">IF(X650=FALSE,1,0)</f>
        <v>0</v>
      </c>
      <c r="AB650">
        <f t="shared" si="1277"/>
        <v>1</v>
      </c>
      <c r="AC650">
        <f t="shared" si="1277"/>
        <v>1</v>
      </c>
      <c r="AD650">
        <f t="shared" si="6"/>
        <v>2</v>
      </c>
      <c r="AE650">
        <f t="shared" si="7"/>
        <v>1</v>
      </c>
      <c r="AF650">
        <f>if(iferror(vlookup($A650,'Description Database'!$E$2:$H$951,3,0),0)=TRUE,1,0)</f>
        <v>0</v>
      </c>
      <c r="AG650">
        <f>if(iferror(vlookup($A650,'Description Database'!$E$2:$H$951,4,0),0)=TRUE,1,0)</f>
        <v>0</v>
      </c>
    </row>
    <row r="651">
      <c r="A651" t="str">
        <f>IFERROR(__xludf.DUMMYFUNCTION("""COMPUTED_VALUE"""),"Samsung Galaxy S9 (4 GB/256 GB)")</f>
        <v>Samsung Galaxy S9 (4 GB/256 GB)</v>
      </c>
      <c r="B651" t="str">
        <f>IFERROR(__xludf.DUMMYFUNCTION("""COMPUTED_VALUE"""),"")</f>
        <v/>
      </c>
      <c r="C651" t="str">
        <f>IFERROR(__xludf.DUMMYFUNCTION("""COMPUTED_VALUE"""),"")</f>
        <v/>
      </c>
      <c r="D651" t="str">
        <f>IFERROR(__xludf.DUMMYFUNCTION("""COMPUTED_VALUE"""),"")</f>
        <v/>
      </c>
      <c r="E651" t="str">
        <f>IFERROR(__xludf.DUMMYFUNCTION("""COMPUTED_VALUE"""),"")</f>
        <v/>
      </c>
      <c r="F651" t="str">
        <f>IFERROR(__xludf.DUMMYFUNCTION("""COMPUTED_VALUE"""),"")</f>
        <v/>
      </c>
      <c r="G651">
        <f>IFERROR(__xludf.DUMMYFUNCTION("""COMPUTED_VALUE"""),1.0)</f>
        <v>1</v>
      </c>
      <c r="H651" t="str">
        <f>IFERROR(__xludf.DUMMYFUNCTION("""COMPUTED_VALUE"""),"")</f>
        <v/>
      </c>
      <c r="I651" t="str">
        <f>IFERROR(__xludf.DUMMYFUNCTION("""COMPUTED_VALUE"""),"")</f>
        <v/>
      </c>
      <c r="J651">
        <f>IFERROR(__xludf.DUMMYFUNCTION("""COMPUTED_VALUE"""),1.0)</f>
        <v>1</v>
      </c>
      <c r="L651" s="250" t="str">
        <f>IFERROR(__xludf.DUMMYFUNCTION("""COMPUTED_VALUE"""),"")</f>
        <v/>
      </c>
      <c r="M651" s="250" t="str">
        <f>IFERROR(__xludf.DUMMYFUNCTION("""COMPUTED_VALUE"""),"")</f>
        <v/>
      </c>
      <c r="N651" s="250" t="str">
        <f>IFERROR(__xludf.DUMMYFUNCTION("""COMPUTED_VALUE"""),"")</f>
        <v/>
      </c>
      <c r="O651" s="250" t="str">
        <f>IFERROR(__xludf.DUMMYFUNCTION("""COMPUTED_VALUE"""),"")</f>
        <v/>
      </c>
      <c r="P651" s="250" t="str">
        <f>IFERROR(__xludf.DUMMYFUNCTION("""COMPUTED_VALUE"""),"")</f>
        <v/>
      </c>
      <c r="Q651" s="250">
        <f>IFERROR(__xludf.DUMMYFUNCTION("""COMPUTED_VALUE"""),6889.0)</f>
        <v>6889</v>
      </c>
      <c r="R651" s="250" t="str">
        <f>IFERROR(__xludf.DUMMYFUNCTION("""COMPUTED_VALUE"""),"")</f>
        <v/>
      </c>
      <c r="U651" s="250">
        <f>IFERROR(__xludf.DUMMYFUNCTION("""COMPUTED_VALUE"""),15149.0)</f>
        <v>15149</v>
      </c>
      <c r="V651" s="250">
        <f>IFERROR(__xludf.DUMMYFUNCTION("""COMPUTED_VALUE"""),14419.0)</f>
        <v>14419</v>
      </c>
      <c r="W651" s="250">
        <f>IFERROR(__xludf.DUMMYFUNCTION("""COMPUTED_VALUE"""),12979.0)</f>
        <v>12979</v>
      </c>
      <c r="X651" t="b">
        <f t="shared" ref="X651:Z651" si="1278">ISBLANK(K651)</f>
        <v>1</v>
      </c>
      <c r="Y651" t="b">
        <f t="shared" si="1278"/>
        <v>0</v>
      </c>
      <c r="Z651" t="b">
        <f t="shared" si="1278"/>
        <v>0</v>
      </c>
      <c r="AA651">
        <f t="shared" ref="AA651:AC651" si="1279">IF(X651=FALSE,1,0)</f>
        <v>0</v>
      </c>
      <c r="AB651">
        <f t="shared" si="1279"/>
        <v>1</v>
      </c>
      <c r="AC651">
        <f t="shared" si="1279"/>
        <v>1</v>
      </c>
      <c r="AD651">
        <f t="shared" si="6"/>
        <v>2</v>
      </c>
      <c r="AE651">
        <f t="shared" si="7"/>
        <v>1</v>
      </c>
      <c r="AF651">
        <f>if(iferror(vlookup($A651,'Description Database'!$E$2:$H$951,3,0),0)=TRUE,1,0)</f>
        <v>0</v>
      </c>
      <c r="AG651">
        <f>if(iferror(vlookup($A651,'Description Database'!$E$2:$H$951,4,0),0)=TRUE,1,0)</f>
        <v>0</v>
      </c>
    </row>
    <row r="652">
      <c r="A652" t="str">
        <f>IFERROR(__xludf.DUMMYFUNCTION("""COMPUTED_VALUE"""),"VIVO V17 PRO(8 GB 128 GB)")</f>
        <v>VIVO V17 PRO(8 GB 128 GB)</v>
      </c>
      <c r="B652" t="str">
        <f>IFERROR(__xludf.DUMMYFUNCTION("""COMPUTED_VALUE"""),"")</f>
        <v/>
      </c>
      <c r="C652" t="str">
        <f>IFERROR(__xludf.DUMMYFUNCTION("""COMPUTED_VALUE"""),"")</f>
        <v/>
      </c>
      <c r="D652" t="str">
        <f>IFERROR(__xludf.DUMMYFUNCTION("""COMPUTED_VALUE"""),"")</f>
        <v/>
      </c>
      <c r="E652" t="str">
        <f>IFERROR(__xludf.DUMMYFUNCTION("""COMPUTED_VALUE"""),"")</f>
        <v/>
      </c>
      <c r="F652" t="str">
        <f>IFERROR(__xludf.DUMMYFUNCTION("""COMPUTED_VALUE"""),"")</f>
        <v/>
      </c>
      <c r="G652" t="str">
        <f>IFERROR(__xludf.DUMMYFUNCTION("""COMPUTED_VALUE"""),"")</f>
        <v/>
      </c>
      <c r="H652" t="str">
        <f>IFERROR(__xludf.DUMMYFUNCTION("""COMPUTED_VALUE"""),"")</f>
        <v/>
      </c>
      <c r="I652" t="str">
        <f>IFERROR(__xludf.DUMMYFUNCTION("""COMPUTED_VALUE"""),"")</f>
        <v/>
      </c>
      <c r="J652">
        <f>IFERROR(__xludf.DUMMYFUNCTION("""COMPUTED_VALUE"""),0.0)</f>
        <v>0</v>
      </c>
      <c r="L652" s="250" t="str">
        <f>IFERROR(__xludf.DUMMYFUNCTION("""COMPUTED_VALUE"""),"")</f>
        <v/>
      </c>
      <c r="M652" s="250" t="str">
        <f>IFERROR(__xludf.DUMMYFUNCTION("""COMPUTED_VALUE"""),"")</f>
        <v/>
      </c>
      <c r="N652" s="250" t="str">
        <f>IFERROR(__xludf.DUMMYFUNCTION("""COMPUTED_VALUE"""),"")</f>
        <v/>
      </c>
      <c r="O652" s="250" t="str">
        <f>IFERROR(__xludf.DUMMYFUNCTION("""COMPUTED_VALUE"""),"")</f>
        <v/>
      </c>
      <c r="P652" s="250" t="str">
        <f>IFERROR(__xludf.DUMMYFUNCTION("""COMPUTED_VALUE"""),"")</f>
        <v/>
      </c>
      <c r="Q652" s="250" t="str">
        <f>IFERROR(__xludf.DUMMYFUNCTION("""COMPUTED_VALUE"""),"")</f>
        <v/>
      </c>
      <c r="R652" s="250" t="str">
        <f>IFERROR(__xludf.DUMMYFUNCTION("""COMPUTED_VALUE"""),"")</f>
        <v/>
      </c>
      <c r="U652" s="250" t="str">
        <f>IFERROR(__xludf.DUMMYFUNCTION("""COMPUTED_VALUE"""),"#N/A")</f>
        <v>#N/A</v>
      </c>
      <c r="V652" s="250" t="str">
        <f>IFERROR(__xludf.DUMMYFUNCTION("""COMPUTED_VALUE"""),"#N/A")</f>
        <v>#N/A</v>
      </c>
      <c r="W652" s="250" t="str">
        <f>IFERROR(__xludf.DUMMYFUNCTION("""COMPUTED_VALUE"""),"#N/A")</f>
        <v>#N/A</v>
      </c>
      <c r="X652" t="b">
        <f t="shared" ref="X652:Z652" si="1280">ISBLANK(K652)</f>
        <v>1</v>
      </c>
      <c r="Y652" t="b">
        <f t="shared" si="1280"/>
        <v>0</v>
      </c>
      <c r="Z652" t="b">
        <f t="shared" si="1280"/>
        <v>0</v>
      </c>
      <c r="AA652">
        <f t="shared" ref="AA652:AC652" si="1281">IF(X652=FALSE,1,0)</f>
        <v>0</v>
      </c>
      <c r="AB652">
        <f t="shared" si="1281"/>
        <v>1</v>
      </c>
      <c r="AC652">
        <f t="shared" si="1281"/>
        <v>1</v>
      </c>
      <c r="AD652">
        <f t="shared" si="6"/>
        <v>2</v>
      </c>
      <c r="AE652">
        <f t="shared" si="7"/>
        <v>1</v>
      </c>
      <c r="AF652">
        <f>if(iferror(vlookup($A652,'Description Database'!$E$2:$H$951,3,0),0)=TRUE,1,0)</f>
        <v>0</v>
      </c>
      <c r="AG652">
        <f>if(iferror(vlookup($A652,'Description Database'!$E$2:$H$951,4,0),0)=TRUE,1,0)</f>
        <v>0</v>
      </c>
    </row>
    <row r="653">
      <c r="A653" t="str">
        <f>IFERROR(__xludf.DUMMYFUNCTION("""COMPUTED_VALUE"""),"Xiaomi Redmi Note 8 Pro (6 GB/64 GB)")</f>
        <v>Xiaomi Redmi Note 8 Pro (6 GB/64 GB)</v>
      </c>
      <c r="B653" t="str">
        <f>IFERROR(__xludf.DUMMYFUNCTION("""COMPUTED_VALUE"""),"")</f>
        <v/>
      </c>
      <c r="C653">
        <f>IFERROR(__xludf.DUMMYFUNCTION("""COMPUTED_VALUE"""),1.0)</f>
        <v>1</v>
      </c>
      <c r="D653" t="str">
        <f>IFERROR(__xludf.DUMMYFUNCTION("""COMPUTED_VALUE"""),"")</f>
        <v/>
      </c>
      <c r="E653" t="str">
        <f>IFERROR(__xludf.DUMMYFUNCTION("""COMPUTED_VALUE"""),"")</f>
        <v/>
      </c>
      <c r="F653" t="str">
        <f>IFERROR(__xludf.DUMMYFUNCTION("""COMPUTED_VALUE"""),"")</f>
        <v/>
      </c>
      <c r="G653" t="str">
        <f>IFERROR(__xludf.DUMMYFUNCTION("""COMPUTED_VALUE"""),"")</f>
        <v/>
      </c>
      <c r="H653" t="str">
        <f>IFERROR(__xludf.DUMMYFUNCTION("""COMPUTED_VALUE"""),"")</f>
        <v/>
      </c>
      <c r="I653">
        <f>IFERROR(__xludf.DUMMYFUNCTION("""COMPUTED_VALUE"""),1.0)</f>
        <v>1</v>
      </c>
      <c r="J653">
        <f>IFERROR(__xludf.DUMMYFUNCTION("""COMPUTED_VALUE"""),2.0)</f>
        <v>2</v>
      </c>
      <c r="L653" s="250" t="str">
        <f>IFERROR(__xludf.DUMMYFUNCTION("""COMPUTED_VALUE"""),"")</f>
        <v/>
      </c>
      <c r="M653" s="250">
        <f>IFERROR(__xludf.DUMMYFUNCTION("""COMPUTED_VALUE"""),9889.0)</f>
        <v>9889</v>
      </c>
      <c r="N653" s="250" t="str">
        <f>IFERROR(__xludf.DUMMYFUNCTION("""COMPUTED_VALUE"""),"")</f>
        <v/>
      </c>
      <c r="O653" s="250" t="str">
        <f>IFERROR(__xludf.DUMMYFUNCTION("""COMPUTED_VALUE"""),"")</f>
        <v/>
      </c>
      <c r="P653" s="250" t="str">
        <f>IFERROR(__xludf.DUMMYFUNCTION("""COMPUTED_VALUE"""),"")</f>
        <v/>
      </c>
      <c r="Q653" s="250" t="str">
        <f>IFERROR(__xludf.DUMMYFUNCTION("""COMPUTED_VALUE"""),"")</f>
        <v/>
      </c>
      <c r="R653" s="250" t="str">
        <f>IFERROR(__xludf.DUMMYFUNCTION("""COMPUTED_VALUE"""),"")</f>
        <v/>
      </c>
      <c r="U653" s="250">
        <f>IFERROR(__xludf.DUMMYFUNCTION("""COMPUTED_VALUE"""),11429.0)</f>
        <v>11429</v>
      </c>
      <c r="V653" s="250">
        <f>IFERROR(__xludf.DUMMYFUNCTION("""COMPUTED_VALUE"""),10879.0)</f>
        <v>10879</v>
      </c>
      <c r="W653" s="250">
        <f>IFERROR(__xludf.DUMMYFUNCTION("""COMPUTED_VALUE"""),9789.0)</f>
        <v>9789</v>
      </c>
      <c r="X653" t="b">
        <f t="shared" ref="X653:Z653" si="1282">ISBLANK(K653)</f>
        <v>1</v>
      </c>
      <c r="Y653" t="b">
        <f t="shared" si="1282"/>
        <v>0</v>
      </c>
      <c r="Z653" t="b">
        <f t="shared" si="1282"/>
        <v>0</v>
      </c>
      <c r="AA653">
        <f t="shared" ref="AA653:AC653" si="1283">IF(X653=FALSE,1,0)</f>
        <v>0</v>
      </c>
      <c r="AB653">
        <f t="shared" si="1283"/>
        <v>1</v>
      </c>
      <c r="AC653">
        <f t="shared" si="1283"/>
        <v>1</v>
      </c>
      <c r="AD653">
        <f t="shared" si="6"/>
        <v>2</v>
      </c>
      <c r="AE653">
        <f t="shared" si="7"/>
        <v>1</v>
      </c>
      <c r="AF653">
        <f>if(iferror(vlookup($A653,'Description Database'!$E$2:$H$951,3,0),0)=TRUE,1,0)</f>
        <v>0</v>
      </c>
      <c r="AG653">
        <f>if(iferror(vlookup($A653,'Description Database'!$E$2:$H$951,4,0),0)=TRUE,1,0)</f>
        <v>0</v>
      </c>
    </row>
    <row r="654">
      <c r="A654" t="str">
        <f>IFERROR(__xludf.DUMMYFUNCTION("""COMPUTED_VALUE"""),"Oppo A1K (2 GB/32 GB)")</f>
        <v>Oppo A1K (2 GB/32 GB)</v>
      </c>
      <c r="B654" t="str">
        <f>IFERROR(__xludf.DUMMYFUNCTION("""COMPUTED_VALUE"""),"")</f>
        <v/>
      </c>
      <c r="C654" t="str">
        <f>IFERROR(__xludf.DUMMYFUNCTION("""COMPUTED_VALUE"""),"")</f>
        <v/>
      </c>
      <c r="D654" t="str">
        <f>IFERROR(__xludf.DUMMYFUNCTION("""COMPUTED_VALUE"""),"")</f>
        <v/>
      </c>
      <c r="E654" t="str">
        <f>IFERROR(__xludf.DUMMYFUNCTION("""COMPUTED_VALUE"""),"")</f>
        <v/>
      </c>
      <c r="F654" t="str">
        <f>IFERROR(__xludf.DUMMYFUNCTION("""COMPUTED_VALUE"""),"")</f>
        <v/>
      </c>
      <c r="G654" t="str">
        <f>IFERROR(__xludf.DUMMYFUNCTION("""COMPUTED_VALUE"""),"")</f>
        <v/>
      </c>
      <c r="H654" t="str">
        <f>IFERROR(__xludf.DUMMYFUNCTION("""COMPUTED_VALUE"""),"")</f>
        <v/>
      </c>
      <c r="I654">
        <f>IFERROR(__xludf.DUMMYFUNCTION("""COMPUTED_VALUE"""),2.0)</f>
        <v>2</v>
      </c>
      <c r="J654">
        <f>IFERROR(__xludf.DUMMYFUNCTION("""COMPUTED_VALUE"""),2.0)</f>
        <v>2</v>
      </c>
      <c r="L654" s="250" t="str">
        <f>IFERROR(__xludf.DUMMYFUNCTION("""COMPUTED_VALUE"""),"")</f>
        <v/>
      </c>
      <c r="M654" s="250" t="str">
        <f>IFERROR(__xludf.DUMMYFUNCTION("""COMPUTED_VALUE"""),"")</f>
        <v/>
      </c>
      <c r="N654" s="250" t="str">
        <f>IFERROR(__xludf.DUMMYFUNCTION("""COMPUTED_VALUE"""),"")</f>
        <v/>
      </c>
      <c r="O654" s="250" t="str">
        <f>IFERROR(__xludf.DUMMYFUNCTION("""COMPUTED_VALUE"""),"")</f>
        <v/>
      </c>
      <c r="P654" s="250" t="str">
        <f>IFERROR(__xludf.DUMMYFUNCTION("""COMPUTED_VALUE"""),"")</f>
        <v/>
      </c>
      <c r="Q654" s="250" t="str">
        <f>IFERROR(__xludf.DUMMYFUNCTION("""COMPUTED_VALUE"""),"")</f>
        <v/>
      </c>
      <c r="R654" s="250" t="str">
        <f>IFERROR(__xludf.DUMMYFUNCTION("""COMPUTED_VALUE"""),"")</f>
        <v/>
      </c>
      <c r="U654" s="250">
        <f>IFERROR(__xludf.DUMMYFUNCTION("""COMPUTED_VALUE"""),6129.0)</f>
        <v>6129</v>
      </c>
      <c r="V654" s="250">
        <f>IFERROR(__xludf.DUMMYFUNCTION("""COMPUTED_VALUE"""),5829.0)</f>
        <v>5829</v>
      </c>
      <c r="W654" s="250">
        <f>IFERROR(__xludf.DUMMYFUNCTION("""COMPUTED_VALUE"""),5319.0)</f>
        <v>5319</v>
      </c>
      <c r="X654" t="b">
        <f t="shared" ref="X654:Z654" si="1284">ISBLANK(K654)</f>
        <v>1</v>
      </c>
      <c r="Y654" t="b">
        <f t="shared" si="1284"/>
        <v>0</v>
      </c>
      <c r="Z654" t="b">
        <f t="shared" si="1284"/>
        <v>0</v>
      </c>
      <c r="AA654">
        <f t="shared" ref="AA654:AC654" si="1285">IF(X654=FALSE,1,0)</f>
        <v>0</v>
      </c>
      <c r="AB654">
        <f t="shared" si="1285"/>
        <v>1</v>
      </c>
      <c r="AC654">
        <f t="shared" si="1285"/>
        <v>1</v>
      </c>
      <c r="AD654">
        <f t="shared" si="6"/>
        <v>2</v>
      </c>
      <c r="AE654">
        <f t="shared" si="7"/>
        <v>1</v>
      </c>
      <c r="AF654">
        <f>if(iferror(vlookup($A654,'Description Database'!$E$2:$H$951,3,0),0)=TRUE,1,0)</f>
        <v>0</v>
      </c>
      <c r="AG654">
        <f>if(iferror(vlookup($A654,'Description Database'!$E$2:$H$951,4,0),0)=TRUE,1,0)</f>
        <v>0</v>
      </c>
    </row>
    <row r="655">
      <c r="A655" t="str">
        <f>IFERROR(__xludf.DUMMYFUNCTION("""COMPUTED_VALUE"""),"Samsung GALAXY ON MAX (4 GB/32 GB)")</f>
        <v>Samsung GALAXY ON MAX (4 GB/32 GB)</v>
      </c>
      <c r="B655" t="str">
        <f>IFERROR(__xludf.DUMMYFUNCTION("""COMPUTED_VALUE"""),"")</f>
        <v/>
      </c>
      <c r="C655" t="str">
        <f>IFERROR(__xludf.DUMMYFUNCTION("""COMPUTED_VALUE"""),"")</f>
        <v/>
      </c>
      <c r="D655" t="str">
        <f>IFERROR(__xludf.DUMMYFUNCTION("""COMPUTED_VALUE"""),"")</f>
        <v/>
      </c>
      <c r="E655" t="str">
        <f>IFERROR(__xludf.DUMMYFUNCTION("""COMPUTED_VALUE"""),"")</f>
        <v/>
      </c>
      <c r="F655" t="str">
        <f>IFERROR(__xludf.DUMMYFUNCTION("""COMPUTED_VALUE"""),"")</f>
        <v/>
      </c>
      <c r="G655" t="str">
        <f>IFERROR(__xludf.DUMMYFUNCTION("""COMPUTED_VALUE"""),"")</f>
        <v/>
      </c>
      <c r="H655" t="str">
        <f>IFERROR(__xludf.DUMMYFUNCTION("""COMPUTED_VALUE"""),"")</f>
        <v/>
      </c>
      <c r="I655">
        <f>IFERROR(__xludf.DUMMYFUNCTION("""COMPUTED_VALUE"""),13.0)</f>
        <v>13</v>
      </c>
      <c r="J655">
        <f>IFERROR(__xludf.DUMMYFUNCTION("""COMPUTED_VALUE"""),13.0)</f>
        <v>13</v>
      </c>
      <c r="L655" s="250" t="str">
        <f>IFERROR(__xludf.DUMMYFUNCTION("""COMPUTED_VALUE"""),"")</f>
        <v/>
      </c>
      <c r="M655" s="250" t="str">
        <f>IFERROR(__xludf.DUMMYFUNCTION("""COMPUTED_VALUE"""),"")</f>
        <v/>
      </c>
      <c r="N655" s="250" t="str">
        <f>IFERROR(__xludf.DUMMYFUNCTION("""COMPUTED_VALUE"""),"")</f>
        <v/>
      </c>
      <c r="O655" s="250" t="str">
        <f>IFERROR(__xludf.DUMMYFUNCTION("""COMPUTED_VALUE"""),"")</f>
        <v/>
      </c>
      <c r="P655" s="250" t="str">
        <f>IFERROR(__xludf.DUMMYFUNCTION("""COMPUTED_VALUE"""),"")</f>
        <v/>
      </c>
      <c r="Q655" s="250" t="str">
        <f>IFERROR(__xludf.DUMMYFUNCTION("""COMPUTED_VALUE"""),"")</f>
        <v/>
      </c>
      <c r="R655" s="250" t="str">
        <f>IFERROR(__xludf.DUMMYFUNCTION("""COMPUTED_VALUE"""),"")</f>
        <v/>
      </c>
      <c r="U655" s="250">
        <f>IFERROR(__xludf.DUMMYFUNCTION("""COMPUTED_VALUE"""),5449.0)</f>
        <v>5449</v>
      </c>
      <c r="V655" s="250">
        <f>IFERROR(__xludf.DUMMYFUNCTION("""COMPUTED_VALUE"""),5179.0)</f>
        <v>5179</v>
      </c>
      <c r="W655" s="250">
        <f>IFERROR(__xludf.DUMMYFUNCTION("""COMPUTED_VALUE"""),4669.0)</f>
        <v>4669</v>
      </c>
      <c r="X655" t="b">
        <f t="shared" ref="X655:Z655" si="1286">ISBLANK(K655)</f>
        <v>1</v>
      </c>
      <c r="Y655" t="b">
        <f t="shared" si="1286"/>
        <v>0</v>
      </c>
      <c r="Z655" t="b">
        <f t="shared" si="1286"/>
        <v>0</v>
      </c>
      <c r="AA655">
        <f t="shared" ref="AA655:AC655" si="1287">IF(X655=FALSE,1,0)</f>
        <v>0</v>
      </c>
      <c r="AB655">
        <f t="shared" si="1287"/>
        <v>1</v>
      </c>
      <c r="AC655">
        <f t="shared" si="1287"/>
        <v>1</v>
      </c>
      <c r="AD655">
        <f t="shared" si="6"/>
        <v>2</v>
      </c>
      <c r="AE655">
        <f t="shared" si="7"/>
        <v>1</v>
      </c>
      <c r="AF655">
        <f>if(iferror(vlookup($A655,'Description Database'!$E$2:$H$951,3,0),0)=TRUE,1,0)</f>
        <v>0</v>
      </c>
      <c r="AG655">
        <f>if(iferror(vlookup($A655,'Description Database'!$E$2:$H$951,4,0),0)=TRUE,1,0)</f>
        <v>0</v>
      </c>
    </row>
    <row r="656">
      <c r="A656" t="str">
        <f>IFERROR(__xludf.DUMMYFUNCTION("""COMPUTED_VALUE"""),"Xiaomi Redmi Note 8 (4 GB/64 GB)")</f>
        <v>Xiaomi Redmi Note 8 (4 GB/64 GB)</v>
      </c>
      <c r="B656" t="str">
        <f>IFERROR(__xludf.DUMMYFUNCTION("""COMPUTED_VALUE"""),"")</f>
        <v/>
      </c>
      <c r="C656" t="str">
        <f>IFERROR(__xludf.DUMMYFUNCTION("""COMPUTED_VALUE"""),"")</f>
        <v/>
      </c>
      <c r="D656" t="str">
        <f>IFERROR(__xludf.DUMMYFUNCTION("""COMPUTED_VALUE"""),"")</f>
        <v/>
      </c>
      <c r="E656" t="str">
        <f>IFERROR(__xludf.DUMMYFUNCTION("""COMPUTED_VALUE"""),"")</f>
        <v/>
      </c>
      <c r="F656" t="str">
        <f>IFERROR(__xludf.DUMMYFUNCTION("""COMPUTED_VALUE"""),"")</f>
        <v/>
      </c>
      <c r="G656" t="str">
        <f>IFERROR(__xludf.DUMMYFUNCTION("""COMPUTED_VALUE"""),"")</f>
        <v/>
      </c>
      <c r="H656">
        <f>IFERROR(__xludf.DUMMYFUNCTION("""COMPUTED_VALUE"""),1.0)</f>
        <v>1</v>
      </c>
      <c r="I656">
        <f>IFERROR(__xludf.DUMMYFUNCTION("""COMPUTED_VALUE"""),2.0)</f>
        <v>2</v>
      </c>
      <c r="J656">
        <f>IFERROR(__xludf.DUMMYFUNCTION("""COMPUTED_VALUE"""),3.0)</f>
        <v>3</v>
      </c>
      <c r="L656" s="250" t="str">
        <f>IFERROR(__xludf.DUMMYFUNCTION("""COMPUTED_VALUE"""),"")</f>
        <v/>
      </c>
      <c r="M656" s="250" t="str">
        <f>IFERROR(__xludf.DUMMYFUNCTION("""COMPUTED_VALUE"""),"")</f>
        <v/>
      </c>
      <c r="N656" s="250" t="str">
        <f>IFERROR(__xludf.DUMMYFUNCTION("""COMPUTED_VALUE"""),"")</f>
        <v/>
      </c>
      <c r="O656" s="250" t="str">
        <f>IFERROR(__xludf.DUMMYFUNCTION("""COMPUTED_VALUE"""),"")</f>
        <v/>
      </c>
      <c r="P656" s="250" t="str">
        <f>IFERROR(__xludf.DUMMYFUNCTION("""COMPUTED_VALUE"""),"")</f>
        <v/>
      </c>
      <c r="Q656" s="250" t="str">
        <f>IFERROR(__xludf.DUMMYFUNCTION("""COMPUTED_VALUE"""),"")</f>
        <v/>
      </c>
      <c r="R656" s="250">
        <f>IFERROR(__xludf.DUMMYFUNCTION("""COMPUTED_VALUE"""),3239.0)</f>
        <v>3239</v>
      </c>
      <c r="U656" s="250">
        <f>IFERROR(__xludf.DUMMYFUNCTION("""COMPUTED_VALUE"""),9439.0)</f>
        <v>9439</v>
      </c>
      <c r="V656" s="250">
        <f>IFERROR(__xludf.DUMMYFUNCTION("""COMPUTED_VALUE"""),8989.0)</f>
        <v>8989</v>
      </c>
      <c r="W656" s="250">
        <f>IFERROR(__xludf.DUMMYFUNCTION("""COMPUTED_VALUE"""),8209.0)</f>
        <v>8209</v>
      </c>
      <c r="X656" t="b">
        <f t="shared" ref="X656:Z656" si="1288">ISBLANK(K656)</f>
        <v>1</v>
      </c>
      <c r="Y656" t="b">
        <f t="shared" si="1288"/>
        <v>0</v>
      </c>
      <c r="Z656" t="b">
        <f t="shared" si="1288"/>
        <v>0</v>
      </c>
      <c r="AA656">
        <f t="shared" ref="AA656:AC656" si="1289">IF(X656=FALSE,1,0)</f>
        <v>0</v>
      </c>
      <c r="AB656">
        <f t="shared" si="1289"/>
        <v>1</v>
      </c>
      <c r="AC656">
        <f t="shared" si="1289"/>
        <v>1</v>
      </c>
      <c r="AD656">
        <f t="shared" si="6"/>
        <v>2</v>
      </c>
      <c r="AE656">
        <f t="shared" si="7"/>
        <v>1</v>
      </c>
      <c r="AF656">
        <f>if(iferror(vlookup($A656,'Description Database'!$E$2:$H$951,3,0),0)=TRUE,1,0)</f>
        <v>0</v>
      </c>
      <c r="AG656">
        <f>if(iferror(vlookup($A656,'Description Database'!$E$2:$H$951,4,0),0)=TRUE,1,0)</f>
        <v>0</v>
      </c>
    </row>
    <row r="657">
      <c r="A657" t="str">
        <f>IFERROR(__xludf.DUMMYFUNCTION("""COMPUTED_VALUE"""),"Samsung GALAXY M30 (6 GB/128 GB)")</f>
        <v>Samsung GALAXY M30 (6 GB/128 GB)</v>
      </c>
      <c r="B657" t="str">
        <f>IFERROR(__xludf.DUMMYFUNCTION("""COMPUTED_VALUE"""),"")</f>
        <v/>
      </c>
      <c r="C657" t="str">
        <f>IFERROR(__xludf.DUMMYFUNCTION("""COMPUTED_VALUE"""),"")</f>
        <v/>
      </c>
      <c r="D657" t="str">
        <f>IFERROR(__xludf.DUMMYFUNCTION("""COMPUTED_VALUE"""),"")</f>
        <v/>
      </c>
      <c r="E657" t="str">
        <f>IFERROR(__xludf.DUMMYFUNCTION("""COMPUTED_VALUE"""),"")</f>
        <v/>
      </c>
      <c r="F657" t="str">
        <f>IFERROR(__xludf.DUMMYFUNCTION("""COMPUTED_VALUE"""),"")</f>
        <v/>
      </c>
      <c r="G657" t="str">
        <f>IFERROR(__xludf.DUMMYFUNCTION("""COMPUTED_VALUE"""),"")</f>
        <v/>
      </c>
      <c r="H657" t="str">
        <f>IFERROR(__xludf.DUMMYFUNCTION("""COMPUTED_VALUE"""),"")</f>
        <v/>
      </c>
      <c r="I657" t="str">
        <f>IFERROR(__xludf.DUMMYFUNCTION("""COMPUTED_VALUE"""),"")</f>
        <v/>
      </c>
      <c r="J657">
        <f>IFERROR(__xludf.DUMMYFUNCTION("""COMPUTED_VALUE"""),0.0)</f>
        <v>0</v>
      </c>
      <c r="L657" s="250" t="str">
        <f>IFERROR(__xludf.DUMMYFUNCTION("""COMPUTED_VALUE"""),"")</f>
        <v/>
      </c>
      <c r="M657" s="250" t="str">
        <f>IFERROR(__xludf.DUMMYFUNCTION("""COMPUTED_VALUE"""),"")</f>
        <v/>
      </c>
      <c r="N657" s="250" t="str">
        <f>IFERROR(__xludf.DUMMYFUNCTION("""COMPUTED_VALUE"""),"")</f>
        <v/>
      </c>
      <c r="O657" s="250" t="str">
        <f>IFERROR(__xludf.DUMMYFUNCTION("""COMPUTED_VALUE"""),"")</f>
        <v/>
      </c>
      <c r="P657" s="250" t="str">
        <f>IFERROR(__xludf.DUMMYFUNCTION("""COMPUTED_VALUE"""),"")</f>
        <v/>
      </c>
      <c r="Q657" s="250" t="str">
        <f>IFERROR(__xludf.DUMMYFUNCTION("""COMPUTED_VALUE"""),"")</f>
        <v/>
      </c>
      <c r="R657" s="250" t="str">
        <f>IFERROR(__xludf.DUMMYFUNCTION("""COMPUTED_VALUE"""),"")</f>
        <v/>
      </c>
      <c r="U657" s="250">
        <f>IFERROR(__xludf.DUMMYFUNCTION("""COMPUTED_VALUE"""),8299.0)</f>
        <v>8299</v>
      </c>
      <c r="V657" s="250">
        <f>IFERROR(__xludf.DUMMYFUNCTION("""COMPUTED_VALUE"""),7899.0)</f>
        <v>7899</v>
      </c>
      <c r="W657" s="250">
        <f>IFERROR(__xludf.DUMMYFUNCTION("""COMPUTED_VALUE"""),7109.0)</f>
        <v>7109</v>
      </c>
      <c r="X657" t="b">
        <f t="shared" ref="X657:Z657" si="1290">ISBLANK(K657)</f>
        <v>1</v>
      </c>
      <c r="Y657" t="b">
        <f t="shared" si="1290"/>
        <v>0</v>
      </c>
      <c r="Z657" t="b">
        <f t="shared" si="1290"/>
        <v>0</v>
      </c>
      <c r="AA657">
        <f t="shared" ref="AA657:AC657" si="1291">IF(X657=FALSE,1,0)</f>
        <v>0</v>
      </c>
      <c r="AB657">
        <f t="shared" si="1291"/>
        <v>1</v>
      </c>
      <c r="AC657">
        <f t="shared" si="1291"/>
        <v>1</v>
      </c>
      <c r="AD657">
        <f t="shared" si="6"/>
        <v>2</v>
      </c>
      <c r="AE657">
        <f t="shared" si="7"/>
        <v>1</v>
      </c>
      <c r="AF657">
        <f>if(iferror(vlookup($A657,'Description Database'!$E$2:$H$951,3,0),0)=TRUE,1,0)</f>
        <v>0</v>
      </c>
      <c r="AG657">
        <f>if(iferror(vlookup($A657,'Description Database'!$E$2:$H$951,4,0),0)=TRUE,1,0)</f>
        <v>0</v>
      </c>
    </row>
    <row r="658">
      <c r="A658" t="str">
        <f>IFERROR(__xludf.DUMMYFUNCTION("""COMPUTED_VALUE"""),"Xiaomi REDMI K20 PRO (6 GB/128 GB)")</f>
        <v>Xiaomi REDMI K20 PRO (6 GB/128 GB)</v>
      </c>
      <c r="B658" t="str">
        <f>IFERROR(__xludf.DUMMYFUNCTION("""COMPUTED_VALUE"""),"")</f>
        <v/>
      </c>
      <c r="C658" t="str">
        <f>IFERROR(__xludf.DUMMYFUNCTION("""COMPUTED_VALUE"""),"")</f>
        <v/>
      </c>
      <c r="D658" t="str">
        <f>IFERROR(__xludf.DUMMYFUNCTION("""COMPUTED_VALUE"""),"")</f>
        <v/>
      </c>
      <c r="E658" t="str">
        <f>IFERROR(__xludf.DUMMYFUNCTION("""COMPUTED_VALUE"""),"")</f>
        <v/>
      </c>
      <c r="F658">
        <f>IFERROR(__xludf.DUMMYFUNCTION("""COMPUTED_VALUE"""),3.0)</f>
        <v>3</v>
      </c>
      <c r="G658">
        <f>IFERROR(__xludf.DUMMYFUNCTION("""COMPUTED_VALUE"""),1.0)</f>
        <v>1</v>
      </c>
      <c r="H658" t="str">
        <f>IFERROR(__xludf.DUMMYFUNCTION("""COMPUTED_VALUE"""),"")</f>
        <v/>
      </c>
      <c r="I658">
        <f>IFERROR(__xludf.DUMMYFUNCTION("""COMPUTED_VALUE"""),1.0)</f>
        <v>1</v>
      </c>
      <c r="J658">
        <f>IFERROR(__xludf.DUMMYFUNCTION("""COMPUTED_VALUE"""),5.0)</f>
        <v>5</v>
      </c>
      <c r="L658" s="250" t="str">
        <f>IFERROR(__xludf.DUMMYFUNCTION("""COMPUTED_VALUE"""),"")</f>
        <v/>
      </c>
      <c r="M658" s="250" t="str">
        <f>IFERROR(__xludf.DUMMYFUNCTION("""COMPUTED_VALUE"""),"")</f>
        <v/>
      </c>
      <c r="N658" s="250" t="str">
        <f>IFERROR(__xludf.DUMMYFUNCTION("""COMPUTED_VALUE"""),"")</f>
        <v/>
      </c>
      <c r="O658" s="250" t="str">
        <f>IFERROR(__xludf.DUMMYFUNCTION("""COMPUTED_VALUE"""),"")</f>
        <v/>
      </c>
      <c r="P658" s="250">
        <f>IFERROR(__xludf.DUMMYFUNCTION("""COMPUTED_VALUE"""),9689.0)</f>
        <v>9689</v>
      </c>
      <c r="Q658" s="250">
        <f>IFERROR(__xludf.DUMMYFUNCTION("""COMPUTED_VALUE"""),7069.0)</f>
        <v>7069</v>
      </c>
      <c r="R658" s="250" t="str">
        <f>IFERROR(__xludf.DUMMYFUNCTION("""COMPUTED_VALUE"""),"")</f>
        <v/>
      </c>
      <c r="U658" s="250">
        <f>IFERROR(__xludf.DUMMYFUNCTION("""COMPUTED_VALUE"""),14919.0)</f>
        <v>14919</v>
      </c>
      <c r="V658" s="250">
        <f>IFERROR(__xludf.DUMMYFUNCTION("""COMPUTED_VALUE"""),14199.0)</f>
        <v>14199</v>
      </c>
      <c r="W658" s="250">
        <f>IFERROR(__xludf.DUMMYFUNCTION("""COMPUTED_VALUE"""),12969.0)</f>
        <v>12969</v>
      </c>
      <c r="X658" t="b">
        <f t="shared" ref="X658:Z658" si="1292">ISBLANK(K658)</f>
        <v>1</v>
      </c>
      <c r="Y658" t="b">
        <f t="shared" si="1292"/>
        <v>0</v>
      </c>
      <c r="Z658" t="b">
        <f t="shared" si="1292"/>
        <v>0</v>
      </c>
      <c r="AA658">
        <f t="shared" ref="AA658:AC658" si="1293">IF(X658=FALSE,1,0)</f>
        <v>0</v>
      </c>
      <c r="AB658">
        <f t="shared" si="1293"/>
        <v>1</v>
      </c>
      <c r="AC658">
        <f t="shared" si="1293"/>
        <v>1</v>
      </c>
      <c r="AD658">
        <f t="shared" si="6"/>
        <v>2</v>
      </c>
      <c r="AE658">
        <f t="shared" si="7"/>
        <v>1</v>
      </c>
      <c r="AF658">
        <f>if(iferror(vlookup($A658,'Description Database'!$E$2:$H$951,3,0),0)=TRUE,1,0)</f>
        <v>0</v>
      </c>
      <c r="AG658">
        <f>if(iferror(vlookup($A658,'Description Database'!$E$2:$H$951,4,0),0)=TRUE,1,0)</f>
        <v>0</v>
      </c>
    </row>
    <row r="659">
      <c r="A659" t="str">
        <f>IFERROR(__xludf.DUMMYFUNCTION("""COMPUTED_VALUE"""),"OnePlus 6T (8 GB/128 GB)")</f>
        <v>OnePlus 6T (8 GB/128 GB)</v>
      </c>
      <c r="B659" t="str">
        <f>IFERROR(__xludf.DUMMYFUNCTION("""COMPUTED_VALUE"""),"")</f>
        <v/>
      </c>
      <c r="C659" t="str">
        <f>IFERROR(__xludf.DUMMYFUNCTION("""COMPUTED_VALUE"""),"")</f>
        <v/>
      </c>
      <c r="D659" t="str">
        <f>IFERROR(__xludf.DUMMYFUNCTION("""COMPUTED_VALUE"""),"")</f>
        <v/>
      </c>
      <c r="E659" t="str">
        <f>IFERROR(__xludf.DUMMYFUNCTION("""COMPUTED_VALUE"""),"")</f>
        <v/>
      </c>
      <c r="F659">
        <f>IFERROR(__xludf.DUMMYFUNCTION("""COMPUTED_VALUE"""),1.0)</f>
        <v>1</v>
      </c>
      <c r="G659">
        <f>IFERROR(__xludf.DUMMYFUNCTION("""COMPUTED_VALUE"""),2.0)</f>
        <v>2</v>
      </c>
      <c r="H659" t="str">
        <f>IFERROR(__xludf.DUMMYFUNCTION("""COMPUTED_VALUE"""),"")</f>
        <v/>
      </c>
      <c r="I659" t="str">
        <f>IFERROR(__xludf.DUMMYFUNCTION("""COMPUTED_VALUE"""),"")</f>
        <v/>
      </c>
      <c r="J659">
        <f>IFERROR(__xludf.DUMMYFUNCTION("""COMPUTED_VALUE"""),3.0)</f>
        <v>3</v>
      </c>
      <c r="L659" s="250" t="str">
        <f>IFERROR(__xludf.DUMMYFUNCTION("""COMPUTED_VALUE"""),"")</f>
        <v/>
      </c>
      <c r="M659" s="250" t="str">
        <f>IFERROR(__xludf.DUMMYFUNCTION("""COMPUTED_VALUE"""),"")</f>
        <v/>
      </c>
      <c r="N659" s="250" t="str">
        <f>IFERROR(__xludf.DUMMYFUNCTION("""COMPUTED_VALUE"""),"")</f>
        <v/>
      </c>
      <c r="O659" s="250" t="str">
        <f>IFERROR(__xludf.DUMMYFUNCTION("""COMPUTED_VALUE"""),"")</f>
        <v/>
      </c>
      <c r="P659" s="250">
        <f>IFERROR(__xludf.DUMMYFUNCTION("""COMPUTED_VALUE"""),11409.0)</f>
        <v>11409</v>
      </c>
      <c r="Q659" s="250">
        <f>IFERROR(__xludf.DUMMYFUNCTION("""COMPUTED_VALUE"""),8299.0)</f>
        <v>8299</v>
      </c>
      <c r="R659" s="250" t="str">
        <f>IFERROR(__xludf.DUMMYFUNCTION("""COMPUTED_VALUE"""),"")</f>
        <v/>
      </c>
      <c r="U659" s="250">
        <f>IFERROR(__xludf.DUMMYFUNCTION("""COMPUTED_VALUE"""),17459.0)</f>
        <v>17459</v>
      </c>
      <c r="V659" s="250">
        <f>IFERROR(__xludf.DUMMYFUNCTION("""COMPUTED_VALUE"""),16619.0)</f>
        <v>16619</v>
      </c>
      <c r="W659" s="250">
        <f>IFERROR(__xludf.DUMMYFUNCTION("""COMPUTED_VALUE"""),14959.0)</f>
        <v>14959</v>
      </c>
      <c r="X659" t="b">
        <f t="shared" ref="X659:Z659" si="1294">ISBLANK(K659)</f>
        <v>1</v>
      </c>
      <c r="Y659" t="b">
        <f t="shared" si="1294"/>
        <v>0</v>
      </c>
      <c r="Z659" t="b">
        <f t="shared" si="1294"/>
        <v>0</v>
      </c>
      <c r="AA659">
        <f t="shared" ref="AA659:AC659" si="1295">IF(X659=FALSE,1,0)</f>
        <v>0</v>
      </c>
      <c r="AB659">
        <f t="shared" si="1295"/>
        <v>1</v>
      </c>
      <c r="AC659">
        <f t="shared" si="1295"/>
        <v>1</v>
      </c>
      <c r="AD659">
        <f t="shared" si="6"/>
        <v>2</v>
      </c>
      <c r="AE659">
        <f t="shared" si="7"/>
        <v>1</v>
      </c>
      <c r="AF659">
        <f>if(iferror(vlookup($A659,'Description Database'!$E$2:$H$951,3,0),0)=TRUE,1,0)</f>
        <v>0</v>
      </c>
      <c r="AG659">
        <f>if(iferror(vlookup($A659,'Description Database'!$E$2:$H$951,4,0),0)=TRUE,1,0)</f>
        <v>0</v>
      </c>
    </row>
    <row r="660">
      <c r="A660" t="str">
        <f>IFERROR(__xludf.DUMMYFUNCTION("""COMPUTED_VALUE"""),"Oppo A15S (4 GB/64 GB)")</f>
        <v>Oppo A15S (4 GB/64 GB)</v>
      </c>
      <c r="B660" t="str">
        <f>IFERROR(__xludf.DUMMYFUNCTION("""COMPUTED_VALUE"""),"")</f>
        <v/>
      </c>
      <c r="C660" t="str">
        <f>IFERROR(__xludf.DUMMYFUNCTION("""COMPUTED_VALUE"""),"")</f>
        <v/>
      </c>
      <c r="D660" t="str">
        <f>IFERROR(__xludf.DUMMYFUNCTION("""COMPUTED_VALUE"""),"")</f>
        <v/>
      </c>
      <c r="E660" t="str">
        <f>IFERROR(__xludf.DUMMYFUNCTION("""COMPUTED_VALUE"""),"")</f>
        <v/>
      </c>
      <c r="F660" t="str">
        <f>IFERROR(__xludf.DUMMYFUNCTION("""COMPUTED_VALUE"""),"")</f>
        <v/>
      </c>
      <c r="G660" t="str">
        <f>IFERROR(__xludf.DUMMYFUNCTION("""COMPUTED_VALUE"""),"")</f>
        <v/>
      </c>
      <c r="H660" t="str">
        <f>IFERROR(__xludf.DUMMYFUNCTION("""COMPUTED_VALUE"""),"")</f>
        <v/>
      </c>
      <c r="I660" t="str">
        <f>IFERROR(__xludf.DUMMYFUNCTION("""COMPUTED_VALUE"""),"")</f>
        <v/>
      </c>
      <c r="J660">
        <f>IFERROR(__xludf.DUMMYFUNCTION("""COMPUTED_VALUE"""),0.0)</f>
        <v>0</v>
      </c>
      <c r="L660" s="250" t="str">
        <f>IFERROR(__xludf.DUMMYFUNCTION("""COMPUTED_VALUE"""),"")</f>
        <v/>
      </c>
      <c r="M660" s="250" t="str">
        <f>IFERROR(__xludf.DUMMYFUNCTION("""COMPUTED_VALUE"""),"")</f>
        <v/>
      </c>
      <c r="N660" s="250" t="str">
        <f>IFERROR(__xludf.DUMMYFUNCTION("""COMPUTED_VALUE"""),"")</f>
        <v/>
      </c>
      <c r="O660" s="250" t="str">
        <f>IFERROR(__xludf.DUMMYFUNCTION("""COMPUTED_VALUE"""),"")</f>
        <v/>
      </c>
      <c r="P660" s="250" t="str">
        <f>IFERROR(__xludf.DUMMYFUNCTION("""COMPUTED_VALUE"""),"")</f>
        <v/>
      </c>
      <c r="Q660" s="250" t="str">
        <f>IFERROR(__xludf.DUMMYFUNCTION("""COMPUTED_VALUE"""),"")</f>
        <v/>
      </c>
      <c r="R660" s="250" t="str">
        <f>IFERROR(__xludf.DUMMYFUNCTION("""COMPUTED_VALUE"""),"")</f>
        <v/>
      </c>
      <c r="U660" s="250">
        <f>IFERROR(__xludf.DUMMYFUNCTION("""COMPUTED_VALUE"""),9189.0)</f>
        <v>9189</v>
      </c>
      <c r="V660" s="250">
        <f>IFERROR(__xludf.DUMMYFUNCTION("""COMPUTED_VALUE"""),8749.0)</f>
        <v>8749</v>
      </c>
      <c r="W660" s="250">
        <f>IFERROR(__xludf.DUMMYFUNCTION("""COMPUTED_VALUE"""),7879.0)</f>
        <v>7879</v>
      </c>
      <c r="X660" t="b">
        <f t="shared" ref="X660:Z660" si="1296">ISBLANK(K660)</f>
        <v>1</v>
      </c>
      <c r="Y660" t="b">
        <f t="shared" si="1296"/>
        <v>0</v>
      </c>
      <c r="Z660" t="b">
        <f t="shared" si="1296"/>
        <v>0</v>
      </c>
      <c r="AA660">
        <f t="shared" ref="AA660:AC660" si="1297">IF(X660=FALSE,1,0)</f>
        <v>0</v>
      </c>
      <c r="AB660">
        <f t="shared" si="1297"/>
        <v>1</v>
      </c>
      <c r="AC660">
        <f t="shared" si="1297"/>
        <v>1</v>
      </c>
      <c r="AD660">
        <f t="shared" si="6"/>
        <v>2</v>
      </c>
      <c r="AE660">
        <f t="shared" si="7"/>
        <v>1</v>
      </c>
      <c r="AF660">
        <f>if(iferror(vlookup($A660,'Description Database'!$E$2:$H$951,3,0),0)=TRUE,1,0)</f>
        <v>0</v>
      </c>
      <c r="AG660">
        <f>if(iferror(vlookup($A660,'Description Database'!$E$2:$H$951,4,0),0)=TRUE,1,0)</f>
        <v>0</v>
      </c>
    </row>
    <row r="661">
      <c r="A661" t="str">
        <f>IFERROR(__xludf.DUMMYFUNCTION("""COMPUTED_VALUE"""),"Samsung Galaxy A70s (8 GB/128 GB)")</f>
        <v>Samsung Galaxy A70s (8 GB/128 GB)</v>
      </c>
      <c r="B661" t="str">
        <f>IFERROR(__xludf.DUMMYFUNCTION("""COMPUTED_VALUE"""),"")</f>
        <v/>
      </c>
      <c r="C661" t="str">
        <f>IFERROR(__xludf.DUMMYFUNCTION("""COMPUTED_VALUE"""),"")</f>
        <v/>
      </c>
      <c r="D661" t="str">
        <f>IFERROR(__xludf.DUMMYFUNCTION("""COMPUTED_VALUE"""),"")</f>
        <v/>
      </c>
      <c r="E661" t="str">
        <f>IFERROR(__xludf.DUMMYFUNCTION("""COMPUTED_VALUE"""),"")</f>
        <v/>
      </c>
      <c r="F661" t="str">
        <f>IFERROR(__xludf.DUMMYFUNCTION("""COMPUTED_VALUE"""),"")</f>
        <v/>
      </c>
      <c r="G661" t="str">
        <f>IFERROR(__xludf.DUMMYFUNCTION("""COMPUTED_VALUE"""),"")</f>
        <v/>
      </c>
      <c r="H661" t="str">
        <f>IFERROR(__xludf.DUMMYFUNCTION("""COMPUTED_VALUE"""),"")</f>
        <v/>
      </c>
      <c r="I661" t="str">
        <f>IFERROR(__xludf.DUMMYFUNCTION("""COMPUTED_VALUE"""),"")</f>
        <v/>
      </c>
      <c r="J661">
        <f>IFERROR(__xludf.DUMMYFUNCTION("""COMPUTED_VALUE"""),0.0)</f>
        <v>0</v>
      </c>
      <c r="L661" s="250" t="str">
        <f>IFERROR(__xludf.DUMMYFUNCTION("""COMPUTED_VALUE"""),"")</f>
        <v/>
      </c>
      <c r="M661" s="250" t="str">
        <f>IFERROR(__xludf.DUMMYFUNCTION("""COMPUTED_VALUE"""),"")</f>
        <v/>
      </c>
      <c r="N661" s="250" t="str">
        <f>IFERROR(__xludf.DUMMYFUNCTION("""COMPUTED_VALUE"""),"")</f>
        <v/>
      </c>
      <c r="O661" s="250" t="str">
        <f>IFERROR(__xludf.DUMMYFUNCTION("""COMPUTED_VALUE"""),"")</f>
        <v/>
      </c>
      <c r="P661" s="250" t="str">
        <f>IFERROR(__xludf.DUMMYFUNCTION("""COMPUTED_VALUE"""),"")</f>
        <v/>
      </c>
      <c r="Q661" s="250" t="str">
        <f>IFERROR(__xludf.DUMMYFUNCTION("""COMPUTED_VALUE"""),"")</f>
        <v/>
      </c>
      <c r="R661" s="250" t="str">
        <f>IFERROR(__xludf.DUMMYFUNCTION("""COMPUTED_VALUE"""),"")</f>
        <v/>
      </c>
      <c r="U661" s="250">
        <f>IFERROR(__xludf.DUMMYFUNCTION("""COMPUTED_VALUE"""),12589.0)</f>
        <v>12589</v>
      </c>
      <c r="V661" s="250">
        <f>IFERROR(__xludf.DUMMYFUNCTION("""COMPUTED_VALUE"""),11979.0)</f>
        <v>11979</v>
      </c>
      <c r="W661" s="250">
        <f>IFERROR(__xludf.DUMMYFUNCTION("""COMPUTED_VALUE"""),10789.0)</f>
        <v>10789</v>
      </c>
      <c r="X661" t="b">
        <f t="shared" ref="X661:Z661" si="1298">ISBLANK(K661)</f>
        <v>1</v>
      </c>
      <c r="Y661" t="b">
        <f t="shared" si="1298"/>
        <v>0</v>
      </c>
      <c r="Z661" t="b">
        <f t="shared" si="1298"/>
        <v>0</v>
      </c>
      <c r="AA661">
        <f t="shared" ref="AA661:AC661" si="1299">IF(X661=FALSE,1,0)</f>
        <v>0</v>
      </c>
      <c r="AB661">
        <f t="shared" si="1299"/>
        <v>1</v>
      </c>
      <c r="AC661">
        <f t="shared" si="1299"/>
        <v>1</v>
      </c>
      <c r="AD661">
        <f t="shared" si="6"/>
        <v>2</v>
      </c>
      <c r="AE661">
        <f t="shared" si="7"/>
        <v>1</v>
      </c>
      <c r="AF661">
        <f>if(iferror(vlookup($A661,'Description Database'!$E$2:$H$951,3,0),0)=TRUE,1,0)</f>
        <v>0</v>
      </c>
      <c r="AG661">
        <f>if(iferror(vlookup($A661,'Description Database'!$E$2:$H$951,4,0),0)=TRUE,1,0)</f>
        <v>0</v>
      </c>
    </row>
    <row r="662">
      <c r="A662" t="str">
        <f>IFERROR(__xludf.DUMMYFUNCTION("""COMPUTED_VALUE"""),"Vivo V17 PRO (8 GB/128 GB)")</f>
        <v>Vivo V17 PRO (8 GB/128 GB)</v>
      </c>
      <c r="B662" t="str">
        <f>IFERROR(__xludf.DUMMYFUNCTION("""COMPUTED_VALUE"""),"")</f>
        <v/>
      </c>
      <c r="C662" t="str">
        <f>IFERROR(__xludf.DUMMYFUNCTION("""COMPUTED_VALUE"""),"")</f>
        <v/>
      </c>
      <c r="D662" t="str">
        <f>IFERROR(__xludf.DUMMYFUNCTION("""COMPUTED_VALUE"""),"")</f>
        <v/>
      </c>
      <c r="E662" t="str">
        <f>IFERROR(__xludf.DUMMYFUNCTION("""COMPUTED_VALUE"""),"")</f>
        <v/>
      </c>
      <c r="F662" t="str">
        <f>IFERROR(__xludf.DUMMYFUNCTION("""COMPUTED_VALUE"""),"")</f>
        <v/>
      </c>
      <c r="G662" t="str">
        <f>IFERROR(__xludf.DUMMYFUNCTION("""COMPUTED_VALUE"""),"")</f>
        <v/>
      </c>
      <c r="H662" t="str">
        <f>IFERROR(__xludf.DUMMYFUNCTION("""COMPUTED_VALUE"""),"")</f>
        <v/>
      </c>
      <c r="I662" t="str">
        <f>IFERROR(__xludf.DUMMYFUNCTION("""COMPUTED_VALUE"""),"")</f>
        <v/>
      </c>
      <c r="J662">
        <f>IFERROR(__xludf.DUMMYFUNCTION("""COMPUTED_VALUE"""),0.0)</f>
        <v>0</v>
      </c>
      <c r="L662" s="250" t="str">
        <f>IFERROR(__xludf.DUMMYFUNCTION("""COMPUTED_VALUE"""),"")</f>
        <v/>
      </c>
      <c r="M662" s="250" t="str">
        <f>IFERROR(__xludf.DUMMYFUNCTION("""COMPUTED_VALUE"""),"")</f>
        <v/>
      </c>
      <c r="N662" s="250" t="str">
        <f>IFERROR(__xludf.DUMMYFUNCTION("""COMPUTED_VALUE"""),"")</f>
        <v/>
      </c>
      <c r="O662" s="250" t="str">
        <f>IFERROR(__xludf.DUMMYFUNCTION("""COMPUTED_VALUE"""),"")</f>
        <v/>
      </c>
      <c r="P662" s="250" t="str">
        <f>IFERROR(__xludf.DUMMYFUNCTION("""COMPUTED_VALUE"""),"")</f>
        <v/>
      </c>
      <c r="Q662" s="250" t="str">
        <f>IFERROR(__xludf.DUMMYFUNCTION("""COMPUTED_VALUE"""),"")</f>
        <v/>
      </c>
      <c r="R662" s="250" t="str">
        <f>IFERROR(__xludf.DUMMYFUNCTION("""COMPUTED_VALUE"""),"")</f>
        <v/>
      </c>
      <c r="U662" s="250">
        <f>IFERROR(__xludf.DUMMYFUNCTION("""COMPUTED_VALUE"""),17329.0)</f>
        <v>17329</v>
      </c>
      <c r="V662" s="250">
        <f>IFERROR(__xludf.DUMMYFUNCTION("""COMPUTED_VALUE"""),16499.0)</f>
        <v>16499</v>
      </c>
      <c r="W662" s="250">
        <f>IFERROR(__xludf.DUMMYFUNCTION("""COMPUTED_VALUE"""),14859.0)</f>
        <v>14859</v>
      </c>
      <c r="X662" t="b">
        <f t="shared" ref="X662:Z662" si="1300">ISBLANK(K662)</f>
        <v>1</v>
      </c>
      <c r="Y662" t="b">
        <f t="shared" si="1300"/>
        <v>0</v>
      </c>
      <c r="Z662" t="b">
        <f t="shared" si="1300"/>
        <v>0</v>
      </c>
      <c r="AA662">
        <f t="shared" ref="AA662:AC662" si="1301">IF(X662=FALSE,1,0)</f>
        <v>0</v>
      </c>
      <c r="AB662">
        <f t="shared" si="1301"/>
        <v>1</v>
      </c>
      <c r="AC662">
        <f t="shared" si="1301"/>
        <v>1</v>
      </c>
      <c r="AD662">
        <f t="shared" si="6"/>
        <v>2</v>
      </c>
      <c r="AE662">
        <f t="shared" si="7"/>
        <v>1</v>
      </c>
      <c r="AF662">
        <f>if(iferror(vlookup($A662,'Description Database'!$E$2:$H$951,3,0),0)=TRUE,1,0)</f>
        <v>0</v>
      </c>
      <c r="AG662">
        <f>if(iferror(vlookup($A662,'Description Database'!$E$2:$H$951,4,0),0)=TRUE,1,0)</f>
        <v>0</v>
      </c>
    </row>
    <row r="663">
      <c r="A663" t="str">
        <f>IFERROR(__xludf.DUMMYFUNCTION("""COMPUTED_VALUE"""),"OPPO F15 (8 GB/128 GB)")</f>
        <v>OPPO F15 (8 GB/128 GB)</v>
      </c>
      <c r="B663" t="str">
        <f>IFERROR(__xludf.DUMMYFUNCTION("""COMPUTED_VALUE"""),"")</f>
        <v/>
      </c>
      <c r="C663" t="str">
        <f>IFERROR(__xludf.DUMMYFUNCTION("""COMPUTED_VALUE"""),"")</f>
        <v/>
      </c>
      <c r="D663" t="str">
        <f>IFERROR(__xludf.DUMMYFUNCTION("""COMPUTED_VALUE"""),"")</f>
        <v/>
      </c>
      <c r="E663" t="str">
        <f>IFERROR(__xludf.DUMMYFUNCTION("""COMPUTED_VALUE"""),"")</f>
        <v/>
      </c>
      <c r="F663" t="str">
        <f>IFERROR(__xludf.DUMMYFUNCTION("""COMPUTED_VALUE"""),"")</f>
        <v/>
      </c>
      <c r="G663" t="str">
        <f>IFERROR(__xludf.DUMMYFUNCTION("""COMPUTED_VALUE"""),"")</f>
        <v/>
      </c>
      <c r="H663" t="str">
        <f>IFERROR(__xludf.DUMMYFUNCTION("""COMPUTED_VALUE"""),"")</f>
        <v/>
      </c>
      <c r="I663">
        <f>IFERROR(__xludf.DUMMYFUNCTION("""COMPUTED_VALUE"""),2.0)</f>
        <v>2</v>
      </c>
      <c r="J663">
        <f>IFERROR(__xludf.DUMMYFUNCTION("""COMPUTED_VALUE"""),2.0)</f>
        <v>2</v>
      </c>
      <c r="L663" s="250" t="str">
        <f>IFERROR(__xludf.DUMMYFUNCTION("""COMPUTED_VALUE"""),"")</f>
        <v/>
      </c>
      <c r="M663" s="250" t="str">
        <f>IFERROR(__xludf.DUMMYFUNCTION("""COMPUTED_VALUE"""),"")</f>
        <v/>
      </c>
      <c r="N663" s="250" t="str">
        <f>IFERROR(__xludf.DUMMYFUNCTION("""COMPUTED_VALUE"""),"")</f>
        <v/>
      </c>
      <c r="O663" s="250" t="str">
        <f>IFERROR(__xludf.DUMMYFUNCTION("""COMPUTED_VALUE"""),"")</f>
        <v/>
      </c>
      <c r="P663" s="250" t="str">
        <f>IFERROR(__xludf.DUMMYFUNCTION("""COMPUTED_VALUE"""),"")</f>
        <v/>
      </c>
      <c r="Q663" s="250" t="str">
        <f>IFERROR(__xludf.DUMMYFUNCTION("""COMPUTED_VALUE"""),"")</f>
        <v/>
      </c>
      <c r="R663" s="250" t="str">
        <f>IFERROR(__xludf.DUMMYFUNCTION("""COMPUTED_VALUE"""),"")</f>
        <v/>
      </c>
      <c r="U663" s="250">
        <f>IFERROR(__xludf.DUMMYFUNCTION("""COMPUTED_VALUE"""),12549.0)</f>
        <v>12549</v>
      </c>
      <c r="V663" s="250">
        <f>IFERROR(__xludf.DUMMYFUNCTION("""COMPUTED_VALUE"""),11949.0)</f>
        <v>11949</v>
      </c>
      <c r="W663" s="250">
        <f>IFERROR(__xludf.DUMMYFUNCTION("""COMPUTED_VALUE"""),10759.0)</f>
        <v>10759</v>
      </c>
      <c r="X663" t="b">
        <f t="shared" ref="X663:Z663" si="1302">ISBLANK(K663)</f>
        <v>1</v>
      </c>
      <c r="Y663" t="b">
        <f t="shared" si="1302"/>
        <v>0</v>
      </c>
      <c r="Z663" t="b">
        <f t="shared" si="1302"/>
        <v>0</v>
      </c>
      <c r="AA663">
        <f t="shared" ref="AA663:AC663" si="1303">IF(X663=FALSE,1,0)</f>
        <v>0</v>
      </c>
      <c r="AB663">
        <f t="shared" si="1303"/>
        <v>1</v>
      </c>
      <c r="AC663">
        <f t="shared" si="1303"/>
        <v>1</v>
      </c>
      <c r="AD663">
        <f t="shared" si="6"/>
        <v>2</v>
      </c>
      <c r="AE663">
        <f t="shared" si="7"/>
        <v>1</v>
      </c>
      <c r="AF663">
        <f>if(iferror(vlookup($A663,'Description Database'!$E$2:$H$951,3,0),0)=TRUE,1,0)</f>
        <v>0</v>
      </c>
      <c r="AG663">
        <f>if(iferror(vlookup($A663,'Description Database'!$E$2:$H$951,4,0),0)=TRUE,1,0)</f>
        <v>0</v>
      </c>
    </row>
    <row r="664">
      <c r="A664" t="str">
        <f>IFERROR(__xludf.DUMMYFUNCTION("""COMPUTED_VALUE"""),"Realme C1 2019 (3 GB/32 GB)")</f>
        <v>Realme C1 2019 (3 GB/32 GB)</v>
      </c>
      <c r="B664" t="str">
        <f>IFERROR(__xludf.DUMMYFUNCTION("""COMPUTED_VALUE"""),"")</f>
        <v/>
      </c>
      <c r="C664" t="str">
        <f>IFERROR(__xludf.DUMMYFUNCTION("""COMPUTED_VALUE"""),"")</f>
        <v/>
      </c>
      <c r="D664" t="str">
        <f>IFERROR(__xludf.DUMMYFUNCTION("""COMPUTED_VALUE"""),"")</f>
        <v/>
      </c>
      <c r="E664" t="str">
        <f>IFERROR(__xludf.DUMMYFUNCTION("""COMPUTED_VALUE"""),"")</f>
        <v/>
      </c>
      <c r="F664" t="str">
        <f>IFERROR(__xludf.DUMMYFUNCTION("""COMPUTED_VALUE"""),"")</f>
        <v/>
      </c>
      <c r="G664" t="str">
        <f>IFERROR(__xludf.DUMMYFUNCTION("""COMPUTED_VALUE"""),"")</f>
        <v/>
      </c>
      <c r="H664" t="str">
        <f>IFERROR(__xludf.DUMMYFUNCTION("""COMPUTED_VALUE"""),"")</f>
        <v/>
      </c>
      <c r="I664" t="str">
        <f>IFERROR(__xludf.DUMMYFUNCTION("""COMPUTED_VALUE"""),"")</f>
        <v/>
      </c>
      <c r="J664">
        <f>IFERROR(__xludf.DUMMYFUNCTION("""COMPUTED_VALUE"""),0.0)</f>
        <v>0</v>
      </c>
      <c r="L664" s="250" t="str">
        <f>IFERROR(__xludf.DUMMYFUNCTION("""COMPUTED_VALUE"""),"")</f>
        <v/>
      </c>
      <c r="M664" s="250" t="str">
        <f>IFERROR(__xludf.DUMMYFUNCTION("""COMPUTED_VALUE"""),"")</f>
        <v/>
      </c>
      <c r="N664" s="250" t="str">
        <f>IFERROR(__xludf.DUMMYFUNCTION("""COMPUTED_VALUE"""),"")</f>
        <v/>
      </c>
      <c r="O664" s="250" t="str">
        <f>IFERROR(__xludf.DUMMYFUNCTION("""COMPUTED_VALUE"""),"")</f>
        <v/>
      </c>
      <c r="P664" s="250" t="str">
        <f>IFERROR(__xludf.DUMMYFUNCTION("""COMPUTED_VALUE"""),"")</f>
        <v/>
      </c>
      <c r="Q664" s="250" t="str">
        <f>IFERROR(__xludf.DUMMYFUNCTION("""COMPUTED_VALUE"""),"")</f>
        <v/>
      </c>
      <c r="R664" s="250" t="str">
        <f>IFERROR(__xludf.DUMMYFUNCTION("""COMPUTED_VALUE"""),"")</f>
        <v/>
      </c>
      <c r="U664" s="250">
        <f>IFERROR(__xludf.DUMMYFUNCTION("""COMPUTED_VALUE"""),6419.0)</f>
        <v>6419</v>
      </c>
      <c r="V664" s="250">
        <f>IFERROR(__xludf.DUMMYFUNCTION("""COMPUTED_VALUE"""),6109.0)</f>
        <v>6109</v>
      </c>
      <c r="W664" s="250">
        <f>IFERROR(__xludf.DUMMYFUNCTION("""COMPUTED_VALUE"""),5489.0)</f>
        <v>5489</v>
      </c>
      <c r="X664" t="b">
        <f t="shared" ref="X664:Z664" si="1304">ISBLANK(K664)</f>
        <v>1</v>
      </c>
      <c r="Y664" t="b">
        <f t="shared" si="1304"/>
        <v>0</v>
      </c>
      <c r="Z664" t="b">
        <f t="shared" si="1304"/>
        <v>0</v>
      </c>
      <c r="AA664">
        <f t="shared" ref="AA664:AC664" si="1305">IF(X664=FALSE,1,0)</f>
        <v>0</v>
      </c>
      <c r="AB664">
        <f t="shared" si="1305"/>
        <v>1</v>
      </c>
      <c r="AC664">
        <f t="shared" si="1305"/>
        <v>1</v>
      </c>
      <c r="AD664">
        <f t="shared" si="6"/>
        <v>2</v>
      </c>
      <c r="AE664">
        <f t="shared" si="7"/>
        <v>1</v>
      </c>
      <c r="AF664">
        <f>if(iferror(vlookup($A664,'Description Database'!$E$2:$H$951,3,0),0)=TRUE,1,0)</f>
        <v>0</v>
      </c>
      <c r="AG664">
        <f>if(iferror(vlookup($A664,'Description Database'!$E$2:$H$951,4,0),0)=TRUE,1,0)</f>
        <v>0</v>
      </c>
    </row>
    <row r="665">
      <c r="A665" t="str">
        <f>IFERROR(__xludf.DUMMYFUNCTION("""COMPUTED_VALUE"""),"Huawei HONOR 7 (3 GB/32 GB)")</f>
        <v>Huawei HONOR 7 (3 GB/32 GB)</v>
      </c>
      <c r="B665" t="str">
        <f>IFERROR(__xludf.DUMMYFUNCTION("""COMPUTED_VALUE"""),"")</f>
        <v/>
      </c>
      <c r="C665" t="str">
        <f>IFERROR(__xludf.DUMMYFUNCTION("""COMPUTED_VALUE"""),"")</f>
        <v/>
      </c>
      <c r="D665" t="str">
        <f>IFERROR(__xludf.DUMMYFUNCTION("""COMPUTED_VALUE"""),"")</f>
        <v/>
      </c>
      <c r="E665" t="str">
        <f>IFERROR(__xludf.DUMMYFUNCTION("""COMPUTED_VALUE"""),"")</f>
        <v/>
      </c>
      <c r="F665" t="str">
        <f>IFERROR(__xludf.DUMMYFUNCTION("""COMPUTED_VALUE"""),"")</f>
        <v/>
      </c>
      <c r="G665" t="str">
        <f>IFERROR(__xludf.DUMMYFUNCTION("""COMPUTED_VALUE"""),"")</f>
        <v/>
      </c>
      <c r="H665" t="str">
        <f>IFERROR(__xludf.DUMMYFUNCTION("""COMPUTED_VALUE"""),"")</f>
        <v/>
      </c>
      <c r="I665" t="str">
        <f>IFERROR(__xludf.DUMMYFUNCTION("""COMPUTED_VALUE"""),"")</f>
        <v/>
      </c>
      <c r="J665">
        <f>IFERROR(__xludf.DUMMYFUNCTION("""COMPUTED_VALUE"""),0.0)</f>
        <v>0</v>
      </c>
      <c r="L665" s="250" t="str">
        <f>IFERROR(__xludf.DUMMYFUNCTION("""COMPUTED_VALUE"""),"")</f>
        <v/>
      </c>
      <c r="M665" s="250" t="str">
        <f>IFERROR(__xludf.DUMMYFUNCTION("""COMPUTED_VALUE"""),"")</f>
        <v/>
      </c>
      <c r="N665" s="250" t="str">
        <f>IFERROR(__xludf.DUMMYFUNCTION("""COMPUTED_VALUE"""),"")</f>
        <v/>
      </c>
      <c r="O665" s="250" t="str">
        <f>IFERROR(__xludf.DUMMYFUNCTION("""COMPUTED_VALUE"""),"")</f>
        <v/>
      </c>
      <c r="P665" s="250" t="str">
        <f>IFERROR(__xludf.DUMMYFUNCTION("""COMPUTED_VALUE"""),"")</f>
        <v/>
      </c>
      <c r="Q665" s="250" t="str">
        <f>IFERROR(__xludf.DUMMYFUNCTION("""COMPUTED_VALUE"""),"")</f>
        <v/>
      </c>
      <c r="R665" s="250" t="str">
        <f>IFERROR(__xludf.DUMMYFUNCTION("""COMPUTED_VALUE"""),"")</f>
        <v/>
      </c>
      <c r="U665" s="250" t="str">
        <f>IFERROR(__xludf.DUMMYFUNCTION("""COMPUTED_VALUE"""),"#N/A")</f>
        <v>#N/A</v>
      </c>
      <c r="V665" s="250" t="str">
        <f>IFERROR(__xludf.DUMMYFUNCTION("""COMPUTED_VALUE"""),"#N/A")</f>
        <v>#N/A</v>
      </c>
      <c r="W665" s="250" t="str">
        <f>IFERROR(__xludf.DUMMYFUNCTION("""COMPUTED_VALUE"""),"#N/A")</f>
        <v>#N/A</v>
      </c>
      <c r="X665" t="b">
        <f t="shared" ref="X665:Z665" si="1306">ISBLANK(K665)</f>
        <v>1</v>
      </c>
      <c r="Y665" t="b">
        <f t="shared" si="1306"/>
        <v>0</v>
      </c>
      <c r="Z665" t="b">
        <f t="shared" si="1306"/>
        <v>0</v>
      </c>
      <c r="AA665">
        <f t="shared" ref="AA665:AC665" si="1307">IF(X665=FALSE,1,0)</f>
        <v>0</v>
      </c>
      <c r="AB665">
        <f t="shared" si="1307"/>
        <v>1</v>
      </c>
      <c r="AC665">
        <f t="shared" si="1307"/>
        <v>1</v>
      </c>
      <c r="AD665">
        <f t="shared" si="6"/>
        <v>2</v>
      </c>
      <c r="AE665">
        <f t="shared" si="7"/>
        <v>1</v>
      </c>
      <c r="AF665">
        <f>if(iferror(vlookup($A665,'Description Database'!$E$2:$H$951,3,0),0)=TRUE,1,0)</f>
        <v>0</v>
      </c>
      <c r="AG665">
        <f>if(iferror(vlookup($A665,'Description Database'!$E$2:$H$951,4,0),0)=TRUE,1,0)</f>
        <v>0</v>
      </c>
    </row>
    <row r="666">
      <c r="A666" t="str">
        <f>IFERROR(__xludf.DUMMYFUNCTION("""COMPUTED_VALUE"""),"Samsung Galaxy Alpha")</f>
        <v>Samsung Galaxy Alpha</v>
      </c>
      <c r="B666" t="str">
        <f>IFERROR(__xludf.DUMMYFUNCTION("""COMPUTED_VALUE"""),"")</f>
        <v/>
      </c>
      <c r="C666" t="str">
        <f>IFERROR(__xludf.DUMMYFUNCTION("""COMPUTED_VALUE"""),"")</f>
        <v/>
      </c>
      <c r="D666" t="str">
        <f>IFERROR(__xludf.DUMMYFUNCTION("""COMPUTED_VALUE"""),"")</f>
        <v/>
      </c>
      <c r="E666" t="str">
        <f>IFERROR(__xludf.DUMMYFUNCTION("""COMPUTED_VALUE"""),"")</f>
        <v/>
      </c>
      <c r="F666" t="str">
        <f>IFERROR(__xludf.DUMMYFUNCTION("""COMPUTED_VALUE"""),"")</f>
        <v/>
      </c>
      <c r="G666" t="str">
        <f>IFERROR(__xludf.DUMMYFUNCTION("""COMPUTED_VALUE"""),"")</f>
        <v/>
      </c>
      <c r="H666" t="str">
        <f>IFERROR(__xludf.DUMMYFUNCTION("""COMPUTED_VALUE"""),"")</f>
        <v/>
      </c>
      <c r="I666" t="str">
        <f>IFERROR(__xludf.DUMMYFUNCTION("""COMPUTED_VALUE"""),"")</f>
        <v/>
      </c>
      <c r="J666">
        <f>IFERROR(__xludf.DUMMYFUNCTION("""COMPUTED_VALUE"""),0.0)</f>
        <v>0</v>
      </c>
      <c r="L666" s="250" t="str">
        <f>IFERROR(__xludf.DUMMYFUNCTION("""COMPUTED_VALUE"""),"")</f>
        <v/>
      </c>
      <c r="M666" s="250" t="str">
        <f>IFERROR(__xludf.DUMMYFUNCTION("""COMPUTED_VALUE"""),"")</f>
        <v/>
      </c>
      <c r="N666" s="250" t="str">
        <f>IFERROR(__xludf.DUMMYFUNCTION("""COMPUTED_VALUE"""),"")</f>
        <v/>
      </c>
      <c r="O666" s="250" t="str">
        <f>IFERROR(__xludf.DUMMYFUNCTION("""COMPUTED_VALUE"""),"")</f>
        <v/>
      </c>
      <c r="P666" s="250" t="str">
        <f>IFERROR(__xludf.DUMMYFUNCTION("""COMPUTED_VALUE"""),"")</f>
        <v/>
      </c>
      <c r="Q666" s="250" t="str">
        <f>IFERROR(__xludf.DUMMYFUNCTION("""COMPUTED_VALUE"""),"")</f>
        <v/>
      </c>
      <c r="R666" s="250" t="str">
        <f>IFERROR(__xludf.DUMMYFUNCTION("""COMPUTED_VALUE"""),"")</f>
        <v/>
      </c>
      <c r="U666" s="250">
        <f>IFERROR(__xludf.DUMMYFUNCTION("""COMPUTED_VALUE"""),2899.0)</f>
        <v>2899</v>
      </c>
      <c r="V666" s="250">
        <f>IFERROR(__xludf.DUMMYFUNCTION("""COMPUTED_VALUE"""),2749.0)</f>
        <v>2749</v>
      </c>
      <c r="W666" s="250">
        <f>IFERROR(__xludf.DUMMYFUNCTION("""COMPUTED_VALUE"""),2479.0)</f>
        <v>2479</v>
      </c>
      <c r="X666" t="b">
        <f t="shared" ref="X666:Z666" si="1308">ISBLANK(K666)</f>
        <v>1</v>
      </c>
      <c r="Y666" t="b">
        <f t="shared" si="1308"/>
        <v>0</v>
      </c>
      <c r="Z666" t="b">
        <f t="shared" si="1308"/>
        <v>0</v>
      </c>
      <c r="AA666">
        <f t="shared" ref="AA666:AC666" si="1309">IF(X666=FALSE,1,0)</f>
        <v>0</v>
      </c>
      <c r="AB666">
        <f t="shared" si="1309"/>
        <v>1</v>
      </c>
      <c r="AC666">
        <f t="shared" si="1309"/>
        <v>1</v>
      </c>
      <c r="AD666">
        <f t="shared" si="6"/>
        <v>2</v>
      </c>
      <c r="AE666">
        <f t="shared" si="7"/>
        <v>1</v>
      </c>
      <c r="AF666">
        <f>if(iferror(vlookup($A666,'Description Database'!$E$2:$H$951,3,0),0)=TRUE,1,0)</f>
        <v>0</v>
      </c>
      <c r="AG666">
        <f>if(iferror(vlookup($A666,'Description Database'!$E$2:$H$951,4,0),0)=TRUE,1,0)</f>
        <v>0</v>
      </c>
    </row>
    <row r="667">
      <c r="A667" t="str">
        <f>IFERROR(__xludf.DUMMYFUNCTION("""COMPUTED_VALUE"""),"Yu Yureka Plus (2 GB/16 GB)")</f>
        <v>Yu Yureka Plus (2 GB/16 GB)</v>
      </c>
      <c r="B667" t="str">
        <f>IFERROR(__xludf.DUMMYFUNCTION("""COMPUTED_VALUE"""),"")</f>
        <v/>
      </c>
      <c r="C667" t="str">
        <f>IFERROR(__xludf.DUMMYFUNCTION("""COMPUTED_VALUE"""),"")</f>
        <v/>
      </c>
      <c r="D667" t="str">
        <f>IFERROR(__xludf.DUMMYFUNCTION("""COMPUTED_VALUE"""),"")</f>
        <v/>
      </c>
      <c r="E667" t="str">
        <f>IFERROR(__xludf.DUMMYFUNCTION("""COMPUTED_VALUE"""),"")</f>
        <v/>
      </c>
      <c r="F667" t="str">
        <f>IFERROR(__xludf.DUMMYFUNCTION("""COMPUTED_VALUE"""),"")</f>
        <v/>
      </c>
      <c r="G667" t="str">
        <f>IFERROR(__xludf.DUMMYFUNCTION("""COMPUTED_VALUE"""),"")</f>
        <v/>
      </c>
      <c r="H667" t="str">
        <f>IFERROR(__xludf.DUMMYFUNCTION("""COMPUTED_VALUE"""),"")</f>
        <v/>
      </c>
      <c r="I667">
        <f>IFERROR(__xludf.DUMMYFUNCTION("""COMPUTED_VALUE"""),14.0)</f>
        <v>14</v>
      </c>
      <c r="J667">
        <f>IFERROR(__xludf.DUMMYFUNCTION("""COMPUTED_VALUE"""),14.0)</f>
        <v>14</v>
      </c>
      <c r="L667" s="250" t="str">
        <f>IFERROR(__xludf.DUMMYFUNCTION("""COMPUTED_VALUE"""),"")</f>
        <v/>
      </c>
      <c r="M667" s="250" t="str">
        <f>IFERROR(__xludf.DUMMYFUNCTION("""COMPUTED_VALUE"""),"")</f>
        <v/>
      </c>
      <c r="N667" s="250" t="str">
        <f>IFERROR(__xludf.DUMMYFUNCTION("""COMPUTED_VALUE"""),"")</f>
        <v/>
      </c>
      <c r="O667" s="250" t="str">
        <f>IFERROR(__xludf.DUMMYFUNCTION("""COMPUTED_VALUE"""),"")</f>
        <v/>
      </c>
      <c r="P667" s="250" t="str">
        <f>IFERROR(__xludf.DUMMYFUNCTION("""COMPUTED_VALUE"""),"")</f>
        <v/>
      </c>
      <c r="Q667" s="250" t="str">
        <f>IFERROR(__xludf.DUMMYFUNCTION("""COMPUTED_VALUE"""),"")</f>
        <v/>
      </c>
      <c r="R667" s="250" t="str">
        <f>IFERROR(__xludf.DUMMYFUNCTION("""COMPUTED_VALUE"""),"")</f>
        <v/>
      </c>
      <c r="U667" s="250">
        <f>IFERROR(__xludf.DUMMYFUNCTION("""COMPUTED_VALUE"""),2039.0)</f>
        <v>2039</v>
      </c>
      <c r="V667" s="250">
        <f>IFERROR(__xludf.DUMMYFUNCTION("""COMPUTED_VALUE"""),1939.0)</f>
        <v>1939</v>
      </c>
      <c r="W667" s="250">
        <f>IFERROR(__xludf.DUMMYFUNCTION("""COMPUTED_VALUE"""),1749.0)</f>
        <v>1749</v>
      </c>
      <c r="X667" t="b">
        <f t="shared" ref="X667:Z667" si="1310">ISBLANK(K667)</f>
        <v>1</v>
      </c>
      <c r="Y667" t="b">
        <f t="shared" si="1310"/>
        <v>0</v>
      </c>
      <c r="Z667" t="b">
        <f t="shared" si="1310"/>
        <v>0</v>
      </c>
      <c r="AA667">
        <f t="shared" ref="AA667:AC667" si="1311">IF(X667=FALSE,1,0)</f>
        <v>0</v>
      </c>
      <c r="AB667">
        <f t="shared" si="1311"/>
        <v>1</v>
      </c>
      <c r="AC667">
        <f t="shared" si="1311"/>
        <v>1</v>
      </c>
      <c r="AD667">
        <f t="shared" si="6"/>
        <v>2</v>
      </c>
      <c r="AE667">
        <f t="shared" si="7"/>
        <v>1</v>
      </c>
      <c r="AF667">
        <f>if(iferror(vlookup($A667,'Description Database'!$E$2:$H$951,3,0),0)=TRUE,1,0)</f>
        <v>0</v>
      </c>
      <c r="AG667">
        <f>if(iferror(vlookup($A667,'Description Database'!$E$2:$H$951,4,0),0)=TRUE,1,0)</f>
        <v>0</v>
      </c>
    </row>
    <row r="668">
      <c r="A668" t="str">
        <f>IFERROR(__xludf.DUMMYFUNCTION("""COMPUTED_VALUE"""),"LYF Water F1 32 GB")</f>
        <v>LYF Water F1 32 GB</v>
      </c>
      <c r="B668" t="str">
        <f>IFERROR(__xludf.DUMMYFUNCTION("""COMPUTED_VALUE"""),"")</f>
        <v/>
      </c>
      <c r="C668" t="str">
        <f>IFERROR(__xludf.DUMMYFUNCTION("""COMPUTED_VALUE"""),"")</f>
        <v/>
      </c>
      <c r="D668" t="str">
        <f>IFERROR(__xludf.DUMMYFUNCTION("""COMPUTED_VALUE"""),"")</f>
        <v/>
      </c>
      <c r="E668" t="str">
        <f>IFERROR(__xludf.DUMMYFUNCTION("""COMPUTED_VALUE"""),"")</f>
        <v/>
      </c>
      <c r="F668" t="str">
        <f>IFERROR(__xludf.DUMMYFUNCTION("""COMPUTED_VALUE"""),"")</f>
        <v/>
      </c>
      <c r="G668" t="str">
        <f>IFERROR(__xludf.DUMMYFUNCTION("""COMPUTED_VALUE"""),"")</f>
        <v/>
      </c>
      <c r="H668" t="str">
        <f>IFERROR(__xludf.DUMMYFUNCTION("""COMPUTED_VALUE"""),"")</f>
        <v/>
      </c>
      <c r="I668" t="str">
        <f>IFERROR(__xludf.DUMMYFUNCTION("""COMPUTED_VALUE"""),"")</f>
        <v/>
      </c>
      <c r="J668">
        <f>IFERROR(__xludf.DUMMYFUNCTION("""COMPUTED_VALUE"""),0.0)</f>
        <v>0</v>
      </c>
      <c r="L668" s="250" t="str">
        <f>IFERROR(__xludf.DUMMYFUNCTION("""COMPUTED_VALUE"""),"")</f>
        <v/>
      </c>
      <c r="M668" s="250" t="str">
        <f>IFERROR(__xludf.DUMMYFUNCTION("""COMPUTED_VALUE"""),"")</f>
        <v/>
      </c>
      <c r="N668" s="250" t="str">
        <f>IFERROR(__xludf.DUMMYFUNCTION("""COMPUTED_VALUE"""),"")</f>
        <v/>
      </c>
      <c r="O668" s="250" t="str">
        <f>IFERROR(__xludf.DUMMYFUNCTION("""COMPUTED_VALUE"""),"")</f>
        <v/>
      </c>
      <c r="P668" s="250" t="str">
        <f>IFERROR(__xludf.DUMMYFUNCTION("""COMPUTED_VALUE"""),"")</f>
        <v/>
      </c>
      <c r="Q668" s="250" t="str">
        <f>IFERROR(__xludf.DUMMYFUNCTION("""COMPUTED_VALUE"""),"")</f>
        <v/>
      </c>
      <c r="R668" s="250" t="str">
        <f>IFERROR(__xludf.DUMMYFUNCTION("""COMPUTED_VALUE"""),"")</f>
        <v/>
      </c>
      <c r="U668" s="250">
        <f>IFERROR(__xludf.DUMMYFUNCTION("""COMPUTED_VALUE"""),2479.0)</f>
        <v>2479</v>
      </c>
      <c r="V668" s="250">
        <f>IFERROR(__xludf.DUMMYFUNCTION("""COMPUTED_VALUE"""),2359.0)</f>
        <v>2359</v>
      </c>
      <c r="W668" s="250">
        <f>IFERROR(__xludf.DUMMYFUNCTION("""COMPUTED_VALUE"""),2119.0)</f>
        <v>2119</v>
      </c>
      <c r="X668" t="b">
        <f t="shared" ref="X668:Z668" si="1312">ISBLANK(K668)</f>
        <v>1</v>
      </c>
      <c r="Y668" t="b">
        <f t="shared" si="1312"/>
        <v>0</v>
      </c>
      <c r="Z668" t="b">
        <f t="shared" si="1312"/>
        <v>0</v>
      </c>
      <c r="AA668">
        <f t="shared" ref="AA668:AC668" si="1313">IF(X668=FALSE,1,0)</f>
        <v>0</v>
      </c>
      <c r="AB668">
        <f t="shared" si="1313"/>
        <v>1</v>
      </c>
      <c r="AC668">
        <f t="shared" si="1313"/>
        <v>1</v>
      </c>
      <c r="AD668">
        <f t="shared" si="6"/>
        <v>2</v>
      </c>
      <c r="AE668">
        <f t="shared" si="7"/>
        <v>1</v>
      </c>
      <c r="AF668">
        <f>if(iferror(vlookup($A668,'Description Database'!$E$2:$H$951,3,0),0)=TRUE,1,0)</f>
        <v>0</v>
      </c>
      <c r="AG668">
        <f>if(iferror(vlookup($A668,'Description Database'!$E$2:$H$951,4,0),0)=TRUE,1,0)</f>
        <v>0</v>
      </c>
    </row>
    <row r="669">
      <c r="A669" t="str">
        <f>IFERROR(__xludf.DUMMYFUNCTION("""COMPUTED_VALUE"""),"Xiaomi Mi Max (3 GB/32 GB)")</f>
        <v>Xiaomi Mi Max (3 GB/32 GB)</v>
      </c>
      <c r="B669" t="str">
        <f>IFERROR(__xludf.DUMMYFUNCTION("""COMPUTED_VALUE"""),"")</f>
        <v/>
      </c>
      <c r="C669" t="str">
        <f>IFERROR(__xludf.DUMMYFUNCTION("""COMPUTED_VALUE"""),"")</f>
        <v/>
      </c>
      <c r="D669" t="str">
        <f>IFERROR(__xludf.DUMMYFUNCTION("""COMPUTED_VALUE"""),"")</f>
        <v/>
      </c>
      <c r="E669" t="str">
        <f>IFERROR(__xludf.DUMMYFUNCTION("""COMPUTED_VALUE"""),"")</f>
        <v/>
      </c>
      <c r="F669" t="str">
        <f>IFERROR(__xludf.DUMMYFUNCTION("""COMPUTED_VALUE"""),"")</f>
        <v/>
      </c>
      <c r="G669" t="str">
        <f>IFERROR(__xludf.DUMMYFUNCTION("""COMPUTED_VALUE"""),"")</f>
        <v/>
      </c>
      <c r="H669" t="str">
        <f>IFERROR(__xludf.DUMMYFUNCTION("""COMPUTED_VALUE"""),"")</f>
        <v/>
      </c>
      <c r="I669">
        <f>IFERROR(__xludf.DUMMYFUNCTION("""COMPUTED_VALUE"""),9.0)</f>
        <v>9</v>
      </c>
      <c r="J669">
        <f>IFERROR(__xludf.DUMMYFUNCTION("""COMPUTED_VALUE"""),9.0)</f>
        <v>9</v>
      </c>
      <c r="L669" s="250" t="str">
        <f>IFERROR(__xludf.DUMMYFUNCTION("""COMPUTED_VALUE"""),"")</f>
        <v/>
      </c>
      <c r="M669" s="250" t="str">
        <f>IFERROR(__xludf.DUMMYFUNCTION("""COMPUTED_VALUE"""),"")</f>
        <v/>
      </c>
      <c r="N669" s="250" t="str">
        <f>IFERROR(__xludf.DUMMYFUNCTION("""COMPUTED_VALUE"""),"")</f>
        <v/>
      </c>
      <c r="O669" s="250" t="str">
        <f>IFERROR(__xludf.DUMMYFUNCTION("""COMPUTED_VALUE"""),"")</f>
        <v/>
      </c>
      <c r="P669" s="250" t="str">
        <f>IFERROR(__xludf.DUMMYFUNCTION("""COMPUTED_VALUE"""),"")</f>
        <v/>
      </c>
      <c r="Q669" s="250" t="str">
        <f>IFERROR(__xludf.DUMMYFUNCTION("""COMPUTED_VALUE"""),"")</f>
        <v/>
      </c>
      <c r="R669" s="250" t="str">
        <f>IFERROR(__xludf.DUMMYFUNCTION("""COMPUTED_VALUE"""),"")</f>
        <v/>
      </c>
      <c r="U669" s="250">
        <f>IFERROR(__xludf.DUMMYFUNCTION("""COMPUTED_VALUE"""),4649.0)</f>
        <v>4649</v>
      </c>
      <c r="V669" s="250">
        <f>IFERROR(__xludf.DUMMYFUNCTION("""COMPUTED_VALUE"""),4429.0)</f>
        <v>4429</v>
      </c>
      <c r="W669" s="250">
        <f>IFERROR(__xludf.DUMMYFUNCTION("""COMPUTED_VALUE"""),3989.0)</f>
        <v>3989</v>
      </c>
      <c r="X669" t="b">
        <f t="shared" ref="X669:Z669" si="1314">ISBLANK(K669)</f>
        <v>1</v>
      </c>
      <c r="Y669" t="b">
        <f t="shared" si="1314"/>
        <v>0</v>
      </c>
      <c r="Z669" t="b">
        <f t="shared" si="1314"/>
        <v>0</v>
      </c>
      <c r="AA669">
        <f t="shared" ref="AA669:AC669" si="1315">IF(X669=FALSE,1,0)</f>
        <v>0</v>
      </c>
      <c r="AB669">
        <f t="shared" si="1315"/>
        <v>1</v>
      </c>
      <c r="AC669">
        <f t="shared" si="1315"/>
        <v>1</v>
      </c>
      <c r="AD669">
        <f t="shared" si="6"/>
        <v>2</v>
      </c>
      <c r="AE669">
        <f t="shared" si="7"/>
        <v>1</v>
      </c>
      <c r="AF669">
        <f>if(iferror(vlookup($A669,'Description Database'!$E$2:$H$951,3,0),0)=TRUE,1,0)</f>
        <v>0</v>
      </c>
      <c r="AG669">
        <f>if(iferror(vlookup($A669,'Description Database'!$E$2:$H$951,4,0),0)=TRUE,1,0)</f>
        <v>0</v>
      </c>
    </row>
    <row r="670">
      <c r="A670" t="str">
        <f>IFERROR(__xludf.DUMMYFUNCTION("""COMPUTED_VALUE"""),"Realme 3 Pro (4 GB/64 GB)")</f>
        <v>Realme 3 Pro (4 GB/64 GB)</v>
      </c>
      <c r="B670" t="str">
        <f>IFERROR(__xludf.DUMMYFUNCTION("""COMPUTED_VALUE"""),"")</f>
        <v/>
      </c>
      <c r="C670" t="str">
        <f>IFERROR(__xludf.DUMMYFUNCTION("""COMPUTED_VALUE"""),"")</f>
        <v/>
      </c>
      <c r="D670" t="str">
        <f>IFERROR(__xludf.DUMMYFUNCTION("""COMPUTED_VALUE"""),"")</f>
        <v/>
      </c>
      <c r="E670" t="str">
        <f>IFERROR(__xludf.DUMMYFUNCTION("""COMPUTED_VALUE"""),"")</f>
        <v/>
      </c>
      <c r="F670">
        <f>IFERROR(__xludf.DUMMYFUNCTION("""COMPUTED_VALUE"""),1.0)</f>
        <v>1</v>
      </c>
      <c r="G670" t="str">
        <f>IFERROR(__xludf.DUMMYFUNCTION("""COMPUTED_VALUE"""),"")</f>
        <v/>
      </c>
      <c r="H670" t="str">
        <f>IFERROR(__xludf.DUMMYFUNCTION("""COMPUTED_VALUE"""),"")</f>
        <v/>
      </c>
      <c r="I670">
        <f>IFERROR(__xludf.DUMMYFUNCTION("""COMPUTED_VALUE"""),5.0)</f>
        <v>5</v>
      </c>
      <c r="J670">
        <f>IFERROR(__xludf.DUMMYFUNCTION("""COMPUTED_VALUE"""),6.0)</f>
        <v>6</v>
      </c>
      <c r="L670" s="250" t="str">
        <f>IFERROR(__xludf.DUMMYFUNCTION("""COMPUTED_VALUE"""),"")</f>
        <v/>
      </c>
      <c r="M670" s="250" t="str">
        <f>IFERROR(__xludf.DUMMYFUNCTION("""COMPUTED_VALUE"""),"")</f>
        <v/>
      </c>
      <c r="N670" s="250" t="str">
        <f>IFERROR(__xludf.DUMMYFUNCTION("""COMPUTED_VALUE"""),"")</f>
        <v/>
      </c>
      <c r="O670" s="250" t="str">
        <f>IFERROR(__xludf.DUMMYFUNCTION("""COMPUTED_VALUE"""),"")</f>
        <v/>
      </c>
      <c r="P670" s="250">
        <f>IFERROR(__xludf.DUMMYFUNCTION("""COMPUTED_VALUE"""),5479.0)</f>
        <v>5479</v>
      </c>
      <c r="Q670" s="250" t="str">
        <f>IFERROR(__xludf.DUMMYFUNCTION("""COMPUTED_VALUE"""),"")</f>
        <v/>
      </c>
      <c r="R670" s="250" t="str">
        <f>IFERROR(__xludf.DUMMYFUNCTION("""COMPUTED_VALUE"""),"")</f>
        <v/>
      </c>
      <c r="U670" s="250">
        <f>IFERROR(__xludf.DUMMYFUNCTION("""COMPUTED_VALUE"""),8449.0)</f>
        <v>8449</v>
      </c>
      <c r="V670" s="250">
        <f>IFERROR(__xludf.DUMMYFUNCTION("""COMPUTED_VALUE"""),8039.0)</f>
        <v>8039</v>
      </c>
      <c r="W670" s="250">
        <f>IFERROR(__xludf.DUMMYFUNCTION("""COMPUTED_VALUE"""),7349.0)</f>
        <v>7349</v>
      </c>
      <c r="X670" t="b">
        <f t="shared" ref="X670:Z670" si="1316">ISBLANK(K670)</f>
        <v>1</v>
      </c>
      <c r="Y670" t="b">
        <f t="shared" si="1316"/>
        <v>0</v>
      </c>
      <c r="Z670" t="b">
        <f t="shared" si="1316"/>
        <v>0</v>
      </c>
      <c r="AA670">
        <f t="shared" ref="AA670:AC670" si="1317">IF(X670=FALSE,1,0)</f>
        <v>0</v>
      </c>
      <c r="AB670">
        <f t="shared" si="1317"/>
        <v>1</v>
      </c>
      <c r="AC670">
        <f t="shared" si="1317"/>
        <v>1</v>
      </c>
      <c r="AD670">
        <f t="shared" si="6"/>
        <v>2</v>
      </c>
      <c r="AE670">
        <f t="shared" si="7"/>
        <v>1</v>
      </c>
      <c r="AF670">
        <f>if(iferror(vlookup($A670,'Description Database'!$E$2:$H$951,3,0),0)=TRUE,1,0)</f>
        <v>0</v>
      </c>
      <c r="AG670">
        <f>if(iferror(vlookup($A670,'Description Database'!$E$2:$H$951,4,0),0)=TRUE,1,0)</f>
        <v>0</v>
      </c>
    </row>
    <row r="671">
      <c r="A671" t="str">
        <f>IFERROR(__xludf.DUMMYFUNCTION("""COMPUTED_VALUE"""),"Realme ONE (3 GB/32 GB)")</f>
        <v>Realme ONE (3 GB/32 GB)</v>
      </c>
      <c r="B671" t="str">
        <f>IFERROR(__xludf.DUMMYFUNCTION("""COMPUTED_VALUE"""),"")</f>
        <v/>
      </c>
      <c r="C671" t="str">
        <f>IFERROR(__xludf.DUMMYFUNCTION("""COMPUTED_VALUE"""),"")</f>
        <v/>
      </c>
      <c r="D671" t="str">
        <f>IFERROR(__xludf.DUMMYFUNCTION("""COMPUTED_VALUE"""),"")</f>
        <v/>
      </c>
      <c r="E671" t="str">
        <f>IFERROR(__xludf.DUMMYFUNCTION("""COMPUTED_VALUE"""),"")</f>
        <v/>
      </c>
      <c r="F671" t="str">
        <f>IFERROR(__xludf.DUMMYFUNCTION("""COMPUTED_VALUE"""),"")</f>
        <v/>
      </c>
      <c r="G671" t="str">
        <f>IFERROR(__xludf.DUMMYFUNCTION("""COMPUTED_VALUE"""),"")</f>
        <v/>
      </c>
      <c r="H671" t="str">
        <f>IFERROR(__xludf.DUMMYFUNCTION("""COMPUTED_VALUE"""),"")</f>
        <v/>
      </c>
      <c r="I671" t="str">
        <f>IFERROR(__xludf.DUMMYFUNCTION("""COMPUTED_VALUE"""),"")</f>
        <v/>
      </c>
      <c r="J671">
        <f>IFERROR(__xludf.DUMMYFUNCTION("""COMPUTED_VALUE"""),0.0)</f>
        <v>0</v>
      </c>
      <c r="L671" s="250" t="str">
        <f>IFERROR(__xludf.DUMMYFUNCTION("""COMPUTED_VALUE"""),"")</f>
        <v/>
      </c>
      <c r="M671" s="250" t="str">
        <f>IFERROR(__xludf.DUMMYFUNCTION("""COMPUTED_VALUE"""),"")</f>
        <v/>
      </c>
      <c r="N671" s="250" t="str">
        <f>IFERROR(__xludf.DUMMYFUNCTION("""COMPUTED_VALUE"""),"")</f>
        <v/>
      </c>
      <c r="O671" s="250" t="str">
        <f>IFERROR(__xludf.DUMMYFUNCTION("""COMPUTED_VALUE"""),"")</f>
        <v/>
      </c>
      <c r="P671" s="250" t="str">
        <f>IFERROR(__xludf.DUMMYFUNCTION("""COMPUTED_VALUE"""),"")</f>
        <v/>
      </c>
      <c r="Q671" s="250" t="str">
        <f>IFERROR(__xludf.DUMMYFUNCTION("""COMPUTED_VALUE"""),"")</f>
        <v/>
      </c>
      <c r="R671" s="250" t="str">
        <f>IFERROR(__xludf.DUMMYFUNCTION("""COMPUTED_VALUE"""),"")</f>
        <v/>
      </c>
      <c r="U671" s="250" t="str">
        <f>IFERROR(__xludf.DUMMYFUNCTION("""COMPUTED_VALUE"""),"#N/A")</f>
        <v>#N/A</v>
      </c>
      <c r="V671" s="250" t="str">
        <f>IFERROR(__xludf.DUMMYFUNCTION("""COMPUTED_VALUE"""),"#N/A")</f>
        <v>#N/A</v>
      </c>
      <c r="W671" s="250" t="str">
        <f>IFERROR(__xludf.DUMMYFUNCTION("""COMPUTED_VALUE"""),"#N/A")</f>
        <v>#N/A</v>
      </c>
      <c r="X671" t="b">
        <f t="shared" ref="X671:Z671" si="1318">ISBLANK(K671)</f>
        <v>1</v>
      </c>
      <c r="Y671" t="b">
        <f t="shared" si="1318"/>
        <v>0</v>
      </c>
      <c r="Z671" t="b">
        <f t="shared" si="1318"/>
        <v>0</v>
      </c>
      <c r="AA671">
        <f t="shared" ref="AA671:AC671" si="1319">IF(X671=FALSE,1,0)</f>
        <v>0</v>
      </c>
      <c r="AB671">
        <f t="shared" si="1319"/>
        <v>1</v>
      </c>
      <c r="AC671">
        <f t="shared" si="1319"/>
        <v>1</v>
      </c>
      <c r="AD671">
        <f t="shared" si="6"/>
        <v>2</v>
      </c>
      <c r="AE671">
        <f t="shared" si="7"/>
        <v>1</v>
      </c>
      <c r="AF671">
        <f>if(iferror(vlookup($A671,'Description Database'!$E$2:$H$951,3,0),0)=TRUE,1,0)</f>
        <v>0</v>
      </c>
      <c r="AG671">
        <f>if(iferror(vlookup($A671,'Description Database'!$E$2:$H$951,4,0),0)=TRUE,1,0)</f>
        <v>0</v>
      </c>
    </row>
    <row r="672">
      <c r="A672" t="str">
        <f>IFERROR(__xludf.DUMMYFUNCTION("""COMPUTED_VALUE"""),"Samsung Galaxy S5 (2 GB/16 GB)")</f>
        <v>Samsung Galaxy S5 (2 GB/16 GB)</v>
      </c>
      <c r="B672" t="str">
        <f>IFERROR(__xludf.DUMMYFUNCTION("""COMPUTED_VALUE"""),"")</f>
        <v/>
      </c>
      <c r="C672" t="str">
        <f>IFERROR(__xludf.DUMMYFUNCTION("""COMPUTED_VALUE"""),"")</f>
        <v/>
      </c>
      <c r="D672" t="str">
        <f>IFERROR(__xludf.DUMMYFUNCTION("""COMPUTED_VALUE"""),"")</f>
        <v/>
      </c>
      <c r="E672" t="str">
        <f>IFERROR(__xludf.DUMMYFUNCTION("""COMPUTED_VALUE"""),"")</f>
        <v/>
      </c>
      <c r="F672" t="str">
        <f>IFERROR(__xludf.DUMMYFUNCTION("""COMPUTED_VALUE"""),"")</f>
        <v/>
      </c>
      <c r="G672" t="str">
        <f>IFERROR(__xludf.DUMMYFUNCTION("""COMPUTED_VALUE"""),"")</f>
        <v/>
      </c>
      <c r="H672" t="str">
        <f>IFERROR(__xludf.DUMMYFUNCTION("""COMPUTED_VALUE"""),"")</f>
        <v/>
      </c>
      <c r="I672">
        <f>IFERROR(__xludf.DUMMYFUNCTION("""COMPUTED_VALUE"""),7.0)</f>
        <v>7</v>
      </c>
      <c r="J672">
        <f>IFERROR(__xludf.DUMMYFUNCTION("""COMPUTED_VALUE"""),7.0)</f>
        <v>7</v>
      </c>
      <c r="L672" s="250" t="str">
        <f>IFERROR(__xludf.DUMMYFUNCTION("""COMPUTED_VALUE"""),"")</f>
        <v/>
      </c>
      <c r="M672" s="250" t="str">
        <f>IFERROR(__xludf.DUMMYFUNCTION("""COMPUTED_VALUE"""),"")</f>
        <v/>
      </c>
      <c r="N672" s="250" t="str">
        <f>IFERROR(__xludf.DUMMYFUNCTION("""COMPUTED_VALUE"""),"")</f>
        <v/>
      </c>
      <c r="O672" s="250" t="str">
        <f>IFERROR(__xludf.DUMMYFUNCTION("""COMPUTED_VALUE"""),"")</f>
        <v/>
      </c>
      <c r="P672" s="250" t="str">
        <f>IFERROR(__xludf.DUMMYFUNCTION("""COMPUTED_VALUE"""),"")</f>
        <v/>
      </c>
      <c r="Q672" s="250" t="str">
        <f>IFERROR(__xludf.DUMMYFUNCTION("""COMPUTED_VALUE"""),"")</f>
        <v/>
      </c>
      <c r="R672" s="250" t="str">
        <f>IFERROR(__xludf.DUMMYFUNCTION("""COMPUTED_VALUE"""),"")</f>
        <v/>
      </c>
      <c r="U672" s="250">
        <f>IFERROR(__xludf.DUMMYFUNCTION("""COMPUTED_VALUE"""),1489.0)</f>
        <v>1489</v>
      </c>
      <c r="V672" s="250">
        <f>IFERROR(__xludf.DUMMYFUNCTION("""COMPUTED_VALUE"""),1409.0)</f>
        <v>1409</v>
      </c>
      <c r="W672" s="250">
        <f>IFERROR(__xludf.DUMMYFUNCTION("""COMPUTED_VALUE"""),1269.0)</f>
        <v>1269</v>
      </c>
      <c r="X672" t="b">
        <f t="shared" ref="X672:Z672" si="1320">ISBLANK(K672)</f>
        <v>1</v>
      </c>
      <c r="Y672" t="b">
        <f t="shared" si="1320"/>
        <v>0</v>
      </c>
      <c r="Z672" t="b">
        <f t="shared" si="1320"/>
        <v>0</v>
      </c>
      <c r="AA672">
        <f t="shared" ref="AA672:AC672" si="1321">IF(X672=FALSE,1,0)</f>
        <v>0</v>
      </c>
      <c r="AB672">
        <f t="shared" si="1321"/>
        <v>1</v>
      </c>
      <c r="AC672">
        <f t="shared" si="1321"/>
        <v>1</v>
      </c>
      <c r="AD672">
        <f t="shared" si="6"/>
        <v>2</v>
      </c>
      <c r="AE672">
        <f t="shared" si="7"/>
        <v>1</v>
      </c>
      <c r="AF672">
        <f>if(iferror(vlookup($A672,'Description Database'!$E$2:$H$951,3,0),0)=TRUE,1,0)</f>
        <v>0</v>
      </c>
      <c r="AG672">
        <f>if(iferror(vlookup($A672,'Description Database'!$E$2:$H$951,4,0),0)=TRUE,1,0)</f>
        <v>0</v>
      </c>
    </row>
    <row r="673">
      <c r="A673" t="str">
        <f>IFERROR(__xludf.DUMMYFUNCTION("""COMPUTED_VALUE"""),"Vivo Y83 (4 GB/32 GB)")</f>
        <v>Vivo Y83 (4 GB/32 GB)</v>
      </c>
      <c r="B673" t="str">
        <f>IFERROR(__xludf.DUMMYFUNCTION("""COMPUTED_VALUE"""),"")</f>
        <v/>
      </c>
      <c r="C673" t="str">
        <f>IFERROR(__xludf.DUMMYFUNCTION("""COMPUTED_VALUE"""),"")</f>
        <v/>
      </c>
      <c r="D673" t="str">
        <f>IFERROR(__xludf.DUMMYFUNCTION("""COMPUTED_VALUE"""),"")</f>
        <v/>
      </c>
      <c r="E673" t="str">
        <f>IFERROR(__xludf.DUMMYFUNCTION("""COMPUTED_VALUE"""),"")</f>
        <v/>
      </c>
      <c r="F673" t="str">
        <f>IFERROR(__xludf.DUMMYFUNCTION("""COMPUTED_VALUE"""),"")</f>
        <v/>
      </c>
      <c r="G673" t="str">
        <f>IFERROR(__xludf.DUMMYFUNCTION("""COMPUTED_VALUE"""),"")</f>
        <v/>
      </c>
      <c r="H673" t="str">
        <f>IFERROR(__xludf.DUMMYFUNCTION("""COMPUTED_VALUE"""),"")</f>
        <v/>
      </c>
      <c r="I673">
        <f>IFERROR(__xludf.DUMMYFUNCTION("""COMPUTED_VALUE"""),4.0)</f>
        <v>4</v>
      </c>
      <c r="J673">
        <f>IFERROR(__xludf.DUMMYFUNCTION("""COMPUTED_VALUE"""),4.0)</f>
        <v>4</v>
      </c>
      <c r="L673" s="250" t="str">
        <f>IFERROR(__xludf.DUMMYFUNCTION("""COMPUTED_VALUE"""),"")</f>
        <v/>
      </c>
      <c r="M673" s="250" t="str">
        <f>IFERROR(__xludf.DUMMYFUNCTION("""COMPUTED_VALUE"""),"")</f>
        <v/>
      </c>
      <c r="N673" s="250" t="str">
        <f>IFERROR(__xludf.DUMMYFUNCTION("""COMPUTED_VALUE"""),"")</f>
        <v/>
      </c>
      <c r="O673" s="250" t="str">
        <f>IFERROR(__xludf.DUMMYFUNCTION("""COMPUTED_VALUE"""),"")</f>
        <v/>
      </c>
      <c r="P673" s="250" t="str">
        <f>IFERROR(__xludf.DUMMYFUNCTION("""COMPUTED_VALUE"""),"")</f>
        <v/>
      </c>
      <c r="Q673" s="250" t="str">
        <f>IFERROR(__xludf.DUMMYFUNCTION("""COMPUTED_VALUE"""),"")</f>
        <v/>
      </c>
      <c r="R673" s="250" t="str">
        <f>IFERROR(__xludf.DUMMYFUNCTION("""COMPUTED_VALUE"""),"")</f>
        <v/>
      </c>
      <c r="U673" s="250">
        <f>IFERROR(__xludf.DUMMYFUNCTION("""COMPUTED_VALUE"""),6999.0)</f>
        <v>6999</v>
      </c>
      <c r="V673" s="250">
        <f>IFERROR(__xludf.DUMMYFUNCTION("""COMPUTED_VALUE"""),6659.0)</f>
        <v>6659</v>
      </c>
      <c r="W673" s="250">
        <f>IFERROR(__xludf.DUMMYFUNCTION("""COMPUTED_VALUE"""),6099.0)</f>
        <v>6099</v>
      </c>
      <c r="X673" t="b">
        <f t="shared" ref="X673:Z673" si="1322">ISBLANK(K673)</f>
        <v>1</v>
      </c>
      <c r="Y673" t="b">
        <f t="shared" si="1322"/>
        <v>0</v>
      </c>
      <c r="Z673" t="b">
        <f t="shared" si="1322"/>
        <v>0</v>
      </c>
      <c r="AA673">
        <f t="shared" ref="AA673:AC673" si="1323">IF(X673=FALSE,1,0)</f>
        <v>0</v>
      </c>
      <c r="AB673">
        <f t="shared" si="1323"/>
        <v>1</v>
      </c>
      <c r="AC673">
        <f t="shared" si="1323"/>
        <v>1</v>
      </c>
      <c r="AD673">
        <f t="shared" si="6"/>
        <v>2</v>
      </c>
      <c r="AE673">
        <f t="shared" si="7"/>
        <v>1</v>
      </c>
      <c r="AF673">
        <f>if(iferror(vlookup($A673,'Description Database'!$E$2:$H$951,3,0),0)=TRUE,1,0)</f>
        <v>0</v>
      </c>
      <c r="AG673">
        <f>if(iferror(vlookup($A673,'Description Database'!$E$2:$H$951,4,0),0)=TRUE,1,0)</f>
        <v>0</v>
      </c>
    </row>
    <row r="674">
      <c r="A674" t="str">
        <f>IFERROR(__xludf.DUMMYFUNCTION("""COMPUTED_VALUE"""),"LeEco Le 2 (3 GB/32 GB)")</f>
        <v>LeEco Le 2 (3 GB/32 GB)</v>
      </c>
      <c r="B674" t="str">
        <f>IFERROR(__xludf.DUMMYFUNCTION("""COMPUTED_VALUE"""),"")</f>
        <v/>
      </c>
      <c r="C674" t="str">
        <f>IFERROR(__xludf.DUMMYFUNCTION("""COMPUTED_VALUE"""),"")</f>
        <v/>
      </c>
      <c r="D674" t="str">
        <f>IFERROR(__xludf.DUMMYFUNCTION("""COMPUTED_VALUE"""),"")</f>
        <v/>
      </c>
      <c r="E674" t="str">
        <f>IFERROR(__xludf.DUMMYFUNCTION("""COMPUTED_VALUE"""),"")</f>
        <v/>
      </c>
      <c r="F674" t="str">
        <f>IFERROR(__xludf.DUMMYFUNCTION("""COMPUTED_VALUE"""),"")</f>
        <v/>
      </c>
      <c r="G674" t="str">
        <f>IFERROR(__xludf.DUMMYFUNCTION("""COMPUTED_VALUE"""),"")</f>
        <v/>
      </c>
      <c r="H674" t="str">
        <f>IFERROR(__xludf.DUMMYFUNCTION("""COMPUTED_VALUE"""),"")</f>
        <v/>
      </c>
      <c r="I674">
        <f>IFERROR(__xludf.DUMMYFUNCTION("""COMPUTED_VALUE"""),15.0)</f>
        <v>15</v>
      </c>
      <c r="J674">
        <f>IFERROR(__xludf.DUMMYFUNCTION("""COMPUTED_VALUE"""),15.0)</f>
        <v>15</v>
      </c>
      <c r="L674" s="250" t="str">
        <f>IFERROR(__xludf.DUMMYFUNCTION("""COMPUTED_VALUE"""),"")</f>
        <v/>
      </c>
      <c r="M674" s="250" t="str">
        <f>IFERROR(__xludf.DUMMYFUNCTION("""COMPUTED_VALUE"""),"")</f>
        <v/>
      </c>
      <c r="N674" s="250" t="str">
        <f>IFERROR(__xludf.DUMMYFUNCTION("""COMPUTED_VALUE"""),"")</f>
        <v/>
      </c>
      <c r="O674" s="250" t="str">
        <f>IFERROR(__xludf.DUMMYFUNCTION("""COMPUTED_VALUE"""),"")</f>
        <v/>
      </c>
      <c r="P674" s="250" t="str">
        <f>IFERROR(__xludf.DUMMYFUNCTION("""COMPUTED_VALUE"""),"")</f>
        <v/>
      </c>
      <c r="Q674" s="250" t="str">
        <f>IFERROR(__xludf.DUMMYFUNCTION("""COMPUTED_VALUE"""),"")</f>
        <v/>
      </c>
      <c r="R674" s="250" t="str">
        <f>IFERROR(__xludf.DUMMYFUNCTION("""COMPUTED_VALUE"""),"")</f>
        <v/>
      </c>
      <c r="U674" s="250">
        <f>IFERROR(__xludf.DUMMYFUNCTION("""COMPUTED_VALUE"""),3939.0)</f>
        <v>3939</v>
      </c>
      <c r="V674" s="250">
        <f>IFERROR(__xludf.DUMMYFUNCTION("""COMPUTED_VALUE"""),3749.0)</f>
        <v>3749</v>
      </c>
      <c r="W674" s="250">
        <f>IFERROR(__xludf.DUMMYFUNCTION("""COMPUTED_VALUE"""),3379.0)</f>
        <v>3379</v>
      </c>
      <c r="X674" t="b">
        <f t="shared" ref="X674:Z674" si="1324">ISBLANK(K674)</f>
        <v>1</v>
      </c>
      <c r="Y674" t="b">
        <f t="shared" si="1324"/>
        <v>0</v>
      </c>
      <c r="Z674" t="b">
        <f t="shared" si="1324"/>
        <v>0</v>
      </c>
      <c r="AA674">
        <f t="shared" ref="AA674:AC674" si="1325">IF(X674=FALSE,1,0)</f>
        <v>0</v>
      </c>
      <c r="AB674">
        <f t="shared" si="1325"/>
        <v>1</v>
      </c>
      <c r="AC674">
        <f t="shared" si="1325"/>
        <v>1</v>
      </c>
      <c r="AD674">
        <f t="shared" si="6"/>
        <v>2</v>
      </c>
      <c r="AE674">
        <f t="shared" si="7"/>
        <v>1</v>
      </c>
      <c r="AF674">
        <f>if(iferror(vlookup($A674,'Description Database'!$E$2:$H$951,3,0),0)=TRUE,1,0)</f>
        <v>0</v>
      </c>
      <c r="AG674">
        <f>if(iferror(vlookup($A674,'Description Database'!$E$2:$H$951,4,0),0)=TRUE,1,0)</f>
        <v>0</v>
      </c>
    </row>
    <row r="675">
      <c r="A675" t="str">
        <f>IFERROR(__xludf.DUMMYFUNCTION("""COMPUTED_VALUE"""),"Samsung GURU MUSIC 2(0 0)")</f>
        <v>Samsung GURU MUSIC 2(0 0)</v>
      </c>
      <c r="B675" t="str">
        <f>IFERROR(__xludf.DUMMYFUNCTION("""COMPUTED_VALUE"""),"")</f>
        <v/>
      </c>
      <c r="C675" t="str">
        <f>IFERROR(__xludf.DUMMYFUNCTION("""COMPUTED_VALUE"""),"")</f>
        <v/>
      </c>
      <c r="D675" t="str">
        <f>IFERROR(__xludf.DUMMYFUNCTION("""COMPUTED_VALUE"""),"")</f>
        <v/>
      </c>
      <c r="E675" t="str">
        <f>IFERROR(__xludf.DUMMYFUNCTION("""COMPUTED_VALUE"""),"")</f>
        <v/>
      </c>
      <c r="F675" t="str">
        <f>IFERROR(__xludf.DUMMYFUNCTION("""COMPUTED_VALUE"""),"")</f>
        <v/>
      </c>
      <c r="G675" t="str">
        <f>IFERROR(__xludf.DUMMYFUNCTION("""COMPUTED_VALUE"""),"")</f>
        <v/>
      </c>
      <c r="H675" t="str">
        <f>IFERROR(__xludf.DUMMYFUNCTION("""COMPUTED_VALUE"""),"")</f>
        <v/>
      </c>
      <c r="I675">
        <f>IFERROR(__xludf.DUMMYFUNCTION("""COMPUTED_VALUE"""),1.0)</f>
        <v>1</v>
      </c>
      <c r="J675">
        <f>IFERROR(__xludf.DUMMYFUNCTION("""COMPUTED_VALUE"""),1.0)</f>
        <v>1</v>
      </c>
      <c r="L675" s="250" t="str">
        <f>IFERROR(__xludf.DUMMYFUNCTION("""COMPUTED_VALUE"""),"")</f>
        <v/>
      </c>
      <c r="M675" s="250" t="str">
        <f>IFERROR(__xludf.DUMMYFUNCTION("""COMPUTED_VALUE"""),"")</f>
        <v/>
      </c>
      <c r="N675" s="250" t="str">
        <f>IFERROR(__xludf.DUMMYFUNCTION("""COMPUTED_VALUE"""),"")</f>
        <v/>
      </c>
      <c r="O675" s="250" t="str">
        <f>IFERROR(__xludf.DUMMYFUNCTION("""COMPUTED_VALUE"""),"")</f>
        <v/>
      </c>
      <c r="P675" s="250" t="str">
        <f>IFERROR(__xludf.DUMMYFUNCTION("""COMPUTED_VALUE"""),"")</f>
        <v/>
      </c>
      <c r="Q675" s="250" t="str">
        <f>IFERROR(__xludf.DUMMYFUNCTION("""COMPUTED_VALUE"""),"")</f>
        <v/>
      </c>
      <c r="R675" s="250" t="str">
        <f>IFERROR(__xludf.DUMMYFUNCTION("""COMPUTED_VALUE"""),"")</f>
        <v/>
      </c>
      <c r="U675" s="250" t="str">
        <f>IFERROR(__xludf.DUMMYFUNCTION("""COMPUTED_VALUE"""),"#N/A")</f>
        <v>#N/A</v>
      </c>
      <c r="V675" s="250" t="str">
        <f>IFERROR(__xludf.DUMMYFUNCTION("""COMPUTED_VALUE"""),"#N/A")</f>
        <v>#N/A</v>
      </c>
      <c r="W675" s="250" t="str">
        <f>IFERROR(__xludf.DUMMYFUNCTION("""COMPUTED_VALUE"""),"#N/A")</f>
        <v>#N/A</v>
      </c>
      <c r="X675" t="b">
        <f t="shared" ref="X675:Z675" si="1326">ISBLANK(K675)</f>
        <v>1</v>
      </c>
      <c r="Y675" t="b">
        <f t="shared" si="1326"/>
        <v>0</v>
      </c>
      <c r="Z675" t="b">
        <f t="shared" si="1326"/>
        <v>0</v>
      </c>
      <c r="AA675">
        <f t="shared" ref="AA675:AC675" si="1327">IF(X675=FALSE,1,0)</f>
        <v>0</v>
      </c>
      <c r="AB675">
        <f t="shared" si="1327"/>
        <v>1</v>
      </c>
      <c r="AC675">
        <f t="shared" si="1327"/>
        <v>1</v>
      </c>
      <c r="AD675">
        <f t="shared" si="6"/>
        <v>2</v>
      </c>
      <c r="AE675">
        <f t="shared" si="7"/>
        <v>1</v>
      </c>
      <c r="AF675">
        <f>if(iferror(vlookup($A675,'Description Database'!$E$2:$H$951,3,0),0)=TRUE,1,0)</f>
        <v>0</v>
      </c>
      <c r="AG675">
        <f>if(iferror(vlookup($A675,'Description Database'!$E$2:$H$951,4,0),0)=TRUE,1,0)</f>
        <v>0</v>
      </c>
    </row>
    <row r="676">
      <c r="A676" t="str">
        <f>IFERROR(__xludf.DUMMYFUNCTION("""COMPUTED_VALUE"""),"Samsung Galaxy Core 2 Duos")</f>
        <v>Samsung Galaxy Core 2 Duos</v>
      </c>
      <c r="B676" t="str">
        <f>IFERROR(__xludf.DUMMYFUNCTION("""COMPUTED_VALUE"""),"")</f>
        <v/>
      </c>
      <c r="C676" t="str">
        <f>IFERROR(__xludf.DUMMYFUNCTION("""COMPUTED_VALUE"""),"")</f>
        <v/>
      </c>
      <c r="D676" t="str">
        <f>IFERROR(__xludf.DUMMYFUNCTION("""COMPUTED_VALUE"""),"")</f>
        <v/>
      </c>
      <c r="E676" t="str">
        <f>IFERROR(__xludf.DUMMYFUNCTION("""COMPUTED_VALUE"""),"")</f>
        <v/>
      </c>
      <c r="F676" t="str">
        <f>IFERROR(__xludf.DUMMYFUNCTION("""COMPUTED_VALUE"""),"")</f>
        <v/>
      </c>
      <c r="G676" t="str">
        <f>IFERROR(__xludf.DUMMYFUNCTION("""COMPUTED_VALUE"""),"")</f>
        <v/>
      </c>
      <c r="H676" t="str">
        <f>IFERROR(__xludf.DUMMYFUNCTION("""COMPUTED_VALUE"""),"")</f>
        <v/>
      </c>
      <c r="I676" t="str">
        <f>IFERROR(__xludf.DUMMYFUNCTION("""COMPUTED_VALUE"""),"")</f>
        <v/>
      </c>
      <c r="J676">
        <f>IFERROR(__xludf.DUMMYFUNCTION("""COMPUTED_VALUE"""),0.0)</f>
        <v>0</v>
      </c>
      <c r="L676" s="250" t="str">
        <f>IFERROR(__xludf.DUMMYFUNCTION("""COMPUTED_VALUE"""),"")</f>
        <v/>
      </c>
      <c r="M676" s="250" t="str">
        <f>IFERROR(__xludf.DUMMYFUNCTION("""COMPUTED_VALUE"""),"")</f>
        <v/>
      </c>
      <c r="N676" s="250" t="str">
        <f>IFERROR(__xludf.DUMMYFUNCTION("""COMPUTED_VALUE"""),"")</f>
        <v/>
      </c>
      <c r="O676" s="250" t="str">
        <f>IFERROR(__xludf.DUMMYFUNCTION("""COMPUTED_VALUE"""),"")</f>
        <v/>
      </c>
      <c r="P676" s="250" t="str">
        <f>IFERROR(__xludf.DUMMYFUNCTION("""COMPUTED_VALUE"""),"")</f>
        <v/>
      </c>
      <c r="Q676" s="250" t="str">
        <f>IFERROR(__xludf.DUMMYFUNCTION("""COMPUTED_VALUE"""),"")</f>
        <v/>
      </c>
      <c r="R676" s="250" t="str">
        <f>IFERROR(__xludf.DUMMYFUNCTION("""COMPUTED_VALUE"""),"")</f>
        <v/>
      </c>
      <c r="U676" s="250">
        <f>IFERROR(__xludf.DUMMYFUNCTION("""COMPUTED_VALUE"""),1469.0)</f>
        <v>1469</v>
      </c>
      <c r="V676" s="250">
        <f>IFERROR(__xludf.DUMMYFUNCTION("""COMPUTED_VALUE"""),1389.0)</f>
        <v>1389</v>
      </c>
      <c r="W676" s="250">
        <f>IFERROR(__xludf.DUMMYFUNCTION("""COMPUTED_VALUE"""),1259.0)</f>
        <v>1259</v>
      </c>
      <c r="X676" t="b">
        <f t="shared" ref="X676:Z676" si="1328">ISBLANK(K676)</f>
        <v>1</v>
      </c>
      <c r="Y676" t="b">
        <f t="shared" si="1328"/>
        <v>0</v>
      </c>
      <c r="Z676" t="b">
        <f t="shared" si="1328"/>
        <v>0</v>
      </c>
      <c r="AA676">
        <f t="shared" ref="AA676:AC676" si="1329">IF(X676=FALSE,1,0)</f>
        <v>0</v>
      </c>
      <c r="AB676">
        <f t="shared" si="1329"/>
        <v>1</v>
      </c>
      <c r="AC676">
        <f t="shared" si="1329"/>
        <v>1</v>
      </c>
      <c r="AD676">
        <f t="shared" si="6"/>
        <v>2</v>
      </c>
      <c r="AE676">
        <f t="shared" si="7"/>
        <v>1</v>
      </c>
      <c r="AF676">
        <f>if(iferror(vlookup($A676,'Description Database'!$E$2:$H$951,3,0),0)=TRUE,1,0)</f>
        <v>0</v>
      </c>
      <c r="AG676">
        <f>if(iferror(vlookup($A676,'Description Database'!$E$2:$H$951,4,0),0)=TRUE,1,0)</f>
        <v>0</v>
      </c>
    </row>
    <row r="677">
      <c r="A677" t="str">
        <f>IFERROR(__xludf.DUMMYFUNCTION("""COMPUTED_VALUE"""),"GIONEE P7 (2 GB/16 GB)")</f>
        <v>GIONEE P7 (2 GB/16 GB)</v>
      </c>
      <c r="B677" t="str">
        <f>IFERROR(__xludf.DUMMYFUNCTION("""COMPUTED_VALUE"""),"")</f>
        <v/>
      </c>
      <c r="C677" t="str">
        <f>IFERROR(__xludf.DUMMYFUNCTION("""COMPUTED_VALUE"""),"")</f>
        <v/>
      </c>
      <c r="D677" t="str">
        <f>IFERROR(__xludf.DUMMYFUNCTION("""COMPUTED_VALUE"""),"")</f>
        <v/>
      </c>
      <c r="E677" t="str">
        <f>IFERROR(__xludf.DUMMYFUNCTION("""COMPUTED_VALUE"""),"")</f>
        <v/>
      </c>
      <c r="F677" t="str">
        <f>IFERROR(__xludf.DUMMYFUNCTION("""COMPUTED_VALUE"""),"")</f>
        <v/>
      </c>
      <c r="G677" t="str">
        <f>IFERROR(__xludf.DUMMYFUNCTION("""COMPUTED_VALUE"""),"")</f>
        <v/>
      </c>
      <c r="H677" t="str">
        <f>IFERROR(__xludf.DUMMYFUNCTION("""COMPUTED_VALUE"""),"")</f>
        <v/>
      </c>
      <c r="I677" t="str">
        <f>IFERROR(__xludf.DUMMYFUNCTION("""COMPUTED_VALUE"""),"")</f>
        <v/>
      </c>
      <c r="J677">
        <f>IFERROR(__xludf.DUMMYFUNCTION("""COMPUTED_VALUE"""),0.0)</f>
        <v>0</v>
      </c>
      <c r="L677" s="250" t="str">
        <f>IFERROR(__xludf.DUMMYFUNCTION("""COMPUTED_VALUE"""),"")</f>
        <v/>
      </c>
      <c r="M677" s="250" t="str">
        <f>IFERROR(__xludf.DUMMYFUNCTION("""COMPUTED_VALUE"""),"")</f>
        <v/>
      </c>
      <c r="N677" s="250" t="str">
        <f>IFERROR(__xludf.DUMMYFUNCTION("""COMPUTED_VALUE"""),"")</f>
        <v/>
      </c>
      <c r="O677" s="250" t="str">
        <f>IFERROR(__xludf.DUMMYFUNCTION("""COMPUTED_VALUE"""),"")</f>
        <v/>
      </c>
      <c r="P677" s="250" t="str">
        <f>IFERROR(__xludf.DUMMYFUNCTION("""COMPUTED_VALUE"""),"")</f>
        <v/>
      </c>
      <c r="Q677" s="250" t="str">
        <f>IFERROR(__xludf.DUMMYFUNCTION("""COMPUTED_VALUE"""),"")</f>
        <v/>
      </c>
      <c r="R677" s="250" t="str">
        <f>IFERROR(__xludf.DUMMYFUNCTION("""COMPUTED_VALUE"""),"")</f>
        <v/>
      </c>
      <c r="U677" s="250">
        <f>IFERROR(__xludf.DUMMYFUNCTION("""COMPUTED_VALUE"""),2669.0)</f>
        <v>2669</v>
      </c>
      <c r="V677" s="250">
        <f>IFERROR(__xludf.DUMMYFUNCTION("""COMPUTED_VALUE"""),2529.0)</f>
        <v>2529</v>
      </c>
      <c r="W677" s="250">
        <f>IFERROR(__xludf.DUMMYFUNCTION("""COMPUTED_VALUE"""),2279.0)</f>
        <v>2279</v>
      </c>
      <c r="X677" t="b">
        <f t="shared" ref="X677:Z677" si="1330">ISBLANK(K677)</f>
        <v>1</v>
      </c>
      <c r="Y677" t="b">
        <f t="shared" si="1330"/>
        <v>0</v>
      </c>
      <c r="Z677" t="b">
        <f t="shared" si="1330"/>
        <v>0</v>
      </c>
      <c r="AA677">
        <f t="shared" ref="AA677:AC677" si="1331">IF(X677=FALSE,1,0)</f>
        <v>0</v>
      </c>
      <c r="AB677">
        <f t="shared" si="1331"/>
        <v>1</v>
      </c>
      <c r="AC677">
        <f t="shared" si="1331"/>
        <v>1</v>
      </c>
      <c r="AD677">
        <f t="shared" si="6"/>
        <v>2</v>
      </c>
      <c r="AE677">
        <f t="shared" si="7"/>
        <v>1</v>
      </c>
      <c r="AF677">
        <f>if(iferror(vlookup($A677,'Description Database'!$E$2:$H$951,3,0),0)=TRUE,1,0)</f>
        <v>0</v>
      </c>
      <c r="AG677">
        <f>if(iferror(vlookup($A677,'Description Database'!$E$2:$H$951,4,0),0)=TRUE,1,0)</f>
        <v>0</v>
      </c>
    </row>
    <row r="678">
      <c r="A678" t="str">
        <f>IFERROR(__xludf.DUMMYFUNCTION("""COMPUTED_VALUE"""),"Lenovo X2 (2 GB/16 GB)")</f>
        <v>Lenovo X2 (2 GB/16 GB)</v>
      </c>
      <c r="B678" t="str">
        <f>IFERROR(__xludf.DUMMYFUNCTION("""COMPUTED_VALUE"""),"")</f>
        <v/>
      </c>
      <c r="C678" t="str">
        <f>IFERROR(__xludf.DUMMYFUNCTION("""COMPUTED_VALUE"""),"")</f>
        <v/>
      </c>
      <c r="D678" t="str">
        <f>IFERROR(__xludf.DUMMYFUNCTION("""COMPUTED_VALUE"""),"")</f>
        <v/>
      </c>
      <c r="E678" t="str">
        <f>IFERROR(__xludf.DUMMYFUNCTION("""COMPUTED_VALUE"""),"")</f>
        <v/>
      </c>
      <c r="F678" t="str">
        <f>IFERROR(__xludf.DUMMYFUNCTION("""COMPUTED_VALUE"""),"")</f>
        <v/>
      </c>
      <c r="G678" t="str">
        <f>IFERROR(__xludf.DUMMYFUNCTION("""COMPUTED_VALUE"""),"")</f>
        <v/>
      </c>
      <c r="H678" t="str">
        <f>IFERROR(__xludf.DUMMYFUNCTION("""COMPUTED_VALUE"""),"")</f>
        <v/>
      </c>
      <c r="I678">
        <f>IFERROR(__xludf.DUMMYFUNCTION("""COMPUTED_VALUE"""),1.0)</f>
        <v>1</v>
      </c>
      <c r="J678">
        <f>IFERROR(__xludf.DUMMYFUNCTION("""COMPUTED_VALUE"""),1.0)</f>
        <v>1</v>
      </c>
      <c r="L678" s="250" t="str">
        <f>IFERROR(__xludf.DUMMYFUNCTION("""COMPUTED_VALUE"""),"")</f>
        <v/>
      </c>
      <c r="M678" s="250" t="str">
        <f>IFERROR(__xludf.DUMMYFUNCTION("""COMPUTED_VALUE"""),"")</f>
        <v/>
      </c>
      <c r="N678" s="250" t="str">
        <f>IFERROR(__xludf.DUMMYFUNCTION("""COMPUTED_VALUE"""),"")</f>
        <v/>
      </c>
      <c r="O678" s="250" t="str">
        <f>IFERROR(__xludf.DUMMYFUNCTION("""COMPUTED_VALUE"""),"")</f>
        <v/>
      </c>
      <c r="P678" s="250" t="str">
        <f>IFERROR(__xludf.DUMMYFUNCTION("""COMPUTED_VALUE"""),"")</f>
        <v/>
      </c>
      <c r="Q678" s="250" t="str">
        <f>IFERROR(__xludf.DUMMYFUNCTION("""COMPUTED_VALUE"""),"")</f>
        <v/>
      </c>
      <c r="R678" s="250" t="str">
        <f>IFERROR(__xludf.DUMMYFUNCTION("""COMPUTED_VALUE"""),"")</f>
        <v/>
      </c>
      <c r="U678" s="250" t="str">
        <f>IFERROR(__xludf.DUMMYFUNCTION("""COMPUTED_VALUE"""),"#N/A")</f>
        <v>#N/A</v>
      </c>
      <c r="V678" s="250" t="str">
        <f>IFERROR(__xludf.DUMMYFUNCTION("""COMPUTED_VALUE"""),"#N/A")</f>
        <v>#N/A</v>
      </c>
      <c r="W678" s="250" t="str">
        <f>IFERROR(__xludf.DUMMYFUNCTION("""COMPUTED_VALUE"""),"#N/A")</f>
        <v>#N/A</v>
      </c>
      <c r="X678" t="b">
        <f t="shared" ref="X678:Z678" si="1332">ISBLANK(K678)</f>
        <v>1</v>
      </c>
      <c r="Y678" t="b">
        <f t="shared" si="1332"/>
        <v>0</v>
      </c>
      <c r="Z678" t="b">
        <f t="shared" si="1332"/>
        <v>0</v>
      </c>
      <c r="AA678">
        <f t="shared" ref="AA678:AC678" si="1333">IF(X678=FALSE,1,0)</f>
        <v>0</v>
      </c>
      <c r="AB678">
        <f t="shared" si="1333"/>
        <v>1</v>
      </c>
      <c r="AC678">
        <f t="shared" si="1333"/>
        <v>1</v>
      </c>
      <c r="AD678">
        <f t="shared" si="6"/>
        <v>2</v>
      </c>
      <c r="AE678">
        <f t="shared" si="7"/>
        <v>1</v>
      </c>
      <c r="AF678">
        <f>if(iferror(vlookup($A678,'Description Database'!$E$2:$H$951,3,0),0)=TRUE,1,0)</f>
        <v>0</v>
      </c>
      <c r="AG678">
        <f>if(iferror(vlookup($A678,'Description Database'!$E$2:$H$951,4,0),0)=TRUE,1,0)</f>
        <v>0</v>
      </c>
    </row>
    <row r="679">
      <c r="A679" t="str">
        <f>IFERROR(__xludf.DUMMYFUNCTION("""COMPUTED_VALUE"""),"Samsung GALAXY J7 PRO (2 GB/16 GB)")</f>
        <v>Samsung GALAXY J7 PRO (2 GB/16 GB)</v>
      </c>
      <c r="B679" t="str">
        <f>IFERROR(__xludf.DUMMYFUNCTION("""COMPUTED_VALUE"""),"")</f>
        <v/>
      </c>
      <c r="C679" t="str">
        <f>IFERROR(__xludf.DUMMYFUNCTION("""COMPUTED_VALUE"""),"")</f>
        <v/>
      </c>
      <c r="D679" t="str">
        <f>IFERROR(__xludf.DUMMYFUNCTION("""COMPUTED_VALUE"""),"")</f>
        <v/>
      </c>
      <c r="E679" t="str">
        <f>IFERROR(__xludf.DUMMYFUNCTION("""COMPUTED_VALUE"""),"")</f>
        <v/>
      </c>
      <c r="F679" t="str">
        <f>IFERROR(__xludf.DUMMYFUNCTION("""COMPUTED_VALUE"""),"")</f>
        <v/>
      </c>
      <c r="G679" t="str">
        <f>IFERROR(__xludf.DUMMYFUNCTION("""COMPUTED_VALUE"""),"")</f>
        <v/>
      </c>
      <c r="H679" t="str">
        <f>IFERROR(__xludf.DUMMYFUNCTION("""COMPUTED_VALUE"""),"")</f>
        <v/>
      </c>
      <c r="I679" t="str">
        <f>IFERROR(__xludf.DUMMYFUNCTION("""COMPUTED_VALUE"""),"")</f>
        <v/>
      </c>
      <c r="J679">
        <f>IFERROR(__xludf.DUMMYFUNCTION("""COMPUTED_VALUE"""),0.0)</f>
        <v>0</v>
      </c>
      <c r="L679" s="250" t="str">
        <f>IFERROR(__xludf.DUMMYFUNCTION("""COMPUTED_VALUE"""),"")</f>
        <v/>
      </c>
      <c r="M679" s="250" t="str">
        <f>IFERROR(__xludf.DUMMYFUNCTION("""COMPUTED_VALUE"""),"")</f>
        <v/>
      </c>
      <c r="N679" s="250" t="str">
        <f>IFERROR(__xludf.DUMMYFUNCTION("""COMPUTED_VALUE"""),"")</f>
        <v/>
      </c>
      <c r="O679" s="250" t="str">
        <f>IFERROR(__xludf.DUMMYFUNCTION("""COMPUTED_VALUE"""),"")</f>
        <v/>
      </c>
      <c r="P679" s="250" t="str">
        <f>IFERROR(__xludf.DUMMYFUNCTION("""COMPUTED_VALUE"""),"")</f>
        <v/>
      </c>
      <c r="Q679" s="250" t="str">
        <f>IFERROR(__xludf.DUMMYFUNCTION("""COMPUTED_VALUE"""),"")</f>
        <v/>
      </c>
      <c r="R679" s="250" t="str">
        <f>IFERROR(__xludf.DUMMYFUNCTION("""COMPUTED_VALUE"""),"")</f>
        <v/>
      </c>
      <c r="U679" s="250" t="str">
        <f>IFERROR(__xludf.DUMMYFUNCTION("""COMPUTED_VALUE"""),"#N/A")</f>
        <v>#N/A</v>
      </c>
      <c r="V679" s="250" t="str">
        <f>IFERROR(__xludf.DUMMYFUNCTION("""COMPUTED_VALUE"""),"#N/A")</f>
        <v>#N/A</v>
      </c>
      <c r="W679" s="250" t="str">
        <f>IFERROR(__xludf.DUMMYFUNCTION("""COMPUTED_VALUE"""),"#N/A")</f>
        <v>#N/A</v>
      </c>
      <c r="X679" t="b">
        <f t="shared" ref="X679:Z679" si="1334">ISBLANK(K679)</f>
        <v>1</v>
      </c>
      <c r="Y679" t="b">
        <f t="shared" si="1334"/>
        <v>0</v>
      </c>
      <c r="Z679" t="b">
        <f t="shared" si="1334"/>
        <v>0</v>
      </c>
      <c r="AA679">
        <f t="shared" ref="AA679:AC679" si="1335">IF(X679=FALSE,1,0)</f>
        <v>0</v>
      </c>
      <c r="AB679">
        <f t="shared" si="1335"/>
        <v>1</v>
      </c>
      <c r="AC679">
        <f t="shared" si="1335"/>
        <v>1</v>
      </c>
      <c r="AD679">
        <f t="shared" si="6"/>
        <v>2</v>
      </c>
      <c r="AE679">
        <f t="shared" si="7"/>
        <v>1</v>
      </c>
      <c r="AF679">
        <f>if(iferror(vlookup($A679,'Description Database'!$E$2:$H$951,3,0),0)=TRUE,1,0)</f>
        <v>0</v>
      </c>
      <c r="AG679">
        <f>if(iferror(vlookup($A679,'Description Database'!$E$2:$H$951,4,0),0)=TRUE,1,0)</f>
        <v>0</v>
      </c>
    </row>
    <row r="680">
      <c r="A680" t="str">
        <f>IFERROR(__xludf.DUMMYFUNCTION("""COMPUTED_VALUE"""),"Vivo Y53 (2 GB/32 GB)")</f>
        <v>Vivo Y53 (2 GB/32 GB)</v>
      </c>
      <c r="B680" t="str">
        <f>IFERROR(__xludf.DUMMYFUNCTION("""COMPUTED_VALUE"""),"")</f>
        <v/>
      </c>
      <c r="C680" t="str">
        <f>IFERROR(__xludf.DUMMYFUNCTION("""COMPUTED_VALUE"""),"")</f>
        <v/>
      </c>
      <c r="D680" t="str">
        <f>IFERROR(__xludf.DUMMYFUNCTION("""COMPUTED_VALUE"""),"")</f>
        <v/>
      </c>
      <c r="E680" t="str">
        <f>IFERROR(__xludf.DUMMYFUNCTION("""COMPUTED_VALUE"""),"")</f>
        <v/>
      </c>
      <c r="F680" t="str">
        <f>IFERROR(__xludf.DUMMYFUNCTION("""COMPUTED_VALUE"""),"")</f>
        <v/>
      </c>
      <c r="G680" t="str">
        <f>IFERROR(__xludf.DUMMYFUNCTION("""COMPUTED_VALUE"""),"")</f>
        <v/>
      </c>
      <c r="H680" t="str">
        <f>IFERROR(__xludf.DUMMYFUNCTION("""COMPUTED_VALUE"""),"")</f>
        <v/>
      </c>
      <c r="I680" t="str">
        <f>IFERROR(__xludf.DUMMYFUNCTION("""COMPUTED_VALUE"""),"")</f>
        <v/>
      </c>
      <c r="J680">
        <f>IFERROR(__xludf.DUMMYFUNCTION("""COMPUTED_VALUE"""),0.0)</f>
        <v>0</v>
      </c>
      <c r="L680" s="250" t="str">
        <f>IFERROR(__xludf.DUMMYFUNCTION("""COMPUTED_VALUE"""),"")</f>
        <v/>
      </c>
      <c r="M680" s="250" t="str">
        <f>IFERROR(__xludf.DUMMYFUNCTION("""COMPUTED_VALUE"""),"")</f>
        <v/>
      </c>
      <c r="N680" s="250" t="str">
        <f>IFERROR(__xludf.DUMMYFUNCTION("""COMPUTED_VALUE"""),"")</f>
        <v/>
      </c>
      <c r="O680" s="250" t="str">
        <f>IFERROR(__xludf.DUMMYFUNCTION("""COMPUTED_VALUE"""),"")</f>
        <v/>
      </c>
      <c r="P680" s="250" t="str">
        <f>IFERROR(__xludf.DUMMYFUNCTION("""COMPUTED_VALUE"""),"")</f>
        <v/>
      </c>
      <c r="Q680" s="250" t="str">
        <f>IFERROR(__xludf.DUMMYFUNCTION("""COMPUTED_VALUE"""),"")</f>
        <v/>
      </c>
      <c r="R680" s="250" t="str">
        <f>IFERROR(__xludf.DUMMYFUNCTION("""COMPUTED_VALUE"""),"")</f>
        <v/>
      </c>
      <c r="U680" s="250" t="str">
        <f>IFERROR(__xludf.DUMMYFUNCTION("""COMPUTED_VALUE"""),"#N/A")</f>
        <v>#N/A</v>
      </c>
      <c r="V680" s="250" t="str">
        <f>IFERROR(__xludf.DUMMYFUNCTION("""COMPUTED_VALUE"""),"#N/A")</f>
        <v>#N/A</v>
      </c>
      <c r="W680" s="250" t="str">
        <f>IFERROR(__xludf.DUMMYFUNCTION("""COMPUTED_VALUE"""),"#N/A")</f>
        <v>#N/A</v>
      </c>
      <c r="X680" t="b">
        <f t="shared" ref="X680:Z680" si="1336">ISBLANK(K680)</f>
        <v>1</v>
      </c>
      <c r="Y680" t="b">
        <f t="shared" si="1336"/>
        <v>0</v>
      </c>
      <c r="Z680" t="b">
        <f t="shared" si="1336"/>
        <v>0</v>
      </c>
      <c r="AA680">
        <f t="shared" ref="AA680:AC680" si="1337">IF(X680=FALSE,1,0)</f>
        <v>0</v>
      </c>
      <c r="AB680">
        <f t="shared" si="1337"/>
        <v>1</v>
      </c>
      <c r="AC680">
        <f t="shared" si="1337"/>
        <v>1</v>
      </c>
      <c r="AD680">
        <f t="shared" si="6"/>
        <v>2</v>
      </c>
      <c r="AE680">
        <f t="shared" si="7"/>
        <v>1</v>
      </c>
      <c r="AF680">
        <f>if(iferror(vlookup($A680,'Description Database'!$E$2:$H$951,3,0),0)=TRUE,1,0)</f>
        <v>0</v>
      </c>
      <c r="AG680">
        <f>if(iferror(vlookup($A680,'Description Database'!$E$2:$H$951,4,0),0)=TRUE,1,0)</f>
        <v>0</v>
      </c>
    </row>
    <row r="681">
      <c r="A681" t="str">
        <f>IFERROR(__xludf.DUMMYFUNCTION("""COMPUTED_VALUE"""),"Samsung GALAXY C7 PRO (3 GB/32 GB)")</f>
        <v>Samsung GALAXY C7 PRO (3 GB/32 GB)</v>
      </c>
      <c r="B681" t="str">
        <f>IFERROR(__xludf.DUMMYFUNCTION("""COMPUTED_VALUE"""),"")</f>
        <v/>
      </c>
      <c r="C681" t="str">
        <f>IFERROR(__xludf.DUMMYFUNCTION("""COMPUTED_VALUE"""),"")</f>
        <v/>
      </c>
      <c r="D681" t="str">
        <f>IFERROR(__xludf.DUMMYFUNCTION("""COMPUTED_VALUE"""),"")</f>
        <v/>
      </c>
      <c r="E681" t="str">
        <f>IFERROR(__xludf.DUMMYFUNCTION("""COMPUTED_VALUE"""),"")</f>
        <v/>
      </c>
      <c r="F681" t="str">
        <f>IFERROR(__xludf.DUMMYFUNCTION("""COMPUTED_VALUE"""),"")</f>
        <v/>
      </c>
      <c r="G681" t="str">
        <f>IFERROR(__xludf.DUMMYFUNCTION("""COMPUTED_VALUE"""),"")</f>
        <v/>
      </c>
      <c r="H681" t="str">
        <f>IFERROR(__xludf.DUMMYFUNCTION("""COMPUTED_VALUE"""),"")</f>
        <v/>
      </c>
      <c r="I681" t="str">
        <f>IFERROR(__xludf.DUMMYFUNCTION("""COMPUTED_VALUE"""),"")</f>
        <v/>
      </c>
      <c r="J681">
        <f>IFERROR(__xludf.DUMMYFUNCTION("""COMPUTED_VALUE"""),0.0)</f>
        <v>0</v>
      </c>
      <c r="L681" s="250" t="str">
        <f>IFERROR(__xludf.DUMMYFUNCTION("""COMPUTED_VALUE"""),"")</f>
        <v/>
      </c>
      <c r="M681" s="250" t="str">
        <f>IFERROR(__xludf.DUMMYFUNCTION("""COMPUTED_VALUE"""),"")</f>
        <v/>
      </c>
      <c r="N681" s="250" t="str">
        <f>IFERROR(__xludf.DUMMYFUNCTION("""COMPUTED_VALUE"""),"")</f>
        <v/>
      </c>
      <c r="O681" s="250" t="str">
        <f>IFERROR(__xludf.DUMMYFUNCTION("""COMPUTED_VALUE"""),"")</f>
        <v/>
      </c>
      <c r="P681" s="250" t="str">
        <f>IFERROR(__xludf.DUMMYFUNCTION("""COMPUTED_VALUE"""),"")</f>
        <v/>
      </c>
      <c r="Q681" s="250" t="str">
        <f>IFERROR(__xludf.DUMMYFUNCTION("""COMPUTED_VALUE"""),"")</f>
        <v/>
      </c>
      <c r="R681" s="250" t="str">
        <f>IFERROR(__xludf.DUMMYFUNCTION("""COMPUTED_VALUE"""),"")</f>
        <v/>
      </c>
      <c r="U681" s="250" t="str">
        <f>IFERROR(__xludf.DUMMYFUNCTION("""COMPUTED_VALUE"""),"#N/A")</f>
        <v>#N/A</v>
      </c>
      <c r="V681" s="250" t="str">
        <f>IFERROR(__xludf.DUMMYFUNCTION("""COMPUTED_VALUE"""),"#N/A")</f>
        <v>#N/A</v>
      </c>
      <c r="W681" s="250" t="str">
        <f>IFERROR(__xludf.DUMMYFUNCTION("""COMPUTED_VALUE"""),"#N/A")</f>
        <v>#N/A</v>
      </c>
      <c r="X681" t="b">
        <f t="shared" ref="X681:Z681" si="1338">ISBLANK(K681)</f>
        <v>1</v>
      </c>
      <c r="Y681" t="b">
        <f t="shared" si="1338"/>
        <v>0</v>
      </c>
      <c r="Z681" t="b">
        <f t="shared" si="1338"/>
        <v>0</v>
      </c>
      <c r="AA681">
        <f t="shared" ref="AA681:AC681" si="1339">IF(X681=FALSE,1,0)</f>
        <v>0</v>
      </c>
      <c r="AB681">
        <f t="shared" si="1339"/>
        <v>1</v>
      </c>
      <c r="AC681">
        <f t="shared" si="1339"/>
        <v>1</v>
      </c>
      <c r="AD681">
        <f t="shared" si="6"/>
        <v>2</v>
      </c>
      <c r="AE681">
        <f t="shared" si="7"/>
        <v>1</v>
      </c>
      <c r="AF681">
        <f>if(iferror(vlookup($A681,'Description Database'!$E$2:$H$951,3,0),0)=TRUE,1,0)</f>
        <v>0</v>
      </c>
      <c r="AG681">
        <f>if(iferror(vlookup($A681,'Description Database'!$E$2:$H$951,4,0),0)=TRUE,1,0)</f>
        <v>0</v>
      </c>
    </row>
    <row r="682">
      <c r="A682" t="str">
        <f>IFERROR(__xludf.DUMMYFUNCTION("""COMPUTED_VALUE"""),"Nokia 6 (4 GB/64 GB)")</f>
        <v>Nokia 6 (4 GB/64 GB)</v>
      </c>
      <c r="B682" t="str">
        <f>IFERROR(__xludf.DUMMYFUNCTION("""COMPUTED_VALUE"""),"")</f>
        <v/>
      </c>
      <c r="C682" t="str">
        <f>IFERROR(__xludf.DUMMYFUNCTION("""COMPUTED_VALUE"""),"")</f>
        <v/>
      </c>
      <c r="D682" t="str">
        <f>IFERROR(__xludf.DUMMYFUNCTION("""COMPUTED_VALUE"""),"")</f>
        <v/>
      </c>
      <c r="E682" t="str">
        <f>IFERROR(__xludf.DUMMYFUNCTION("""COMPUTED_VALUE"""),"")</f>
        <v/>
      </c>
      <c r="F682" t="str">
        <f>IFERROR(__xludf.DUMMYFUNCTION("""COMPUTED_VALUE"""),"")</f>
        <v/>
      </c>
      <c r="G682">
        <f>IFERROR(__xludf.DUMMYFUNCTION("""COMPUTED_VALUE"""),1.0)</f>
        <v>1</v>
      </c>
      <c r="H682" t="str">
        <f>IFERROR(__xludf.DUMMYFUNCTION("""COMPUTED_VALUE"""),"")</f>
        <v/>
      </c>
      <c r="I682">
        <f>IFERROR(__xludf.DUMMYFUNCTION("""COMPUTED_VALUE"""),1.0)</f>
        <v>1</v>
      </c>
      <c r="J682">
        <f>IFERROR(__xludf.DUMMYFUNCTION("""COMPUTED_VALUE"""),2.0)</f>
        <v>2</v>
      </c>
      <c r="L682" s="250" t="str">
        <f>IFERROR(__xludf.DUMMYFUNCTION("""COMPUTED_VALUE"""),"")</f>
        <v/>
      </c>
      <c r="M682" s="250" t="str">
        <f>IFERROR(__xludf.DUMMYFUNCTION("""COMPUTED_VALUE"""),"")</f>
        <v/>
      </c>
      <c r="N682" s="250" t="str">
        <f>IFERROR(__xludf.DUMMYFUNCTION("""COMPUTED_VALUE"""),"")</f>
        <v/>
      </c>
      <c r="O682" s="250" t="str">
        <f>IFERROR(__xludf.DUMMYFUNCTION("""COMPUTED_VALUE"""),"")</f>
        <v/>
      </c>
      <c r="P682" s="250" t="str">
        <f>IFERROR(__xludf.DUMMYFUNCTION("""COMPUTED_VALUE"""),"")</f>
        <v/>
      </c>
      <c r="Q682" s="250">
        <f>IFERROR(__xludf.DUMMYFUNCTION("""COMPUTED_VALUE"""),2189.0)</f>
        <v>2189</v>
      </c>
      <c r="R682" s="250" t="str">
        <f>IFERROR(__xludf.DUMMYFUNCTION("""COMPUTED_VALUE"""),"")</f>
        <v/>
      </c>
      <c r="U682" s="250">
        <f>IFERROR(__xludf.DUMMYFUNCTION("""COMPUTED_VALUE"""),4409.0)</f>
        <v>4409</v>
      </c>
      <c r="V682" s="250">
        <f>IFERROR(__xludf.DUMMYFUNCTION("""COMPUTED_VALUE"""),4209.0)</f>
        <v>4209</v>
      </c>
      <c r="W682" s="250">
        <f>IFERROR(__xludf.DUMMYFUNCTION("""COMPUTED_VALUE"""),3789.0)</f>
        <v>3789</v>
      </c>
      <c r="X682" t="b">
        <f t="shared" ref="X682:Z682" si="1340">ISBLANK(K682)</f>
        <v>1</v>
      </c>
      <c r="Y682" t="b">
        <f t="shared" si="1340"/>
        <v>0</v>
      </c>
      <c r="Z682" t="b">
        <f t="shared" si="1340"/>
        <v>0</v>
      </c>
      <c r="AA682">
        <f t="shared" ref="AA682:AC682" si="1341">IF(X682=FALSE,1,0)</f>
        <v>0</v>
      </c>
      <c r="AB682">
        <f t="shared" si="1341"/>
        <v>1</v>
      </c>
      <c r="AC682">
        <f t="shared" si="1341"/>
        <v>1</v>
      </c>
      <c r="AD682">
        <f t="shared" si="6"/>
        <v>2</v>
      </c>
      <c r="AE682">
        <f t="shared" si="7"/>
        <v>1</v>
      </c>
      <c r="AF682">
        <f>if(iferror(vlookup($A682,'Description Database'!$E$2:$H$951,3,0),0)=TRUE,1,0)</f>
        <v>0</v>
      </c>
      <c r="AG682">
        <f>if(iferror(vlookup($A682,'Description Database'!$E$2:$H$951,4,0),0)=TRUE,1,0)</f>
        <v>0</v>
      </c>
    </row>
    <row r="683">
      <c r="A683" t="str">
        <f>IFERROR(__xludf.DUMMYFUNCTION("""COMPUTED_VALUE"""),"Oppo K3 (6 GB/64 GB)")</f>
        <v>Oppo K3 (6 GB/64 GB)</v>
      </c>
      <c r="B683" t="str">
        <f>IFERROR(__xludf.DUMMYFUNCTION("""COMPUTED_VALUE"""),"")</f>
        <v/>
      </c>
      <c r="C683" t="str">
        <f>IFERROR(__xludf.DUMMYFUNCTION("""COMPUTED_VALUE"""),"")</f>
        <v/>
      </c>
      <c r="D683" t="str">
        <f>IFERROR(__xludf.DUMMYFUNCTION("""COMPUTED_VALUE"""),"")</f>
        <v/>
      </c>
      <c r="E683" t="str">
        <f>IFERROR(__xludf.DUMMYFUNCTION("""COMPUTED_VALUE"""),"")</f>
        <v/>
      </c>
      <c r="F683" t="str">
        <f>IFERROR(__xludf.DUMMYFUNCTION("""COMPUTED_VALUE"""),"")</f>
        <v/>
      </c>
      <c r="G683" t="str">
        <f>IFERROR(__xludf.DUMMYFUNCTION("""COMPUTED_VALUE"""),"")</f>
        <v/>
      </c>
      <c r="H683" t="str">
        <f>IFERROR(__xludf.DUMMYFUNCTION("""COMPUTED_VALUE"""),"")</f>
        <v/>
      </c>
      <c r="I683" t="str">
        <f>IFERROR(__xludf.DUMMYFUNCTION("""COMPUTED_VALUE"""),"")</f>
        <v/>
      </c>
      <c r="J683">
        <f>IFERROR(__xludf.DUMMYFUNCTION("""COMPUTED_VALUE"""),0.0)</f>
        <v>0</v>
      </c>
      <c r="L683" s="250" t="str">
        <f>IFERROR(__xludf.DUMMYFUNCTION("""COMPUTED_VALUE"""),"")</f>
        <v/>
      </c>
      <c r="M683" s="250" t="str">
        <f>IFERROR(__xludf.DUMMYFUNCTION("""COMPUTED_VALUE"""),"")</f>
        <v/>
      </c>
      <c r="N683" s="250" t="str">
        <f>IFERROR(__xludf.DUMMYFUNCTION("""COMPUTED_VALUE"""),"")</f>
        <v/>
      </c>
      <c r="O683" s="250" t="str">
        <f>IFERROR(__xludf.DUMMYFUNCTION("""COMPUTED_VALUE"""),"")</f>
        <v/>
      </c>
      <c r="P683" s="250" t="str">
        <f>IFERROR(__xludf.DUMMYFUNCTION("""COMPUTED_VALUE"""),"")</f>
        <v/>
      </c>
      <c r="Q683" s="250" t="str">
        <f>IFERROR(__xludf.DUMMYFUNCTION("""COMPUTED_VALUE"""),"")</f>
        <v/>
      </c>
      <c r="R683" s="250" t="str">
        <f>IFERROR(__xludf.DUMMYFUNCTION("""COMPUTED_VALUE"""),"")</f>
        <v/>
      </c>
      <c r="U683" s="250">
        <f>IFERROR(__xludf.DUMMYFUNCTION("""COMPUTED_VALUE"""),11799.0)</f>
        <v>11799</v>
      </c>
      <c r="V683" s="250">
        <f>IFERROR(__xludf.DUMMYFUNCTION("""COMPUTED_VALUE"""),11229.0)</f>
        <v>11229</v>
      </c>
      <c r="W683" s="250">
        <f>IFERROR(__xludf.DUMMYFUNCTION("""COMPUTED_VALUE"""),10109.0)</f>
        <v>10109</v>
      </c>
      <c r="X683" t="b">
        <f t="shared" ref="X683:Z683" si="1342">ISBLANK(K683)</f>
        <v>1</v>
      </c>
      <c r="Y683" t="b">
        <f t="shared" si="1342"/>
        <v>0</v>
      </c>
      <c r="Z683" t="b">
        <f t="shared" si="1342"/>
        <v>0</v>
      </c>
      <c r="AA683">
        <f t="shared" ref="AA683:AC683" si="1343">IF(X683=FALSE,1,0)</f>
        <v>0</v>
      </c>
      <c r="AB683">
        <f t="shared" si="1343"/>
        <v>1</v>
      </c>
      <c r="AC683">
        <f t="shared" si="1343"/>
        <v>1</v>
      </c>
      <c r="AD683">
        <f t="shared" si="6"/>
        <v>2</v>
      </c>
      <c r="AE683">
        <f t="shared" si="7"/>
        <v>1</v>
      </c>
      <c r="AF683">
        <f>if(iferror(vlookup($A683,'Description Database'!$E$2:$H$951,3,0),0)=TRUE,1,0)</f>
        <v>0</v>
      </c>
      <c r="AG683">
        <f>if(iferror(vlookup($A683,'Description Database'!$E$2:$H$951,4,0),0)=TRUE,1,0)</f>
        <v>0</v>
      </c>
    </row>
    <row r="684">
      <c r="A684" t="str">
        <f>IFERROR(__xludf.DUMMYFUNCTION("""COMPUTED_VALUE"""),"Oppo RENO (8 GB/128 GB)")</f>
        <v>Oppo RENO (8 GB/128 GB)</v>
      </c>
      <c r="B684" t="str">
        <f>IFERROR(__xludf.DUMMYFUNCTION("""COMPUTED_VALUE"""),"")</f>
        <v/>
      </c>
      <c r="C684" t="str">
        <f>IFERROR(__xludf.DUMMYFUNCTION("""COMPUTED_VALUE"""),"")</f>
        <v/>
      </c>
      <c r="D684" t="str">
        <f>IFERROR(__xludf.DUMMYFUNCTION("""COMPUTED_VALUE"""),"")</f>
        <v/>
      </c>
      <c r="E684" t="str">
        <f>IFERROR(__xludf.DUMMYFUNCTION("""COMPUTED_VALUE"""),"")</f>
        <v/>
      </c>
      <c r="F684" t="str">
        <f>IFERROR(__xludf.DUMMYFUNCTION("""COMPUTED_VALUE"""),"")</f>
        <v/>
      </c>
      <c r="G684" t="str">
        <f>IFERROR(__xludf.DUMMYFUNCTION("""COMPUTED_VALUE"""),"")</f>
        <v/>
      </c>
      <c r="H684" t="str">
        <f>IFERROR(__xludf.DUMMYFUNCTION("""COMPUTED_VALUE"""),"")</f>
        <v/>
      </c>
      <c r="I684" t="str">
        <f>IFERROR(__xludf.DUMMYFUNCTION("""COMPUTED_VALUE"""),"")</f>
        <v/>
      </c>
      <c r="J684">
        <f>IFERROR(__xludf.DUMMYFUNCTION("""COMPUTED_VALUE"""),0.0)</f>
        <v>0</v>
      </c>
      <c r="L684" s="250" t="str">
        <f>IFERROR(__xludf.DUMMYFUNCTION("""COMPUTED_VALUE"""),"")</f>
        <v/>
      </c>
      <c r="M684" s="250" t="str">
        <f>IFERROR(__xludf.DUMMYFUNCTION("""COMPUTED_VALUE"""),"")</f>
        <v/>
      </c>
      <c r="N684" s="250" t="str">
        <f>IFERROR(__xludf.DUMMYFUNCTION("""COMPUTED_VALUE"""),"")</f>
        <v/>
      </c>
      <c r="O684" s="250" t="str">
        <f>IFERROR(__xludf.DUMMYFUNCTION("""COMPUTED_VALUE"""),"")</f>
        <v/>
      </c>
      <c r="P684" s="250" t="str">
        <f>IFERROR(__xludf.DUMMYFUNCTION("""COMPUTED_VALUE"""),"")</f>
        <v/>
      </c>
      <c r="Q684" s="250" t="str">
        <f>IFERROR(__xludf.DUMMYFUNCTION("""COMPUTED_VALUE"""),"")</f>
        <v/>
      </c>
      <c r="R684" s="250" t="str">
        <f>IFERROR(__xludf.DUMMYFUNCTION("""COMPUTED_VALUE"""),"")</f>
        <v/>
      </c>
      <c r="U684" s="250">
        <f>IFERROR(__xludf.DUMMYFUNCTION("""COMPUTED_VALUE"""),15819.0)</f>
        <v>15819</v>
      </c>
      <c r="V684" s="250">
        <f>IFERROR(__xludf.DUMMYFUNCTION("""COMPUTED_VALUE"""),15059.0)</f>
        <v>15059</v>
      </c>
      <c r="W684" s="250">
        <f>IFERROR(__xludf.DUMMYFUNCTION("""COMPUTED_VALUE"""),13569.0)</f>
        <v>13569</v>
      </c>
      <c r="X684" t="b">
        <f t="shared" ref="X684:Z684" si="1344">ISBLANK(K684)</f>
        <v>1</v>
      </c>
      <c r="Y684" t="b">
        <f t="shared" si="1344"/>
        <v>0</v>
      </c>
      <c r="Z684" t="b">
        <f t="shared" si="1344"/>
        <v>0</v>
      </c>
      <c r="AA684">
        <f t="shared" ref="AA684:AC684" si="1345">IF(X684=FALSE,1,0)</f>
        <v>0</v>
      </c>
      <c r="AB684">
        <f t="shared" si="1345"/>
        <v>1</v>
      </c>
      <c r="AC684">
        <f t="shared" si="1345"/>
        <v>1</v>
      </c>
      <c r="AD684">
        <f t="shared" si="6"/>
        <v>2</v>
      </c>
      <c r="AE684">
        <f t="shared" si="7"/>
        <v>1</v>
      </c>
      <c r="AF684">
        <f>if(iferror(vlookup($A684,'Description Database'!$E$2:$H$951,3,0),0)=TRUE,1,0)</f>
        <v>0</v>
      </c>
      <c r="AG684">
        <f>if(iferror(vlookup($A684,'Description Database'!$E$2:$H$951,4,0),0)=TRUE,1,0)</f>
        <v>0</v>
      </c>
    </row>
    <row r="685">
      <c r="A685" t="str">
        <f>IFERROR(__xludf.DUMMYFUNCTION("""COMPUTED_VALUE"""),"Oppo F5(6 GB 64GB)")</f>
        <v>Oppo F5(6 GB 64GB)</v>
      </c>
      <c r="B685" t="str">
        <f>IFERROR(__xludf.DUMMYFUNCTION("""COMPUTED_VALUE"""),"")</f>
        <v/>
      </c>
      <c r="C685" t="str">
        <f>IFERROR(__xludf.DUMMYFUNCTION("""COMPUTED_VALUE"""),"")</f>
        <v/>
      </c>
      <c r="D685" t="str">
        <f>IFERROR(__xludf.DUMMYFUNCTION("""COMPUTED_VALUE"""),"")</f>
        <v/>
      </c>
      <c r="E685" t="str">
        <f>IFERROR(__xludf.DUMMYFUNCTION("""COMPUTED_VALUE"""),"")</f>
        <v/>
      </c>
      <c r="F685" t="str">
        <f>IFERROR(__xludf.DUMMYFUNCTION("""COMPUTED_VALUE"""),"")</f>
        <v/>
      </c>
      <c r="G685" t="str">
        <f>IFERROR(__xludf.DUMMYFUNCTION("""COMPUTED_VALUE"""),"")</f>
        <v/>
      </c>
      <c r="H685" t="str">
        <f>IFERROR(__xludf.DUMMYFUNCTION("""COMPUTED_VALUE"""),"")</f>
        <v/>
      </c>
      <c r="I685" t="str">
        <f>IFERROR(__xludf.DUMMYFUNCTION("""COMPUTED_VALUE"""),"")</f>
        <v/>
      </c>
      <c r="J685">
        <f>IFERROR(__xludf.DUMMYFUNCTION("""COMPUTED_VALUE"""),0.0)</f>
        <v>0</v>
      </c>
      <c r="L685" s="250" t="str">
        <f>IFERROR(__xludf.DUMMYFUNCTION("""COMPUTED_VALUE"""),"")</f>
        <v/>
      </c>
      <c r="M685" s="250" t="str">
        <f>IFERROR(__xludf.DUMMYFUNCTION("""COMPUTED_VALUE"""),"")</f>
        <v/>
      </c>
      <c r="N685" s="250" t="str">
        <f>IFERROR(__xludf.DUMMYFUNCTION("""COMPUTED_VALUE"""),"")</f>
        <v/>
      </c>
      <c r="O685" s="250" t="str">
        <f>IFERROR(__xludf.DUMMYFUNCTION("""COMPUTED_VALUE"""),"")</f>
        <v/>
      </c>
      <c r="P685" s="250" t="str">
        <f>IFERROR(__xludf.DUMMYFUNCTION("""COMPUTED_VALUE"""),"")</f>
        <v/>
      </c>
      <c r="Q685" s="250" t="str">
        <f>IFERROR(__xludf.DUMMYFUNCTION("""COMPUTED_VALUE"""),"")</f>
        <v/>
      </c>
      <c r="R685" s="250" t="str">
        <f>IFERROR(__xludf.DUMMYFUNCTION("""COMPUTED_VALUE"""),"")</f>
        <v/>
      </c>
      <c r="U685" s="250" t="str">
        <f>IFERROR(__xludf.DUMMYFUNCTION("""COMPUTED_VALUE"""),"#N/A")</f>
        <v>#N/A</v>
      </c>
      <c r="V685" s="250" t="str">
        <f>IFERROR(__xludf.DUMMYFUNCTION("""COMPUTED_VALUE"""),"#N/A")</f>
        <v>#N/A</v>
      </c>
      <c r="W685" s="250" t="str">
        <f>IFERROR(__xludf.DUMMYFUNCTION("""COMPUTED_VALUE"""),"#N/A")</f>
        <v>#N/A</v>
      </c>
      <c r="X685" t="b">
        <f t="shared" ref="X685:Z685" si="1346">ISBLANK(K685)</f>
        <v>1</v>
      </c>
      <c r="Y685" t="b">
        <f t="shared" si="1346"/>
        <v>0</v>
      </c>
      <c r="Z685" t="b">
        <f t="shared" si="1346"/>
        <v>0</v>
      </c>
      <c r="AA685">
        <f t="shared" ref="AA685:AC685" si="1347">IF(X685=FALSE,1,0)</f>
        <v>0</v>
      </c>
      <c r="AB685">
        <f t="shared" si="1347"/>
        <v>1</v>
      </c>
      <c r="AC685">
        <f t="shared" si="1347"/>
        <v>1</v>
      </c>
      <c r="AD685">
        <f t="shared" si="6"/>
        <v>2</v>
      </c>
      <c r="AE685">
        <f t="shared" si="7"/>
        <v>1</v>
      </c>
      <c r="AF685">
        <f>if(iferror(vlookup($A685,'Description Database'!$E$2:$H$951,3,0),0)=TRUE,1,0)</f>
        <v>0</v>
      </c>
      <c r="AG685">
        <f>if(iferror(vlookup($A685,'Description Database'!$E$2:$H$951,4,0),0)=TRUE,1,0)</f>
        <v>0</v>
      </c>
    </row>
    <row r="686">
      <c r="A686" t="str">
        <f>IFERROR(__xludf.DUMMYFUNCTION("""COMPUTED_VALUE"""),"Samsung METRO 360")</f>
        <v>Samsung METRO 360</v>
      </c>
      <c r="B686" t="str">
        <f>IFERROR(__xludf.DUMMYFUNCTION("""COMPUTED_VALUE"""),"")</f>
        <v/>
      </c>
      <c r="C686" t="str">
        <f>IFERROR(__xludf.DUMMYFUNCTION("""COMPUTED_VALUE"""),"")</f>
        <v/>
      </c>
      <c r="D686" t="str">
        <f>IFERROR(__xludf.DUMMYFUNCTION("""COMPUTED_VALUE"""),"")</f>
        <v/>
      </c>
      <c r="E686" t="str">
        <f>IFERROR(__xludf.DUMMYFUNCTION("""COMPUTED_VALUE"""),"")</f>
        <v/>
      </c>
      <c r="F686" t="str">
        <f>IFERROR(__xludf.DUMMYFUNCTION("""COMPUTED_VALUE"""),"")</f>
        <v/>
      </c>
      <c r="G686" t="str">
        <f>IFERROR(__xludf.DUMMYFUNCTION("""COMPUTED_VALUE"""),"")</f>
        <v/>
      </c>
      <c r="H686" t="str">
        <f>IFERROR(__xludf.DUMMYFUNCTION("""COMPUTED_VALUE"""),"")</f>
        <v/>
      </c>
      <c r="I686" t="str">
        <f>IFERROR(__xludf.DUMMYFUNCTION("""COMPUTED_VALUE"""),"")</f>
        <v/>
      </c>
      <c r="J686">
        <f>IFERROR(__xludf.DUMMYFUNCTION("""COMPUTED_VALUE"""),0.0)</f>
        <v>0</v>
      </c>
      <c r="L686" s="250" t="str">
        <f>IFERROR(__xludf.DUMMYFUNCTION("""COMPUTED_VALUE"""),"")</f>
        <v/>
      </c>
      <c r="M686" s="250" t="str">
        <f>IFERROR(__xludf.DUMMYFUNCTION("""COMPUTED_VALUE"""),"")</f>
        <v/>
      </c>
      <c r="N686" s="250" t="str">
        <f>IFERROR(__xludf.DUMMYFUNCTION("""COMPUTED_VALUE"""),"")</f>
        <v/>
      </c>
      <c r="O686" s="250" t="str">
        <f>IFERROR(__xludf.DUMMYFUNCTION("""COMPUTED_VALUE"""),"")</f>
        <v/>
      </c>
      <c r="P686" s="250" t="str">
        <f>IFERROR(__xludf.DUMMYFUNCTION("""COMPUTED_VALUE"""),"")</f>
        <v/>
      </c>
      <c r="Q686" s="250" t="str">
        <f>IFERROR(__xludf.DUMMYFUNCTION("""COMPUTED_VALUE"""),"")</f>
        <v/>
      </c>
      <c r="R686" s="250" t="str">
        <f>IFERROR(__xludf.DUMMYFUNCTION("""COMPUTED_VALUE"""),"")</f>
        <v/>
      </c>
      <c r="U686" s="250" t="str">
        <f>IFERROR(__xludf.DUMMYFUNCTION("""COMPUTED_VALUE"""),"#N/A")</f>
        <v>#N/A</v>
      </c>
      <c r="V686" s="250" t="str">
        <f>IFERROR(__xludf.DUMMYFUNCTION("""COMPUTED_VALUE"""),"#N/A")</f>
        <v>#N/A</v>
      </c>
      <c r="W686" s="250" t="str">
        <f>IFERROR(__xludf.DUMMYFUNCTION("""COMPUTED_VALUE"""),"#N/A")</f>
        <v>#N/A</v>
      </c>
      <c r="X686" t="b">
        <f t="shared" ref="X686:Z686" si="1348">ISBLANK(K686)</f>
        <v>1</v>
      </c>
      <c r="Y686" t="b">
        <f t="shared" si="1348"/>
        <v>0</v>
      </c>
      <c r="Z686" t="b">
        <f t="shared" si="1348"/>
        <v>0</v>
      </c>
      <c r="AA686">
        <f t="shared" ref="AA686:AC686" si="1349">IF(X686=FALSE,1,0)</f>
        <v>0</v>
      </c>
      <c r="AB686">
        <f t="shared" si="1349"/>
        <v>1</v>
      </c>
      <c r="AC686">
        <f t="shared" si="1349"/>
        <v>1</v>
      </c>
      <c r="AD686">
        <f t="shared" si="6"/>
        <v>2</v>
      </c>
      <c r="AE686">
        <f t="shared" si="7"/>
        <v>1</v>
      </c>
      <c r="AF686">
        <f>if(iferror(vlookup($A686,'Description Database'!$E$2:$H$951,3,0),0)=TRUE,1,0)</f>
        <v>0</v>
      </c>
      <c r="AG686">
        <f>if(iferror(vlookup($A686,'Description Database'!$E$2:$H$951,4,0),0)=TRUE,1,0)</f>
        <v>0</v>
      </c>
    </row>
    <row r="687">
      <c r="A687" t="str">
        <f>IFERROR(__xludf.DUMMYFUNCTION("""COMPUTED_VALUE"""),"Vivo Y31(1 GB /8 GB)")</f>
        <v>Vivo Y31(1 GB /8 GB)</v>
      </c>
      <c r="B687" t="str">
        <f>IFERROR(__xludf.DUMMYFUNCTION("""COMPUTED_VALUE"""),"")</f>
        <v/>
      </c>
      <c r="C687" t="str">
        <f>IFERROR(__xludf.DUMMYFUNCTION("""COMPUTED_VALUE"""),"")</f>
        <v/>
      </c>
      <c r="D687" t="str">
        <f>IFERROR(__xludf.DUMMYFUNCTION("""COMPUTED_VALUE"""),"")</f>
        <v/>
      </c>
      <c r="E687" t="str">
        <f>IFERROR(__xludf.DUMMYFUNCTION("""COMPUTED_VALUE"""),"")</f>
        <v/>
      </c>
      <c r="F687" t="str">
        <f>IFERROR(__xludf.DUMMYFUNCTION("""COMPUTED_VALUE"""),"")</f>
        <v/>
      </c>
      <c r="G687" t="str">
        <f>IFERROR(__xludf.DUMMYFUNCTION("""COMPUTED_VALUE"""),"")</f>
        <v/>
      </c>
      <c r="H687" t="str">
        <f>IFERROR(__xludf.DUMMYFUNCTION("""COMPUTED_VALUE"""),"")</f>
        <v/>
      </c>
      <c r="I687" t="str">
        <f>IFERROR(__xludf.DUMMYFUNCTION("""COMPUTED_VALUE"""),"")</f>
        <v/>
      </c>
      <c r="J687">
        <f>IFERROR(__xludf.DUMMYFUNCTION("""COMPUTED_VALUE"""),0.0)</f>
        <v>0</v>
      </c>
      <c r="L687" s="250" t="str">
        <f>IFERROR(__xludf.DUMMYFUNCTION("""COMPUTED_VALUE"""),"")</f>
        <v/>
      </c>
      <c r="M687" s="250" t="str">
        <f>IFERROR(__xludf.DUMMYFUNCTION("""COMPUTED_VALUE"""),"")</f>
        <v/>
      </c>
      <c r="N687" s="250" t="str">
        <f>IFERROR(__xludf.DUMMYFUNCTION("""COMPUTED_VALUE"""),"")</f>
        <v/>
      </c>
      <c r="O687" s="250" t="str">
        <f>IFERROR(__xludf.DUMMYFUNCTION("""COMPUTED_VALUE"""),"")</f>
        <v/>
      </c>
      <c r="P687" s="250" t="str">
        <f>IFERROR(__xludf.DUMMYFUNCTION("""COMPUTED_VALUE"""),"")</f>
        <v/>
      </c>
      <c r="Q687" s="250" t="str">
        <f>IFERROR(__xludf.DUMMYFUNCTION("""COMPUTED_VALUE"""),"")</f>
        <v/>
      </c>
      <c r="R687" s="250" t="str">
        <f>IFERROR(__xludf.DUMMYFUNCTION("""COMPUTED_VALUE"""),"")</f>
        <v/>
      </c>
      <c r="U687" s="250" t="str">
        <f>IFERROR(__xludf.DUMMYFUNCTION("""COMPUTED_VALUE"""),"#N/A")</f>
        <v>#N/A</v>
      </c>
      <c r="V687" s="250" t="str">
        <f>IFERROR(__xludf.DUMMYFUNCTION("""COMPUTED_VALUE"""),"#N/A")</f>
        <v>#N/A</v>
      </c>
      <c r="W687" s="250" t="str">
        <f>IFERROR(__xludf.DUMMYFUNCTION("""COMPUTED_VALUE"""),"#N/A")</f>
        <v>#N/A</v>
      </c>
      <c r="X687" t="b">
        <f t="shared" ref="X687:Z687" si="1350">ISBLANK(K687)</f>
        <v>1</v>
      </c>
      <c r="Y687" t="b">
        <f t="shared" si="1350"/>
        <v>0</v>
      </c>
      <c r="Z687" t="b">
        <f t="shared" si="1350"/>
        <v>0</v>
      </c>
      <c r="AA687">
        <f t="shared" ref="AA687:AC687" si="1351">IF(X687=FALSE,1,0)</f>
        <v>0</v>
      </c>
      <c r="AB687">
        <f t="shared" si="1351"/>
        <v>1</v>
      </c>
      <c r="AC687">
        <f t="shared" si="1351"/>
        <v>1</v>
      </c>
      <c r="AD687">
        <f t="shared" si="6"/>
        <v>2</v>
      </c>
      <c r="AE687">
        <f t="shared" si="7"/>
        <v>1</v>
      </c>
      <c r="AF687">
        <f>if(iferror(vlookup($A687,'Description Database'!$E$2:$H$951,3,0),0)=TRUE,1,0)</f>
        <v>0</v>
      </c>
      <c r="AG687">
        <f>if(iferror(vlookup($A687,'Description Database'!$E$2:$H$951,4,0),0)=TRUE,1,0)</f>
        <v>0</v>
      </c>
    </row>
    <row r="688">
      <c r="A688" t="str">
        <f>IFERROR(__xludf.DUMMYFUNCTION("""COMPUTED_VALUE"""),"LETV LE2 (3 GB /32 GB)")</f>
        <v>LETV LE2 (3 GB /32 GB)</v>
      </c>
      <c r="B688" t="str">
        <f>IFERROR(__xludf.DUMMYFUNCTION("""COMPUTED_VALUE"""),"")</f>
        <v/>
      </c>
      <c r="C688" t="str">
        <f>IFERROR(__xludf.DUMMYFUNCTION("""COMPUTED_VALUE"""),"")</f>
        <v/>
      </c>
      <c r="D688" t="str">
        <f>IFERROR(__xludf.DUMMYFUNCTION("""COMPUTED_VALUE"""),"")</f>
        <v/>
      </c>
      <c r="E688" t="str">
        <f>IFERROR(__xludf.DUMMYFUNCTION("""COMPUTED_VALUE"""),"")</f>
        <v/>
      </c>
      <c r="F688" t="str">
        <f>IFERROR(__xludf.DUMMYFUNCTION("""COMPUTED_VALUE"""),"")</f>
        <v/>
      </c>
      <c r="G688" t="str">
        <f>IFERROR(__xludf.DUMMYFUNCTION("""COMPUTED_VALUE"""),"")</f>
        <v/>
      </c>
      <c r="H688" t="str">
        <f>IFERROR(__xludf.DUMMYFUNCTION("""COMPUTED_VALUE"""),"")</f>
        <v/>
      </c>
      <c r="I688">
        <f>IFERROR(__xludf.DUMMYFUNCTION("""COMPUTED_VALUE"""),1.0)</f>
        <v>1</v>
      </c>
      <c r="J688">
        <f>IFERROR(__xludf.DUMMYFUNCTION("""COMPUTED_VALUE"""),1.0)</f>
        <v>1</v>
      </c>
      <c r="L688" s="250" t="str">
        <f>IFERROR(__xludf.DUMMYFUNCTION("""COMPUTED_VALUE"""),"")</f>
        <v/>
      </c>
      <c r="M688" s="250" t="str">
        <f>IFERROR(__xludf.DUMMYFUNCTION("""COMPUTED_VALUE"""),"")</f>
        <v/>
      </c>
      <c r="N688" s="250" t="str">
        <f>IFERROR(__xludf.DUMMYFUNCTION("""COMPUTED_VALUE"""),"")</f>
        <v/>
      </c>
      <c r="O688" s="250" t="str">
        <f>IFERROR(__xludf.DUMMYFUNCTION("""COMPUTED_VALUE"""),"")</f>
        <v/>
      </c>
      <c r="P688" s="250" t="str">
        <f>IFERROR(__xludf.DUMMYFUNCTION("""COMPUTED_VALUE"""),"")</f>
        <v/>
      </c>
      <c r="Q688" s="250" t="str">
        <f>IFERROR(__xludf.DUMMYFUNCTION("""COMPUTED_VALUE"""),"")</f>
        <v/>
      </c>
      <c r="R688" s="250" t="str">
        <f>IFERROR(__xludf.DUMMYFUNCTION("""COMPUTED_VALUE"""),"")</f>
        <v/>
      </c>
      <c r="U688" s="250" t="str">
        <f>IFERROR(__xludf.DUMMYFUNCTION("""COMPUTED_VALUE"""),"#N/A")</f>
        <v>#N/A</v>
      </c>
      <c r="V688" s="250" t="str">
        <f>IFERROR(__xludf.DUMMYFUNCTION("""COMPUTED_VALUE"""),"#N/A")</f>
        <v>#N/A</v>
      </c>
      <c r="W688" s="250" t="str">
        <f>IFERROR(__xludf.DUMMYFUNCTION("""COMPUTED_VALUE"""),"#N/A")</f>
        <v>#N/A</v>
      </c>
      <c r="X688" t="b">
        <f t="shared" ref="X688:Z688" si="1352">ISBLANK(K688)</f>
        <v>1</v>
      </c>
      <c r="Y688" t="b">
        <f t="shared" si="1352"/>
        <v>0</v>
      </c>
      <c r="Z688" t="b">
        <f t="shared" si="1352"/>
        <v>0</v>
      </c>
      <c r="AA688">
        <f t="shared" ref="AA688:AC688" si="1353">IF(X688=FALSE,1,0)</f>
        <v>0</v>
      </c>
      <c r="AB688">
        <f t="shared" si="1353"/>
        <v>1</v>
      </c>
      <c r="AC688">
        <f t="shared" si="1353"/>
        <v>1</v>
      </c>
      <c r="AD688">
        <f t="shared" si="6"/>
        <v>2</v>
      </c>
      <c r="AE688">
        <f t="shared" si="7"/>
        <v>1</v>
      </c>
      <c r="AF688">
        <f>if(iferror(vlookup($A688,'Description Database'!$E$2:$H$951,3,0),0)=TRUE,1,0)</f>
        <v>0</v>
      </c>
      <c r="AG688">
        <f>if(iferror(vlookup($A688,'Description Database'!$E$2:$H$951,4,0),0)=TRUE,1,0)</f>
        <v>0</v>
      </c>
    </row>
    <row r="689">
      <c r="A689" t="str">
        <f>IFERROR(__xludf.DUMMYFUNCTION("""COMPUTED_VALUE"""),"Nokia LUMIA 1320 (1 GB/8G B)")</f>
        <v>Nokia LUMIA 1320 (1 GB/8G B)</v>
      </c>
      <c r="B689" t="str">
        <f>IFERROR(__xludf.DUMMYFUNCTION("""COMPUTED_VALUE"""),"")</f>
        <v/>
      </c>
      <c r="C689" t="str">
        <f>IFERROR(__xludf.DUMMYFUNCTION("""COMPUTED_VALUE"""),"")</f>
        <v/>
      </c>
      <c r="D689" t="str">
        <f>IFERROR(__xludf.DUMMYFUNCTION("""COMPUTED_VALUE"""),"")</f>
        <v/>
      </c>
      <c r="E689" t="str">
        <f>IFERROR(__xludf.DUMMYFUNCTION("""COMPUTED_VALUE"""),"")</f>
        <v/>
      </c>
      <c r="F689" t="str">
        <f>IFERROR(__xludf.DUMMYFUNCTION("""COMPUTED_VALUE"""),"")</f>
        <v/>
      </c>
      <c r="G689" t="str">
        <f>IFERROR(__xludf.DUMMYFUNCTION("""COMPUTED_VALUE"""),"")</f>
        <v/>
      </c>
      <c r="H689" t="str">
        <f>IFERROR(__xludf.DUMMYFUNCTION("""COMPUTED_VALUE"""),"")</f>
        <v/>
      </c>
      <c r="I689" t="str">
        <f>IFERROR(__xludf.DUMMYFUNCTION("""COMPUTED_VALUE"""),"")</f>
        <v/>
      </c>
      <c r="J689">
        <f>IFERROR(__xludf.DUMMYFUNCTION("""COMPUTED_VALUE"""),0.0)</f>
        <v>0</v>
      </c>
      <c r="L689" s="250" t="str">
        <f>IFERROR(__xludf.DUMMYFUNCTION("""COMPUTED_VALUE"""),"")</f>
        <v/>
      </c>
      <c r="M689" s="250" t="str">
        <f>IFERROR(__xludf.DUMMYFUNCTION("""COMPUTED_VALUE"""),"")</f>
        <v/>
      </c>
      <c r="N689" s="250" t="str">
        <f>IFERROR(__xludf.DUMMYFUNCTION("""COMPUTED_VALUE"""),"")</f>
        <v/>
      </c>
      <c r="O689" s="250" t="str">
        <f>IFERROR(__xludf.DUMMYFUNCTION("""COMPUTED_VALUE"""),"")</f>
        <v/>
      </c>
      <c r="P689" s="250" t="str">
        <f>IFERROR(__xludf.DUMMYFUNCTION("""COMPUTED_VALUE"""),"")</f>
        <v/>
      </c>
      <c r="Q689" s="250" t="str">
        <f>IFERROR(__xludf.DUMMYFUNCTION("""COMPUTED_VALUE"""),"")</f>
        <v/>
      </c>
      <c r="R689" s="250" t="str">
        <f>IFERROR(__xludf.DUMMYFUNCTION("""COMPUTED_VALUE"""),"")</f>
        <v/>
      </c>
      <c r="U689" s="250" t="str">
        <f>IFERROR(__xludf.DUMMYFUNCTION("""COMPUTED_VALUE"""),"#N/A")</f>
        <v>#N/A</v>
      </c>
      <c r="V689" s="250" t="str">
        <f>IFERROR(__xludf.DUMMYFUNCTION("""COMPUTED_VALUE"""),"#N/A")</f>
        <v>#N/A</v>
      </c>
      <c r="W689" s="250" t="str">
        <f>IFERROR(__xludf.DUMMYFUNCTION("""COMPUTED_VALUE"""),"#N/A")</f>
        <v>#N/A</v>
      </c>
      <c r="X689" t="b">
        <f t="shared" ref="X689:Z689" si="1354">ISBLANK(K689)</f>
        <v>1</v>
      </c>
      <c r="Y689" t="b">
        <f t="shared" si="1354"/>
        <v>0</v>
      </c>
      <c r="Z689" t="b">
        <f t="shared" si="1354"/>
        <v>0</v>
      </c>
      <c r="AA689">
        <f t="shared" ref="AA689:AC689" si="1355">IF(X689=FALSE,1,0)</f>
        <v>0</v>
      </c>
      <c r="AB689">
        <f t="shared" si="1355"/>
        <v>1</v>
      </c>
      <c r="AC689">
        <f t="shared" si="1355"/>
        <v>1</v>
      </c>
      <c r="AD689">
        <f t="shared" si="6"/>
        <v>2</v>
      </c>
      <c r="AE689">
        <f t="shared" si="7"/>
        <v>1</v>
      </c>
      <c r="AF689">
        <f>if(iferror(vlookup($A689,'Description Database'!$E$2:$H$951,3,0),0)=TRUE,1,0)</f>
        <v>0</v>
      </c>
      <c r="AG689">
        <f>if(iferror(vlookup($A689,'Description Database'!$E$2:$H$951,4,0),0)=TRUE,1,0)</f>
        <v>0</v>
      </c>
    </row>
    <row r="690">
      <c r="A690" t="str">
        <f>IFERROR(__xludf.DUMMYFUNCTION("""COMPUTED_VALUE"""),"Vivo Y55L (2 GB/16 GB)")</f>
        <v>Vivo Y55L (2 GB/16 GB)</v>
      </c>
      <c r="B690" t="str">
        <f>IFERROR(__xludf.DUMMYFUNCTION("""COMPUTED_VALUE"""),"")</f>
        <v/>
      </c>
      <c r="C690" t="str">
        <f>IFERROR(__xludf.DUMMYFUNCTION("""COMPUTED_VALUE"""),"")</f>
        <v/>
      </c>
      <c r="D690" t="str">
        <f>IFERROR(__xludf.DUMMYFUNCTION("""COMPUTED_VALUE"""),"")</f>
        <v/>
      </c>
      <c r="E690" t="str">
        <f>IFERROR(__xludf.DUMMYFUNCTION("""COMPUTED_VALUE"""),"")</f>
        <v/>
      </c>
      <c r="F690" t="str">
        <f>IFERROR(__xludf.DUMMYFUNCTION("""COMPUTED_VALUE"""),"")</f>
        <v/>
      </c>
      <c r="G690" t="str">
        <f>IFERROR(__xludf.DUMMYFUNCTION("""COMPUTED_VALUE"""),"")</f>
        <v/>
      </c>
      <c r="H690" t="str">
        <f>IFERROR(__xludf.DUMMYFUNCTION("""COMPUTED_VALUE"""),"")</f>
        <v/>
      </c>
      <c r="I690">
        <f>IFERROR(__xludf.DUMMYFUNCTION("""COMPUTED_VALUE"""),10.0)</f>
        <v>10</v>
      </c>
      <c r="J690">
        <f>IFERROR(__xludf.DUMMYFUNCTION("""COMPUTED_VALUE"""),10.0)</f>
        <v>10</v>
      </c>
      <c r="L690" s="250" t="str">
        <f>IFERROR(__xludf.DUMMYFUNCTION("""COMPUTED_VALUE"""),"")</f>
        <v/>
      </c>
      <c r="M690" s="250" t="str">
        <f>IFERROR(__xludf.DUMMYFUNCTION("""COMPUTED_VALUE"""),"")</f>
        <v/>
      </c>
      <c r="N690" s="250" t="str">
        <f>IFERROR(__xludf.DUMMYFUNCTION("""COMPUTED_VALUE"""),"")</f>
        <v/>
      </c>
      <c r="O690" s="250" t="str">
        <f>IFERROR(__xludf.DUMMYFUNCTION("""COMPUTED_VALUE"""),"")</f>
        <v/>
      </c>
      <c r="P690" s="250" t="str">
        <f>IFERROR(__xludf.DUMMYFUNCTION("""COMPUTED_VALUE"""),"")</f>
        <v/>
      </c>
      <c r="Q690" s="250" t="str">
        <f>IFERROR(__xludf.DUMMYFUNCTION("""COMPUTED_VALUE"""),"")</f>
        <v/>
      </c>
      <c r="R690" s="250" t="str">
        <f>IFERROR(__xludf.DUMMYFUNCTION("""COMPUTED_VALUE"""),"")</f>
        <v/>
      </c>
      <c r="U690" s="250">
        <f>IFERROR(__xludf.DUMMYFUNCTION("""COMPUTED_VALUE"""),4539.0)</f>
        <v>4539</v>
      </c>
      <c r="V690" s="250">
        <f>IFERROR(__xludf.DUMMYFUNCTION("""COMPUTED_VALUE"""),4319.0)</f>
        <v>4319</v>
      </c>
      <c r="W690" s="250">
        <f>IFERROR(__xludf.DUMMYFUNCTION("""COMPUTED_VALUE"""),3889.0)</f>
        <v>3889</v>
      </c>
      <c r="X690" t="b">
        <f t="shared" ref="X690:Z690" si="1356">ISBLANK(K690)</f>
        <v>1</v>
      </c>
      <c r="Y690" t="b">
        <f t="shared" si="1356"/>
        <v>0</v>
      </c>
      <c r="Z690" t="b">
        <f t="shared" si="1356"/>
        <v>0</v>
      </c>
      <c r="AA690">
        <f t="shared" ref="AA690:AC690" si="1357">IF(X690=FALSE,1,0)</f>
        <v>0</v>
      </c>
      <c r="AB690">
        <f t="shared" si="1357"/>
        <v>1</v>
      </c>
      <c r="AC690">
        <f t="shared" si="1357"/>
        <v>1</v>
      </c>
      <c r="AD690">
        <f t="shared" si="6"/>
        <v>2</v>
      </c>
      <c r="AE690">
        <f t="shared" si="7"/>
        <v>1</v>
      </c>
      <c r="AF690">
        <f>if(iferror(vlookup($A690,'Description Database'!$E$2:$H$951,3,0),0)=TRUE,1,0)</f>
        <v>0</v>
      </c>
      <c r="AG690">
        <f>if(iferror(vlookup($A690,'Description Database'!$E$2:$H$951,4,0),0)=TRUE,1,0)</f>
        <v>0</v>
      </c>
    </row>
    <row r="691">
      <c r="A691" t="str">
        <f>IFERROR(__xludf.DUMMYFUNCTION("""COMPUTED_VALUE"""),"Apple IPHONE XI PRO (4 GB/256 GB)")</f>
        <v>Apple IPHONE XI PRO (4 GB/256 GB)</v>
      </c>
      <c r="B691" t="str">
        <f>IFERROR(__xludf.DUMMYFUNCTION("""COMPUTED_VALUE"""),"")</f>
        <v/>
      </c>
      <c r="C691" t="str">
        <f>IFERROR(__xludf.DUMMYFUNCTION("""COMPUTED_VALUE"""),"")</f>
        <v/>
      </c>
      <c r="D691" t="str">
        <f>IFERROR(__xludf.DUMMYFUNCTION("""COMPUTED_VALUE"""),"")</f>
        <v/>
      </c>
      <c r="E691" t="str">
        <f>IFERROR(__xludf.DUMMYFUNCTION("""COMPUTED_VALUE"""),"")</f>
        <v/>
      </c>
      <c r="F691" t="str">
        <f>IFERROR(__xludf.DUMMYFUNCTION("""COMPUTED_VALUE"""),"")</f>
        <v/>
      </c>
      <c r="G691" t="str">
        <f>IFERROR(__xludf.DUMMYFUNCTION("""COMPUTED_VALUE"""),"")</f>
        <v/>
      </c>
      <c r="H691" t="str">
        <f>IFERROR(__xludf.DUMMYFUNCTION("""COMPUTED_VALUE"""),"")</f>
        <v/>
      </c>
      <c r="I691" t="str">
        <f>IFERROR(__xludf.DUMMYFUNCTION("""COMPUTED_VALUE"""),"")</f>
        <v/>
      </c>
      <c r="J691">
        <f>IFERROR(__xludf.DUMMYFUNCTION("""COMPUTED_VALUE"""),0.0)</f>
        <v>0</v>
      </c>
      <c r="L691" s="250" t="str">
        <f>IFERROR(__xludf.DUMMYFUNCTION("""COMPUTED_VALUE"""),"")</f>
        <v/>
      </c>
      <c r="M691" s="250" t="str">
        <f>IFERROR(__xludf.DUMMYFUNCTION("""COMPUTED_VALUE"""),"")</f>
        <v/>
      </c>
      <c r="N691" s="250" t="str">
        <f>IFERROR(__xludf.DUMMYFUNCTION("""COMPUTED_VALUE"""),"")</f>
        <v/>
      </c>
      <c r="O691" s="250" t="str">
        <f>IFERROR(__xludf.DUMMYFUNCTION("""COMPUTED_VALUE"""),"")</f>
        <v/>
      </c>
      <c r="P691" s="250" t="str">
        <f>IFERROR(__xludf.DUMMYFUNCTION("""COMPUTED_VALUE"""),"")</f>
        <v/>
      </c>
      <c r="Q691" s="250" t="str">
        <f>IFERROR(__xludf.DUMMYFUNCTION("""COMPUTED_VALUE"""),"")</f>
        <v/>
      </c>
      <c r="R691" s="250" t="str">
        <f>IFERROR(__xludf.DUMMYFUNCTION("""COMPUTED_VALUE"""),"")</f>
        <v/>
      </c>
      <c r="U691" s="250" t="str">
        <f>IFERROR(__xludf.DUMMYFUNCTION("""COMPUTED_VALUE"""),"#N/A")</f>
        <v>#N/A</v>
      </c>
      <c r="V691" s="250" t="str">
        <f>IFERROR(__xludf.DUMMYFUNCTION("""COMPUTED_VALUE"""),"#N/A")</f>
        <v>#N/A</v>
      </c>
      <c r="W691" s="250" t="str">
        <f>IFERROR(__xludf.DUMMYFUNCTION("""COMPUTED_VALUE"""),"#N/A")</f>
        <v>#N/A</v>
      </c>
      <c r="X691" t="b">
        <f t="shared" ref="X691:Z691" si="1358">ISBLANK(K691)</f>
        <v>1</v>
      </c>
      <c r="Y691" t="b">
        <f t="shared" si="1358"/>
        <v>0</v>
      </c>
      <c r="Z691" t="b">
        <f t="shared" si="1358"/>
        <v>0</v>
      </c>
      <c r="AA691">
        <f t="shared" ref="AA691:AC691" si="1359">IF(X691=FALSE,1,0)</f>
        <v>0</v>
      </c>
      <c r="AB691">
        <f t="shared" si="1359"/>
        <v>1</v>
      </c>
      <c r="AC691">
        <f t="shared" si="1359"/>
        <v>1</v>
      </c>
      <c r="AD691">
        <f t="shared" si="6"/>
        <v>2</v>
      </c>
      <c r="AE691">
        <f t="shared" si="7"/>
        <v>1</v>
      </c>
      <c r="AF691">
        <f>if(iferror(vlookup($A691,'Description Database'!$E$2:$H$951,3,0),0)=TRUE,1,0)</f>
        <v>0</v>
      </c>
      <c r="AG691">
        <f>if(iferror(vlookup($A691,'Description Database'!$E$2:$H$951,4,0),0)=TRUE,1,0)</f>
        <v>0</v>
      </c>
    </row>
    <row r="692">
      <c r="A692" t="str">
        <f>IFERROR(__xludf.DUMMYFUNCTION("""COMPUTED_VALUE"""),"Samsung Galaxy Note 9 (8 GB/512 GB)")</f>
        <v>Samsung Galaxy Note 9 (8 GB/512 GB)</v>
      </c>
      <c r="B692" t="str">
        <f>IFERROR(__xludf.DUMMYFUNCTION("""COMPUTED_VALUE"""),"")</f>
        <v/>
      </c>
      <c r="C692" t="str">
        <f>IFERROR(__xludf.DUMMYFUNCTION("""COMPUTED_VALUE"""),"")</f>
        <v/>
      </c>
      <c r="D692" t="str">
        <f>IFERROR(__xludf.DUMMYFUNCTION("""COMPUTED_VALUE"""),"")</f>
        <v/>
      </c>
      <c r="E692" t="str">
        <f>IFERROR(__xludf.DUMMYFUNCTION("""COMPUTED_VALUE"""),"")</f>
        <v/>
      </c>
      <c r="F692" t="str">
        <f>IFERROR(__xludf.DUMMYFUNCTION("""COMPUTED_VALUE"""),"")</f>
        <v/>
      </c>
      <c r="G692" t="str">
        <f>IFERROR(__xludf.DUMMYFUNCTION("""COMPUTED_VALUE"""),"")</f>
        <v/>
      </c>
      <c r="H692">
        <f>IFERROR(__xludf.DUMMYFUNCTION("""COMPUTED_VALUE"""),1.0)</f>
        <v>1</v>
      </c>
      <c r="I692" t="str">
        <f>IFERROR(__xludf.DUMMYFUNCTION("""COMPUTED_VALUE"""),"")</f>
        <v/>
      </c>
      <c r="J692">
        <f>IFERROR(__xludf.DUMMYFUNCTION("""COMPUTED_VALUE"""),1.0)</f>
        <v>1</v>
      </c>
      <c r="L692" s="250" t="str">
        <f>IFERROR(__xludf.DUMMYFUNCTION("""COMPUTED_VALUE"""),"")</f>
        <v/>
      </c>
      <c r="M692" s="250" t="str">
        <f>IFERROR(__xludf.DUMMYFUNCTION("""COMPUTED_VALUE"""),"")</f>
        <v/>
      </c>
      <c r="N692" s="250" t="str">
        <f>IFERROR(__xludf.DUMMYFUNCTION("""COMPUTED_VALUE"""),"")</f>
        <v/>
      </c>
      <c r="O692" s="250" t="str">
        <f>IFERROR(__xludf.DUMMYFUNCTION("""COMPUTED_VALUE"""),"")</f>
        <v/>
      </c>
      <c r="P692" s="250" t="str">
        <f>IFERROR(__xludf.DUMMYFUNCTION("""COMPUTED_VALUE"""),"")</f>
        <v/>
      </c>
      <c r="Q692" s="250" t="str">
        <f>IFERROR(__xludf.DUMMYFUNCTION("""COMPUTED_VALUE"""),"")</f>
        <v/>
      </c>
      <c r="R692" s="250">
        <f>IFERROR(__xludf.DUMMYFUNCTION("""COMPUTED_VALUE"""),7439.0)</f>
        <v>7439</v>
      </c>
      <c r="U692" s="250">
        <f>IFERROR(__xludf.DUMMYFUNCTION("""COMPUTED_VALUE"""),21729.0)</f>
        <v>21729</v>
      </c>
      <c r="V692" s="250">
        <f>IFERROR(__xludf.DUMMYFUNCTION("""COMPUTED_VALUE"""),20689.0)</f>
        <v>20689</v>
      </c>
      <c r="W692" s="250">
        <f>IFERROR(__xludf.DUMMYFUNCTION("""COMPUTED_VALUE"""),18629.0)</f>
        <v>18629</v>
      </c>
      <c r="X692" t="b">
        <f t="shared" ref="X692:Z692" si="1360">ISBLANK(K692)</f>
        <v>1</v>
      </c>
      <c r="Y692" t="b">
        <f t="shared" si="1360"/>
        <v>0</v>
      </c>
      <c r="Z692" t="b">
        <f t="shared" si="1360"/>
        <v>0</v>
      </c>
      <c r="AA692">
        <f t="shared" ref="AA692:AC692" si="1361">IF(X692=FALSE,1,0)</f>
        <v>0</v>
      </c>
      <c r="AB692">
        <f t="shared" si="1361"/>
        <v>1</v>
      </c>
      <c r="AC692">
        <f t="shared" si="1361"/>
        <v>1</v>
      </c>
      <c r="AD692">
        <f t="shared" si="6"/>
        <v>2</v>
      </c>
      <c r="AE692">
        <f t="shared" si="7"/>
        <v>1</v>
      </c>
      <c r="AF692">
        <f>if(iferror(vlookup($A692,'Description Database'!$E$2:$H$951,3,0),0)=TRUE,1,0)</f>
        <v>0</v>
      </c>
      <c r="AG692">
        <f>if(iferror(vlookup($A692,'Description Database'!$E$2:$H$951,4,0),0)=TRUE,1,0)</f>
        <v>0</v>
      </c>
    </row>
    <row r="693">
      <c r="A693" t="str">
        <f>IFERROR(__xludf.DUMMYFUNCTION("""COMPUTED_VALUE"""),"Oppo RENO 2F (8 GB /28 GB)")</f>
        <v>Oppo RENO 2F (8 GB /28 GB)</v>
      </c>
      <c r="B693" t="str">
        <f>IFERROR(__xludf.DUMMYFUNCTION("""COMPUTED_VALUE"""),"")</f>
        <v/>
      </c>
      <c r="C693" t="str">
        <f>IFERROR(__xludf.DUMMYFUNCTION("""COMPUTED_VALUE"""),"")</f>
        <v/>
      </c>
      <c r="D693" t="str">
        <f>IFERROR(__xludf.DUMMYFUNCTION("""COMPUTED_VALUE"""),"")</f>
        <v/>
      </c>
      <c r="E693" t="str">
        <f>IFERROR(__xludf.DUMMYFUNCTION("""COMPUTED_VALUE"""),"")</f>
        <v/>
      </c>
      <c r="F693" t="str">
        <f>IFERROR(__xludf.DUMMYFUNCTION("""COMPUTED_VALUE"""),"")</f>
        <v/>
      </c>
      <c r="G693" t="str">
        <f>IFERROR(__xludf.DUMMYFUNCTION("""COMPUTED_VALUE"""),"")</f>
        <v/>
      </c>
      <c r="H693" t="str">
        <f>IFERROR(__xludf.DUMMYFUNCTION("""COMPUTED_VALUE"""),"")</f>
        <v/>
      </c>
      <c r="I693" t="str">
        <f>IFERROR(__xludf.DUMMYFUNCTION("""COMPUTED_VALUE"""),"")</f>
        <v/>
      </c>
      <c r="J693">
        <f>IFERROR(__xludf.DUMMYFUNCTION("""COMPUTED_VALUE"""),0.0)</f>
        <v>0</v>
      </c>
      <c r="L693" s="250" t="str">
        <f>IFERROR(__xludf.DUMMYFUNCTION("""COMPUTED_VALUE"""),"")</f>
        <v/>
      </c>
      <c r="M693" s="250" t="str">
        <f>IFERROR(__xludf.DUMMYFUNCTION("""COMPUTED_VALUE"""),"")</f>
        <v/>
      </c>
      <c r="N693" s="250" t="str">
        <f>IFERROR(__xludf.DUMMYFUNCTION("""COMPUTED_VALUE"""),"")</f>
        <v/>
      </c>
      <c r="O693" s="250" t="str">
        <f>IFERROR(__xludf.DUMMYFUNCTION("""COMPUTED_VALUE"""),"")</f>
        <v/>
      </c>
      <c r="P693" s="250" t="str">
        <f>IFERROR(__xludf.DUMMYFUNCTION("""COMPUTED_VALUE"""),"")</f>
        <v/>
      </c>
      <c r="Q693" s="250" t="str">
        <f>IFERROR(__xludf.DUMMYFUNCTION("""COMPUTED_VALUE"""),"")</f>
        <v/>
      </c>
      <c r="R693" s="250" t="str">
        <f>IFERROR(__xludf.DUMMYFUNCTION("""COMPUTED_VALUE"""),"")</f>
        <v/>
      </c>
      <c r="U693" s="250" t="str">
        <f>IFERROR(__xludf.DUMMYFUNCTION("""COMPUTED_VALUE"""),"#N/A")</f>
        <v>#N/A</v>
      </c>
      <c r="V693" s="250" t="str">
        <f>IFERROR(__xludf.DUMMYFUNCTION("""COMPUTED_VALUE"""),"#N/A")</f>
        <v>#N/A</v>
      </c>
      <c r="W693" s="250" t="str">
        <f>IFERROR(__xludf.DUMMYFUNCTION("""COMPUTED_VALUE"""),"#N/A")</f>
        <v>#N/A</v>
      </c>
      <c r="X693" t="b">
        <f t="shared" ref="X693:Z693" si="1362">ISBLANK(K693)</f>
        <v>1</v>
      </c>
      <c r="Y693" t="b">
        <f t="shared" si="1362"/>
        <v>0</v>
      </c>
      <c r="Z693" t="b">
        <f t="shared" si="1362"/>
        <v>0</v>
      </c>
      <c r="AA693">
        <f t="shared" ref="AA693:AC693" si="1363">IF(X693=FALSE,1,0)</f>
        <v>0</v>
      </c>
      <c r="AB693">
        <f t="shared" si="1363"/>
        <v>1</v>
      </c>
      <c r="AC693">
        <f t="shared" si="1363"/>
        <v>1</v>
      </c>
      <c r="AD693">
        <f t="shared" si="6"/>
        <v>2</v>
      </c>
      <c r="AE693">
        <f t="shared" si="7"/>
        <v>1</v>
      </c>
      <c r="AF693">
        <f>if(iferror(vlookup($A693,'Description Database'!$E$2:$H$951,3,0),0)=TRUE,1,0)</f>
        <v>0</v>
      </c>
      <c r="AG693">
        <f>if(iferror(vlookup($A693,'Description Database'!$E$2:$H$951,4,0),0)=TRUE,1,0)</f>
        <v>0</v>
      </c>
    </row>
    <row r="694">
      <c r="A694" t="str">
        <f>IFERROR(__xludf.DUMMYFUNCTION("""COMPUTED_VALUE"""),"Samsung GALAXY M31 (6 GB/128 GB)")</f>
        <v>Samsung GALAXY M31 (6 GB/128 GB)</v>
      </c>
      <c r="B694" t="str">
        <f>IFERROR(__xludf.DUMMYFUNCTION("""COMPUTED_VALUE"""),"")</f>
        <v/>
      </c>
      <c r="C694" t="str">
        <f>IFERROR(__xludf.DUMMYFUNCTION("""COMPUTED_VALUE"""),"")</f>
        <v/>
      </c>
      <c r="D694">
        <f>IFERROR(__xludf.DUMMYFUNCTION("""COMPUTED_VALUE"""),1.0)</f>
        <v>1</v>
      </c>
      <c r="E694" t="str">
        <f>IFERROR(__xludf.DUMMYFUNCTION("""COMPUTED_VALUE"""),"")</f>
        <v/>
      </c>
      <c r="F694" t="str">
        <f>IFERROR(__xludf.DUMMYFUNCTION("""COMPUTED_VALUE"""),"")</f>
        <v/>
      </c>
      <c r="G694" t="str">
        <f>IFERROR(__xludf.DUMMYFUNCTION("""COMPUTED_VALUE"""),"")</f>
        <v/>
      </c>
      <c r="H694" t="str">
        <f>IFERROR(__xludf.DUMMYFUNCTION("""COMPUTED_VALUE"""),"")</f>
        <v/>
      </c>
      <c r="I694">
        <f>IFERROR(__xludf.DUMMYFUNCTION("""COMPUTED_VALUE"""),3.0)</f>
        <v>3</v>
      </c>
      <c r="J694">
        <f>IFERROR(__xludf.DUMMYFUNCTION("""COMPUTED_VALUE"""),4.0)</f>
        <v>4</v>
      </c>
      <c r="L694" s="250" t="str">
        <f>IFERROR(__xludf.DUMMYFUNCTION("""COMPUTED_VALUE"""),"")</f>
        <v/>
      </c>
      <c r="M694" s="250" t="str">
        <f>IFERROR(__xludf.DUMMYFUNCTION("""COMPUTED_VALUE"""),"")</f>
        <v/>
      </c>
      <c r="N694" s="250">
        <f>IFERROR(__xludf.DUMMYFUNCTION("""COMPUTED_VALUE"""),6959.0)</f>
        <v>6959</v>
      </c>
      <c r="O694" s="250" t="str">
        <f>IFERROR(__xludf.DUMMYFUNCTION("""COMPUTED_VALUE"""),"")</f>
        <v/>
      </c>
      <c r="P694" s="250" t="str">
        <f>IFERROR(__xludf.DUMMYFUNCTION("""COMPUTED_VALUE"""),"")</f>
        <v/>
      </c>
      <c r="Q694" s="250" t="str">
        <f>IFERROR(__xludf.DUMMYFUNCTION("""COMPUTED_VALUE"""),"")</f>
        <v/>
      </c>
      <c r="R694" s="250" t="str">
        <f>IFERROR(__xludf.DUMMYFUNCTION("""COMPUTED_VALUE"""),"")</f>
        <v/>
      </c>
      <c r="U694" s="250">
        <f>IFERROR(__xludf.DUMMYFUNCTION("""COMPUTED_VALUE"""),8939.0)</f>
        <v>8939</v>
      </c>
      <c r="V694" s="250">
        <f>IFERROR(__xludf.DUMMYFUNCTION("""COMPUTED_VALUE"""),8509.0)</f>
        <v>8509</v>
      </c>
      <c r="W694" s="250">
        <f>IFERROR(__xludf.DUMMYFUNCTION("""COMPUTED_VALUE"""),7659.0)</f>
        <v>7659</v>
      </c>
      <c r="X694" t="b">
        <f t="shared" ref="X694:Z694" si="1364">ISBLANK(K694)</f>
        <v>1</v>
      </c>
      <c r="Y694" t="b">
        <f t="shared" si="1364"/>
        <v>0</v>
      </c>
      <c r="Z694" t="b">
        <f t="shared" si="1364"/>
        <v>0</v>
      </c>
      <c r="AA694">
        <f t="shared" ref="AA694:AC694" si="1365">IF(X694=FALSE,1,0)</f>
        <v>0</v>
      </c>
      <c r="AB694">
        <f t="shared" si="1365"/>
        <v>1</v>
      </c>
      <c r="AC694">
        <f t="shared" si="1365"/>
        <v>1</v>
      </c>
      <c r="AD694">
        <f t="shared" si="6"/>
        <v>2</v>
      </c>
      <c r="AE694">
        <f t="shared" si="7"/>
        <v>1</v>
      </c>
      <c r="AF694">
        <f>if(iferror(vlookup($A694,'Description Database'!$E$2:$H$951,3,0),0)=TRUE,1,0)</f>
        <v>0</v>
      </c>
      <c r="AG694">
        <f>if(iferror(vlookup($A694,'Description Database'!$E$2:$H$951,4,0),0)=TRUE,1,0)</f>
        <v>0</v>
      </c>
    </row>
    <row r="695">
      <c r="A695" t="str">
        <f>IFERROR(__xludf.DUMMYFUNCTION("""COMPUTED_VALUE"""),"Samsung GALAXY M01 (3 GB/32 GB)")</f>
        <v>Samsung GALAXY M01 (3 GB/32 GB)</v>
      </c>
      <c r="B695" t="str">
        <f>IFERROR(__xludf.DUMMYFUNCTION("""COMPUTED_VALUE"""),"")</f>
        <v/>
      </c>
      <c r="C695" t="str">
        <f>IFERROR(__xludf.DUMMYFUNCTION("""COMPUTED_VALUE"""),"")</f>
        <v/>
      </c>
      <c r="D695" t="str">
        <f>IFERROR(__xludf.DUMMYFUNCTION("""COMPUTED_VALUE"""),"")</f>
        <v/>
      </c>
      <c r="E695" t="str">
        <f>IFERROR(__xludf.DUMMYFUNCTION("""COMPUTED_VALUE"""),"")</f>
        <v/>
      </c>
      <c r="F695" t="str">
        <f>IFERROR(__xludf.DUMMYFUNCTION("""COMPUTED_VALUE"""),"")</f>
        <v/>
      </c>
      <c r="G695" t="str">
        <f>IFERROR(__xludf.DUMMYFUNCTION("""COMPUTED_VALUE"""),"")</f>
        <v/>
      </c>
      <c r="H695" t="str">
        <f>IFERROR(__xludf.DUMMYFUNCTION("""COMPUTED_VALUE"""),"")</f>
        <v/>
      </c>
      <c r="I695" t="str">
        <f>IFERROR(__xludf.DUMMYFUNCTION("""COMPUTED_VALUE"""),"")</f>
        <v/>
      </c>
      <c r="J695">
        <f>IFERROR(__xludf.DUMMYFUNCTION("""COMPUTED_VALUE"""),0.0)</f>
        <v>0</v>
      </c>
      <c r="L695" s="250" t="str">
        <f>IFERROR(__xludf.DUMMYFUNCTION("""COMPUTED_VALUE"""),"")</f>
        <v/>
      </c>
      <c r="M695" s="250" t="str">
        <f>IFERROR(__xludf.DUMMYFUNCTION("""COMPUTED_VALUE"""),"")</f>
        <v/>
      </c>
      <c r="N695" s="250" t="str">
        <f>IFERROR(__xludf.DUMMYFUNCTION("""COMPUTED_VALUE"""),"")</f>
        <v/>
      </c>
      <c r="O695" s="250" t="str">
        <f>IFERROR(__xludf.DUMMYFUNCTION("""COMPUTED_VALUE"""),"")</f>
        <v/>
      </c>
      <c r="P695" s="250" t="str">
        <f>IFERROR(__xludf.DUMMYFUNCTION("""COMPUTED_VALUE"""),"")</f>
        <v/>
      </c>
      <c r="Q695" s="250" t="str">
        <f>IFERROR(__xludf.DUMMYFUNCTION("""COMPUTED_VALUE"""),"")</f>
        <v/>
      </c>
      <c r="R695" s="250" t="str">
        <f>IFERROR(__xludf.DUMMYFUNCTION("""COMPUTED_VALUE"""),"")</f>
        <v/>
      </c>
      <c r="U695" s="250">
        <f>IFERROR(__xludf.DUMMYFUNCTION("""COMPUTED_VALUE"""),5829.0)</f>
        <v>5829</v>
      </c>
      <c r="V695" s="250">
        <f>IFERROR(__xludf.DUMMYFUNCTION("""COMPUTED_VALUE"""),5549.0)</f>
        <v>5549</v>
      </c>
      <c r="W695" s="250">
        <f>IFERROR(__xludf.DUMMYFUNCTION("""COMPUTED_VALUE"""),4999.0)</f>
        <v>4999</v>
      </c>
      <c r="X695" t="b">
        <f t="shared" ref="X695:Z695" si="1366">ISBLANK(K695)</f>
        <v>1</v>
      </c>
      <c r="Y695" t="b">
        <f t="shared" si="1366"/>
        <v>0</v>
      </c>
      <c r="Z695" t="b">
        <f t="shared" si="1366"/>
        <v>0</v>
      </c>
      <c r="AA695">
        <f t="shared" ref="AA695:AC695" si="1367">IF(X695=FALSE,1,0)</f>
        <v>0</v>
      </c>
      <c r="AB695">
        <f t="shared" si="1367"/>
        <v>1</v>
      </c>
      <c r="AC695">
        <f t="shared" si="1367"/>
        <v>1</v>
      </c>
      <c r="AD695">
        <f t="shared" si="6"/>
        <v>2</v>
      </c>
      <c r="AE695">
        <f t="shared" si="7"/>
        <v>1</v>
      </c>
      <c r="AF695">
        <f>if(iferror(vlookup($A695,'Description Database'!$E$2:$H$951,3,0),0)=TRUE,1,0)</f>
        <v>0</v>
      </c>
      <c r="AG695">
        <f>if(iferror(vlookup($A695,'Description Database'!$E$2:$H$951,4,0),0)=TRUE,1,0)</f>
        <v>0</v>
      </c>
    </row>
    <row r="696">
      <c r="A696" t="str">
        <f>IFERROR(__xludf.DUMMYFUNCTION("""COMPUTED_VALUE"""),"Oppo F17 (8 GB/128 GB)")</f>
        <v>Oppo F17 (8 GB/128 GB)</v>
      </c>
      <c r="B696" t="str">
        <f>IFERROR(__xludf.DUMMYFUNCTION("""COMPUTED_VALUE"""),"")</f>
        <v/>
      </c>
      <c r="C696">
        <f>IFERROR(__xludf.DUMMYFUNCTION("""COMPUTED_VALUE"""),1.0)</f>
        <v>1</v>
      </c>
      <c r="D696" t="str">
        <f>IFERROR(__xludf.DUMMYFUNCTION("""COMPUTED_VALUE"""),"")</f>
        <v/>
      </c>
      <c r="E696" t="str">
        <f>IFERROR(__xludf.DUMMYFUNCTION("""COMPUTED_VALUE"""),"")</f>
        <v/>
      </c>
      <c r="F696" t="str">
        <f>IFERROR(__xludf.DUMMYFUNCTION("""COMPUTED_VALUE"""),"")</f>
        <v/>
      </c>
      <c r="G696" t="str">
        <f>IFERROR(__xludf.DUMMYFUNCTION("""COMPUTED_VALUE"""),"")</f>
        <v/>
      </c>
      <c r="H696" t="str">
        <f>IFERROR(__xludf.DUMMYFUNCTION("""COMPUTED_VALUE"""),"")</f>
        <v/>
      </c>
      <c r="I696" t="str">
        <f>IFERROR(__xludf.DUMMYFUNCTION("""COMPUTED_VALUE"""),"")</f>
        <v/>
      </c>
      <c r="J696">
        <f>IFERROR(__xludf.DUMMYFUNCTION("""COMPUTED_VALUE"""),1.0)</f>
        <v>1</v>
      </c>
      <c r="L696" s="250" t="str">
        <f>IFERROR(__xludf.DUMMYFUNCTION("""COMPUTED_VALUE"""),"")</f>
        <v/>
      </c>
      <c r="M696" s="250">
        <f>IFERROR(__xludf.DUMMYFUNCTION("""COMPUTED_VALUE"""),12629.0)</f>
        <v>12629</v>
      </c>
      <c r="N696" s="250" t="str">
        <f>IFERROR(__xludf.DUMMYFUNCTION("""COMPUTED_VALUE"""),"")</f>
        <v/>
      </c>
      <c r="O696" s="250" t="str">
        <f>IFERROR(__xludf.DUMMYFUNCTION("""COMPUTED_VALUE"""),"")</f>
        <v/>
      </c>
      <c r="P696" s="250" t="str">
        <f>IFERROR(__xludf.DUMMYFUNCTION("""COMPUTED_VALUE"""),"")</f>
        <v/>
      </c>
      <c r="Q696" s="250" t="str">
        <f>IFERROR(__xludf.DUMMYFUNCTION("""COMPUTED_VALUE"""),"")</f>
        <v/>
      </c>
      <c r="R696" s="250" t="str">
        <f>IFERROR(__xludf.DUMMYFUNCTION("""COMPUTED_VALUE"""),"")</f>
        <v/>
      </c>
      <c r="U696" s="250">
        <f>IFERROR(__xludf.DUMMYFUNCTION("""COMPUTED_VALUE"""),14599.0)</f>
        <v>14599</v>
      </c>
      <c r="V696" s="250">
        <f>IFERROR(__xludf.DUMMYFUNCTION("""COMPUTED_VALUE"""),13899.0)</f>
        <v>13899</v>
      </c>
      <c r="W696" s="250">
        <f>IFERROR(__xludf.DUMMYFUNCTION("""COMPUTED_VALUE"""),12499.0)</f>
        <v>12499</v>
      </c>
      <c r="X696" t="b">
        <f t="shared" ref="X696:Z696" si="1368">ISBLANK(K696)</f>
        <v>1</v>
      </c>
      <c r="Y696" t="b">
        <f t="shared" si="1368"/>
        <v>0</v>
      </c>
      <c r="Z696" t="b">
        <f t="shared" si="1368"/>
        <v>0</v>
      </c>
      <c r="AA696">
        <f t="shared" ref="AA696:AC696" si="1369">IF(X696=FALSE,1,0)</f>
        <v>0</v>
      </c>
      <c r="AB696">
        <f t="shared" si="1369"/>
        <v>1</v>
      </c>
      <c r="AC696">
        <f t="shared" si="1369"/>
        <v>1</v>
      </c>
      <c r="AD696">
        <f t="shared" si="6"/>
        <v>2</v>
      </c>
      <c r="AE696">
        <f t="shared" si="7"/>
        <v>1</v>
      </c>
      <c r="AF696">
        <f>if(iferror(vlookup($A696,'Description Database'!$E$2:$H$951,3,0),0)=TRUE,1,0)</f>
        <v>0</v>
      </c>
      <c r="AG696">
        <f>if(iferror(vlookup($A696,'Description Database'!$E$2:$H$951,4,0),0)=TRUE,1,0)</f>
        <v>0</v>
      </c>
    </row>
    <row r="697">
      <c r="A697" t="str">
        <f>IFERROR(__xludf.DUMMYFUNCTION("""COMPUTED_VALUE"""),"Honor 8X (4 GB/64 GB)")</f>
        <v>Honor 8X (4 GB/64 GB)</v>
      </c>
      <c r="B697" t="str">
        <f>IFERROR(__xludf.DUMMYFUNCTION("""COMPUTED_VALUE"""),"")</f>
        <v/>
      </c>
      <c r="C697" t="str">
        <f>IFERROR(__xludf.DUMMYFUNCTION("""COMPUTED_VALUE"""),"")</f>
        <v/>
      </c>
      <c r="D697" t="str">
        <f>IFERROR(__xludf.DUMMYFUNCTION("""COMPUTED_VALUE"""),"")</f>
        <v/>
      </c>
      <c r="E697" t="str">
        <f>IFERROR(__xludf.DUMMYFUNCTION("""COMPUTED_VALUE"""),"")</f>
        <v/>
      </c>
      <c r="F697" t="str">
        <f>IFERROR(__xludf.DUMMYFUNCTION("""COMPUTED_VALUE"""),"")</f>
        <v/>
      </c>
      <c r="G697" t="str">
        <f>IFERROR(__xludf.DUMMYFUNCTION("""COMPUTED_VALUE"""),"")</f>
        <v/>
      </c>
      <c r="H697" t="str">
        <f>IFERROR(__xludf.DUMMYFUNCTION("""COMPUTED_VALUE"""),"")</f>
        <v/>
      </c>
      <c r="I697">
        <f>IFERROR(__xludf.DUMMYFUNCTION("""COMPUTED_VALUE"""),4.0)</f>
        <v>4</v>
      </c>
      <c r="J697">
        <f>IFERROR(__xludf.DUMMYFUNCTION("""COMPUTED_VALUE"""),4.0)</f>
        <v>4</v>
      </c>
      <c r="L697" s="250" t="str">
        <f>IFERROR(__xludf.DUMMYFUNCTION("""COMPUTED_VALUE"""),"")</f>
        <v/>
      </c>
      <c r="M697" s="250" t="str">
        <f>IFERROR(__xludf.DUMMYFUNCTION("""COMPUTED_VALUE"""),"")</f>
        <v/>
      </c>
      <c r="N697" s="250" t="str">
        <f>IFERROR(__xludf.DUMMYFUNCTION("""COMPUTED_VALUE"""),"")</f>
        <v/>
      </c>
      <c r="O697" s="250" t="str">
        <f>IFERROR(__xludf.DUMMYFUNCTION("""COMPUTED_VALUE"""),"")</f>
        <v/>
      </c>
      <c r="P697" s="250" t="str">
        <f>IFERROR(__xludf.DUMMYFUNCTION("""COMPUTED_VALUE"""),"")</f>
        <v/>
      </c>
      <c r="Q697" s="250" t="str">
        <f>IFERROR(__xludf.DUMMYFUNCTION("""COMPUTED_VALUE"""),"")</f>
        <v/>
      </c>
      <c r="R697" s="250" t="str">
        <f>IFERROR(__xludf.DUMMYFUNCTION("""COMPUTED_VALUE"""),"")</f>
        <v/>
      </c>
      <c r="U697" s="250">
        <f>IFERROR(__xludf.DUMMYFUNCTION("""COMPUTED_VALUE"""),7109.0)</f>
        <v>7109</v>
      </c>
      <c r="V697" s="250">
        <f>IFERROR(__xludf.DUMMYFUNCTION("""COMPUTED_VALUE"""),6769.0)</f>
        <v>6769</v>
      </c>
      <c r="W697" s="250">
        <f>IFERROR(__xludf.DUMMYFUNCTION("""COMPUTED_VALUE"""),6089.0)</f>
        <v>6089</v>
      </c>
      <c r="X697" t="b">
        <f t="shared" ref="X697:Z697" si="1370">ISBLANK(K697)</f>
        <v>1</v>
      </c>
      <c r="Y697" t="b">
        <f t="shared" si="1370"/>
        <v>0</v>
      </c>
      <c r="Z697" t="b">
        <f t="shared" si="1370"/>
        <v>0</v>
      </c>
      <c r="AA697">
        <f t="shared" ref="AA697:AC697" si="1371">IF(X697=FALSE,1,0)</f>
        <v>0</v>
      </c>
      <c r="AB697">
        <f t="shared" si="1371"/>
        <v>1</v>
      </c>
      <c r="AC697">
        <f t="shared" si="1371"/>
        <v>1</v>
      </c>
      <c r="AD697">
        <f t="shared" si="6"/>
        <v>2</v>
      </c>
      <c r="AE697">
        <f t="shared" si="7"/>
        <v>1</v>
      </c>
      <c r="AF697">
        <f>if(iferror(vlookup($A697,'Description Database'!$E$2:$H$951,3,0),0)=TRUE,1,0)</f>
        <v>0</v>
      </c>
      <c r="AG697">
        <f>if(iferror(vlookup($A697,'Description Database'!$E$2:$H$951,4,0),0)=TRUE,1,0)</f>
        <v>0</v>
      </c>
    </row>
    <row r="698">
      <c r="A698" t="str">
        <f>IFERROR(__xludf.DUMMYFUNCTION("""COMPUTED_VALUE"""),"Samsung GALAXY J3 2017 (2 GB/32 GB)")</f>
        <v>Samsung GALAXY J3 2017 (2 GB/32 GB)</v>
      </c>
      <c r="B698" t="str">
        <f>IFERROR(__xludf.DUMMYFUNCTION("""COMPUTED_VALUE"""),"")</f>
        <v/>
      </c>
      <c r="C698" t="str">
        <f>IFERROR(__xludf.DUMMYFUNCTION("""COMPUTED_VALUE"""),"")</f>
        <v/>
      </c>
      <c r="D698" t="str">
        <f>IFERROR(__xludf.DUMMYFUNCTION("""COMPUTED_VALUE"""),"")</f>
        <v/>
      </c>
      <c r="E698" t="str">
        <f>IFERROR(__xludf.DUMMYFUNCTION("""COMPUTED_VALUE"""),"")</f>
        <v/>
      </c>
      <c r="F698" t="str">
        <f>IFERROR(__xludf.DUMMYFUNCTION("""COMPUTED_VALUE"""),"")</f>
        <v/>
      </c>
      <c r="G698" t="str">
        <f>IFERROR(__xludf.DUMMYFUNCTION("""COMPUTED_VALUE"""),"")</f>
        <v/>
      </c>
      <c r="H698" t="str">
        <f>IFERROR(__xludf.DUMMYFUNCTION("""COMPUTED_VALUE"""),"")</f>
        <v/>
      </c>
      <c r="I698" t="str">
        <f>IFERROR(__xludf.DUMMYFUNCTION("""COMPUTED_VALUE"""),"")</f>
        <v/>
      </c>
      <c r="J698">
        <f>IFERROR(__xludf.DUMMYFUNCTION("""COMPUTED_VALUE"""),0.0)</f>
        <v>0</v>
      </c>
      <c r="L698" s="250" t="str">
        <f>IFERROR(__xludf.DUMMYFUNCTION("""COMPUTED_VALUE"""),"")</f>
        <v/>
      </c>
      <c r="M698" s="250" t="str">
        <f>IFERROR(__xludf.DUMMYFUNCTION("""COMPUTED_VALUE"""),"")</f>
        <v/>
      </c>
      <c r="N698" s="250" t="str">
        <f>IFERROR(__xludf.DUMMYFUNCTION("""COMPUTED_VALUE"""),"")</f>
        <v/>
      </c>
      <c r="O698" s="250" t="str">
        <f>IFERROR(__xludf.DUMMYFUNCTION("""COMPUTED_VALUE"""),"")</f>
        <v/>
      </c>
      <c r="P698" s="250" t="str">
        <f>IFERROR(__xludf.DUMMYFUNCTION("""COMPUTED_VALUE"""),"")</f>
        <v/>
      </c>
      <c r="Q698" s="250" t="str">
        <f>IFERROR(__xludf.DUMMYFUNCTION("""COMPUTED_VALUE"""),"")</f>
        <v/>
      </c>
      <c r="R698" s="250" t="str">
        <f>IFERROR(__xludf.DUMMYFUNCTION("""COMPUTED_VALUE"""),"")</f>
        <v/>
      </c>
      <c r="U698" s="250" t="str">
        <f>IFERROR(__xludf.DUMMYFUNCTION("""COMPUTED_VALUE"""),"#N/A")</f>
        <v>#N/A</v>
      </c>
      <c r="V698" s="250" t="str">
        <f>IFERROR(__xludf.DUMMYFUNCTION("""COMPUTED_VALUE"""),"#N/A")</f>
        <v>#N/A</v>
      </c>
      <c r="W698" s="250" t="str">
        <f>IFERROR(__xludf.DUMMYFUNCTION("""COMPUTED_VALUE"""),"#N/A")</f>
        <v>#N/A</v>
      </c>
      <c r="X698" t="b">
        <f t="shared" ref="X698:Z698" si="1372">ISBLANK(K698)</f>
        <v>1</v>
      </c>
      <c r="Y698" t="b">
        <f t="shared" si="1372"/>
        <v>0</v>
      </c>
      <c r="Z698" t="b">
        <f t="shared" si="1372"/>
        <v>0</v>
      </c>
      <c r="AA698">
        <f t="shared" ref="AA698:AC698" si="1373">IF(X698=FALSE,1,0)</f>
        <v>0</v>
      </c>
      <c r="AB698">
        <f t="shared" si="1373"/>
        <v>1</v>
      </c>
      <c r="AC698">
        <f t="shared" si="1373"/>
        <v>1</v>
      </c>
      <c r="AD698">
        <f t="shared" si="6"/>
        <v>2</v>
      </c>
      <c r="AE698">
        <f t="shared" si="7"/>
        <v>1</v>
      </c>
      <c r="AF698">
        <f>if(iferror(vlookup($A698,'Description Database'!$E$2:$H$951,3,0),0)=TRUE,1,0)</f>
        <v>0</v>
      </c>
      <c r="AG698">
        <f>if(iferror(vlookup($A698,'Description Database'!$E$2:$H$951,4,0),0)=TRUE,1,0)</f>
        <v>0</v>
      </c>
    </row>
    <row r="699">
      <c r="A699" t="str">
        <f>IFERROR(__xludf.DUMMYFUNCTION("""COMPUTED_VALUE"""),"Samsung GALAXY A3 (3 GB/32 GB)")</f>
        <v>Samsung GALAXY A3 (3 GB/32 GB)</v>
      </c>
      <c r="B699" t="str">
        <f>IFERROR(__xludf.DUMMYFUNCTION("""COMPUTED_VALUE"""),"")</f>
        <v/>
      </c>
      <c r="C699" t="str">
        <f>IFERROR(__xludf.DUMMYFUNCTION("""COMPUTED_VALUE"""),"")</f>
        <v/>
      </c>
      <c r="D699" t="str">
        <f>IFERROR(__xludf.DUMMYFUNCTION("""COMPUTED_VALUE"""),"")</f>
        <v/>
      </c>
      <c r="E699" t="str">
        <f>IFERROR(__xludf.DUMMYFUNCTION("""COMPUTED_VALUE"""),"")</f>
        <v/>
      </c>
      <c r="F699" t="str">
        <f>IFERROR(__xludf.DUMMYFUNCTION("""COMPUTED_VALUE"""),"")</f>
        <v/>
      </c>
      <c r="G699" t="str">
        <f>IFERROR(__xludf.DUMMYFUNCTION("""COMPUTED_VALUE"""),"")</f>
        <v/>
      </c>
      <c r="H699" t="str">
        <f>IFERROR(__xludf.DUMMYFUNCTION("""COMPUTED_VALUE"""),"")</f>
        <v/>
      </c>
      <c r="I699">
        <f>IFERROR(__xludf.DUMMYFUNCTION("""COMPUTED_VALUE"""),1.0)</f>
        <v>1</v>
      </c>
      <c r="J699">
        <f>IFERROR(__xludf.DUMMYFUNCTION("""COMPUTED_VALUE"""),1.0)</f>
        <v>1</v>
      </c>
      <c r="L699" s="250" t="str">
        <f>IFERROR(__xludf.DUMMYFUNCTION("""COMPUTED_VALUE"""),"")</f>
        <v/>
      </c>
      <c r="M699" s="250" t="str">
        <f>IFERROR(__xludf.DUMMYFUNCTION("""COMPUTED_VALUE"""),"")</f>
        <v/>
      </c>
      <c r="N699" s="250" t="str">
        <f>IFERROR(__xludf.DUMMYFUNCTION("""COMPUTED_VALUE"""),"")</f>
        <v/>
      </c>
      <c r="O699" s="250" t="str">
        <f>IFERROR(__xludf.DUMMYFUNCTION("""COMPUTED_VALUE"""),"")</f>
        <v/>
      </c>
      <c r="P699" s="250" t="str">
        <f>IFERROR(__xludf.DUMMYFUNCTION("""COMPUTED_VALUE"""),"")</f>
        <v/>
      </c>
      <c r="Q699" s="250" t="str">
        <f>IFERROR(__xludf.DUMMYFUNCTION("""COMPUTED_VALUE"""),"")</f>
        <v/>
      </c>
      <c r="R699" s="250" t="str">
        <f>IFERROR(__xludf.DUMMYFUNCTION("""COMPUTED_VALUE"""),"")</f>
        <v/>
      </c>
      <c r="U699" s="250" t="str">
        <f>IFERROR(__xludf.DUMMYFUNCTION("""COMPUTED_VALUE"""),"#N/A")</f>
        <v>#N/A</v>
      </c>
      <c r="V699" s="250" t="str">
        <f>IFERROR(__xludf.DUMMYFUNCTION("""COMPUTED_VALUE"""),"#N/A")</f>
        <v>#N/A</v>
      </c>
      <c r="W699" s="250" t="str">
        <f>IFERROR(__xludf.DUMMYFUNCTION("""COMPUTED_VALUE"""),"#N/A")</f>
        <v>#N/A</v>
      </c>
      <c r="X699" t="b">
        <f t="shared" ref="X699:Z699" si="1374">ISBLANK(K699)</f>
        <v>1</v>
      </c>
      <c r="Y699" t="b">
        <f t="shared" si="1374"/>
        <v>0</v>
      </c>
      <c r="Z699" t="b">
        <f t="shared" si="1374"/>
        <v>0</v>
      </c>
      <c r="AA699">
        <f t="shared" ref="AA699:AC699" si="1375">IF(X699=FALSE,1,0)</f>
        <v>0</v>
      </c>
      <c r="AB699">
        <f t="shared" si="1375"/>
        <v>1</v>
      </c>
      <c r="AC699">
        <f t="shared" si="1375"/>
        <v>1</v>
      </c>
      <c r="AD699">
        <f t="shared" si="6"/>
        <v>2</v>
      </c>
      <c r="AE699">
        <f t="shared" si="7"/>
        <v>1</v>
      </c>
      <c r="AF699">
        <f>if(iferror(vlookup($A699,'Description Database'!$E$2:$H$951,3,0),0)=TRUE,1,0)</f>
        <v>0</v>
      </c>
      <c r="AG699">
        <f>if(iferror(vlookup($A699,'Description Database'!$E$2:$H$951,4,0),0)=TRUE,1,0)</f>
        <v>0</v>
      </c>
    </row>
    <row r="700">
      <c r="A700" t="str">
        <f>IFERROR(__xludf.DUMMYFUNCTION("""COMPUTED_VALUE"""),"Apple IPHONE SE (1 GB/8 GB)")</f>
        <v>Apple IPHONE SE (1 GB/8 GB)</v>
      </c>
      <c r="B700" t="str">
        <f>IFERROR(__xludf.DUMMYFUNCTION("""COMPUTED_VALUE"""),"")</f>
        <v/>
      </c>
      <c r="C700" t="str">
        <f>IFERROR(__xludf.DUMMYFUNCTION("""COMPUTED_VALUE"""),"")</f>
        <v/>
      </c>
      <c r="D700" t="str">
        <f>IFERROR(__xludf.DUMMYFUNCTION("""COMPUTED_VALUE"""),"")</f>
        <v/>
      </c>
      <c r="E700" t="str">
        <f>IFERROR(__xludf.DUMMYFUNCTION("""COMPUTED_VALUE"""),"")</f>
        <v/>
      </c>
      <c r="F700" t="str">
        <f>IFERROR(__xludf.DUMMYFUNCTION("""COMPUTED_VALUE"""),"")</f>
        <v/>
      </c>
      <c r="G700" t="str">
        <f>IFERROR(__xludf.DUMMYFUNCTION("""COMPUTED_VALUE"""),"")</f>
        <v/>
      </c>
      <c r="H700" t="str">
        <f>IFERROR(__xludf.DUMMYFUNCTION("""COMPUTED_VALUE"""),"")</f>
        <v/>
      </c>
      <c r="I700">
        <f>IFERROR(__xludf.DUMMYFUNCTION("""COMPUTED_VALUE"""),1.0)</f>
        <v>1</v>
      </c>
      <c r="J700">
        <f>IFERROR(__xludf.DUMMYFUNCTION("""COMPUTED_VALUE"""),1.0)</f>
        <v>1</v>
      </c>
      <c r="L700" s="250" t="str">
        <f>IFERROR(__xludf.DUMMYFUNCTION("""COMPUTED_VALUE"""),"")</f>
        <v/>
      </c>
      <c r="M700" s="250" t="str">
        <f>IFERROR(__xludf.DUMMYFUNCTION("""COMPUTED_VALUE"""),"")</f>
        <v/>
      </c>
      <c r="N700" s="250" t="str">
        <f>IFERROR(__xludf.DUMMYFUNCTION("""COMPUTED_VALUE"""),"")</f>
        <v/>
      </c>
      <c r="O700" s="250" t="str">
        <f>IFERROR(__xludf.DUMMYFUNCTION("""COMPUTED_VALUE"""),"")</f>
        <v/>
      </c>
      <c r="P700" s="250" t="str">
        <f>IFERROR(__xludf.DUMMYFUNCTION("""COMPUTED_VALUE"""),"")</f>
        <v/>
      </c>
      <c r="Q700" s="250" t="str">
        <f>IFERROR(__xludf.DUMMYFUNCTION("""COMPUTED_VALUE"""),"")</f>
        <v/>
      </c>
      <c r="R700" s="250" t="str">
        <f>IFERROR(__xludf.DUMMYFUNCTION("""COMPUTED_VALUE"""),"")</f>
        <v/>
      </c>
      <c r="U700" s="250" t="str">
        <f>IFERROR(__xludf.DUMMYFUNCTION("""COMPUTED_VALUE"""),"#N/A")</f>
        <v>#N/A</v>
      </c>
      <c r="V700" s="250" t="str">
        <f>IFERROR(__xludf.DUMMYFUNCTION("""COMPUTED_VALUE"""),"#N/A")</f>
        <v>#N/A</v>
      </c>
      <c r="W700" s="250" t="str">
        <f>IFERROR(__xludf.DUMMYFUNCTION("""COMPUTED_VALUE"""),"#N/A")</f>
        <v>#N/A</v>
      </c>
      <c r="X700" t="b">
        <f t="shared" ref="X700:Z700" si="1376">ISBLANK(K700)</f>
        <v>1</v>
      </c>
      <c r="Y700" t="b">
        <f t="shared" si="1376"/>
        <v>0</v>
      </c>
      <c r="Z700" t="b">
        <f t="shared" si="1376"/>
        <v>0</v>
      </c>
      <c r="AA700">
        <f t="shared" ref="AA700:AC700" si="1377">IF(X700=FALSE,1,0)</f>
        <v>0</v>
      </c>
      <c r="AB700">
        <f t="shared" si="1377"/>
        <v>1</v>
      </c>
      <c r="AC700">
        <f t="shared" si="1377"/>
        <v>1</v>
      </c>
      <c r="AD700">
        <f t="shared" si="6"/>
        <v>2</v>
      </c>
      <c r="AE700">
        <f t="shared" si="7"/>
        <v>1</v>
      </c>
      <c r="AF700">
        <f>if(iferror(vlookup($A700,'Description Database'!$E$2:$H$951,3,0),0)=TRUE,1,0)</f>
        <v>0</v>
      </c>
      <c r="AG700">
        <f>if(iferror(vlookup($A700,'Description Database'!$E$2:$H$951,4,0),0)=TRUE,1,0)</f>
        <v>0</v>
      </c>
    </row>
    <row r="701">
      <c r="A701" t="str">
        <f>IFERROR(__xludf.DUMMYFUNCTION("""COMPUTED_VALUE"""),"Samsung GALAXY A51 (8 GB/128 GB)")</f>
        <v>Samsung GALAXY A51 (8 GB/128 GB)</v>
      </c>
      <c r="B701" t="str">
        <f>IFERROR(__xludf.DUMMYFUNCTION("""COMPUTED_VALUE"""),"")</f>
        <v/>
      </c>
      <c r="C701" t="str">
        <f>IFERROR(__xludf.DUMMYFUNCTION("""COMPUTED_VALUE"""),"")</f>
        <v/>
      </c>
      <c r="D701" t="str">
        <f>IFERROR(__xludf.DUMMYFUNCTION("""COMPUTED_VALUE"""),"")</f>
        <v/>
      </c>
      <c r="E701" t="str">
        <f>IFERROR(__xludf.DUMMYFUNCTION("""COMPUTED_VALUE"""),"")</f>
        <v/>
      </c>
      <c r="F701" t="str">
        <f>IFERROR(__xludf.DUMMYFUNCTION("""COMPUTED_VALUE"""),"")</f>
        <v/>
      </c>
      <c r="G701" t="str">
        <f>IFERROR(__xludf.DUMMYFUNCTION("""COMPUTED_VALUE"""),"")</f>
        <v/>
      </c>
      <c r="H701" t="str">
        <f>IFERROR(__xludf.DUMMYFUNCTION("""COMPUTED_VALUE"""),"")</f>
        <v/>
      </c>
      <c r="I701" t="str">
        <f>IFERROR(__xludf.DUMMYFUNCTION("""COMPUTED_VALUE"""),"")</f>
        <v/>
      </c>
      <c r="J701">
        <f>IFERROR(__xludf.DUMMYFUNCTION("""COMPUTED_VALUE"""),0.0)</f>
        <v>0</v>
      </c>
      <c r="L701" s="250" t="str">
        <f>IFERROR(__xludf.DUMMYFUNCTION("""COMPUTED_VALUE"""),"")</f>
        <v/>
      </c>
      <c r="M701" s="250" t="str">
        <f>IFERROR(__xludf.DUMMYFUNCTION("""COMPUTED_VALUE"""),"")</f>
        <v/>
      </c>
      <c r="N701" s="250" t="str">
        <f>IFERROR(__xludf.DUMMYFUNCTION("""COMPUTED_VALUE"""),"")</f>
        <v/>
      </c>
      <c r="O701" s="250" t="str">
        <f>IFERROR(__xludf.DUMMYFUNCTION("""COMPUTED_VALUE"""),"")</f>
        <v/>
      </c>
      <c r="P701" s="250" t="str">
        <f>IFERROR(__xludf.DUMMYFUNCTION("""COMPUTED_VALUE"""),"")</f>
        <v/>
      </c>
      <c r="Q701" s="250" t="str">
        <f>IFERROR(__xludf.DUMMYFUNCTION("""COMPUTED_VALUE"""),"")</f>
        <v/>
      </c>
      <c r="R701" s="250" t="str">
        <f>IFERROR(__xludf.DUMMYFUNCTION("""COMPUTED_VALUE"""),"")</f>
        <v/>
      </c>
      <c r="U701" s="250">
        <f>IFERROR(__xludf.DUMMYFUNCTION("""COMPUTED_VALUE"""),14249.0)</f>
        <v>14249</v>
      </c>
      <c r="V701" s="250">
        <f>IFERROR(__xludf.DUMMYFUNCTION("""COMPUTED_VALUE"""),13569.0)</f>
        <v>13569</v>
      </c>
      <c r="W701" s="250">
        <f>IFERROR(__xludf.DUMMYFUNCTION("""COMPUTED_VALUE"""),12209.0)</f>
        <v>12209</v>
      </c>
      <c r="X701" t="b">
        <f t="shared" ref="X701:Z701" si="1378">ISBLANK(K701)</f>
        <v>1</v>
      </c>
      <c r="Y701" t="b">
        <f t="shared" si="1378"/>
        <v>0</v>
      </c>
      <c r="Z701" t="b">
        <f t="shared" si="1378"/>
        <v>0</v>
      </c>
      <c r="AA701">
        <f t="shared" ref="AA701:AC701" si="1379">IF(X701=FALSE,1,0)</f>
        <v>0</v>
      </c>
      <c r="AB701">
        <f t="shared" si="1379"/>
        <v>1</v>
      </c>
      <c r="AC701">
        <f t="shared" si="1379"/>
        <v>1</v>
      </c>
      <c r="AD701">
        <f t="shared" si="6"/>
        <v>2</v>
      </c>
      <c r="AE701">
        <f t="shared" si="7"/>
        <v>1</v>
      </c>
      <c r="AF701">
        <f>if(iferror(vlookup($A701,'Description Database'!$E$2:$H$951,3,0),0)=TRUE,1,0)</f>
        <v>0</v>
      </c>
      <c r="AG701">
        <f>if(iferror(vlookup($A701,'Description Database'!$E$2:$H$951,4,0),0)=TRUE,1,0)</f>
        <v>0</v>
      </c>
    </row>
    <row r="702">
      <c r="A702" t="str">
        <f>IFERROR(__xludf.DUMMYFUNCTION("""COMPUTED_VALUE"""),"Apple IPHONE SE (3 GB/128 GB)")</f>
        <v>Apple IPHONE SE (3 GB/128 GB)</v>
      </c>
      <c r="B702" t="str">
        <f>IFERROR(__xludf.DUMMYFUNCTION("""COMPUTED_VALUE"""),"")</f>
        <v/>
      </c>
      <c r="C702" t="str">
        <f>IFERROR(__xludf.DUMMYFUNCTION("""COMPUTED_VALUE"""),"")</f>
        <v/>
      </c>
      <c r="D702" t="str">
        <f>IFERROR(__xludf.DUMMYFUNCTION("""COMPUTED_VALUE"""),"")</f>
        <v/>
      </c>
      <c r="E702" t="str">
        <f>IFERROR(__xludf.DUMMYFUNCTION("""COMPUTED_VALUE"""),"")</f>
        <v/>
      </c>
      <c r="F702" t="str">
        <f>IFERROR(__xludf.DUMMYFUNCTION("""COMPUTED_VALUE"""),"")</f>
        <v/>
      </c>
      <c r="G702" t="str">
        <f>IFERROR(__xludf.DUMMYFUNCTION("""COMPUTED_VALUE"""),"")</f>
        <v/>
      </c>
      <c r="H702" t="str">
        <f>IFERROR(__xludf.DUMMYFUNCTION("""COMPUTED_VALUE"""),"")</f>
        <v/>
      </c>
      <c r="I702" t="str">
        <f>IFERROR(__xludf.DUMMYFUNCTION("""COMPUTED_VALUE"""),"")</f>
        <v/>
      </c>
      <c r="J702">
        <f>IFERROR(__xludf.DUMMYFUNCTION("""COMPUTED_VALUE"""),0.0)</f>
        <v>0</v>
      </c>
      <c r="L702" s="250" t="str">
        <f>IFERROR(__xludf.DUMMYFUNCTION("""COMPUTED_VALUE"""),"")</f>
        <v/>
      </c>
      <c r="M702" s="250" t="str">
        <f>IFERROR(__xludf.DUMMYFUNCTION("""COMPUTED_VALUE"""),"")</f>
        <v/>
      </c>
      <c r="N702" s="250" t="str">
        <f>IFERROR(__xludf.DUMMYFUNCTION("""COMPUTED_VALUE"""),"")</f>
        <v/>
      </c>
      <c r="O702" s="250" t="str">
        <f>IFERROR(__xludf.DUMMYFUNCTION("""COMPUTED_VALUE"""),"")</f>
        <v/>
      </c>
      <c r="P702" s="250" t="str">
        <f>IFERROR(__xludf.DUMMYFUNCTION("""COMPUTED_VALUE"""),"")</f>
        <v/>
      </c>
      <c r="Q702" s="250" t="str">
        <f>IFERROR(__xludf.DUMMYFUNCTION("""COMPUTED_VALUE"""),"")</f>
        <v/>
      </c>
      <c r="R702" s="250" t="str">
        <f>IFERROR(__xludf.DUMMYFUNCTION("""COMPUTED_VALUE"""),"")</f>
        <v/>
      </c>
      <c r="U702" s="250">
        <f>IFERROR(__xludf.DUMMYFUNCTION("""COMPUTED_VALUE"""),25089.0)</f>
        <v>25089</v>
      </c>
      <c r="V702" s="250">
        <f>IFERROR(__xludf.DUMMYFUNCTION("""COMPUTED_VALUE"""),23899.0)</f>
        <v>23899</v>
      </c>
      <c r="W702" s="250">
        <f>IFERROR(__xludf.DUMMYFUNCTION("""COMPUTED_VALUE"""),21509.0)</f>
        <v>21509</v>
      </c>
      <c r="X702" t="b">
        <f t="shared" ref="X702:Z702" si="1380">ISBLANK(K702)</f>
        <v>1</v>
      </c>
      <c r="Y702" t="b">
        <f t="shared" si="1380"/>
        <v>0</v>
      </c>
      <c r="Z702" t="b">
        <f t="shared" si="1380"/>
        <v>0</v>
      </c>
      <c r="AA702">
        <f t="shared" ref="AA702:AC702" si="1381">IF(X702=FALSE,1,0)</f>
        <v>0</v>
      </c>
      <c r="AB702">
        <f t="shared" si="1381"/>
        <v>1</v>
      </c>
      <c r="AC702">
        <f t="shared" si="1381"/>
        <v>1</v>
      </c>
      <c r="AD702">
        <f t="shared" si="6"/>
        <v>2</v>
      </c>
      <c r="AE702">
        <f t="shared" si="7"/>
        <v>1</v>
      </c>
      <c r="AF702">
        <f>if(iferror(vlookup($A702,'Description Database'!$E$2:$H$951,3,0),0)=TRUE,1,0)</f>
        <v>0</v>
      </c>
      <c r="AG702">
        <f>if(iferror(vlookup($A702,'Description Database'!$E$2:$H$951,4,0),0)=TRUE,1,0)</f>
        <v>1</v>
      </c>
    </row>
    <row r="703">
      <c r="A703" t="str">
        <f>IFERROR(__xludf.DUMMYFUNCTION("""COMPUTED_VALUE"""),"Samsung Galaxy A7 2018 (4 GB/64 GB)")</f>
        <v>Samsung Galaxy A7 2018 (4 GB/64 GB)</v>
      </c>
      <c r="B703" t="str">
        <f>IFERROR(__xludf.DUMMYFUNCTION("""COMPUTED_VALUE"""),"")</f>
        <v/>
      </c>
      <c r="C703" t="str">
        <f>IFERROR(__xludf.DUMMYFUNCTION("""COMPUTED_VALUE"""),"")</f>
        <v/>
      </c>
      <c r="D703" t="str">
        <f>IFERROR(__xludf.DUMMYFUNCTION("""COMPUTED_VALUE"""),"")</f>
        <v/>
      </c>
      <c r="E703" t="str">
        <f>IFERROR(__xludf.DUMMYFUNCTION("""COMPUTED_VALUE"""),"")</f>
        <v/>
      </c>
      <c r="F703">
        <f>IFERROR(__xludf.DUMMYFUNCTION("""COMPUTED_VALUE"""),1.0)</f>
        <v>1</v>
      </c>
      <c r="G703" t="str">
        <f>IFERROR(__xludf.DUMMYFUNCTION("""COMPUTED_VALUE"""),"")</f>
        <v/>
      </c>
      <c r="H703" t="str">
        <f>IFERROR(__xludf.DUMMYFUNCTION("""COMPUTED_VALUE"""),"")</f>
        <v/>
      </c>
      <c r="I703" t="str">
        <f>IFERROR(__xludf.DUMMYFUNCTION("""COMPUTED_VALUE"""),"")</f>
        <v/>
      </c>
      <c r="J703">
        <f>IFERROR(__xludf.DUMMYFUNCTION("""COMPUTED_VALUE"""),1.0)</f>
        <v>1</v>
      </c>
      <c r="L703" s="250" t="str">
        <f>IFERROR(__xludf.DUMMYFUNCTION("""COMPUTED_VALUE"""),"")</f>
        <v/>
      </c>
      <c r="M703" s="250" t="str">
        <f>IFERROR(__xludf.DUMMYFUNCTION("""COMPUTED_VALUE"""),"")</f>
        <v/>
      </c>
      <c r="N703" s="250" t="str">
        <f>IFERROR(__xludf.DUMMYFUNCTION("""COMPUTED_VALUE"""),"")</f>
        <v/>
      </c>
      <c r="O703" s="250" t="str">
        <f>IFERROR(__xludf.DUMMYFUNCTION("""COMPUTED_VALUE"""),"")</f>
        <v/>
      </c>
      <c r="P703" s="250">
        <f>IFERROR(__xludf.DUMMYFUNCTION("""COMPUTED_VALUE"""),4629.0)</f>
        <v>4629</v>
      </c>
      <c r="Q703" s="250" t="str">
        <f>IFERROR(__xludf.DUMMYFUNCTION("""COMPUTED_VALUE"""),"")</f>
        <v/>
      </c>
      <c r="R703" s="250" t="str">
        <f>IFERROR(__xludf.DUMMYFUNCTION("""COMPUTED_VALUE"""),"")</f>
        <v/>
      </c>
      <c r="U703" s="250">
        <f>IFERROR(__xludf.DUMMYFUNCTION("""COMPUTED_VALUE"""),7099.0)</f>
        <v>7099</v>
      </c>
      <c r="V703" s="250">
        <f>IFERROR(__xludf.DUMMYFUNCTION("""COMPUTED_VALUE"""),6759.0)</f>
        <v>6759</v>
      </c>
      <c r="W703" s="250">
        <f>IFERROR(__xludf.DUMMYFUNCTION("""COMPUTED_VALUE"""),6079.0)</f>
        <v>6079</v>
      </c>
      <c r="X703" t="b">
        <f t="shared" ref="X703:Z703" si="1382">ISBLANK(K703)</f>
        <v>1</v>
      </c>
      <c r="Y703" t="b">
        <f t="shared" si="1382"/>
        <v>0</v>
      </c>
      <c r="Z703" t="b">
        <f t="shared" si="1382"/>
        <v>0</v>
      </c>
      <c r="AA703">
        <f t="shared" ref="AA703:AC703" si="1383">IF(X703=FALSE,1,0)</f>
        <v>0</v>
      </c>
      <c r="AB703">
        <f t="shared" si="1383"/>
        <v>1</v>
      </c>
      <c r="AC703">
        <f t="shared" si="1383"/>
        <v>1</v>
      </c>
      <c r="AD703">
        <f t="shared" si="6"/>
        <v>2</v>
      </c>
      <c r="AE703">
        <f t="shared" si="7"/>
        <v>1</v>
      </c>
      <c r="AF703">
        <f>if(iferror(vlookup($A703,'Description Database'!$E$2:$H$951,3,0),0)=TRUE,1,0)</f>
        <v>0</v>
      </c>
      <c r="AG703">
        <f>if(iferror(vlookup($A703,'Description Database'!$E$2:$H$951,4,0),0)=TRUE,1,0)</f>
        <v>0</v>
      </c>
    </row>
    <row r="704">
      <c r="A704" t="str">
        <f>IFERROR(__xludf.DUMMYFUNCTION("""COMPUTED_VALUE"""),"Motorola Moto G6 (3 GB/32 GB)")</f>
        <v>Motorola Moto G6 (3 GB/32 GB)</v>
      </c>
      <c r="B704" t="str">
        <f>IFERROR(__xludf.DUMMYFUNCTION("""COMPUTED_VALUE"""),"")</f>
        <v/>
      </c>
      <c r="C704" t="str">
        <f>IFERROR(__xludf.DUMMYFUNCTION("""COMPUTED_VALUE"""),"")</f>
        <v/>
      </c>
      <c r="D704" t="str">
        <f>IFERROR(__xludf.DUMMYFUNCTION("""COMPUTED_VALUE"""),"")</f>
        <v/>
      </c>
      <c r="E704" t="str">
        <f>IFERROR(__xludf.DUMMYFUNCTION("""COMPUTED_VALUE"""),"")</f>
        <v/>
      </c>
      <c r="F704" t="str">
        <f>IFERROR(__xludf.DUMMYFUNCTION("""COMPUTED_VALUE"""),"")</f>
        <v/>
      </c>
      <c r="G704" t="str">
        <f>IFERROR(__xludf.DUMMYFUNCTION("""COMPUTED_VALUE"""),"")</f>
        <v/>
      </c>
      <c r="H704" t="str">
        <f>IFERROR(__xludf.DUMMYFUNCTION("""COMPUTED_VALUE"""),"")</f>
        <v/>
      </c>
      <c r="I704">
        <f>IFERROR(__xludf.DUMMYFUNCTION("""COMPUTED_VALUE"""),12.0)</f>
        <v>12</v>
      </c>
      <c r="J704">
        <f>IFERROR(__xludf.DUMMYFUNCTION("""COMPUTED_VALUE"""),12.0)</f>
        <v>12</v>
      </c>
      <c r="L704" s="250" t="str">
        <f>IFERROR(__xludf.DUMMYFUNCTION("""COMPUTED_VALUE"""),"")</f>
        <v/>
      </c>
      <c r="M704" s="250" t="str">
        <f>IFERROR(__xludf.DUMMYFUNCTION("""COMPUTED_VALUE"""),"")</f>
        <v/>
      </c>
      <c r="N704" s="250" t="str">
        <f>IFERROR(__xludf.DUMMYFUNCTION("""COMPUTED_VALUE"""),"")</f>
        <v/>
      </c>
      <c r="O704" s="250" t="str">
        <f>IFERROR(__xludf.DUMMYFUNCTION("""COMPUTED_VALUE"""),"")</f>
        <v/>
      </c>
      <c r="P704" s="250" t="str">
        <f>IFERROR(__xludf.DUMMYFUNCTION("""COMPUTED_VALUE"""),"")</f>
        <v/>
      </c>
      <c r="Q704" s="250" t="str">
        <f>IFERROR(__xludf.DUMMYFUNCTION("""COMPUTED_VALUE"""),"")</f>
        <v/>
      </c>
      <c r="R704" s="250" t="str">
        <f>IFERROR(__xludf.DUMMYFUNCTION("""COMPUTED_VALUE"""),"")</f>
        <v/>
      </c>
      <c r="U704" s="250">
        <f>IFERROR(__xludf.DUMMYFUNCTION("""COMPUTED_VALUE"""),5249.0)</f>
        <v>5249</v>
      </c>
      <c r="V704" s="250">
        <f>IFERROR(__xludf.DUMMYFUNCTION("""COMPUTED_VALUE"""),4999.0)</f>
        <v>4999</v>
      </c>
      <c r="W704" s="250">
        <f>IFERROR(__xludf.DUMMYFUNCTION("""COMPUTED_VALUE"""),4579.0)</f>
        <v>4579</v>
      </c>
      <c r="X704" t="b">
        <f t="shared" ref="X704:Z704" si="1384">ISBLANK(K704)</f>
        <v>1</v>
      </c>
      <c r="Y704" t="b">
        <f t="shared" si="1384"/>
        <v>0</v>
      </c>
      <c r="Z704" t="b">
        <f t="shared" si="1384"/>
        <v>0</v>
      </c>
      <c r="AA704">
        <f t="shared" ref="AA704:AC704" si="1385">IF(X704=FALSE,1,0)</f>
        <v>0</v>
      </c>
      <c r="AB704">
        <f t="shared" si="1385"/>
        <v>1</v>
      </c>
      <c r="AC704">
        <f t="shared" si="1385"/>
        <v>1</v>
      </c>
      <c r="AD704">
        <f t="shared" si="6"/>
        <v>2</v>
      </c>
      <c r="AE704">
        <f t="shared" si="7"/>
        <v>1</v>
      </c>
      <c r="AF704">
        <f>if(iferror(vlookup($A704,'Description Database'!$E$2:$H$951,3,0),0)=TRUE,1,0)</f>
        <v>0</v>
      </c>
      <c r="AG704">
        <f>if(iferror(vlookup($A704,'Description Database'!$E$2:$H$951,4,0),0)=TRUE,1,0)</f>
        <v>0</v>
      </c>
    </row>
    <row r="705">
      <c r="A705" t="str">
        <f>IFERROR(__xludf.DUMMYFUNCTION("""COMPUTED_VALUE"""),"Realme REALME 3(4 GB 64GB)")</f>
        <v>Realme REALME 3(4 GB 64GB)</v>
      </c>
      <c r="B705" t="str">
        <f>IFERROR(__xludf.DUMMYFUNCTION("""COMPUTED_VALUE"""),"")</f>
        <v/>
      </c>
      <c r="C705" t="str">
        <f>IFERROR(__xludf.DUMMYFUNCTION("""COMPUTED_VALUE"""),"")</f>
        <v/>
      </c>
      <c r="D705" t="str">
        <f>IFERROR(__xludf.DUMMYFUNCTION("""COMPUTED_VALUE"""),"")</f>
        <v/>
      </c>
      <c r="E705" t="str">
        <f>IFERROR(__xludf.DUMMYFUNCTION("""COMPUTED_VALUE"""),"")</f>
        <v/>
      </c>
      <c r="F705" t="str">
        <f>IFERROR(__xludf.DUMMYFUNCTION("""COMPUTED_VALUE"""),"")</f>
        <v/>
      </c>
      <c r="G705" t="str">
        <f>IFERROR(__xludf.DUMMYFUNCTION("""COMPUTED_VALUE"""),"")</f>
        <v/>
      </c>
      <c r="H705" t="str">
        <f>IFERROR(__xludf.DUMMYFUNCTION("""COMPUTED_VALUE"""),"")</f>
        <v/>
      </c>
      <c r="I705" t="str">
        <f>IFERROR(__xludf.DUMMYFUNCTION("""COMPUTED_VALUE"""),"")</f>
        <v/>
      </c>
      <c r="J705">
        <f>IFERROR(__xludf.DUMMYFUNCTION("""COMPUTED_VALUE"""),0.0)</f>
        <v>0</v>
      </c>
      <c r="L705" s="250" t="str">
        <f>IFERROR(__xludf.DUMMYFUNCTION("""COMPUTED_VALUE"""),"")</f>
        <v/>
      </c>
      <c r="M705" s="250" t="str">
        <f>IFERROR(__xludf.DUMMYFUNCTION("""COMPUTED_VALUE"""),"")</f>
        <v/>
      </c>
      <c r="N705" s="250" t="str">
        <f>IFERROR(__xludf.DUMMYFUNCTION("""COMPUTED_VALUE"""),"")</f>
        <v/>
      </c>
      <c r="O705" s="250" t="str">
        <f>IFERROR(__xludf.DUMMYFUNCTION("""COMPUTED_VALUE"""),"")</f>
        <v/>
      </c>
      <c r="P705" s="250" t="str">
        <f>IFERROR(__xludf.DUMMYFUNCTION("""COMPUTED_VALUE"""),"")</f>
        <v/>
      </c>
      <c r="Q705" s="250" t="str">
        <f>IFERROR(__xludf.DUMMYFUNCTION("""COMPUTED_VALUE"""),"")</f>
        <v/>
      </c>
      <c r="R705" s="250" t="str">
        <f>IFERROR(__xludf.DUMMYFUNCTION("""COMPUTED_VALUE"""),"")</f>
        <v/>
      </c>
      <c r="U705" s="250" t="str">
        <f>IFERROR(__xludf.DUMMYFUNCTION("""COMPUTED_VALUE"""),"#N/A")</f>
        <v>#N/A</v>
      </c>
      <c r="V705" s="250" t="str">
        <f>IFERROR(__xludf.DUMMYFUNCTION("""COMPUTED_VALUE"""),"#N/A")</f>
        <v>#N/A</v>
      </c>
      <c r="W705" s="250" t="str">
        <f>IFERROR(__xludf.DUMMYFUNCTION("""COMPUTED_VALUE"""),"#N/A")</f>
        <v>#N/A</v>
      </c>
      <c r="X705" t="b">
        <f t="shared" ref="X705:Z705" si="1386">ISBLANK(K705)</f>
        <v>1</v>
      </c>
      <c r="Y705" t="b">
        <f t="shared" si="1386"/>
        <v>0</v>
      </c>
      <c r="Z705" t="b">
        <f t="shared" si="1386"/>
        <v>0</v>
      </c>
      <c r="AA705">
        <f t="shared" ref="AA705:AC705" si="1387">IF(X705=FALSE,1,0)</f>
        <v>0</v>
      </c>
      <c r="AB705">
        <f t="shared" si="1387"/>
        <v>1</v>
      </c>
      <c r="AC705">
        <f t="shared" si="1387"/>
        <v>1</v>
      </c>
      <c r="AD705">
        <f t="shared" si="6"/>
        <v>2</v>
      </c>
      <c r="AE705">
        <f t="shared" si="7"/>
        <v>1</v>
      </c>
      <c r="AF705">
        <f>if(iferror(vlookup($A705,'Description Database'!$E$2:$H$951,3,0),0)=TRUE,1,0)</f>
        <v>0</v>
      </c>
      <c r="AG705">
        <f>if(iferror(vlookup($A705,'Description Database'!$E$2:$H$951,4,0),0)=TRUE,1,0)</f>
        <v>0</v>
      </c>
    </row>
    <row r="706">
      <c r="A706" t="str">
        <f>IFERROR(__xludf.DUMMYFUNCTION("""COMPUTED_VALUE"""),"Samsung J2 CORE(1 GB 8GB)")</f>
        <v>Samsung J2 CORE(1 GB 8GB)</v>
      </c>
      <c r="B706" t="str">
        <f>IFERROR(__xludf.DUMMYFUNCTION("""COMPUTED_VALUE"""),"")</f>
        <v/>
      </c>
      <c r="C706" t="str">
        <f>IFERROR(__xludf.DUMMYFUNCTION("""COMPUTED_VALUE"""),"")</f>
        <v/>
      </c>
      <c r="D706" t="str">
        <f>IFERROR(__xludf.DUMMYFUNCTION("""COMPUTED_VALUE"""),"")</f>
        <v/>
      </c>
      <c r="E706" t="str">
        <f>IFERROR(__xludf.DUMMYFUNCTION("""COMPUTED_VALUE"""),"")</f>
        <v/>
      </c>
      <c r="F706" t="str">
        <f>IFERROR(__xludf.DUMMYFUNCTION("""COMPUTED_VALUE"""),"")</f>
        <v/>
      </c>
      <c r="G706" t="str">
        <f>IFERROR(__xludf.DUMMYFUNCTION("""COMPUTED_VALUE"""),"")</f>
        <v/>
      </c>
      <c r="H706" t="str">
        <f>IFERROR(__xludf.DUMMYFUNCTION("""COMPUTED_VALUE"""),"")</f>
        <v/>
      </c>
      <c r="I706">
        <f>IFERROR(__xludf.DUMMYFUNCTION("""COMPUTED_VALUE"""),6.0)</f>
        <v>6</v>
      </c>
      <c r="J706">
        <f>IFERROR(__xludf.DUMMYFUNCTION("""COMPUTED_VALUE"""),6.0)</f>
        <v>6</v>
      </c>
      <c r="L706" s="250" t="str">
        <f>IFERROR(__xludf.DUMMYFUNCTION("""COMPUTED_VALUE"""),"")</f>
        <v/>
      </c>
      <c r="M706" s="250" t="str">
        <f>IFERROR(__xludf.DUMMYFUNCTION("""COMPUTED_VALUE"""),"")</f>
        <v/>
      </c>
      <c r="N706" s="250" t="str">
        <f>IFERROR(__xludf.DUMMYFUNCTION("""COMPUTED_VALUE"""),"")</f>
        <v/>
      </c>
      <c r="O706" s="250" t="str">
        <f>IFERROR(__xludf.DUMMYFUNCTION("""COMPUTED_VALUE"""),"")</f>
        <v/>
      </c>
      <c r="P706" s="250" t="str">
        <f>IFERROR(__xludf.DUMMYFUNCTION("""COMPUTED_VALUE"""),"")</f>
        <v/>
      </c>
      <c r="Q706" s="250" t="str">
        <f>IFERROR(__xludf.DUMMYFUNCTION("""COMPUTED_VALUE"""),"")</f>
        <v/>
      </c>
      <c r="R706" s="250" t="str">
        <f>IFERROR(__xludf.DUMMYFUNCTION("""COMPUTED_VALUE"""),"")</f>
        <v/>
      </c>
      <c r="U706" s="250" t="str">
        <f>IFERROR(__xludf.DUMMYFUNCTION("""COMPUTED_VALUE"""),"#N/A")</f>
        <v>#N/A</v>
      </c>
      <c r="V706" s="250" t="str">
        <f>IFERROR(__xludf.DUMMYFUNCTION("""COMPUTED_VALUE"""),"#N/A")</f>
        <v>#N/A</v>
      </c>
      <c r="W706" s="250" t="str">
        <f>IFERROR(__xludf.DUMMYFUNCTION("""COMPUTED_VALUE"""),"#N/A")</f>
        <v>#N/A</v>
      </c>
      <c r="X706" t="b">
        <f t="shared" ref="X706:Z706" si="1388">ISBLANK(K706)</f>
        <v>1</v>
      </c>
      <c r="Y706" t="b">
        <f t="shared" si="1388"/>
        <v>0</v>
      </c>
      <c r="Z706" t="b">
        <f t="shared" si="1388"/>
        <v>0</v>
      </c>
      <c r="AA706">
        <f t="shared" ref="AA706:AC706" si="1389">IF(X706=FALSE,1,0)</f>
        <v>0</v>
      </c>
      <c r="AB706">
        <f t="shared" si="1389"/>
        <v>1</v>
      </c>
      <c r="AC706">
        <f t="shared" si="1389"/>
        <v>1</v>
      </c>
      <c r="AD706">
        <f t="shared" si="6"/>
        <v>2</v>
      </c>
      <c r="AE706">
        <f t="shared" si="7"/>
        <v>1</v>
      </c>
      <c r="AF706">
        <f>if(iferror(vlookup($A706,'Description Database'!$E$2:$H$951,3,0),0)=TRUE,1,0)</f>
        <v>0</v>
      </c>
      <c r="AG706">
        <f>if(iferror(vlookup($A706,'Description Database'!$E$2:$H$951,4,0),0)=TRUE,1,0)</f>
        <v>0</v>
      </c>
    </row>
    <row r="707">
      <c r="A707" t="str">
        <f>IFERROR(__xludf.DUMMYFUNCTION("""COMPUTED_VALUE"""),"Vivo Y91(2 GB 32GB)")</f>
        <v>Vivo Y91(2 GB 32GB)</v>
      </c>
      <c r="B707" t="str">
        <f>IFERROR(__xludf.DUMMYFUNCTION("""COMPUTED_VALUE"""),"")</f>
        <v/>
      </c>
      <c r="C707" t="str">
        <f>IFERROR(__xludf.DUMMYFUNCTION("""COMPUTED_VALUE"""),"")</f>
        <v/>
      </c>
      <c r="D707" t="str">
        <f>IFERROR(__xludf.DUMMYFUNCTION("""COMPUTED_VALUE"""),"")</f>
        <v/>
      </c>
      <c r="E707" t="str">
        <f>IFERROR(__xludf.DUMMYFUNCTION("""COMPUTED_VALUE"""),"")</f>
        <v/>
      </c>
      <c r="F707">
        <f>IFERROR(__xludf.DUMMYFUNCTION("""COMPUTED_VALUE"""),2.0)</f>
        <v>2</v>
      </c>
      <c r="G707" t="str">
        <f>IFERROR(__xludf.DUMMYFUNCTION("""COMPUTED_VALUE"""),"")</f>
        <v/>
      </c>
      <c r="H707" t="str">
        <f>IFERROR(__xludf.DUMMYFUNCTION("""COMPUTED_VALUE"""),"")</f>
        <v/>
      </c>
      <c r="I707">
        <f>IFERROR(__xludf.DUMMYFUNCTION("""COMPUTED_VALUE"""),3.0)</f>
        <v>3</v>
      </c>
      <c r="J707">
        <f>IFERROR(__xludf.DUMMYFUNCTION("""COMPUTED_VALUE"""),5.0)</f>
        <v>5</v>
      </c>
      <c r="L707" s="250" t="str">
        <f>IFERROR(__xludf.DUMMYFUNCTION("""COMPUTED_VALUE"""),"")</f>
        <v/>
      </c>
      <c r="M707" s="250" t="str">
        <f>IFERROR(__xludf.DUMMYFUNCTION("""COMPUTED_VALUE"""),"")</f>
        <v/>
      </c>
      <c r="N707" s="250" t="str">
        <f>IFERROR(__xludf.DUMMYFUNCTION("""COMPUTED_VALUE"""),"")</f>
        <v/>
      </c>
      <c r="O707" s="250" t="str">
        <f>IFERROR(__xludf.DUMMYFUNCTION("""COMPUTED_VALUE"""),"")</f>
        <v/>
      </c>
      <c r="P707" s="250" t="str">
        <f>IFERROR(__xludf.DUMMYFUNCTION("""COMPUTED_VALUE"""),"#N/A")</f>
        <v>#N/A</v>
      </c>
      <c r="Q707" s="250" t="str">
        <f>IFERROR(__xludf.DUMMYFUNCTION("""COMPUTED_VALUE"""),"")</f>
        <v/>
      </c>
      <c r="R707" s="250" t="str">
        <f>IFERROR(__xludf.DUMMYFUNCTION("""COMPUTED_VALUE"""),"")</f>
        <v/>
      </c>
      <c r="U707" s="250" t="str">
        <f>IFERROR(__xludf.DUMMYFUNCTION("""COMPUTED_VALUE"""),"#N/A")</f>
        <v>#N/A</v>
      </c>
      <c r="V707" s="250" t="str">
        <f>IFERROR(__xludf.DUMMYFUNCTION("""COMPUTED_VALUE"""),"#N/A")</f>
        <v>#N/A</v>
      </c>
      <c r="W707" s="250" t="str">
        <f>IFERROR(__xludf.DUMMYFUNCTION("""COMPUTED_VALUE"""),"#N/A")</f>
        <v>#N/A</v>
      </c>
      <c r="X707" t="b">
        <f t="shared" ref="X707:Z707" si="1390">ISBLANK(K707)</f>
        <v>1</v>
      </c>
      <c r="Y707" t="b">
        <f t="shared" si="1390"/>
        <v>0</v>
      </c>
      <c r="Z707" t="b">
        <f t="shared" si="1390"/>
        <v>0</v>
      </c>
      <c r="AA707">
        <f t="shared" ref="AA707:AC707" si="1391">IF(X707=FALSE,1,0)</f>
        <v>0</v>
      </c>
      <c r="AB707">
        <f t="shared" si="1391"/>
        <v>1</v>
      </c>
      <c r="AC707">
        <f t="shared" si="1391"/>
        <v>1</v>
      </c>
      <c r="AD707">
        <f t="shared" si="6"/>
        <v>2</v>
      </c>
      <c r="AE707">
        <f t="shared" si="7"/>
        <v>1</v>
      </c>
      <c r="AF707">
        <f>if(iferror(vlookup($A707,'Description Database'!$E$2:$H$951,3,0),0)=TRUE,1,0)</f>
        <v>0</v>
      </c>
      <c r="AG707">
        <f>if(iferror(vlookup($A707,'Description Database'!$E$2:$H$951,4,0),0)=TRUE,1,0)</f>
        <v>0</v>
      </c>
    </row>
    <row r="708">
      <c r="A708" t="str">
        <f>IFERROR(__xludf.DUMMYFUNCTION("""COMPUTED_VALUE"""),"Lenovo VIBE K4 NOTE(3 GB 32GB)")</f>
        <v>Lenovo VIBE K4 NOTE(3 GB 32GB)</v>
      </c>
      <c r="B708" t="str">
        <f>IFERROR(__xludf.DUMMYFUNCTION("""COMPUTED_VALUE"""),"")</f>
        <v/>
      </c>
      <c r="C708" t="str">
        <f>IFERROR(__xludf.DUMMYFUNCTION("""COMPUTED_VALUE"""),"")</f>
        <v/>
      </c>
      <c r="D708" t="str">
        <f>IFERROR(__xludf.DUMMYFUNCTION("""COMPUTED_VALUE"""),"")</f>
        <v/>
      </c>
      <c r="E708" t="str">
        <f>IFERROR(__xludf.DUMMYFUNCTION("""COMPUTED_VALUE"""),"")</f>
        <v/>
      </c>
      <c r="F708" t="str">
        <f>IFERROR(__xludf.DUMMYFUNCTION("""COMPUTED_VALUE"""),"")</f>
        <v/>
      </c>
      <c r="G708" t="str">
        <f>IFERROR(__xludf.DUMMYFUNCTION("""COMPUTED_VALUE"""),"")</f>
        <v/>
      </c>
      <c r="H708" t="str">
        <f>IFERROR(__xludf.DUMMYFUNCTION("""COMPUTED_VALUE"""),"")</f>
        <v/>
      </c>
      <c r="I708">
        <f>IFERROR(__xludf.DUMMYFUNCTION("""COMPUTED_VALUE"""),3.0)</f>
        <v>3</v>
      </c>
      <c r="J708">
        <f>IFERROR(__xludf.DUMMYFUNCTION("""COMPUTED_VALUE"""),3.0)</f>
        <v>3</v>
      </c>
      <c r="L708" s="250" t="str">
        <f>IFERROR(__xludf.DUMMYFUNCTION("""COMPUTED_VALUE"""),"")</f>
        <v/>
      </c>
      <c r="M708" s="250" t="str">
        <f>IFERROR(__xludf.DUMMYFUNCTION("""COMPUTED_VALUE"""),"")</f>
        <v/>
      </c>
      <c r="N708" s="250" t="str">
        <f>IFERROR(__xludf.DUMMYFUNCTION("""COMPUTED_VALUE"""),"")</f>
        <v/>
      </c>
      <c r="O708" s="250" t="str">
        <f>IFERROR(__xludf.DUMMYFUNCTION("""COMPUTED_VALUE"""),"")</f>
        <v/>
      </c>
      <c r="P708" s="250" t="str">
        <f>IFERROR(__xludf.DUMMYFUNCTION("""COMPUTED_VALUE"""),"")</f>
        <v/>
      </c>
      <c r="Q708" s="250" t="str">
        <f>IFERROR(__xludf.DUMMYFUNCTION("""COMPUTED_VALUE"""),"")</f>
        <v/>
      </c>
      <c r="R708" s="250" t="str">
        <f>IFERROR(__xludf.DUMMYFUNCTION("""COMPUTED_VALUE"""),"")</f>
        <v/>
      </c>
      <c r="U708" s="250" t="str">
        <f>IFERROR(__xludf.DUMMYFUNCTION("""COMPUTED_VALUE"""),"#N/A")</f>
        <v>#N/A</v>
      </c>
      <c r="V708" s="250" t="str">
        <f>IFERROR(__xludf.DUMMYFUNCTION("""COMPUTED_VALUE"""),"#N/A")</f>
        <v>#N/A</v>
      </c>
      <c r="W708" s="250" t="str">
        <f>IFERROR(__xludf.DUMMYFUNCTION("""COMPUTED_VALUE"""),"#N/A")</f>
        <v>#N/A</v>
      </c>
      <c r="X708" t="b">
        <f t="shared" ref="X708:Z708" si="1392">ISBLANK(K708)</f>
        <v>1</v>
      </c>
      <c r="Y708" t="b">
        <f t="shared" si="1392"/>
        <v>0</v>
      </c>
      <c r="Z708" t="b">
        <f t="shared" si="1392"/>
        <v>0</v>
      </c>
      <c r="AA708">
        <f t="shared" ref="AA708:AC708" si="1393">IF(X708=FALSE,1,0)</f>
        <v>0</v>
      </c>
      <c r="AB708">
        <f t="shared" si="1393"/>
        <v>1</v>
      </c>
      <c r="AC708">
        <f t="shared" si="1393"/>
        <v>1</v>
      </c>
      <c r="AD708">
        <f t="shared" si="6"/>
        <v>2</v>
      </c>
      <c r="AE708">
        <f t="shared" si="7"/>
        <v>1</v>
      </c>
      <c r="AF708">
        <f>if(iferror(vlookup($A708,'Description Database'!$E$2:$H$951,3,0),0)=TRUE,1,0)</f>
        <v>0</v>
      </c>
      <c r="AG708">
        <f>if(iferror(vlookup($A708,'Description Database'!$E$2:$H$951,4,0),0)=TRUE,1,0)</f>
        <v>0</v>
      </c>
    </row>
    <row r="709">
      <c r="A709" t="str">
        <f>IFERROR(__xludf.DUMMYFUNCTION("""COMPUTED_VALUE"""),"Vivo Y12 (4 GB/32 GB)")</f>
        <v>Vivo Y12 (4 GB/32 GB)</v>
      </c>
      <c r="B709" t="str">
        <f>IFERROR(__xludf.DUMMYFUNCTION("""COMPUTED_VALUE"""),"")</f>
        <v/>
      </c>
      <c r="C709" t="str">
        <f>IFERROR(__xludf.DUMMYFUNCTION("""COMPUTED_VALUE"""),"")</f>
        <v/>
      </c>
      <c r="D709" t="str">
        <f>IFERROR(__xludf.DUMMYFUNCTION("""COMPUTED_VALUE"""),"")</f>
        <v/>
      </c>
      <c r="E709" t="str">
        <f>IFERROR(__xludf.DUMMYFUNCTION("""COMPUTED_VALUE"""),"")</f>
        <v/>
      </c>
      <c r="F709" t="str">
        <f>IFERROR(__xludf.DUMMYFUNCTION("""COMPUTED_VALUE"""),"")</f>
        <v/>
      </c>
      <c r="G709" t="str">
        <f>IFERROR(__xludf.DUMMYFUNCTION("""COMPUTED_VALUE"""),"")</f>
        <v/>
      </c>
      <c r="H709" t="str">
        <f>IFERROR(__xludf.DUMMYFUNCTION("""COMPUTED_VALUE"""),"")</f>
        <v/>
      </c>
      <c r="I709" t="str">
        <f>IFERROR(__xludf.DUMMYFUNCTION("""COMPUTED_VALUE"""),"")</f>
        <v/>
      </c>
      <c r="J709">
        <f>IFERROR(__xludf.DUMMYFUNCTION("""COMPUTED_VALUE"""),0.0)</f>
        <v>0</v>
      </c>
      <c r="L709" s="250" t="str">
        <f>IFERROR(__xludf.DUMMYFUNCTION("""COMPUTED_VALUE"""),"")</f>
        <v/>
      </c>
      <c r="M709" s="250" t="str">
        <f>IFERROR(__xludf.DUMMYFUNCTION("""COMPUTED_VALUE"""),"")</f>
        <v/>
      </c>
      <c r="N709" s="250" t="str">
        <f>IFERROR(__xludf.DUMMYFUNCTION("""COMPUTED_VALUE"""),"")</f>
        <v/>
      </c>
      <c r="O709" s="250" t="str">
        <f>IFERROR(__xludf.DUMMYFUNCTION("""COMPUTED_VALUE"""),"")</f>
        <v/>
      </c>
      <c r="P709" s="250" t="str">
        <f>IFERROR(__xludf.DUMMYFUNCTION("""COMPUTED_VALUE"""),"")</f>
        <v/>
      </c>
      <c r="Q709" s="250" t="str">
        <f>IFERROR(__xludf.DUMMYFUNCTION("""COMPUTED_VALUE"""),"")</f>
        <v/>
      </c>
      <c r="R709" s="250" t="str">
        <f>IFERROR(__xludf.DUMMYFUNCTION("""COMPUTED_VALUE"""),"")</f>
        <v/>
      </c>
      <c r="U709" s="250">
        <f>IFERROR(__xludf.DUMMYFUNCTION("""COMPUTED_VALUE"""),8989.0)</f>
        <v>8989</v>
      </c>
      <c r="V709" s="250">
        <f>IFERROR(__xludf.DUMMYFUNCTION("""COMPUTED_VALUE"""),8559.0)</f>
        <v>8559</v>
      </c>
      <c r="W709" s="250">
        <f>IFERROR(__xludf.DUMMYFUNCTION("""COMPUTED_VALUE"""),7699.0)</f>
        <v>7699</v>
      </c>
      <c r="X709" t="b">
        <f t="shared" ref="X709:Z709" si="1394">ISBLANK(K709)</f>
        <v>1</v>
      </c>
      <c r="Y709" t="b">
        <f t="shared" si="1394"/>
        <v>0</v>
      </c>
      <c r="Z709" t="b">
        <f t="shared" si="1394"/>
        <v>0</v>
      </c>
      <c r="AA709">
        <f t="shared" ref="AA709:AC709" si="1395">IF(X709=FALSE,1,0)</f>
        <v>0</v>
      </c>
      <c r="AB709">
        <f t="shared" si="1395"/>
        <v>1</v>
      </c>
      <c r="AC709">
        <f t="shared" si="1395"/>
        <v>1</v>
      </c>
      <c r="AD709">
        <f t="shared" si="6"/>
        <v>2</v>
      </c>
      <c r="AE709">
        <f t="shared" si="7"/>
        <v>1</v>
      </c>
      <c r="AF709">
        <f>if(iferror(vlookup($A709,'Description Database'!$E$2:$H$951,3,0),0)=TRUE,1,0)</f>
        <v>0</v>
      </c>
      <c r="AG709">
        <f>if(iferror(vlookup($A709,'Description Database'!$E$2:$H$951,4,0),0)=TRUE,1,0)</f>
        <v>0</v>
      </c>
    </row>
    <row r="710">
      <c r="A710" t="str">
        <f>IFERROR(__xludf.DUMMYFUNCTION("""COMPUTED_VALUE"""),"Vivo S1 (6 GB/128 GB)")</f>
        <v>Vivo S1 (6 GB/128 GB)</v>
      </c>
      <c r="B710" t="str">
        <f>IFERROR(__xludf.DUMMYFUNCTION("""COMPUTED_VALUE"""),"")</f>
        <v/>
      </c>
      <c r="C710" t="str">
        <f>IFERROR(__xludf.DUMMYFUNCTION("""COMPUTED_VALUE"""),"")</f>
        <v/>
      </c>
      <c r="D710" t="str">
        <f>IFERROR(__xludf.DUMMYFUNCTION("""COMPUTED_VALUE"""),"")</f>
        <v/>
      </c>
      <c r="E710" t="str">
        <f>IFERROR(__xludf.DUMMYFUNCTION("""COMPUTED_VALUE"""),"")</f>
        <v/>
      </c>
      <c r="F710" t="str">
        <f>IFERROR(__xludf.DUMMYFUNCTION("""COMPUTED_VALUE"""),"")</f>
        <v/>
      </c>
      <c r="G710" t="str">
        <f>IFERROR(__xludf.DUMMYFUNCTION("""COMPUTED_VALUE"""),"")</f>
        <v/>
      </c>
      <c r="H710" t="str">
        <f>IFERROR(__xludf.DUMMYFUNCTION("""COMPUTED_VALUE"""),"")</f>
        <v/>
      </c>
      <c r="I710" t="str">
        <f>IFERROR(__xludf.DUMMYFUNCTION("""COMPUTED_VALUE"""),"")</f>
        <v/>
      </c>
      <c r="J710">
        <f>IFERROR(__xludf.DUMMYFUNCTION("""COMPUTED_VALUE"""),0.0)</f>
        <v>0</v>
      </c>
      <c r="L710" s="250" t="str">
        <f>IFERROR(__xludf.DUMMYFUNCTION("""COMPUTED_VALUE"""),"")</f>
        <v/>
      </c>
      <c r="M710" s="250" t="str">
        <f>IFERROR(__xludf.DUMMYFUNCTION("""COMPUTED_VALUE"""),"")</f>
        <v/>
      </c>
      <c r="N710" s="250" t="str">
        <f>IFERROR(__xludf.DUMMYFUNCTION("""COMPUTED_VALUE"""),"")</f>
        <v/>
      </c>
      <c r="O710" s="250" t="str">
        <f>IFERROR(__xludf.DUMMYFUNCTION("""COMPUTED_VALUE"""),"")</f>
        <v/>
      </c>
      <c r="P710" s="250" t="str">
        <f>IFERROR(__xludf.DUMMYFUNCTION("""COMPUTED_VALUE"""),"")</f>
        <v/>
      </c>
      <c r="Q710" s="250" t="str">
        <f>IFERROR(__xludf.DUMMYFUNCTION("""COMPUTED_VALUE"""),"")</f>
        <v/>
      </c>
      <c r="R710" s="250" t="str">
        <f>IFERROR(__xludf.DUMMYFUNCTION("""COMPUTED_VALUE"""),"")</f>
        <v/>
      </c>
      <c r="U710" s="250">
        <f>IFERROR(__xludf.DUMMYFUNCTION("""COMPUTED_VALUE"""),11949.0)</f>
        <v>11949</v>
      </c>
      <c r="V710" s="250">
        <f>IFERROR(__xludf.DUMMYFUNCTION("""COMPUTED_VALUE"""),11379.0)</f>
        <v>11379</v>
      </c>
      <c r="W710" s="250">
        <f>IFERROR(__xludf.DUMMYFUNCTION("""COMPUTED_VALUE"""),10239.0)</f>
        <v>10239</v>
      </c>
      <c r="X710" t="b">
        <f t="shared" ref="X710:Z710" si="1396">ISBLANK(K710)</f>
        <v>1</v>
      </c>
      <c r="Y710" t="b">
        <f t="shared" si="1396"/>
        <v>0</v>
      </c>
      <c r="Z710" t="b">
        <f t="shared" si="1396"/>
        <v>0</v>
      </c>
      <c r="AA710">
        <f t="shared" ref="AA710:AC710" si="1397">IF(X710=FALSE,1,0)</f>
        <v>0</v>
      </c>
      <c r="AB710">
        <f t="shared" si="1397"/>
        <v>1</v>
      </c>
      <c r="AC710">
        <f t="shared" si="1397"/>
        <v>1</v>
      </c>
      <c r="AD710">
        <f t="shared" si="6"/>
        <v>2</v>
      </c>
      <c r="AE710">
        <f t="shared" si="7"/>
        <v>1</v>
      </c>
      <c r="AF710">
        <f>if(iferror(vlookup($A710,'Description Database'!$E$2:$H$951,3,0),0)=TRUE,1,0)</f>
        <v>0</v>
      </c>
      <c r="AG710">
        <f>if(iferror(vlookup($A710,'Description Database'!$E$2:$H$951,4,0),0)=TRUE,1,0)</f>
        <v>0</v>
      </c>
    </row>
    <row r="711">
      <c r="A711" t="str">
        <f>IFERROR(__xludf.DUMMYFUNCTION("""COMPUTED_VALUE"""),"Samsung Galaxy A70s (6 GB/128 GB)")</f>
        <v>Samsung Galaxy A70s (6 GB/128 GB)</v>
      </c>
      <c r="B711" t="str">
        <f>IFERROR(__xludf.DUMMYFUNCTION("""COMPUTED_VALUE"""),"")</f>
        <v/>
      </c>
      <c r="C711" t="str">
        <f>IFERROR(__xludf.DUMMYFUNCTION("""COMPUTED_VALUE"""),"")</f>
        <v/>
      </c>
      <c r="D711" t="str">
        <f>IFERROR(__xludf.DUMMYFUNCTION("""COMPUTED_VALUE"""),"")</f>
        <v/>
      </c>
      <c r="E711" t="str">
        <f>IFERROR(__xludf.DUMMYFUNCTION("""COMPUTED_VALUE"""),"")</f>
        <v/>
      </c>
      <c r="F711" t="str">
        <f>IFERROR(__xludf.DUMMYFUNCTION("""COMPUTED_VALUE"""),"")</f>
        <v/>
      </c>
      <c r="G711" t="str">
        <f>IFERROR(__xludf.DUMMYFUNCTION("""COMPUTED_VALUE"""),"")</f>
        <v/>
      </c>
      <c r="H711" t="str">
        <f>IFERROR(__xludf.DUMMYFUNCTION("""COMPUTED_VALUE"""),"")</f>
        <v/>
      </c>
      <c r="I711" t="str">
        <f>IFERROR(__xludf.DUMMYFUNCTION("""COMPUTED_VALUE"""),"")</f>
        <v/>
      </c>
      <c r="J711">
        <f>IFERROR(__xludf.DUMMYFUNCTION("""COMPUTED_VALUE"""),0.0)</f>
        <v>0</v>
      </c>
      <c r="L711" s="250" t="str">
        <f>IFERROR(__xludf.DUMMYFUNCTION("""COMPUTED_VALUE"""),"")</f>
        <v/>
      </c>
      <c r="M711" s="250" t="str">
        <f>IFERROR(__xludf.DUMMYFUNCTION("""COMPUTED_VALUE"""),"")</f>
        <v/>
      </c>
      <c r="N711" s="250" t="str">
        <f>IFERROR(__xludf.DUMMYFUNCTION("""COMPUTED_VALUE"""),"")</f>
        <v/>
      </c>
      <c r="O711" s="250" t="str">
        <f>IFERROR(__xludf.DUMMYFUNCTION("""COMPUTED_VALUE"""),"")</f>
        <v/>
      </c>
      <c r="P711" s="250" t="str">
        <f>IFERROR(__xludf.DUMMYFUNCTION("""COMPUTED_VALUE"""),"")</f>
        <v/>
      </c>
      <c r="Q711" s="250" t="str">
        <f>IFERROR(__xludf.DUMMYFUNCTION("""COMPUTED_VALUE"""),"")</f>
        <v/>
      </c>
      <c r="R711" s="250" t="str">
        <f>IFERROR(__xludf.DUMMYFUNCTION("""COMPUTED_VALUE"""),"")</f>
        <v/>
      </c>
      <c r="U711" s="250">
        <f>IFERROR(__xludf.DUMMYFUNCTION("""COMPUTED_VALUE"""),11429.0)</f>
        <v>11429</v>
      </c>
      <c r="V711" s="250">
        <f>IFERROR(__xludf.DUMMYFUNCTION("""COMPUTED_VALUE"""),10879.0)</f>
        <v>10879</v>
      </c>
      <c r="W711" s="250">
        <f>IFERROR(__xludf.DUMMYFUNCTION("""COMPUTED_VALUE"""),9789.0)</f>
        <v>9789</v>
      </c>
      <c r="X711" t="b">
        <f t="shared" ref="X711:Z711" si="1398">ISBLANK(K711)</f>
        <v>1</v>
      </c>
      <c r="Y711" t="b">
        <f t="shared" si="1398"/>
        <v>0</v>
      </c>
      <c r="Z711" t="b">
        <f t="shared" si="1398"/>
        <v>0</v>
      </c>
      <c r="AA711">
        <f t="shared" ref="AA711:AC711" si="1399">IF(X711=FALSE,1,0)</f>
        <v>0</v>
      </c>
      <c r="AB711">
        <f t="shared" si="1399"/>
        <v>1</v>
      </c>
      <c r="AC711">
        <f t="shared" si="1399"/>
        <v>1</v>
      </c>
      <c r="AD711">
        <f t="shared" si="6"/>
        <v>2</v>
      </c>
      <c r="AE711">
        <f t="shared" si="7"/>
        <v>1</v>
      </c>
      <c r="AF711">
        <f>if(iferror(vlookup($A711,'Description Database'!$E$2:$H$951,3,0),0)=TRUE,1,0)</f>
        <v>0</v>
      </c>
      <c r="AG711">
        <f>if(iferror(vlookup($A711,'Description Database'!$E$2:$H$951,4,0),0)=TRUE,1,0)</f>
        <v>0</v>
      </c>
    </row>
    <row r="712">
      <c r="A712" t="str">
        <f>IFERROR(__xludf.DUMMYFUNCTION("""COMPUTED_VALUE"""),"Samsung GALAXY A7 2018(6 GB /128 GB)")</f>
        <v>Samsung GALAXY A7 2018(6 GB /128 GB)</v>
      </c>
      <c r="B712" t="str">
        <f>IFERROR(__xludf.DUMMYFUNCTION("""COMPUTED_VALUE"""),"")</f>
        <v/>
      </c>
      <c r="C712" t="str">
        <f>IFERROR(__xludf.DUMMYFUNCTION("""COMPUTED_VALUE"""),"")</f>
        <v/>
      </c>
      <c r="D712" t="str">
        <f>IFERROR(__xludf.DUMMYFUNCTION("""COMPUTED_VALUE"""),"")</f>
        <v/>
      </c>
      <c r="E712" t="str">
        <f>IFERROR(__xludf.DUMMYFUNCTION("""COMPUTED_VALUE"""),"")</f>
        <v/>
      </c>
      <c r="F712" t="str">
        <f>IFERROR(__xludf.DUMMYFUNCTION("""COMPUTED_VALUE"""),"")</f>
        <v/>
      </c>
      <c r="G712" t="str">
        <f>IFERROR(__xludf.DUMMYFUNCTION("""COMPUTED_VALUE"""),"")</f>
        <v/>
      </c>
      <c r="H712" t="str">
        <f>IFERROR(__xludf.DUMMYFUNCTION("""COMPUTED_VALUE"""),"")</f>
        <v/>
      </c>
      <c r="I712" t="str">
        <f>IFERROR(__xludf.DUMMYFUNCTION("""COMPUTED_VALUE"""),"")</f>
        <v/>
      </c>
      <c r="J712">
        <f>IFERROR(__xludf.DUMMYFUNCTION("""COMPUTED_VALUE"""),0.0)</f>
        <v>0</v>
      </c>
      <c r="L712" s="250" t="str">
        <f>IFERROR(__xludf.DUMMYFUNCTION("""COMPUTED_VALUE"""),"")</f>
        <v/>
      </c>
      <c r="M712" s="250" t="str">
        <f>IFERROR(__xludf.DUMMYFUNCTION("""COMPUTED_VALUE"""),"")</f>
        <v/>
      </c>
      <c r="N712" s="250" t="str">
        <f>IFERROR(__xludf.DUMMYFUNCTION("""COMPUTED_VALUE"""),"")</f>
        <v/>
      </c>
      <c r="O712" s="250" t="str">
        <f>IFERROR(__xludf.DUMMYFUNCTION("""COMPUTED_VALUE"""),"")</f>
        <v/>
      </c>
      <c r="P712" s="250" t="str">
        <f>IFERROR(__xludf.DUMMYFUNCTION("""COMPUTED_VALUE"""),"")</f>
        <v/>
      </c>
      <c r="Q712" s="250" t="str">
        <f>IFERROR(__xludf.DUMMYFUNCTION("""COMPUTED_VALUE"""),"")</f>
        <v/>
      </c>
      <c r="R712" s="250" t="str">
        <f>IFERROR(__xludf.DUMMYFUNCTION("""COMPUTED_VALUE"""),"")</f>
        <v/>
      </c>
      <c r="U712" s="250" t="str">
        <f>IFERROR(__xludf.DUMMYFUNCTION("""COMPUTED_VALUE"""),"#N/A")</f>
        <v>#N/A</v>
      </c>
      <c r="V712" s="250" t="str">
        <f>IFERROR(__xludf.DUMMYFUNCTION("""COMPUTED_VALUE"""),"#N/A")</f>
        <v>#N/A</v>
      </c>
      <c r="W712" s="250" t="str">
        <f>IFERROR(__xludf.DUMMYFUNCTION("""COMPUTED_VALUE"""),"#N/A")</f>
        <v>#N/A</v>
      </c>
      <c r="X712" t="b">
        <f t="shared" ref="X712:Z712" si="1400">ISBLANK(K712)</f>
        <v>1</v>
      </c>
      <c r="Y712" t="b">
        <f t="shared" si="1400"/>
        <v>0</v>
      </c>
      <c r="Z712" t="b">
        <f t="shared" si="1400"/>
        <v>0</v>
      </c>
      <c r="AA712">
        <f t="shared" ref="AA712:AC712" si="1401">IF(X712=FALSE,1,0)</f>
        <v>0</v>
      </c>
      <c r="AB712">
        <f t="shared" si="1401"/>
        <v>1</v>
      </c>
      <c r="AC712">
        <f t="shared" si="1401"/>
        <v>1</v>
      </c>
      <c r="AD712">
        <f t="shared" si="6"/>
        <v>2</v>
      </c>
      <c r="AE712">
        <f t="shared" si="7"/>
        <v>1</v>
      </c>
      <c r="AF712">
        <f>if(iferror(vlookup($A712,'Description Database'!$E$2:$H$951,3,0),0)=TRUE,1,0)</f>
        <v>0</v>
      </c>
      <c r="AG712">
        <f>if(iferror(vlookup($A712,'Description Database'!$E$2:$H$951,4,0),0)=TRUE,1,0)</f>
        <v>0</v>
      </c>
    </row>
    <row r="713">
      <c r="A713" t="str">
        <f>IFERROR(__xludf.DUMMYFUNCTION("""COMPUTED_VALUE"""),"Samsung GALAXY M51 (6 GB/128 GB)")</f>
        <v>Samsung GALAXY M51 (6 GB/128 GB)</v>
      </c>
      <c r="B713" t="str">
        <f>IFERROR(__xludf.DUMMYFUNCTION("""COMPUTED_VALUE"""),"")</f>
        <v/>
      </c>
      <c r="C713" t="str">
        <f>IFERROR(__xludf.DUMMYFUNCTION("""COMPUTED_VALUE"""),"")</f>
        <v/>
      </c>
      <c r="D713" t="str">
        <f>IFERROR(__xludf.DUMMYFUNCTION("""COMPUTED_VALUE"""),"")</f>
        <v/>
      </c>
      <c r="E713" t="str">
        <f>IFERROR(__xludf.DUMMYFUNCTION("""COMPUTED_VALUE"""),"")</f>
        <v/>
      </c>
      <c r="F713" t="str">
        <f>IFERROR(__xludf.DUMMYFUNCTION("""COMPUTED_VALUE"""),"")</f>
        <v/>
      </c>
      <c r="G713" t="str">
        <f>IFERROR(__xludf.DUMMYFUNCTION("""COMPUTED_VALUE"""),"")</f>
        <v/>
      </c>
      <c r="H713" t="str">
        <f>IFERROR(__xludf.DUMMYFUNCTION("""COMPUTED_VALUE"""),"")</f>
        <v/>
      </c>
      <c r="I713" t="str">
        <f>IFERROR(__xludf.DUMMYFUNCTION("""COMPUTED_VALUE"""),"")</f>
        <v/>
      </c>
      <c r="J713">
        <f>IFERROR(__xludf.DUMMYFUNCTION("""COMPUTED_VALUE"""),0.0)</f>
        <v>0</v>
      </c>
      <c r="L713" s="250" t="str">
        <f>IFERROR(__xludf.DUMMYFUNCTION("""COMPUTED_VALUE"""),"")</f>
        <v/>
      </c>
      <c r="M713" s="250" t="str">
        <f>IFERROR(__xludf.DUMMYFUNCTION("""COMPUTED_VALUE"""),"")</f>
        <v/>
      </c>
      <c r="N713" s="250" t="str">
        <f>IFERROR(__xludf.DUMMYFUNCTION("""COMPUTED_VALUE"""),"")</f>
        <v/>
      </c>
      <c r="O713" s="250" t="str">
        <f>IFERROR(__xludf.DUMMYFUNCTION("""COMPUTED_VALUE"""),"")</f>
        <v/>
      </c>
      <c r="P713" s="250" t="str">
        <f>IFERROR(__xludf.DUMMYFUNCTION("""COMPUTED_VALUE"""),"")</f>
        <v/>
      </c>
      <c r="Q713" s="250" t="str">
        <f>IFERROR(__xludf.DUMMYFUNCTION("""COMPUTED_VALUE"""),"")</f>
        <v/>
      </c>
      <c r="R713" s="250" t="str">
        <f>IFERROR(__xludf.DUMMYFUNCTION("""COMPUTED_VALUE"""),"")</f>
        <v/>
      </c>
      <c r="U713" s="250">
        <f>IFERROR(__xludf.DUMMYFUNCTION("""COMPUTED_VALUE"""),14579.0)</f>
        <v>14579</v>
      </c>
      <c r="V713" s="250">
        <f>IFERROR(__xludf.DUMMYFUNCTION("""COMPUTED_VALUE"""),13889.0)</f>
        <v>13889</v>
      </c>
      <c r="W713" s="250">
        <f>IFERROR(__xludf.DUMMYFUNCTION("""COMPUTED_VALUE"""),12499.0)</f>
        <v>12499</v>
      </c>
      <c r="X713" t="b">
        <f t="shared" ref="X713:Z713" si="1402">ISBLANK(K713)</f>
        <v>1</v>
      </c>
      <c r="Y713" t="b">
        <f t="shared" si="1402"/>
        <v>0</v>
      </c>
      <c r="Z713" t="b">
        <f t="shared" si="1402"/>
        <v>0</v>
      </c>
      <c r="AA713">
        <f t="shared" ref="AA713:AC713" si="1403">IF(X713=FALSE,1,0)</f>
        <v>0</v>
      </c>
      <c r="AB713">
        <f t="shared" si="1403"/>
        <v>1</v>
      </c>
      <c r="AC713">
        <f t="shared" si="1403"/>
        <v>1</v>
      </c>
      <c r="AD713">
        <f t="shared" si="6"/>
        <v>2</v>
      </c>
      <c r="AE713">
        <f t="shared" si="7"/>
        <v>1</v>
      </c>
      <c r="AF713">
        <f>if(iferror(vlookup($A713,'Description Database'!$E$2:$H$951,3,0),0)=TRUE,1,0)</f>
        <v>0</v>
      </c>
      <c r="AG713">
        <f>if(iferror(vlookup($A713,'Description Database'!$E$2:$H$951,4,0),0)=TRUE,1,0)</f>
        <v>0</v>
      </c>
    </row>
    <row r="714">
      <c r="A714" t="str">
        <f>IFERROR(__xludf.DUMMYFUNCTION("""COMPUTED_VALUE"""),"Apple iPhone 11 Pro Max (4 GB/256 GB)")</f>
        <v>Apple iPhone 11 Pro Max (4 GB/256 GB)</v>
      </c>
      <c r="B714" t="str">
        <f>IFERROR(__xludf.DUMMYFUNCTION("""COMPUTED_VALUE"""),"")</f>
        <v/>
      </c>
      <c r="C714" t="str">
        <f>IFERROR(__xludf.DUMMYFUNCTION("""COMPUTED_VALUE"""),"")</f>
        <v/>
      </c>
      <c r="D714" t="str">
        <f>IFERROR(__xludf.DUMMYFUNCTION("""COMPUTED_VALUE"""),"")</f>
        <v/>
      </c>
      <c r="E714" t="str">
        <f>IFERROR(__xludf.DUMMYFUNCTION("""COMPUTED_VALUE"""),"")</f>
        <v/>
      </c>
      <c r="F714" t="str">
        <f>IFERROR(__xludf.DUMMYFUNCTION("""COMPUTED_VALUE"""),"")</f>
        <v/>
      </c>
      <c r="G714" t="str">
        <f>IFERROR(__xludf.DUMMYFUNCTION("""COMPUTED_VALUE"""),"")</f>
        <v/>
      </c>
      <c r="H714" t="str">
        <f>IFERROR(__xludf.DUMMYFUNCTION("""COMPUTED_VALUE"""),"")</f>
        <v/>
      </c>
      <c r="I714" t="str">
        <f>IFERROR(__xludf.DUMMYFUNCTION("""COMPUTED_VALUE"""),"")</f>
        <v/>
      </c>
      <c r="J714">
        <f>IFERROR(__xludf.DUMMYFUNCTION("""COMPUTED_VALUE"""),0.0)</f>
        <v>0</v>
      </c>
      <c r="L714" s="250" t="str">
        <f>IFERROR(__xludf.DUMMYFUNCTION("""COMPUTED_VALUE"""),"")</f>
        <v/>
      </c>
      <c r="M714" s="250" t="str">
        <f>IFERROR(__xludf.DUMMYFUNCTION("""COMPUTED_VALUE"""),"")</f>
        <v/>
      </c>
      <c r="N714" s="250" t="str">
        <f>IFERROR(__xludf.DUMMYFUNCTION("""COMPUTED_VALUE"""),"")</f>
        <v/>
      </c>
      <c r="O714" s="250" t="str">
        <f>IFERROR(__xludf.DUMMYFUNCTION("""COMPUTED_VALUE"""),"")</f>
        <v/>
      </c>
      <c r="P714" s="250" t="str">
        <f>IFERROR(__xludf.DUMMYFUNCTION("""COMPUTED_VALUE"""),"")</f>
        <v/>
      </c>
      <c r="Q714" s="250" t="str">
        <f>IFERROR(__xludf.DUMMYFUNCTION("""COMPUTED_VALUE"""),"")</f>
        <v/>
      </c>
      <c r="R714" s="250" t="str">
        <f>IFERROR(__xludf.DUMMYFUNCTION("""COMPUTED_VALUE"""),"")</f>
        <v/>
      </c>
      <c r="U714" s="250">
        <f>IFERROR(__xludf.DUMMYFUNCTION("""COMPUTED_VALUE"""),61719.0)</f>
        <v>61719</v>
      </c>
      <c r="V714" s="250">
        <f>IFERROR(__xludf.DUMMYFUNCTION("""COMPUTED_VALUE"""),58779.0)</f>
        <v>58779</v>
      </c>
      <c r="W714" s="250">
        <f>IFERROR(__xludf.DUMMYFUNCTION("""COMPUTED_VALUE"""),52899.0)</f>
        <v>52899</v>
      </c>
      <c r="X714" t="b">
        <f t="shared" ref="X714:Z714" si="1404">ISBLANK(K714)</f>
        <v>1</v>
      </c>
      <c r="Y714" t="b">
        <f t="shared" si="1404"/>
        <v>0</v>
      </c>
      <c r="Z714" t="b">
        <f t="shared" si="1404"/>
        <v>0</v>
      </c>
      <c r="AA714">
        <f t="shared" ref="AA714:AC714" si="1405">IF(X714=FALSE,1,0)</f>
        <v>0</v>
      </c>
      <c r="AB714">
        <f t="shared" si="1405"/>
        <v>1</v>
      </c>
      <c r="AC714">
        <f t="shared" si="1405"/>
        <v>1</v>
      </c>
      <c r="AD714">
        <f t="shared" si="6"/>
        <v>2</v>
      </c>
      <c r="AE714">
        <f t="shared" si="7"/>
        <v>1</v>
      </c>
      <c r="AF714">
        <f>if(iferror(vlookup($A714,'Description Database'!$E$2:$H$951,3,0),0)=TRUE,1,0)</f>
        <v>0</v>
      </c>
      <c r="AG714">
        <f>if(iferror(vlookup($A714,'Description Database'!$E$2:$H$951,4,0),0)=TRUE,1,0)</f>
        <v>0</v>
      </c>
    </row>
    <row r="715">
      <c r="A715">
        <f>IFERROR(__xludf.DUMMYFUNCTION("""COMPUTED_VALUE"""),0.0)</f>
        <v>0</v>
      </c>
      <c r="B715" t="str">
        <f>IFERROR(__xludf.DUMMYFUNCTION("""COMPUTED_VALUE"""),"")</f>
        <v/>
      </c>
      <c r="C715" t="str">
        <f>IFERROR(__xludf.DUMMYFUNCTION("""COMPUTED_VALUE"""),"")</f>
        <v/>
      </c>
      <c r="D715" t="str">
        <f>IFERROR(__xludf.DUMMYFUNCTION("""COMPUTED_VALUE"""),"")</f>
        <v/>
      </c>
      <c r="E715" t="str">
        <f>IFERROR(__xludf.DUMMYFUNCTION("""COMPUTED_VALUE"""),"")</f>
        <v/>
      </c>
      <c r="F715" t="str">
        <f>IFERROR(__xludf.DUMMYFUNCTION("""COMPUTED_VALUE"""),"")</f>
        <v/>
      </c>
      <c r="G715" t="str">
        <f>IFERROR(__xludf.DUMMYFUNCTION("""COMPUTED_VALUE"""),"")</f>
        <v/>
      </c>
      <c r="H715" t="str">
        <f>IFERROR(__xludf.DUMMYFUNCTION("""COMPUTED_VALUE"""),"")</f>
        <v/>
      </c>
      <c r="I715" t="str">
        <f>IFERROR(__xludf.DUMMYFUNCTION("""COMPUTED_VALUE"""),"")</f>
        <v/>
      </c>
      <c r="J715">
        <f>IFERROR(__xludf.DUMMYFUNCTION("""COMPUTED_VALUE"""),0.0)</f>
        <v>0</v>
      </c>
      <c r="L715" s="250" t="str">
        <f>IFERROR(__xludf.DUMMYFUNCTION("""COMPUTED_VALUE"""),"")</f>
        <v/>
      </c>
      <c r="M715" s="250" t="str">
        <f>IFERROR(__xludf.DUMMYFUNCTION("""COMPUTED_VALUE"""),"")</f>
        <v/>
      </c>
      <c r="N715" s="250" t="str">
        <f>IFERROR(__xludf.DUMMYFUNCTION("""COMPUTED_VALUE"""),"")</f>
        <v/>
      </c>
      <c r="O715" s="250" t="str">
        <f>IFERROR(__xludf.DUMMYFUNCTION("""COMPUTED_VALUE"""),"")</f>
        <v/>
      </c>
      <c r="P715" s="250" t="str">
        <f>IFERROR(__xludf.DUMMYFUNCTION("""COMPUTED_VALUE"""),"")</f>
        <v/>
      </c>
      <c r="Q715" s="250" t="str">
        <f>IFERROR(__xludf.DUMMYFUNCTION("""COMPUTED_VALUE"""),"")</f>
        <v/>
      </c>
      <c r="R715" s="250" t="str">
        <f>IFERROR(__xludf.DUMMYFUNCTION("""COMPUTED_VALUE"""),"")</f>
        <v/>
      </c>
      <c r="U715" s="250" t="str">
        <f>IFERROR(__xludf.DUMMYFUNCTION("""COMPUTED_VALUE"""),"#N/A")</f>
        <v>#N/A</v>
      </c>
      <c r="V715" s="250" t="str">
        <f>IFERROR(__xludf.DUMMYFUNCTION("""COMPUTED_VALUE"""),"#N/A")</f>
        <v>#N/A</v>
      </c>
      <c r="W715" s="250" t="str">
        <f>IFERROR(__xludf.DUMMYFUNCTION("""COMPUTED_VALUE"""),"#N/A")</f>
        <v>#N/A</v>
      </c>
      <c r="X715" t="b">
        <f t="shared" ref="X715:Z715" si="1406">ISBLANK(K715)</f>
        <v>1</v>
      </c>
      <c r="Y715" t="b">
        <f t="shared" si="1406"/>
        <v>0</v>
      </c>
      <c r="Z715" t="b">
        <f t="shared" si="1406"/>
        <v>0</v>
      </c>
      <c r="AA715">
        <f t="shared" ref="AA715:AC715" si="1407">IF(X715=FALSE,1,0)</f>
        <v>0</v>
      </c>
      <c r="AB715">
        <f t="shared" si="1407"/>
        <v>1</v>
      </c>
      <c r="AC715">
        <f t="shared" si="1407"/>
        <v>1</v>
      </c>
      <c r="AD715">
        <f t="shared" si="6"/>
        <v>2</v>
      </c>
      <c r="AE715">
        <f t="shared" si="7"/>
        <v>1</v>
      </c>
      <c r="AF715">
        <f>if(iferror(vlookup($A715,'Description Database'!$E$2:$H$951,3,0),0)=TRUE,1,0)</f>
        <v>0</v>
      </c>
      <c r="AG715">
        <f>if(iferror(vlookup($A715,'Description Database'!$E$2:$H$951,4,0),0)=TRUE,1,0)</f>
        <v>0</v>
      </c>
    </row>
    <row r="716">
      <c r="A716" t="str">
        <f>IFERROR(__xludf.DUMMYFUNCTION("""COMPUTED_VALUE"""),"Motorola MOTO G5(2 GB 16GB)")</f>
        <v>Motorola MOTO G5(2 GB 16GB)</v>
      </c>
      <c r="B716" t="str">
        <f>IFERROR(__xludf.DUMMYFUNCTION("""COMPUTED_VALUE"""),"")</f>
        <v/>
      </c>
      <c r="C716" t="str">
        <f>IFERROR(__xludf.DUMMYFUNCTION("""COMPUTED_VALUE"""),"")</f>
        <v/>
      </c>
      <c r="D716" t="str">
        <f>IFERROR(__xludf.DUMMYFUNCTION("""COMPUTED_VALUE"""),"")</f>
        <v/>
      </c>
      <c r="E716" t="str">
        <f>IFERROR(__xludf.DUMMYFUNCTION("""COMPUTED_VALUE"""),"")</f>
        <v/>
      </c>
      <c r="F716" t="str">
        <f>IFERROR(__xludf.DUMMYFUNCTION("""COMPUTED_VALUE"""),"")</f>
        <v/>
      </c>
      <c r="G716" t="str">
        <f>IFERROR(__xludf.DUMMYFUNCTION("""COMPUTED_VALUE"""),"")</f>
        <v/>
      </c>
      <c r="H716" t="str">
        <f>IFERROR(__xludf.DUMMYFUNCTION("""COMPUTED_VALUE"""),"")</f>
        <v/>
      </c>
      <c r="I716" t="str">
        <f>IFERROR(__xludf.DUMMYFUNCTION("""COMPUTED_VALUE"""),"")</f>
        <v/>
      </c>
      <c r="J716">
        <f>IFERROR(__xludf.DUMMYFUNCTION("""COMPUTED_VALUE"""),0.0)</f>
        <v>0</v>
      </c>
      <c r="L716" s="250" t="str">
        <f>IFERROR(__xludf.DUMMYFUNCTION("""COMPUTED_VALUE"""),"")</f>
        <v/>
      </c>
      <c r="M716" s="250" t="str">
        <f>IFERROR(__xludf.DUMMYFUNCTION("""COMPUTED_VALUE"""),"")</f>
        <v/>
      </c>
      <c r="N716" s="250" t="str">
        <f>IFERROR(__xludf.DUMMYFUNCTION("""COMPUTED_VALUE"""),"")</f>
        <v/>
      </c>
      <c r="O716" s="250" t="str">
        <f>IFERROR(__xludf.DUMMYFUNCTION("""COMPUTED_VALUE"""),"")</f>
        <v/>
      </c>
      <c r="P716" s="250" t="str">
        <f>IFERROR(__xludf.DUMMYFUNCTION("""COMPUTED_VALUE"""),"")</f>
        <v/>
      </c>
      <c r="Q716" s="250" t="str">
        <f>IFERROR(__xludf.DUMMYFUNCTION("""COMPUTED_VALUE"""),"")</f>
        <v/>
      </c>
      <c r="R716" s="250" t="str">
        <f>IFERROR(__xludf.DUMMYFUNCTION("""COMPUTED_VALUE"""),"")</f>
        <v/>
      </c>
      <c r="U716" s="250" t="str">
        <f>IFERROR(__xludf.DUMMYFUNCTION("""COMPUTED_VALUE"""),"#N/A")</f>
        <v>#N/A</v>
      </c>
      <c r="V716" s="250" t="str">
        <f>IFERROR(__xludf.DUMMYFUNCTION("""COMPUTED_VALUE"""),"#N/A")</f>
        <v>#N/A</v>
      </c>
      <c r="W716" s="250" t="str">
        <f>IFERROR(__xludf.DUMMYFUNCTION("""COMPUTED_VALUE"""),"#N/A")</f>
        <v>#N/A</v>
      </c>
      <c r="X716" t="b">
        <f t="shared" ref="X716:Z716" si="1408">ISBLANK(K716)</f>
        <v>1</v>
      </c>
      <c r="Y716" t="b">
        <f t="shared" si="1408"/>
        <v>0</v>
      </c>
      <c r="Z716" t="b">
        <f t="shared" si="1408"/>
        <v>0</v>
      </c>
      <c r="AA716">
        <f t="shared" ref="AA716:AC716" si="1409">IF(X716=FALSE,1,0)</f>
        <v>0</v>
      </c>
      <c r="AB716">
        <f t="shared" si="1409"/>
        <v>1</v>
      </c>
      <c r="AC716">
        <f t="shared" si="1409"/>
        <v>1</v>
      </c>
      <c r="AD716">
        <f t="shared" si="6"/>
        <v>2</v>
      </c>
      <c r="AE716">
        <f t="shared" si="7"/>
        <v>1</v>
      </c>
      <c r="AF716">
        <f>if(iferror(vlookup($A716,'Description Database'!$E$2:$H$951,3,0),0)=TRUE,1,0)</f>
        <v>0</v>
      </c>
      <c r="AG716">
        <f>if(iferror(vlookup($A716,'Description Database'!$E$2:$H$951,4,0),0)=TRUE,1,0)</f>
        <v>0</v>
      </c>
    </row>
    <row r="717">
      <c r="A717" t="str">
        <f>IFERROR(__xludf.DUMMYFUNCTION("""COMPUTED_VALUE"""),"YU YU5010(2 GB 16GB)")</f>
        <v>YU YU5010(2 GB 16GB)</v>
      </c>
      <c r="B717" t="str">
        <f>IFERROR(__xludf.DUMMYFUNCTION("""COMPUTED_VALUE"""),"")</f>
        <v/>
      </c>
      <c r="C717" t="str">
        <f>IFERROR(__xludf.DUMMYFUNCTION("""COMPUTED_VALUE"""),"")</f>
        <v/>
      </c>
      <c r="D717" t="str">
        <f>IFERROR(__xludf.DUMMYFUNCTION("""COMPUTED_VALUE"""),"")</f>
        <v/>
      </c>
      <c r="E717" t="str">
        <f>IFERROR(__xludf.DUMMYFUNCTION("""COMPUTED_VALUE"""),"")</f>
        <v/>
      </c>
      <c r="F717" t="str">
        <f>IFERROR(__xludf.DUMMYFUNCTION("""COMPUTED_VALUE"""),"")</f>
        <v/>
      </c>
      <c r="G717" t="str">
        <f>IFERROR(__xludf.DUMMYFUNCTION("""COMPUTED_VALUE"""),"")</f>
        <v/>
      </c>
      <c r="H717" t="str">
        <f>IFERROR(__xludf.DUMMYFUNCTION("""COMPUTED_VALUE"""),"")</f>
        <v/>
      </c>
      <c r="I717">
        <f>IFERROR(__xludf.DUMMYFUNCTION("""COMPUTED_VALUE"""),2.0)</f>
        <v>2</v>
      </c>
      <c r="J717">
        <f>IFERROR(__xludf.DUMMYFUNCTION("""COMPUTED_VALUE"""),2.0)</f>
        <v>2</v>
      </c>
      <c r="L717" s="250" t="str">
        <f>IFERROR(__xludf.DUMMYFUNCTION("""COMPUTED_VALUE"""),"")</f>
        <v/>
      </c>
      <c r="M717" s="250" t="str">
        <f>IFERROR(__xludf.DUMMYFUNCTION("""COMPUTED_VALUE"""),"")</f>
        <v/>
      </c>
      <c r="N717" s="250" t="str">
        <f>IFERROR(__xludf.DUMMYFUNCTION("""COMPUTED_VALUE"""),"")</f>
        <v/>
      </c>
      <c r="O717" s="250" t="str">
        <f>IFERROR(__xludf.DUMMYFUNCTION("""COMPUTED_VALUE"""),"")</f>
        <v/>
      </c>
      <c r="P717" s="250" t="str">
        <f>IFERROR(__xludf.DUMMYFUNCTION("""COMPUTED_VALUE"""),"")</f>
        <v/>
      </c>
      <c r="Q717" s="250" t="str">
        <f>IFERROR(__xludf.DUMMYFUNCTION("""COMPUTED_VALUE"""),"")</f>
        <v/>
      </c>
      <c r="R717" s="250" t="str">
        <f>IFERROR(__xludf.DUMMYFUNCTION("""COMPUTED_VALUE"""),"")</f>
        <v/>
      </c>
      <c r="U717" s="250" t="str">
        <f>IFERROR(__xludf.DUMMYFUNCTION("""COMPUTED_VALUE"""),"#N/A")</f>
        <v>#N/A</v>
      </c>
      <c r="V717" s="250" t="str">
        <f>IFERROR(__xludf.DUMMYFUNCTION("""COMPUTED_VALUE"""),"#N/A")</f>
        <v>#N/A</v>
      </c>
      <c r="W717" s="250" t="str">
        <f>IFERROR(__xludf.DUMMYFUNCTION("""COMPUTED_VALUE"""),"#N/A")</f>
        <v>#N/A</v>
      </c>
      <c r="X717" t="b">
        <f t="shared" ref="X717:Z717" si="1410">ISBLANK(K717)</f>
        <v>1</v>
      </c>
      <c r="Y717" t="b">
        <f t="shared" si="1410"/>
        <v>0</v>
      </c>
      <c r="Z717" t="b">
        <f t="shared" si="1410"/>
        <v>0</v>
      </c>
      <c r="AA717">
        <f t="shared" ref="AA717:AC717" si="1411">IF(X717=FALSE,1,0)</f>
        <v>0</v>
      </c>
      <c r="AB717">
        <f t="shared" si="1411"/>
        <v>1</v>
      </c>
      <c r="AC717">
        <f t="shared" si="1411"/>
        <v>1</v>
      </c>
      <c r="AD717">
        <f t="shared" si="6"/>
        <v>2</v>
      </c>
      <c r="AE717">
        <f t="shared" si="7"/>
        <v>1</v>
      </c>
      <c r="AF717">
        <f>if(iferror(vlookup($A717,'Description Database'!$E$2:$H$951,3,0),0)=TRUE,1,0)</f>
        <v>0</v>
      </c>
      <c r="AG717">
        <f>if(iferror(vlookup($A717,'Description Database'!$E$2:$H$951,4,0),0)=TRUE,1,0)</f>
        <v>0</v>
      </c>
    </row>
    <row r="718">
      <c r="A718" t="str">
        <f>IFERROR(__xludf.DUMMYFUNCTION("""COMPUTED_VALUE"""),"Nokia 3 (2 GB/16 GB)")</f>
        <v>Nokia 3 (2 GB/16 GB)</v>
      </c>
      <c r="B718" t="str">
        <f>IFERROR(__xludf.DUMMYFUNCTION("""COMPUTED_VALUE"""),"")</f>
        <v/>
      </c>
      <c r="C718" t="str">
        <f>IFERROR(__xludf.DUMMYFUNCTION("""COMPUTED_VALUE"""),"")</f>
        <v/>
      </c>
      <c r="D718" t="str">
        <f>IFERROR(__xludf.DUMMYFUNCTION("""COMPUTED_VALUE"""),"")</f>
        <v/>
      </c>
      <c r="E718" t="str">
        <f>IFERROR(__xludf.DUMMYFUNCTION("""COMPUTED_VALUE"""),"")</f>
        <v/>
      </c>
      <c r="F718" t="str">
        <f>IFERROR(__xludf.DUMMYFUNCTION("""COMPUTED_VALUE"""),"")</f>
        <v/>
      </c>
      <c r="G718" t="str">
        <f>IFERROR(__xludf.DUMMYFUNCTION("""COMPUTED_VALUE"""),"")</f>
        <v/>
      </c>
      <c r="H718" t="str">
        <f>IFERROR(__xludf.DUMMYFUNCTION("""COMPUTED_VALUE"""),"")</f>
        <v/>
      </c>
      <c r="I718">
        <f>IFERROR(__xludf.DUMMYFUNCTION("""COMPUTED_VALUE"""),2.0)</f>
        <v>2</v>
      </c>
      <c r="J718">
        <f>IFERROR(__xludf.DUMMYFUNCTION("""COMPUTED_VALUE"""),2.0)</f>
        <v>2</v>
      </c>
      <c r="L718" s="250" t="str">
        <f>IFERROR(__xludf.DUMMYFUNCTION("""COMPUTED_VALUE"""),"")</f>
        <v/>
      </c>
      <c r="M718" s="250" t="str">
        <f>IFERROR(__xludf.DUMMYFUNCTION("""COMPUTED_VALUE"""),"")</f>
        <v/>
      </c>
      <c r="N718" s="250" t="str">
        <f>IFERROR(__xludf.DUMMYFUNCTION("""COMPUTED_VALUE"""),"")</f>
        <v/>
      </c>
      <c r="O718" s="250" t="str">
        <f>IFERROR(__xludf.DUMMYFUNCTION("""COMPUTED_VALUE"""),"")</f>
        <v/>
      </c>
      <c r="P718" s="250" t="str">
        <f>IFERROR(__xludf.DUMMYFUNCTION("""COMPUTED_VALUE"""),"")</f>
        <v/>
      </c>
      <c r="Q718" s="250" t="str">
        <f>IFERROR(__xludf.DUMMYFUNCTION("""COMPUTED_VALUE"""),"")</f>
        <v/>
      </c>
      <c r="R718" s="250" t="str">
        <f>IFERROR(__xludf.DUMMYFUNCTION("""COMPUTED_VALUE"""),"")</f>
        <v/>
      </c>
      <c r="U718" s="250">
        <f>IFERROR(__xludf.DUMMYFUNCTION("""COMPUTED_VALUE"""),3149.0)</f>
        <v>3149</v>
      </c>
      <c r="V718" s="250">
        <f>IFERROR(__xludf.DUMMYFUNCTION("""COMPUTED_VALUE"""),2999.0)</f>
        <v>2999</v>
      </c>
      <c r="W718" s="250">
        <f>IFERROR(__xludf.DUMMYFUNCTION("""COMPUTED_VALUE"""),2699.0)</f>
        <v>2699</v>
      </c>
      <c r="X718" t="b">
        <f t="shared" ref="X718:Z718" si="1412">ISBLANK(K718)</f>
        <v>1</v>
      </c>
      <c r="Y718" t="b">
        <f t="shared" si="1412"/>
        <v>0</v>
      </c>
      <c r="Z718" t="b">
        <f t="shared" si="1412"/>
        <v>0</v>
      </c>
      <c r="AA718">
        <f t="shared" ref="AA718:AC718" si="1413">IF(X718=FALSE,1,0)</f>
        <v>0</v>
      </c>
      <c r="AB718">
        <f t="shared" si="1413"/>
        <v>1</v>
      </c>
      <c r="AC718">
        <f t="shared" si="1413"/>
        <v>1</v>
      </c>
      <c r="AD718">
        <f t="shared" si="6"/>
        <v>2</v>
      </c>
      <c r="AE718">
        <f t="shared" si="7"/>
        <v>1</v>
      </c>
      <c r="AF718">
        <f>if(iferror(vlookup($A718,'Description Database'!$E$2:$H$951,3,0),0)=TRUE,1,0)</f>
        <v>0</v>
      </c>
      <c r="AG718">
        <f>if(iferror(vlookup($A718,'Description Database'!$E$2:$H$951,4,0),0)=TRUE,1,0)</f>
        <v>0</v>
      </c>
    </row>
    <row r="719">
      <c r="A719" t="str">
        <f>IFERROR(__xludf.DUMMYFUNCTION("""COMPUTED_VALUE"""),"Realme REALME C2(3 GB 32GB)")</f>
        <v>Realme REALME C2(3 GB 32GB)</v>
      </c>
      <c r="B719" t="str">
        <f>IFERROR(__xludf.DUMMYFUNCTION("""COMPUTED_VALUE"""),"")</f>
        <v/>
      </c>
      <c r="C719" t="str">
        <f>IFERROR(__xludf.DUMMYFUNCTION("""COMPUTED_VALUE"""),"")</f>
        <v/>
      </c>
      <c r="D719" t="str">
        <f>IFERROR(__xludf.DUMMYFUNCTION("""COMPUTED_VALUE"""),"")</f>
        <v/>
      </c>
      <c r="E719" t="str">
        <f>IFERROR(__xludf.DUMMYFUNCTION("""COMPUTED_VALUE"""),"")</f>
        <v/>
      </c>
      <c r="F719" t="str">
        <f>IFERROR(__xludf.DUMMYFUNCTION("""COMPUTED_VALUE"""),"")</f>
        <v/>
      </c>
      <c r="G719" t="str">
        <f>IFERROR(__xludf.DUMMYFUNCTION("""COMPUTED_VALUE"""),"")</f>
        <v/>
      </c>
      <c r="H719" t="str">
        <f>IFERROR(__xludf.DUMMYFUNCTION("""COMPUTED_VALUE"""),"")</f>
        <v/>
      </c>
      <c r="I719">
        <f>IFERROR(__xludf.DUMMYFUNCTION("""COMPUTED_VALUE"""),1.0)</f>
        <v>1</v>
      </c>
      <c r="J719">
        <f>IFERROR(__xludf.DUMMYFUNCTION("""COMPUTED_VALUE"""),1.0)</f>
        <v>1</v>
      </c>
      <c r="L719" s="250" t="str">
        <f>IFERROR(__xludf.DUMMYFUNCTION("""COMPUTED_VALUE"""),"")</f>
        <v/>
      </c>
      <c r="M719" s="250" t="str">
        <f>IFERROR(__xludf.DUMMYFUNCTION("""COMPUTED_VALUE"""),"")</f>
        <v/>
      </c>
      <c r="N719" s="250" t="str">
        <f>IFERROR(__xludf.DUMMYFUNCTION("""COMPUTED_VALUE"""),"")</f>
        <v/>
      </c>
      <c r="O719" s="250" t="str">
        <f>IFERROR(__xludf.DUMMYFUNCTION("""COMPUTED_VALUE"""),"")</f>
        <v/>
      </c>
      <c r="P719" s="250" t="str">
        <f>IFERROR(__xludf.DUMMYFUNCTION("""COMPUTED_VALUE"""),"")</f>
        <v/>
      </c>
      <c r="Q719" s="250" t="str">
        <f>IFERROR(__xludf.DUMMYFUNCTION("""COMPUTED_VALUE"""),"")</f>
        <v/>
      </c>
      <c r="R719" s="250" t="str">
        <f>IFERROR(__xludf.DUMMYFUNCTION("""COMPUTED_VALUE"""),"")</f>
        <v/>
      </c>
      <c r="U719" s="250" t="str">
        <f>IFERROR(__xludf.DUMMYFUNCTION("""COMPUTED_VALUE"""),"#N/A")</f>
        <v>#N/A</v>
      </c>
      <c r="V719" s="250" t="str">
        <f>IFERROR(__xludf.DUMMYFUNCTION("""COMPUTED_VALUE"""),"#N/A")</f>
        <v>#N/A</v>
      </c>
      <c r="W719" s="250" t="str">
        <f>IFERROR(__xludf.DUMMYFUNCTION("""COMPUTED_VALUE"""),"#N/A")</f>
        <v>#N/A</v>
      </c>
      <c r="X719" t="b">
        <f t="shared" ref="X719:Z719" si="1414">ISBLANK(K719)</f>
        <v>1</v>
      </c>
      <c r="Y719" t="b">
        <f t="shared" si="1414"/>
        <v>0</v>
      </c>
      <c r="Z719" t="b">
        <f t="shared" si="1414"/>
        <v>0</v>
      </c>
      <c r="AA719">
        <f t="shared" ref="AA719:AC719" si="1415">IF(X719=FALSE,1,0)</f>
        <v>0</v>
      </c>
      <c r="AB719">
        <f t="shared" si="1415"/>
        <v>1</v>
      </c>
      <c r="AC719">
        <f t="shared" si="1415"/>
        <v>1</v>
      </c>
      <c r="AD719">
        <f t="shared" si="6"/>
        <v>2</v>
      </c>
      <c r="AE719">
        <f t="shared" si="7"/>
        <v>1</v>
      </c>
      <c r="AF719">
        <f>if(iferror(vlookup($A719,'Description Database'!$E$2:$H$951,3,0),0)=TRUE,1,0)</f>
        <v>0</v>
      </c>
      <c r="AG719">
        <f>if(iferror(vlookup($A719,'Description Database'!$E$2:$H$951,4,0),0)=TRUE,1,0)</f>
        <v>0</v>
      </c>
    </row>
    <row r="720">
      <c r="A720" t="str">
        <f>IFERROR(__xludf.DUMMYFUNCTION("""COMPUTED_VALUE"""),"Vivo Y11 (1 GB/16 GB)")</f>
        <v>Vivo Y11 (1 GB/16 GB)</v>
      </c>
      <c r="B720" t="str">
        <f>IFERROR(__xludf.DUMMYFUNCTION("""COMPUTED_VALUE"""),"")</f>
        <v/>
      </c>
      <c r="C720" t="str">
        <f>IFERROR(__xludf.DUMMYFUNCTION("""COMPUTED_VALUE"""),"")</f>
        <v/>
      </c>
      <c r="D720" t="str">
        <f>IFERROR(__xludf.DUMMYFUNCTION("""COMPUTED_VALUE"""),"")</f>
        <v/>
      </c>
      <c r="E720" t="str">
        <f>IFERROR(__xludf.DUMMYFUNCTION("""COMPUTED_VALUE"""),"")</f>
        <v/>
      </c>
      <c r="F720" t="str">
        <f>IFERROR(__xludf.DUMMYFUNCTION("""COMPUTED_VALUE"""),"")</f>
        <v/>
      </c>
      <c r="G720" t="str">
        <f>IFERROR(__xludf.DUMMYFUNCTION("""COMPUTED_VALUE"""),"")</f>
        <v/>
      </c>
      <c r="H720" t="str">
        <f>IFERROR(__xludf.DUMMYFUNCTION("""COMPUTED_VALUE"""),"")</f>
        <v/>
      </c>
      <c r="I720">
        <f>IFERROR(__xludf.DUMMYFUNCTION("""COMPUTED_VALUE"""),1.0)</f>
        <v>1</v>
      </c>
      <c r="J720">
        <f>IFERROR(__xludf.DUMMYFUNCTION("""COMPUTED_VALUE"""),1.0)</f>
        <v>1</v>
      </c>
      <c r="L720" s="250" t="str">
        <f>IFERROR(__xludf.DUMMYFUNCTION("""COMPUTED_VALUE"""),"")</f>
        <v/>
      </c>
      <c r="M720" s="250" t="str">
        <f>IFERROR(__xludf.DUMMYFUNCTION("""COMPUTED_VALUE"""),"")</f>
        <v/>
      </c>
      <c r="N720" s="250" t="str">
        <f>IFERROR(__xludf.DUMMYFUNCTION("""COMPUTED_VALUE"""),"")</f>
        <v/>
      </c>
      <c r="O720" s="250" t="str">
        <f>IFERROR(__xludf.DUMMYFUNCTION("""COMPUTED_VALUE"""),"")</f>
        <v/>
      </c>
      <c r="P720" s="250" t="str">
        <f>IFERROR(__xludf.DUMMYFUNCTION("""COMPUTED_VALUE"""),"")</f>
        <v/>
      </c>
      <c r="Q720" s="250" t="str">
        <f>IFERROR(__xludf.DUMMYFUNCTION("""COMPUTED_VALUE"""),"")</f>
        <v/>
      </c>
      <c r="R720" s="250" t="str">
        <f>IFERROR(__xludf.DUMMYFUNCTION("""COMPUTED_VALUE"""),"")</f>
        <v/>
      </c>
      <c r="U720" s="250" t="str">
        <f>IFERROR(__xludf.DUMMYFUNCTION("""COMPUTED_VALUE"""),"#N/A")</f>
        <v>#N/A</v>
      </c>
      <c r="V720" s="250" t="str">
        <f>IFERROR(__xludf.DUMMYFUNCTION("""COMPUTED_VALUE"""),"#N/A")</f>
        <v>#N/A</v>
      </c>
      <c r="W720" s="250" t="str">
        <f>IFERROR(__xludf.DUMMYFUNCTION("""COMPUTED_VALUE"""),"#N/A")</f>
        <v>#N/A</v>
      </c>
      <c r="X720" t="b">
        <f t="shared" ref="X720:Z720" si="1416">ISBLANK(K720)</f>
        <v>1</v>
      </c>
      <c r="Y720" t="b">
        <f t="shared" si="1416"/>
        <v>0</v>
      </c>
      <c r="Z720" t="b">
        <f t="shared" si="1416"/>
        <v>0</v>
      </c>
      <c r="AA720">
        <f t="shared" ref="AA720:AC720" si="1417">IF(X720=FALSE,1,0)</f>
        <v>0</v>
      </c>
      <c r="AB720">
        <f t="shared" si="1417"/>
        <v>1</v>
      </c>
      <c r="AC720">
        <f t="shared" si="1417"/>
        <v>1</v>
      </c>
      <c r="AD720">
        <f t="shared" si="6"/>
        <v>2</v>
      </c>
      <c r="AE720">
        <f t="shared" si="7"/>
        <v>1</v>
      </c>
      <c r="AF720">
        <f>if(iferror(vlookup($A720,'Description Database'!$E$2:$H$951,3,0),0)=TRUE,1,0)</f>
        <v>0</v>
      </c>
      <c r="AG720">
        <f>if(iferror(vlookup($A720,'Description Database'!$E$2:$H$951,4,0),0)=TRUE,1,0)</f>
        <v>0</v>
      </c>
    </row>
    <row r="721">
      <c r="A721" t="str">
        <f>IFERROR(__xludf.DUMMYFUNCTION("""COMPUTED_VALUE"""),"Motorola Moto E4 (2 GB/16 GB)")</f>
        <v>Motorola Moto E4 (2 GB/16 GB)</v>
      </c>
      <c r="B721" t="str">
        <f>IFERROR(__xludf.DUMMYFUNCTION("""COMPUTED_VALUE"""),"")</f>
        <v/>
      </c>
      <c r="C721" t="str">
        <f>IFERROR(__xludf.DUMMYFUNCTION("""COMPUTED_VALUE"""),"")</f>
        <v/>
      </c>
      <c r="D721" t="str">
        <f>IFERROR(__xludf.DUMMYFUNCTION("""COMPUTED_VALUE"""),"")</f>
        <v/>
      </c>
      <c r="E721" t="str">
        <f>IFERROR(__xludf.DUMMYFUNCTION("""COMPUTED_VALUE"""),"")</f>
        <v/>
      </c>
      <c r="F721" t="str">
        <f>IFERROR(__xludf.DUMMYFUNCTION("""COMPUTED_VALUE"""),"")</f>
        <v/>
      </c>
      <c r="G721" t="str">
        <f>IFERROR(__xludf.DUMMYFUNCTION("""COMPUTED_VALUE"""),"")</f>
        <v/>
      </c>
      <c r="H721" t="str">
        <f>IFERROR(__xludf.DUMMYFUNCTION("""COMPUTED_VALUE"""),"")</f>
        <v/>
      </c>
      <c r="I721">
        <f>IFERROR(__xludf.DUMMYFUNCTION("""COMPUTED_VALUE"""),5.0)</f>
        <v>5</v>
      </c>
      <c r="J721">
        <f>IFERROR(__xludf.DUMMYFUNCTION("""COMPUTED_VALUE"""),5.0)</f>
        <v>5</v>
      </c>
      <c r="L721" s="250" t="str">
        <f>IFERROR(__xludf.DUMMYFUNCTION("""COMPUTED_VALUE"""),"")</f>
        <v/>
      </c>
      <c r="M721" s="250" t="str">
        <f>IFERROR(__xludf.DUMMYFUNCTION("""COMPUTED_VALUE"""),"")</f>
        <v/>
      </c>
      <c r="N721" s="250" t="str">
        <f>IFERROR(__xludf.DUMMYFUNCTION("""COMPUTED_VALUE"""),"")</f>
        <v/>
      </c>
      <c r="O721" s="250" t="str">
        <f>IFERROR(__xludf.DUMMYFUNCTION("""COMPUTED_VALUE"""),"")</f>
        <v/>
      </c>
      <c r="P721" s="250" t="str">
        <f>IFERROR(__xludf.DUMMYFUNCTION("""COMPUTED_VALUE"""),"")</f>
        <v/>
      </c>
      <c r="Q721" s="250" t="str">
        <f>IFERROR(__xludf.DUMMYFUNCTION("""COMPUTED_VALUE"""),"")</f>
        <v/>
      </c>
      <c r="R721" s="250" t="str">
        <f>IFERROR(__xludf.DUMMYFUNCTION("""COMPUTED_VALUE"""),"")</f>
        <v/>
      </c>
      <c r="U721" s="250">
        <f>IFERROR(__xludf.DUMMYFUNCTION("""COMPUTED_VALUE"""),3249.0)</f>
        <v>3249</v>
      </c>
      <c r="V721" s="250">
        <f>IFERROR(__xludf.DUMMYFUNCTION("""COMPUTED_VALUE"""),3089.0)</f>
        <v>3089</v>
      </c>
      <c r="W721" s="250">
        <f>IFERROR(__xludf.DUMMYFUNCTION("""COMPUTED_VALUE"""),2789.0)</f>
        <v>2789</v>
      </c>
      <c r="X721" t="b">
        <f t="shared" ref="X721:Z721" si="1418">ISBLANK(K721)</f>
        <v>1</v>
      </c>
      <c r="Y721" t="b">
        <f t="shared" si="1418"/>
        <v>0</v>
      </c>
      <c r="Z721" t="b">
        <f t="shared" si="1418"/>
        <v>0</v>
      </c>
      <c r="AA721">
        <f t="shared" ref="AA721:AC721" si="1419">IF(X721=FALSE,1,0)</f>
        <v>0</v>
      </c>
      <c r="AB721">
        <f t="shared" si="1419"/>
        <v>1</v>
      </c>
      <c r="AC721">
        <f t="shared" si="1419"/>
        <v>1</v>
      </c>
      <c r="AD721">
        <f t="shared" si="6"/>
        <v>2</v>
      </c>
      <c r="AE721">
        <f t="shared" si="7"/>
        <v>1</v>
      </c>
      <c r="AF721">
        <f>if(iferror(vlookup($A721,'Description Database'!$E$2:$H$951,3,0),0)=TRUE,1,0)</f>
        <v>0</v>
      </c>
      <c r="AG721">
        <f>if(iferror(vlookup($A721,'Description Database'!$E$2:$H$951,4,0),0)=TRUE,1,0)</f>
        <v>0</v>
      </c>
    </row>
    <row r="722">
      <c r="A722" t="str">
        <f>IFERROR(__xludf.DUMMYFUNCTION("""COMPUTED_VALUE"""),"Nokia 7.1(4 GB 64GB)")</f>
        <v>Nokia 7.1(4 GB 64GB)</v>
      </c>
      <c r="B722" t="str">
        <f>IFERROR(__xludf.DUMMYFUNCTION("""COMPUTED_VALUE"""),"")</f>
        <v/>
      </c>
      <c r="C722" t="str">
        <f>IFERROR(__xludf.DUMMYFUNCTION("""COMPUTED_VALUE"""),"")</f>
        <v/>
      </c>
      <c r="D722" t="str">
        <f>IFERROR(__xludf.DUMMYFUNCTION("""COMPUTED_VALUE"""),"")</f>
        <v/>
      </c>
      <c r="E722" t="str">
        <f>IFERROR(__xludf.DUMMYFUNCTION("""COMPUTED_VALUE"""),"")</f>
        <v/>
      </c>
      <c r="F722" t="str">
        <f>IFERROR(__xludf.DUMMYFUNCTION("""COMPUTED_VALUE"""),"")</f>
        <v/>
      </c>
      <c r="G722" t="str">
        <f>IFERROR(__xludf.DUMMYFUNCTION("""COMPUTED_VALUE"""),"")</f>
        <v/>
      </c>
      <c r="H722" t="str">
        <f>IFERROR(__xludf.DUMMYFUNCTION("""COMPUTED_VALUE"""),"")</f>
        <v/>
      </c>
      <c r="I722">
        <f>IFERROR(__xludf.DUMMYFUNCTION("""COMPUTED_VALUE"""),7.0)</f>
        <v>7</v>
      </c>
      <c r="J722">
        <f>IFERROR(__xludf.DUMMYFUNCTION("""COMPUTED_VALUE"""),7.0)</f>
        <v>7</v>
      </c>
      <c r="L722" s="250" t="str">
        <f>IFERROR(__xludf.DUMMYFUNCTION("""COMPUTED_VALUE"""),"")</f>
        <v/>
      </c>
      <c r="M722" s="250" t="str">
        <f>IFERROR(__xludf.DUMMYFUNCTION("""COMPUTED_VALUE"""),"")</f>
        <v/>
      </c>
      <c r="N722" s="250" t="str">
        <f>IFERROR(__xludf.DUMMYFUNCTION("""COMPUTED_VALUE"""),"")</f>
        <v/>
      </c>
      <c r="O722" s="250" t="str">
        <f>IFERROR(__xludf.DUMMYFUNCTION("""COMPUTED_VALUE"""),"")</f>
        <v/>
      </c>
      <c r="P722" s="250" t="str">
        <f>IFERROR(__xludf.DUMMYFUNCTION("""COMPUTED_VALUE"""),"")</f>
        <v/>
      </c>
      <c r="Q722" s="250" t="str">
        <f>IFERROR(__xludf.DUMMYFUNCTION("""COMPUTED_VALUE"""),"")</f>
        <v/>
      </c>
      <c r="R722" s="250" t="str">
        <f>IFERROR(__xludf.DUMMYFUNCTION("""COMPUTED_VALUE"""),"")</f>
        <v/>
      </c>
      <c r="U722" s="250" t="str">
        <f>IFERROR(__xludf.DUMMYFUNCTION("""COMPUTED_VALUE"""),"#N/A")</f>
        <v>#N/A</v>
      </c>
      <c r="V722" s="250" t="str">
        <f>IFERROR(__xludf.DUMMYFUNCTION("""COMPUTED_VALUE"""),"#N/A")</f>
        <v>#N/A</v>
      </c>
      <c r="W722" s="250" t="str">
        <f>IFERROR(__xludf.DUMMYFUNCTION("""COMPUTED_VALUE"""),"#N/A")</f>
        <v>#N/A</v>
      </c>
      <c r="X722" t="b">
        <f t="shared" ref="X722:Z722" si="1420">ISBLANK(K722)</f>
        <v>1</v>
      </c>
      <c r="Y722" t="b">
        <f t="shared" si="1420"/>
        <v>0</v>
      </c>
      <c r="Z722" t="b">
        <f t="shared" si="1420"/>
        <v>0</v>
      </c>
      <c r="AA722">
        <f t="shared" ref="AA722:AC722" si="1421">IF(X722=FALSE,1,0)</f>
        <v>0</v>
      </c>
      <c r="AB722">
        <f t="shared" si="1421"/>
        <v>1</v>
      </c>
      <c r="AC722">
        <f t="shared" si="1421"/>
        <v>1</v>
      </c>
      <c r="AD722">
        <f t="shared" si="6"/>
        <v>2</v>
      </c>
      <c r="AE722">
        <f t="shared" si="7"/>
        <v>1</v>
      </c>
      <c r="AF722">
        <f>if(iferror(vlookup($A722,'Description Database'!$E$2:$H$951,3,0),0)=TRUE,1,0)</f>
        <v>0</v>
      </c>
      <c r="AG722">
        <f>if(iferror(vlookup($A722,'Description Database'!$E$2:$H$951,4,0),0)=TRUE,1,0)</f>
        <v>0</v>
      </c>
    </row>
    <row r="723">
      <c r="A723" t="str">
        <f>IFERROR(__xludf.DUMMYFUNCTION("""COMPUTED_VALUE"""),"Lenovo A536(1 GB 8GB)")</f>
        <v>Lenovo A536(1 GB 8GB)</v>
      </c>
      <c r="B723" t="str">
        <f>IFERROR(__xludf.DUMMYFUNCTION("""COMPUTED_VALUE"""),"")</f>
        <v/>
      </c>
      <c r="C723" t="str">
        <f>IFERROR(__xludf.DUMMYFUNCTION("""COMPUTED_VALUE"""),"")</f>
        <v/>
      </c>
      <c r="D723" t="str">
        <f>IFERROR(__xludf.DUMMYFUNCTION("""COMPUTED_VALUE"""),"")</f>
        <v/>
      </c>
      <c r="E723" t="str">
        <f>IFERROR(__xludf.DUMMYFUNCTION("""COMPUTED_VALUE"""),"")</f>
        <v/>
      </c>
      <c r="F723" t="str">
        <f>IFERROR(__xludf.DUMMYFUNCTION("""COMPUTED_VALUE"""),"")</f>
        <v/>
      </c>
      <c r="G723" t="str">
        <f>IFERROR(__xludf.DUMMYFUNCTION("""COMPUTED_VALUE"""),"")</f>
        <v/>
      </c>
      <c r="H723" t="str">
        <f>IFERROR(__xludf.DUMMYFUNCTION("""COMPUTED_VALUE"""),"")</f>
        <v/>
      </c>
      <c r="I723">
        <f>IFERROR(__xludf.DUMMYFUNCTION("""COMPUTED_VALUE"""),2.0)</f>
        <v>2</v>
      </c>
      <c r="J723">
        <f>IFERROR(__xludf.DUMMYFUNCTION("""COMPUTED_VALUE"""),2.0)</f>
        <v>2</v>
      </c>
      <c r="L723" s="250" t="str">
        <f>IFERROR(__xludf.DUMMYFUNCTION("""COMPUTED_VALUE"""),"")</f>
        <v/>
      </c>
      <c r="M723" s="250" t="str">
        <f>IFERROR(__xludf.DUMMYFUNCTION("""COMPUTED_VALUE"""),"")</f>
        <v/>
      </c>
      <c r="N723" s="250" t="str">
        <f>IFERROR(__xludf.DUMMYFUNCTION("""COMPUTED_VALUE"""),"")</f>
        <v/>
      </c>
      <c r="O723" s="250" t="str">
        <f>IFERROR(__xludf.DUMMYFUNCTION("""COMPUTED_VALUE"""),"")</f>
        <v/>
      </c>
      <c r="P723" s="250" t="str">
        <f>IFERROR(__xludf.DUMMYFUNCTION("""COMPUTED_VALUE"""),"")</f>
        <v/>
      </c>
      <c r="Q723" s="250" t="str">
        <f>IFERROR(__xludf.DUMMYFUNCTION("""COMPUTED_VALUE"""),"")</f>
        <v/>
      </c>
      <c r="R723" s="250" t="str">
        <f>IFERROR(__xludf.DUMMYFUNCTION("""COMPUTED_VALUE"""),"")</f>
        <v/>
      </c>
      <c r="U723" s="250" t="str">
        <f>IFERROR(__xludf.DUMMYFUNCTION("""COMPUTED_VALUE"""),"#N/A")</f>
        <v>#N/A</v>
      </c>
      <c r="V723" s="250" t="str">
        <f>IFERROR(__xludf.DUMMYFUNCTION("""COMPUTED_VALUE"""),"#N/A")</f>
        <v>#N/A</v>
      </c>
      <c r="W723" s="250" t="str">
        <f>IFERROR(__xludf.DUMMYFUNCTION("""COMPUTED_VALUE"""),"#N/A")</f>
        <v>#N/A</v>
      </c>
      <c r="X723" t="b">
        <f t="shared" ref="X723:Z723" si="1422">ISBLANK(K723)</f>
        <v>1</v>
      </c>
      <c r="Y723" t="b">
        <f t="shared" si="1422"/>
        <v>0</v>
      </c>
      <c r="Z723" t="b">
        <f t="shared" si="1422"/>
        <v>0</v>
      </c>
      <c r="AA723">
        <f t="shared" ref="AA723:AC723" si="1423">IF(X723=FALSE,1,0)</f>
        <v>0</v>
      </c>
      <c r="AB723">
        <f t="shared" si="1423"/>
        <v>1</v>
      </c>
      <c r="AC723">
        <f t="shared" si="1423"/>
        <v>1</v>
      </c>
      <c r="AD723">
        <f t="shared" si="6"/>
        <v>2</v>
      </c>
      <c r="AE723">
        <f t="shared" si="7"/>
        <v>1</v>
      </c>
      <c r="AF723">
        <f>if(iferror(vlookup($A723,'Description Database'!$E$2:$H$951,3,0),0)=TRUE,1,0)</f>
        <v>0</v>
      </c>
      <c r="AG723">
        <f>if(iferror(vlookup($A723,'Description Database'!$E$2:$H$951,4,0),0)=TRUE,1,0)</f>
        <v>0</v>
      </c>
    </row>
    <row r="724">
      <c r="A724" t="str">
        <f>IFERROR(__xludf.DUMMYFUNCTION("""COMPUTED_VALUE"""),"Samsung Galaxy Grand Neo Plus(1 GB 16GB)")</f>
        <v>Samsung Galaxy Grand Neo Plus(1 GB 16GB)</v>
      </c>
      <c r="B724" t="str">
        <f>IFERROR(__xludf.DUMMYFUNCTION("""COMPUTED_VALUE"""),"")</f>
        <v/>
      </c>
      <c r="C724" t="str">
        <f>IFERROR(__xludf.DUMMYFUNCTION("""COMPUTED_VALUE"""),"")</f>
        <v/>
      </c>
      <c r="D724" t="str">
        <f>IFERROR(__xludf.DUMMYFUNCTION("""COMPUTED_VALUE"""),"")</f>
        <v/>
      </c>
      <c r="E724" t="str">
        <f>IFERROR(__xludf.DUMMYFUNCTION("""COMPUTED_VALUE"""),"")</f>
        <v/>
      </c>
      <c r="F724" t="str">
        <f>IFERROR(__xludf.DUMMYFUNCTION("""COMPUTED_VALUE"""),"")</f>
        <v/>
      </c>
      <c r="G724" t="str">
        <f>IFERROR(__xludf.DUMMYFUNCTION("""COMPUTED_VALUE"""),"")</f>
        <v/>
      </c>
      <c r="H724" t="str">
        <f>IFERROR(__xludf.DUMMYFUNCTION("""COMPUTED_VALUE"""),"")</f>
        <v/>
      </c>
      <c r="I724" t="str">
        <f>IFERROR(__xludf.DUMMYFUNCTION("""COMPUTED_VALUE"""),"")</f>
        <v/>
      </c>
      <c r="J724">
        <f>IFERROR(__xludf.DUMMYFUNCTION("""COMPUTED_VALUE"""),0.0)</f>
        <v>0</v>
      </c>
      <c r="L724" s="250" t="str">
        <f>IFERROR(__xludf.DUMMYFUNCTION("""COMPUTED_VALUE"""),"")</f>
        <v/>
      </c>
      <c r="M724" s="250" t="str">
        <f>IFERROR(__xludf.DUMMYFUNCTION("""COMPUTED_VALUE"""),"")</f>
        <v/>
      </c>
      <c r="N724" s="250" t="str">
        <f>IFERROR(__xludf.DUMMYFUNCTION("""COMPUTED_VALUE"""),"")</f>
        <v/>
      </c>
      <c r="O724" s="250" t="str">
        <f>IFERROR(__xludf.DUMMYFUNCTION("""COMPUTED_VALUE"""),"")</f>
        <v/>
      </c>
      <c r="P724" s="250" t="str">
        <f>IFERROR(__xludf.DUMMYFUNCTION("""COMPUTED_VALUE"""),"")</f>
        <v/>
      </c>
      <c r="Q724" s="250" t="str">
        <f>IFERROR(__xludf.DUMMYFUNCTION("""COMPUTED_VALUE"""),"")</f>
        <v/>
      </c>
      <c r="R724" s="250" t="str">
        <f>IFERROR(__xludf.DUMMYFUNCTION("""COMPUTED_VALUE"""),"")</f>
        <v/>
      </c>
      <c r="U724" s="250" t="str">
        <f>IFERROR(__xludf.DUMMYFUNCTION("""COMPUTED_VALUE"""),"#N/A")</f>
        <v>#N/A</v>
      </c>
      <c r="V724" s="250" t="str">
        <f>IFERROR(__xludf.DUMMYFUNCTION("""COMPUTED_VALUE"""),"#N/A")</f>
        <v>#N/A</v>
      </c>
      <c r="W724" s="250" t="str">
        <f>IFERROR(__xludf.DUMMYFUNCTION("""COMPUTED_VALUE"""),"#N/A")</f>
        <v>#N/A</v>
      </c>
      <c r="X724" t="b">
        <f t="shared" ref="X724:Z724" si="1424">ISBLANK(K724)</f>
        <v>1</v>
      </c>
      <c r="Y724" t="b">
        <f t="shared" si="1424"/>
        <v>0</v>
      </c>
      <c r="Z724" t="b">
        <f t="shared" si="1424"/>
        <v>0</v>
      </c>
      <c r="AA724">
        <f t="shared" ref="AA724:AC724" si="1425">IF(X724=FALSE,1,0)</f>
        <v>0</v>
      </c>
      <c r="AB724">
        <f t="shared" si="1425"/>
        <v>1</v>
      </c>
      <c r="AC724">
        <f t="shared" si="1425"/>
        <v>1</v>
      </c>
      <c r="AD724">
        <f t="shared" si="6"/>
        <v>2</v>
      </c>
      <c r="AE724">
        <f t="shared" si="7"/>
        <v>1</v>
      </c>
      <c r="AF724">
        <f>if(iferror(vlookup($A724,'Description Database'!$E$2:$H$951,3,0),0)=TRUE,1,0)</f>
        <v>0</v>
      </c>
      <c r="AG724">
        <f>if(iferror(vlookup($A724,'Description Database'!$E$2:$H$951,4,0),0)=TRUE,1,0)</f>
        <v>0</v>
      </c>
    </row>
    <row r="725">
      <c r="A725" t="str">
        <f>IFERROR(__xludf.DUMMYFUNCTION("""COMPUTED_VALUE"""),"Xiaomi REDMI 3(2 GB 16GB)")</f>
        <v>Xiaomi REDMI 3(2 GB 16GB)</v>
      </c>
      <c r="B725" t="str">
        <f>IFERROR(__xludf.DUMMYFUNCTION("""COMPUTED_VALUE"""),"")</f>
        <v/>
      </c>
      <c r="C725" t="str">
        <f>IFERROR(__xludf.DUMMYFUNCTION("""COMPUTED_VALUE"""),"")</f>
        <v/>
      </c>
      <c r="D725" t="str">
        <f>IFERROR(__xludf.DUMMYFUNCTION("""COMPUTED_VALUE"""),"")</f>
        <v/>
      </c>
      <c r="E725" t="str">
        <f>IFERROR(__xludf.DUMMYFUNCTION("""COMPUTED_VALUE"""),"")</f>
        <v/>
      </c>
      <c r="F725" t="str">
        <f>IFERROR(__xludf.DUMMYFUNCTION("""COMPUTED_VALUE"""),"")</f>
        <v/>
      </c>
      <c r="G725" t="str">
        <f>IFERROR(__xludf.DUMMYFUNCTION("""COMPUTED_VALUE"""),"")</f>
        <v/>
      </c>
      <c r="H725" t="str">
        <f>IFERROR(__xludf.DUMMYFUNCTION("""COMPUTED_VALUE"""),"")</f>
        <v/>
      </c>
      <c r="I725" t="str">
        <f>IFERROR(__xludf.DUMMYFUNCTION("""COMPUTED_VALUE"""),"")</f>
        <v/>
      </c>
      <c r="J725">
        <f>IFERROR(__xludf.DUMMYFUNCTION("""COMPUTED_VALUE"""),0.0)</f>
        <v>0</v>
      </c>
      <c r="L725" s="250" t="str">
        <f>IFERROR(__xludf.DUMMYFUNCTION("""COMPUTED_VALUE"""),"")</f>
        <v/>
      </c>
      <c r="M725" s="250" t="str">
        <f>IFERROR(__xludf.DUMMYFUNCTION("""COMPUTED_VALUE"""),"")</f>
        <v/>
      </c>
      <c r="N725" s="250" t="str">
        <f>IFERROR(__xludf.DUMMYFUNCTION("""COMPUTED_VALUE"""),"")</f>
        <v/>
      </c>
      <c r="O725" s="250" t="str">
        <f>IFERROR(__xludf.DUMMYFUNCTION("""COMPUTED_VALUE"""),"")</f>
        <v/>
      </c>
      <c r="P725" s="250" t="str">
        <f>IFERROR(__xludf.DUMMYFUNCTION("""COMPUTED_VALUE"""),"")</f>
        <v/>
      </c>
      <c r="Q725" s="250" t="str">
        <f>IFERROR(__xludf.DUMMYFUNCTION("""COMPUTED_VALUE"""),"")</f>
        <v/>
      </c>
      <c r="R725" s="250" t="str">
        <f>IFERROR(__xludf.DUMMYFUNCTION("""COMPUTED_VALUE"""),"")</f>
        <v/>
      </c>
      <c r="U725" s="250" t="str">
        <f>IFERROR(__xludf.DUMMYFUNCTION("""COMPUTED_VALUE"""),"#N/A")</f>
        <v>#N/A</v>
      </c>
      <c r="V725" s="250" t="str">
        <f>IFERROR(__xludf.DUMMYFUNCTION("""COMPUTED_VALUE"""),"#N/A")</f>
        <v>#N/A</v>
      </c>
      <c r="W725" s="250" t="str">
        <f>IFERROR(__xludf.DUMMYFUNCTION("""COMPUTED_VALUE"""),"#N/A")</f>
        <v>#N/A</v>
      </c>
      <c r="X725" t="b">
        <f t="shared" ref="X725:Z725" si="1426">ISBLANK(K725)</f>
        <v>1</v>
      </c>
      <c r="Y725" t="b">
        <f t="shared" si="1426"/>
        <v>0</v>
      </c>
      <c r="Z725" t="b">
        <f t="shared" si="1426"/>
        <v>0</v>
      </c>
      <c r="AA725">
        <f t="shared" ref="AA725:AC725" si="1427">IF(X725=FALSE,1,0)</f>
        <v>0</v>
      </c>
      <c r="AB725">
        <f t="shared" si="1427"/>
        <v>1</v>
      </c>
      <c r="AC725">
        <f t="shared" si="1427"/>
        <v>1</v>
      </c>
      <c r="AD725">
        <f t="shared" si="6"/>
        <v>2</v>
      </c>
      <c r="AE725">
        <f t="shared" si="7"/>
        <v>1</v>
      </c>
      <c r="AF725">
        <f>if(iferror(vlookup($A725,'Description Database'!$E$2:$H$951,3,0),0)=TRUE,1,0)</f>
        <v>0</v>
      </c>
      <c r="AG725">
        <f>if(iferror(vlookup($A725,'Description Database'!$E$2:$H$951,4,0),0)=TRUE,1,0)</f>
        <v>0</v>
      </c>
    </row>
    <row r="726">
      <c r="A726" t="str">
        <f>IFERROR(__xludf.DUMMYFUNCTION("""COMPUTED_VALUE"""),"Samsung Galaxy M10s (3 GB/32 GB)")</f>
        <v>Samsung Galaxy M10s (3 GB/32 GB)</v>
      </c>
      <c r="B726" t="str">
        <f>IFERROR(__xludf.DUMMYFUNCTION("""COMPUTED_VALUE"""),"")</f>
        <v/>
      </c>
      <c r="C726" t="str">
        <f>IFERROR(__xludf.DUMMYFUNCTION("""COMPUTED_VALUE"""),"")</f>
        <v/>
      </c>
      <c r="D726" t="str">
        <f>IFERROR(__xludf.DUMMYFUNCTION("""COMPUTED_VALUE"""),"")</f>
        <v/>
      </c>
      <c r="E726" t="str">
        <f>IFERROR(__xludf.DUMMYFUNCTION("""COMPUTED_VALUE"""),"")</f>
        <v/>
      </c>
      <c r="F726" t="str">
        <f>IFERROR(__xludf.DUMMYFUNCTION("""COMPUTED_VALUE"""),"")</f>
        <v/>
      </c>
      <c r="G726">
        <f>IFERROR(__xludf.DUMMYFUNCTION("""COMPUTED_VALUE"""),2.0)</f>
        <v>2</v>
      </c>
      <c r="H726" t="str">
        <f>IFERROR(__xludf.DUMMYFUNCTION("""COMPUTED_VALUE"""),"")</f>
        <v/>
      </c>
      <c r="I726">
        <f>IFERROR(__xludf.DUMMYFUNCTION("""COMPUTED_VALUE"""),1.0)</f>
        <v>1</v>
      </c>
      <c r="J726">
        <f>IFERROR(__xludf.DUMMYFUNCTION("""COMPUTED_VALUE"""),3.0)</f>
        <v>3</v>
      </c>
      <c r="L726" s="250" t="str">
        <f>IFERROR(__xludf.DUMMYFUNCTION("""COMPUTED_VALUE"""),"")</f>
        <v/>
      </c>
      <c r="M726" s="250" t="str">
        <f>IFERROR(__xludf.DUMMYFUNCTION("""COMPUTED_VALUE"""),"")</f>
        <v/>
      </c>
      <c r="N726" s="250" t="str">
        <f>IFERROR(__xludf.DUMMYFUNCTION("""COMPUTED_VALUE"""),"")</f>
        <v/>
      </c>
      <c r="O726" s="250" t="str">
        <f>IFERROR(__xludf.DUMMYFUNCTION("""COMPUTED_VALUE"""),"")</f>
        <v/>
      </c>
      <c r="P726" s="250" t="str">
        <f>IFERROR(__xludf.DUMMYFUNCTION("""COMPUTED_VALUE"""),"")</f>
        <v/>
      </c>
      <c r="Q726" s="250">
        <f>IFERROR(__xludf.DUMMYFUNCTION("""COMPUTED_VALUE"""),2909.0)</f>
        <v>2909</v>
      </c>
      <c r="R726" s="250" t="str">
        <f>IFERROR(__xludf.DUMMYFUNCTION("""COMPUTED_VALUE"""),"")</f>
        <v/>
      </c>
      <c r="U726" s="250">
        <f>IFERROR(__xludf.DUMMYFUNCTION("""COMPUTED_VALUE"""),6649.0)</f>
        <v>6649</v>
      </c>
      <c r="V726" s="250">
        <f>IFERROR(__xludf.DUMMYFUNCTION("""COMPUTED_VALUE"""),6329.0)</f>
        <v>6329</v>
      </c>
      <c r="W726" s="250">
        <f>IFERROR(__xludf.DUMMYFUNCTION("""COMPUTED_VALUE"""),5699.0)</f>
        <v>5699</v>
      </c>
      <c r="X726" t="b">
        <f t="shared" ref="X726:Z726" si="1428">ISBLANK(K726)</f>
        <v>1</v>
      </c>
      <c r="Y726" t="b">
        <f t="shared" si="1428"/>
        <v>0</v>
      </c>
      <c r="Z726" t="b">
        <f t="shared" si="1428"/>
        <v>0</v>
      </c>
      <c r="AA726">
        <f t="shared" ref="AA726:AC726" si="1429">IF(X726=FALSE,1,0)</f>
        <v>0</v>
      </c>
      <c r="AB726">
        <f t="shared" si="1429"/>
        <v>1</v>
      </c>
      <c r="AC726">
        <f t="shared" si="1429"/>
        <v>1</v>
      </c>
      <c r="AD726">
        <f t="shared" si="6"/>
        <v>2</v>
      </c>
      <c r="AE726">
        <f t="shared" si="7"/>
        <v>1</v>
      </c>
      <c r="AF726">
        <f>if(iferror(vlookup($A726,'Description Database'!$E$2:$H$951,3,0),0)=TRUE,1,0)</f>
        <v>0</v>
      </c>
      <c r="AG726">
        <f>if(iferror(vlookup($A726,'Description Database'!$E$2:$H$951,4,0),0)=TRUE,1,0)</f>
        <v>0</v>
      </c>
    </row>
    <row r="727">
      <c r="A727" t="str">
        <f>IFERROR(__xludf.DUMMYFUNCTION("""COMPUTED_VALUE"""),"Motorola MOTO Z2 PLAY(4 GB 64GB)")</f>
        <v>Motorola MOTO Z2 PLAY(4 GB 64GB)</v>
      </c>
      <c r="B727" t="str">
        <f>IFERROR(__xludf.DUMMYFUNCTION("""COMPUTED_VALUE"""),"")</f>
        <v/>
      </c>
      <c r="C727" t="str">
        <f>IFERROR(__xludf.DUMMYFUNCTION("""COMPUTED_VALUE"""),"")</f>
        <v/>
      </c>
      <c r="D727" t="str">
        <f>IFERROR(__xludf.DUMMYFUNCTION("""COMPUTED_VALUE"""),"")</f>
        <v/>
      </c>
      <c r="E727" t="str">
        <f>IFERROR(__xludf.DUMMYFUNCTION("""COMPUTED_VALUE"""),"")</f>
        <v/>
      </c>
      <c r="F727" t="str">
        <f>IFERROR(__xludf.DUMMYFUNCTION("""COMPUTED_VALUE"""),"")</f>
        <v/>
      </c>
      <c r="G727" t="str">
        <f>IFERROR(__xludf.DUMMYFUNCTION("""COMPUTED_VALUE"""),"")</f>
        <v/>
      </c>
      <c r="H727" t="str">
        <f>IFERROR(__xludf.DUMMYFUNCTION("""COMPUTED_VALUE"""),"")</f>
        <v/>
      </c>
      <c r="I727">
        <f>IFERROR(__xludf.DUMMYFUNCTION("""COMPUTED_VALUE"""),3.0)</f>
        <v>3</v>
      </c>
      <c r="J727">
        <f>IFERROR(__xludf.DUMMYFUNCTION("""COMPUTED_VALUE"""),3.0)</f>
        <v>3</v>
      </c>
      <c r="L727" s="250" t="str">
        <f>IFERROR(__xludf.DUMMYFUNCTION("""COMPUTED_VALUE"""),"")</f>
        <v/>
      </c>
      <c r="M727" s="250" t="str">
        <f>IFERROR(__xludf.DUMMYFUNCTION("""COMPUTED_VALUE"""),"")</f>
        <v/>
      </c>
      <c r="N727" s="250" t="str">
        <f>IFERROR(__xludf.DUMMYFUNCTION("""COMPUTED_VALUE"""),"")</f>
        <v/>
      </c>
      <c r="O727" s="250" t="str">
        <f>IFERROR(__xludf.DUMMYFUNCTION("""COMPUTED_VALUE"""),"")</f>
        <v/>
      </c>
      <c r="P727" s="250" t="str">
        <f>IFERROR(__xludf.DUMMYFUNCTION("""COMPUTED_VALUE"""),"")</f>
        <v/>
      </c>
      <c r="Q727" s="250" t="str">
        <f>IFERROR(__xludf.DUMMYFUNCTION("""COMPUTED_VALUE"""),"")</f>
        <v/>
      </c>
      <c r="R727" s="250" t="str">
        <f>IFERROR(__xludf.DUMMYFUNCTION("""COMPUTED_VALUE"""),"")</f>
        <v/>
      </c>
      <c r="U727" s="250" t="str">
        <f>IFERROR(__xludf.DUMMYFUNCTION("""COMPUTED_VALUE"""),"#N/A")</f>
        <v>#N/A</v>
      </c>
      <c r="V727" s="250" t="str">
        <f>IFERROR(__xludf.DUMMYFUNCTION("""COMPUTED_VALUE"""),"#N/A")</f>
        <v>#N/A</v>
      </c>
      <c r="W727" s="250" t="str">
        <f>IFERROR(__xludf.DUMMYFUNCTION("""COMPUTED_VALUE"""),"#N/A")</f>
        <v>#N/A</v>
      </c>
      <c r="X727" t="b">
        <f t="shared" ref="X727:Z727" si="1430">ISBLANK(K727)</f>
        <v>1</v>
      </c>
      <c r="Y727" t="b">
        <f t="shared" si="1430"/>
        <v>0</v>
      </c>
      <c r="Z727" t="b">
        <f t="shared" si="1430"/>
        <v>0</v>
      </c>
      <c r="AA727">
        <f t="shared" ref="AA727:AC727" si="1431">IF(X727=FALSE,1,0)</f>
        <v>0</v>
      </c>
      <c r="AB727">
        <f t="shared" si="1431"/>
        <v>1</v>
      </c>
      <c r="AC727">
        <f t="shared" si="1431"/>
        <v>1</v>
      </c>
      <c r="AD727">
        <f t="shared" si="6"/>
        <v>2</v>
      </c>
      <c r="AE727">
        <f t="shared" si="7"/>
        <v>1</v>
      </c>
      <c r="AF727">
        <f>if(iferror(vlookup($A727,'Description Database'!$E$2:$H$951,3,0),0)=TRUE,1,0)</f>
        <v>0</v>
      </c>
      <c r="AG727">
        <f>if(iferror(vlookup($A727,'Description Database'!$E$2:$H$951,4,0),0)=TRUE,1,0)</f>
        <v>0</v>
      </c>
    </row>
    <row r="728">
      <c r="A728" t="str">
        <f>IFERROR(__xludf.DUMMYFUNCTION("""COMPUTED_VALUE"""),"Samsung GALAXY ON8 (3 GB/16 GB)")</f>
        <v>Samsung GALAXY ON8 (3 GB/16 GB)</v>
      </c>
      <c r="B728" t="str">
        <f>IFERROR(__xludf.DUMMYFUNCTION("""COMPUTED_VALUE"""),"")</f>
        <v/>
      </c>
      <c r="C728" t="str">
        <f>IFERROR(__xludf.DUMMYFUNCTION("""COMPUTED_VALUE"""),"")</f>
        <v/>
      </c>
      <c r="D728" t="str">
        <f>IFERROR(__xludf.DUMMYFUNCTION("""COMPUTED_VALUE"""),"")</f>
        <v/>
      </c>
      <c r="E728" t="str">
        <f>IFERROR(__xludf.DUMMYFUNCTION("""COMPUTED_VALUE"""),"")</f>
        <v/>
      </c>
      <c r="F728" t="str">
        <f>IFERROR(__xludf.DUMMYFUNCTION("""COMPUTED_VALUE"""),"")</f>
        <v/>
      </c>
      <c r="G728" t="str">
        <f>IFERROR(__xludf.DUMMYFUNCTION("""COMPUTED_VALUE"""),"")</f>
        <v/>
      </c>
      <c r="H728" t="str">
        <f>IFERROR(__xludf.DUMMYFUNCTION("""COMPUTED_VALUE"""),"")</f>
        <v/>
      </c>
      <c r="I728">
        <f>IFERROR(__xludf.DUMMYFUNCTION("""COMPUTED_VALUE"""),14.0)</f>
        <v>14</v>
      </c>
      <c r="J728">
        <f>IFERROR(__xludf.DUMMYFUNCTION("""COMPUTED_VALUE"""),14.0)</f>
        <v>14</v>
      </c>
      <c r="L728" s="250" t="str">
        <f>IFERROR(__xludf.DUMMYFUNCTION("""COMPUTED_VALUE"""),"")</f>
        <v/>
      </c>
      <c r="M728" s="250" t="str">
        <f>IFERROR(__xludf.DUMMYFUNCTION("""COMPUTED_VALUE"""),"")</f>
        <v/>
      </c>
      <c r="N728" s="250" t="str">
        <f>IFERROR(__xludf.DUMMYFUNCTION("""COMPUTED_VALUE"""),"")</f>
        <v/>
      </c>
      <c r="O728" s="250" t="str">
        <f>IFERROR(__xludf.DUMMYFUNCTION("""COMPUTED_VALUE"""),"")</f>
        <v/>
      </c>
      <c r="P728" s="250" t="str">
        <f>IFERROR(__xludf.DUMMYFUNCTION("""COMPUTED_VALUE"""),"")</f>
        <v/>
      </c>
      <c r="Q728" s="250" t="str">
        <f>IFERROR(__xludf.DUMMYFUNCTION("""COMPUTED_VALUE"""),"")</f>
        <v/>
      </c>
      <c r="R728" s="250" t="str">
        <f>IFERROR(__xludf.DUMMYFUNCTION("""COMPUTED_VALUE"""),"")</f>
        <v/>
      </c>
      <c r="U728" s="250">
        <f>IFERROR(__xludf.DUMMYFUNCTION("""COMPUTED_VALUE"""),4469.0)</f>
        <v>4469</v>
      </c>
      <c r="V728" s="250">
        <f>IFERROR(__xludf.DUMMYFUNCTION("""COMPUTED_VALUE"""),4249.0)</f>
        <v>4249</v>
      </c>
      <c r="W728" s="250">
        <f>IFERROR(__xludf.DUMMYFUNCTION("""COMPUTED_VALUE"""),3829.0)</f>
        <v>3829</v>
      </c>
      <c r="X728" t="b">
        <f t="shared" ref="X728:Z728" si="1432">ISBLANK(K728)</f>
        <v>1</v>
      </c>
      <c r="Y728" t="b">
        <f t="shared" si="1432"/>
        <v>0</v>
      </c>
      <c r="Z728" t="b">
        <f t="shared" si="1432"/>
        <v>0</v>
      </c>
      <c r="AA728">
        <f t="shared" ref="AA728:AC728" si="1433">IF(X728=FALSE,1,0)</f>
        <v>0</v>
      </c>
      <c r="AB728">
        <f t="shared" si="1433"/>
        <v>1</v>
      </c>
      <c r="AC728">
        <f t="shared" si="1433"/>
        <v>1</v>
      </c>
      <c r="AD728">
        <f t="shared" si="6"/>
        <v>2</v>
      </c>
      <c r="AE728">
        <f t="shared" si="7"/>
        <v>1</v>
      </c>
      <c r="AF728">
        <f>if(iferror(vlookup($A728,'Description Database'!$E$2:$H$951,3,0),0)=TRUE,1,0)</f>
        <v>0</v>
      </c>
      <c r="AG728">
        <f>if(iferror(vlookup($A728,'Description Database'!$E$2:$H$951,4,0),0)=TRUE,1,0)</f>
        <v>0</v>
      </c>
    </row>
    <row r="729">
      <c r="A729" t="str">
        <f>IFERROR(__xludf.DUMMYFUNCTION("""COMPUTED_VALUE"""),"Apple iPhone 11 Pro (4 GB/64 GB)")</f>
        <v>Apple iPhone 11 Pro (4 GB/64 GB)</v>
      </c>
      <c r="B729" t="str">
        <f>IFERROR(__xludf.DUMMYFUNCTION("""COMPUTED_VALUE"""),"")</f>
        <v/>
      </c>
      <c r="C729" t="str">
        <f>IFERROR(__xludf.DUMMYFUNCTION("""COMPUTED_VALUE"""),"")</f>
        <v/>
      </c>
      <c r="D729" t="str">
        <f>IFERROR(__xludf.DUMMYFUNCTION("""COMPUTED_VALUE"""),"")</f>
        <v/>
      </c>
      <c r="E729" t="str">
        <f>IFERROR(__xludf.DUMMYFUNCTION("""COMPUTED_VALUE"""),"")</f>
        <v/>
      </c>
      <c r="F729" t="str">
        <f>IFERROR(__xludf.DUMMYFUNCTION("""COMPUTED_VALUE"""),"")</f>
        <v/>
      </c>
      <c r="G729" t="str">
        <f>IFERROR(__xludf.DUMMYFUNCTION("""COMPUTED_VALUE"""),"")</f>
        <v/>
      </c>
      <c r="H729" t="str">
        <f>IFERROR(__xludf.DUMMYFUNCTION("""COMPUTED_VALUE"""),"")</f>
        <v/>
      </c>
      <c r="I729" t="str">
        <f>IFERROR(__xludf.DUMMYFUNCTION("""COMPUTED_VALUE"""),"")</f>
        <v/>
      </c>
      <c r="J729">
        <f>IFERROR(__xludf.DUMMYFUNCTION("""COMPUTED_VALUE"""),0.0)</f>
        <v>0</v>
      </c>
      <c r="L729" s="250" t="str">
        <f>IFERROR(__xludf.DUMMYFUNCTION("""COMPUTED_VALUE"""),"")</f>
        <v/>
      </c>
      <c r="M729" s="250" t="str">
        <f>IFERROR(__xludf.DUMMYFUNCTION("""COMPUTED_VALUE"""),"")</f>
        <v/>
      </c>
      <c r="N729" s="250" t="str">
        <f>IFERROR(__xludf.DUMMYFUNCTION("""COMPUTED_VALUE"""),"")</f>
        <v/>
      </c>
      <c r="O729" s="250" t="str">
        <f>IFERROR(__xludf.DUMMYFUNCTION("""COMPUTED_VALUE"""),"")</f>
        <v/>
      </c>
      <c r="P729" s="250" t="str">
        <f>IFERROR(__xludf.DUMMYFUNCTION("""COMPUTED_VALUE"""),"")</f>
        <v/>
      </c>
      <c r="Q729" s="250" t="str">
        <f>IFERROR(__xludf.DUMMYFUNCTION("""COMPUTED_VALUE"""),"")</f>
        <v/>
      </c>
      <c r="R729" s="250" t="str">
        <f>IFERROR(__xludf.DUMMYFUNCTION("""COMPUTED_VALUE"""),"")</f>
        <v/>
      </c>
      <c r="U729" s="250">
        <f>IFERROR(__xludf.DUMMYFUNCTION("""COMPUTED_VALUE"""),52499.0)</f>
        <v>52499</v>
      </c>
      <c r="V729" s="250">
        <f>IFERROR(__xludf.DUMMYFUNCTION("""COMPUTED_VALUE"""),49989.0)</f>
        <v>49989</v>
      </c>
      <c r="W729" s="250">
        <f>IFERROR(__xludf.DUMMYFUNCTION("""COMPUTED_VALUE"""),45679.0)</f>
        <v>45679</v>
      </c>
      <c r="X729" t="b">
        <f t="shared" ref="X729:Z729" si="1434">ISBLANK(K729)</f>
        <v>1</v>
      </c>
      <c r="Y729" t="b">
        <f t="shared" si="1434"/>
        <v>0</v>
      </c>
      <c r="Z729" t="b">
        <f t="shared" si="1434"/>
        <v>0</v>
      </c>
      <c r="AA729">
        <f t="shared" ref="AA729:AC729" si="1435">IF(X729=FALSE,1,0)</f>
        <v>0</v>
      </c>
      <c r="AB729">
        <f t="shared" si="1435"/>
        <v>1</v>
      </c>
      <c r="AC729">
        <f t="shared" si="1435"/>
        <v>1</v>
      </c>
      <c r="AD729">
        <f t="shared" si="6"/>
        <v>2</v>
      </c>
      <c r="AE729">
        <f t="shared" si="7"/>
        <v>1</v>
      </c>
      <c r="AF729">
        <f>if(iferror(vlookup($A729,'Description Database'!$E$2:$H$951,3,0),0)=TRUE,1,0)</f>
        <v>0</v>
      </c>
      <c r="AG729">
        <f>if(iferror(vlookup($A729,'Description Database'!$E$2:$H$951,4,0),0)=TRUE,1,0)</f>
        <v>0</v>
      </c>
    </row>
    <row r="730">
      <c r="A730" t="str">
        <f>IFERROR(__xludf.DUMMYFUNCTION("""COMPUTED_VALUE"""),"Apple iPhone 6S Plus (2 GB/32 GB)")</f>
        <v>Apple iPhone 6S Plus (2 GB/32 GB)</v>
      </c>
      <c r="B730" t="str">
        <f>IFERROR(__xludf.DUMMYFUNCTION("""COMPUTED_VALUE"""),"")</f>
        <v/>
      </c>
      <c r="C730">
        <f>IFERROR(__xludf.DUMMYFUNCTION("""COMPUTED_VALUE"""),1.0)</f>
        <v>1</v>
      </c>
      <c r="D730" t="str">
        <f>IFERROR(__xludf.DUMMYFUNCTION("""COMPUTED_VALUE"""),"")</f>
        <v/>
      </c>
      <c r="E730" t="str">
        <f>IFERROR(__xludf.DUMMYFUNCTION("""COMPUTED_VALUE"""),"")</f>
        <v/>
      </c>
      <c r="F730" t="str">
        <f>IFERROR(__xludf.DUMMYFUNCTION("""COMPUTED_VALUE"""),"")</f>
        <v/>
      </c>
      <c r="G730" t="str">
        <f>IFERROR(__xludf.DUMMYFUNCTION("""COMPUTED_VALUE"""),"")</f>
        <v/>
      </c>
      <c r="H730" t="str">
        <f>IFERROR(__xludf.DUMMYFUNCTION("""COMPUTED_VALUE"""),"")</f>
        <v/>
      </c>
      <c r="I730" t="str">
        <f>IFERROR(__xludf.DUMMYFUNCTION("""COMPUTED_VALUE"""),"")</f>
        <v/>
      </c>
      <c r="J730">
        <f>IFERROR(__xludf.DUMMYFUNCTION("""COMPUTED_VALUE"""),1.0)</f>
        <v>1</v>
      </c>
      <c r="L730" s="250" t="str">
        <f>IFERROR(__xludf.DUMMYFUNCTION("""COMPUTED_VALUE"""),"")</f>
        <v/>
      </c>
      <c r="M730" s="250">
        <f>IFERROR(__xludf.DUMMYFUNCTION("""COMPUTED_VALUE"""),9899.0)</f>
        <v>9899</v>
      </c>
      <c r="N730" s="250" t="str">
        <f>IFERROR(__xludf.DUMMYFUNCTION("""COMPUTED_VALUE"""),"")</f>
        <v/>
      </c>
      <c r="O730" s="250" t="str">
        <f>IFERROR(__xludf.DUMMYFUNCTION("""COMPUTED_VALUE"""),"")</f>
        <v/>
      </c>
      <c r="P730" s="250" t="str">
        <f>IFERROR(__xludf.DUMMYFUNCTION("""COMPUTED_VALUE"""),"")</f>
        <v/>
      </c>
      <c r="Q730" s="250" t="str">
        <f>IFERROR(__xludf.DUMMYFUNCTION("""COMPUTED_VALUE"""),"")</f>
        <v/>
      </c>
      <c r="R730" s="250" t="str">
        <f>IFERROR(__xludf.DUMMYFUNCTION("""COMPUTED_VALUE"""),"")</f>
        <v/>
      </c>
      <c r="U730" s="250">
        <f>IFERROR(__xludf.DUMMYFUNCTION("""COMPUTED_VALUE"""),11439.0)</f>
        <v>11439</v>
      </c>
      <c r="V730" s="250">
        <f>IFERROR(__xludf.DUMMYFUNCTION("""COMPUTED_VALUE"""),10889.0)</f>
        <v>10889</v>
      </c>
      <c r="W730" s="250">
        <f>IFERROR(__xludf.DUMMYFUNCTION("""COMPUTED_VALUE"""),9799.0)</f>
        <v>9799</v>
      </c>
      <c r="X730" t="b">
        <f t="shared" ref="X730:Z730" si="1436">ISBLANK(K730)</f>
        <v>1</v>
      </c>
      <c r="Y730" t="b">
        <f t="shared" si="1436"/>
        <v>0</v>
      </c>
      <c r="Z730" t="b">
        <f t="shared" si="1436"/>
        <v>0</v>
      </c>
      <c r="AA730">
        <f t="shared" ref="AA730:AC730" si="1437">IF(X730=FALSE,1,0)</f>
        <v>0</v>
      </c>
      <c r="AB730">
        <f t="shared" si="1437"/>
        <v>1</v>
      </c>
      <c r="AC730">
        <f t="shared" si="1437"/>
        <v>1</v>
      </c>
      <c r="AD730">
        <f t="shared" si="6"/>
        <v>2</v>
      </c>
      <c r="AE730">
        <f t="shared" si="7"/>
        <v>1</v>
      </c>
      <c r="AF730">
        <f>if(iferror(vlookup($A730,'Description Database'!$E$2:$H$951,3,0),0)=TRUE,1,0)</f>
        <v>0</v>
      </c>
      <c r="AG730">
        <f>if(iferror(vlookup($A730,'Description Database'!$E$2:$H$951,4,0),0)=TRUE,1,0)</f>
        <v>0</v>
      </c>
    </row>
    <row r="731">
      <c r="A731" t="str">
        <f>IFERROR(__xludf.DUMMYFUNCTION("""COMPUTED_VALUE"""),"Apple iPhone 11 (4 GB/64 GB)")</f>
        <v>Apple iPhone 11 (4 GB/64 GB)</v>
      </c>
      <c r="B731" t="str">
        <f>IFERROR(__xludf.DUMMYFUNCTION("""COMPUTED_VALUE"""),"")</f>
        <v/>
      </c>
      <c r="C731" t="str">
        <f>IFERROR(__xludf.DUMMYFUNCTION("""COMPUTED_VALUE"""),"")</f>
        <v/>
      </c>
      <c r="D731" t="str">
        <f>IFERROR(__xludf.DUMMYFUNCTION("""COMPUTED_VALUE"""),"")</f>
        <v/>
      </c>
      <c r="E731" t="str">
        <f>IFERROR(__xludf.DUMMYFUNCTION("""COMPUTED_VALUE"""),"")</f>
        <v/>
      </c>
      <c r="F731" t="str">
        <f>IFERROR(__xludf.DUMMYFUNCTION("""COMPUTED_VALUE"""),"")</f>
        <v/>
      </c>
      <c r="G731" t="str">
        <f>IFERROR(__xludf.DUMMYFUNCTION("""COMPUTED_VALUE"""),"")</f>
        <v/>
      </c>
      <c r="H731" t="str">
        <f>IFERROR(__xludf.DUMMYFUNCTION("""COMPUTED_VALUE"""),"")</f>
        <v/>
      </c>
      <c r="I731" t="str">
        <f>IFERROR(__xludf.DUMMYFUNCTION("""COMPUTED_VALUE"""),"")</f>
        <v/>
      </c>
      <c r="J731">
        <f>IFERROR(__xludf.DUMMYFUNCTION("""COMPUTED_VALUE"""),0.0)</f>
        <v>0</v>
      </c>
      <c r="L731" s="250" t="str">
        <f>IFERROR(__xludf.DUMMYFUNCTION("""COMPUTED_VALUE"""),"")</f>
        <v/>
      </c>
      <c r="M731" s="250" t="str">
        <f>IFERROR(__xludf.DUMMYFUNCTION("""COMPUTED_VALUE"""),"")</f>
        <v/>
      </c>
      <c r="N731" s="250" t="str">
        <f>IFERROR(__xludf.DUMMYFUNCTION("""COMPUTED_VALUE"""),"")</f>
        <v/>
      </c>
      <c r="O731" s="250" t="str">
        <f>IFERROR(__xludf.DUMMYFUNCTION("""COMPUTED_VALUE"""),"")</f>
        <v/>
      </c>
      <c r="P731" s="250" t="str">
        <f>IFERROR(__xludf.DUMMYFUNCTION("""COMPUTED_VALUE"""),"")</f>
        <v/>
      </c>
      <c r="Q731" s="250" t="str">
        <f>IFERROR(__xludf.DUMMYFUNCTION("""COMPUTED_VALUE"""),"")</f>
        <v/>
      </c>
      <c r="R731" s="250" t="str">
        <f>IFERROR(__xludf.DUMMYFUNCTION("""COMPUTED_VALUE"""),"")</f>
        <v/>
      </c>
      <c r="U731" s="250">
        <f>IFERROR(__xludf.DUMMYFUNCTION("""COMPUTED_VALUE"""),36139.0)</f>
        <v>36139</v>
      </c>
      <c r="V731" s="250">
        <f>IFERROR(__xludf.DUMMYFUNCTION("""COMPUTED_VALUE"""),34409.0)</f>
        <v>34409</v>
      </c>
      <c r="W731" s="250">
        <f>IFERROR(__xludf.DUMMYFUNCTION("""COMPUTED_VALUE"""),31439.0)</f>
        <v>31439</v>
      </c>
      <c r="X731" t="b">
        <f t="shared" ref="X731:Z731" si="1438">ISBLANK(K731)</f>
        <v>1</v>
      </c>
      <c r="Y731" t="b">
        <f t="shared" si="1438"/>
        <v>0</v>
      </c>
      <c r="Z731" t="b">
        <f t="shared" si="1438"/>
        <v>0</v>
      </c>
      <c r="AA731">
        <f t="shared" ref="AA731:AC731" si="1439">IF(X731=FALSE,1,0)</f>
        <v>0</v>
      </c>
      <c r="AB731">
        <f t="shared" si="1439"/>
        <v>1</v>
      </c>
      <c r="AC731">
        <f t="shared" si="1439"/>
        <v>1</v>
      </c>
      <c r="AD731">
        <f t="shared" si="6"/>
        <v>2</v>
      </c>
      <c r="AE731">
        <f t="shared" si="7"/>
        <v>1</v>
      </c>
      <c r="AF731">
        <f>if(iferror(vlookup($A731,'Description Database'!$E$2:$H$951,3,0),0)=TRUE,1,0)</f>
        <v>0</v>
      </c>
      <c r="AG731">
        <f>if(iferror(vlookup($A731,'Description Database'!$E$2:$H$951,4,0),0)=TRUE,1,0)</f>
        <v>0</v>
      </c>
    </row>
    <row r="732">
      <c r="A732" t="str">
        <f>IFERROR(__xludf.DUMMYFUNCTION("""COMPUTED_VALUE"""),"Apple IPHONE 8 + (3 GB /256 GB)")</f>
        <v>Apple IPHONE 8 + (3 GB /256 GB)</v>
      </c>
      <c r="B732" t="str">
        <f>IFERROR(__xludf.DUMMYFUNCTION("""COMPUTED_VALUE"""),"")</f>
        <v/>
      </c>
      <c r="C732" t="str">
        <f>IFERROR(__xludf.DUMMYFUNCTION("""COMPUTED_VALUE"""),"")</f>
        <v/>
      </c>
      <c r="D732" t="str">
        <f>IFERROR(__xludf.DUMMYFUNCTION("""COMPUTED_VALUE"""),"")</f>
        <v/>
      </c>
      <c r="E732">
        <f>IFERROR(__xludf.DUMMYFUNCTION("""COMPUTED_VALUE"""),1.0)</f>
        <v>1</v>
      </c>
      <c r="F732">
        <f>IFERROR(__xludf.DUMMYFUNCTION("""COMPUTED_VALUE"""),1.0)</f>
        <v>1</v>
      </c>
      <c r="G732" t="str">
        <f>IFERROR(__xludf.DUMMYFUNCTION("""COMPUTED_VALUE"""),"")</f>
        <v/>
      </c>
      <c r="H732" t="str">
        <f>IFERROR(__xludf.DUMMYFUNCTION("""COMPUTED_VALUE"""),"")</f>
        <v/>
      </c>
      <c r="I732" t="str">
        <f>IFERROR(__xludf.DUMMYFUNCTION("""COMPUTED_VALUE"""),"")</f>
        <v/>
      </c>
      <c r="J732">
        <f>IFERROR(__xludf.DUMMYFUNCTION("""COMPUTED_VALUE"""),2.0)</f>
        <v>2</v>
      </c>
      <c r="L732" s="250" t="str">
        <f>IFERROR(__xludf.DUMMYFUNCTION("""COMPUTED_VALUE"""),"")</f>
        <v/>
      </c>
      <c r="M732" s="250" t="str">
        <f>IFERROR(__xludf.DUMMYFUNCTION("""COMPUTED_VALUE"""),"")</f>
        <v/>
      </c>
      <c r="N732" s="250" t="str">
        <f>IFERROR(__xludf.DUMMYFUNCTION("""COMPUTED_VALUE"""),"")</f>
        <v/>
      </c>
      <c r="O732" s="250" t="str">
        <f>IFERROR(__xludf.DUMMYFUNCTION("""COMPUTED_VALUE"""),"#N/A")</f>
        <v>#N/A</v>
      </c>
      <c r="P732" s="250" t="str">
        <f>IFERROR(__xludf.DUMMYFUNCTION("""COMPUTED_VALUE"""),"#N/A")</f>
        <v>#N/A</v>
      </c>
      <c r="Q732" s="250" t="str">
        <f>IFERROR(__xludf.DUMMYFUNCTION("""COMPUTED_VALUE"""),"")</f>
        <v/>
      </c>
      <c r="R732" s="250" t="str">
        <f>IFERROR(__xludf.DUMMYFUNCTION("""COMPUTED_VALUE"""),"")</f>
        <v/>
      </c>
      <c r="U732" s="250" t="str">
        <f>IFERROR(__xludf.DUMMYFUNCTION("""COMPUTED_VALUE"""),"#N/A")</f>
        <v>#N/A</v>
      </c>
      <c r="V732" s="250" t="str">
        <f>IFERROR(__xludf.DUMMYFUNCTION("""COMPUTED_VALUE"""),"#N/A")</f>
        <v>#N/A</v>
      </c>
      <c r="W732" s="250" t="str">
        <f>IFERROR(__xludf.DUMMYFUNCTION("""COMPUTED_VALUE"""),"#N/A")</f>
        <v>#N/A</v>
      </c>
      <c r="X732" t="b">
        <f t="shared" ref="X732:Z732" si="1440">ISBLANK(K732)</f>
        <v>1</v>
      </c>
      <c r="Y732" t="b">
        <f t="shared" si="1440"/>
        <v>0</v>
      </c>
      <c r="Z732" t="b">
        <f t="shared" si="1440"/>
        <v>0</v>
      </c>
      <c r="AA732">
        <f t="shared" ref="AA732:AC732" si="1441">IF(X732=FALSE,1,0)</f>
        <v>0</v>
      </c>
      <c r="AB732">
        <f t="shared" si="1441"/>
        <v>1</v>
      </c>
      <c r="AC732">
        <f t="shared" si="1441"/>
        <v>1</v>
      </c>
      <c r="AD732">
        <f t="shared" si="6"/>
        <v>2</v>
      </c>
      <c r="AE732">
        <f t="shared" si="7"/>
        <v>1</v>
      </c>
      <c r="AF732">
        <f>if(iferror(vlookup($A732,'Description Database'!$E$2:$H$951,3,0),0)=TRUE,1,0)</f>
        <v>0</v>
      </c>
      <c r="AG732">
        <f>if(iferror(vlookup($A732,'Description Database'!$E$2:$H$951,4,0),0)=TRUE,1,0)</f>
        <v>0</v>
      </c>
    </row>
    <row r="733">
      <c r="A733" t="str">
        <f>IFERROR(__xludf.DUMMYFUNCTION("""COMPUTED_VALUE"""),"Apple iPhone 12 mini (4 GB/128 GB)")</f>
        <v>Apple iPhone 12 mini (4 GB/128 GB)</v>
      </c>
      <c r="B733" t="str">
        <f>IFERROR(__xludf.DUMMYFUNCTION("""COMPUTED_VALUE"""),"")</f>
        <v/>
      </c>
      <c r="C733" t="str">
        <f>IFERROR(__xludf.DUMMYFUNCTION("""COMPUTED_VALUE"""),"")</f>
        <v/>
      </c>
      <c r="D733" t="str">
        <f>IFERROR(__xludf.DUMMYFUNCTION("""COMPUTED_VALUE"""),"")</f>
        <v/>
      </c>
      <c r="E733" t="str">
        <f>IFERROR(__xludf.DUMMYFUNCTION("""COMPUTED_VALUE"""),"")</f>
        <v/>
      </c>
      <c r="F733" t="str">
        <f>IFERROR(__xludf.DUMMYFUNCTION("""COMPUTED_VALUE"""),"")</f>
        <v/>
      </c>
      <c r="G733" t="str">
        <f>IFERROR(__xludf.DUMMYFUNCTION("""COMPUTED_VALUE"""),"")</f>
        <v/>
      </c>
      <c r="H733" t="str">
        <f>IFERROR(__xludf.DUMMYFUNCTION("""COMPUTED_VALUE"""),"")</f>
        <v/>
      </c>
      <c r="I733" t="str">
        <f>IFERROR(__xludf.DUMMYFUNCTION("""COMPUTED_VALUE"""),"")</f>
        <v/>
      </c>
      <c r="J733">
        <f>IFERROR(__xludf.DUMMYFUNCTION("""COMPUTED_VALUE"""),0.0)</f>
        <v>0</v>
      </c>
      <c r="L733" s="250" t="str">
        <f>IFERROR(__xludf.DUMMYFUNCTION("""COMPUTED_VALUE"""),"")</f>
        <v/>
      </c>
      <c r="M733" s="250" t="str">
        <f>IFERROR(__xludf.DUMMYFUNCTION("""COMPUTED_VALUE"""),"")</f>
        <v/>
      </c>
      <c r="N733" s="250" t="str">
        <f>IFERROR(__xludf.DUMMYFUNCTION("""COMPUTED_VALUE"""),"")</f>
        <v/>
      </c>
      <c r="O733" s="250" t="str">
        <f>IFERROR(__xludf.DUMMYFUNCTION("""COMPUTED_VALUE"""),"")</f>
        <v/>
      </c>
      <c r="P733" s="250" t="str">
        <f>IFERROR(__xludf.DUMMYFUNCTION("""COMPUTED_VALUE"""),"")</f>
        <v/>
      </c>
      <c r="Q733" s="250" t="str">
        <f>IFERROR(__xludf.DUMMYFUNCTION("""COMPUTED_VALUE"""),"")</f>
        <v/>
      </c>
      <c r="R733" s="250" t="str">
        <f>IFERROR(__xludf.DUMMYFUNCTION("""COMPUTED_VALUE"""),"")</f>
        <v/>
      </c>
      <c r="U733" s="250">
        <f>IFERROR(__xludf.DUMMYFUNCTION("""COMPUTED_VALUE"""),42579.0)</f>
        <v>42579</v>
      </c>
      <c r="V733" s="250">
        <f>IFERROR(__xludf.DUMMYFUNCTION("""COMPUTED_VALUE"""),40549.0)</f>
        <v>40549</v>
      </c>
      <c r="W733" s="250">
        <f>IFERROR(__xludf.DUMMYFUNCTION("""COMPUTED_VALUE"""),36489.0)</f>
        <v>36489</v>
      </c>
      <c r="X733" t="b">
        <f t="shared" ref="X733:Z733" si="1442">ISBLANK(K733)</f>
        <v>1</v>
      </c>
      <c r="Y733" t="b">
        <f t="shared" si="1442"/>
        <v>0</v>
      </c>
      <c r="Z733" t="b">
        <f t="shared" si="1442"/>
        <v>0</v>
      </c>
      <c r="AA733">
        <f t="shared" ref="AA733:AC733" si="1443">IF(X733=FALSE,1,0)</f>
        <v>0</v>
      </c>
      <c r="AB733">
        <f t="shared" si="1443"/>
        <v>1</v>
      </c>
      <c r="AC733">
        <f t="shared" si="1443"/>
        <v>1</v>
      </c>
      <c r="AD733">
        <f t="shared" si="6"/>
        <v>2</v>
      </c>
      <c r="AE733">
        <f t="shared" si="7"/>
        <v>1</v>
      </c>
      <c r="AF733">
        <f>if(iferror(vlookup($A733,'Description Database'!$E$2:$H$951,3,0),0)=TRUE,1,0)</f>
        <v>0</v>
      </c>
      <c r="AG733">
        <f>if(iferror(vlookup($A733,'Description Database'!$E$2:$H$951,4,0),0)=TRUE,1,0)</f>
        <v>0</v>
      </c>
    </row>
    <row r="734">
      <c r="A734" t="str">
        <f>IFERROR(__xludf.DUMMYFUNCTION("""COMPUTED_VALUE"""),"Vivo V3(3 GB 16GB)")</f>
        <v>Vivo V3(3 GB 16GB)</v>
      </c>
      <c r="B734" t="str">
        <f>IFERROR(__xludf.DUMMYFUNCTION("""COMPUTED_VALUE"""),"")</f>
        <v/>
      </c>
      <c r="C734" t="str">
        <f>IFERROR(__xludf.DUMMYFUNCTION("""COMPUTED_VALUE"""),"")</f>
        <v/>
      </c>
      <c r="D734" t="str">
        <f>IFERROR(__xludf.DUMMYFUNCTION("""COMPUTED_VALUE"""),"")</f>
        <v/>
      </c>
      <c r="E734" t="str">
        <f>IFERROR(__xludf.DUMMYFUNCTION("""COMPUTED_VALUE"""),"")</f>
        <v/>
      </c>
      <c r="F734" t="str">
        <f>IFERROR(__xludf.DUMMYFUNCTION("""COMPUTED_VALUE"""),"")</f>
        <v/>
      </c>
      <c r="G734">
        <f>IFERROR(__xludf.DUMMYFUNCTION("""COMPUTED_VALUE"""),1.0)</f>
        <v>1</v>
      </c>
      <c r="H734" t="str">
        <f>IFERROR(__xludf.DUMMYFUNCTION("""COMPUTED_VALUE"""),"")</f>
        <v/>
      </c>
      <c r="I734">
        <f>IFERROR(__xludf.DUMMYFUNCTION("""COMPUTED_VALUE"""),1.0)</f>
        <v>1</v>
      </c>
      <c r="J734">
        <f>IFERROR(__xludf.DUMMYFUNCTION("""COMPUTED_VALUE"""),2.0)</f>
        <v>2</v>
      </c>
      <c r="L734" s="250" t="str">
        <f>IFERROR(__xludf.DUMMYFUNCTION("""COMPUTED_VALUE"""),"")</f>
        <v/>
      </c>
      <c r="M734" s="250" t="str">
        <f>IFERROR(__xludf.DUMMYFUNCTION("""COMPUTED_VALUE"""),"")</f>
        <v/>
      </c>
      <c r="N734" s="250" t="str">
        <f>IFERROR(__xludf.DUMMYFUNCTION("""COMPUTED_VALUE"""),"")</f>
        <v/>
      </c>
      <c r="O734" s="250" t="str">
        <f>IFERROR(__xludf.DUMMYFUNCTION("""COMPUTED_VALUE"""),"")</f>
        <v/>
      </c>
      <c r="P734" s="250" t="str">
        <f>IFERROR(__xludf.DUMMYFUNCTION("""COMPUTED_VALUE"""),"")</f>
        <v/>
      </c>
      <c r="Q734" s="250" t="str">
        <f>IFERROR(__xludf.DUMMYFUNCTION("""COMPUTED_VALUE"""),"#N/A")</f>
        <v>#N/A</v>
      </c>
      <c r="R734" s="250" t="str">
        <f>IFERROR(__xludf.DUMMYFUNCTION("""COMPUTED_VALUE"""),"")</f>
        <v/>
      </c>
      <c r="U734" s="250" t="str">
        <f>IFERROR(__xludf.DUMMYFUNCTION("""COMPUTED_VALUE"""),"#N/A")</f>
        <v>#N/A</v>
      </c>
      <c r="V734" s="250" t="str">
        <f>IFERROR(__xludf.DUMMYFUNCTION("""COMPUTED_VALUE"""),"#N/A")</f>
        <v>#N/A</v>
      </c>
      <c r="W734" s="250" t="str">
        <f>IFERROR(__xludf.DUMMYFUNCTION("""COMPUTED_VALUE"""),"#N/A")</f>
        <v>#N/A</v>
      </c>
      <c r="X734" t="b">
        <f t="shared" ref="X734:Z734" si="1444">ISBLANK(K734)</f>
        <v>1</v>
      </c>
      <c r="Y734" t="b">
        <f t="shared" si="1444"/>
        <v>0</v>
      </c>
      <c r="Z734" t="b">
        <f t="shared" si="1444"/>
        <v>0</v>
      </c>
      <c r="AA734">
        <f t="shared" ref="AA734:AC734" si="1445">IF(X734=FALSE,1,0)</f>
        <v>0</v>
      </c>
      <c r="AB734">
        <f t="shared" si="1445"/>
        <v>1</v>
      </c>
      <c r="AC734">
        <f t="shared" si="1445"/>
        <v>1</v>
      </c>
      <c r="AD734">
        <f t="shared" si="6"/>
        <v>2</v>
      </c>
      <c r="AE734">
        <f t="shared" si="7"/>
        <v>1</v>
      </c>
      <c r="AF734">
        <f>if(iferror(vlookup($A734,'Description Database'!$E$2:$H$951,3,0),0)=TRUE,1,0)</f>
        <v>0</v>
      </c>
      <c r="AG734">
        <f>if(iferror(vlookup($A734,'Description Database'!$E$2:$H$951,4,0),0)=TRUE,1,0)</f>
        <v>0</v>
      </c>
    </row>
    <row r="735">
      <c r="A735" t="str">
        <f>IFERROR(__xludf.DUMMYFUNCTION("""COMPUTED_VALUE"""),"OPPO A5 2020 (4 GB/64 GB)")</f>
        <v>OPPO A5 2020 (4 GB/64 GB)</v>
      </c>
      <c r="B735" t="str">
        <f>IFERROR(__xludf.DUMMYFUNCTION("""COMPUTED_VALUE"""),"")</f>
        <v/>
      </c>
      <c r="C735" t="str">
        <f>IFERROR(__xludf.DUMMYFUNCTION("""COMPUTED_VALUE"""),"")</f>
        <v/>
      </c>
      <c r="D735" t="str">
        <f>IFERROR(__xludf.DUMMYFUNCTION("""COMPUTED_VALUE"""),"")</f>
        <v/>
      </c>
      <c r="E735" t="str">
        <f>IFERROR(__xludf.DUMMYFUNCTION("""COMPUTED_VALUE"""),"")</f>
        <v/>
      </c>
      <c r="F735" t="str">
        <f>IFERROR(__xludf.DUMMYFUNCTION("""COMPUTED_VALUE"""),"")</f>
        <v/>
      </c>
      <c r="G735" t="str">
        <f>IFERROR(__xludf.DUMMYFUNCTION("""COMPUTED_VALUE"""),"")</f>
        <v/>
      </c>
      <c r="H735" t="str">
        <f>IFERROR(__xludf.DUMMYFUNCTION("""COMPUTED_VALUE"""),"")</f>
        <v/>
      </c>
      <c r="I735" t="str">
        <f>IFERROR(__xludf.DUMMYFUNCTION("""COMPUTED_VALUE"""),"")</f>
        <v/>
      </c>
      <c r="J735">
        <f>IFERROR(__xludf.DUMMYFUNCTION("""COMPUTED_VALUE"""),0.0)</f>
        <v>0</v>
      </c>
      <c r="L735" s="250" t="str">
        <f>IFERROR(__xludf.DUMMYFUNCTION("""COMPUTED_VALUE"""),"")</f>
        <v/>
      </c>
      <c r="M735" s="250" t="str">
        <f>IFERROR(__xludf.DUMMYFUNCTION("""COMPUTED_VALUE"""),"")</f>
        <v/>
      </c>
      <c r="N735" s="250" t="str">
        <f>IFERROR(__xludf.DUMMYFUNCTION("""COMPUTED_VALUE"""),"")</f>
        <v/>
      </c>
      <c r="O735" s="250" t="str">
        <f>IFERROR(__xludf.DUMMYFUNCTION("""COMPUTED_VALUE"""),"")</f>
        <v/>
      </c>
      <c r="P735" s="250" t="str">
        <f>IFERROR(__xludf.DUMMYFUNCTION("""COMPUTED_VALUE"""),"")</f>
        <v/>
      </c>
      <c r="Q735" s="250" t="str">
        <f>IFERROR(__xludf.DUMMYFUNCTION("""COMPUTED_VALUE"""),"")</f>
        <v/>
      </c>
      <c r="R735" s="250" t="str">
        <f>IFERROR(__xludf.DUMMYFUNCTION("""COMPUTED_VALUE"""),"")</f>
        <v/>
      </c>
      <c r="U735" s="250">
        <f>IFERROR(__xludf.DUMMYFUNCTION("""COMPUTED_VALUE"""),10149.0)</f>
        <v>10149</v>
      </c>
      <c r="V735" s="250">
        <f>IFERROR(__xludf.DUMMYFUNCTION("""COMPUTED_VALUE"""),9659.0)</f>
        <v>9659</v>
      </c>
      <c r="W735" s="250">
        <f>IFERROR(__xludf.DUMMYFUNCTION("""COMPUTED_VALUE"""),8689.0)</f>
        <v>8689</v>
      </c>
      <c r="X735" t="b">
        <f t="shared" ref="X735:Z735" si="1446">ISBLANK(K735)</f>
        <v>1</v>
      </c>
      <c r="Y735" t="b">
        <f t="shared" si="1446"/>
        <v>0</v>
      </c>
      <c r="Z735" t="b">
        <f t="shared" si="1446"/>
        <v>0</v>
      </c>
      <c r="AA735">
        <f t="shared" ref="AA735:AC735" si="1447">IF(X735=FALSE,1,0)</f>
        <v>0</v>
      </c>
      <c r="AB735">
        <f t="shared" si="1447"/>
        <v>1</v>
      </c>
      <c r="AC735">
        <f t="shared" si="1447"/>
        <v>1</v>
      </c>
      <c r="AD735">
        <f t="shared" si="6"/>
        <v>2</v>
      </c>
      <c r="AE735">
        <f t="shared" si="7"/>
        <v>1</v>
      </c>
      <c r="AF735">
        <f>if(iferror(vlookup($A735,'Description Database'!$E$2:$H$951,3,0),0)=TRUE,1,0)</f>
        <v>0</v>
      </c>
      <c r="AG735">
        <f>if(iferror(vlookup($A735,'Description Database'!$E$2:$H$951,4,0),0)=TRUE,1,0)</f>
        <v>0</v>
      </c>
    </row>
    <row r="736">
      <c r="A736" t="str">
        <f>IFERROR(__xludf.DUMMYFUNCTION("""COMPUTED_VALUE"""),"Samsung Galaxy S10 Plus (8 GB/128 GB)")</f>
        <v>Samsung Galaxy S10 Plus (8 GB/128 GB)</v>
      </c>
      <c r="B736" t="str">
        <f>IFERROR(__xludf.DUMMYFUNCTION("""COMPUTED_VALUE"""),"")</f>
        <v/>
      </c>
      <c r="C736" t="str">
        <f>IFERROR(__xludf.DUMMYFUNCTION("""COMPUTED_VALUE"""),"")</f>
        <v/>
      </c>
      <c r="D736" t="str">
        <f>IFERROR(__xludf.DUMMYFUNCTION("""COMPUTED_VALUE"""),"")</f>
        <v/>
      </c>
      <c r="E736" t="str">
        <f>IFERROR(__xludf.DUMMYFUNCTION("""COMPUTED_VALUE"""),"")</f>
        <v/>
      </c>
      <c r="F736" t="str">
        <f>IFERROR(__xludf.DUMMYFUNCTION("""COMPUTED_VALUE"""),"")</f>
        <v/>
      </c>
      <c r="G736" t="str">
        <f>IFERROR(__xludf.DUMMYFUNCTION("""COMPUTED_VALUE"""),"")</f>
        <v/>
      </c>
      <c r="H736" t="str">
        <f>IFERROR(__xludf.DUMMYFUNCTION("""COMPUTED_VALUE"""),"")</f>
        <v/>
      </c>
      <c r="I736" t="str">
        <f>IFERROR(__xludf.DUMMYFUNCTION("""COMPUTED_VALUE"""),"")</f>
        <v/>
      </c>
      <c r="J736">
        <f>IFERROR(__xludf.DUMMYFUNCTION("""COMPUTED_VALUE"""),0.0)</f>
        <v>0</v>
      </c>
      <c r="L736" s="250" t="str">
        <f>IFERROR(__xludf.DUMMYFUNCTION("""COMPUTED_VALUE"""),"")</f>
        <v/>
      </c>
      <c r="M736" s="250" t="str">
        <f>IFERROR(__xludf.DUMMYFUNCTION("""COMPUTED_VALUE"""),"")</f>
        <v/>
      </c>
      <c r="N736" s="250" t="str">
        <f>IFERROR(__xludf.DUMMYFUNCTION("""COMPUTED_VALUE"""),"")</f>
        <v/>
      </c>
      <c r="O736" s="250" t="str">
        <f>IFERROR(__xludf.DUMMYFUNCTION("""COMPUTED_VALUE"""),"")</f>
        <v/>
      </c>
      <c r="P736" s="250" t="str">
        <f>IFERROR(__xludf.DUMMYFUNCTION("""COMPUTED_VALUE"""),"")</f>
        <v/>
      </c>
      <c r="Q736" s="250" t="str">
        <f>IFERROR(__xludf.DUMMYFUNCTION("""COMPUTED_VALUE"""),"")</f>
        <v/>
      </c>
      <c r="R736" s="250" t="str">
        <f>IFERROR(__xludf.DUMMYFUNCTION("""COMPUTED_VALUE"""),"")</f>
        <v/>
      </c>
      <c r="U736" s="250">
        <f>IFERROR(__xludf.DUMMYFUNCTION("""COMPUTED_VALUE"""),26259.0)</f>
        <v>26259</v>
      </c>
      <c r="V736" s="250">
        <f>IFERROR(__xludf.DUMMYFUNCTION("""COMPUTED_VALUE"""),25009.0)</f>
        <v>25009</v>
      </c>
      <c r="W736" s="250">
        <f>IFERROR(__xludf.DUMMYFUNCTION("""COMPUTED_VALUE"""),22509.0)</f>
        <v>22509</v>
      </c>
      <c r="X736" t="b">
        <f t="shared" ref="X736:Z736" si="1448">ISBLANK(K736)</f>
        <v>1</v>
      </c>
      <c r="Y736" t="b">
        <f t="shared" si="1448"/>
        <v>0</v>
      </c>
      <c r="Z736" t="b">
        <f t="shared" si="1448"/>
        <v>0</v>
      </c>
      <c r="AA736">
        <f t="shared" ref="AA736:AC736" si="1449">IF(X736=FALSE,1,0)</f>
        <v>0</v>
      </c>
      <c r="AB736">
        <f t="shared" si="1449"/>
        <v>1</v>
      </c>
      <c r="AC736">
        <f t="shared" si="1449"/>
        <v>1</v>
      </c>
      <c r="AD736">
        <f t="shared" si="6"/>
        <v>2</v>
      </c>
      <c r="AE736">
        <f t="shared" si="7"/>
        <v>1</v>
      </c>
      <c r="AF736">
        <f>if(iferror(vlookup($A736,'Description Database'!$E$2:$H$951,3,0),0)=TRUE,1,0)</f>
        <v>0</v>
      </c>
      <c r="AG736">
        <f>if(iferror(vlookup($A736,'Description Database'!$E$2:$H$951,4,0),0)=TRUE,1,0)</f>
        <v>0</v>
      </c>
    </row>
    <row r="737">
      <c r="A737" t="str">
        <f>IFERROR(__xludf.DUMMYFUNCTION("""COMPUTED_VALUE"""),"Xiaomi REDMI K20 (6 GB/64 GB)")</f>
        <v>Xiaomi REDMI K20 (6 GB/64 GB)</v>
      </c>
      <c r="B737" t="str">
        <f>IFERROR(__xludf.DUMMYFUNCTION("""COMPUTED_VALUE"""),"")</f>
        <v/>
      </c>
      <c r="C737" t="str">
        <f>IFERROR(__xludf.DUMMYFUNCTION("""COMPUTED_VALUE"""),"")</f>
        <v/>
      </c>
      <c r="D737" t="str">
        <f>IFERROR(__xludf.DUMMYFUNCTION("""COMPUTED_VALUE"""),"")</f>
        <v/>
      </c>
      <c r="E737" t="str">
        <f>IFERROR(__xludf.DUMMYFUNCTION("""COMPUTED_VALUE"""),"")</f>
        <v/>
      </c>
      <c r="F737" t="str">
        <f>IFERROR(__xludf.DUMMYFUNCTION("""COMPUTED_VALUE"""),"")</f>
        <v/>
      </c>
      <c r="G737" t="str">
        <f>IFERROR(__xludf.DUMMYFUNCTION("""COMPUTED_VALUE"""),"")</f>
        <v/>
      </c>
      <c r="H737" t="str">
        <f>IFERROR(__xludf.DUMMYFUNCTION("""COMPUTED_VALUE"""),"")</f>
        <v/>
      </c>
      <c r="I737">
        <f>IFERROR(__xludf.DUMMYFUNCTION("""COMPUTED_VALUE"""),2.0)</f>
        <v>2</v>
      </c>
      <c r="J737">
        <f>IFERROR(__xludf.DUMMYFUNCTION("""COMPUTED_VALUE"""),2.0)</f>
        <v>2</v>
      </c>
      <c r="L737" s="250" t="str">
        <f>IFERROR(__xludf.DUMMYFUNCTION("""COMPUTED_VALUE"""),"")</f>
        <v/>
      </c>
      <c r="M737" s="250" t="str">
        <f>IFERROR(__xludf.DUMMYFUNCTION("""COMPUTED_VALUE"""),"")</f>
        <v/>
      </c>
      <c r="N737" s="250" t="str">
        <f>IFERROR(__xludf.DUMMYFUNCTION("""COMPUTED_VALUE"""),"")</f>
        <v/>
      </c>
      <c r="O737" s="250" t="str">
        <f>IFERROR(__xludf.DUMMYFUNCTION("""COMPUTED_VALUE"""),"")</f>
        <v/>
      </c>
      <c r="P737" s="250" t="str">
        <f>IFERROR(__xludf.DUMMYFUNCTION("""COMPUTED_VALUE"""),"")</f>
        <v/>
      </c>
      <c r="Q737" s="250" t="str">
        <f>IFERROR(__xludf.DUMMYFUNCTION("""COMPUTED_VALUE"""),"")</f>
        <v/>
      </c>
      <c r="R737" s="250" t="str">
        <f>IFERROR(__xludf.DUMMYFUNCTION("""COMPUTED_VALUE"""),"")</f>
        <v/>
      </c>
      <c r="U737" s="250">
        <f>IFERROR(__xludf.DUMMYFUNCTION("""COMPUTED_VALUE"""),13059.0)</f>
        <v>13059</v>
      </c>
      <c r="V737" s="250">
        <f>IFERROR(__xludf.DUMMYFUNCTION("""COMPUTED_VALUE"""),12429.0)</f>
        <v>12429</v>
      </c>
      <c r="W737" s="250">
        <f>IFERROR(__xludf.DUMMYFUNCTION("""COMPUTED_VALUE"""),11359.0)</f>
        <v>11359</v>
      </c>
      <c r="X737" t="b">
        <f t="shared" ref="X737:Z737" si="1450">ISBLANK(K737)</f>
        <v>1</v>
      </c>
      <c r="Y737" t="b">
        <f t="shared" si="1450"/>
        <v>0</v>
      </c>
      <c r="Z737" t="b">
        <f t="shared" si="1450"/>
        <v>0</v>
      </c>
      <c r="AA737">
        <f t="shared" ref="AA737:AC737" si="1451">IF(X737=FALSE,1,0)</f>
        <v>0</v>
      </c>
      <c r="AB737">
        <f t="shared" si="1451"/>
        <v>1</v>
      </c>
      <c r="AC737">
        <f t="shared" si="1451"/>
        <v>1</v>
      </c>
      <c r="AD737">
        <f t="shared" si="6"/>
        <v>2</v>
      </c>
      <c r="AE737">
        <f t="shared" si="7"/>
        <v>1</v>
      </c>
      <c r="AF737">
        <f>if(iferror(vlookup($A737,'Description Database'!$E$2:$H$951,3,0),0)=TRUE,1,0)</f>
        <v>0</v>
      </c>
      <c r="AG737">
        <f>if(iferror(vlookup($A737,'Description Database'!$E$2:$H$951,4,0),0)=TRUE,1,0)</f>
        <v>0</v>
      </c>
    </row>
    <row r="738">
      <c r="A738" t="str">
        <f>IFERROR(__xludf.DUMMYFUNCTION("""COMPUTED_VALUE"""),"Apple iPad Mini 2 (1 GB/16 GB)")</f>
        <v>Apple iPad Mini 2 (1 GB/16 GB)</v>
      </c>
      <c r="B738" t="str">
        <f>IFERROR(__xludf.DUMMYFUNCTION("""COMPUTED_VALUE"""),"")</f>
        <v/>
      </c>
      <c r="C738" t="str">
        <f>IFERROR(__xludf.DUMMYFUNCTION("""COMPUTED_VALUE"""),"")</f>
        <v/>
      </c>
      <c r="D738" t="str">
        <f>IFERROR(__xludf.DUMMYFUNCTION("""COMPUTED_VALUE"""),"")</f>
        <v/>
      </c>
      <c r="E738" t="str">
        <f>IFERROR(__xludf.DUMMYFUNCTION("""COMPUTED_VALUE"""),"")</f>
        <v/>
      </c>
      <c r="F738">
        <f>IFERROR(__xludf.DUMMYFUNCTION("""COMPUTED_VALUE"""),1.0)</f>
        <v>1</v>
      </c>
      <c r="G738" t="str">
        <f>IFERROR(__xludf.DUMMYFUNCTION("""COMPUTED_VALUE"""),"")</f>
        <v/>
      </c>
      <c r="H738" t="str">
        <f>IFERROR(__xludf.DUMMYFUNCTION("""COMPUTED_VALUE"""),"")</f>
        <v/>
      </c>
      <c r="I738" t="str">
        <f>IFERROR(__xludf.DUMMYFUNCTION("""COMPUTED_VALUE"""),"")</f>
        <v/>
      </c>
      <c r="J738">
        <f>IFERROR(__xludf.DUMMYFUNCTION("""COMPUTED_VALUE"""),1.0)</f>
        <v>1</v>
      </c>
      <c r="L738" s="250" t="str">
        <f>IFERROR(__xludf.DUMMYFUNCTION("""COMPUTED_VALUE"""),"")</f>
        <v/>
      </c>
      <c r="M738" s="250" t="str">
        <f>IFERROR(__xludf.DUMMYFUNCTION("""COMPUTED_VALUE"""),"")</f>
        <v/>
      </c>
      <c r="N738" s="250" t="str">
        <f>IFERROR(__xludf.DUMMYFUNCTION("""COMPUTED_VALUE"""),"")</f>
        <v/>
      </c>
      <c r="O738" s="250" t="str">
        <f>IFERROR(__xludf.DUMMYFUNCTION("""COMPUTED_VALUE"""),"")</f>
        <v/>
      </c>
      <c r="P738" s="250" t="str">
        <f>IFERROR(__xludf.DUMMYFUNCTION("""COMPUTED_VALUE"""),"#N/A")</f>
        <v>#N/A</v>
      </c>
      <c r="Q738" s="250" t="str">
        <f>IFERROR(__xludf.DUMMYFUNCTION("""COMPUTED_VALUE"""),"")</f>
        <v/>
      </c>
      <c r="R738" s="250" t="str">
        <f>IFERROR(__xludf.DUMMYFUNCTION("""COMPUTED_VALUE"""),"")</f>
        <v/>
      </c>
      <c r="U738" s="250" t="str">
        <f>IFERROR(__xludf.DUMMYFUNCTION("""COMPUTED_VALUE"""),"#N/A")</f>
        <v>#N/A</v>
      </c>
      <c r="V738" s="250" t="str">
        <f>IFERROR(__xludf.DUMMYFUNCTION("""COMPUTED_VALUE"""),"#N/A")</f>
        <v>#N/A</v>
      </c>
      <c r="W738" s="250" t="str">
        <f>IFERROR(__xludf.DUMMYFUNCTION("""COMPUTED_VALUE"""),"#N/A")</f>
        <v>#N/A</v>
      </c>
      <c r="X738" t="b">
        <f t="shared" ref="X738:Z738" si="1452">ISBLANK(K738)</f>
        <v>1</v>
      </c>
      <c r="Y738" t="b">
        <f t="shared" si="1452"/>
        <v>0</v>
      </c>
      <c r="Z738" t="b">
        <f t="shared" si="1452"/>
        <v>0</v>
      </c>
      <c r="AA738">
        <f t="shared" ref="AA738:AC738" si="1453">IF(X738=FALSE,1,0)</f>
        <v>0</v>
      </c>
      <c r="AB738">
        <f t="shared" si="1453"/>
        <v>1</v>
      </c>
      <c r="AC738">
        <f t="shared" si="1453"/>
        <v>1</v>
      </c>
      <c r="AD738">
        <f t="shared" si="6"/>
        <v>2</v>
      </c>
      <c r="AE738">
        <f t="shared" si="7"/>
        <v>1</v>
      </c>
      <c r="AF738">
        <f>if(iferror(vlookup($A738,'Description Database'!$E$2:$H$951,3,0),0)=TRUE,1,0)</f>
        <v>0</v>
      </c>
      <c r="AG738">
        <f>if(iferror(vlookup($A738,'Description Database'!$E$2:$H$951,4,0),0)=TRUE,1,0)</f>
        <v>0</v>
      </c>
    </row>
    <row r="739">
      <c r="A739" t="str">
        <f>IFERROR(__xludf.DUMMYFUNCTION("""COMPUTED_VALUE"""),"Realme REALME 3(3 GB 64GB)")</f>
        <v>Realme REALME 3(3 GB 64GB)</v>
      </c>
      <c r="B739" t="str">
        <f>IFERROR(__xludf.DUMMYFUNCTION("""COMPUTED_VALUE"""),"")</f>
        <v/>
      </c>
      <c r="C739" t="str">
        <f>IFERROR(__xludf.DUMMYFUNCTION("""COMPUTED_VALUE"""),"")</f>
        <v/>
      </c>
      <c r="D739" t="str">
        <f>IFERROR(__xludf.DUMMYFUNCTION("""COMPUTED_VALUE"""),"")</f>
        <v/>
      </c>
      <c r="E739" t="str">
        <f>IFERROR(__xludf.DUMMYFUNCTION("""COMPUTED_VALUE"""),"")</f>
        <v/>
      </c>
      <c r="F739" t="str">
        <f>IFERROR(__xludf.DUMMYFUNCTION("""COMPUTED_VALUE"""),"")</f>
        <v/>
      </c>
      <c r="G739" t="str">
        <f>IFERROR(__xludf.DUMMYFUNCTION("""COMPUTED_VALUE"""),"")</f>
        <v/>
      </c>
      <c r="H739" t="str">
        <f>IFERROR(__xludf.DUMMYFUNCTION("""COMPUTED_VALUE"""),"")</f>
        <v/>
      </c>
      <c r="I739" t="str">
        <f>IFERROR(__xludf.DUMMYFUNCTION("""COMPUTED_VALUE"""),"")</f>
        <v/>
      </c>
      <c r="J739">
        <f>IFERROR(__xludf.DUMMYFUNCTION("""COMPUTED_VALUE"""),0.0)</f>
        <v>0</v>
      </c>
      <c r="L739" s="250" t="str">
        <f>IFERROR(__xludf.DUMMYFUNCTION("""COMPUTED_VALUE"""),"")</f>
        <v/>
      </c>
      <c r="M739" s="250" t="str">
        <f>IFERROR(__xludf.DUMMYFUNCTION("""COMPUTED_VALUE"""),"")</f>
        <v/>
      </c>
      <c r="N739" s="250" t="str">
        <f>IFERROR(__xludf.DUMMYFUNCTION("""COMPUTED_VALUE"""),"")</f>
        <v/>
      </c>
      <c r="O739" s="250" t="str">
        <f>IFERROR(__xludf.DUMMYFUNCTION("""COMPUTED_VALUE"""),"")</f>
        <v/>
      </c>
      <c r="P739" s="250" t="str">
        <f>IFERROR(__xludf.DUMMYFUNCTION("""COMPUTED_VALUE"""),"")</f>
        <v/>
      </c>
      <c r="Q739" s="250" t="str">
        <f>IFERROR(__xludf.DUMMYFUNCTION("""COMPUTED_VALUE"""),"")</f>
        <v/>
      </c>
      <c r="R739" s="250" t="str">
        <f>IFERROR(__xludf.DUMMYFUNCTION("""COMPUTED_VALUE"""),"")</f>
        <v/>
      </c>
      <c r="U739" s="250" t="str">
        <f>IFERROR(__xludf.DUMMYFUNCTION("""COMPUTED_VALUE"""),"#N/A")</f>
        <v>#N/A</v>
      </c>
      <c r="V739" s="250" t="str">
        <f>IFERROR(__xludf.DUMMYFUNCTION("""COMPUTED_VALUE"""),"#N/A")</f>
        <v>#N/A</v>
      </c>
      <c r="W739" s="250" t="str">
        <f>IFERROR(__xludf.DUMMYFUNCTION("""COMPUTED_VALUE"""),"#N/A")</f>
        <v>#N/A</v>
      </c>
      <c r="X739" t="b">
        <f t="shared" ref="X739:Z739" si="1454">ISBLANK(K739)</f>
        <v>1</v>
      </c>
      <c r="Y739" t="b">
        <f t="shared" si="1454"/>
        <v>0</v>
      </c>
      <c r="Z739" t="b">
        <f t="shared" si="1454"/>
        <v>0</v>
      </c>
      <c r="AA739">
        <f t="shared" ref="AA739:AC739" si="1455">IF(X739=FALSE,1,0)</f>
        <v>0</v>
      </c>
      <c r="AB739">
        <f t="shared" si="1455"/>
        <v>1</v>
      </c>
      <c r="AC739">
        <f t="shared" si="1455"/>
        <v>1</v>
      </c>
      <c r="AD739">
        <f t="shared" si="6"/>
        <v>2</v>
      </c>
      <c r="AE739">
        <f t="shared" si="7"/>
        <v>1</v>
      </c>
      <c r="AF739">
        <f>if(iferror(vlookup($A739,'Description Database'!$E$2:$H$951,3,0),0)=TRUE,1,0)</f>
        <v>0</v>
      </c>
      <c r="AG739">
        <f>if(iferror(vlookup($A739,'Description Database'!$E$2:$H$951,4,0),0)=TRUE,1,0)</f>
        <v>0</v>
      </c>
    </row>
    <row r="740">
      <c r="A740" t="str">
        <f>IFERROR(__xludf.DUMMYFUNCTION("""COMPUTED_VALUE"""),"Xiaomi REDMI 8A (3 GB/32 GB)")</f>
        <v>Xiaomi REDMI 8A (3 GB/32 GB)</v>
      </c>
      <c r="B740" t="str">
        <f>IFERROR(__xludf.DUMMYFUNCTION("""COMPUTED_VALUE"""),"")</f>
        <v/>
      </c>
      <c r="C740" t="str">
        <f>IFERROR(__xludf.DUMMYFUNCTION("""COMPUTED_VALUE"""),"")</f>
        <v/>
      </c>
      <c r="D740" t="str">
        <f>IFERROR(__xludf.DUMMYFUNCTION("""COMPUTED_VALUE"""),"")</f>
        <v/>
      </c>
      <c r="E740" t="str">
        <f>IFERROR(__xludf.DUMMYFUNCTION("""COMPUTED_VALUE"""),"")</f>
        <v/>
      </c>
      <c r="F740" t="str">
        <f>IFERROR(__xludf.DUMMYFUNCTION("""COMPUTED_VALUE"""),"")</f>
        <v/>
      </c>
      <c r="G740" t="str">
        <f>IFERROR(__xludf.DUMMYFUNCTION("""COMPUTED_VALUE"""),"")</f>
        <v/>
      </c>
      <c r="H740" t="str">
        <f>IFERROR(__xludf.DUMMYFUNCTION("""COMPUTED_VALUE"""),"")</f>
        <v/>
      </c>
      <c r="I740">
        <f>IFERROR(__xludf.DUMMYFUNCTION("""COMPUTED_VALUE"""),1.0)</f>
        <v>1</v>
      </c>
      <c r="J740">
        <f>IFERROR(__xludf.DUMMYFUNCTION("""COMPUTED_VALUE"""),1.0)</f>
        <v>1</v>
      </c>
      <c r="L740" s="250" t="str">
        <f>IFERROR(__xludf.DUMMYFUNCTION("""COMPUTED_VALUE"""),"")</f>
        <v/>
      </c>
      <c r="M740" s="250" t="str">
        <f>IFERROR(__xludf.DUMMYFUNCTION("""COMPUTED_VALUE"""),"")</f>
        <v/>
      </c>
      <c r="N740" s="250" t="str">
        <f>IFERROR(__xludf.DUMMYFUNCTION("""COMPUTED_VALUE"""),"")</f>
        <v/>
      </c>
      <c r="O740" s="250" t="str">
        <f>IFERROR(__xludf.DUMMYFUNCTION("""COMPUTED_VALUE"""),"")</f>
        <v/>
      </c>
      <c r="P740" s="250" t="str">
        <f>IFERROR(__xludf.DUMMYFUNCTION("""COMPUTED_VALUE"""),"")</f>
        <v/>
      </c>
      <c r="Q740" s="250" t="str">
        <f>IFERROR(__xludf.DUMMYFUNCTION("""COMPUTED_VALUE"""),"")</f>
        <v/>
      </c>
      <c r="R740" s="250" t="str">
        <f>IFERROR(__xludf.DUMMYFUNCTION("""COMPUTED_VALUE"""),"")</f>
        <v/>
      </c>
      <c r="U740" s="250">
        <f>IFERROR(__xludf.DUMMYFUNCTION("""COMPUTED_VALUE"""),6369.0)</f>
        <v>6369</v>
      </c>
      <c r="V740" s="250">
        <f>IFERROR(__xludf.DUMMYFUNCTION("""COMPUTED_VALUE"""),6059.0)</f>
        <v>6059</v>
      </c>
      <c r="W740" s="250">
        <f>IFERROR(__xludf.DUMMYFUNCTION("""COMPUTED_VALUE"""),5459.0)</f>
        <v>5459</v>
      </c>
      <c r="X740" t="b">
        <f t="shared" ref="X740:Z740" si="1456">ISBLANK(K740)</f>
        <v>1</v>
      </c>
      <c r="Y740" t="b">
        <f t="shared" si="1456"/>
        <v>0</v>
      </c>
      <c r="Z740" t="b">
        <f t="shared" si="1456"/>
        <v>0</v>
      </c>
      <c r="AA740">
        <f t="shared" ref="AA740:AC740" si="1457">IF(X740=FALSE,1,0)</f>
        <v>0</v>
      </c>
      <c r="AB740">
        <f t="shared" si="1457"/>
        <v>1</v>
      </c>
      <c r="AC740">
        <f t="shared" si="1457"/>
        <v>1</v>
      </c>
      <c r="AD740">
        <f t="shared" si="6"/>
        <v>2</v>
      </c>
      <c r="AE740">
        <f t="shared" si="7"/>
        <v>1</v>
      </c>
      <c r="AF740">
        <f>if(iferror(vlookup($A740,'Description Database'!$E$2:$H$951,3,0),0)=TRUE,1,0)</f>
        <v>0</v>
      </c>
      <c r="AG740">
        <f>if(iferror(vlookup($A740,'Description Database'!$E$2:$H$951,4,0),0)=TRUE,1,0)</f>
        <v>1</v>
      </c>
    </row>
    <row r="741">
      <c r="A741" t="str">
        <f>IFERROR(__xludf.DUMMYFUNCTION("""COMPUTED_VALUE"""),"Nokia 5.1 Plus (4 GB/64 GB)")</f>
        <v>Nokia 5.1 Plus (4 GB/64 GB)</v>
      </c>
      <c r="B741" t="str">
        <f>IFERROR(__xludf.DUMMYFUNCTION("""COMPUTED_VALUE"""),"")</f>
        <v/>
      </c>
      <c r="C741" t="str">
        <f>IFERROR(__xludf.DUMMYFUNCTION("""COMPUTED_VALUE"""),"")</f>
        <v/>
      </c>
      <c r="D741" t="str">
        <f>IFERROR(__xludf.DUMMYFUNCTION("""COMPUTED_VALUE"""),"")</f>
        <v/>
      </c>
      <c r="E741" t="str">
        <f>IFERROR(__xludf.DUMMYFUNCTION("""COMPUTED_VALUE"""),"")</f>
        <v/>
      </c>
      <c r="F741" t="str">
        <f>IFERROR(__xludf.DUMMYFUNCTION("""COMPUTED_VALUE"""),"")</f>
        <v/>
      </c>
      <c r="G741" t="str">
        <f>IFERROR(__xludf.DUMMYFUNCTION("""COMPUTED_VALUE"""),"")</f>
        <v/>
      </c>
      <c r="H741" t="str">
        <f>IFERROR(__xludf.DUMMYFUNCTION("""COMPUTED_VALUE"""),"")</f>
        <v/>
      </c>
      <c r="I741">
        <f>IFERROR(__xludf.DUMMYFUNCTION("""COMPUTED_VALUE"""),1.0)</f>
        <v>1</v>
      </c>
      <c r="J741">
        <f>IFERROR(__xludf.DUMMYFUNCTION("""COMPUTED_VALUE"""),1.0)</f>
        <v>1</v>
      </c>
      <c r="L741" s="250" t="str">
        <f>IFERROR(__xludf.DUMMYFUNCTION("""COMPUTED_VALUE"""),"")</f>
        <v/>
      </c>
      <c r="M741" s="250" t="str">
        <f>IFERROR(__xludf.DUMMYFUNCTION("""COMPUTED_VALUE"""),"")</f>
        <v/>
      </c>
      <c r="N741" s="250" t="str">
        <f>IFERROR(__xludf.DUMMYFUNCTION("""COMPUTED_VALUE"""),"")</f>
        <v/>
      </c>
      <c r="O741" s="250" t="str">
        <f>IFERROR(__xludf.DUMMYFUNCTION("""COMPUTED_VALUE"""),"")</f>
        <v/>
      </c>
      <c r="P741" s="250" t="str">
        <f>IFERROR(__xludf.DUMMYFUNCTION("""COMPUTED_VALUE"""),"")</f>
        <v/>
      </c>
      <c r="Q741" s="250" t="str">
        <f>IFERROR(__xludf.DUMMYFUNCTION("""COMPUTED_VALUE"""),"")</f>
        <v/>
      </c>
      <c r="R741" s="250" t="str">
        <f>IFERROR(__xludf.DUMMYFUNCTION("""COMPUTED_VALUE"""),"")</f>
        <v/>
      </c>
      <c r="U741" s="250">
        <f>IFERROR(__xludf.DUMMYFUNCTION("""COMPUTED_VALUE"""),5669.0)</f>
        <v>5669</v>
      </c>
      <c r="V741" s="250">
        <f>IFERROR(__xludf.DUMMYFUNCTION("""COMPUTED_VALUE"""),5389.0)</f>
        <v>5389</v>
      </c>
      <c r="W741" s="250">
        <f>IFERROR(__xludf.DUMMYFUNCTION("""COMPUTED_VALUE"""),4869.0)</f>
        <v>4869</v>
      </c>
      <c r="X741" t="b">
        <f t="shared" ref="X741:Z741" si="1458">ISBLANK(K741)</f>
        <v>1</v>
      </c>
      <c r="Y741" t="b">
        <f t="shared" si="1458"/>
        <v>0</v>
      </c>
      <c r="Z741" t="b">
        <f t="shared" si="1458"/>
        <v>0</v>
      </c>
      <c r="AA741">
        <f t="shared" ref="AA741:AC741" si="1459">IF(X741=FALSE,1,0)</f>
        <v>0</v>
      </c>
      <c r="AB741">
        <f t="shared" si="1459"/>
        <v>1</v>
      </c>
      <c r="AC741">
        <f t="shared" si="1459"/>
        <v>1</v>
      </c>
      <c r="AD741">
        <f t="shared" si="6"/>
        <v>2</v>
      </c>
      <c r="AE741">
        <f t="shared" si="7"/>
        <v>1</v>
      </c>
      <c r="AF741">
        <f>if(iferror(vlookup($A741,'Description Database'!$E$2:$H$951,3,0),0)=TRUE,1,0)</f>
        <v>0</v>
      </c>
      <c r="AG741">
        <f>if(iferror(vlookup($A741,'Description Database'!$E$2:$H$951,4,0),0)=TRUE,1,0)</f>
        <v>0</v>
      </c>
    </row>
    <row r="742">
      <c r="A742" t="str">
        <f>IFERROR(__xludf.DUMMYFUNCTION("""COMPUTED_VALUE"""),"Vivo Y91i(3 GB 32GB)")</f>
        <v>Vivo Y91i(3 GB 32GB)</v>
      </c>
      <c r="B742" t="str">
        <f>IFERROR(__xludf.DUMMYFUNCTION("""COMPUTED_VALUE"""),"")</f>
        <v/>
      </c>
      <c r="C742" t="str">
        <f>IFERROR(__xludf.DUMMYFUNCTION("""COMPUTED_VALUE"""),"")</f>
        <v/>
      </c>
      <c r="D742" t="str">
        <f>IFERROR(__xludf.DUMMYFUNCTION("""COMPUTED_VALUE"""),"")</f>
        <v/>
      </c>
      <c r="E742" t="str">
        <f>IFERROR(__xludf.DUMMYFUNCTION("""COMPUTED_VALUE"""),"")</f>
        <v/>
      </c>
      <c r="F742" t="str">
        <f>IFERROR(__xludf.DUMMYFUNCTION("""COMPUTED_VALUE"""),"")</f>
        <v/>
      </c>
      <c r="G742" t="str">
        <f>IFERROR(__xludf.DUMMYFUNCTION("""COMPUTED_VALUE"""),"")</f>
        <v/>
      </c>
      <c r="H742" t="str">
        <f>IFERROR(__xludf.DUMMYFUNCTION("""COMPUTED_VALUE"""),"")</f>
        <v/>
      </c>
      <c r="I742">
        <f>IFERROR(__xludf.DUMMYFUNCTION("""COMPUTED_VALUE"""),2.0)</f>
        <v>2</v>
      </c>
      <c r="J742">
        <f>IFERROR(__xludf.DUMMYFUNCTION("""COMPUTED_VALUE"""),2.0)</f>
        <v>2</v>
      </c>
      <c r="L742" s="250" t="str">
        <f>IFERROR(__xludf.DUMMYFUNCTION("""COMPUTED_VALUE"""),"")</f>
        <v/>
      </c>
      <c r="M742" s="250" t="str">
        <f>IFERROR(__xludf.DUMMYFUNCTION("""COMPUTED_VALUE"""),"")</f>
        <v/>
      </c>
      <c r="N742" s="250" t="str">
        <f>IFERROR(__xludf.DUMMYFUNCTION("""COMPUTED_VALUE"""),"")</f>
        <v/>
      </c>
      <c r="O742" s="250" t="str">
        <f>IFERROR(__xludf.DUMMYFUNCTION("""COMPUTED_VALUE"""),"")</f>
        <v/>
      </c>
      <c r="P742" s="250" t="str">
        <f>IFERROR(__xludf.DUMMYFUNCTION("""COMPUTED_VALUE"""),"")</f>
        <v/>
      </c>
      <c r="Q742" s="250" t="str">
        <f>IFERROR(__xludf.DUMMYFUNCTION("""COMPUTED_VALUE"""),"")</f>
        <v/>
      </c>
      <c r="R742" s="250" t="str">
        <f>IFERROR(__xludf.DUMMYFUNCTION("""COMPUTED_VALUE"""),"")</f>
        <v/>
      </c>
      <c r="U742" s="250" t="str">
        <f>IFERROR(__xludf.DUMMYFUNCTION("""COMPUTED_VALUE"""),"#N/A")</f>
        <v>#N/A</v>
      </c>
      <c r="V742" s="250" t="str">
        <f>IFERROR(__xludf.DUMMYFUNCTION("""COMPUTED_VALUE"""),"#N/A")</f>
        <v>#N/A</v>
      </c>
      <c r="W742" s="250" t="str">
        <f>IFERROR(__xludf.DUMMYFUNCTION("""COMPUTED_VALUE"""),"#N/A")</f>
        <v>#N/A</v>
      </c>
      <c r="X742" t="b">
        <f t="shared" ref="X742:Z742" si="1460">ISBLANK(K742)</f>
        <v>1</v>
      </c>
      <c r="Y742" t="b">
        <f t="shared" si="1460"/>
        <v>0</v>
      </c>
      <c r="Z742" t="b">
        <f t="shared" si="1460"/>
        <v>0</v>
      </c>
      <c r="AA742">
        <f t="shared" ref="AA742:AC742" si="1461">IF(X742=FALSE,1,0)</f>
        <v>0</v>
      </c>
      <c r="AB742">
        <f t="shared" si="1461"/>
        <v>1</v>
      </c>
      <c r="AC742">
        <f t="shared" si="1461"/>
        <v>1</v>
      </c>
      <c r="AD742">
        <f t="shared" si="6"/>
        <v>2</v>
      </c>
      <c r="AE742">
        <f t="shared" si="7"/>
        <v>1</v>
      </c>
      <c r="AF742">
        <f>if(iferror(vlookup($A742,'Description Database'!$E$2:$H$951,3,0),0)=TRUE,1,0)</f>
        <v>0</v>
      </c>
      <c r="AG742">
        <f>if(iferror(vlookup($A742,'Description Database'!$E$2:$H$951,4,0),0)=TRUE,1,0)</f>
        <v>0</v>
      </c>
    </row>
    <row r="743">
      <c r="A743" t="str">
        <f>IFERROR(__xludf.DUMMYFUNCTION("""COMPUTED_VALUE"""),"Google PIXEL(4 GB 128GB)")</f>
        <v>Google PIXEL(4 GB 128GB)</v>
      </c>
      <c r="B743" t="str">
        <f>IFERROR(__xludf.DUMMYFUNCTION("""COMPUTED_VALUE"""),"")</f>
        <v/>
      </c>
      <c r="C743" t="str">
        <f>IFERROR(__xludf.DUMMYFUNCTION("""COMPUTED_VALUE"""),"")</f>
        <v/>
      </c>
      <c r="D743" t="str">
        <f>IFERROR(__xludf.DUMMYFUNCTION("""COMPUTED_VALUE"""),"")</f>
        <v/>
      </c>
      <c r="E743" t="str">
        <f>IFERROR(__xludf.DUMMYFUNCTION("""COMPUTED_VALUE"""),"")</f>
        <v/>
      </c>
      <c r="F743" t="str">
        <f>IFERROR(__xludf.DUMMYFUNCTION("""COMPUTED_VALUE"""),"")</f>
        <v/>
      </c>
      <c r="G743" t="str">
        <f>IFERROR(__xludf.DUMMYFUNCTION("""COMPUTED_VALUE"""),"")</f>
        <v/>
      </c>
      <c r="H743" t="str">
        <f>IFERROR(__xludf.DUMMYFUNCTION("""COMPUTED_VALUE"""),"")</f>
        <v/>
      </c>
      <c r="I743" t="str">
        <f>IFERROR(__xludf.DUMMYFUNCTION("""COMPUTED_VALUE"""),"")</f>
        <v/>
      </c>
      <c r="J743">
        <f>IFERROR(__xludf.DUMMYFUNCTION("""COMPUTED_VALUE"""),0.0)</f>
        <v>0</v>
      </c>
      <c r="L743" s="250" t="str">
        <f>IFERROR(__xludf.DUMMYFUNCTION("""COMPUTED_VALUE"""),"")</f>
        <v/>
      </c>
      <c r="M743" s="250" t="str">
        <f>IFERROR(__xludf.DUMMYFUNCTION("""COMPUTED_VALUE"""),"")</f>
        <v/>
      </c>
      <c r="N743" s="250" t="str">
        <f>IFERROR(__xludf.DUMMYFUNCTION("""COMPUTED_VALUE"""),"")</f>
        <v/>
      </c>
      <c r="O743" s="250" t="str">
        <f>IFERROR(__xludf.DUMMYFUNCTION("""COMPUTED_VALUE"""),"")</f>
        <v/>
      </c>
      <c r="P743" s="250" t="str">
        <f>IFERROR(__xludf.DUMMYFUNCTION("""COMPUTED_VALUE"""),"")</f>
        <v/>
      </c>
      <c r="Q743" s="250" t="str">
        <f>IFERROR(__xludf.DUMMYFUNCTION("""COMPUTED_VALUE"""),"")</f>
        <v/>
      </c>
      <c r="R743" s="250" t="str">
        <f>IFERROR(__xludf.DUMMYFUNCTION("""COMPUTED_VALUE"""),"")</f>
        <v/>
      </c>
      <c r="U743" s="250" t="str">
        <f>IFERROR(__xludf.DUMMYFUNCTION("""COMPUTED_VALUE"""),"#N/A")</f>
        <v>#N/A</v>
      </c>
      <c r="V743" s="250" t="str">
        <f>IFERROR(__xludf.DUMMYFUNCTION("""COMPUTED_VALUE"""),"#N/A")</f>
        <v>#N/A</v>
      </c>
      <c r="W743" s="250" t="str">
        <f>IFERROR(__xludf.DUMMYFUNCTION("""COMPUTED_VALUE"""),"#N/A")</f>
        <v>#N/A</v>
      </c>
      <c r="X743" t="b">
        <f t="shared" ref="X743:Z743" si="1462">ISBLANK(K743)</f>
        <v>1</v>
      </c>
      <c r="Y743" t="b">
        <f t="shared" si="1462"/>
        <v>0</v>
      </c>
      <c r="Z743" t="b">
        <f t="shared" si="1462"/>
        <v>0</v>
      </c>
      <c r="AA743">
        <f t="shared" ref="AA743:AC743" si="1463">IF(X743=FALSE,1,0)</f>
        <v>0</v>
      </c>
      <c r="AB743">
        <f t="shared" si="1463"/>
        <v>1</v>
      </c>
      <c r="AC743">
        <f t="shared" si="1463"/>
        <v>1</v>
      </c>
      <c r="AD743">
        <f t="shared" si="6"/>
        <v>2</v>
      </c>
      <c r="AE743">
        <f t="shared" si="7"/>
        <v>1</v>
      </c>
      <c r="AF743">
        <f>if(iferror(vlookup($A743,'Description Database'!$E$2:$H$951,3,0),0)=TRUE,1,0)</f>
        <v>0</v>
      </c>
      <c r="AG743">
        <f>if(iferror(vlookup($A743,'Description Database'!$E$2:$H$951,4,0),0)=TRUE,1,0)</f>
        <v>0</v>
      </c>
    </row>
    <row r="744">
      <c r="A744" t="str">
        <f>IFERROR(__xludf.DUMMYFUNCTION("""COMPUTED_VALUE"""),"Lenovo K9 (3 GB/32 GB)")</f>
        <v>Lenovo K9 (3 GB/32 GB)</v>
      </c>
      <c r="B744" t="str">
        <f>IFERROR(__xludf.DUMMYFUNCTION("""COMPUTED_VALUE"""),"")</f>
        <v/>
      </c>
      <c r="C744" t="str">
        <f>IFERROR(__xludf.DUMMYFUNCTION("""COMPUTED_VALUE"""),"")</f>
        <v/>
      </c>
      <c r="D744" t="str">
        <f>IFERROR(__xludf.DUMMYFUNCTION("""COMPUTED_VALUE"""),"")</f>
        <v/>
      </c>
      <c r="E744" t="str">
        <f>IFERROR(__xludf.DUMMYFUNCTION("""COMPUTED_VALUE"""),"")</f>
        <v/>
      </c>
      <c r="F744" t="str">
        <f>IFERROR(__xludf.DUMMYFUNCTION("""COMPUTED_VALUE"""),"")</f>
        <v/>
      </c>
      <c r="G744">
        <f>IFERROR(__xludf.DUMMYFUNCTION("""COMPUTED_VALUE"""),1.0)</f>
        <v>1</v>
      </c>
      <c r="H744" t="str">
        <f>IFERROR(__xludf.DUMMYFUNCTION("""COMPUTED_VALUE"""),"")</f>
        <v/>
      </c>
      <c r="I744" t="str">
        <f>IFERROR(__xludf.DUMMYFUNCTION("""COMPUTED_VALUE"""),"")</f>
        <v/>
      </c>
      <c r="J744">
        <f>IFERROR(__xludf.DUMMYFUNCTION("""COMPUTED_VALUE"""),1.0)</f>
        <v>1</v>
      </c>
      <c r="L744" s="250" t="str">
        <f>IFERROR(__xludf.DUMMYFUNCTION("""COMPUTED_VALUE"""),"")</f>
        <v/>
      </c>
      <c r="M744" s="250" t="str">
        <f>IFERROR(__xludf.DUMMYFUNCTION("""COMPUTED_VALUE"""),"")</f>
        <v/>
      </c>
      <c r="N744" s="250" t="str">
        <f>IFERROR(__xludf.DUMMYFUNCTION("""COMPUTED_VALUE"""),"")</f>
        <v/>
      </c>
      <c r="O744" s="250" t="str">
        <f>IFERROR(__xludf.DUMMYFUNCTION("""COMPUTED_VALUE"""),"")</f>
        <v/>
      </c>
      <c r="P744" s="250" t="str">
        <f>IFERROR(__xludf.DUMMYFUNCTION("""COMPUTED_VALUE"""),"")</f>
        <v/>
      </c>
      <c r="Q744" s="250">
        <f>IFERROR(__xludf.DUMMYFUNCTION("""COMPUTED_VALUE"""),2509.0)</f>
        <v>2509</v>
      </c>
      <c r="R744" s="250" t="str">
        <f>IFERROR(__xludf.DUMMYFUNCTION("""COMPUTED_VALUE"""),"")</f>
        <v/>
      </c>
      <c r="U744" s="250">
        <f>IFERROR(__xludf.DUMMYFUNCTION("""COMPUTED_VALUE"""),5059.0)</f>
        <v>5059</v>
      </c>
      <c r="V744" s="250">
        <f>IFERROR(__xludf.DUMMYFUNCTION("""COMPUTED_VALUE"""),4819.0)</f>
        <v>4819</v>
      </c>
      <c r="W744" s="250">
        <f>IFERROR(__xludf.DUMMYFUNCTION("""COMPUTED_VALUE"""),4339.0)</f>
        <v>4339</v>
      </c>
      <c r="X744" t="b">
        <f t="shared" ref="X744:Z744" si="1464">ISBLANK(K744)</f>
        <v>1</v>
      </c>
      <c r="Y744" t="b">
        <f t="shared" si="1464"/>
        <v>0</v>
      </c>
      <c r="Z744" t="b">
        <f t="shared" si="1464"/>
        <v>0</v>
      </c>
      <c r="AA744">
        <f t="shared" ref="AA744:AC744" si="1465">IF(X744=FALSE,1,0)</f>
        <v>0</v>
      </c>
      <c r="AB744">
        <f t="shared" si="1465"/>
        <v>1</v>
      </c>
      <c r="AC744">
        <f t="shared" si="1465"/>
        <v>1</v>
      </c>
      <c r="AD744">
        <f t="shared" si="6"/>
        <v>2</v>
      </c>
      <c r="AE744">
        <f t="shared" si="7"/>
        <v>1</v>
      </c>
      <c r="AF744">
        <f>if(iferror(vlookup($A744,'Description Database'!$E$2:$H$951,3,0),0)=TRUE,1,0)</f>
        <v>0</v>
      </c>
      <c r="AG744">
        <f>if(iferror(vlookup($A744,'Description Database'!$E$2:$H$951,4,0),0)=TRUE,1,0)</f>
        <v>0</v>
      </c>
    </row>
    <row r="745">
      <c r="A745" t="str">
        <f>IFERROR(__xludf.DUMMYFUNCTION("""COMPUTED_VALUE"""),"YU YUREKA NOTE(3 GB/16GB)")</f>
        <v>YU YUREKA NOTE(3 GB/16GB)</v>
      </c>
      <c r="B745" t="str">
        <f>IFERROR(__xludf.DUMMYFUNCTION("""COMPUTED_VALUE"""),"")</f>
        <v/>
      </c>
      <c r="C745" t="str">
        <f>IFERROR(__xludf.DUMMYFUNCTION("""COMPUTED_VALUE"""),"")</f>
        <v/>
      </c>
      <c r="D745" t="str">
        <f>IFERROR(__xludf.DUMMYFUNCTION("""COMPUTED_VALUE"""),"")</f>
        <v/>
      </c>
      <c r="E745" t="str">
        <f>IFERROR(__xludf.DUMMYFUNCTION("""COMPUTED_VALUE"""),"")</f>
        <v/>
      </c>
      <c r="F745" t="str">
        <f>IFERROR(__xludf.DUMMYFUNCTION("""COMPUTED_VALUE"""),"")</f>
        <v/>
      </c>
      <c r="G745" t="str">
        <f>IFERROR(__xludf.DUMMYFUNCTION("""COMPUTED_VALUE"""),"")</f>
        <v/>
      </c>
      <c r="H745" t="str">
        <f>IFERROR(__xludf.DUMMYFUNCTION("""COMPUTED_VALUE"""),"")</f>
        <v/>
      </c>
      <c r="I745" t="str">
        <f>IFERROR(__xludf.DUMMYFUNCTION("""COMPUTED_VALUE"""),"")</f>
        <v/>
      </c>
      <c r="J745">
        <f>IFERROR(__xludf.DUMMYFUNCTION("""COMPUTED_VALUE"""),0.0)</f>
        <v>0</v>
      </c>
      <c r="L745" s="250" t="str">
        <f>IFERROR(__xludf.DUMMYFUNCTION("""COMPUTED_VALUE"""),"")</f>
        <v/>
      </c>
      <c r="M745" s="250" t="str">
        <f>IFERROR(__xludf.DUMMYFUNCTION("""COMPUTED_VALUE"""),"")</f>
        <v/>
      </c>
      <c r="N745" s="250" t="str">
        <f>IFERROR(__xludf.DUMMYFUNCTION("""COMPUTED_VALUE"""),"")</f>
        <v/>
      </c>
      <c r="O745" s="250" t="str">
        <f>IFERROR(__xludf.DUMMYFUNCTION("""COMPUTED_VALUE"""),"")</f>
        <v/>
      </c>
      <c r="P745" s="250" t="str">
        <f>IFERROR(__xludf.DUMMYFUNCTION("""COMPUTED_VALUE"""),"")</f>
        <v/>
      </c>
      <c r="Q745" s="250" t="str">
        <f>IFERROR(__xludf.DUMMYFUNCTION("""COMPUTED_VALUE"""),"")</f>
        <v/>
      </c>
      <c r="R745" s="250" t="str">
        <f>IFERROR(__xludf.DUMMYFUNCTION("""COMPUTED_VALUE"""),"")</f>
        <v/>
      </c>
      <c r="U745" s="250" t="str">
        <f>IFERROR(__xludf.DUMMYFUNCTION("""COMPUTED_VALUE"""),"#N/A")</f>
        <v>#N/A</v>
      </c>
      <c r="V745" s="250" t="str">
        <f>IFERROR(__xludf.DUMMYFUNCTION("""COMPUTED_VALUE"""),"#N/A")</f>
        <v>#N/A</v>
      </c>
      <c r="W745" s="250" t="str">
        <f>IFERROR(__xludf.DUMMYFUNCTION("""COMPUTED_VALUE"""),"#N/A")</f>
        <v>#N/A</v>
      </c>
      <c r="X745" t="b">
        <f t="shared" ref="X745:Z745" si="1466">ISBLANK(K745)</f>
        <v>1</v>
      </c>
      <c r="Y745" t="b">
        <f t="shared" si="1466"/>
        <v>0</v>
      </c>
      <c r="Z745" t="b">
        <f t="shared" si="1466"/>
        <v>0</v>
      </c>
      <c r="AA745">
        <f t="shared" ref="AA745:AC745" si="1467">IF(X745=FALSE,1,0)</f>
        <v>0</v>
      </c>
      <c r="AB745">
        <f t="shared" si="1467"/>
        <v>1</v>
      </c>
      <c r="AC745">
        <f t="shared" si="1467"/>
        <v>1</v>
      </c>
      <c r="AD745">
        <f t="shared" si="6"/>
        <v>2</v>
      </c>
      <c r="AE745">
        <f t="shared" si="7"/>
        <v>1</v>
      </c>
      <c r="AF745">
        <f>if(iferror(vlookup($A745,'Description Database'!$E$2:$H$951,3,0),0)=TRUE,1,0)</f>
        <v>0</v>
      </c>
      <c r="AG745">
        <f>if(iferror(vlookup($A745,'Description Database'!$E$2:$H$951,4,0),0)=TRUE,1,0)</f>
        <v>0</v>
      </c>
    </row>
    <row r="746">
      <c r="A746" t="str">
        <f>IFERROR(__xludf.DUMMYFUNCTION("""COMPUTED_VALUE"""),"Vivo Y 31L(1 GB/16GB)")</f>
        <v>Vivo Y 31L(1 GB/16GB)</v>
      </c>
      <c r="B746" t="str">
        <f>IFERROR(__xludf.DUMMYFUNCTION("""COMPUTED_VALUE"""),"")</f>
        <v/>
      </c>
      <c r="C746" t="str">
        <f>IFERROR(__xludf.DUMMYFUNCTION("""COMPUTED_VALUE"""),"")</f>
        <v/>
      </c>
      <c r="D746" t="str">
        <f>IFERROR(__xludf.DUMMYFUNCTION("""COMPUTED_VALUE"""),"")</f>
        <v/>
      </c>
      <c r="E746" t="str">
        <f>IFERROR(__xludf.DUMMYFUNCTION("""COMPUTED_VALUE"""),"")</f>
        <v/>
      </c>
      <c r="F746" t="str">
        <f>IFERROR(__xludf.DUMMYFUNCTION("""COMPUTED_VALUE"""),"")</f>
        <v/>
      </c>
      <c r="G746" t="str">
        <f>IFERROR(__xludf.DUMMYFUNCTION("""COMPUTED_VALUE"""),"")</f>
        <v/>
      </c>
      <c r="H746" t="str">
        <f>IFERROR(__xludf.DUMMYFUNCTION("""COMPUTED_VALUE"""),"")</f>
        <v/>
      </c>
      <c r="I746" t="str">
        <f>IFERROR(__xludf.DUMMYFUNCTION("""COMPUTED_VALUE"""),"")</f>
        <v/>
      </c>
      <c r="J746">
        <f>IFERROR(__xludf.DUMMYFUNCTION("""COMPUTED_VALUE"""),0.0)</f>
        <v>0</v>
      </c>
      <c r="L746" s="250" t="str">
        <f>IFERROR(__xludf.DUMMYFUNCTION("""COMPUTED_VALUE"""),"")</f>
        <v/>
      </c>
      <c r="M746" s="250" t="str">
        <f>IFERROR(__xludf.DUMMYFUNCTION("""COMPUTED_VALUE"""),"")</f>
        <v/>
      </c>
      <c r="N746" s="250" t="str">
        <f>IFERROR(__xludf.DUMMYFUNCTION("""COMPUTED_VALUE"""),"")</f>
        <v/>
      </c>
      <c r="O746" s="250" t="str">
        <f>IFERROR(__xludf.DUMMYFUNCTION("""COMPUTED_VALUE"""),"")</f>
        <v/>
      </c>
      <c r="P746" s="250" t="str">
        <f>IFERROR(__xludf.DUMMYFUNCTION("""COMPUTED_VALUE"""),"")</f>
        <v/>
      </c>
      <c r="Q746" s="250" t="str">
        <f>IFERROR(__xludf.DUMMYFUNCTION("""COMPUTED_VALUE"""),"")</f>
        <v/>
      </c>
      <c r="R746" s="250" t="str">
        <f>IFERROR(__xludf.DUMMYFUNCTION("""COMPUTED_VALUE"""),"")</f>
        <v/>
      </c>
      <c r="U746" s="250" t="str">
        <f>IFERROR(__xludf.DUMMYFUNCTION("""COMPUTED_VALUE"""),"#N/A")</f>
        <v>#N/A</v>
      </c>
      <c r="V746" s="250" t="str">
        <f>IFERROR(__xludf.DUMMYFUNCTION("""COMPUTED_VALUE"""),"#N/A")</f>
        <v>#N/A</v>
      </c>
      <c r="W746" s="250" t="str">
        <f>IFERROR(__xludf.DUMMYFUNCTION("""COMPUTED_VALUE"""),"#N/A")</f>
        <v>#N/A</v>
      </c>
      <c r="X746" t="b">
        <f t="shared" ref="X746:Z746" si="1468">ISBLANK(K746)</f>
        <v>1</v>
      </c>
      <c r="Y746" t="b">
        <f t="shared" si="1468"/>
        <v>0</v>
      </c>
      <c r="Z746" t="b">
        <f t="shared" si="1468"/>
        <v>0</v>
      </c>
      <c r="AA746">
        <f t="shared" ref="AA746:AC746" si="1469">IF(X746=FALSE,1,0)</f>
        <v>0</v>
      </c>
      <c r="AB746">
        <f t="shared" si="1469"/>
        <v>1</v>
      </c>
      <c r="AC746">
        <f t="shared" si="1469"/>
        <v>1</v>
      </c>
      <c r="AD746">
        <f t="shared" si="6"/>
        <v>2</v>
      </c>
      <c r="AE746">
        <f t="shared" si="7"/>
        <v>1</v>
      </c>
      <c r="AF746">
        <f>if(iferror(vlookup($A746,'Description Database'!$E$2:$H$951,3,0),0)=TRUE,1,0)</f>
        <v>0</v>
      </c>
      <c r="AG746">
        <f>if(iferror(vlookup($A746,'Description Database'!$E$2:$H$951,4,0),0)=TRUE,1,0)</f>
        <v>0</v>
      </c>
    </row>
    <row r="747">
      <c r="A747" t="str">
        <f>IFERROR(__xludf.DUMMYFUNCTION("""COMPUTED_VALUE"""),"Lenovo A7000 TURBO(2 GB 16GB)")</f>
        <v>Lenovo A7000 TURBO(2 GB 16GB)</v>
      </c>
      <c r="B747" t="str">
        <f>IFERROR(__xludf.DUMMYFUNCTION("""COMPUTED_VALUE"""),"")</f>
        <v/>
      </c>
      <c r="C747" t="str">
        <f>IFERROR(__xludf.DUMMYFUNCTION("""COMPUTED_VALUE"""),"")</f>
        <v/>
      </c>
      <c r="D747" t="str">
        <f>IFERROR(__xludf.DUMMYFUNCTION("""COMPUTED_VALUE"""),"")</f>
        <v/>
      </c>
      <c r="E747" t="str">
        <f>IFERROR(__xludf.DUMMYFUNCTION("""COMPUTED_VALUE"""),"")</f>
        <v/>
      </c>
      <c r="F747" t="str">
        <f>IFERROR(__xludf.DUMMYFUNCTION("""COMPUTED_VALUE"""),"")</f>
        <v/>
      </c>
      <c r="G747" t="str">
        <f>IFERROR(__xludf.DUMMYFUNCTION("""COMPUTED_VALUE"""),"")</f>
        <v/>
      </c>
      <c r="H747" t="str">
        <f>IFERROR(__xludf.DUMMYFUNCTION("""COMPUTED_VALUE"""),"")</f>
        <v/>
      </c>
      <c r="I747" t="str">
        <f>IFERROR(__xludf.DUMMYFUNCTION("""COMPUTED_VALUE"""),"")</f>
        <v/>
      </c>
      <c r="J747">
        <f>IFERROR(__xludf.DUMMYFUNCTION("""COMPUTED_VALUE"""),0.0)</f>
        <v>0</v>
      </c>
      <c r="L747" s="250" t="str">
        <f>IFERROR(__xludf.DUMMYFUNCTION("""COMPUTED_VALUE"""),"")</f>
        <v/>
      </c>
      <c r="M747" s="250" t="str">
        <f>IFERROR(__xludf.DUMMYFUNCTION("""COMPUTED_VALUE"""),"")</f>
        <v/>
      </c>
      <c r="N747" s="250" t="str">
        <f>IFERROR(__xludf.DUMMYFUNCTION("""COMPUTED_VALUE"""),"")</f>
        <v/>
      </c>
      <c r="O747" s="250" t="str">
        <f>IFERROR(__xludf.DUMMYFUNCTION("""COMPUTED_VALUE"""),"")</f>
        <v/>
      </c>
      <c r="P747" s="250" t="str">
        <f>IFERROR(__xludf.DUMMYFUNCTION("""COMPUTED_VALUE"""),"")</f>
        <v/>
      </c>
      <c r="Q747" s="250" t="str">
        <f>IFERROR(__xludf.DUMMYFUNCTION("""COMPUTED_VALUE"""),"")</f>
        <v/>
      </c>
      <c r="R747" s="250" t="str">
        <f>IFERROR(__xludf.DUMMYFUNCTION("""COMPUTED_VALUE"""),"")</f>
        <v/>
      </c>
      <c r="U747" s="250" t="str">
        <f>IFERROR(__xludf.DUMMYFUNCTION("""COMPUTED_VALUE"""),"#N/A")</f>
        <v>#N/A</v>
      </c>
      <c r="V747" s="250" t="str">
        <f>IFERROR(__xludf.DUMMYFUNCTION("""COMPUTED_VALUE"""),"#N/A")</f>
        <v>#N/A</v>
      </c>
      <c r="W747" s="250" t="str">
        <f>IFERROR(__xludf.DUMMYFUNCTION("""COMPUTED_VALUE"""),"#N/A")</f>
        <v>#N/A</v>
      </c>
      <c r="X747" t="b">
        <f t="shared" ref="X747:Z747" si="1470">ISBLANK(K747)</f>
        <v>1</v>
      </c>
      <c r="Y747" t="b">
        <f t="shared" si="1470"/>
        <v>0</v>
      </c>
      <c r="Z747" t="b">
        <f t="shared" si="1470"/>
        <v>0</v>
      </c>
      <c r="AA747">
        <f t="shared" ref="AA747:AC747" si="1471">IF(X747=FALSE,1,0)</f>
        <v>0</v>
      </c>
      <c r="AB747">
        <f t="shared" si="1471"/>
        <v>1</v>
      </c>
      <c r="AC747">
        <f t="shared" si="1471"/>
        <v>1</v>
      </c>
      <c r="AD747">
        <f t="shared" si="6"/>
        <v>2</v>
      </c>
      <c r="AE747">
        <f t="shared" si="7"/>
        <v>1</v>
      </c>
      <c r="AF747">
        <f>if(iferror(vlookup($A747,'Description Database'!$E$2:$H$951,3,0),0)=TRUE,1,0)</f>
        <v>0</v>
      </c>
      <c r="AG747">
        <f>if(iferror(vlookup($A747,'Description Database'!$E$2:$H$951,4,0),0)=TRUE,1,0)</f>
        <v>0</v>
      </c>
    </row>
    <row r="748">
      <c r="A748" t="str">
        <f>IFERROR(__xludf.DUMMYFUNCTION("""COMPUTED_VALUE"""),"ONEPLUS 8 (6 GB/128 GB)")</f>
        <v>ONEPLUS 8 (6 GB/128 GB)</v>
      </c>
      <c r="B748">
        <f>IFERROR(__xludf.DUMMYFUNCTION("""COMPUTED_VALUE"""),1.0)</f>
        <v>1</v>
      </c>
      <c r="C748" t="str">
        <f>IFERROR(__xludf.DUMMYFUNCTION("""COMPUTED_VALUE"""),"")</f>
        <v/>
      </c>
      <c r="D748" t="str">
        <f>IFERROR(__xludf.DUMMYFUNCTION("""COMPUTED_VALUE"""),"")</f>
        <v/>
      </c>
      <c r="E748" t="str">
        <f>IFERROR(__xludf.DUMMYFUNCTION("""COMPUTED_VALUE"""),"")</f>
        <v/>
      </c>
      <c r="F748" t="str">
        <f>IFERROR(__xludf.DUMMYFUNCTION("""COMPUTED_VALUE"""),"")</f>
        <v/>
      </c>
      <c r="G748" t="str">
        <f>IFERROR(__xludf.DUMMYFUNCTION("""COMPUTED_VALUE"""),"")</f>
        <v/>
      </c>
      <c r="H748" t="str">
        <f>IFERROR(__xludf.DUMMYFUNCTION("""COMPUTED_VALUE"""),"")</f>
        <v/>
      </c>
      <c r="I748" t="str">
        <f>IFERROR(__xludf.DUMMYFUNCTION("""COMPUTED_VALUE"""),"")</f>
        <v/>
      </c>
      <c r="J748">
        <f>IFERROR(__xludf.DUMMYFUNCTION("""COMPUTED_VALUE"""),1.0)</f>
        <v>1</v>
      </c>
      <c r="L748" s="250">
        <f>IFERROR(__xludf.DUMMYFUNCTION("""COMPUTED_VALUE"""),30229.0)</f>
        <v>30229</v>
      </c>
      <c r="M748" s="250" t="str">
        <f>IFERROR(__xludf.DUMMYFUNCTION("""COMPUTED_VALUE"""),"")</f>
        <v/>
      </c>
      <c r="N748" s="250" t="str">
        <f>IFERROR(__xludf.DUMMYFUNCTION("""COMPUTED_VALUE"""),"")</f>
        <v/>
      </c>
      <c r="O748" s="250" t="str">
        <f>IFERROR(__xludf.DUMMYFUNCTION("""COMPUTED_VALUE"""),"")</f>
        <v/>
      </c>
      <c r="P748" s="250" t="str">
        <f>IFERROR(__xludf.DUMMYFUNCTION("""COMPUTED_VALUE"""),"")</f>
        <v/>
      </c>
      <c r="Q748" s="250" t="str">
        <f>IFERROR(__xludf.DUMMYFUNCTION("""COMPUTED_VALUE"""),"")</f>
        <v/>
      </c>
      <c r="R748" s="250" t="str">
        <f>IFERROR(__xludf.DUMMYFUNCTION("""COMPUTED_VALUE"""),"")</f>
        <v/>
      </c>
      <c r="U748" s="250">
        <f>IFERROR(__xludf.DUMMYFUNCTION("""COMPUTED_VALUE"""),33259.0)</f>
        <v>33259</v>
      </c>
      <c r="V748" s="250">
        <f>IFERROR(__xludf.DUMMYFUNCTION("""COMPUTED_VALUE"""),31669.0)</f>
        <v>31669</v>
      </c>
      <c r="W748" s="250">
        <f>IFERROR(__xludf.DUMMYFUNCTION("""COMPUTED_VALUE"""),28499.0)</f>
        <v>28499</v>
      </c>
      <c r="X748" t="b">
        <f t="shared" ref="X748:Z748" si="1472">ISBLANK(K748)</f>
        <v>1</v>
      </c>
      <c r="Y748" t="b">
        <f t="shared" si="1472"/>
        <v>0</v>
      </c>
      <c r="Z748" t="b">
        <f t="shared" si="1472"/>
        <v>0</v>
      </c>
      <c r="AA748">
        <f t="shared" ref="AA748:AC748" si="1473">IF(X748=FALSE,1,0)</f>
        <v>0</v>
      </c>
      <c r="AB748">
        <f t="shared" si="1473"/>
        <v>1</v>
      </c>
      <c r="AC748">
        <f t="shared" si="1473"/>
        <v>1</v>
      </c>
      <c r="AD748">
        <f t="shared" si="6"/>
        <v>2</v>
      </c>
      <c r="AE748">
        <f t="shared" si="7"/>
        <v>1</v>
      </c>
      <c r="AF748">
        <f>if(iferror(vlookup($A748,'Description Database'!$E$2:$H$951,3,0),0)=TRUE,1,0)</f>
        <v>0</v>
      </c>
      <c r="AG748">
        <f>if(iferror(vlookup($A748,'Description Database'!$E$2:$H$951,4,0),0)=TRUE,1,0)</f>
        <v>0</v>
      </c>
    </row>
    <row r="749">
      <c r="A749" t="str">
        <f>IFERROR(__xludf.DUMMYFUNCTION("""COMPUTED_VALUE"""),"Vivo Y91i(2 GB 16GB)")</f>
        <v>Vivo Y91i(2 GB 16GB)</v>
      </c>
      <c r="B749" t="str">
        <f>IFERROR(__xludf.DUMMYFUNCTION("""COMPUTED_VALUE"""),"")</f>
        <v/>
      </c>
      <c r="C749" t="str">
        <f>IFERROR(__xludf.DUMMYFUNCTION("""COMPUTED_VALUE"""),"")</f>
        <v/>
      </c>
      <c r="D749" t="str">
        <f>IFERROR(__xludf.DUMMYFUNCTION("""COMPUTED_VALUE"""),"")</f>
        <v/>
      </c>
      <c r="E749" t="str">
        <f>IFERROR(__xludf.DUMMYFUNCTION("""COMPUTED_VALUE"""),"")</f>
        <v/>
      </c>
      <c r="F749" t="str">
        <f>IFERROR(__xludf.DUMMYFUNCTION("""COMPUTED_VALUE"""),"")</f>
        <v/>
      </c>
      <c r="G749" t="str">
        <f>IFERROR(__xludf.DUMMYFUNCTION("""COMPUTED_VALUE"""),"")</f>
        <v/>
      </c>
      <c r="H749" t="str">
        <f>IFERROR(__xludf.DUMMYFUNCTION("""COMPUTED_VALUE"""),"")</f>
        <v/>
      </c>
      <c r="I749" t="str">
        <f>IFERROR(__xludf.DUMMYFUNCTION("""COMPUTED_VALUE"""),"")</f>
        <v/>
      </c>
      <c r="J749">
        <f>IFERROR(__xludf.DUMMYFUNCTION("""COMPUTED_VALUE"""),0.0)</f>
        <v>0</v>
      </c>
      <c r="L749" s="250" t="str">
        <f>IFERROR(__xludf.DUMMYFUNCTION("""COMPUTED_VALUE"""),"")</f>
        <v/>
      </c>
      <c r="M749" s="250" t="str">
        <f>IFERROR(__xludf.DUMMYFUNCTION("""COMPUTED_VALUE"""),"")</f>
        <v/>
      </c>
      <c r="N749" s="250" t="str">
        <f>IFERROR(__xludf.DUMMYFUNCTION("""COMPUTED_VALUE"""),"")</f>
        <v/>
      </c>
      <c r="O749" s="250" t="str">
        <f>IFERROR(__xludf.DUMMYFUNCTION("""COMPUTED_VALUE"""),"")</f>
        <v/>
      </c>
      <c r="P749" s="250" t="str">
        <f>IFERROR(__xludf.DUMMYFUNCTION("""COMPUTED_VALUE"""),"")</f>
        <v/>
      </c>
      <c r="Q749" s="250" t="str">
        <f>IFERROR(__xludf.DUMMYFUNCTION("""COMPUTED_VALUE"""),"")</f>
        <v/>
      </c>
      <c r="R749" s="250" t="str">
        <f>IFERROR(__xludf.DUMMYFUNCTION("""COMPUTED_VALUE"""),"")</f>
        <v/>
      </c>
      <c r="U749" s="250" t="str">
        <f>IFERROR(__xludf.DUMMYFUNCTION("""COMPUTED_VALUE"""),"#N/A")</f>
        <v>#N/A</v>
      </c>
      <c r="V749" s="250" t="str">
        <f>IFERROR(__xludf.DUMMYFUNCTION("""COMPUTED_VALUE"""),"#N/A")</f>
        <v>#N/A</v>
      </c>
      <c r="W749" s="250" t="str">
        <f>IFERROR(__xludf.DUMMYFUNCTION("""COMPUTED_VALUE"""),"#N/A")</f>
        <v>#N/A</v>
      </c>
      <c r="X749" t="b">
        <f t="shared" ref="X749:Z749" si="1474">ISBLANK(K749)</f>
        <v>1</v>
      </c>
      <c r="Y749" t="b">
        <f t="shared" si="1474"/>
        <v>0</v>
      </c>
      <c r="Z749" t="b">
        <f t="shared" si="1474"/>
        <v>0</v>
      </c>
      <c r="AA749">
        <f t="shared" ref="AA749:AC749" si="1475">IF(X749=FALSE,1,0)</f>
        <v>0</v>
      </c>
      <c r="AB749">
        <f t="shared" si="1475"/>
        <v>1</v>
      </c>
      <c r="AC749">
        <f t="shared" si="1475"/>
        <v>1</v>
      </c>
      <c r="AD749">
        <f t="shared" si="6"/>
        <v>2</v>
      </c>
      <c r="AE749">
        <f t="shared" si="7"/>
        <v>1</v>
      </c>
      <c r="AF749">
        <f>if(iferror(vlookup($A749,'Description Database'!$E$2:$H$951,3,0),0)=TRUE,1,0)</f>
        <v>0</v>
      </c>
      <c r="AG749">
        <f>if(iferror(vlookup($A749,'Description Database'!$E$2:$H$951,4,0),0)=TRUE,1,0)</f>
        <v>0</v>
      </c>
    </row>
    <row r="750">
      <c r="A750" t="str">
        <f>IFERROR(__xludf.DUMMYFUNCTION("""COMPUTED_VALUE"""),"Lenovo Z2 PLUS(3 GB/32GB)")</f>
        <v>Lenovo Z2 PLUS(3 GB/32GB)</v>
      </c>
      <c r="B750" t="str">
        <f>IFERROR(__xludf.DUMMYFUNCTION("""COMPUTED_VALUE"""),"")</f>
        <v/>
      </c>
      <c r="C750" t="str">
        <f>IFERROR(__xludf.DUMMYFUNCTION("""COMPUTED_VALUE"""),"")</f>
        <v/>
      </c>
      <c r="D750" t="str">
        <f>IFERROR(__xludf.DUMMYFUNCTION("""COMPUTED_VALUE"""),"")</f>
        <v/>
      </c>
      <c r="E750" t="str">
        <f>IFERROR(__xludf.DUMMYFUNCTION("""COMPUTED_VALUE"""),"")</f>
        <v/>
      </c>
      <c r="F750" t="str">
        <f>IFERROR(__xludf.DUMMYFUNCTION("""COMPUTED_VALUE"""),"")</f>
        <v/>
      </c>
      <c r="G750" t="str">
        <f>IFERROR(__xludf.DUMMYFUNCTION("""COMPUTED_VALUE"""),"")</f>
        <v/>
      </c>
      <c r="H750" t="str">
        <f>IFERROR(__xludf.DUMMYFUNCTION("""COMPUTED_VALUE"""),"")</f>
        <v/>
      </c>
      <c r="I750">
        <f>IFERROR(__xludf.DUMMYFUNCTION("""COMPUTED_VALUE"""),6.0)</f>
        <v>6</v>
      </c>
      <c r="J750">
        <f>IFERROR(__xludf.DUMMYFUNCTION("""COMPUTED_VALUE"""),6.0)</f>
        <v>6</v>
      </c>
      <c r="L750" s="250" t="str">
        <f>IFERROR(__xludf.DUMMYFUNCTION("""COMPUTED_VALUE"""),"")</f>
        <v/>
      </c>
      <c r="M750" s="250" t="str">
        <f>IFERROR(__xludf.DUMMYFUNCTION("""COMPUTED_VALUE"""),"")</f>
        <v/>
      </c>
      <c r="N750" s="250" t="str">
        <f>IFERROR(__xludf.DUMMYFUNCTION("""COMPUTED_VALUE"""),"")</f>
        <v/>
      </c>
      <c r="O750" s="250" t="str">
        <f>IFERROR(__xludf.DUMMYFUNCTION("""COMPUTED_VALUE"""),"")</f>
        <v/>
      </c>
      <c r="P750" s="250" t="str">
        <f>IFERROR(__xludf.DUMMYFUNCTION("""COMPUTED_VALUE"""),"")</f>
        <v/>
      </c>
      <c r="Q750" s="250" t="str">
        <f>IFERROR(__xludf.DUMMYFUNCTION("""COMPUTED_VALUE"""),"")</f>
        <v/>
      </c>
      <c r="R750" s="250" t="str">
        <f>IFERROR(__xludf.DUMMYFUNCTION("""COMPUTED_VALUE"""),"")</f>
        <v/>
      </c>
      <c r="U750" s="250" t="str">
        <f>IFERROR(__xludf.DUMMYFUNCTION("""COMPUTED_VALUE"""),"#N/A")</f>
        <v>#N/A</v>
      </c>
      <c r="V750" s="250" t="str">
        <f>IFERROR(__xludf.DUMMYFUNCTION("""COMPUTED_VALUE"""),"#N/A")</f>
        <v>#N/A</v>
      </c>
      <c r="W750" s="250" t="str">
        <f>IFERROR(__xludf.DUMMYFUNCTION("""COMPUTED_VALUE"""),"#N/A")</f>
        <v>#N/A</v>
      </c>
      <c r="X750" t="b">
        <f t="shared" ref="X750:Z750" si="1476">ISBLANK(K750)</f>
        <v>1</v>
      </c>
      <c r="Y750" t="b">
        <f t="shared" si="1476"/>
        <v>0</v>
      </c>
      <c r="Z750" t="b">
        <f t="shared" si="1476"/>
        <v>0</v>
      </c>
      <c r="AA750">
        <f t="shared" ref="AA750:AC750" si="1477">IF(X750=FALSE,1,0)</f>
        <v>0</v>
      </c>
      <c r="AB750">
        <f t="shared" si="1477"/>
        <v>1</v>
      </c>
      <c r="AC750">
        <f t="shared" si="1477"/>
        <v>1</v>
      </c>
      <c r="AD750">
        <f t="shared" si="6"/>
        <v>2</v>
      </c>
      <c r="AE750">
        <f t="shared" si="7"/>
        <v>1</v>
      </c>
      <c r="AF750">
        <f>if(iferror(vlookup($A750,'Description Database'!$E$2:$H$951,3,0),0)=TRUE,1,0)</f>
        <v>0</v>
      </c>
      <c r="AG750">
        <f>if(iferror(vlookup($A750,'Description Database'!$E$2:$H$951,4,0),0)=TRUE,1,0)</f>
        <v>0</v>
      </c>
    </row>
    <row r="751">
      <c r="A751" t="str">
        <f>IFERROR(__xludf.DUMMYFUNCTION("""COMPUTED_VALUE"""),"Motorola Moto X4 (3 GB/32 GB)")</f>
        <v>Motorola Moto X4 (3 GB/32 GB)</v>
      </c>
      <c r="B751" t="str">
        <f>IFERROR(__xludf.DUMMYFUNCTION("""COMPUTED_VALUE"""),"")</f>
        <v/>
      </c>
      <c r="C751" t="str">
        <f>IFERROR(__xludf.DUMMYFUNCTION("""COMPUTED_VALUE"""),"")</f>
        <v/>
      </c>
      <c r="D751" t="str">
        <f>IFERROR(__xludf.DUMMYFUNCTION("""COMPUTED_VALUE"""),"")</f>
        <v/>
      </c>
      <c r="E751" t="str">
        <f>IFERROR(__xludf.DUMMYFUNCTION("""COMPUTED_VALUE"""),"")</f>
        <v/>
      </c>
      <c r="F751" t="str">
        <f>IFERROR(__xludf.DUMMYFUNCTION("""COMPUTED_VALUE"""),"")</f>
        <v/>
      </c>
      <c r="G751">
        <f>IFERROR(__xludf.DUMMYFUNCTION("""COMPUTED_VALUE"""),2.0)</f>
        <v>2</v>
      </c>
      <c r="H751" t="str">
        <f>IFERROR(__xludf.DUMMYFUNCTION("""COMPUTED_VALUE"""),"")</f>
        <v/>
      </c>
      <c r="I751">
        <f>IFERROR(__xludf.DUMMYFUNCTION("""COMPUTED_VALUE"""),3.0)</f>
        <v>3</v>
      </c>
      <c r="J751">
        <f>IFERROR(__xludf.DUMMYFUNCTION("""COMPUTED_VALUE"""),5.0)</f>
        <v>5</v>
      </c>
      <c r="L751" s="250" t="str">
        <f>IFERROR(__xludf.DUMMYFUNCTION("""COMPUTED_VALUE"""),"")</f>
        <v/>
      </c>
      <c r="M751" s="250" t="str">
        <f>IFERROR(__xludf.DUMMYFUNCTION("""COMPUTED_VALUE"""),"")</f>
        <v/>
      </c>
      <c r="N751" s="250" t="str">
        <f>IFERROR(__xludf.DUMMYFUNCTION("""COMPUTED_VALUE"""),"")</f>
        <v/>
      </c>
      <c r="O751" s="250" t="str">
        <f>IFERROR(__xludf.DUMMYFUNCTION("""COMPUTED_VALUE"""),"")</f>
        <v/>
      </c>
      <c r="P751" s="250" t="str">
        <f>IFERROR(__xludf.DUMMYFUNCTION("""COMPUTED_VALUE"""),"")</f>
        <v/>
      </c>
      <c r="Q751" s="250">
        <f>IFERROR(__xludf.DUMMYFUNCTION("""COMPUTED_VALUE"""),2289.0)</f>
        <v>2289</v>
      </c>
      <c r="R751" s="250" t="str">
        <f>IFERROR(__xludf.DUMMYFUNCTION("""COMPUTED_VALUE"""),"")</f>
        <v/>
      </c>
      <c r="U751" s="250">
        <f>IFERROR(__xludf.DUMMYFUNCTION("""COMPUTED_VALUE"""),5019.0)</f>
        <v>5019</v>
      </c>
      <c r="V751" s="250">
        <f>IFERROR(__xludf.DUMMYFUNCTION("""COMPUTED_VALUE"""),4779.0)</f>
        <v>4779</v>
      </c>
      <c r="W751" s="250">
        <f>IFERROR(__xludf.DUMMYFUNCTION("""COMPUTED_VALUE"""),4289.0)</f>
        <v>4289</v>
      </c>
      <c r="X751" t="b">
        <f t="shared" ref="X751:Z751" si="1478">ISBLANK(K751)</f>
        <v>1</v>
      </c>
      <c r="Y751" t="b">
        <f t="shared" si="1478"/>
        <v>0</v>
      </c>
      <c r="Z751" t="b">
        <f t="shared" si="1478"/>
        <v>0</v>
      </c>
      <c r="AA751">
        <f t="shared" ref="AA751:AC751" si="1479">IF(X751=FALSE,1,0)</f>
        <v>0</v>
      </c>
      <c r="AB751">
        <f t="shared" si="1479"/>
        <v>1</v>
      </c>
      <c r="AC751">
        <f t="shared" si="1479"/>
        <v>1</v>
      </c>
      <c r="AD751">
        <f t="shared" si="6"/>
        <v>2</v>
      </c>
      <c r="AE751">
        <f t="shared" si="7"/>
        <v>1</v>
      </c>
      <c r="AF751">
        <f>if(iferror(vlookup($A751,'Description Database'!$E$2:$H$951,3,0),0)=TRUE,1,0)</f>
        <v>0</v>
      </c>
      <c r="AG751">
        <f>if(iferror(vlookup($A751,'Description Database'!$E$2:$H$951,4,0),0)=TRUE,1,0)</f>
        <v>0</v>
      </c>
    </row>
    <row r="752">
      <c r="A752" t="str">
        <f>IFERROR(__xludf.DUMMYFUNCTION("""COMPUTED_VALUE"""),"Realme 5S(4 GB/64GB)")</f>
        <v>Realme 5S(4 GB/64GB)</v>
      </c>
      <c r="B752" t="str">
        <f>IFERROR(__xludf.DUMMYFUNCTION("""COMPUTED_VALUE"""),"")</f>
        <v/>
      </c>
      <c r="C752" t="str">
        <f>IFERROR(__xludf.DUMMYFUNCTION("""COMPUTED_VALUE"""),"")</f>
        <v/>
      </c>
      <c r="D752" t="str">
        <f>IFERROR(__xludf.DUMMYFUNCTION("""COMPUTED_VALUE"""),"")</f>
        <v/>
      </c>
      <c r="E752" t="str">
        <f>IFERROR(__xludf.DUMMYFUNCTION("""COMPUTED_VALUE"""),"")</f>
        <v/>
      </c>
      <c r="F752" t="str">
        <f>IFERROR(__xludf.DUMMYFUNCTION("""COMPUTED_VALUE"""),"")</f>
        <v/>
      </c>
      <c r="G752" t="str">
        <f>IFERROR(__xludf.DUMMYFUNCTION("""COMPUTED_VALUE"""),"")</f>
        <v/>
      </c>
      <c r="H752" t="str">
        <f>IFERROR(__xludf.DUMMYFUNCTION("""COMPUTED_VALUE"""),"")</f>
        <v/>
      </c>
      <c r="I752" t="str">
        <f>IFERROR(__xludf.DUMMYFUNCTION("""COMPUTED_VALUE"""),"")</f>
        <v/>
      </c>
      <c r="J752">
        <f>IFERROR(__xludf.DUMMYFUNCTION("""COMPUTED_VALUE"""),0.0)</f>
        <v>0</v>
      </c>
      <c r="L752" s="250" t="str">
        <f>IFERROR(__xludf.DUMMYFUNCTION("""COMPUTED_VALUE"""),"")</f>
        <v/>
      </c>
      <c r="M752" s="250" t="str">
        <f>IFERROR(__xludf.DUMMYFUNCTION("""COMPUTED_VALUE"""),"")</f>
        <v/>
      </c>
      <c r="N752" s="250" t="str">
        <f>IFERROR(__xludf.DUMMYFUNCTION("""COMPUTED_VALUE"""),"")</f>
        <v/>
      </c>
      <c r="O752" s="250" t="str">
        <f>IFERROR(__xludf.DUMMYFUNCTION("""COMPUTED_VALUE"""),"")</f>
        <v/>
      </c>
      <c r="P752" s="250" t="str">
        <f>IFERROR(__xludf.DUMMYFUNCTION("""COMPUTED_VALUE"""),"")</f>
        <v/>
      </c>
      <c r="Q752" s="250" t="str">
        <f>IFERROR(__xludf.DUMMYFUNCTION("""COMPUTED_VALUE"""),"")</f>
        <v/>
      </c>
      <c r="R752" s="250" t="str">
        <f>IFERROR(__xludf.DUMMYFUNCTION("""COMPUTED_VALUE"""),"")</f>
        <v/>
      </c>
      <c r="U752" s="250" t="str">
        <f>IFERROR(__xludf.DUMMYFUNCTION("""COMPUTED_VALUE"""),"#N/A")</f>
        <v>#N/A</v>
      </c>
      <c r="V752" s="250" t="str">
        <f>IFERROR(__xludf.DUMMYFUNCTION("""COMPUTED_VALUE"""),"#N/A")</f>
        <v>#N/A</v>
      </c>
      <c r="W752" s="250" t="str">
        <f>IFERROR(__xludf.DUMMYFUNCTION("""COMPUTED_VALUE"""),"#N/A")</f>
        <v>#N/A</v>
      </c>
      <c r="X752" t="b">
        <f t="shared" ref="X752:Z752" si="1480">ISBLANK(K752)</f>
        <v>1</v>
      </c>
      <c r="Y752" t="b">
        <f t="shared" si="1480"/>
        <v>0</v>
      </c>
      <c r="Z752" t="b">
        <f t="shared" si="1480"/>
        <v>0</v>
      </c>
      <c r="AA752">
        <f t="shared" ref="AA752:AC752" si="1481">IF(X752=FALSE,1,0)</f>
        <v>0</v>
      </c>
      <c r="AB752">
        <f t="shared" si="1481"/>
        <v>1</v>
      </c>
      <c r="AC752">
        <f t="shared" si="1481"/>
        <v>1</v>
      </c>
      <c r="AD752">
        <f t="shared" si="6"/>
        <v>2</v>
      </c>
      <c r="AE752">
        <f t="shared" si="7"/>
        <v>1</v>
      </c>
      <c r="AF752">
        <f>if(iferror(vlookup($A752,'Description Database'!$E$2:$H$951,3,0),0)=TRUE,1,0)</f>
        <v>0</v>
      </c>
      <c r="AG752">
        <f>if(iferror(vlookup($A752,'Description Database'!$E$2:$H$951,4,0),0)=TRUE,1,0)</f>
        <v>0</v>
      </c>
    </row>
    <row r="753">
      <c r="A753" t="str">
        <f>IFERROR(__xludf.DUMMYFUNCTION("""COMPUTED_VALUE"""),"Lenovo A6010(2 GB/16GB)")</f>
        <v>Lenovo A6010(2 GB/16GB)</v>
      </c>
      <c r="B753" t="str">
        <f>IFERROR(__xludf.DUMMYFUNCTION("""COMPUTED_VALUE"""),"")</f>
        <v/>
      </c>
      <c r="C753" t="str">
        <f>IFERROR(__xludf.DUMMYFUNCTION("""COMPUTED_VALUE"""),"")</f>
        <v/>
      </c>
      <c r="D753" t="str">
        <f>IFERROR(__xludf.DUMMYFUNCTION("""COMPUTED_VALUE"""),"")</f>
        <v/>
      </c>
      <c r="E753" t="str">
        <f>IFERROR(__xludf.DUMMYFUNCTION("""COMPUTED_VALUE"""),"")</f>
        <v/>
      </c>
      <c r="F753" t="str">
        <f>IFERROR(__xludf.DUMMYFUNCTION("""COMPUTED_VALUE"""),"")</f>
        <v/>
      </c>
      <c r="G753" t="str">
        <f>IFERROR(__xludf.DUMMYFUNCTION("""COMPUTED_VALUE"""),"")</f>
        <v/>
      </c>
      <c r="H753" t="str">
        <f>IFERROR(__xludf.DUMMYFUNCTION("""COMPUTED_VALUE"""),"")</f>
        <v/>
      </c>
      <c r="I753">
        <f>IFERROR(__xludf.DUMMYFUNCTION("""COMPUTED_VALUE"""),2.0)</f>
        <v>2</v>
      </c>
      <c r="J753">
        <f>IFERROR(__xludf.DUMMYFUNCTION("""COMPUTED_VALUE"""),2.0)</f>
        <v>2</v>
      </c>
      <c r="L753" s="250" t="str">
        <f>IFERROR(__xludf.DUMMYFUNCTION("""COMPUTED_VALUE"""),"")</f>
        <v/>
      </c>
      <c r="M753" s="250" t="str">
        <f>IFERROR(__xludf.DUMMYFUNCTION("""COMPUTED_VALUE"""),"")</f>
        <v/>
      </c>
      <c r="N753" s="250" t="str">
        <f>IFERROR(__xludf.DUMMYFUNCTION("""COMPUTED_VALUE"""),"")</f>
        <v/>
      </c>
      <c r="O753" s="250" t="str">
        <f>IFERROR(__xludf.DUMMYFUNCTION("""COMPUTED_VALUE"""),"")</f>
        <v/>
      </c>
      <c r="P753" s="250" t="str">
        <f>IFERROR(__xludf.DUMMYFUNCTION("""COMPUTED_VALUE"""),"")</f>
        <v/>
      </c>
      <c r="Q753" s="250" t="str">
        <f>IFERROR(__xludf.DUMMYFUNCTION("""COMPUTED_VALUE"""),"")</f>
        <v/>
      </c>
      <c r="R753" s="250" t="str">
        <f>IFERROR(__xludf.DUMMYFUNCTION("""COMPUTED_VALUE"""),"")</f>
        <v/>
      </c>
      <c r="U753" s="250" t="str">
        <f>IFERROR(__xludf.DUMMYFUNCTION("""COMPUTED_VALUE"""),"#N/A")</f>
        <v>#N/A</v>
      </c>
      <c r="V753" s="250" t="str">
        <f>IFERROR(__xludf.DUMMYFUNCTION("""COMPUTED_VALUE"""),"#N/A")</f>
        <v>#N/A</v>
      </c>
      <c r="W753" s="250" t="str">
        <f>IFERROR(__xludf.DUMMYFUNCTION("""COMPUTED_VALUE"""),"#N/A")</f>
        <v>#N/A</v>
      </c>
      <c r="X753" t="b">
        <f t="shared" ref="X753:Z753" si="1482">ISBLANK(K753)</f>
        <v>1</v>
      </c>
      <c r="Y753" t="b">
        <f t="shared" si="1482"/>
        <v>0</v>
      </c>
      <c r="Z753" t="b">
        <f t="shared" si="1482"/>
        <v>0</v>
      </c>
      <c r="AA753">
        <f t="shared" ref="AA753:AC753" si="1483">IF(X753=FALSE,1,0)</f>
        <v>0</v>
      </c>
      <c r="AB753">
        <f t="shared" si="1483"/>
        <v>1</v>
      </c>
      <c r="AC753">
        <f t="shared" si="1483"/>
        <v>1</v>
      </c>
      <c r="AD753">
        <f t="shared" si="6"/>
        <v>2</v>
      </c>
      <c r="AE753">
        <f t="shared" si="7"/>
        <v>1</v>
      </c>
      <c r="AF753">
        <f>if(iferror(vlookup($A753,'Description Database'!$E$2:$H$951,3,0),0)=TRUE,1,0)</f>
        <v>0</v>
      </c>
      <c r="AG753">
        <f>if(iferror(vlookup($A753,'Description Database'!$E$2:$H$951,4,0),0)=TRUE,1,0)</f>
        <v>0</v>
      </c>
    </row>
    <row r="754">
      <c r="A754" t="str">
        <f>IFERROR(__xludf.DUMMYFUNCTION("""COMPUTED_VALUE"""),"ASUS ZENFONE 3S MAX(3 GB/32GB)")</f>
        <v>ASUS ZENFONE 3S MAX(3 GB/32GB)</v>
      </c>
      <c r="B754" t="str">
        <f>IFERROR(__xludf.DUMMYFUNCTION("""COMPUTED_VALUE"""),"")</f>
        <v/>
      </c>
      <c r="C754" t="str">
        <f>IFERROR(__xludf.DUMMYFUNCTION("""COMPUTED_VALUE"""),"")</f>
        <v/>
      </c>
      <c r="D754" t="str">
        <f>IFERROR(__xludf.DUMMYFUNCTION("""COMPUTED_VALUE"""),"")</f>
        <v/>
      </c>
      <c r="E754" t="str">
        <f>IFERROR(__xludf.DUMMYFUNCTION("""COMPUTED_VALUE"""),"")</f>
        <v/>
      </c>
      <c r="F754" t="str">
        <f>IFERROR(__xludf.DUMMYFUNCTION("""COMPUTED_VALUE"""),"")</f>
        <v/>
      </c>
      <c r="G754" t="str">
        <f>IFERROR(__xludf.DUMMYFUNCTION("""COMPUTED_VALUE"""),"")</f>
        <v/>
      </c>
      <c r="H754" t="str">
        <f>IFERROR(__xludf.DUMMYFUNCTION("""COMPUTED_VALUE"""),"")</f>
        <v/>
      </c>
      <c r="I754" t="str">
        <f>IFERROR(__xludf.DUMMYFUNCTION("""COMPUTED_VALUE"""),"")</f>
        <v/>
      </c>
      <c r="J754">
        <f>IFERROR(__xludf.DUMMYFUNCTION("""COMPUTED_VALUE"""),0.0)</f>
        <v>0</v>
      </c>
      <c r="L754" s="250" t="str">
        <f>IFERROR(__xludf.DUMMYFUNCTION("""COMPUTED_VALUE"""),"")</f>
        <v/>
      </c>
      <c r="M754" s="250" t="str">
        <f>IFERROR(__xludf.DUMMYFUNCTION("""COMPUTED_VALUE"""),"")</f>
        <v/>
      </c>
      <c r="N754" s="250" t="str">
        <f>IFERROR(__xludf.DUMMYFUNCTION("""COMPUTED_VALUE"""),"")</f>
        <v/>
      </c>
      <c r="O754" s="250" t="str">
        <f>IFERROR(__xludf.DUMMYFUNCTION("""COMPUTED_VALUE"""),"")</f>
        <v/>
      </c>
      <c r="P754" s="250" t="str">
        <f>IFERROR(__xludf.DUMMYFUNCTION("""COMPUTED_VALUE"""),"")</f>
        <v/>
      </c>
      <c r="Q754" s="250" t="str">
        <f>IFERROR(__xludf.DUMMYFUNCTION("""COMPUTED_VALUE"""),"")</f>
        <v/>
      </c>
      <c r="R754" s="250" t="str">
        <f>IFERROR(__xludf.DUMMYFUNCTION("""COMPUTED_VALUE"""),"")</f>
        <v/>
      </c>
      <c r="U754" s="250" t="str">
        <f>IFERROR(__xludf.DUMMYFUNCTION("""COMPUTED_VALUE"""),"#N/A")</f>
        <v>#N/A</v>
      </c>
      <c r="V754" s="250" t="str">
        <f>IFERROR(__xludf.DUMMYFUNCTION("""COMPUTED_VALUE"""),"#N/A")</f>
        <v>#N/A</v>
      </c>
      <c r="W754" s="250" t="str">
        <f>IFERROR(__xludf.DUMMYFUNCTION("""COMPUTED_VALUE"""),"#N/A")</f>
        <v>#N/A</v>
      </c>
      <c r="X754" t="b">
        <f t="shared" ref="X754:Z754" si="1484">ISBLANK(K754)</f>
        <v>1</v>
      </c>
      <c r="Y754" t="b">
        <f t="shared" si="1484"/>
        <v>0</v>
      </c>
      <c r="Z754" t="b">
        <f t="shared" si="1484"/>
        <v>0</v>
      </c>
      <c r="AA754">
        <f t="shared" ref="AA754:AC754" si="1485">IF(X754=FALSE,1,0)</f>
        <v>0</v>
      </c>
      <c r="AB754">
        <f t="shared" si="1485"/>
        <v>1</v>
      </c>
      <c r="AC754">
        <f t="shared" si="1485"/>
        <v>1</v>
      </c>
      <c r="AD754">
        <f t="shared" si="6"/>
        <v>2</v>
      </c>
      <c r="AE754">
        <f t="shared" si="7"/>
        <v>1</v>
      </c>
      <c r="AF754">
        <f>if(iferror(vlookup($A754,'Description Database'!$E$2:$H$951,3,0),0)=TRUE,1,0)</f>
        <v>0</v>
      </c>
      <c r="AG754">
        <f>if(iferror(vlookup($A754,'Description Database'!$E$2:$H$951,4,0),0)=TRUE,1,0)</f>
        <v>0</v>
      </c>
    </row>
    <row r="755">
      <c r="A755" t="str">
        <f>IFERROR(__xludf.DUMMYFUNCTION("""COMPUTED_VALUE"""),"Lenovo A6600(1 GB/16GB)")</f>
        <v>Lenovo A6600(1 GB/16GB)</v>
      </c>
      <c r="B755" t="str">
        <f>IFERROR(__xludf.DUMMYFUNCTION("""COMPUTED_VALUE"""),"")</f>
        <v/>
      </c>
      <c r="C755" t="str">
        <f>IFERROR(__xludf.DUMMYFUNCTION("""COMPUTED_VALUE"""),"")</f>
        <v/>
      </c>
      <c r="D755" t="str">
        <f>IFERROR(__xludf.DUMMYFUNCTION("""COMPUTED_VALUE"""),"")</f>
        <v/>
      </c>
      <c r="E755" t="str">
        <f>IFERROR(__xludf.DUMMYFUNCTION("""COMPUTED_VALUE"""),"")</f>
        <v/>
      </c>
      <c r="F755" t="str">
        <f>IFERROR(__xludf.DUMMYFUNCTION("""COMPUTED_VALUE"""),"")</f>
        <v/>
      </c>
      <c r="G755" t="str">
        <f>IFERROR(__xludf.DUMMYFUNCTION("""COMPUTED_VALUE"""),"")</f>
        <v/>
      </c>
      <c r="H755" t="str">
        <f>IFERROR(__xludf.DUMMYFUNCTION("""COMPUTED_VALUE"""),"")</f>
        <v/>
      </c>
      <c r="I755">
        <f>IFERROR(__xludf.DUMMYFUNCTION("""COMPUTED_VALUE"""),1.0)</f>
        <v>1</v>
      </c>
      <c r="J755">
        <f>IFERROR(__xludf.DUMMYFUNCTION("""COMPUTED_VALUE"""),1.0)</f>
        <v>1</v>
      </c>
      <c r="L755" s="250" t="str">
        <f>IFERROR(__xludf.DUMMYFUNCTION("""COMPUTED_VALUE"""),"")</f>
        <v/>
      </c>
      <c r="M755" s="250" t="str">
        <f>IFERROR(__xludf.DUMMYFUNCTION("""COMPUTED_VALUE"""),"")</f>
        <v/>
      </c>
      <c r="N755" s="250" t="str">
        <f>IFERROR(__xludf.DUMMYFUNCTION("""COMPUTED_VALUE"""),"")</f>
        <v/>
      </c>
      <c r="O755" s="250" t="str">
        <f>IFERROR(__xludf.DUMMYFUNCTION("""COMPUTED_VALUE"""),"")</f>
        <v/>
      </c>
      <c r="P755" s="250" t="str">
        <f>IFERROR(__xludf.DUMMYFUNCTION("""COMPUTED_VALUE"""),"")</f>
        <v/>
      </c>
      <c r="Q755" s="250" t="str">
        <f>IFERROR(__xludf.DUMMYFUNCTION("""COMPUTED_VALUE"""),"")</f>
        <v/>
      </c>
      <c r="R755" s="250" t="str">
        <f>IFERROR(__xludf.DUMMYFUNCTION("""COMPUTED_VALUE"""),"")</f>
        <v/>
      </c>
      <c r="U755" s="250" t="str">
        <f>IFERROR(__xludf.DUMMYFUNCTION("""COMPUTED_VALUE"""),"#N/A")</f>
        <v>#N/A</v>
      </c>
      <c r="V755" s="250" t="str">
        <f>IFERROR(__xludf.DUMMYFUNCTION("""COMPUTED_VALUE"""),"#N/A")</f>
        <v>#N/A</v>
      </c>
      <c r="W755" s="250" t="str">
        <f>IFERROR(__xludf.DUMMYFUNCTION("""COMPUTED_VALUE"""),"#N/A")</f>
        <v>#N/A</v>
      </c>
      <c r="X755" t="b">
        <f t="shared" ref="X755:Z755" si="1486">ISBLANK(K755)</f>
        <v>1</v>
      </c>
      <c r="Y755" t="b">
        <f t="shared" si="1486"/>
        <v>0</v>
      </c>
      <c r="Z755" t="b">
        <f t="shared" si="1486"/>
        <v>0</v>
      </c>
      <c r="AA755">
        <f t="shared" ref="AA755:AC755" si="1487">IF(X755=FALSE,1,0)</f>
        <v>0</v>
      </c>
      <c r="AB755">
        <f t="shared" si="1487"/>
        <v>1</v>
      </c>
      <c r="AC755">
        <f t="shared" si="1487"/>
        <v>1</v>
      </c>
      <c r="AD755">
        <f t="shared" si="6"/>
        <v>2</v>
      </c>
      <c r="AE755">
        <f t="shared" si="7"/>
        <v>1</v>
      </c>
      <c r="AF755">
        <f>if(iferror(vlookup($A755,'Description Database'!$E$2:$H$951,3,0),0)=TRUE,1,0)</f>
        <v>0</v>
      </c>
      <c r="AG755">
        <f>if(iferror(vlookup($A755,'Description Database'!$E$2:$H$951,4,0),0)=TRUE,1,0)</f>
        <v>0</v>
      </c>
    </row>
    <row r="756">
      <c r="A756" t="str">
        <f>IFERROR(__xludf.DUMMYFUNCTION("""COMPUTED_VALUE"""),"Apple IPHONE XI(4 GB 128GB)")</f>
        <v>Apple IPHONE XI(4 GB 128GB)</v>
      </c>
      <c r="B756" t="str">
        <f>IFERROR(__xludf.DUMMYFUNCTION("""COMPUTED_VALUE"""),"")</f>
        <v/>
      </c>
      <c r="C756" t="str">
        <f>IFERROR(__xludf.DUMMYFUNCTION("""COMPUTED_VALUE"""),"")</f>
        <v/>
      </c>
      <c r="D756" t="str">
        <f>IFERROR(__xludf.DUMMYFUNCTION("""COMPUTED_VALUE"""),"")</f>
        <v/>
      </c>
      <c r="E756" t="str">
        <f>IFERROR(__xludf.DUMMYFUNCTION("""COMPUTED_VALUE"""),"")</f>
        <v/>
      </c>
      <c r="F756" t="str">
        <f>IFERROR(__xludf.DUMMYFUNCTION("""COMPUTED_VALUE"""),"")</f>
        <v/>
      </c>
      <c r="G756">
        <f>IFERROR(__xludf.DUMMYFUNCTION("""COMPUTED_VALUE"""),1.0)</f>
        <v>1</v>
      </c>
      <c r="H756" t="str">
        <f>IFERROR(__xludf.DUMMYFUNCTION("""COMPUTED_VALUE"""),"")</f>
        <v/>
      </c>
      <c r="I756" t="str">
        <f>IFERROR(__xludf.DUMMYFUNCTION("""COMPUTED_VALUE"""),"")</f>
        <v/>
      </c>
      <c r="J756">
        <f>IFERROR(__xludf.DUMMYFUNCTION("""COMPUTED_VALUE"""),1.0)</f>
        <v>1</v>
      </c>
      <c r="L756" s="250" t="str">
        <f>IFERROR(__xludf.DUMMYFUNCTION("""COMPUTED_VALUE"""),"")</f>
        <v/>
      </c>
      <c r="M756" s="250" t="str">
        <f>IFERROR(__xludf.DUMMYFUNCTION("""COMPUTED_VALUE"""),"")</f>
        <v/>
      </c>
      <c r="N756" s="250" t="str">
        <f>IFERROR(__xludf.DUMMYFUNCTION("""COMPUTED_VALUE"""),"")</f>
        <v/>
      </c>
      <c r="O756" s="250" t="str">
        <f>IFERROR(__xludf.DUMMYFUNCTION("""COMPUTED_VALUE"""),"")</f>
        <v/>
      </c>
      <c r="P756" s="250" t="str">
        <f>IFERROR(__xludf.DUMMYFUNCTION("""COMPUTED_VALUE"""),"")</f>
        <v/>
      </c>
      <c r="Q756" s="250" t="str">
        <f>IFERROR(__xludf.DUMMYFUNCTION("""COMPUTED_VALUE"""),"#N/A")</f>
        <v>#N/A</v>
      </c>
      <c r="R756" s="250" t="str">
        <f>IFERROR(__xludf.DUMMYFUNCTION("""COMPUTED_VALUE"""),"")</f>
        <v/>
      </c>
      <c r="U756" s="250" t="str">
        <f>IFERROR(__xludf.DUMMYFUNCTION("""COMPUTED_VALUE"""),"#N/A")</f>
        <v>#N/A</v>
      </c>
      <c r="V756" s="250" t="str">
        <f>IFERROR(__xludf.DUMMYFUNCTION("""COMPUTED_VALUE"""),"#N/A")</f>
        <v>#N/A</v>
      </c>
      <c r="W756" s="250" t="str">
        <f>IFERROR(__xludf.DUMMYFUNCTION("""COMPUTED_VALUE"""),"#N/A")</f>
        <v>#N/A</v>
      </c>
      <c r="X756" t="b">
        <f t="shared" ref="X756:Z756" si="1488">ISBLANK(K756)</f>
        <v>1</v>
      </c>
      <c r="Y756" t="b">
        <f t="shared" si="1488"/>
        <v>0</v>
      </c>
      <c r="Z756" t="b">
        <f t="shared" si="1488"/>
        <v>0</v>
      </c>
      <c r="AA756">
        <f t="shared" ref="AA756:AC756" si="1489">IF(X756=FALSE,1,0)</f>
        <v>0</v>
      </c>
      <c r="AB756">
        <f t="shared" si="1489"/>
        <v>1</v>
      </c>
      <c r="AC756">
        <f t="shared" si="1489"/>
        <v>1</v>
      </c>
      <c r="AD756">
        <f t="shared" si="6"/>
        <v>2</v>
      </c>
      <c r="AE756">
        <f t="shared" si="7"/>
        <v>1</v>
      </c>
      <c r="AF756">
        <f>if(iferror(vlookup($A756,'Description Database'!$E$2:$H$951,3,0),0)=TRUE,1,0)</f>
        <v>0</v>
      </c>
      <c r="AG756">
        <f>if(iferror(vlookup($A756,'Description Database'!$E$2:$H$951,4,0),0)=TRUE,1,0)</f>
        <v>0</v>
      </c>
    </row>
    <row r="757">
      <c r="A757" t="str">
        <f>IFERROR(__xludf.DUMMYFUNCTION("""COMPUTED_VALUE"""),"Lenovo K6 NOTE(4 GB/32GB)")</f>
        <v>Lenovo K6 NOTE(4 GB/32GB)</v>
      </c>
      <c r="B757" t="str">
        <f>IFERROR(__xludf.DUMMYFUNCTION("""COMPUTED_VALUE"""),"")</f>
        <v/>
      </c>
      <c r="C757" t="str">
        <f>IFERROR(__xludf.DUMMYFUNCTION("""COMPUTED_VALUE"""),"")</f>
        <v/>
      </c>
      <c r="D757" t="str">
        <f>IFERROR(__xludf.DUMMYFUNCTION("""COMPUTED_VALUE"""),"")</f>
        <v/>
      </c>
      <c r="E757" t="str">
        <f>IFERROR(__xludf.DUMMYFUNCTION("""COMPUTED_VALUE"""),"")</f>
        <v/>
      </c>
      <c r="F757">
        <f>IFERROR(__xludf.DUMMYFUNCTION("""COMPUTED_VALUE"""),1.0)</f>
        <v>1</v>
      </c>
      <c r="G757">
        <f>IFERROR(__xludf.DUMMYFUNCTION("""COMPUTED_VALUE"""),1.0)</f>
        <v>1</v>
      </c>
      <c r="H757" t="str">
        <f>IFERROR(__xludf.DUMMYFUNCTION("""COMPUTED_VALUE"""),"")</f>
        <v/>
      </c>
      <c r="I757">
        <f>IFERROR(__xludf.DUMMYFUNCTION("""COMPUTED_VALUE"""),1.0)</f>
        <v>1</v>
      </c>
      <c r="J757">
        <f>IFERROR(__xludf.DUMMYFUNCTION("""COMPUTED_VALUE"""),3.0)</f>
        <v>3</v>
      </c>
      <c r="L757" s="250" t="str">
        <f>IFERROR(__xludf.DUMMYFUNCTION("""COMPUTED_VALUE"""),"")</f>
        <v/>
      </c>
      <c r="M757" s="250" t="str">
        <f>IFERROR(__xludf.DUMMYFUNCTION("""COMPUTED_VALUE"""),"")</f>
        <v/>
      </c>
      <c r="N757" s="250" t="str">
        <f>IFERROR(__xludf.DUMMYFUNCTION("""COMPUTED_VALUE"""),"")</f>
        <v/>
      </c>
      <c r="O757" s="250" t="str">
        <f>IFERROR(__xludf.DUMMYFUNCTION("""COMPUTED_VALUE"""),"")</f>
        <v/>
      </c>
      <c r="P757" s="250" t="str">
        <f>IFERROR(__xludf.DUMMYFUNCTION("""COMPUTED_VALUE"""),"#N/A")</f>
        <v>#N/A</v>
      </c>
      <c r="Q757" s="250" t="str">
        <f>IFERROR(__xludf.DUMMYFUNCTION("""COMPUTED_VALUE"""),"#N/A")</f>
        <v>#N/A</v>
      </c>
      <c r="R757" s="250" t="str">
        <f>IFERROR(__xludf.DUMMYFUNCTION("""COMPUTED_VALUE"""),"")</f>
        <v/>
      </c>
      <c r="U757" s="250" t="str">
        <f>IFERROR(__xludf.DUMMYFUNCTION("""COMPUTED_VALUE"""),"#N/A")</f>
        <v>#N/A</v>
      </c>
      <c r="V757" s="250" t="str">
        <f>IFERROR(__xludf.DUMMYFUNCTION("""COMPUTED_VALUE"""),"#N/A")</f>
        <v>#N/A</v>
      </c>
      <c r="W757" s="250" t="str">
        <f>IFERROR(__xludf.DUMMYFUNCTION("""COMPUTED_VALUE"""),"#N/A")</f>
        <v>#N/A</v>
      </c>
      <c r="X757" t="b">
        <f t="shared" ref="X757:Z757" si="1490">ISBLANK(K757)</f>
        <v>1</v>
      </c>
      <c r="Y757" t="b">
        <f t="shared" si="1490"/>
        <v>0</v>
      </c>
      <c r="Z757" t="b">
        <f t="shared" si="1490"/>
        <v>0</v>
      </c>
      <c r="AA757">
        <f t="shared" ref="AA757:AC757" si="1491">IF(X757=FALSE,1,0)</f>
        <v>0</v>
      </c>
      <c r="AB757">
        <f t="shared" si="1491"/>
        <v>1</v>
      </c>
      <c r="AC757">
        <f t="shared" si="1491"/>
        <v>1</v>
      </c>
      <c r="AD757">
        <f t="shared" si="6"/>
        <v>2</v>
      </c>
      <c r="AE757">
        <f t="shared" si="7"/>
        <v>1</v>
      </c>
      <c r="AF757">
        <f>if(iferror(vlookup($A757,'Description Database'!$E$2:$H$951,3,0),0)=TRUE,1,0)</f>
        <v>0</v>
      </c>
      <c r="AG757">
        <f>if(iferror(vlookup($A757,'Description Database'!$E$2:$H$951,4,0),0)=TRUE,1,0)</f>
        <v>0</v>
      </c>
    </row>
    <row r="758">
      <c r="A758" t="str">
        <f>IFERROR(__xludf.DUMMYFUNCTION("""COMPUTED_VALUE"""),"Xiaomi REDMI 6A(3 GB/32GB)")</f>
        <v>Xiaomi REDMI 6A(3 GB/32GB)</v>
      </c>
      <c r="B758" t="str">
        <f>IFERROR(__xludf.DUMMYFUNCTION("""COMPUTED_VALUE"""),"")</f>
        <v/>
      </c>
      <c r="C758" t="str">
        <f>IFERROR(__xludf.DUMMYFUNCTION("""COMPUTED_VALUE"""),"")</f>
        <v/>
      </c>
      <c r="D758" t="str">
        <f>IFERROR(__xludf.DUMMYFUNCTION("""COMPUTED_VALUE"""),"")</f>
        <v/>
      </c>
      <c r="E758" t="str">
        <f>IFERROR(__xludf.DUMMYFUNCTION("""COMPUTED_VALUE"""),"")</f>
        <v/>
      </c>
      <c r="F758" t="str">
        <f>IFERROR(__xludf.DUMMYFUNCTION("""COMPUTED_VALUE"""),"")</f>
        <v/>
      </c>
      <c r="G758" t="str">
        <f>IFERROR(__xludf.DUMMYFUNCTION("""COMPUTED_VALUE"""),"")</f>
        <v/>
      </c>
      <c r="H758" t="str">
        <f>IFERROR(__xludf.DUMMYFUNCTION("""COMPUTED_VALUE"""),"")</f>
        <v/>
      </c>
      <c r="I758">
        <f>IFERROR(__xludf.DUMMYFUNCTION("""COMPUTED_VALUE"""),3.0)</f>
        <v>3</v>
      </c>
      <c r="J758">
        <f>IFERROR(__xludf.DUMMYFUNCTION("""COMPUTED_VALUE"""),3.0)</f>
        <v>3</v>
      </c>
      <c r="L758" s="250" t="str">
        <f>IFERROR(__xludf.DUMMYFUNCTION("""COMPUTED_VALUE"""),"")</f>
        <v/>
      </c>
      <c r="M758" s="250" t="str">
        <f>IFERROR(__xludf.DUMMYFUNCTION("""COMPUTED_VALUE"""),"")</f>
        <v/>
      </c>
      <c r="N758" s="250" t="str">
        <f>IFERROR(__xludf.DUMMYFUNCTION("""COMPUTED_VALUE"""),"")</f>
        <v/>
      </c>
      <c r="O758" s="250" t="str">
        <f>IFERROR(__xludf.DUMMYFUNCTION("""COMPUTED_VALUE"""),"")</f>
        <v/>
      </c>
      <c r="P758" s="250" t="str">
        <f>IFERROR(__xludf.DUMMYFUNCTION("""COMPUTED_VALUE"""),"")</f>
        <v/>
      </c>
      <c r="Q758" s="250" t="str">
        <f>IFERROR(__xludf.DUMMYFUNCTION("""COMPUTED_VALUE"""),"")</f>
        <v/>
      </c>
      <c r="R758" s="250" t="str">
        <f>IFERROR(__xludf.DUMMYFUNCTION("""COMPUTED_VALUE"""),"")</f>
        <v/>
      </c>
      <c r="U758" s="250" t="str">
        <f>IFERROR(__xludf.DUMMYFUNCTION("""COMPUTED_VALUE"""),"#N/A")</f>
        <v>#N/A</v>
      </c>
      <c r="V758" s="250" t="str">
        <f>IFERROR(__xludf.DUMMYFUNCTION("""COMPUTED_VALUE"""),"#N/A")</f>
        <v>#N/A</v>
      </c>
      <c r="W758" s="250" t="str">
        <f>IFERROR(__xludf.DUMMYFUNCTION("""COMPUTED_VALUE"""),"#N/A")</f>
        <v>#N/A</v>
      </c>
      <c r="X758" t="b">
        <f t="shared" ref="X758:Z758" si="1492">ISBLANK(K758)</f>
        <v>1</v>
      </c>
      <c r="Y758" t="b">
        <f t="shared" si="1492"/>
        <v>0</v>
      </c>
      <c r="Z758" t="b">
        <f t="shared" si="1492"/>
        <v>0</v>
      </c>
      <c r="AA758">
        <f t="shared" ref="AA758:AC758" si="1493">IF(X758=FALSE,1,0)</f>
        <v>0</v>
      </c>
      <c r="AB758">
        <f t="shared" si="1493"/>
        <v>1</v>
      </c>
      <c r="AC758">
        <f t="shared" si="1493"/>
        <v>1</v>
      </c>
      <c r="AD758">
        <f t="shared" si="6"/>
        <v>2</v>
      </c>
      <c r="AE758">
        <f t="shared" si="7"/>
        <v>1</v>
      </c>
      <c r="AF758">
        <f>if(iferror(vlookup($A758,'Description Database'!$E$2:$H$951,3,0),0)=TRUE,1,0)</f>
        <v>0</v>
      </c>
      <c r="AG758">
        <f>if(iferror(vlookup($A758,'Description Database'!$E$2:$H$951,4,0),0)=TRUE,1,0)</f>
        <v>0</v>
      </c>
    </row>
    <row r="759">
      <c r="A759" t="str">
        <f>IFERROR(__xludf.DUMMYFUNCTION("""COMPUTED_VALUE"""),"Apple IPHONE 4S (1 GB/8 GB)")</f>
        <v>Apple IPHONE 4S (1 GB/8 GB)</v>
      </c>
      <c r="B759" t="str">
        <f>IFERROR(__xludf.DUMMYFUNCTION("""COMPUTED_VALUE"""),"")</f>
        <v/>
      </c>
      <c r="C759" t="str">
        <f>IFERROR(__xludf.DUMMYFUNCTION("""COMPUTED_VALUE"""),"")</f>
        <v/>
      </c>
      <c r="D759" t="str">
        <f>IFERROR(__xludf.DUMMYFUNCTION("""COMPUTED_VALUE"""),"")</f>
        <v/>
      </c>
      <c r="E759" t="str">
        <f>IFERROR(__xludf.DUMMYFUNCTION("""COMPUTED_VALUE"""),"")</f>
        <v/>
      </c>
      <c r="F759" t="str">
        <f>IFERROR(__xludf.DUMMYFUNCTION("""COMPUTED_VALUE"""),"")</f>
        <v/>
      </c>
      <c r="G759" t="str">
        <f>IFERROR(__xludf.DUMMYFUNCTION("""COMPUTED_VALUE"""),"")</f>
        <v/>
      </c>
      <c r="H759" t="str">
        <f>IFERROR(__xludf.DUMMYFUNCTION("""COMPUTED_VALUE"""),"")</f>
        <v/>
      </c>
      <c r="I759">
        <f>IFERROR(__xludf.DUMMYFUNCTION("""COMPUTED_VALUE"""),1.0)</f>
        <v>1</v>
      </c>
      <c r="J759">
        <f>IFERROR(__xludf.DUMMYFUNCTION("""COMPUTED_VALUE"""),1.0)</f>
        <v>1</v>
      </c>
      <c r="L759" s="250" t="str">
        <f>IFERROR(__xludf.DUMMYFUNCTION("""COMPUTED_VALUE"""),"")</f>
        <v/>
      </c>
      <c r="M759" s="250" t="str">
        <f>IFERROR(__xludf.DUMMYFUNCTION("""COMPUTED_VALUE"""),"")</f>
        <v/>
      </c>
      <c r="N759" s="250" t="str">
        <f>IFERROR(__xludf.DUMMYFUNCTION("""COMPUTED_VALUE"""),"")</f>
        <v/>
      </c>
      <c r="O759" s="250" t="str">
        <f>IFERROR(__xludf.DUMMYFUNCTION("""COMPUTED_VALUE"""),"")</f>
        <v/>
      </c>
      <c r="P759" s="250" t="str">
        <f>IFERROR(__xludf.DUMMYFUNCTION("""COMPUTED_VALUE"""),"")</f>
        <v/>
      </c>
      <c r="Q759" s="250" t="str">
        <f>IFERROR(__xludf.DUMMYFUNCTION("""COMPUTED_VALUE"""),"")</f>
        <v/>
      </c>
      <c r="R759" s="250" t="str">
        <f>IFERROR(__xludf.DUMMYFUNCTION("""COMPUTED_VALUE"""),"")</f>
        <v/>
      </c>
      <c r="U759" s="250" t="str">
        <f>IFERROR(__xludf.DUMMYFUNCTION("""COMPUTED_VALUE"""),"#N/A")</f>
        <v>#N/A</v>
      </c>
      <c r="V759" s="250" t="str">
        <f>IFERROR(__xludf.DUMMYFUNCTION("""COMPUTED_VALUE"""),"#N/A")</f>
        <v>#N/A</v>
      </c>
      <c r="W759" s="250" t="str">
        <f>IFERROR(__xludf.DUMMYFUNCTION("""COMPUTED_VALUE"""),"#N/A")</f>
        <v>#N/A</v>
      </c>
      <c r="X759" t="b">
        <f t="shared" ref="X759:Z759" si="1494">ISBLANK(K759)</f>
        <v>1</v>
      </c>
      <c r="Y759" t="b">
        <f t="shared" si="1494"/>
        <v>0</v>
      </c>
      <c r="Z759" t="b">
        <f t="shared" si="1494"/>
        <v>0</v>
      </c>
      <c r="AA759">
        <f t="shared" ref="AA759:AC759" si="1495">IF(X759=FALSE,1,0)</f>
        <v>0</v>
      </c>
      <c r="AB759">
        <f t="shared" si="1495"/>
        <v>1</v>
      </c>
      <c r="AC759">
        <f t="shared" si="1495"/>
        <v>1</v>
      </c>
      <c r="AD759">
        <f t="shared" si="6"/>
        <v>2</v>
      </c>
      <c r="AE759">
        <f t="shared" si="7"/>
        <v>1</v>
      </c>
      <c r="AF759">
        <f>if(iferror(vlookup($A759,'Description Database'!$E$2:$H$951,3,0),0)=TRUE,1,0)</f>
        <v>0</v>
      </c>
      <c r="AG759">
        <f>if(iferror(vlookup($A759,'Description Database'!$E$2:$H$951,4,0),0)=TRUE,1,0)</f>
        <v>0</v>
      </c>
    </row>
    <row r="760">
      <c r="A760" t="str">
        <f>IFERROR(__xludf.DUMMYFUNCTION("""COMPUTED_VALUE"""),"Coolpad NOTE 3(3 GB/16GB)")</f>
        <v>Coolpad NOTE 3(3 GB/16GB)</v>
      </c>
      <c r="B760" t="str">
        <f>IFERROR(__xludf.DUMMYFUNCTION("""COMPUTED_VALUE"""),"")</f>
        <v/>
      </c>
      <c r="C760" t="str">
        <f>IFERROR(__xludf.DUMMYFUNCTION("""COMPUTED_VALUE"""),"")</f>
        <v/>
      </c>
      <c r="D760" t="str">
        <f>IFERROR(__xludf.DUMMYFUNCTION("""COMPUTED_VALUE"""),"")</f>
        <v/>
      </c>
      <c r="E760" t="str">
        <f>IFERROR(__xludf.DUMMYFUNCTION("""COMPUTED_VALUE"""),"")</f>
        <v/>
      </c>
      <c r="F760" t="str">
        <f>IFERROR(__xludf.DUMMYFUNCTION("""COMPUTED_VALUE"""),"")</f>
        <v/>
      </c>
      <c r="G760" t="str">
        <f>IFERROR(__xludf.DUMMYFUNCTION("""COMPUTED_VALUE"""),"")</f>
        <v/>
      </c>
      <c r="H760" t="str">
        <f>IFERROR(__xludf.DUMMYFUNCTION("""COMPUTED_VALUE"""),"")</f>
        <v/>
      </c>
      <c r="I760" t="str">
        <f>IFERROR(__xludf.DUMMYFUNCTION("""COMPUTED_VALUE"""),"")</f>
        <v/>
      </c>
      <c r="J760">
        <f>IFERROR(__xludf.DUMMYFUNCTION("""COMPUTED_VALUE"""),0.0)</f>
        <v>0</v>
      </c>
      <c r="L760" s="250" t="str">
        <f>IFERROR(__xludf.DUMMYFUNCTION("""COMPUTED_VALUE"""),"")</f>
        <v/>
      </c>
      <c r="M760" s="250" t="str">
        <f>IFERROR(__xludf.DUMMYFUNCTION("""COMPUTED_VALUE"""),"")</f>
        <v/>
      </c>
      <c r="N760" s="250" t="str">
        <f>IFERROR(__xludf.DUMMYFUNCTION("""COMPUTED_VALUE"""),"")</f>
        <v/>
      </c>
      <c r="O760" s="250" t="str">
        <f>IFERROR(__xludf.DUMMYFUNCTION("""COMPUTED_VALUE"""),"")</f>
        <v/>
      </c>
      <c r="P760" s="250" t="str">
        <f>IFERROR(__xludf.DUMMYFUNCTION("""COMPUTED_VALUE"""),"")</f>
        <v/>
      </c>
      <c r="Q760" s="250" t="str">
        <f>IFERROR(__xludf.DUMMYFUNCTION("""COMPUTED_VALUE"""),"")</f>
        <v/>
      </c>
      <c r="R760" s="250" t="str">
        <f>IFERROR(__xludf.DUMMYFUNCTION("""COMPUTED_VALUE"""),"")</f>
        <v/>
      </c>
      <c r="U760" s="250" t="str">
        <f>IFERROR(__xludf.DUMMYFUNCTION("""COMPUTED_VALUE"""),"#N/A")</f>
        <v>#N/A</v>
      </c>
      <c r="V760" s="250" t="str">
        <f>IFERROR(__xludf.DUMMYFUNCTION("""COMPUTED_VALUE"""),"#N/A")</f>
        <v>#N/A</v>
      </c>
      <c r="W760" s="250" t="str">
        <f>IFERROR(__xludf.DUMMYFUNCTION("""COMPUTED_VALUE"""),"#N/A")</f>
        <v>#N/A</v>
      </c>
      <c r="X760" t="b">
        <f t="shared" ref="X760:Z760" si="1496">ISBLANK(K760)</f>
        <v>1</v>
      </c>
      <c r="Y760" t="b">
        <f t="shared" si="1496"/>
        <v>0</v>
      </c>
      <c r="Z760" t="b">
        <f t="shared" si="1496"/>
        <v>0</v>
      </c>
      <c r="AA760">
        <f t="shared" ref="AA760:AC760" si="1497">IF(X760=FALSE,1,0)</f>
        <v>0</v>
      </c>
      <c r="AB760">
        <f t="shared" si="1497"/>
        <v>1</v>
      </c>
      <c r="AC760">
        <f t="shared" si="1497"/>
        <v>1</v>
      </c>
      <c r="AD760">
        <f t="shared" si="6"/>
        <v>2</v>
      </c>
      <c r="AE760">
        <f t="shared" si="7"/>
        <v>1</v>
      </c>
      <c r="AF760">
        <f>if(iferror(vlookup($A760,'Description Database'!$E$2:$H$951,3,0),0)=TRUE,1,0)</f>
        <v>0</v>
      </c>
      <c r="AG760">
        <f>if(iferror(vlookup($A760,'Description Database'!$E$2:$H$951,4,0),0)=TRUE,1,0)</f>
        <v>0</v>
      </c>
    </row>
    <row r="761">
      <c r="A761" t="str">
        <f>IFERROR(__xludf.DUMMYFUNCTION("""COMPUTED_VALUE"""),"Xiaomi Redmi 7A (2 GB/32 GB)")</f>
        <v>Xiaomi Redmi 7A (2 GB/32 GB)</v>
      </c>
      <c r="B761" t="str">
        <f>IFERROR(__xludf.DUMMYFUNCTION("""COMPUTED_VALUE"""),"")</f>
        <v/>
      </c>
      <c r="C761" t="str">
        <f>IFERROR(__xludf.DUMMYFUNCTION("""COMPUTED_VALUE"""),"")</f>
        <v/>
      </c>
      <c r="D761" t="str">
        <f>IFERROR(__xludf.DUMMYFUNCTION("""COMPUTED_VALUE"""),"")</f>
        <v/>
      </c>
      <c r="E761" t="str">
        <f>IFERROR(__xludf.DUMMYFUNCTION("""COMPUTED_VALUE"""),"")</f>
        <v/>
      </c>
      <c r="F761" t="str">
        <f>IFERROR(__xludf.DUMMYFUNCTION("""COMPUTED_VALUE"""),"")</f>
        <v/>
      </c>
      <c r="G761" t="str">
        <f>IFERROR(__xludf.DUMMYFUNCTION("""COMPUTED_VALUE"""),"")</f>
        <v/>
      </c>
      <c r="H761" t="str">
        <f>IFERROR(__xludf.DUMMYFUNCTION("""COMPUTED_VALUE"""),"")</f>
        <v/>
      </c>
      <c r="I761">
        <f>IFERROR(__xludf.DUMMYFUNCTION("""COMPUTED_VALUE"""),4.0)</f>
        <v>4</v>
      </c>
      <c r="J761">
        <f>IFERROR(__xludf.DUMMYFUNCTION("""COMPUTED_VALUE"""),4.0)</f>
        <v>4</v>
      </c>
      <c r="L761" s="250" t="str">
        <f>IFERROR(__xludf.DUMMYFUNCTION("""COMPUTED_VALUE"""),"")</f>
        <v/>
      </c>
      <c r="M761" s="250" t="str">
        <f>IFERROR(__xludf.DUMMYFUNCTION("""COMPUTED_VALUE"""),"")</f>
        <v/>
      </c>
      <c r="N761" s="250" t="str">
        <f>IFERROR(__xludf.DUMMYFUNCTION("""COMPUTED_VALUE"""),"")</f>
        <v/>
      </c>
      <c r="O761" s="250" t="str">
        <f>IFERROR(__xludf.DUMMYFUNCTION("""COMPUTED_VALUE"""),"")</f>
        <v/>
      </c>
      <c r="P761" s="250" t="str">
        <f>IFERROR(__xludf.DUMMYFUNCTION("""COMPUTED_VALUE"""),"")</f>
        <v/>
      </c>
      <c r="Q761" s="250" t="str">
        <f>IFERROR(__xludf.DUMMYFUNCTION("""COMPUTED_VALUE"""),"")</f>
        <v/>
      </c>
      <c r="R761" s="250" t="str">
        <f>IFERROR(__xludf.DUMMYFUNCTION("""COMPUTED_VALUE"""),"")</f>
        <v/>
      </c>
      <c r="U761" s="250">
        <f>IFERROR(__xludf.DUMMYFUNCTION("""COMPUTED_VALUE"""),5359.0)</f>
        <v>5359</v>
      </c>
      <c r="V761" s="250">
        <f>IFERROR(__xludf.DUMMYFUNCTION("""COMPUTED_VALUE"""),5099.0)</f>
        <v>5099</v>
      </c>
      <c r="W761" s="250">
        <f>IFERROR(__xludf.DUMMYFUNCTION("""COMPUTED_VALUE"""),4589.0)</f>
        <v>4589</v>
      </c>
      <c r="X761" t="b">
        <f t="shared" ref="X761:Z761" si="1498">ISBLANK(K761)</f>
        <v>1</v>
      </c>
      <c r="Y761" t="b">
        <f t="shared" si="1498"/>
        <v>0</v>
      </c>
      <c r="Z761" t="b">
        <f t="shared" si="1498"/>
        <v>0</v>
      </c>
      <c r="AA761">
        <f t="shared" ref="AA761:AC761" si="1499">IF(X761=FALSE,1,0)</f>
        <v>0</v>
      </c>
      <c r="AB761">
        <f t="shared" si="1499"/>
        <v>1</v>
      </c>
      <c r="AC761">
        <f t="shared" si="1499"/>
        <v>1</v>
      </c>
      <c r="AD761">
        <f t="shared" si="6"/>
        <v>2</v>
      </c>
      <c r="AE761">
        <f t="shared" si="7"/>
        <v>1</v>
      </c>
      <c r="AF761">
        <f>if(iferror(vlookup($A761,'Description Database'!$E$2:$H$951,3,0),0)=TRUE,1,0)</f>
        <v>0</v>
      </c>
      <c r="AG761">
        <f>if(iferror(vlookup($A761,'Description Database'!$E$2:$H$951,4,0),0)=TRUE,1,0)</f>
        <v>0</v>
      </c>
    </row>
    <row r="762">
      <c r="A762" t="str">
        <f>IFERROR(__xludf.DUMMYFUNCTION("""COMPUTED_VALUE"""),"PANASONIC ELUGA RAY MAX(4 GB/32GB)")</f>
        <v>PANASONIC ELUGA RAY MAX(4 GB/32GB)</v>
      </c>
      <c r="B762" t="str">
        <f>IFERROR(__xludf.DUMMYFUNCTION("""COMPUTED_VALUE"""),"")</f>
        <v/>
      </c>
      <c r="C762" t="str">
        <f>IFERROR(__xludf.DUMMYFUNCTION("""COMPUTED_VALUE"""),"")</f>
        <v/>
      </c>
      <c r="D762" t="str">
        <f>IFERROR(__xludf.DUMMYFUNCTION("""COMPUTED_VALUE"""),"")</f>
        <v/>
      </c>
      <c r="E762" t="str">
        <f>IFERROR(__xludf.DUMMYFUNCTION("""COMPUTED_VALUE"""),"")</f>
        <v/>
      </c>
      <c r="F762" t="str">
        <f>IFERROR(__xludf.DUMMYFUNCTION("""COMPUTED_VALUE"""),"")</f>
        <v/>
      </c>
      <c r="G762" t="str">
        <f>IFERROR(__xludf.DUMMYFUNCTION("""COMPUTED_VALUE"""),"")</f>
        <v/>
      </c>
      <c r="H762" t="str">
        <f>IFERROR(__xludf.DUMMYFUNCTION("""COMPUTED_VALUE"""),"")</f>
        <v/>
      </c>
      <c r="I762">
        <f>IFERROR(__xludf.DUMMYFUNCTION("""COMPUTED_VALUE"""),1.0)</f>
        <v>1</v>
      </c>
      <c r="J762">
        <f>IFERROR(__xludf.DUMMYFUNCTION("""COMPUTED_VALUE"""),1.0)</f>
        <v>1</v>
      </c>
      <c r="L762" s="250" t="str">
        <f>IFERROR(__xludf.DUMMYFUNCTION("""COMPUTED_VALUE"""),"")</f>
        <v/>
      </c>
      <c r="M762" s="250" t="str">
        <f>IFERROR(__xludf.DUMMYFUNCTION("""COMPUTED_VALUE"""),"")</f>
        <v/>
      </c>
      <c r="N762" s="250" t="str">
        <f>IFERROR(__xludf.DUMMYFUNCTION("""COMPUTED_VALUE"""),"")</f>
        <v/>
      </c>
      <c r="O762" s="250" t="str">
        <f>IFERROR(__xludf.DUMMYFUNCTION("""COMPUTED_VALUE"""),"")</f>
        <v/>
      </c>
      <c r="P762" s="250" t="str">
        <f>IFERROR(__xludf.DUMMYFUNCTION("""COMPUTED_VALUE"""),"")</f>
        <v/>
      </c>
      <c r="Q762" s="250" t="str">
        <f>IFERROR(__xludf.DUMMYFUNCTION("""COMPUTED_VALUE"""),"")</f>
        <v/>
      </c>
      <c r="R762" s="250" t="str">
        <f>IFERROR(__xludf.DUMMYFUNCTION("""COMPUTED_VALUE"""),"")</f>
        <v/>
      </c>
      <c r="U762" s="250" t="str">
        <f>IFERROR(__xludf.DUMMYFUNCTION("""COMPUTED_VALUE"""),"#N/A")</f>
        <v>#N/A</v>
      </c>
      <c r="V762" s="250" t="str">
        <f>IFERROR(__xludf.DUMMYFUNCTION("""COMPUTED_VALUE"""),"#N/A")</f>
        <v>#N/A</v>
      </c>
      <c r="W762" s="250" t="str">
        <f>IFERROR(__xludf.DUMMYFUNCTION("""COMPUTED_VALUE"""),"#N/A")</f>
        <v>#N/A</v>
      </c>
      <c r="X762" t="b">
        <f t="shared" ref="X762:Z762" si="1500">ISBLANK(K762)</f>
        <v>1</v>
      </c>
      <c r="Y762" t="b">
        <f t="shared" si="1500"/>
        <v>0</v>
      </c>
      <c r="Z762" t="b">
        <f t="shared" si="1500"/>
        <v>0</v>
      </c>
      <c r="AA762">
        <f t="shared" ref="AA762:AC762" si="1501">IF(X762=FALSE,1,0)</f>
        <v>0</v>
      </c>
      <c r="AB762">
        <f t="shared" si="1501"/>
        <v>1</v>
      </c>
      <c r="AC762">
        <f t="shared" si="1501"/>
        <v>1</v>
      </c>
      <c r="AD762">
        <f t="shared" si="6"/>
        <v>2</v>
      </c>
      <c r="AE762">
        <f t="shared" si="7"/>
        <v>1</v>
      </c>
      <c r="AF762">
        <f>if(iferror(vlookup($A762,'Description Database'!$E$2:$H$951,3,0),0)=TRUE,1,0)</f>
        <v>0</v>
      </c>
      <c r="AG762">
        <f>if(iferror(vlookup($A762,'Description Database'!$E$2:$H$951,4,0),0)=TRUE,1,0)</f>
        <v>0</v>
      </c>
    </row>
    <row r="763">
      <c r="A763" t="str">
        <f>IFERROR(__xludf.DUMMYFUNCTION("""COMPUTED_VALUE"""),"Panasonic Eluga Ray 700 (3 GB/32 GB)")</f>
        <v>Panasonic Eluga Ray 700 (3 GB/32 GB)</v>
      </c>
      <c r="B763" t="str">
        <f>IFERROR(__xludf.DUMMYFUNCTION("""COMPUTED_VALUE"""),"")</f>
        <v/>
      </c>
      <c r="C763" t="str">
        <f>IFERROR(__xludf.DUMMYFUNCTION("""COMPUTED_VALUE"""),"")</f>
        <v/>
      </c>
      <c r="D763" t="str">
        <f>IFERROR(__xludf.DUMMYFUNCTION("""COMPUTED_VALUE"""),"")</f>
        <v/>
      </c>
      <c r="E763" t="str">
        <f>IFERROR(__xludf.DUMMYFUNCTION("""COMPUTED_VALUE"""),"")</f>
        <v/>
      </c>
      <c r="F763" t="str">
        <f>IFERROR(__xludf.DUMMYFUNCTION("""COMPUTED_VALUE"""),"")</f>
        <v/>
      </c>
      <c r="G763" t="str">
        <f>IFERROR(__xludf.DUMMYFUNCTION("""COMPUTED_VALUE"""),"")</f>
        <v/>
      </c>
      <c r="H763" t="str">
        <f>IFERROR(__xludf.DUMMYFUNCTION("""COMPUTED_VALUE"""),"")</f>
        <v/>
      </c>
      <c r="I763" t="str">
        <f>IFERROR(__xludf.DUMMYFUNCTION("""COMPUTED_VALUE"""),"")</f>
        <v/>
      </c>
      <c r="J763">
        <f>IFERROR(__xludf.DUMMYFUNCTION("""COMPUTED_VALUE"""),0.0)</f>
        <v>0</v>
      </c>
      <c r="L763" s="250" t="str">
        <f>IFERROR(__xludf.DUMMYFUNCTION("""COMPUTED_VALUE"""),"")</f>
        <v/>
      </c>
      <c r="M763" s="250" t="str">
        <f>IFERROR(__xludf.DUMMYFUNCTION("""COMPUTED_VALUE"""),"")</f>
        <v/>
      </c>
      <c r="N763" s="250" t="str">
        <f>IFERROR(__xludf.DUMMYFUNCTION("""COMPUTED_VALUE"""),"")</f>
        <v/>
      </c>
      <c r="O763" s="250" t="str">
        <f>IFERROR(__xludf.DUMMYFUNCTION("""COMPUTED_VALUE"""),"")</f>
        <v/>
      </c>
      <c r="P763" s="250" t="str">
        <f>IFERROR(__xludf.DUMMYFUNCTION("""COMPUTED_VALUE"""),"")</f>
        <v/>
      </c>
      <c r="Q763" s="250" t="str">
        <f>IFERROR(__xludf.DUMMYFUNCTION("""COMPUTED_VALUE"""),"")</f>
        <v/>
      </c>
      <c r="R763" s="250" t="str">
        <f>IFERROR(__xludf.DUMMYFUNCTION("""COMPUTED_VALUE"""),"")</f>
        <v/>
      </c>
      <c r="U763" s="250">
        <f>IFERROR(__xludf.DUMMYFUNCTION("""COMPUTED_VALUE"""),3249.0)</f>
        <v>3249</v>
      </c>
      <c r="V763" s="250">
        <f>IFERROR(__xludf.DUMMYFUNCTION("""COMPUTED_VALUE"""),3089.0)</f>
        <v>3089</v>
      </c>
      <c r="W763" s="250">
        <f>IFERROR(__xludf.DUMMYFUNCTION("""COMPUTED_VALUE"""),2789.0)</f>
        <v>2789</v>
      </c>
      <c r="X763" t="b">
        <f t="shared" ref="X763:Z763" si="1502">ISBLANK(K763)</f>
        <v>1</v>
      </c>
      <c r="Y763" t="b">
        <f t="shared" si="1502"/>
        <v>0</v>
      </c>
      <c r="Z763" t="b">
        <f t="shared" si="1502"/>
        <v>0</v>
      </c>
      <c r="AA763">
        <f t="shared" ref="AA763:AC763" si="1503">IF(X763=FALSE,1,0)</f>
        <v>0</v>
      </c>
      <c r="AB763">
        <f t="shared" si="1503"/>
        <v>1</v>
      </c>
      <c r="AC763">
        <f t="shared" si="1503"/>
        <v>1</v>
      </c>
      <c r="AD763">
        <f t="shared" si="6"/>
        <v>2</v>
      </c>
      <c r="AE763">
        <f t="shared" si="7"/>
        <v>1</v>
      </c>
      <c r="AF763">
        <f>if(iferror(vlookup($A763,'Description Database'!$E$2:$H$951,3,0),0)=TRUE,1,0)</f>
        <v>0</v>
      </c>
      <c r="AG763">
        <f>if(iferror(vlookup($A763,'Description Database'!$E$2:$H$951,4,0),0)=TRUE,1,0)</f>
        <v>0</v>
      </c>
    </row>
    <row r="764">
      <c r="A764" t="str">
        <f>IFERROR(__xludf.DUMMYFUNCTION("""COMPUTED_VALUE"""),"Vivo V3 MAX(4 GB/32GB)")</f>
        <v>Vivo V3 MAX(4 GB/32GB)</v>
      </c>
      <c r="B764" t="str">
        <f>IFERROR(__xludf.DUMMYFUNCTION("""COMPUTED_VALUE"""),"")</f>
        <v/>
      </c>
      <c r="C764" t="str">
        <f>IFERROR(__xludf.DUMMYFUNCTION("""COMPUTED_VALUE"""),"")</f>
        <v/>
      </c>
      <c r="D764" t="str">
        <f>IFERROR(__xludf.DUMMYFUNCTION("""COMPUTED_VALUE"""),"")</f>
        <v/>
      </c>
      <c r="E764" t="str">
        <f>IFERROR(__xludf.DUMMYFUNCTION("""COMPUTED_VALUE"""),"")</f>
        <v/>
      </c>
      <c r="F764" t="str">
        <f>IFERROR(__xludf.DUMMYFUNCTION("""COMPUTED_VALUE"""),"")</f>
        <v/>
      </c>
      <c r="G764" t="str">
        <f>IFERROR(__xludf.DUMMYFUNCTION("""COMPUTED_VALUE"""),"")</f>
        <v/>
      </c>
      <c r="H764" t="str">
        <f>IFERROR(__xludf.DUMMYFUNCTION("""COMPUTED_VALUE"""),"")</f>
        <v/>
      </c>
      <c r="I764">
        <f>IFERROR(__xludf.DUMMYFUNCTION("""COMPUTED_VALUE"""),2.0)</f>
        <v>2</v>
      </c>
      <c r="J764">
        <f>IFERROR(__xludf.DUMMYFUNCTION("""COMPUTED_VALUE"""),2.0)</f>
        <v>2</v>
      </c>
      <c r="L764" s="250" t="str">
        <f>IFERROR(__xludf.DUMMYFUNCTION("""COMPUTED_VALUE"""),"")</f>
        <v/>
      </c>
      <c r="M764" s="250" t="str">
        <f>IFERROR(__xludf.DUMMYFUNCTION("""COMPUTED_VALUE"""),"")</f>
        <v/>
      </c>
      <c r="N764" s="250" t="str">
        <f>IFERROR(__xludf.DUMMYFUNCTION("""COMPUTED_VALUE"""),"")</f>
        <v/>
      </c>
      <c r="O764" s="250" t="str">
        <f>IFERROR(__xludf.DUMMYFUNCTION("""COMPUTED_VALUE"""),"")</f>
        <v/>
      </c>
      <c r="P764" s="250" t="str">
        <f>IFERROR(__xludf.DUMMYFUNCTION("""COMPUTED_VALUE"""),"")</f>
        <v/>
      </c>
      <c r="Q764" s="250" t="str">
        <f>IFERROR(__xludf.DUMMYFUNCTION("""COMPUTED_VALUE"""),"")</f>
        <v/>
      </c>
      <c r="R764" s="250" t="str">
        <f>IFERROR(__xludf.DUMMYFUNCTION("""COMPUTED_VALUE"""),"")</f>
        <v/>
      </c>
      <c r="U764" s="250" t="str">
        <f>IFERROR(__xludf.DUMMYFUNCTION("""COMPUTED_VALUE"""),"#N/A")</f>
        <v>#N/A</v>
      </c>
      <c r="V764" s="250" t="str">
        <f>IFERROR(__xludf.DUMMYFUNCTION("""COMPUTED_VALUE"""),"#N/A")</f>
        <v>#N/A</v>
      </c>
      <c r="W764" s="250" t="str">
        <f>IFERROR(__xludf.DUMMYFUNCTION("""COMPUTED_VALUE"""),"#N/A")</f>
        <v>#N/A</v>
      </c>
      <c r="X764" t="b">
        <f t="shared" ref="X764:Z764" si="1504">ISBLANK(K764)</f>
        <v>1</v>
      </c>
      <c r="Y764" t="b">
        <f t="shared" si="1504"/>
        <v>0</v>
      </c>
      <c r="Z764" t="b">
        <f t="shared" si="1504"/>
        <v>0</v>
      </c>
      <c r="AA764">
        <f t="shared" ref="AA764:AC764" si="1505">IF(X764=FALSE,1,0)</f>
        <v>0</v>
      </c>
      <c r="AB764">
        <f t="shared" si="1505"/>
        <v>1</v>
      </c>
      <c r="AC764">
        <f t="shared" si="1505"/>
        <v>1</v>
      </c>
      <c r="AD764">
        <f t="shared" si="6"/>
        <v>2</v>
      </c>
      <c r="AE764">
        <f t="shared" si="7"/>
        <v>1</v>
      </c>
      <c r="AF764">
        <f>if(iferror(vlookup($A764,'Description Database'!$E$2:$H$951,3,0),0)=TRUE,1,0)</f>
        <v>0</v>
      </c>
      <c r="AG764">
        <f>if(iferror(vlookup($A764,'Description Database'!$E$2:$H$951,4,0),0)=TRUE,1,0)</f>
        <v>0</v>
      </c>
    </row>
    <row r="765">
      <c r="A765" t="str">
        <f>IFERROR(__xludf.DUMMYFUNCTION("""COMPUTED_VALUE"""),"Nokia 4.2(3 GB/32GB)")</f>
        <v>Nokia 4.2(3 GB/32GB)</v>
      </c>
      <c r="B765" t="str">
        <f>IFERROR(__xludf.DUMMYFUNCTION("""COMPUTED_VALUE"""),"")</f>
        <v/>
      </c>
      <c r="C765" t="str">
        <f>IFERROR(__xludf.DUMMYFUNCTION("""COMPUTED_VALUE"""),"")</f>
        <v/>
      </c>
      <c r="D765" t="str">
        <f>IFERROR(__xludf.DUMMYFUNCTION("""COMPUTED_VALUE"""),"")</f>
        <v/>
      </c>
      <c r="E765" t="str">
        <f>IFERROR(__xludf.DUMMYFUNCTION("""COMPUTED_VALUE"""),"")</f>
        <v/>
      </c>
      <c r="F765" t="str">
        <f>IFERROR(__xludf.DUMMYFUNCTION("""COMPUTED_VALUE"""),"")</f>
        <v/>
      </c>
      <c r="G765" t="str">
        <f>IFERROR(__xludf.DUMMYFUNCTION("""COMPUTED_VALUE"""),"")</f>
        <v/>
      </c>
      <c r="H765" t="str">
        <f>IFERROR(__xludf.DUMMYFUNCTION("""COMPUTED_VALUE"""),"")</f>
        <v/>
      </c>
      <c r="I765">
        <f>IFERROR(__xludf.DUMMYFUNCTION("""COMPUTED_VALUE"""),1.0)</f>
        <v>1</v>
      </c>
      <c r="J765">
        <f>IFERROR(__xludf.DUMMYFUNCTION("""COMPUTED_VALUE"""),1.0)</f>
        <v>1</v>
      </c>
      <c r="L765" s="250" t="str">
        <f>IFERROR(__xludf.DUMMYFUNCTION("""COMPUTED_VALUE"""),"")</f>
        <v/>
      </c>
      <c r="M765" s="250" t="str">
        <f>IFERROR(__xludf.DUMMYFUNCTION("""COMPUTED_VALUE"""),"")</f>
        <v/>
      </c>
      <c r="N765" s="250" t="str">
        <f>IFERROR(__xludf.DUMMYFUNCTION("""COMPUTED_VALUE"""),"")</f>
        <v/>
      </c>
      <c r="O765" s="250" t="str">
        <f>IFERROR(__xludf.DUMMYFUNCTION("""COMPUTED_VALUE"""),"")</f>
        <v/>
      </c>
      <c r="P765" s="250" t="str">
        <f>IFERROR(__xludf.DUMMYFUNCTION("""COMPUTED_VALUE"""),"")</f>
        <v/>
      </c>
      <c r="Q765" s="250" t="str">
        <f>IFERROR(__xludf.DUMMYFUNCTION("""COMPUTED_VALUE"""),"")</f>
        <v/>
      </c>
      <c r="R765" s="250" t="str">
        <f>IFERROR(__xludf.DUMMYFUNCTION("""COMPUTED_VALUE"""),"")</f>
        <v/>
      </c>
      <c r="U765" s="250" t="str">
        <f>IFERROR(__xludf.DUMMYFUNCTION("""COMPUTED_VALUE"""),"#N/A")</f>
        <v>#N/A</v>
      </c>
      <c r="V765" s="250" t="str">
        <f>IFERROR(__xludf.DUMMYFUNCTION("""COMPUTED_VALUE"""),"#N/A")</f>
        <v>#N/A</v>
      </c>
      <c r="W765" s="250" t="str">
        <f>IFERROR(__xludf.DUMMYFUNCTION("""COMPUTED_VALUE"""),"#N/A")</f>
        <v>#N/A</v>
      </c>
      <c r="X765" t="b">
        <f t="shared" ref="X765:Z765" si="1506">ISBLANK(K765)</f>
        <v>1</v>
      </c>
      <c r="Y765" t="b">
        <f t="shared" si="1506"/>
        <v>0</v>
      </c>
      <c r="Z765" t="b">
        <f t="shared" si="1506"/>
        <v>0</v>
      </c>
      <c r="AA765">
        <f t="shared" ref="AA765:AC765" si="1507">IF(X765=FALSE,1,0)</f>
        <v>0</v>
      </c>
      <c r="AB765">
        <f t="shared" si="1507"/>
        <v>1</v>
      </c>
      <c r="AC765">
        <f t="shared" si="1507"/>
        <v>1</v>
      </c>
      <c r="AD765">
        <f t="shared" si="6"/>
        <v>2</v>
      </c>
      <c r="AE765">
        <f t="shared" si="7"/>
        <v>1</v>
      </c>
      <c r="AF765">
        <f>if(iferror(vlookup($A765,'Description Database'!$E$2:$H$951,3,0),0)=TRUE,1,0)</f>
        <v>0</v>
      </c>
      <c r="AG765">
        <f>if(iferror(vlookup($A765,'Description Database'!$E$2:$H$951,4,0),0)=TRUE,1,0)</f>
        <v>0</v>
      </c>
    </row>
    <row r="766">
      <c r="A766" t="str">
        <f>IFERROR(__xludf.DUMMYFUNCTION("""COMPUTED_VALUE"""),"Oppo A7(4 GB/64GB)")</f>
        <v>Oppo A7(4 GB/64GB)</v>
      </c>
      <c r="B766" t="str">
        <f>IFERROR(__xludf.DUMMYFUNCTION("""COMPUTED_VALUE"""),"")</f>
        <v/>
      </c>
      <c r="C766" t="str">
        <f>IFERROR(__xludf.DUMMYFUNCTION("""COMPUTED_VALUE"""),"")</f>
        <v/>
      </c>
      <c r="D766" t="str">
        <f>IFERROR(__xludf.DUMMYFUNCTION("""COMPUTED_VALUE"""),"")</f>
        <v/>
      </c>
      <c r="E766" t="str">
        <f>IFERROR(__xludf.DUMMYFUNCTION("""COMPUTED_VALUE"""),"")</f>
        <v/>
      </c>
      <c r="F766" t="str">
        <f>IFERROR(__xludf.DUMMYFUNCTION("""COMPUTED_VALUE"""),"")</f>
        <v/>
      </c>
      <c r="G766" t="str">
        <f>IFERROR(__xludf.DUMMYFUNCTION("""COMPUTED_VALUE"""),"")</f>
        <v/>
      </c>
      <c r="H766" t="str">
        <f>IFERROR(__xludf.DUMMYFUNCTION("""COMPUTED_VALUE"""),"")</f>
        <v/>
      </c>
      <c r="I766" t="str">
        <f>IFERROR(__xludf.DUMMYFUNCTION("""COMPUTED_VALUE"""),"")</f>
        <v/>
      </c>
      <c r="J766">
        <f>IFERROR(__xludf.DUMMYFUNCTION("""COMPUTED_VALUE"""),0.0)</f>
        <v>0</v>
      </c>
      <c r="L766" s="250" t="str">
        <f>IFERROR(__xludf.DUMMYFUNCTION("""COMPUTED_VALUE"""),"")</f>
        <v/>
      </c>
      <c r="M766" s="250" t="str">
        <f>IFERROR(__xludf.DUMMYFUNCTION("""COMPUTED_VALUE"""),"")</f>
        <v/>
      </c>
      <c r="N766" s="250" t="str">
        <f>IFERROR(__xludf.DUMMYFUNCTION("""COMPUTED_VALUE"""),"")</f>
        <v/>
      </c>
      <c r="O766" s="250" t="str">
        <f>IFERROR(__xludf.DUMMYFUNCTION("""COMPUTED_VALUE"""),"")</f>
        <v/>
      </c>
      <c r="P766" s="250" t="str">
        <f>IFERROR(__xludf.DUMMYFUNCTION("""COMPUTED_VALUE"""),"")</f>
        <v/>
      </c>
      <c r="Q766" s="250" t="str">
        <f>IFERROR(__xludf.DUMMYFUNCTION("""COMPUTED_VALUE"""),"")</f>
        <v/>
      </c>
      <c r="R766" s="250" t="str">
        <f>IFERROR(__xludf.DUMMYFUNCTION("""COMPUTED_VALUE"""),"")</f>
        <v/>
      </c>
      <c r="U766" s="250" t="str">
        <f>IFERROR(__xludf.DUMMYFUNCTION("""COMPUTED_VALUE"""),"#N/A")</f>
        <v>#N/A</v>
      </c>
      <c r="V766" s="250" t="str">
        <f>IFERROR(__xludf.DUMMYFUNCTION("""COMPUTED_VALUE"""),"#N/A")</f>
        <v>#N/A</v>
      </c>
      <c r="W766" s="250" t="str">
        <f>IFERROR(__xludf.DUMMYFUNCTION("""COMPUTED_VALUE"""),"#N/A")</f>
        <v>#N/A</v>
      </c>
      <c r="X766" t="b">
        <f t="shared" ref="X766:Z766" si="1508">ISBLANK(K766)</f>
        <v>1</v>
      </c>
      <c r="Y766" t="b">
        <f t="shared" si="1508"/>
        <v>0</v>
      </c>
      <c r="Z766" t="b">
        <f t="shared" si="1508"/>
        <v>0</v>
      </c>
      <c r="AA766">
        <f t="shared" ref="AA766:AC766" si="1509">IF(X766=FALSE,1,0)</f>
        <v>0</v>
      </c>
      <c r="AB766">
        <f t="shared" si="1509"/>
        <v>1</v>
      </c>
      <c r="AC766">
        <f t="shared" si="1509"/>
        <v>1</v>
      </c>
      <c r="AD766">
        <f t="shared" si="6"/>
        <v>2</v>
      </c>
      <c r="AE766">
        <f t="shared" si="7"/>
        <v>1</v>
      </c>
      <c r="AF766">
        <f>if(iferror(vlookup($A766,'Description Database'!$E$2:$H$951,3,0),0)=TRUE,1,0)</f>
        <v>0</v>
      </c>
      <c r="AG766">
        <f>if(iferror(vlookup($A766,'Description Database'!$E$2:$H$951,4,0),0)=TRUE,1,0)</f>
        <v>0</v>
      </c>
    </row>
    <row r="767">
      <c r="A767" t="str">
        <f>IFERROR(__xludf.DUMMYFUNCTION("""COMPUTED_VALUE"""),"Realme C2 (2 GB/32 GB)")</f>
        <v>Realme C2 (2 GB/32 GB)</v>
      </c>
      <c r="B767" t="str">
        <f>IFERROR(__xludf.DUMMYFUNCTION("""COMPUTED_VALUE"""),"")</f>
        <v/>
      </c>
      <c r="C767" t="str">
        <f>IFERROR(__xludf.DUMMYFUNCTION("""COMPUTED_VALUE"""),"")</f>
        <v/>
      </c>
      <c r="D767" t="str">
        <f>IFERROR(__xludf.DUMMYFUNCTION("""COMPUTED_VALUE"""),"")</f>
        <v/>
      </c>
      <c r="E767" t="str">
        <f>IFERROR(__xludf.DUMMYFUNCTION("""COMPUTED_VALUE"""),"")</f>
        <v/>
      </c>
      <c r="F767" t="str">
        <f>IFERROR(__xludf.DUMMYFUNCTION("""COMPUTED_VALUE"""),"")</f>
        <v/>
      </c>
      <c r="G767" t="str">
        <f>IFERROR(__xludf.DUMMYFUNCTION("""COMPUTED_VALUE"""),"")</f>
        <v/>
      </c>
      <c r="H767" t="str">
        <f>IFERROR(__xludf.DUMMYFUNCTION("""COMPUTED_VALUE"""),"")</f>
        <v/>
      </c>
      <c r="I767">
        <f>IFERROR(__xludf.DUMMYFUNCTION("""COMPUTED_VALUE"""),1.0)</f>
        <v>1</v>
      </c>
      <c r="J767">
        <f>IFERROR(__xludf.DUMMYFUNCTION("""COMPUTED_VALUE"""),1.0)</f>
        <v>1</v>
      </c>
      <c r="L767" s="250" t="str">
        <f>IFERROR(__xludf.DUMMYFUNCTION("""COMPUTED_VALUE"""),"")</f>
        <v/>
      </c>
      <c r="M767" s="250" t="str">
        <f>IFERROR(__xludf.DUMMYFUNCTION("""COMPUTED_VALUE"""),"")</f>
        <v/>
      </c>
      <c r="N767" s="250" t="str">
        <f>IFERROR(__xludf.DUMMYFUNCTION("""COMPUTED_VALUE"""),"")</f>
        <v/>
      </c>
      <c r="O767" s="250" t="str">
        <f>IFERROR(__xludf.DUMMYFUNCTION("""COMPUTED_VALUE"""),"")</f>
        <v/>
      </c>
      <c r="P767" s="250" t="str">
        <f>IFERROR(__xludf.DUMMYFUNCTION("""COMPUTED_VALUE"""),"")</f>
        <v/>
      </c>
      <c r="Q767" s="250" t="str">
        <f>IFERROR(__xludf.DUMMYFUNCTION("""COMPUTED_VALUE"""),"")</f>
        <v/>
      </c>
      <c r="R767" s="250" t="str">
        <f>IFERROR(__xludf.DUMMYFUNCTION("""COMPUTED_VALUE"""),"")</f>
        <v/>
      </c>
      <c r="U767" s="250">
        <f>IFERROR(__xludf.DUMMYFUNCTION("""COMPUTED_VALUE"""),5699.0)</f>
        <v>5699</v>
      </c>
      <c r="V767" s="250">
        <f>IFERROR(__xludf.DUMMYFUNCTION("""COMPUTED_VALUE"""),5429.0)</f>
        <v>5429</v>
      </c>
      <c r="W767" s="250">
        <f>IFERROR(__xludf.DUMMYFUNCTION("""COMPUTED_VALUE"""),4959.0)</f>
        <v>4959</v>
      </c>
      <c r="X767" t="b">
        <f t="shared" ref="X767:Z767" si="1510">ISBLANK(K767)</f>
        <v>1</v>
      </c>
      <c r="Y767" t="b">
        <f t="shared" si="1510"/>
        <v>0</v>
      </c>
      <c r="Z767" t="b">
        <f t="shared" si="1510"/>
        <v>0</v>
      </c>
      <c r="AA767">
        <f t="shared" ref="AA767:AC767" si="1511">IF(X767=FALSE,1,0)</f>
        <v>0</v>
      </c>
      <c r="AB767">
        <f t="shared" si="1511"/>
        <v>1</v>
      </c>
      <c r="AC767">
        <f t="shared" si="1511"/>
        <v>1</v>
      </c>
      <c r="AD767">
        <f t="shared" si="6"/>
        <v>2</v>
      </c>
      <c r="AE767">
        <f t="shared" si="7"/>
        <v>1</v>
      </c>
      <c r="AF767">
        <f>if(iferror(vlookup($A767,'Description Database'!$E$2:$H$951,3,0),0)=TRUE,1,0)</f>
        <v>0</v>
      </c>
      <c r="AG767">
        <f>if(iferror(vlookup($A767,'Description Database'!$E$2:$H$951,4,0),0)=TRUE,1,0)</f>
        <v>0</v>
      </c>
    </row>
    <row r="768">
      <c r="A768" t="str">
        <f>IFERROR(__xludf.DUMMYFUNCTION("""COMPUTED_VALUE"""),"Samsung GALAXY A5 2016(2 GB/16GB)")</f>
        <v>Samsung GALAXY A5 2016(2 GB/16GB)</v>
      </c>
      <c r="B768" t="str">
        <f>IFERROR(__xludf.DUMMYFUNCTION("""COMPUTED_VALUE"""),"")</f>
        <v/>
      </c>
      <c r="C768" t="str">
        <f>IFERROR(__xludf.DUMMYFUNCTION("""COMPUTED_VALUE"""),"")</f>
        <v/>
      </c>
      <c r="D768" t="str">
        <f>IFERROR(__xludf.DUMMYFUNCTION("""COMPUTED_VALUE"""),"")</f>
        <v/>
      </c>
      <c r="E768" t="str">
        <f>IFERROR(__xludf.DUMMYFUNCTION("""COMPUTED_VALUE"""),"")</f>
        <v/>
      </c>
      <c r="F768" t="str">
        <f>IFERROR(__xludf.DUMMYFUNCTION("""COMPUTED_VALUE"""),"")</f>
        <v/>
      </c>
      <c r="G768" t="str">
        <f>IFERROR(__xludf.DUMMYFUNCTION("""COMPUTED_VALUE"""),"")</f>
        <v/>
      </c>
      <c r="H768" t="str">
        <f>IFERROR(__xludf.DUMMYFUNCTION("""COMPUTED_VALUE"""),"")</f>
        <v/>
      </c>
      <c r="I768">
        <f>IFERROR(__xludf.DUMMYFUNCTION("""COMPUTED_VALUE"""),5.0)</f>
        <v>5</v>
      </c>
      <c r="J768">
        <f>IFERROR(__xludf.DUMMYFUNCTION("""COMPUTED_VALUE"""),5.0)</f>
        <v>5</v>
      </c>
      <c r="L768" s="250" t="str">
        <f>IFERROR(__xludf.DUMMYFUNCTION("""COMPUTED_VALUE"""),"")</f>
        <v/>
      </c>
      <c r="M768" s="250" t="str">
        <f>IFERROR(__xludf.DUMMYFUNCTION("""COMPUTED_VALUE"""),"")</f>
        <v/>
      </c>
      <c r="N768" s="250" t="str">
        <f>IFERROR(__xludf.DUMMYFUNCTION("""COMPUTED_VALUE"""),"")</f>
        <v/>
      </c>
      <c r="O768" s="250" t="str">
        <f>IFERROR(__xludf.DUMMYFUNCTION("""COMPUTED_VALUE"""),"")</f>
        <v/>
      </c>
      <c r="P768" s="250" t="str">
        <f>IFERROR(__xludf.DUMMYFUNCTION("""COMPUTED_VALUE"""),"")</f>
        <v/>
      </c>
      <c r="Q768" s="250" t="str">
        <f>IFERROR(__xludf.DUMMYFUNCTION("""COMPUTED_VALUE"""),"")</f>
        <v/>
      </c>
      <c r="R768" s="250" t="str">
        <f>IFERROR(__xludf.DUMMYFUNCTION("""COMPUTED_VALUE"""),"")</f>
        <v/>
      </c>
      <c r="U768" s="250" t="str">
        <f>IFERROR(__xludf.DUMMYFUNCTION("""COMPUTED_VALUE"""),"#N/A")</f>
        <v>#N/A</v>
      </c>
      <c r="V768" s="250" t="str">
        <f>IFERROR(__xludf.DUMMYFUNCTION("""COMPUTED_VALUE"""),"#N/A")</f>
        <v>#N/A</v>
      </c>
      <c r="W768" s="250" t="str">
        <f>IFERROR(__xludf.DUMMYFUNCTION("""COMPUTED_VALUE"""),"#N/A")</f>
        <v>#N/A</v>
      </c>
      <c r="X768" t="b">
        <f t="shared" ref="X768:Z768" si="1512">ISBLANK(K768)</f>
        <v>1</v>
      </c>
      <c r="Y768" t="b">
        <f t="shared" si="1512"/>
        <v>0</v>
      </c>
      <c r="Z768" t="b">
        <f t="shared" si="1512"/>
        <v>0</v>
      </c>
      <c r="AA768">
        <f t="shared" ref="AA768:AC768" si="1513">IF(X768=FALSE,1,0)</f>
        <v>0</v>
      </c>
      <c r="AB768">
        <f t="shared" si="1513"/>
        <v>1</v>
      </c>
      <c r="AC768">
        <f t="shared" si="1513"/>
        <v>1</v>
      </c>
      <c r="AD768">
        <f t="shared" si="6"/>
        <v>2</v>
      </c>
      <c r="AE768">
        <f t="shared" si="7"/>
        <v>1</v>
      </c>
      <c r="AF768">
        <f>if(iferror(vlookup($A768,'Description Database'!$E$2:$H$951,3,0),0)=TRUE,1,0)</f>
        <v>0</v>
      </c>
      <c r="AG768">
        <f>if(iferror(vlookup($A768,'Description Database'!$E$2:$H$951,4,0),0)=TRUE,1,0)</f>
        <v>0</v>
      </c>
    </row>
    <row r="769">
      <c r="A769" t="str">
        <f>IFERROR(__xludf.DUMMYFUNCTION("""COMPUTED_VALUE"""),"Samsung GALAXY J7 PRIME 2(3 GB/32GB)")</f>
        <v>Samsung GALAXY J7 PRIME 2(3 GB/32GB)</v>
      </c>
      <c r="B769" t="str">
        <f>IFERROR(__xludf.DUMMYFUNCTION("""COMPUTED_VALUE"""),"")</f>
        <v/>
      </c>
      <c r="C769" t="str">
        <f>IFERROR(__xludf.DUMMYFUNCTION("""COMPUTED_VALUE"""),"")</f>
        <v/>
      </c>
      <c r="D769" t="str">
        <f>IFERROR(__xludf.DUMMYFUNCTION("""COMPUTED_VALUE"""),"")</f>
        <v/>
      </c>
      <c r="E769" t="str">
        <f>IFERROR(__xludf.DUMMYFUNCTION("""COMPUTED_VALUE"""),"")</f>
        <v/>
      </c>
      <c r="F769" t="str">
        <f>IFERROR(__xludf.DUMMYFUNCTION("""COMPUTED_VALUE"""),"")</f>
        <v/>
      </c>
      <c r="G769" t="str">
        <f>IFERROR(__xludf.DUMMYFUNCTION("""COMPUTED_VALUE"""),"")</f>
        <v/>
      </c>
      <c r="H769" t="str">
        <f>IFERROR(__xludf.DUMMYFUNCTION("""COMPUTED_VALUE"""),"")</f>
        <v/>
      </c>
      <c r="I769">
        <f>IFERROR(__xludf.DUMMYFUNCTION("""COMPUTED_VALUE"""),2.0)</f>
        <v>2</v>
      </c>
      <c r="J769">
        <f>IFERROR(__xludf.DUMMYFUNCTION("""COMPUTED_VALUE"""),2.0)</f>
        <v>2</v>
      </c>
      <c r="L769" s="250" t="str">
        <f>IFERROR(__xludf.DUMMYFUNCTION("""COMPUTED_VALUE"""),"")</f>
        <v/>
      </c>
      <c r="M769" s="250" t="str">
        <f>IFERROR(__xludf.DUMMYFUNCTION("""COMPUTED_VALUE"""),"")</f>
        <v/>
      </c>
      <c r="N769" s="250" t="str">
        <f>IFERROR(__xludf.DUMMYFUNCTION("""COMPUTED_VALUE"""),"")</f>
        <v/>
      </c>
      <c r="O769" s="250" t="str">
        <f>IFERROR(__xludf.DUMMYFUNCTION("""COMPUTED_VALUE"""),"")</f>
        <v/>
      </c>
      <c r="P769" s="250" t="str">
        <f>IFERROR(__xludf.DUMMYFUNCTION("""COMPUTED_VALUE"""),"")</f>
        <v/>
      </c>
      <c r="Q769" s="250" t="str">
        <f>IFERROR(__xludf.DUMMYFUNCTION("""COMPUTED_VALUE"""),"")</f>
        <v/>
      </c>
      <c r="R769" s="250" t="str">
        <f>IFERROR(__xludf.DUMMYFUNCTION("""COMPUTED_VALUE"""),"")</f>
        <v/>
      </c>
      <c r="U769" s="250" t="str">
        <f>IFERROR(__xludf.DUMMYFUNCTION("""COMPUTED_VALUE"""),"#N/A")</f>
        <v>#N/A</v>
      </c>
      <c r="V769" s="250" t="str">
        <f>IFERROR(__xludf.DUMMYFUNCTION("""COMPUTED_VALUE"""),"#N/A")</f>
        <v>#N/A</v>
      </c>
      <c r="W769" s="250" t="str">
        <f>IFERROR(__xludf.DUMMYFUNCTION("""COMPUTED_VALUE"""),"#N/A")</f>
        <v>#N/A</v>
      </c>
      <c r="X769" t="b">
        <f t="shared" ref="X769:Z769" si="1514">ISBLANK(K769)</f>
        <v>1</v>
      </c>
      <c r="Y769" t="b">
        <f t="shared" si="1514"/>
        <v>0</v>
      </c>
      <c r="Z769" t="b">
        <f t="shared" si="1514"/>
        <v>0</v>
      </c>
      <c r="AA769">
        <f t="shared" ref="AA769:AC769" si="1515">IF(X769=FALSE,1,0)</f>
        <v>0</v>
      </c>
      <c r="AB769">
        <f t="shared" si="1515"/>
        <v>1</v>
      </c>
      <c r="AC769">
        <f t="shared" si="1515"/>
        <v>1</v>
      </c>
      <c r="AD769">
        <f t="shared" si="6"/>
        <v>2</v>
      </c>
      <c r="AE769">
        <f t="shared" si="7"/>
        <v>1</v>
      </c>
      <c r="AF769">
        <f>if(iferror(vlookup($A769,'Description Database'!$E$2:$H$951,3,0),0)=TRUE,1,0)</f>
        <v>0</v>
      </c>
      <c r="AG769">
        <f>if(iferror(vlookup($A769,'Description Database'!$E$2:$H$951,4,0),0)=TRUE,1,0)</f>
        <v>0</v>
      </c>
    </row>
    <row r="770">
      <c r="A770" t="str">
        <f>IFERROR(__xludf.DUMMYFUNCTION("""COMPUTED_VALUE"""),"Xiaomi MI 5(3 GB/32GB)")</f>
        <v>Xiaomi MI 5(3 GB/32GB)</v>
      </c>
      <c r="B770" t="str">
        <f>IFERROR(__xludf.DUMMYFUNCTION("""COMPUTED_VALUE"""),"")</f>
        <v/>
      </c>
      <c r="C770" t="str">
        <f>IFERROR(__xludf.DUMMYFUNCTION("""COMPUTED_VALUE"""),"")</f>
        <v/>
      </c>
      <c r="D770" t="str">
        <f>IFERROR(__xludf.DUMMYFUNCTION("""COMPUTED_VALUE"""),"")</f>
        <v/>
      </c>
      <c r="E770" t="str">
        <f>IFERROR(__xludf.DUMMYFUNCTION("""COMPUTED_VALUE"""),"")</f>
        <v/>
      </c>
      <c r="F770">
        <f>IFERROR(__xludf.DUMMYFUNCTION("""COMPUTED_VALUE"""),1.0)</f>
        <v>1</v>
      </c>
      <c r="G770" t="str">
        <f>IFERROR(__xludf.DUMMYFUNCTION("""COMPUTED_VALUE"""),"")</f>
        <v/>
      </c>
      <c r="H770" t="str">
        <f>IFERROR(__xludf.DUMMYFUNCTION("""COMPUTED_VALUE"""),"")</f>
        <v/>
      </c>
      <c r="I770">
        <f>IFERROR(__xludf.DUMMYFUNCTION("""COMPUTED_VALUE"""),5.0)</f>
        <v>5</v>
      </c>
      <c r="J770">
        <f>IFERROR(__xludf.DUMMYFUNCTION("""COMPUTED_VALUE"""),6.0)</f>
        <v>6</v>
      </c>
      <c r="L770" s="250" t="str">
        <f>IFERROR(__xludf.DUMMYFUNCTION("""COMPUTED_VALUE"""),"")</f>
        <v/>
      </c>
      <c r="M770" s="250" t="str">
        <f>IFERROR(__xludf.DUMMYFUNCTION("""COMPUTED_VALUE"""),"")</f>
        <v/>
      </c>
      <c r="N770" s="250" t="str">
        <f>IFERROR(__xludf.DUMMYFUNCTION("""COMPUTED_VALUE"""),"")</f>
        <v/>
      </c>
      <c r="O770" s="250" t="str">
        <f>IFERROR(__xludf.DUMMYFUNCTION("""COMPUTED_VALUE"""),"")</f>
        <v/>
      </c>
      <c r="P770" s="250" t="str">
        <f>IFERROR(__xludf.DUMMYFUNCTION("""COMPUTED_VALUE"""),"#N/A")</f>
        <v>#N/A</v>
      </c>
      <c r="Q770" s="250" t="str">
        <f>IFERROR(__xludf.DUMMYFUNCTION("""COMPUTED_VALUE"""),"")</f>
        <v/>
      </c>
      <c r="R770" s="250" t="str">
        <f>IFERROR(__xludf.DUMMYFUNCTION("""COMPUTED_VALUE"""),"")</f>
        <v/>
      </c>
      <c r="U770" s="250" t="str">
        <f>IFERROR(__xludf.DUMMYFUNCTION("""COMPUTED_VALUE"""),"#N/A")</f>
        <v>#N/A</v>
      </c>
      <c r="V770" s="250" t="str">
        <f>IFERROR(__xludf.DUMMYFUNCTION("""COMPUTED_VALUE"""),"#N/A")</f>
        <v>#N/A</v>
      </c>
      <c r="W770" s="250" t="str">
        <f>IFERROR(__xludf.DUMMYFUNCTION("""COMPUTED_VALUE"""),"#N/A")</f>
        <v>#N/A</v>
      </c>
      <c r="X770" t="b">
        <f t="shared" ref="X770:Z770" si="1516">ISBLANK(K770)</f>
        <v>1</v>
      </c>
      <c r="Y770" t="b">
        <f t="shared" si="1516"/>
        <v>0</v>
      </c>
      <c r="Z770" t="b">
        <f t="shared" si="1516"/>
        <v>0</v>
      </c>
      <c r="AA770">
        <f t="shared" ref="AA770:AC770" si="1517">IF(X770=FALSE,1,0)</f>
        <v>0</v>
      </c>
      <c r="AB770">
        <f t="shared" si="1517"/>
        <v>1</v>
      </c>
      <c r="AC770">
        <f t="shared" si="1517"/>
        <v>1</v>
      </c>
      <c r="AD770">
        <f t="shared" si="6"/>
        <v>2</v>
      </c>
      <c r="AE770">
        <f t="shared" si="7"/>
        <v>1</v>
      </c>
      <c r="AF770">
        <f>if(iferror(vlookup($A770,'Description Database'!$E$2:$H$951,3,0),0)=TRUE,1,0)</f>
        <v>0</v>
      </c>
      <c r="AG770">
        <f>if(iferror(vlookup($A770,'Description Database'!$E$2:$H$951,4,0),0)=TRUE,1,0)</f>
        <v>0</v>
      </c>
    </row>
    <row r="771">
      <c r="A771" t="str">
        <f>IFERROR(__xludf.DUMMYFUNCTION("""COMPUTED_VALUE"""),"Samsung GALAXY A6 2018(4 GB/64GB)")</f>
        <v>Samsung GALAXY A6 2018(4 GB/64GB)</v>
      </c>
      <c r="B771" t="str">
        <f>IFERROR(__xludf.DUMMYFUNCTION("""COMPUTED_VALUE"""),"")</f>
        <v/>
      </c>
      <c r="C771" t="str">
        <f>IFERROR(__xludf.DUMMYFUNCTION("""COMPUTED_VALUE"""),"")</f>
        <v/>
      </c>
      <c r="D771" t="str">
        <f>IFERROR(__xludf.DUMMYFUNCTION("""COMPUTED_VALUE"""),"")</f>
        <v/>
      </c>
      <c r="E771" t="str">
        <f>IFERROR(__xludf.DUMMYFUNCTION("""COMPUTED_VALUE"""),"")</f>
        <v/>
      </c>
      <c r="F771" t="str">
        <f>IFERROR(__xludf.DUMMYFUNCTION("""COMPUTED_VALUE"""),"")</f>
        <v/>
      </c>
      <c r="G771" t="str">
        <f>IFERROR(__xludf.DUMMYFUNCTION("""COMPUTED_VALUE"""),"")</f>
        <v/>
      </c>
      <c r="H771" t="str">
        <f>IFERROR(__xludf.DUMMYFUNCTION("""COMPUTED_VALUE"""),"")</f>
        <v/>
      </c>
      <c r="I771" t="str">
        <f>IFERROR(__xludf.DUMMYFUNCTION("""COMPUTED_VALUE"""),"")</f>
        <v/>
      </c>
      <c r="J771">
        <f>IFERROR(__xludf.DUMMYFUNCTION("""COMPUTED_VALUE"""),0.0)</f>
        <v>0</v>
      </c>
      <c r="L771" s="250" t="str">
        <f>IFERROR(__xludf.DUMMYFUNCTION("""COMPUTED_VALUE"""),"")</f>
        <v/>
      </c>
      <c r="M771" s="250" t="str">
        <f>IFERROR(__xludf.DUMMYFUNCTION("""COMPUTED_VALUE"""),"")</f>
        <v/>
      </c>
      <c r="N771" s="250" t="str">
        <f>IFERROR(__xludf.DUMMYFUNCTION("""COMPUTED_VALUE"""),"")</f>
        <v/>
      </c>
      <c r="O771" s="250" t="str">
        <f>IFERROR(__xludf.DUMMYFUNCTION("""COMPUTED_VALUE"""),"")</f>
        <v/>
      </c>
      <c r="P771" s="250" t="str">
        <f>IFERROR(__xludf.DUMMYFUNCTION("""COMPUTED_VALUE"""),"")</f>
        <v/>
      </c>
      <c r="Q771" s="250" t="str">
        <f>IFERROR(__xludf.DUMMYFUNCTION("""COMPUTED_VALUE"""),"")</f>
        <v/>
      </c>
      <c r="R771" s="250" t="str">
        <f>IFERROR(__xludf.DUMMYFUNCTION("""COMPUTED_VALUE"""),"")</f>
        <v/>
      </c>
      <c r="U771" s="250" t="str">
        <f>IFERROR(__xludf.DUMMYFUNCTION("""COMPUTED_VALUE"""),"#N/A")</f>
        <v>#N/A</v>
      </c>
      <c r="V771" s="250" t="str">
        <f>IFERROR(__xludf.DUMMYFUNCTION("""COMPUTED_VALUE"""),"#N/A")</f>
        <v>#N/A</v>
      </c>
      <c r="W771" s="250" t="str">
        <f>IFERROR(__xludf.DUMMYFUNCTION("""COMPUTED_VALUE"""),"#N/A")</f>
        <v>#N/A</v>
      </c>
      <c r="X771" t="b">
        <f t="shared" ref="X771:Z771" si="1518">ISBLANK(K771)</f>
        <v>1</v>
      </c>
      <c r="Y771" t="b">
        <f t="shared" si="1518"/>
        <v>0</v>
      </c>
      <c r="Z771" t="b">
        <f t="shared" si="1518"/>
        <v>0</v>
      </c>
      <c r="AA771">
        <f t="shared" ref="AA771:AC771" si="1519">IF(X771=FALSE,1,0)</f>
        <v>0</v>
      </c>
      <c r="AB771">
        <f t="shared" si="1519"/>
        <v>1</v>
      </c>
      <c r="AC771">
        <f t="shared" si="1519"/>
        <v>1</v>
      </c>
      <c r="AD771">
        <f t="shared" si="6"/>
        <v>2</v>
      </c>
      <c r="AE771">
        <f t="shared" si="7"/>
        <v>1</v>
      </c>
      <c r="AF771">
        <f>if(iferror(vlookup($A771,'Description Database'!$E$2:$H$951,3,0),0)=TRUE,1,0)</f>
        <v>0</v>
      </c>
      <c r="AG771">
        <f>if(iferror(vlookup($A771,'Description Database'!$E$2:$H$951,4,0),0)=TRUE,1,0)</f>
        <v>0</v>
      </c>
    </row>
    <row r="772">
      <c r="A772" t="str">
        <f>IFERROR(__xludf.DUMMYFUNCTION("""COMPUTED_VALUE"""),"Xiaomi REDMI NOTE 7(6 GB/64GB)")</f>
        <v>Xiaomi REDMI NOTE 7(6 GB/64GB)</v>
      </c>
      <c r="B772" t="str">
        <f>IFERROR(__xludf.DUMMYFUNCTION("""COMPUTED_VALUE"""),"")</f>
        <v/>
      </c>
      <c r="C772" t="str">
        <f>IFERROR(__xludf.DUMMYFUNCTION("""COMPUTED_VALUE"""),"")</f>
        <v/>
      </c>
      <c r="D772" t="str">
        <f>IFERROR(__xludf.DUMMYFUNCTION("""COMPUTED_VALUE"""),"")</f>
        <v/>
      </c>
      <c r="E772" t="str">
        <f>IFERROR(__xludf.DUMMYFUNCTION("""COMPUTED_VALUE"""),"")</f>
        <v/>
      </c>
      <c r="F772" t="str">
        <f>IFERROR(__xludf.DUMMYFUNCTION("""COMPUTED_VALUE"""),"")</f>
        <v/>
      </c>
      <c r="G772" t="str">
        <f>IFERROR(__xludf.DUMMYFUNCTION("""COMPUTED_VALUE"""),"")</f>
        <v/>
      </c>
      <c r="H772" t="str">
        <f>IFERROR(__xludf.DUMMYFUNCTION("""COMPUTED_VALUE"""),"")</f>
        <v/>
      </c>
      <c r="I772" t="str">
        <f>IFERROR(__xludf.DUMMYFUNCTION("""COMPUTED_VALUE"""),"")</f>
        <v/>
      </c>
      <c r="J772">
        <f>IFERROR(__xludf.DUMMYFUNCTION("""COMPUTED_VALUE"""),0.0)</f>
        <v>0</v>
      </c>
      <c r="L772" s="250" t="str">
        <f>IFERROR(__xludf.DUMMYFUNCTION("""COMPUTED_VALUE"""),"")</f>
        <v/>
      </c>
      <c r="M772" s="250" t="str">
        <f>IFERROR(__xludf.DUMMYFUNCTION("""COMPUTED_VALUE"""),"")</f>
        <v/>
      </c>
      <c r="N772" s="250" t="str">
        <f>IFERROR(__xludf.DUMMYFUNCTION("""COMPUTED_VALUE"""),"")</f>
        <v/>
      </c>
      <c r="O772" s="250" t="str">
        <f>IFERROR(__xludf.DUMMYFUNCTION("""COMPUTED_VALUE"""),"")</f>
        <v/>
      </c>
      <c r="P772" s="250" t="str">
        <f>IFERROR(__xludf.DUMMYFUNCTION("""COMPUTED_VALUE"""),"")</f>
        <v/>
      </c>
      <c r="Q772" s="250" t="str">
        <f>IFERROR(__xludf.DUMMYFUNCTION("""COMPUTED_VALUE"""),"")</f>
        <v/>
      </c>
      <c r="R772" s="250" t="str">
        <f>IFERROR(__xludf.DUMMYFUNCTION("""COMPUTED_VALUE"""),"")</f>
        <v/>
      </c>
      <c r="U772" s="250" t="str">
        <f>IFERROR(__xludf.DUMMYFUNCTION("""COMPUTED_VALUE"""),"#N/A")</f>
        <v>#N/A</v>
      </c>
      <c r="V772" s="250" t="str">
        <f>IFERROR(__xludf.DUMMYFUNCTION("""COMPUTED_VALUE"""),"#N/A")</f>
        <v>#N/A</v>
      </c>
      <c r="W772" s="250" t="str">
        <f>IFERROR(__xludf.DUMMYFUNCTION("""COMPUTED_VALUE"""),"#N/A")</f>
        <v>#N/A</v>
      </c>
      <c r="X772" t="b">
        <f t="shared" ref="X772:Z772" si="1520">ISBLANK(K772)</f>
        <v>1</v>
      </c>
      <c r="Y772" t="b">
        <f t="shared" si="1520"/>
        <v>0</v>
      </c>
      <c r="Z772" t="b">
        <f t="shared" si="1520"/>
        <v>0</v>
      </c>
      <c r="AA772">
        <f t="shared" ref="AA772:AC772" si="1521">IF(X772=FALSE,1,0)</f>
        <v>0</v>
      </c>
      <c r="AB772">
        <f t="shared" si="1521"/>
        <v>1</v>
      </c>
      <c r="AC772">
        <f t="shared" si="1521"/>
        <v>1</v>
      </c>
      <c r="AD772">
        <f t="shared" si="6"/>
        <v>2</v>
      </c>
      <c r="AE772">
        <f t="shared" si="7"/>
        <v>1</v>
      </c>
      <c r="AF772">
        <f>if(iferror(vlookup($A772,'Description Database'!$E$2:$H$951,3,0),0)=TRUE,1,0)</f>
        <v>0</v>
      </c>
      <c r="AG772">
        <f>if(iferror(vlookup($A772,'Description Database'!$E$2:$H$951,4,0),0)=TRUE,1,0)</f>
        <v>0</v>
      </c>
    </row>
    <row r="773">
      <c r="A773" t="str">
        <f>IFERROR(__xludf.DUMMYFUNCTION("""COMPUTED_VALUE"""),"Motorola MOTO X4(4 GB/32GB)")</f>
        <v>Motorola MOTO X4(4 GB/32GB)</v>
      </c>
      <c r="B773" t="str">
        <f>IFERROR(__xludf.DUMMYFUNCTION("""COMPUTED_VALUE"""),"")</f>
        <v/>
      </c>
      <c r="C773" t="str">
        <f>IFERROR(__xludf.DUMMYFUNCTION("""COMPUTED_VALUE"""),"")</f>
        <v/>
      </c>
      <c r="D773" t="str">
        <f>IFERROR(__xludf.DUMMYFUNCTION("""COMPUTED_VALUE"""),"")</f>
        <v/>
      </c>
      <c r="E773" t="str">
        <f>IFERROR(__xludf.DUMMYFUNCTION("""COMPUTED_VALUE"""),"")</f>
        <v/>
      </c>
      <c r="F773" t="str">
        <f>IFERROR(__xludf.DUMMYFUNCTION("""COMPUTED_VALUE"""),"")</f>
        <v/>
      </c>
      <c r="G773" t="str">
        <f>IFERROR(__xludf.DUMMYFUNCTION("""COMPUTED_VALUE"""),"")</f>
        <v/>
      </c>
      <c r="H773" t="str">
        <f>IFERROR(__xludf.DUMMYFUNCTION("""COMPUTED_VALUE"""),"")</f>
        <v/>
      </c>
      <c r="I773" t="str">
        <f>IFERROR(__xludf.DUMMYFUNCTION("""COMPUTED_VALUE"""),"")</f>
        <v/>
      </c>
      <c r="J773">
        <f>IFERROR(__xludf.DUMMYFUNCTION("""COMPUTED_VALUE"""),0.0)</f>
        <v>0</v>
      </c>
      <c r="L773" s="250" t="str">
        <f>IFERROR(__xludf.DUMMYFUNCTION("""COMPUTED_VALUE"""),"")</f>
        <v/>
      </c>
      <c r="M773" s="250" t="str">
        <f>IFERROR(__xludf.DUMMYFUNCTION("""COMPUTED_VALUE"""),"")</f>
        <v/>
      </c>
      <c r="N773" s="250" t="str">
        <f>IFERROR(__xludf.DUMMYFUNCTION("""COMPUTED_VALUE"""),"")</f>
        <v/>
      </c>
      <c r="O773" s="250" t="str">
        <f>IFERROR(__xludf.DUMMYFUNCTION("""COMPUTED_VALUE"""),"")</f>
        <v/>
      </c>
      <c r="P773" s="250" t="str">
        <f>IFERROR(__xludf.DUMMYFUNCTION("""COMPUTED_VALUE"""),"")</f>
        <v/>
      </c>
      <c r="Q773" s="250" t="str">
        <f>IFERROR(__xludf.DUMMYFUNCTION("""COMPUTED_VALUE"""),"")</f>
        <v/>
      </c>
      <c r="R773" s="250" t="str">
        <f>IFERROR(__xludf.DUMMYFUNCTION("""COMPUTED_VALUE"""),"")</f>
        <v/>
      </c>
      <c r="U773" s="250" t="str">
        <f>IFERROR(__xludf.DUMMYFUNCTION("""COMPUTED_VALUE"""),"#N/A")</f>
        <v>#N/A</v>
      </c>
      <c r="V773" s="250" t="str">
        <f>IFERROR(__xludf.DUMMYFUNCTION("""COMPUTED_VALUE"""),"#N/A")</f>
        <v>#N/A</v>
      </c>
      <c r="W773" s="250" t="str">
        <f>IFERROR(__xludf.DUMMYFUNCTION("""COMPUTED_VALUE"""),"#N/A")</f>
        <v>#N/A</v>
      </c>
      <c r="X773" t="b">
        <f t="shared" ref="X773:Z773" si="1522">ISBLANK(K773)</f>
        <v>1</v>
      </c>
      <c r="Y773" t="b">
        <f t="shared" si="1522"/>
        <v>0</v>
      </c>
      <c r="Z773" t="b">
        <f t="shared" si="1522"/>
        <v>0</v>
      </c>
      <c r="AA773">
        <f t="shared" ref="AA773:AC773" si="1523">IF(X773=FALSE,1,0)</f>
        <v>0</v>
      </c>
      <c r="AB773">
        <f t="shared" si="1523"/>
        <v>1</v>
      </c>
      <c r="AC773">
        <f t="shared" si="1523"/>
        <v>1</v>
      </c>
      <c r="AD773">
        <f t="shared" si="6"/>
        <v>2</v>
      </c>
      <c r="AE773">
        <f t="shared" si="7"/>
        <v>1</v>
      </c>
      <c r="AF773">
        <f>if(iferror(vlookup($A773,'Description Database'!$E$2:$H$951,3,0),0)=TRUE,1,0)</f>
        <v>0</v>
      </c>
      <c r="AG773">
        <f>if(iferror(vlookup($A773,'Description Database'!$E$2:$H$951,4,0),0)=TRUE,1,0)</f>
        <v>0</v>
      </c>
    </row>
    <row r="774">
      <c r="A774" t="str">
        <f>IFERROR(__xludf.DUMMYFUNCTION("""COMPUTED_VALUE"""),"Vivo Y71i (2 GB/16 GB)")</f>
        <v>Vivo Y71i (2 GB/16 GB)</v>
      </c>
      <c r="B774" t="str">
        <f>IFERROR(__xludf.DUMMYFUNCTION("""COMPUTED_VALUE"""),"")</f>
        <v/>
      </c>
      <c r="C774" t="str">
        <f>IFERROR(__xludf.DUMMYFUNCTION("""COMPUTED_VALUE"""),"")</f>
        <v/>
      </c>
      <c r="D774" t="str">
        <f>IFERROR(__xludf.DUMMYFUNCTION("""COMPUTED_VALUE"""),"")</f>
        <v/>
      </c>
      <c r="E774" t="str">
        <f>IFERROR(__xludf.DUMMYFUNCTION("""COMPUTED_VALUE"""),"")</f>
        <v/>
      </c>
      <c r="F774" t="str">
        <f>IFERROR(__xludf.DUMMYFUNCTION("""COMPUTED_VALUE"""),"")</f>
        <v/>
      </c>
      <c r="G774" t="str">
        <f>IFERROR(__xludf.DUMMYFUNCTION("""COMPUTED_VALUE"""),"")</f>
        <v/>
      </c>
      <c r="H774" t="str">
        <f>IFERROR(__xludf.DUMMYFUNCTION("""COMPUTED_VALUE"""),"")</f>
        <v/>
      </c>
      <c r="I774">
        <f>IFERROR(__xludf.DUMMYFUNCTION("""COMPUTED_VALUE"""),2.0)</f>
        <v>2</v>
      </c>
      <c r="J774">
        <f>IFERROR(__xludf.DUMMYFUNCTION("""COMPUTED_VALUE"""),2.0)</f>
        <v>2</v>
      </c>
      <c r="L774" s="250" t="str">
        <f>IFERROR(__xludf.DUMMYFUNCTION("""COMPUTED_VALUE"""),"")</f>
        <v/>
      </c>
      <c r="M774" s="250" t="str">
        <f>IFERROR(__xludf.DUMMYFUNCTION("""COMPUTED_VALUE"""),"")</f>
        <v/>
      </c>
      <c r="N774" s="250" t="str">
        <f>IFERROR(__xludf.DUMMYFUNCTION("""COMPUTED_VALUE"""),"")</f>
        <v/>
      </c>
      <c r="O774" s="250" t="str">
        <f>IFERROR(__xludf.DUMMYFUNCTION("""COMPUTED_VALUE"""),"")</f>
        <v/>
      </c>
      <c r="P774" s="250" t="str">
        <f>IFERROR(__xludf.DUMMYFUNCTION("""COMPUTED_VALUE"""),"")</f>
        <v/>
      </c>
      <c r="Q774" s="250" t="str">
        <f>IFERROR(__xludf.DUMMYFUNCTION("""COMPUTED_VALUE"""),"")</f>
        <v/>
      </c>
      <c r="R774" s="250" t="str">
        <f>IFERROR(__xludf.DUMMYFUNCTION("""COMPUTED_VALUE"""),"")</f>
        <v/>
      </c>
      <c r="U774" s="250">
        <f>IFERROR(__xludf.DUMMYFUNCTION("""COMPUTED_VALUE"""),4909.0)</f>
        <v>4909</v>
      </c>
      <c r="V774" s="250">
        <f>IFERROR(__xludf.DUMMYFUNCTION("""COMPUTED_VALUE"""),4669.0)</f>
        <v>4669</v>
      </c>
      <c r="W774" s="250">
        <f>IFERROR(__xludf.DUMMYFUNCTION("""COMPUTED_VALUE"""),4189.0)</f>
        <v>4189</v>
      </c>
      <c r="X774" t="b">
        <f t="shared" ref="X774:Z774" si="1524">ISBLANK(K774)</f>
        <v>1</v>
      </c>
      <c r="Y774" t="b">
        <f t="shared" si="1524"/>
        <v>0</v>
      </c>
      <c r="Z774" t="b">
        <f t="shared" si="1524"/>
        <v>0</v>
      </c>
      <c r="AA774">
        <f t="shared" ref="AA774:AC774" si="1525">IF(X774=FALSE,1,0)</f>
        <v>0</v>
      </c>
      <c r="AB774">
        <f t="shared" si="1525"/>
        <v>1</v>
      </c>
      <c r="AC774">
        <f t="shared" si="1525"/>
        <v>1</v>
      </c>
      <c r="AD774">
        <f t="shared" si="6"/>
        <v>2</v>
      </c>
      <c r="AE774">
        <f t="shared" si="7"/>
        <v>1</v>
      </c>
      <c r="AF774">
        <f>if(iferror(vlookup($A774,'Description Database'!$E$2:$H$951,3,0),0)=TRUE,1,0)</f>
        <v>0</v>
      </c>
      <c r="AG774">
        <f>if(iferror(vlookup($A774,'Description Database'!$E$2:$H$951,4,0),0)=TRUE,1,0)</f>
        <v>0</v>
      </c>
    </row>
    <row r="775">
      <c r="A775" t="str">
        <f>IFERROR(__xludf.DUMMYFUNCTION("""COMPUTED_VALUE"""),"Realme 3 PRO(6 GB/64GB)")</f>
        <v>Realme 3 PRO(6 GB/64GB)</v>
      </c>
      <c r="B775" t="str">
        <f>IFERROR(__xludf.DUMMYFUNCTION("""COMPUTED_VALUE"""),"")</f>
        <v/>
      </c>
      <c r="C775" t="str">
        <f>IFERROR(__xludf.DUMMYFUNCTION("""COMPUTED_VALUE"""),"")</f>
        <v/>
      </c>
      <c r="D775" t="str">
        <f>IFERROR(__xludf.DUMMYFUNCTION("""COMPUTED_VALUE"""),"")</f>
        <v/>
      </c>
      <c r="E775" t="str">
        <f>IFERROR(__xludf.DUMMYFUNCTION("""COMPUTED_VALUE"""),"")</f>
        <v/>
      </c>
      <c r="F775" t="str">
        <f>IFERROR(__xludf.DUMMYFUNCTION("""COMPUTED_VALUE"""),"")</f>
        <v/>
      </c>
      <c r="G775" t="str">
        <f>IFERROR(__xludf.DUMMYFUNCTION("""COMPUTED_VALUE"""),"")</f>
        <v/>
      </c>
      <c r="H775" t="str">
        <f>IFERROR(__xludf.DUMMYFUNCTION("""COMPUTED_VALUE"""),"")</f>
        <v/>
      </c>
      <c r="I775" t="str">
        <f>IFERROR(__xludf.DUMMYFUNCTION("""COMPUTED_VALUE"""),"")</f>
        <v/>
      </c>
      <c r="J775">
        <f>IFERROR(__xludf.DUMMYFUNCTION("""COMPUTED_VALUE"""),0.0)</f>
        <v>0</v>
      </c>
      <c r="L775" s="250" t="str">
        <f>IFERROR(__xludf.DUMMYFUNCTION("""COMPUTED_VALUE"""),"")</f>
        <v/>
      </c>
      <c r="M775" s="250" t="str">
        <f>IFERROR(__xludf.DUMMYFUNCTION("""COMPUTED_VALUE"""),"")</f>
        <v/>
      </c>
      <c r="N775" s="250" t="str">
        <f>IFERROR(__xludf.DUMMYFUNCTION("""COMPUTED_VALUE"""),"")</f>
        <v/>
      </c>
      <c r="O775" s="250" t="str">
        <f>IFERROR(__xludf.DUMMYFUNCTION("""COMPUTED_VALUE"""),"")</f>
        <v/>
      </c>
      <c r="P775" s="250" t="str">
        <f>IFERROR(__xludf.DUMMYFUNCTION("""COMPUTED_VALUE"""),"")</f>
        <v/>
      </c>
      <c r="Q775" s="250" t="str">
        <f>IFERROR(__xludf.DUMMYFUNCTION("""COMPUTED_VALUE"""),"")</f>
        <v/>
      </c>
      <c r="R775" s="250" t="str">
        <f>IFERROR(__xludf.DUMMYFUNCTION("""COMPUTED_VALUE"""),"")</f>
        <v/>
      </c>
      <c r="U775" s="250" t="str">
        <f>IFERROR(__xludf.DUMMYFUNCTION("""COMPUTED_VALUE"""),"#N/A")</f>
        <v>#N/A</v>
      </c>
      <c r="V775" s="250" t="str">
        <f>IFERROR(__xludf.DUMMYFUNCTION("""COMPUTED_VALUE"""),"#N/A")</f>
        <v>#N/A</v>
      </c>
      <c r="W775" s="250" t="str">
        <f>IFERROR(__xludf.DUMMYFUNCTION("""COMPUTED_VALUE"""),"#N/A")</f>
        <v>#N/A</v>
      </c>
      <c r="X775" t="b">
        <f t="shared" ref="X775:Z775" si="1526">ISBLANK(K775)</f>
        <v>1</v>
      </c>
      <c r="Y775" t="b">
        <f t="shared" si="1526"/>
        <v>0</v>
      </c>
      <c r="Z775" t="b">
        <f t="shared" si="1526"/>
        <v>0</v>
      </c>
      <c r="AA775">
        <f t="shared" ref="AA775:AC775" si="1527">IF(X775=FALSE,1,0)</f>
        <v>0</v>
      </c>
      <c r="AB775">
        <f t="shared" si="1527"/>
        <v>1</v>
      </c>
      <c r="AC775">
        <f t="shared" si="1527"/>
        <v>1</v>
      </c>
      <c r="AD775">
        <f t="shared" si="6"/>
        <v>2</v>
      </c>
      <c r="AE775">
        <f t="shared" si="7"/>
        <v>1</v>
      </c>
      <c r="AF775">
        <f>if(iferror(vlookup($A775,'Description Database'!$E$2:$H$951,3,0),0)=TRUE,1,0)</f>
        <v>0</v>
      </c>
      <c r="AG775">
        <f>if(iferror(vlookup($A775,'Description Database'!$E$2:$H$951,4,0),0)=TRUE,1,0)</f>
        <v>0</v>
      </c>
    </row>
    <row r="776">
      <c r="A776" t="str">
        <f>IFERROR(__xludf.DUMMYFUNCTION("""COMPUTED_VALUE"""),"Vivo Y93(4 GB/32GB)")</f>
        <v>Vivo Y93(4 GB/32GB)</v>
      </c>
      <c r="B776" t="str">
        <f>IFERROR(__xludf.DUMMYFUNCTION("""COMPUTED_VALUE"""),"")</f>
        <v/>
      </c>
      <c r="C776" t="str">
        <f>IFERROR(__xludf.DUMMYFUNCTION("""COMPUTED_VALUE"""),"")</f>
        <v/>
      </c>
      <c r="D776" t="str">
        <f>IFERROR(__xludf.DUMMYFUNCTION("""COMPUTED_VALUE"""),"")</f>
        <v/>
      </c>
      <c r="E776" t="str">
        <f>IFERROR(__xludf.DUMMYFUNCTION("""COMPUTED_VALUE"""),"")</f>
        <v/>
      </c>
      <c r="F776" t="str">
        <f>IFERROR(__xludf.DUMMYFUNCTION("""COMPUTED_VALUE"""),"")</f>
        <v/>
      </c>
      <c r="G776" t="str">
        <f>IFERROR(__xludf.DUMMYFUNCTION("""COMPUTED_VALUE"""),"")</f>
        <v/>
      </c>
      <c r="H776" t="str">
        <f>IFERROR(__xludf.DUMMYFUNCTION("""COMPUTED_VALUE"""),"")</f>
        <v/>
      </c>
      <c r="I776">
        <f>IFERROR(__xludf.DUMMYFUNCTION("""COMPUTED_VALUE"""),3.0)</f>
        <v>3</v>
      </c>
      <c r="J776">
        <f>IFERROR(__xludf.DUMMYFUNCTION("""COMPUTED_VALUE"""),3.0)</f>
        <v>3</v>
      </c>
      <c r="L776" s="250" t="str">
        <f>IFERROR(__xludf.DUMMYFUNCTION("""COMPUTED_VALUE"""),"")</f>
        <v/>
      </c>
      <c r="M776" s="250" t="str">
        <f>IFERROR(__xludf.DUMMYFUNCTION("""COMPUTED_VALUE"""),"")</f>
        <v/>
      </c>
      <c r="N776" s="250" t="str">
        <f>IFERROR(__xludf.DUMMYFUNCTION("""COMPUTED_VALUE"""),"")</f>
        <v/>
      </c>
      <c r="O776" s="250" t="str">
        <f>IFERROR(__xludf.DUMMYFUNCTION("""COMPUTED_VALUE"""),"")</f>
        <v/>
      </c>
      <c r="P776" s="250" t="str">
        <f>IFERROR(__xludf.DUMMYFUNCTION("""COMPUTED_VALUE"""),"")</f>
        <v/>
      </c>
      <c r="Q776" s="250" t="str">
        <f>IFERROR(__xludf.DUMMYFUNCTION("""COMPUTED_VALUE"""),"")</f>
        <v/>
      </c>
      <c r="R776" s="250" t="str">
        <f>IFERROR(__xludf.DUMMYFUNCTION("""COMPUTED_VALUE"""),"")</f>
        <v/>
      </c>
      <c r="U776" s="250" t="str">
        <f>IFERROR(__xludf.DUMMYFUNCTION("""COMPUTED_VALUE"""),"#N/A")</f>
        <v>#N/A</v>
      </c>
      <c r="V776" s="250" t="str">
        <f>IFERROR(__xludf.DUMMYFUNCTION("""COMPUTED_VALUE"""),"#N/A")</f>
        <v>#N/A</v>
      </c>
      <c r="W776" s="250" t="str">
        <f>IFERROR(__xludf.DUMMYFUNCTION("""COMPUTED_VALUE"""),"#N/A")</f>
        <v>#N/A</v>
      </c>
      <c r="X776" t="b">
        <f t="shared" ref="X776:Z776" si="1528">ISBLANK(K776)</f>
        <v>1</v>
      </c>
      <c r="Y776" t="b">
        <f t="shared" si="1528"/>
        <v>0</v>
      </c>
      <c r="Z776" t="b">
        <f t="shared" si="1528"/>
        <v>0</v>
      </c>
      <c r="AA776">
        <f t="shared" ref="AA776:AC776" si="1529">IF(X776=FALSE,1,0)</f>
        <v>0</v>
      </c>
      <c r="AB776">
        <f t="shared" si="1529"/>
        <v>1</v>
      </c>
      <c r="AC776">
        <f t="shared" si="1529"/>
        <v>1</v>
      </c>
      <c r="AD776">
        <f t="shared" si="6"/>
        <v>2</v>
      </c>
      <c r="AE776">
        <f t="shared" si="7"/>
        <v>1</v>
      </c>
      <c r="AF776">
        <f>if(iferror(vlookup($A776,'Description Database'!$E$2:$H$951,3,0),0)=TRUE,1,0)</f>
        <v>0</v>
      </c>
      <c r="AG776">
        <f>if(iferror(vlookup($A776,'Description Database'!$E$2:$H$951,4,0),0)=TRUE,1,0)</f>
        <v>0</v>
      </c>
    </row>
    <row r="777">
      <c r="A777" t="str">
        <f>IFERROR(__xludf.DUMMYFUNCTION("""COMPUTED_VALUE"""),"Asus Zenfone 3 Max ZC520TL (3 GB/32 GB)")</f>
        <v>Asus Zenfone 3 Max ZC520TL (3 GB/32 GB)</v>
      </c>
      <c r="B777" t="str">
        <f>IFERROR(__xludf.DUMMYFUNCTION("""COMPUTED_VALUE"""),"")</f>
        <v/>
      </c>
      <c r="C777" t="str">
        <f>IFERROR(__xludf.DUMMYFUNCTION("""COMPUTED_VALUE"""),"")</f>
        <v/>
      </c>
      <c r="D777" t="str">
        <f>IFERROR(__xludf.DUMMYFUNCTION("""COMPUTED_VALUE"""),"")</f>
        <v/>
      </c>
      <c r="E777" t="str">
        <f>IFERROR(__xludf.DUMMYFUNCTION("""COMPUTED_VALUE"""),"")</f>
        <v/>
      </c>
      <c r="F777" t="str">
        <f>IFERROR(__xludf.DUMMYFUNCTION("""COMPUTED_VALUE"""),"")</f>
        <v/>
      </c>
      <c r="G777" t="str">
        <f>IFERROR(__xludf.DUMMYFUNCTION("""COMPUTED_VALUE"""),"")</f>
        <v/>
      </c>
      <c r="H777" t="str">
        <f>IFERROR(__xludf.DUMMYFUNCTION("""COMPUTED_VALUE"""),"")</f>
        <v/>
      </c>
      <c r="I777">
        <f>IFERROR(__xludf.DUMMYFUNCTION("""COMPUTED_VALUE"""),4.0)</f>
        <v>4</v>
      </c>
      <c r="J777">
        <f>IFERROR(__xludf.DUMMYFUNCTION("""COMPUTED_VALUE"""),4.0)</f>
        <v>4</v>
      </c>
      <c r="L777" s="250" t="str">
        <f>IFERROR(__xludf.DUMMYFUNCTION("""COMPUTED_VALUE"""),"")</f>
        <v/>
      </c>
      <c r="M777" s="250" t="str">
        <f>IFERROR(__xludf.DUMMYFUNCTION("""COMPUTED_VALUE"""),"")</f>
        <v/>
      </c>
      <c r="N777" s="250" t="str">
        <f>IFERROR(__xludf.DUMMYFUNCTION("""COMPUTED_VALUE"""),"")</f>
        <v/>
      </c>
      <c r="O777" s="250" t="str">
        <f>IFERROR(__xludf.DUMMYFUNCTION("""COMPUTED_VALUE"""),"")</f>
        <v/>
      </c>
      <c r="P777" s="250" t="str">
        <f>IFERROR(__xludf.DUMMYFUNCTION("""COMPUTED_VALUE"""),"")</f>
        <v/>
      </c>
      <c r="Q777" s="250" t="str">
        <f>IFERROR(__xludf.DUMMYFUNCTION("""COMPUTED_VALUE"""),"")</f>
        <v/>
      </c>
      <c r="R777" s="250" t="str">
        <f>IFERROR(__xludf.DUMMYFUNCTION("""COMPUTED_VALUE"""),"")</f>
        <v/>
      </c>
      <c r="U777" s="250">
        <f>IFERROR(__xludf.DUMMYFUNCTION("""COMPUTED_VALUE"""),3829.0)</f>
        <v>3829</v>
      </c>
      <c r="V777" s="250">
        <f>IFERROR(__xludf.DUMMYFUNCTION("""COMPUTED_VALUE"""),3639.0)</f>
        <v>3639</v>
      </c>
      <c r="W777" s="250">
        <f>IFERROR(__xludf.DUMMYFUNCTION("""COMPUTED_VALUE"""),3269.0)</f>
        <v>3269</v>
      </c>
      <c r="X777" t="b">
        <f t="shared" ref="X777:Z777" si="1530">ISBLANK(K777)</f>
        <v>1</v>
      </c>
      <c r="Y777" t="b">
        <f t="shared" si="1530"/>
        <v>0</v>
      </c>
      <c r="Z777" t="b">
        <f t="shared" si="1530"/>
        <v>0</v>
      </c>
      <c r="AA777">
        <f t="shared" ref="AA777:AC777" si="1531">IF(X777=FALSE,1,0)</f>
        <v>0</v>
      </c>
      <c r="AB777">
        <f t="shared" si="1531"/>
        <v>1</v>
      </c>
      <c r="AC777">
        <f t="shared" si="1531"/>
        <v>1</v>
      </c>
      <c r="AD777">
        <f t="shared" si="6"/>
        <v>2</v>
      </c>
      <c r="AE777">
        <f t="shared" si="7"/>
        <v>1</v>
      </c>
      <c r="AF777">
        <f>if(iferror(vlookup($A777,'Description Database'!$E$2:$H$951,3,0),0)=TRUE,1,0)</f>
        <v>0</v>
      </c>
      <c r="AG777">
        <f>if(iferror(vlookup($A777,'Description Database'!$E$2:$H$951,4,0),0)=TRUE,1,0)</f>
        <v>0</v>
      </c>
    </row>
    <row r="778">
      <c r="A778" t="str">
        <f>IFERROR(__xludf.DUMMYFUNCTION("""COMPUTED_VALUE"""),"Samsung GALAXY GRAND MAX(1 GB/16GB)")</f>
        <v>Samsung GALAXY GRAND MAX(1 GB/16GB)</v>
      </c>
      <c r="B778" t="str">
        <f>IFERROR(__xludf.DUMMYFUNCTION("""COMPUTED_VALUE"""),"")</f>
        <v/>
      </c>
      <c r="C778" t="str">
        <f>IFERROR(__xludf.DUMMYFUNCTION("""COMPUTED_VALUE"""),"")</f>
        <v/>
      </c>
      <c r="D778" t="str">
        <f>IFERROR(__xludf.DUMMYFUNCTION("""COMPUTED_VALUE"""),"")</f>
        <v/>
      </c>
      <c r="E778" t="str">
        <f>IFERROR(__xludf.DUMMYFUNCTION("""COMPUTED_VALUE"""),"")</f>
        <v/>
      </c>
      <c r="F778" t="str">
        <f>IFERROR(__xludf.DUMMYFUNCTION("""COMPUTED_VALUE"""),"")</f>
        <v/>
      </c>
      <c r="G778" t="str">
        <f>IFERROR(__xludf.DUMMYFUNCTION("""COMPUTED_VALUE"""),"")</f>
        <v/>
      </c>
      <c r="H778" t="str">
        <f>IFERROR(__xludf.DUMMYFUNCTION("""COMPUTED_VALUE"""),"")</f>
        <v/>
      </c>
      <c r="I778" t="str">
        <f>IFERROR(__xludf.DUMMYFUNCTION("""COMPUTED_VALUE"""),"")</f>
        <v/>
      </c>
      <c r="J778">
        <f>IFERROR(__xludf.DUMMYFUNCTION("""COMPUTED_VALUE"""),0.0)</f>
        <v>0</v>
      </c>
      <c r="L778" s="250" t="str">
        <f>IFERROR(__xludf.DUMMYFUNCTION("""COMPUTED_VALUE"""),"")</f>
        <v/>
      </c>
      <c r="M778" s="250" t="str">
        <f>IFERROR(__xludf.DUMMYFUNCTION("""COMPUTED_VALUE"""),"")</f>
        <v/>
      </c>
      <c r="N778" s="250" t="str">
        <f>IFERROR(__xludf.DUMMYFUNCTION("""COMPUTED_VALUE"""),"")</f>
        <v/>
      </c>
      <c r="O778" s="250" t="str">
        <f>IFERROR(__xludf.DUMMYFUNCTION("""COMPUTED_VALUE"""),"")</f>
        <v/>
      </c>
      <c r="P778" s="250" t="str">
        <f>IFERROR(__xludf.DUMMYFUNCTION("""COMPUTED_VALUE"""),"")</f>
        <v/>
      </c>
      <c r="Q778" s="250" t="str">
        <f>IFERROR(__xludf.DUMMYFUNCTION("""COMPUTED_VALUE"""),"")</f>
        <v/>
      </c>
      <c r="R778" s="250" t="str">
        <f>IFERROR(__xludf.DUMMYFUNCTION("""COMPUTED_VALUE"""),"")</f>
        <v/>
      </c>
      <c r="U778" s="250" t="str">
        <f>IFERROR(__xludf.DUMMYFUNCTION("""COMPUTED_VALUE"""),"#N/A")</f>
        <v>#N/A</v>
      </c>
      <c r="V778" s="250" t="str">
        <f>IFERROR(__xludf.DUMMYFUNCTION("""COMPUTED_VALUE"""),"#N/A")</f>
        <v>#N/A</v>
      </c>
      <c r="W778" s="250" t="str">
        <f>IFERROR(__xludf.DUMMYFUNCTION("""COMPUTED_VALUE"""),"#N/A")</f>
        <v>#N/A</v>
      </c>
      <c r="X778" t="b">
        <f t="shared" ref="X778:Z778" si="1532">ISBLANK(K778)</f>
        <v>1</v>
      </c>
      <c r="Y778" t="b">
        <f t="shared" si="1532"/>
        <v>0</v>
      </c>
      <c r="Z778" t="b">
        <f t="shared" si="1532"/>
        <v>0</v>
      </c>
      <c r="AA778">
        <f t="shared" ref="AA778:AC778" si="1533">IF(X778=FALSE,1,0)</f>
        <v>0</v>
      </c>
      <c r="AB778">
        <f t="shared" si="1533"/>
        <v>1</v>
      </c>
      <c r="AC778">
        <f t="shared" si="1533"/>
        <v>1</v>
      </c>
      <c r="AD778">
        <f t="shared" si="6"/>
        <v>2</v>
      </c>
      <c r="AE778">
        <f t="shared" si="7"/>
        <v>1</v>
      </c>
      <c r="AF778">
        <f>if(iferror(vlookup($A778,'Description Database'!$E$2:$H$951,3,0),0)=TRUE,1,0)</f>
        <v>0</v>
      </c>
      <c r="AG778">
        <f>if(iferror(vlookup($A778,'Description Database'!$E$2:$H$951,4,0),0)=TRUE,1,0)</f>
        <v>0</v>
      </c>
    </row>
    <row r="779">
      <c r="A779" t="str">
        <f>IFERROR(__xludf.DUMMYFUNCTION("""COMPUTED_VALUE"""),"Xiaomi REDMI 7(2 GB/16GB)")</f>
        <v>Xiaomi REDMI 7(2 GB/16GB)</v>
      </c>
      <c r="B779" t="str">
        <f>IFERROR(__xludf.DUMMYFUNCTION("""COMPUTED_VALUE"""),"")</f>
        <v/>
      </c>
      <c r="C779" t="str">
        <f>IFERROR(__xludf.DUMMYFUNCTION("""COMPUTED_VALUE"""),"")</f>
        <v/>
      </c>
      <c r="D779" t="str">
        <f>IFERROR(__xludf.DUMMYFUNCTION("""COMPUTED_VALUE"""),"")</f>
        <v/>
      </c>
      <c r="E779" t="str">
        <f>IFERROR(__xludf.DUMMYFUNCTION("""COMPUTED_VALUE"""),"")</f>
        <v/>
      </c>
      <c r="F779" t="str">
        <f>IFERROR(__xludf.DUMMYFUNCTION("""COMPUTED_VALUE"""),"")</f>
        <v/>
      </c>
      <c r="G779" t="str">
        <f>IFERROR(__xludf.DUMMYFUNCTION("""COMPUTED_VALUE"""),"")</f>
        <v/>
      </c>
      <c r="H779" t="str">
        <f>IFERROR(__xludf.DUMMYFUNCTION("""COMPUTED_VALUE"""),"")</f>
        <v/>
      </c>
      <c r="I779" t="str">
        <f>IFERROR(__xludf.DUMMYFUNCTION("""COMPUTED_VALUE"""),"")</f>
        <v/>
      </c>
      <c r="J779">
        <f>IFERROR(__xludf.DUMMYFUNCTION("""COMPUTED_VALUE"""),0.0)</f>
        <v>0</v>
      </c>
      <c r="L779" s="250" t="str">
        <f>IFERROR(__xludf.DUMMYFUNCTION("""COMPUTED_VALUE"""),"")</f>
        <v/>
      </c>
      <c r="M779" s="250" t="str">
        <f>IFERROR(__xludf.DUMMYFUNCTION("""COMPUTED_VALUE"""),"")</f>
        <v/>
      </c>
      <c r="N779" s="250" t="str">
        <f>IFERROR(__xludf.DUMMYFUNCTION("""COMPUTED_VALUE"""),"")</f>
        <v/>
      </c>
      <c r="O779" s="250" t="str">
        <f>IFERROR(__xludf.DUMMYFUNCTION("""COMPUTED_VALUE"""),"")</f>
        <v/>
      </c>
      <c r="P779" s="250" t="str">
        <f>IFERROR(__xludf.DUMMYFUNCTION("""COMPUTED_VALUE"""),"")</f>
        <v/>
      </c>
      <c r="Q779" s="250" t="str">
        <f>IFERROR(__xludf.DUMMYFUNCTION("""COMPUTED_VALUE"""),"")</f>
        <v/>
      </c>
      <c r="R779" s="250" t="str">
        <f>IFERROR(__xludf.DUMMYFUNCTION("""COMPUTED_VALUE"""),"")</f>
        <v/>
      </c>
      <c r="U779" s="250" t="str">
        <f>IFERROR(__xludf.DUMMYFUNCTION("""COMPUTED_VALUE"""),"#N/A")</f>
        <v>#N/A</v>
      </c>
      <c r="V779" s="250" t="str">
        <f>IFERROR(__xludf.DUMMYFUNCTION("""COMPUTED_VALUE"""),"#N/A")</f>
        <v>#N/A</v>
      </c>
      <c r="W779" s="250" t="str">
        <f>IFERROR(__xludf.DUMMYFUNCTION("""COMPUTED_VALUE"""),"#N/A")</f>
        <v>#N/A</v>
      </c>
      <c r="X779" t="b">
        <f t="shared" ref="X779:Z779" si="1534">ISBLANK(K779)</f>
        <v>1</v>
      </c>
      <c r="Y779" t="b">
        <f t="shared" si="1534"/>
        <v>0</v>
      </c>
      <c r="Z779" t="b">
        <f t="shared" si="1534"/>
        <v>0</v>
      </c>
      <c r="AA779">
        <f t="shared" ref="AA779:AC779" si="1535">IF(X779=FALSE,1,0)</f>
        <v>0</v>
      </c>
      <c r="AB779">
        <f t="shared" si="1535"/>
        <v>1</v>
      </c>
      <c r="AC779">
        <f t="shared" si="1535"/>
        <v>1</v>
      </c>
      <c r="AD779">
        <f t="shared" si="6"/>
        <v>2</v>
      </c>
      <c r="AE779">
        <f t="shared" si="7"/>
        <v>1</v>
      </c>
      <c r="AF779">
        <f>if(iferror(vlookup($A779,'Description Database'!$E$2:$H$951,3,0),0)=TRUE,1,0)</f>
        <v>0</v>
      </c>
      <c r="AG779">
        <f>if(iferror(vlookup($A779,'Description Database'!$E$2:$H$951,4,0),0)=TRUE,1,0)</f>
        <v>0</v>
      </c>
    </row>
    <row r="780">
      <c r="A780" t="str">
        <f>IFERROR(__xludf.DUMMYFUNCTION("""COMPUTED_VALUE"""),"Sony Xperia E(1 GB/8GB)")</f>
        <v>Sony Xperia E(1 GB/8GB)</v>
      </c>
      <c r="B780" t="str">
        <f>IFERROR(__xludf.DUMMYFUNCTION("""COMPUTED_VALUE"""),"")</f>
        <v/>
      </c>
      <c r="C780" t="str">
        <f>IFERROR(__xludf.DUMMYFUNCTION("""COMPUTED_VALUE"""),"")</f>
        <v/>
      </c>
      <c r="D780" t="str">
        <f>IFERROR(__xludf.DUMMYFUNCTION("""COMPUTED_VALUE"""),"")</f>
        <v/>
      </c>
      <c r="E780" t="str">
        <f>IFERROR(__xludf.DUMMYFUNCTION("""COMPUTED_VALUE"""),"")</f>
        <v/>
      </c>
      <c r="F780" t="str">
        <f>IFERROR(__xludf.DUMMYFUNCTION("""COMPUTED_VALUE"""),"")</f>
        <v/>
      </c>
      <c r="G780" t="str">
        <f>IFERROR(__xludf.DUMMYFUNCTION("""COMPUTED_VALUE"""),"")</f>
        <v/>
      </c>
      <c r="H780" t="str">
        <f>IFERROR(__xludf.DUMMYFUNCTION("""COMPUTED_VALUE"""),"")</f>
        <v/>
      </c>
      <c r="I780" t="str">
        <f>IFERROR(__xludf.DUMMYFUNCTION("""COMPUTED_VALUE"""),"")</f>
        <v/>
      </c>
      <c r="J780">
        <f>IFERROR(__xludf.DUMMYFUNCTION("""COMPUTED_VALUE"""),0.0)</f>
        <v>0</v>
      </c>
      <c r="L780" s="250" t="str">
        <f>IFERROR(__xludf.DUMMYFUNCTION("""COMPUTED_VALUE"""),"")</f>
        <v/>
      </c>
      <c r="M780" s="250" t="str">
        <f>IFERROR(__xludf.DUMMYFUNCTION("""COMPUTED_VALUE"""),"")</f>
        <v/>
      </c>
      <c r="N780" s="250" t="str">
        <f>IFERROR(__xludf.DUMMYFUNCTION("""COMPUTED_VALUE"""),"")</f>
        <v/>
      </c>
      <c r="O780" s="250" t="str">
        <f>IFERROR(__xludf.DUMMYFUNCTION("""COMPUTED_VALUE"""),"")</f>
        <v/>
      </c>
      <c r="P780" s="250" t="str">
        <f>IFERROR(__xludf.DUMMYFUNCTION("""COMPUTED_VALUE"""),"")</f>
        <v/>
      </c>
      <c r="Q780" s="250" t="str">
        <f>IFERROR(__xludf.DUMMYFUNCTION("""COMPUTED_VALUE"""),"")</f>
        <v/>
      </c>
      <c r="R780" s="250" t="str">
        <f>IFERROR(__xludf.DUMMYFUNCTION("""COMPUTED_VALUE"""),"")</f>
        <v/>
      </c>
      <c r="U780" s="250" t="str">
        <f>IFERROR(__xludf.DUMMYFUNCTION("""COMPUTED_VALUE"""),"#N/A")</f>
        <v>#N/A</v>
      </c>
      <c r="V780" s="250" t="str">
        <f>IFERROR(__xludf.DUMMYFUNCTION("""COMPUTED_VALUE"""),"#N/A")</f>
        <v>#N/A</v>
      </c>
      <c r="W780" s="250" t="str">
        <f>IFERROR(__xludf.DUMMYFUNCTION("""COMPUTED_VALUE"""),"#N/A")</f>
        <v>#N/A</v>
      </c>
      <c r="X780" t="b">
        <f t="shared" ref="X780:Z780" si="1536">ISBLANK(K780)</f>
        <v>1</v>
      </c>
      <c r="Y780" t="b">
        <f t="shared" si="1536"/>
        <v>0</v>
      </c>
      <c r="Z780" t="b">
        <f t="shared" si="1536"/>
        <v>0</v>
      </c>
      <c r="AA780">
        <f t="shared" ref="AA780:AC780" si="1537">IF(X780=FALSE,1,0)</f>
        <v>0</v>
      </c>
      <c r="AB780">
        <f t="shared" si="1537"/>
        <v>1</v>
      </c>
      <c r="AC780">
        <f t="shared" si="1537"/>
        <v>1</v>
      </c>
      <c r="AD780">
        <f t="shared" si="6"/>
        <v>2</v>
      </c>
      <c r="AE780">
        <f t="shared" si="7"/>
        <v>1</v>
      </c>
      <c r="AF780">
        <f>if(iferror(vlookup($A780,'Description Database'!$E$2:$H$951,3,0),0)=TRUE,1,0)</f>
        <v>0</v>
      </c>
      <c r="AG780">
        <f>if(iferror(vlookup($A780,'Description Database'!$E$2:$H$951,4,0),0)=TRUE,1,0)</f>
        <v>0</v>
      </c>
    </row>
    <row r="781">
      <c r="A781" t="str">
        <f>IFERROR(__xludf.DUMMYFUNCTION("""COMPUTED_VALUE"""),"GIONEE P5L(1 GB/8GB)")</f>
        <v>GIONEE P5L(1 GB/8GB)</v>
      </c>
      <c r="B781" t="str">
        <f>IFERROR(__xludf.DUMMYFUNCTION("""COMPUTED_VALUE"""),"")</f>
        <v/>
      </c>
      <c r="C781" t="str">
        <f>IFERROR(__xludf.DUMMYFUNCTION("""COMPUTED_VALUE"""),"")</f>
        <v/>
      </c>
      <c r="D781" t="str">
        <f>IFERROR(__xludf.DUMMYFUNCTION("""COMPUTED_VALUE"""),"")</f>
        <v/>
      </c>
      <c r="E781" t="str">
        <f>IFERROR(__xludf.DUMMYFUNCTION("""COMPUTED_VALUE"""),"")</f>
        <v/>
      </c>
      <c r="F781" t="str">
        <f>IFERROR(__xludf.DUMMYFUNCTION("""COMPUTED_VALUE"""),"")</f>
        <v/>
      </c>
      <c r="G781" t="str">
        <f>IFERROR(__xludf.DUMMYFUNCTION("""COMPUTED_VALUE"""),"")</f>
        <v/>
      </c>
      <c r="H781" t="str">
        <f>IFERROR(__xludf.DUMMYFUNCTION("""COMPUTED_VALUE"""),"")</f>
        <v/>
      </c>
      <c r="I781">
        <f>IFERROR(__xludf.DUMMYFUNCTION("""COMPUTED_VALUE"""),1.0)</f>
        <v>1</v>
      </c>
      <c r="J781">
        <f>IFERROR(__xludf.DUMMYFUNCTION("""COMPUTED_VALUE"""),1.0)</f>
        <v>1</v>
      </c>
      <c r="L781" s="250" t="str">
        <f>IFERROR(__xludf.DUMMYFUNCTION("""COMPUTED_VALUE"""),"")</f>
        <v/>
      </c>
      <c r="M781" s="250" t="str">
        <f>IFERROR(__xludf.DUMMYFUNCTION("""COMPUTED_VALUE"""),"")</f>
        <v/>
      </c>
      <c r="N781" s="250" t="str">
        <f>IFERROR(__xludf.DUMMYFUNCTION("""COMPUTED_VALUE"""),"")</f>
        <v/>
      </c>
      <c r="O781" s="250" t="str">
        <f>IFERROR(__xludf.DUMMYFUNCTION("""COMPUTED_VALUE"""),"")</f>
        <v/>
      </c>
      <c r="P781" s="250" t="str">
        <f>IFERROR(__xludf.DUMMYFUNCTION("""COMPUTED_VALUE"""),"")</f>
        <v/>
      </c>
      <c r="Q781" s="250" t="str">
        <f>IFERROR(__xludf.DUMMYFUNCTION("""COMPUTED_VALUE"""),"")</f>
        <v/>
      </c>
      <c r="R781" s="250" t="str">
        <f>IFERROR(__xludf.DUMMYFUNCTION("""COMPUTED_VALUE"""),"")</f>
        <v/>
      </c>
      <c r="U781" s="250" t="str">
        <f>IFERROR(__xludf.DUMMYFUNCTION("""COMPUTED_VALUE"""),"#N/A")</f>
        <v>#N/A</v>
      </c>
      <c r="V781" s="250" t="str">
        <f>IFERROR(__xludf.DUMMYFUNCTION("""COMPUTED_VALUE"""),"#N/A")</f>
        <v>#N/A</v>
      </c>
      <c r="W781" s="250" t="str">
        <f>IFERROR(__xludf.DUMMYFUNCTION("""COMPUTED_VALUE"""),"#N/A")</f>
        <v>#N/A</v>
      </c>
      <c r="X781" t="b">
        <f t="shared" ref="X781:Z781" si="1538">ISBLANK(K781)</f>
        <v>1</v>
      </c>
      <c r="Y781" t="b">
        <f t="shared" si="1538"/>
        <v>0</v>
      </c>
      <c r="Z781" t="b">
        <f t="shared" si="1538"/>
        <v>0</v>
      </c>
      <c r="AA781">
        <f t="shared" ref="AA781:AC781" si="1539">IF(X781=FALSE,1,0)</f>
        <v>0</v>
      </c>
      <c r="AB781">
        <f t="shared" si="1539"/>
        <v>1</v>
      </c>
      <c r="AC781">
        <f t="shared" si="1539"/>
        <v>1</v>
      </c>
      <c r="AD781">
        <f t="shared" si="6"/>
        <v>2</v>
      </c>
      <c r="AE781">
        <f t="shared" si="7"/>
        <v>1</v>
      </c>
      <c r="AF781">
        <f>if(iferror(vlookup($A781,'Description Database'!$E$2:$H$951,3,0),0)=TRUE,1,0)</f>
        <v>0</v>
      </c>
      <c r="AG781">
        <f>if(iferror(vlookup($A781,'Description Database'!$E$2:$H$951,4,0),0)=TRUE,1,0)</f>
        <v>0</v>
      </c>
    </row>
    <row r="782">
      <c r="A782" t="str">
        <f>IFERROR(__xludf.DUMMYFUNCTION("""COMPUTED_VALUE"""),"HTC DESIRE 820G PLUS(1 GB/8GB)")</f>
        <v>HTC DESIRE 820G PLUS(1 GB/8GB)</v>
      </c>
      <c r="B782" t="str">
        <f>IFERROR(__xludf.DUMMYFUNCTION("""COMPUTED_VALUE"""),"")</f>
        <v/>
      </c>
      <c r="C782" t="str">
        <f>IFERROR(__xludf.DUMMYFUNCTION("""COMPUTED_VALUE"""),"")</f>
        <v/>
      </c>
      <c r="D782" t="str">
        <f>IFERROR(__xludf.DUMMYFUNCTION("""COMPUTED_VALUE"""),"")</f>
        <v/>
      </c>
      <c r="E782" t="str">
        <f>IFERROR(__xludf.DUMMYFUNCTION("""COMPUTED_VALUE"""),"")</f>
        <v/>
      </c>
      <c r="F782" t="str">
        <f>IFERROR(__xludf.DUMMYFUNCTION("""COMPUTED_VALUE"""),"")</f>
        <v/>
      </c>
      <c r="G782" t="str">
        <f>IFERROR(__xludf.DUMMYFUNCTION("""COMPUTED_VALUE"""),"")</f>
        <v/>
      </c>
      <c r="H782" t="str">
        <f>IFERROR(__xludf.DUMMYFUNCTION("""COMPUTED_VALUE"""),"")</f>
        <v/>
      </c>
      <c r="I782">
        <f>IFERROR(__xludf.DUMMYFUNCTION("""COMPUTED_VALUE"""),1.0)</f>
        <v>1</v>
      </c>
      <c r="J782">
        <f>IFERROR(__xludf.DUMMYFUNCTION("""COMPUTED_VALUE"""),1.0)</f>
        <v>1</v>
      </c>
      <c r="L782" s="250" t="str">
        <f>IFERROR(__xludf.DUMMYFUNCTION("""COMPUTED_VALUE"""),"")</f>
        <v/>
      </c>
      <c r="M782" s="250" t="str">
        <f>IFERROR(__xludf.DUMMYFUNCTION("""COMPUTED_VALUE"""),"")</f>
        <v/>
      </c>
      <c r="N782" s="250" t="str">
        <f>IFERROR(__xludf.DUMMYFUNCTION("""COMPUTED_VALUE"""),"")</f>
        <v/>
      </c>
      <c r="O782" s="250" t="str">
        <f>IFERROR(__xludf.DUMMYFUNCTION("""COMPUTED_VALUE"""),"")</f>
        <v/>
      </c>
      <c r="P782" s="250" t="str">
        <f>IFERROR(__xludf.DUMMYFUNCTION("""COMPUTED_VALUE"""),"")</f>
        <v/>
      </c>
      <c r="Q782" s="250" t="str">
        <f>IFERROR(__xludf.DUMMYFUNCTION("""COMPUTED_VALUE"""),"")</f>
        <v/>
      </c>
      <c r="R782" s="250" t="str">
        <f>IFERROR(__xludf.DUMMYFUNCTION("""COMPUTED_VALUE"""),"")</f>
        <v/>
      </c>
      <c r="U782" s="250" t="str">
        <f>IFERROR(__xludf.DUMMYFUNCTION("""COMPUTED_VALUE"""),"#N/A")</f>
        <v>#N/A</v>
      </c>
      <c r="V782" s="250" t="str">
        <f>IFERROR(__xludf.DUMMYFUNCTION("""COMPUTED_VALUE"""),"#N/A")</f>
        <v>#N/A</v>
      </c>
      <c r="W782" s="250" t="str">
        <f>IFERROR(__xludf.DUMMYFUNCTION("""COMPUTED_VALUE"""),"#N/A")</f>
        <v>#N/A</v>
      </c>
      <c r="X782" t="b">
        <f t="shared" ref="X782:Z782" si="1540">ISBLANK(K782)</f>
        <v>1</v>
      </c>
      <c r="Y782" t="b">
        <f t="shared" si="1540"/>
        <v>0</v>
      </c>
      <c r="Z782" t="b">
        <f t="shared" si="1540"/>
        <v>0</v>
      </c>
      <c r="AA782">
        <f t="shared" ref="AA782:AC782" si="1541">IF(X782=FALSE,1,0)</f>
        <v>0</v>
      </c>
      <c r="AB782">
        <f t="shared" si="1541"/>
        <v>1</v>
      </c>
      <c r="AC782">
        <f t="shared" si="1541"/>
        <v>1</v>
      </c>
      <c r="AD782">
        <f t="shared" si="6"/>
        <v>2</v>
      </c>
      <c r="AE782">
        <f t="shared" si="7"/>
        <v>1</v>
      </c>
      <c r="AF782">
        <f>if(iferror(vlookup($A782,'Description Database'!$E$2:$H$951,3,0),0)=TRUE,1,0)</f>
        <v>0</v>
      </c>
      <c r="AG782">
        <f>if(iferror(vlookup($A782,'Description Database'!$E$2:$H$951,4,0),0)=TRUE,1,0)</f>
        <v>0</v>
      </c>
    </row>
    <row r="783">
      <c r="A783" t="str">
        <f>IFERROR(__xludf.DUMMYFUNCTION("""COMPUTED_VALUE"""),"HTC DESIRE 828(3 GB/32GB)")</f>
        <v>HTC DESIRE 828(3 GB/32GB)</v>
      </c>
      <c r="B783" t="str">
        <f>IFERROR(__xludf.DUMMYFUNCTION("""COMPUTED_VALUE"""),"")</f>
        <v/>
      </c>
      <c r="C783" t="str">
        <f>IFERROR(__xludf.DUMMYFUNCTION("""COMPUTED_VALUE"""),"")</f>
        <v/>
      </c>
      <c r="D783" t="str">
        <f>IFERROR(__xludf.DUMMYFUNCTION("""COMPUTED_VALUE"""),"")</f>
        <v/>
      </c>
      <c r="E783" t="str">
        <f>IFERROR(__xludf.DUMMYFUNCTION("""COMPUTED_VALUE"""),"")</f>
        <v/>
      </c>
      <c r="F783" t="str">
        <f>IFERROR(__xludf.DUMMYFUNCTION("""COMPUTED_VALUE"""),"")</f>
        <v/>
      </c>
      <c r="G783" t="str">
        <f>IFERROR(__xludf.DUMMYFUNCTION("""COMPUTED_VALUE"""),"")</f>
        <v/>
      </c>
      <c r="H783" t="str">
        <f>IFERROR(__xludf.DUMMYFUNCTION("""COMPUTED_VALUE"""),"")</f>
        <v/>
      </c>
      <c r="I783">
        <f>IFERROR(__xludf.DUMMYFUNCTION("""COMPUTED_VALUE"""),2.0)</f>
        <v>2</v>
      </c>
      <c r="J783">
        <f>IFERROR(__xludf.DUMMYFUNCTION("""COMPUTED_VALUE"""),2.0)</f>
        <v>2</v>
      </c>
      <c r="L783" s="250" t="str">
        <f>IFERROR(__xludf.DUMMYFUNCTION("""COMPUTED_VALUE"""),"")</f>
        <v/>
      </c>
      <c r="M783" s="250" t="str">
        <f>IFERROR(__xludf.DUMMYFUNCTION("""COMPUTED_VALUE"""),"")</f>
        <v/>
      </c>
      <c r="N783" s="250" t="str">
        <f>IFERROR(__xludf.DUMMYFUNCTION("""COMPUTED_VALUE"""),"")</f>
        <v/>
      </c>
      <c r="O783" s="250" t="str">
        <f>IFERROR(__xludf.DUMMYFUNCTION("""COMPUTED_VALUE"""),"")</f>
        <v/>
      </c>
      <c r="P783" s="250" t="str">
        <f>IFERROR(__xludf.DUMMYFUNCTION("""COMPUTED_VALUE"""),"")</f>
        <v/>
      </c>
      <c r="Q783" s="250" t="str">
        <f>IFERROR(__xludf.DUMMYFUNCTION("""COMPUTED_VALUE"""),"")</f>
        <v/>
      </c>
      <c r="R783" s="250" t="str">
        <f>IFERROR(__xludf.DUMMYFUNCTION("""COMPUTED_VALUE"""),"")</f>
        <v/>
      </c>
      <c r="U783" s="250" t="str">
        <f>IFERROR(__xludf.DUMMYFUNCTION("""COMPUTED_VALUE"""),"#N/A")</f>
        <v>#N/A</v>
      </c>
      <c r="V783" s="250" t="str">
        <f>IFERROR(__xludf.DUMMYFUNCTION("""COMPUTED_VALUE"""),"#N/A")</f>
        <v>#N/A</v>
      </c>
      <c r="W783" s="250" t="str">
        <f>IFERROR(__xludf.DUMMYFUNCTION("""COMPUTED_VALUE"""),"#N/A")</f>
        <v>#N/A</v>
      </c>
      <c r="X783" t="b">
        <f t="shared" ref="X783:Z783" si="1542">ISBLANK(K783)</f>
        <v>1</v>
      </c>
      <c r="Y783" t="b">
        <f t="shared" si="1542"/>
        <v>0</v>
      </c>
      <c r="Z783" t="b">
        <f t="shared" si="1542"/>
        <v>0</v>
      </c>
      <c r="AA783">
        <f t="shared" ref="AA783:AC783" si="1543">IF(X783=FALSE,1,0)</f>
        <v>0</v>
      </c>
      <c r="AB783">
        <f t="shared" si="1543"/>
        <v>1</v>
      </c>
      <c r="AC783">
        <f t="shared" si="1543"/>
        <v>1</v>
      </c>
      <c r="AD783">
        <f t="shared" si="6"/>
        <v>2</v>
      </c>
      <c r="AE783">
        <f t="shared" si="7"/>
        <v>1</v>
      </c>
      <c r="AF783">
        <f>if(iferror(vlookup($A783,'Description Database'!$E$2:$H$951,3,0),0)=TRUE,1,0)</f>
        <v>0</v>
      </c>
      <c r="AG783">
        <f>if(iferror(vlookup($A783,'Description Database'!$E$2:$H$951,4,0),0)=TRUE,1,0)</f>
        <v>0</v>
      </c>
    </row>
    <row r="784">
      <c r="A784" t="str">
        <f>IFERROR(__xludf.DUMMYFUNCTION("""COMPUTED_VALUE"""),"Samsung GALAXY A9 PRO (6 GB/128GB)")</f>
        <v>Samsung GALAXY A9 PRO (6 GB/128GB)</v>
      </c>
      <c r="B784" t="str">
        <f>IFERROR(__xludf.DUMMYFUNCTION("""COMPUTED_VALUE"""),"")</f>
        <v/>
      </c>
      <c r="C784" t="str">
        <f>IFERROR(__xludf.DUMMYFUNCTION("""COMPUTED_VALUE"""),"")</f>
        <v/>
      </c>
      <c r="D784" t="str">
        <f>IFERROR(__xludf.DUMMYFUNCTION("""COMPUTED_VALUE"""),"")</f>
        <v/>
      </c>
      <c r="E784" t="str">
        <f>IFERROR(__xludf.DUMMYFUNCTION("""COMPUTED_VALUE"""),"")</f>
        <v/>
      </c>
      <c r="F784" t="str">
        <f>IFERROR(__xludf.DUMMYFUNCTION("""COMPUTED_VALUE"""),"")</f>
        <v/>
      </c>
      <c r="G784" t="str">
        <f>IFERROR(__xludf.DUMMYFUNCTION("""COMPUTED_VALUE"""),"")</f>
        <v/>
      </c>
      <c r="H784" t="str">
        <f>IFERROR(__xludf.DUMMYFUNCTION("""COMPUTED_VALUE"""),"")</f>
        <v/>
      </c>
      <c r="I784" t="str">
        <f>IFERROR(__xludf.DUMMYFUNCTION("""COMPUTED_VALUE"""),"")</f>
        <v/>
      </c>
      <c r="J784">
        <f>IFERROR(__xludf.DUMMYFUNCTION("""COMPUTED_VALUE"""),0.0)</f>
        <v>0</v>
      </c>
      <c r="L784" s="250" t="str">
        <f>IFERROR(__xludf.DUMMYFUNCTION("""COMPUTED_VALUE"""),"")</f>
        <v/>
      </c>
      <c r="M784" s="250" t="str">
        <f>IFERROR(__xludf.DUMMYFUNCTION("""COMPUTED_VALUE"""),"")</f>
        <v/>
      </c>
      <c r="N784" s="250" t="str">
        <f>IFERROR(__xludf.DUMMYFUNCTION("""COMPUTED_VALUE"""),"")</f>
        <v/>
      </c>
      <c r="O784" s="250" t="str">
        <f>IFERROR(__xludf.DUMMYFUNCTION("""COMPUTED_VALUE"""),"")</f>
        <v/>
      </c>
      <c r="P784" s="250" t="str">
        <f>IFERROR(__xludf.DUMMYFUNCTION("""COMPUTED_VALUE"""),"")</f>
        <v/>
      </c>
      <c r="Q784" s="250" t="str">
        <f>IFERROR(__xludf.DUMMYFUNCTION("""COMPUTED_VALUE"""),"")</f>
        <v/>
      </c>
      <c r="R784" s="250" t="str">
        <f>IFERROR(__xludf.DUMMYFUNCTION("""COMPUTED_VALUE"""),"")</f>
        <v/>
      </c>
      <c r="U784" s="250" t="str">
        <f>IFERROR(__xludf.DUMMYFUNCTION("""COMPUTED_VALUE"""),"#N/A")</f>
        <v>#N/A</v>
      </c>
      <c r="V784" s="250" t="str">
        <f>IFERROR(__xludf.DUMMYFUNCTION("""COMPUTED_VALUE"""),"#N/A")</f>
        <v>#N/A</v>
      </c>
      <c r="W784" s="250" t="str">
        <f>IFERROR(__xludf.DUMMYFUNCTION("""COMPUTED_VALUE"""),"#N/A")</f>
        <v>#N/A</v>
      </c>
      <c r="X784" t="b">
        <f t="shared" ref="X784:Z784" si="1544">ISBLANK(K784)</f>
        <v>1</v>
      </c>
      <c r="Y784" t="b">
        <f t="shared" si="1544"/>
        <v>0</v>
      </c>
      <c r="Z784" t="b">
        <f t="shared" si="1544"/>
        <v>0</v>
      </c>
      <c r="AA784">
        <f t="shared" ref="AA784:AC784" si="1545">IF(X784=FALSE,1,0)</f>
        <v>0</v>
      </c>
      <c r="AB784">
        <f t="shared" si="1545"/>
        <v>1</v>
      </c>
      <c r="AC784">
        <f t="shared" si="1545"/>
        <v>1</v>
      </c>
      <c r="AD784">
        <f t="shared" si="6"/>
        <v>2</v>
      </c>
      <c r="AE784">
        <f t="shared" si="7"/>
        <v>1</v>
      </c>
      <c r="AF784">
        <f>if(iferror(vlookup($A784,'Description Database'!$E$2:$H$951,3,0),0)=TRUE,1,0)</f>
        <v>0</v>
      </c>
      <c r="AG784">
        <f>if(iferror(vlookup($A784,'Description Database'!$E$2:$H$951,4,0),0)=TRUE,1,0)</f>
        <v>0</v>
      </c>
    </row>
    <row r="785">
      <c r="A785" t="str">
        <f>IFERROR(__xludf.DUMMYFUNCTION("""COMPUTED_VALUE"""),"MEIZU M5(3 GB/32GB)")</f>
        <v>MEIZU M5(3 GB/32GB)</v>
      </c>
      <c r="B785" t="str">
        <f>IFERROR(__xludf.DUMMYFUNCTION("""COMPUTED_VALUE"""),"")</f>
        <v/>
      </c>
      <c r="C785" t="str">
        <f>IFERROR(__xludf.DUMMYFUNCTION("""COMPUTED_VALUE"""),"")</f>
        <v/>
      </c>
      <c r="D785" t="str">
        <f>IFERROR(__xludf.DUMMYFUNCTION("""COMPUTED_VALUE"""),"")</f>
        <v/>
      </c>
      <c r="E785" t="str">
        <f>IFERROR(__xludf.DUMMYFUNCTION("""COMPUTED_VALUE"""),"")</f>
        <v/>
      </c>
      <c r="F785" t="str">
        <f>IFERROR(__xludf.DUMMYFUNCTION("""COMPUTED_VALUE"""),"")</f>
        <v/>
      </c>
      <c r="G785" t="str">
        <f>IFERROR(__xludf.DUMMYFUNCTION("""COMPUTED_VALUE"""),"")</f>
        <v/>
      </c>
      <c r="H785" t="str">
        <f>IFERROR(__xludf.DUMMYFUNCTION("""COMPUTED_VALUE"""),"")</f>
        <v/>
      </c>
      <c r="I785" t="str">
        <f>IFERROR(__xludf.DUMMYFUNCTION("""COMPUTED_VALUE"""),"")</f>
        <v/>
      </c>
      <c r="J785">
        <f>IFERROR(__xludf.DUMMYFUNCTION("""COMPUTED_VALUE"""),0.0)</f>
        <v>0</v>
      </c>
      <c r="L785" s="250" t="str">
        <f>IFERROR(__xludf.DUMMYFUNCTION("""COMPUTED_VALUE"""),"")</f>
        <v/>
      </c>
      <c r="M785" s="250" t="str">
        <f>IFERROR(__xludf.DUMMYFUNCTION("""COMPUTED_VALUE"""),"")</f>
        <v/>
      </c>
      <c r="N785" s="250" t="str">
        <f>IFERROR(__xludf.DUMMYFUNCTION("""COMPUTED_VALUE"""),"")</f>
        <v/>
      </c>
      <c r="O785" s="250" t="str">
        <f>IFERROR(__xludf.DUMMYFUNCTION("""COMPUTED_VALUE"""),"")</f>
        <v/>
      </c>
      <c r="P785" s="250" t="str">
        <f>IFERROR(__xludf.DUMMYFUNCTION("""COMPUTED_VALUE"""),"")</f>
        <v/>
      </c>
      <c r="Q785" s="250" t="str">
        <f>IFERROR(__xludf.DUMMYFUNCTION("""COMPUTED_VALUE"""),"")</f>
        <v/>
      </c>
      <c r="R785" s="250" t="str">
        <f>IFERROR(__xludf.DUMMYFUNCTION("""COMPUTED_VALUE"""),"")</f>
        <v/>
      </c>
      <c r="U785" s="250" t="str">
        <f>IFERROR(__xludf.DUMMYFUNCTION("""COMPUTED_VALUE"""),"#N/A")</f>
        <v>#N/A</v>
      </c>
      <c r="V785" s="250" t="str">
        <f>IFERROR(__xludf.DUMMYFUNCTION("""COMPUTED_VALUE"""),"#N/A")</f>
        <v>#N/A</v>
      </c>
      <c r="W785" s="250" t="str">
        <f>IFERROR(__xludf.DUMMYFUNCTION("""COMPUTED_VALUE"""),"#N/A")</f>
        <v>#N/A</v>
      </c>
      <c r="X785" t="b">
        <f t="shared" ref="X785:Z785" si="1546">ISBLANK(K785)</f>
        <v>1</v>
      </c>
      <c r="Y785" t="b">
        <f t="shared" si="1546"/>
        <v>0</v>
      </c>
      <c r="Z785" t="b">
        <f t="shared" si="1546"/>
        <v>0</v>
      </c>
      <c r="AA785">
        <f t="shared" ref="AA785:AC785" si="1547">IF(X785=FALSE,1,0)</f>
        <v>0</v>
      </c>
      <c r="AB785">
        <f t="shared" si="1547"/>
        <v>1</v>
      </c>
      <c r="AC785">
        <f t="shared" si="1547"/>
        <v>1</v>
      </c>
      <c r="AD785">
        <f t="shared" si="6"/>
        <v>2</v>
      </c>
      <c r="AE785">
        <f t="shared" si="7"/>
        <v>1</v>
      </c>
      <c r="AF785">
        <f>if(iferror(vlookup($A785,'Description Database'!$E$2:$H$951,3,0),0)=TRUE,1,0)</f>
        <v>0</v>
      </c>
      <c r="AG785">
        <f>if(iferror(vlookup($A785,'Description Database'!$E$2:$H$951,4,0),0)=TRUE,1,0)</f>
        <v>0</v>
      </c>
    </row>
    <row r="786">
      <c r="A786" t="str">
        <f>IFERROR(__xludf.DUMMYFUNCTION("""COMPUTED_VALUE"""),"Sony Xperia Z5 Premium Dual(3 GB/32GB)")</f>
        <v>Sony Xperia Z5 Premium Dual(3 GB/32GB)</v>
      </c>
      <c r="B786" t="str">
        <f>IFERROR(__xludf.DUMMYFUNCTION("""COMPUTED_VALUE"""),"")</f>
        <v/>
      </c>
      <c r="C786" t="str">
        <f>IFERROR(__xludf.DUMMYFUNCTION("""COMPUTED_VALUE"""),"")</f>
        <v/>
      </c>
      <c r="D786" t="str">
        <f>IFERROR(__xludf.DUMMYFUNCTION("""COMPUTED_VALUE"""),"")</f>
        <v/>
      </c>
      <c r="E786" t="str">
        <f>IFERROR(__xludf.DUMMYFUNCTION("""COMPUTED_VALUE"""),"")</f>
        <v/>
      </c>
      <c r="F786" t="str">
        <f>IFERROR(__xludf.DUMMYFUNCTION("""COMPUTED_VALUE"""),"")</f>
        <v/>
      </c>
      <c r="G786" t="str">
        <f>IFERROR(__xludf.DUMMYFUNCTION("""COMPUTED_VALUE"""),"")</f>
        <v/>
      </c>
      <c r="H786" t="str">
        <f>IFERROR(__xludf.DUMMYFUNCTION("""COMPUTED_VALUE"""),"")</f>
        <v/>
      </c>
      <c r="I786">
        <f>IFERROR(__xludf.DUMMYFUNCTION("""COMPUTED_VALUE"""),2.0)</f>
        <v>2</v>
      </c>
      <c r="J786">
        <f>IFERROR(__xludf.DUMMYFUNCTION("""COMPUTED_VALUE"""),2.0)</f>
        <v>2</v>
      </c>
      <c r="L786" s="250" t="str">
        <f>IFERROR(__xludf.DUMMYFUNCTION("""COMPUTED_VALUE"""),"")</f>
        <v/>
      </c>
      <c r="M786" s="250" t="str">
        <f>IFERROR(__xludf.DUMMYFUNCTION("""COMPUTED_VALUE"""),"")</f>
        <v/>
      </c>
      <c r="N786" s="250" t="str">
        <f>IFERROR(__xludf.DUMMYFUNCTION("""COMPUTED_VALUE"""),"")</f>
        <v/>
      </c>
      <c r="O786" s="250" t="str">
        <f>IFERROR(__xludf.DUMMYFUNCTION("""COMPUTED_VALUE"""),"")</f>
        <v/>
      </c>
      <c r="P786" s="250" t="str">
        <f>IFERROR(__xludf.DUMMYFUNCTION("""COMPUTED_VALUE"""),"")</f>
        <v/>
      </c>
      <c r="Q786" s="250" t="str">
        <f>IFERROR(__xludf.DUMMYFUNCTION("""COMPUTED_VALUE"""),"")</f>
        <v/>
      </c>
      <c r="R786" s="250" t="str">
        <f>IFERROR(__xludf.DUMMYFUNCTION("""COMPUTED_VALUE"""),"")</f>
        <v/>
      </c>
      <c r="U786" s="250" t="str">
        <f>IFERROR(__xludf.DUMMYFUNCTION("""COMPUTED_VALUE"""),"#N/A")</f>
        <v>#N/A</v>
      </c>
      <c r="V786" s="250" t="str">
        <f>IFERROR(__xludf.DUMMYFUNCTION("""COMPUTED_VALUE"""),"#N/A")</f>
        <v>#N/A</v>
      </c>
      <c r="W786" s="250" t="str">
        <f>IFERROR(__xludf.DUMMYFUNCTION("""COMPUTED_VALUE"""),"#N/A")</f>
        <v>#N/A</v>
      </c>
      <c r="X786" t="b">
        <f t="shared" ref="X786:Z786" si="1548">ISBLANK(K786)</f>
        <v>1</v>
      </c>
      <c r="Y786" t="b">
        <f t="shared" si="1548"/>
        <v>0</v>
      </c>
      <c r="Z786" t="b">
        <f t="shared" si="1548"/>
        <v>0</v>
      </c>
      <c r="AA786">
        <f t="shared" ref="AA786:AC786" si="1549">IF(X786=FALSE,1,0)</f>
        <v>0</v>
      </c>
      <c r="AB786">
        <f t="shared" si="1549"/>
        <v>1</v>
      </c>
      <c r="AC786">
        <f t="shared" si="1549"/>
        <v>1</v>
      </c>
      <c r="AD786">
        <f t="shared" si="6"/>
        <v>2</v>
      </c>
      <c r="AE786">
        <f t="shared" si="7"/>
        <v>1</v>
      </c>
      <c r="AF786">
        <f>if(iferror(vlookup($A786,'Description Database'!$E$2:$H$951,3,0),0)=TRUE,1,0)</f>
        <v>0</v>
      </c>
      <c r="AG786">
        <f>if(iferror(vlookup($A786,'Description Database'!$E$2:$H$951,4,0),0)=TRUE,1,0)</f>
        <v>0</v>
      </c>
    </row>
    <row r="787">
      <c r="A787" t="str">
        <f>IFERROR(__xludf.DUMMYFUNCTION("""COMPUTED_VALUE"""),"Motorola Z2(6 GB/64GB)")</f>
        <v>Motorola Z2(6 GB/64GB)</v>
      </c>
      <c r="B787" t="str">
        <f>IFERROR(__xludf.DUMMYFUNCTION("""COMPUTED_VALUE"""),"")</f>
        <v/>
      </c>
      <c r="C787" t="str">
        <f>IFERROR(__xludf.DUMMYFUNCTION("""COMPUTED_VALUE"""),"")</f>
        <v/>
      </c>
      <c r="D787" t="str">
        <f>IFERROR(__xludf.DUMMYFUNCTION("""COMPUTED_VALUE"""),"")</f>
        <v/>
      </c>
      <c r="E787" t="str">
        <f>IFERROR(__xludf.DUMMYFUNCTION("""COMPUTED_VALUE"""),"")</f>
        <v/>
      </c>
      <c r="F787" t="str">
        <f>IFERROR(__xludf.DUMMYFUNCTION("""COMPUTED_VALUE"""),"")</f>
        <v/>
      </c>
      <c r="G787" t="str">
        <f>IFERROR(__xludf.DUMMYFUNCTION("""COMPUTED_VALUE"""),"")</f>
        <v/>
      </c>
      <c r="H787" t="str">
        <f>IFERROR(__xludf.DUMMYFUNCTION("""COMPUTED_VALUE"""),"")</f>
        <v/>
      </c>
      <c r="I787" t="str">
        <f>IFERROR(__xludf.DUMMYFUNCTION("""COMPUTED_VALUE"""),"")</f>
        <v/>
      </c>
      <c r="J787">
        <f>IFERROR(__xludf.DUMMYFUNCTION("""COMPUTED_VALUE"""),0.0)</f>
        <v>0</v>
      </c>
      <c r="L787" s="250" t="str">
        <f>IFERROR(__xludf.DUMMYFUNCTION("""COMPUTED_VALUE"""),"")</f>
        <v/>
      </c>
      <c r="M787" s="250" t="str">
        <f>IFERROR(__xludf.DUMMYFUNCTION("""COMPUTED_VALUE"""),"")</f>
        <v/>
      </c>
      <c r="N787" s="250" t="str">
        <f>IFERROR(__xludf.DUMMYFUNCTION("""COMPUTED_VALUE"""),"")</f>
        <v/>
      </c>
      <c r="O787" s="250" t="str">
        <f>IFERROR(__xludf.DUMMYFUNCTION("""COMPUTED_VALUE"""),"")</f>
        <v/>
      </c>
      <c r="P787" s="250" t="str">
        <f>IFERROR(__xludf.DUMMYFUNCTION("""COMPUTED_VALUE"""),"")</f>
        <v/>
      </c>
      <c r="Q787" s="250" t="str">
        <f>IFERROR(__xludf.DUMMYFUNCTION("""COMPUTED_VALUE"""),"")</f>
        <v/>
      </c>
      <c r="R787" s="250" t="str">
        <f>IFERROR(__xludf.DUMMYFUNCTION("""COMPUTED_VALUE"""),"")</f>
        <v/>
      </c>
      <c r="U787" s="250" t="str">
        <f>IFERROR(__xludf.DUMMYFUNCTION("""COMPUTED_VALUE"""),"#N/A")</f>
        <v>#N/A</v>
      </c>
      <c r="V787" s="250" t="str">
        <f>IFERROR(__xludf.DUMMYFUNCTION("""COMPUTED_VALUE"""),"#N/A")</f>
        <v>#N/A</v>
      </c>
      <c r="W787" s="250" t="str">
        <f>IFERROR(__xludf.DUMMYFUNCTION("""COMPUTED_VALUE"""),"#N/A")</f>
        <v>#N/A</v>
      </c>
      <c r="X787" t="b">
        <f t="shared" ref="X787:Z787" si="1550">ISBLANK(K787)</f>
        <v>1</v>
      </c>
      <c r="Y787" t="b">
        <f t="shared" si="1550"/>
        <v>0</v>
      </c>
      <c r="Z787" t="b">
        <f t="shared" si="1550"/>
        <v>0</v>
      </c>
      <c r="AA787">
        <f t="shared" ref="AA787:AC787" si="1551">IF(X787=FALSE,1,0)</f>
        <v>0</v>
      </c>
      <c r="AB787">
        <f t="shared" si="1551"/>
        <v>1</v>
      </c>
      <c r="AC787">
        <f t="shared" si="1551"/>
        <v>1</v>
      </c>
      <c r="AD787">
        <f t="shared" si="6"/>
        <v>2</v>
      </c>
      <c r="AE787">
        <f t="shared" si="7"/>
        <v>1</v>
      </c>
      <c r="AF787">
        <f>if(iferror(vlookup($A787,'Description Database'!$E$2:$H$951,3,0),0)=TRUE,1,0)</f>
        <v>0</v>
      </c>
      <c r="AG787">
        <f>if(iferror(vlookup($A787,'Description Database'!$E$2:$H$951,4,0),0)=TRUE,1,0)</f>
        <v>0</v>
      </c>
    </row>
    <row r="788">
      <c r="A788" t="str">
        <f>IFERROR(__xludf.DUMMYFUNCTION("""COMPUTED_VALUE"""),"LG G3(3 GB/32GB)")</f>
        <v>LG G3(3 GB/32GB)</v>
      </c>
      <c r="B788" t="str">
        <f>IFERROR(__xludf.DUMMYFUNCTION("""COMPUTED_VALUE"""),"")</f>
        <v/>
      </c>
      <c r="C788" t="str">
        <f>IFERROR(__xludf.DUMMYFUNCTION("""COMPUTED_VALUE"""),"")</f>
        <v/>
      </c>
      <c r="D788" t="str">
        <f>IFERROR(__xludf.DUMMYFUNCTION("""COMPUTED_VALUE"""),"")</f>
        <v/>
      </c>
      <c r="E788" t="str">
        <f>IFERROR(__xludf.DUMMYFUNCTION("""COMPUTED_VALUE"""),"")</f>
        <v/>
      </c>
      <c r="F788" t="str">
        <f>IFERROR(__xludf.DUMMYFUNCTION("""COMPUTED_VALUE"""),"")</f>
        <v/>
      </c>
      <c r="G788" t="str">
        <f>IFERROR(__xludf.DUMMYFUNCTION("""COMPUTED_VALUE"""),"")</f>
        <v/>
      </c>
      <c r="H788" t="str">
        <f>IFERROR(__xludf.DUMMYFUNCTION("""COMPUTED_VALUE"""),"")</f>
        <v/>
      </c>
      <c r="I788" t="str">
        <f>IFERROR(__xludf.DUMMYFUNCTION("""COMPUTED_VALUE"""),"")</f>
        <v/>
      </c>
      <c r="J788">
        <f>IFERROR(__xludf.DUMMYFUNCTION("""COMPUTED_VALUE"""),0.0)</f>
        <v>0</v>
      </c>
      <c r="L788" s="250" t="str">
        <f>IFERROR(__xludf.DUMMYFUNCTION("""COMPUTED_VALUE"""),"")</f>
        <v/>
      </c>
      <c r="M788" s="250" t="str">
        <f>IFERROR(__xludf.DUMMYFUNCTION("""COMPUTED_VALUE"""),"")</f>
        <v/>
      </c>
      <c r="N788" s="250" t="str">
        <f>IFERROR(__xludf.DUMMYFUNCTION("""COMPUTED_VALUE"""),"")</f>
        <v/>
      </c>
      <c r="O788" s="250" t="str">
        <f>IFERROR(__xludf.DUMMYFUNCTION("""COMPUTED_VALUE"""),"")</f>
        <v/>
      </c>
      <c r="P788" s="250" t="str">
        <f>IFERROR(__xludf.DUMMYFUNCTION("""COMPUTED_VALUE"""),"")</f>
        <v/>
      </c>
      <c r="Q788" s="250" t="str">
        <f>IFERROR(__xludf.DUMMYFUNCTION("""COMPUTED_VALUE"""),"")</f>
        <v/>
      </c>
      <c r="R788" s="250" t="str">
        <f>IFERROR(__xludf.DUMMYFUNCTION("""COMPUTED_VALUE"""),"")</f>
        <v/>
      </c>
      <c r="U788" s="250" t="str">
        <f>IFERROR(__xludf.DUMMYFUNCTION("""COMPUTED_VALUE"""),"#N/A")</f>
        <v>#N/A</v>
      </c>
      <c r="V788" s="250" t="str">
        <f>IFERROR(__xludf.DUMMYFUNCTION("""COMPUTED_VALUE"""),"#N/A")</f>
        <v>#N/A</v>
      </c>
      <c r="W788" s="250" t="str">
        <f>IFERROR(__xludf.DUMMYFUNCTION("""COMPUTED_VALUE"""),"#N/A")</f>
        <v>#N/A</v>
      </c>
      <c r="X788" t="b">
        <f t="shared" ref="X788:Z788" si="1552">ISBLANK(K788)</f>
        <v>1</v>
      </c>
      <c r="Y788" t="b">
        <f t="shared" si="1552"/>
        <v>0</v>
      </c>
      <c r="Z788" t="b">
        <f t="shared" si="1552"/>
        <v>0</v>
      </c>
      <c r="AA788">
        <f t="shared" ref="AA788:AC788" si="1553">IF(X788=FALSE,1,0)</f>
        <v>0</v>
      </c>
      <c r="AB788">
        <f t="shared" si="1553"/>
        <v>1</v>
      </c>
      <c r="AC788">
        <f t="shared" si="1553"/>
        <v>1</v>
      </c>
      <c r="AD788">
        <f t="shared" si="6"/>
        <v>2</v>
      </c>
      <c r="AE788">
        <f t="shared" si="7"/>
        <v>1</v>
      </c>
      <c r="AF788">
        <f>if(iferror(vlookup($A788,'Description Database'!$E$2:$H$951,3,0),0)=TRUE,1,0)</f>
        <v>0</v>
      </c>
      <c r="AG788">
        <f>if(iferror(vlookup($A788,'Description Database'!$E$2:$H$951,4,0),0)=TRUE,1,0)</f>
        <v>0</v>
      </c>
    </row>
    <row r="789">
      <c r="A789" t="str">
        <f>IFERROR(__xludf.DUMMYFUNCTION("""COMPUTED_VALUE"""),"Realme 1 (4 GB/64 GB)")</f>
        <v>Realme 1 (4 GB/64 GB)</v>
      </c>
      <c r="B789" t="str">
        <f>IFERROR(__xludf.DUMMYFUNCTION("""COMPUTED_VALUE"""),"")</f>
        <v/>
      </c>
      <c r="C789" t="str">
        <f>IFERROR(__xludf.DUMMYFUNCTION("""COMPUTED_VALUE"""),"")</f>
        <v/>
      </c>
      <c r="D789" t="str">
        <f>IFERROR(__xludf.DUMMYFUNCTION("""COMPUTED_VALUE"""),"")</f>
        <v/>
      </c>
      <c r="E789" t="str">
        <f>IFERROR(__xludf.DUMMYFUNCTION("""COMPUTED_VALUE"""),"")</f>
        <v/>
      </c>
      <c r="F789" t="str">
        <f>IFERROR(__xludf.DUMMYFUNCTION("""COMPUTED_VALUE"""),"")</f>
        <v/>
      </c>
      <c r="G789">
        <f>IFERROR(__xludf.DUMMYFUNCTION("""COMPUTED_VALUE"""),1.0)</f>
        <v>1</v>
      </c>
      <c r="H789" t="str">
        <f>IFERROR(__xludf.DUMMYFUNCTION("""COMPUTED_VALUE"""),"")</f>
        <v/>
      </c>
      <c r="I789" t="str">
        <f>IFERROR(__xludf.DUMMYFUNCTION("""COMPUTED_VALUE"""),"")</f>
        <v/>
      </c>
      <c r="J789">
        <f>IFERROR(__xludf.DUMMYFUNCTION("""COMPUTED_VALUE"""),1.0)</f>
        <v>1</v>
      </c>
      <c r="L789" s="250" t="str">
        <f>IFERROR(__xludf.DUMMYFUNCTION("""COMPUTED_VALUE"""),"")</f>
        <v/>
      </c>
      <c r="M789" s="250" t="str">
        <f>IFERROR(__xludf.DUMMYFUNCTION("""COMPUTED_VALUE"""),"")</f>
        <v/>
      </c>
      <c r="N789" s="250" t="str">
        <f>IFERROR(__xludf.DUMMYFUNCTION("""COMPUTED_VALUE"""),"")</f>
        <v/>
      </c>
      <c r="O789" s="250" t="str">
        <f>IFERROR(__xludf.DUMMYFUNCTION("""COMPUTED_VALUE"""),"")</f>
        <v/>
      </c>
      <c r="P789" s="250" t="str">
        <f>IFERROR(__xludf.DUMMYFUNCTION("""COMPUTED_VALUE"""),"")</f>
        <v/>
      </c>
      <c r="Q789" s="250">
        <f>IFERROR(__xludf.DUMMYFUNCTION("""COMPUTED_VALUE"""),3199.0)</f>
        <v>3199</v>
      </c>
      <c r="R789" s="250" t="str">
        <f>IFERROR(__xludf.DUMMYFUNCTION("""COMPUTED_VALUE"""),"")</f>
        <v/>
      </c>
      <c r="U789" s="250">
        <f>IFERROR(__xludf.DUMMYFUNCTION("""COMPUTED_VALUE"""),6679.0)</f>
        <v>6679</v>
      </c>
      <c r="V789" s="250">
        <f>IFERROR(__xludf.DUMMYFUNCTION("""COMPUTED_VALUE"""),6359.0)</f>
        <v>6359</v>
      </c>
      <c r="W789" s="250">
        <f>IFERROR(__xludf.DUMMYFUNCTION("""COMPUTED_VALUE"""),5819.0)</f>
        <v>5819</v>
      </c>
      <c r="X789" t="b">
        <f t="shared" ref="X789:Z789" si="1554">ISBLANK(K789)</f>
        <v>1</v>
      </c>
      <c r="Y789" t="b">
        <f t="shared" si="1554"/>
        <v>0</v>
      </c>
      <c r="Z789" t="b">
        <f t="shared" si="1554"/>
        <v>0</v>
      </c>
      <c r="AA789">
        <f t="shared" ref="AA789:AC789" si="1555">IF(X789=FALSE,1,0)</f>
        <v>0</v>
      </c>
      <c r="AB789">
        <f t="shared" si="1555"/>
        <v>1</v>
      </c>
      <c r="AC789">
        <f t="shared" si="1555"/>
        <v>1</v>
      </c>
      <c r="AD789">
        <f t="shared" si="6"/>
        <v>2</v>
      </c>
      <c r="AE789">
        <f t="shared" si="7"/>
        <v>1</v>
      </c>
      <c r="AF789">
        <f>if(iferror(vlookup($A789,'Description Database'!$E$2:$H$951,3,0),0)=TRUE,1,0)</f>
        <v>0</v>
      </c>
      <c r="AG789">
        <f>if(iferror(vlookup($A789,'Description Database'!$E$2:$H$951,4,0),0)=TRUE,1,0)</f>
        <v>0</v>
      </c>
    </row>
    <row r="790">
      <c r="A790" t="str">
        <f>IFERROR(__xludf.DUMMYFUNCTION("""COMPUTED_VALUE"""),"Motorola MOTO X FORCE(3 GB/64GB)")</f>
        <v>Motorola MOTO X FORCE(3 GB/64GB)</v>
      </c>
      <c r="B790" t="str">
        <f>IFERROR(__xludf.DUMMYFUNCTION("""COMPUTED_VALUE"""),"")</f>
        <v/>
      </c>
      <c r="C790" t="str">
        <f>IFERROR(__xludf.DUMMYFUNCTION("""COMPUTED_VALUE"""),"")</f>
        <v/>
      </c>
      <c r="D790" t="str">
        <f>IFERROR(__xludf.DUMMYFUNCTION("""COMPUTED_VALUE"""),"")</f>
        <v/>
      </c>
      <c r="E790" t="str">
        <f>IFERROR(__xludf.DUMMYFUNCTION("""COMPUTED_VALUE"""),"")</f>
        <v/>
      </c>
      <c r="F790" t="str">
        <f>IFERROR(__xludf.DUMMYFUNCTION("""COMPUTED_VALUE"""),"")</f>
        <v/>
      </c>
      <c r="G790" t="str">
        <f>IFERROR(__xludf.DUMMYFUNCTION("""COMPUTED_VALUE"""),"")</f>
        <v/>
      </c>
      <c r="H790" t="str">
        <f>IFERROR(__xludf.DUMMYFUNCTION("""COMPUTED_VALUE"""),"")</f>
        <v/>
      </c>
      <c r="I790" t="str">
        <f>IFERROR(__xludf.DUMMYFUNCTION("""COMPUTED_VALUE"""),"")</f>
        <v/>
      </c>
      <c r="J790">
        <f>IFERROR(__xludf.DUMMYFUNCTION("""COMPUTED_VALUE"""),0.0)</f>
        <v>0</v>
      </c>
      <c r="L790" s="250" t="str">
        <f>IFERROR(__xludf.DUMMYFUNCTION("""COMPUTED_VALUE"""),"")</f>
        <v/>
      </c>
      <c r="M790" s="250" t="str">
        <f>IFERROR(__xludf.DUMMYFUNCTION("""COMPUTED_VALUE"""),"")</f>
        <v/>
      </c>
      <c r="N790" s="250" t="str">
        <f>IFERROR(__xludf.DUMMYFUNCTION("""COMPUTED_VALUE"""),"")</f>
        <v/>
      </c>
      <c r="O790" s="250" t="str">
        <f>IFERROR(__xludf.DUMMYFUNCTION("""COMPUTED_VALUE"""),"")</f>
        <v/>
      </c>
      <c r="P790" s="250" t="str">
        <f>IFERROR(__xludf.DUMMYFUNCTION("""COMPUTED_VALUE"""),"")</f>
        <v/>
      </c>
      <c r="Q790" s="250" t="str">
        <f>IFERROR(__xludf.DUMMYFUNCTION("""COMPUTED_VALUE"""),"")</f>
        <v/>
      </c>
      <c r="R790" s="250" t="str">
        <f>IFERROR(__xludf.DUMMYFUNCTION("""COMPUTED_VALUE"""),"")</f>
        <v/>
      </c>
      <c r="U790" s="250" t="str">
        <f>IFERROR(__xludf.DUMMYFUNCTION("""COMPUTED_VALUE"""),"#N/A")</f>
        <v>#N/A</v>
      </c>
      <c r="V790" s="250" t="str">
        <f>IFERROR(__xludf.DUMMYFUNCTION("""COMPUTED_VALUE"""),"#N/A")</f>
        <v>#N/A</v>
      </c>
      <c r="W790" s="250" t="str">
        <f>IFERROR(__xludf.DUMMYFUNCTION("""COMPUTED_VALUE"""),"#N/A")</f>
        <v>#N/A</v>
      </c>
      <c r="X790" t="b">
        <f t="shared" ref="X790:Z790" si="1556">ISBLANK(K790)</f>
        <v>1</v>
      </c>
      <c r="Y790" t="b">
        <f t="shared" si="1556"/>
        <v>0</v>
      </c>
      <c r="Z790" t="b">
        <f t="shared" si="1556"/>
        <v>0</v>
      </c>
      <c r="AA790">
        <f t="shared" ref="AA790:AC790" si="1557">IF(X790=FALSE,1,0)</f>
        <v>0</v>
      </c>
      <c r="AB790">
        <f t="shared" si="1557"/>
        <v>1</v>
      </c>
      <c r="AC790">
        <f t="shared" si="1557"/>
        <v>1</v>
      </c>
      <c r="AD790">
        <f t="shared" si="6"/>
        <v>2</v>
      </c>
      <c r="AE790">
        <f t="shared" si="7"/>
        <v>1</v>
      </c>
      <c r="AF790">
        <f>if(iferror(vlookup($A790,'Description Database'!$E$2:$H$951,3,0),0)=TRUE,1,0)</f>
        <v>0</v>
      </c>
      <c r="AG790">
        <f>if(iferror(vlookup($A790,'Description Database'!$E$2:$H$951,4,0),0)=TRUE,1,0)</f>
        <v>0</v>
      </c>
    </row>
    <row r="791">
      <c r="A791" t="str">
        <f>IFERROR(__xludf.DUMMYFUNCTION("""COMPUTED_VALUE"""),"Swipe Elite Star(1 GB/16GB)")</f>
        <v>Swipe Elite Star(1 GB/16GB)</v>
      </c>
      <c r="B791" t="str">
        <f>IFERROR(__xludf.DUMMYFUNCTION("""COMPUTED_VALUE"""),"")</f>
        <v/>
      </c>
      <c r="C791" t="str">
        <f>IFERROR(__xludf.DUMMYFUNCTION("""COMPUTED_VALUE"""),"")</f>
        <v/>
      </c>
      <c r="D791" t="str">
        <f>IFERROR(__xludf.DUMMYFUNCTION("""COMPUTED_VALUE"""),"")</f>
        <v/>
      </c>
      <c r="E791" t="str">
        <f>IFERROR(__xludf.DUMMYFUNCTION("""COMPUTED_VALUE"""),"")</f>
        <v/>
      </c>
      <c r="F791" t="str">
        <f>IFERROR(__xludf.DUMMYFUNCTION("""COMPUTED_VALUE"""),"")</f>
        <v/>
      </c>
      <c r="G791" t="str">
        <f>IFERROR(__xludf.DUMMYFUNCTION("""COMPUTED_VALUE"""),"")</f>
        <v/>
      </c>
      <c r="H791" t="str">
        <f>IFERROR(__xludf.DUMMYFUNCTION("""COMPUTED_VALUE"""),"")</f>
        <v/>
      </c>
      <c r="I791" t="str">
        <f>IFERROR(__xludf.DUMMYFUNCTION("""COMPUTED_VALUE"""),"")</f>
        <v/>
      </c>
      <c r="J791">
        <f>IFERROR(__xludf.DUMMYFUNCTION("""COMPUTED_VALUE"""),0.0)</f>
        <v>0</v>
      </c>
      <c r="L791" s="250" t="str">
        <f>IFERROR(__xludf.DUMMYFUNCTION("""COMPUTED_VALUE"""),"")</f>
        <v/>
      </c>
      <c r="M791" s="250" t="str">
        <f>IFERROR(__xludf.DUMMYFUNCTION("""COMPUTED_VALUE"""),"")</f>
        <v/>
      </c>
      <c r="N791" s="250" t="str">
        <f>IFERROR(__xludf.DUMMYFUNCTION("""COMPUTED_VALUE"""),"")</f>
        <v/>
      </c>
      <c r="O791" s="250" t="str">
        <f>IFERROR(__xludf.DUMMYFUNCTION("""COMPUTED_VALUE"""),"")</f>
        <v/>
      </c>
      <c r="P791" s="250" t="str">
        <f>IFERROR(__xludf.DUMMYFUNCTION("""COMPUTED_VALUE"""),"")</f>
        <v/>
      </c>
      <c r="Q791" s="250" t="str">
        <f>IFERROR(__xludf.DUMMYFUNCTION("""COMPUTED_VALUE"""),"")</f>
        <v/>
      </c>
      <c r="R791" s="250" t="str">
        <f>IFERROR(__xludf.DUMMYFUNCTION("""COMPUTED_VALUE"""),"")</f>
        <v/>
      </c>
      <c r="U791" s="250" t="str">
        <f>IFERROR(__xludf.DUMMYFUNCTION("""COMPUTED_VALUE"""),"#N/A")</f>
        <v>#N/A</v>
      </c>
      <c r="V791" s="250" t="str">
        <f>IFERROR(__xludf.DUMMYFUNCTION("""COMPUTED_VALUE"""),"#N/A")</f>
        <v>#N/A</v>
      </c>
      <c r="W791" s="250" t="str">
        <f>IFERROR(__xludf.DUMMYFUNCTION("""COMPUTED_VALUE"""),"#N/A")</f>
        <v>#N/A</v>
      </c>
      <c r="X791" t="b">
        <f t="shared" ref="X791:Z791" si="1558">ISBLANK(K791)</f>
        <v>1</v>
      </c>
      <c r="Y791" t="b">
        <f t="shared" si="1558"/>
        <v>0</v>
      </c>
      <c r="Z791" t="b">
        <f t="shared" si="1558"/>
        <v>0</v>
      </c>
      <c r="AA791">
        <f t="shared" ref="AA791:AC791" si="1559">IF(X791=FALSE,1,0)</f>
        <v>0</v>
      </c>
      <c r="AB791">
        <f t="shared" si="1559"/>
        <v>1</v>
      </c>
      <c r="AC791">
        <f t="shared" si="1559"/>
        <v>1</v>
      </c>
      <c r="AD791">
        <f t="shared" si="6"/>
        <v>2</v>
      </c>
      <c r="AE791">
        <f t="shared" si="7"/>
        <v>1</v>
      </c>
      <c r="AF791">
        <f>if(iferror(vlookup($A791,'Description Database'!$E$2:$H$951,3,0),0)=TRUE,1,0)</f>
        <v>0</v>
      </c>
      <c r="AG791">
        <f>if(iferror(vlookup($A791,'Description Database'!$E$2:$H$951,4,0),0)=TRUE,1,0)</f>
        <v>0</v>
      </c>
    </row>
    <row r="792">
      <c r="A792" t="str">
        <f>IFERROR(__xludf.DUMMYFUNCTION("""COMPUTED_VALUE"""),"Sony Xperia R1 Plus(3 GB/32GB)")</f>
        <v>Sony Xperia R1 Plus(3 GB/32GB)</v>
      </c>
      <c r="B792" t="str">
        <f>IFERROR(__xludf.DUMMYFUNCTION("""COMPUTED_VALUE"""),"")</f>
        <v/>
      </c>
      <c r="C792" t="str">
        <f>IFERROR(__xludf.DUMMYFUNCTION("""COMPUTED_VALUE"""),"")</f>
        <v/>
      </c>
      <c r="D792" t="str">
        <f>IFERROR(__xludf.DUMMYFUNCTION("""COMPUTED_VALUE"""),"")</f>
        <v/>
      </c>
      <c r="E792" t="str">
        <f>IFERROR(__xludf.DUMMYFUNCTION("""COMPUTED_VALUE"""),"")</f>
        <v/>
      </c>
      <c r="F792" t="str">
        <f>IFERROR(__xludf.DUMMYFUNCTION("""COMPUTED_VALUE"""),"")</f>
        <v/>
      </c>
      <c r="G792" t="str">
        <f>IFERROR(__xludf.DUMMYFUNCTION("""COMPUTED_VALUE"""),"")</f>
        <v/>
      </c>
      <c r="H792" t="str">
        <f>IFERROR(__xludf.DUMMYFUNCTION("""COMPUTED_VALUE"""),"")</f>
        <v/>
      </c>
      <c r="I792" t="str">
        <f>IFERROR(__xludf.DUMMYFUNCTION("""COMPUTED_VALUE"""),"")</f>
        <v/>
      </c>
      <c r="J792">
        <f>IFERROR(__xludf.DUMMYFUNCTION("""COMPUTED_VALUE"""),0.0)</f>
        <v>0</v>
      </c>
      <c r="L792" s="250" t="str">
        <f>IFERROR(__xludf.DUMMYFUNCTION("""COMPUTED_VALUE"""),"")</f>
        <v/>
      </c>
      <c r="M792" s="250" t="str">
        <f>IFERROR(__xludf.DUMMYFUNCTION("""COMPUTED_VALUE"""),"")</f>
        <v/>
      </c>
      <c r="N792" s="250" t="str">
        <f>IFERROR(__xludf.DUMMYFUNCTION("""COMPUTED_VALUE"""),"")</f>
        <v/>
      </c>
      <c r="O792" s="250" t="str">
        <f>IFERROR(__xludf.DUMMYFUNCTION("""COMPUTED_VALUE"""),"")</f>
        <v/>
      </c>
      <c r="P792" s="250" t="str">
        <f>IFERROR(__xludf.DUMMYFUNCTION("""COMPUTED_VALUE"""),"")</f>
        <v/>
      </c>
      <c r="Q792" s="250" t="str">
        <f>IFERROR(__xludf.DUMMYFUNCTION("""COMPUTED_VALUE"""),"")</f>
        <v/>
      </c>
      <c r="R792" s="250" t="str">
        <f>IFERROR(__xludf.DUMMYFUNCTION("""COMPUTED_VALUE"""),"")</f>
        <v/>
      </c>
      <c r="U792" s="250" t="str">
        <f>IFERROR(__xludf.DUMMYFUNCTION("""COMPUTED_VALUE"""),"#N/A")</f>
        <v>#N/A</v>
      </c>
      <c r="V792" s="250" t="str">
        <f>IFERROR(__xludf.DUMMYFUNCTION("""COMPUTED_VALUE"""),"#N/A")</f>
        <v>#N/A</v>
      </c>
      <c r="W792" s="250" t="str">
        <f>IFERROR(__xludf.DUMMYFUNCTION("""COMPUTED_VALUE"""),"#N/A")</f>
        <v>#N/A</v>
      </c>
      <c r="X792" t="b">
        <f t="shared" ref="X792:Z792" si="1560">ISBLANK(K792)</f>
        <v>1</v>
      </c>
      <c r="Y792" t="b">
        <f t="shared" si="1560"/>
        <v>0</v>
      </c>
      <c r="Z792" t="b">
        <f t="shared" si="1560"/>
        <v>0</v>
      </c>
      <c r="AA792">
        <f t="shared" ref="AA792:AC792" si="1561">IF(X792=FALSE,1,0)</f>
        <v>0</v>
      </c>
      <c r="AB792">
        <f t="shared" si="1561"/>
        <v>1</v>
      </c>
      <c r="AC792">
        <f t="shared" si="1561"/>
        <v>1</v>
      </c>
      <c r="AD792">
        <f t="shared" si="6"/>
        <v>2</v>
      </c>
      <c r="AE792">
        <f t="shared" si="7"/>
        <v>1</v>
      </c>
      <c r="AF792">
        <f>if(iferror(vlookup($A792,'Description Database'!$E$2:$H$951,3,0),0)=TRUE,1,0)</f>
        <v>0</v>
      </c>
      <c r="AG792">
        <f>if(iferror(vlookup($A792,'Description Database'!$E$2:$H$951,4,0),0)=TRUE,1,0)</f>
        <v>0</v>
      </c>
    </row>
    <row r="793">
      <c r="A793" t="str">
        <f>IFERROR(__xludf.DUMMYFUNCTION("""COMPUTED_VALUE"""),"LG Nexus 5X(2 GB/16GB)")</f>
        <v>LG Nexus 5X(2 GB/16GB)</v>
      </c>
      <c r="B793" t="str">
        <f>IFERROR(__xludf.DUMMYFUNCTION("""COMPUTED_VALUE"""),"")</f>
        <v/>
      </c>
      <c r="C793" t="str">
        <f>IFERROR(__xludf.DUMMYFUNCTION("""COMPUTED_VALUE"""),"")</f>
        <v/>
      </c>
      <c r="D793" t="str">
        <f>IFERROR(__xludf.DUMMYFUNCTION("""COMPUTED_VALUE"""),"")</f>
        <v/>
      </c>
      <c r="E793" t="str">
        <f>IFERROR(__xludf.DUMMYFUNCTION("""COMPUTED_VALUE"""),"")</f>
        <v/>
      </c>
      <c r="F793" t="str">
        <f>IFERROR(__xludf.DUMMYFUNCTION("""COMPUTED_VALUE"""),"")</f>
        <v/>
      </c>
      <c r="G793" t="str">
        <f>IFERROR(__xludf.DUMMYFUNCTION("""COMPUTED_VALUE"""),"")</f>
        <v/>
      </c>
      <c r="H793" t="str">
        <f>IFERROR(__xludf.DUMMYFUNCTION("""COMPUTED_VALUE"""),"")</f>
        <v/>
      </c>
      <c r="I793" t="str">
        <f>IFERROR(__xludf.DUMMYFUNCTION("""COMPUTED_VALUE"""),"")</f>
        <v/>
      </c>
      <c r="J793">
        <f>IFERROR(__xludf.DUMMYFUNCTION("""COMPUTED_VALUE"""),0.0)</f>
        <v>0</v>
      </c>
      <c r="L793" s="250" t="str">
        <f>IFERROR(__xludf.DUMMYFUNCTION("""COMPUTED_VALUE"""),"")</f>
        <v/>
      </c>
      <c r="M793" s="250" t="str">
        <f>IFERROR(__xludf.DUMMYFUNCTION("""COMPUTED_VALUE"""),"")</f>
        <v/>
      </c>
      <c r="N793" s="250" t="str">
        <f>IFERROR(__xludf.DUMMYFUNCTION("""COMPUTED_VALUE"""),"")</f>
        <v/>
      </c>
      <c r="O793" s="250" t="str">
        <f>IFERROR(__xludf.DUMMYFUNCTION("""COMPUTED_VALUE"""),"")</f>
        <v/>
      </c>
      <c r="P793" s="250" t="str">
        <f>IFERROR(__xludf.DUMMYFUNCTION("""COMPUTED_VALUE"""),"")</f>
        <v/>
      </c>
      <c r="Q793" s="250" t="str">
        <f>IFERROR(__xludf.DUMMYFUNCTION("""COMPUTED_VALUE"""),"")</f>
        <v/>
      </c>
      <c r="R793" s="250" t="str">
        <f>IFERROR(__xludf.DUMMYFUNCTION("""COMPUTED_VALUE"""),"")</f>
        <v/>
      </c>
      <c r="U793" s="250" t="str">
        <f>IFERROR(__xludf.DUMMYFUNCTION("""COMPUTED_VALUE"""),"#N/A")</f>
        <v>#N/A</v>
      </c>
      <c r="V793" s="250" t="str">
        <f>IFERROR(__xludf.DUMMYFUNCTION("""COMPUTED_VALUE"""),"#N/A")</f>
        <v>#N/A</v>
      </c>
      <c r="W793" s="250" t="str">
        <f>IFERROR(__xludf.DUMMYFUNCTION("""COMPUTED_VALUE"""),"#N/A")</f>
        <v>#N/A</v>
      </c>
      <c r="X793" t="b">
        <f t="shared" ref="X793:Z793" si="1562">ISBLANK(K793)</f>
        <v>1</v>
      </c>
      <c r="Y793" t="b">
        <f t="shared" si="1562"/>
        <v>0</v>
      </c>
      <c r="Z793" t="b">
        <f t="shared" si="1562"/>
        <v>0</v>
      </c>
      <c r="AA793">
        <f t="shared" ref="AA793:AC793" si="1563">IF(X793=FALSE,1,0)</f>
        <v>0</v>
      </c>
      <c r="AB793">
        <f t="shared" si="1563"/>
        <v>1</v>
      </c>
      <c r="AC793">
        <f t="shared" si="1563"/>
        <v>1</v>
      </c>
      <c r="AD793">
        <f t="shared" si="6"/>
        <v>2</v>
      </c>
      <c r="AE793">
        <f t="shared" si="7"/>
        <v>1</v>
      </c>
      <c r="AF793">
        <f>if(iferror(vlookup($A793,'Description Database'!$E$2:$H$951,3,0),0)=TRUE,1,0)</f>
        <v>0</v>
      </c>
      <c r="AG793">
        <f>if(iferror(vlookup($A793,'Description Database'!$E$2:$H$951,4,0),0)=TRUE,1,0)</f>
        <v>0</v>
      </c>
    </row>
    <row r="794">
      <c r="A794" t="str">
        <f>IFERROR(__xludf.DUMMYFUNCTION("""COMPUTED_VALUE"""),"Lenovo A6600(2 GB/16GB)")</f>
        <v>Lenovo A6600(2 GB/16GB)</v>
      </c>
      <c r="B794" t="str">
        <f>IFERROR(__xludf.DUMMYFUNCTION("""COMPUTED_VALUE"""),"")</f>
        <v/>
      </c>
      <c r="C794" t="str">
        <f>IFERROR(__xludf.DUMMYFUNCTION("""COMPUTED_VALUE"""),"")</f>
        <v/>
      </c>
      <c r="D794" t="str">
        <f>IFERROR(__xludf.DUMMYFUNCTION("""COMPUTED_VALUE"""),"")</f>
        <v/>
      </c>
      <c r="E794" t="str">
        <f>IFERROR(__xludf.DUMMYFUNCTION("""COMPUTED_VALUE"""),"")</f>
        <v/>
      </c>
      <c r="F794" t="str">
        <f>IFERROR(__xludf.DUMMYFUNCTION("""COMPUTED_VALUE"""),"")</f>
        <v/>
      </c>
      <c r="G794" t="str">
        <f>IFERROR(__xludf.DUMMYFUNCTION("""COMPUTED_VALUE"""),"")</f>
        <v/>
      </c>
      <c r="H794" t="str">
        <f>IFERROR(__xludf.DUMMYFUNCTION("""COMPUTED_VALUE"""),"")</f>
        <v/>
      </c>
      <c r="I794">
        <f>IFERROR(__xludf.DUMMYFUNCTION("""COMPUTED_VALUE"""),1.0)</f>
        <v>1</v>
      </c>
      <c r="J794">
        <f>IFERROR(__xludf.DUMMYFUNCTION("""COMPUTED_VALUE"""),1.0)</f>
        <v>1</v>
      </c>
      <c r="L794" s="250" t="str">
        <f>IFERROR(__xludf.DUMMYFUNCTION("""COMPUTED_VALUE"""),"")</f>
        <v/>
      </c>
      <c r="M794" s="250" t="str">
        <f>IFERROR(__xludf.DUMMYFUNCTION("""COMPUTED_VALUE"""),"")</f>
        <v/>
      </c>
      <c r="N794" s="250" t="str">
        <f>IFERROR(__xludf.DUMMYFUNCTION("""COMPUTED_VALUE"""),"")</f>
        <v/>
      </c>
      <c r="O794" s="250" t="str">
        <f>IFERROR(__xludf.DUMMYFUNCTION("""COMPUTED_VALUE"""),"")</f>
        <v/>
      </c>
      <c r="P794" s="250" t="str">
        <f>IFERROR(__xludf.DUMMYFUNCTION("""COMPUTED_VALUE"""),"")</f>
        <v/>
      </c>
      <c r="Q794" s="250" t="str">
        <f>IFERROR(__xludf.DUMMYFUNCTION("""COMPUTED_VALUE"""),"")</f>
        <v/>
      </c>
      <c r="R794" s="250" t="str">
        <f>IFERROR(__xludf.DUMMYFUNCTION("""COMPUTED_VALUE"""),"")</f>
        <v/>
      </c>
      <c r="U794" s="250" t="str">
        <f>IFERROR(__xludf.DUMMYFUNCTION("""COMPUTED_VALUE"""),"#N/A")</f>
        <v>#N/A</v>
      </c>
      <c r="V794" s="250" t="str">
        <f>IFERROR(__xludf.DUMMYFUNCTION("""COMPUTED_VALUE"""),"#N/A")</f>
        <v>#N/A</v>
      </c>
      <c r="W794" s="250" t="str">
        <f>IFERROR(__xludf.DUMMYFUNCTION("""COMPUTED_VALUE"""),"#N/A")</f>
        <v>#N/A</v>
      </c>
      <c r="X794" t="b">
        <f t="shared" ref="X794:Z794" si="1564">ISBLANK(K794)</f>
        <v>1</v>
      </c>
      <c r="Y794" t="b">
        <f t="shared" si="1564"/>
        <v>0</v>
      </c>
      <c r="Z794" t="b">
        <f t="shared" si="1564"/>
        <v>0</v>
      </c>
      <c r="AA794">
        <f t="shared" ref="AA794:AC794" si="1565">IF(X794=FALSE,1,0)</f>
        <v>0</v>
      </c>
      <c r="AB794">
        <f t="shared" si="1565"/>
        <v>1</v>
      </c>
      <c r="AC794">
        <f t="shared" si="1565"/>
        <v>1</v>
      </c>
      <c r="AD794">
        <f t="shared" si="6"/>
        <v>2</v>
      </c>
      <c r="AE794">
        <f t="shared" si="7"/>
        <v>1</v>
      </c>
      <c r="AF794">
        <f>if(iferror(vlookup($A794,'Description Database'!$E$2:$H$951,3,0),0)=TRUE,1,0)</f>
        <v>0</v>
      </c>
      <c r="AG794">
        <f>if(iferror(vlookup($A794,'Description Database'!$E$2:$H$951,4,0),0)=TRUE,1,0)</f>
        <v>0</v>
      </c>
    </row>
    <row r="795">
      <c r="A795" t="str">
        <f>IFERROR(__xludf.DUMMYFUNCTION("""COMPUTED_VALUE"""),"Lava Iris X8 (1 GB/8 GB)")</f>
        <v>Lava Iris X8 (1 GB/8 GB)</v>
      </c>
      <c r="B795" t="str">
        <f>IFERROR(__xludf.DUMMYFUNCTION("""COMPUTED_VALUE"""),"")</f>
        <v/>
      </c>
      <c r="C795" t="str">
        <f>IFERROR(__xludf.DUMMYFUNCTION("""COMPUTED_VALUE"""),"")</f>
        <v/>
      </c>
      <c r="D795" t="str">
        <f>IFERROR(__xludf.DUMMYFUNCTION("""COMPUTED_VALUE"""),"")</f>
        <v/>
      </c>
      <c r="E795" t="str">
        <f>IFERROR(__xludf.DUMMYFUNCTION("""COMPUTED_VALUE"""),"")</f>
        <v/>
      </c>
      <c r="F795" t="str">
        <f>IFERROR(__xludf.DUMMYFUNCTION("""COMPUTED_VALUE"""),"")</f>
        <v/>
      </c>
      <c r="G795">
        <f>IFERROR(__xludf.DUMMYFUNCTION("""COMPUTED_VALUE"""),1.0)</f>
        <v>1</v>
      </c>
      <c r="H795" t="str">
        <f>IFERROR(__xludf.DUMMYFUNCTION("""COMPUTED_VALUE"""),"")</f>
        <v/>
      </c>
      <c r="I795" t="str">
        <f>IFERROR(__xludf.DUMMYFUNCTION("""COMPUTED_VALUE"""),"")</f>
        <v/>
      </c>
      <c r="J795">
        <f>IFERROR(__xludf.DUMMYFUNCTION("""COMPUTED_VALUE"""),1.0)</f>
        <v>1</v>
      </c>
      <c r="L795" s="250" t="str">
        <f>IFERROR(__xludf.DUMMYFUNCTION("""COMPUTED_VALUE"""),"")</f>
        <v/>
      </c>
      <c r="M795" s="250" t="str">
        <f>IFERROR(__xludf.DUMMYFUNCTION("""COMPUTED_VALUE"""),"")</f>
        <v/>
      </c>
      <c r="N795" s="250" t="str">
        <f>IFERROR(__xludf.DUMMYFUNCTION("""COMPUTED_VALUE"""),"")</f>
        <v/>
      </c>
      <c r="O795" s="250" t="str">
        <f>IFERROR(__xludf.DUMMYFUNCTION("""COMPUTED_VALUE"""),"")</f>
        <v/>
      </c>
      <c r="P795" s="250" t="str">
        <f>IFERROR(__xludf.DUMMYFUNCTION("""COMPUTED_VALUE"""),"")</f>
        <v/>
      </c>
      <c r="Q795" s="250">
        <f>IFERROR(__xludf.DUMMYFUNCTION("""COMPUTED_VALUE"""),589.0)</f>
        <v>589</v>
      </c>
      <c r="R795" s="250" t="str">
        <f>IFERROR(__xludf.DUMMYFUNCTION("""COMPUTED_VALUE"""),"")</f>
        <v/>
      </c>
      <c r="U795" s="250">
        <f>IFERROR(__xludf.DUMMYFUNCTION("""COMPUTED_VALUE"""),1199.0)</f>
        <v>1199</v>
      </c>
      <c r="V795" s="250">
        <f>IFERROR(__xludf.DUMMYFUNCTION("""COMPUTED_VALUE"""),1139.0)</f>
        <v>1139</v>
      </c>
      <c r="W795" s="250">
        <f>IFERROR(__xludf.DUMMYFUNCTION("""COMPUTED_VALUE"""),1019.0)</f>
        <v>1019</v>
      </c>
      <c r="X795" t="b">
        <f t="shared" ref="X795:Z795" si="1566">ISBLANK(K795)</f>
        <v>1</v>
      </c>
      <c r="Y795" t="b">
        <f t="shared" si="1566"/>
        <v>0</v>
      </c>
      <c r="Z795" t="b">
        <f t="shared" si="1566"/>
        <v>0</v>
      </c>
      <c r="AA795">
        <f t="shared" ref="AA795:AC795" si="1567">IF(X795=FALSE,1,0)</f>
        <v>0</v>
      </c>
      <c r="AB795">
        <f t="shared" si="1567"/>
        <v>1</v>
      </c>
      <c r="AC795">
        <f t="shared" si="1567"/>
        <v>1</v>
      </c>
      <c r="AD795">
        <f t="shared" si="6"/>
        <v>2</v>
      </c>
      <c r="AE795">
        <f t="shared" si="7"/>
        <v>1</v>
      </c>
      <c r="AF795">
        <f>if(iferror(vlookup($A795,'Description Database'!$E$2:$H$951,3,0),0)=TRUE,1,0)</f>
        <v>0</v>
      </c>
      <c r="AG795">
        <f>if(iferror(vlookup($A795,'Description Database'!$E$2:$H$951,4,0),0)=TRUE,1,0)</f>
        <v>0</v>
      </c>
    </row>
    <row r="796">
      <c r="A796" t="str">
        <f>IFERROR(__xludf.DUMMYFUNCTION("""COMPUTED_VALUE"""),"INTEX Aqua 5.5 VR(1 GB/8GB)")</f>
        <v>INTEX Aqua 5.5 VR(1 GB/8GB)</v>
      </c>
      <c r="B796" t="str">
        <f>IFERROR(__xludf.DUMMYFUNCTION("""COMPUTED_VALUE"""),"")</f>
        <v/>
      </c>
      <c r="C796" t="str">
        <f>IFERROR(__xludf.DUMMYFUNCTION("""COMPUTED_VALUE"""),"")</f>
        <v/>
      </c>
      <c r="D796" t="str">
        <f>IFERROR(__xludf.DUMMYFUNCTION("""COMPUTED_VALUE"""),"")</f>
        <v/>
      </c>
      <c r="E796" t="str">
        <f>IFERROR(__xludf.DUMMYFUNCTION("""COMPUTED_VALUE"""),"")</f>
        <v/>
      </c>
      <c r="F796" t="str">
        <f>IFERROR(__xludf.DUMMYFUNCTION("""COMPUTED_VALUE"""),"")</f>
        <v/>
      </c>
      <c r="G796" t="str">
        <f>IFERROR(__xludf.DUMMYFUNCTION("""COMPUTED_VALUE"""),"")</f>
        <v/>
      </c>
      <c r="H796" t="str">
        <f>IFERROR(__xludf.DUMMYFUNCTION("""COMPUTED_VALUE"""),"")</f>
        <v/>
      </c>
      <c r="I796" t="str">
        <f>IFERROR(__xludf.DUMMYFUNCTION("""COMPUTED_VALUE"""),"")</f>
        <v/>
      </c>
      <c r="J796">
        <f>IFERROR(__xludf.DUMMYFUNCTION("""COMPUTED_VALUE"""),0.0)</f>
        <v>0</v>
      </c>
      <c r="L796" s="250" t="str">
        <f>IFERROR(__xludf.DUMMYFUNCTION("""COMPUTED_VALUE"""),"")</f>
        <v/>
      </c>
      <c r="M796" s="250" t="str">
        <f>IFERROR(__xludf.DUMMYFUNCTION("""COMPUTED_VALUE"""),"")</f>
        <v/>
      </c>
      <c r="N796" s="250" t="str">
        <f>IFERROR(__xludf.DUMMYFUNCTION("""COMPUTED_VALUE"""),"")</f>
        <v/>
      </c>
      <c r="O796" s="250" t="str">
        <f>IFERROR(__xludf.DUMMYFUNCTION("""COMPUTED_VALUE"""),"")</f>
        <v/>
      </c>
      <c r="P796" s="250" t="str">
        <f>IFERROR(__xludf.DUMMYFUNCTION("""COMPUTED_VALUE"""),"")</f>
        <v/>
      </c>
      <c r="Q796" s="250" t="str">
        <f>IFERROR(__xludf.DUMMYFUNCTION("""COMPUTED_VALUE"""),"")</f>
        <v/>
      </c>
      <c r="R796" s="250" t="str">
        <f>IFERROR(__xludf.DUMMYFUNCTION("""COMPUTED_VALUE"""),"")</f>
        <v/>
      </c>
      <c r="U796" s="250" t="str">
        <f>IFERROR(__xludf.DUMMYFUNCTION("""COMPUTED_VALUE"""),"#N/A")</f>
        <v>#N/A</v>
      </c>
      <c r="V796" s="250" t="str">
        <f>IFERROR(__xludf.DUMMYFUNCTION("""COMPUTED_VALUE"""),"#N/A")</f>
        <v>#N/A</v>
      </c>
      <c r="W796" s="250" t="str">
        <f>IFERROR(__xludf.DUMMYFUNCTION("""COMPUTED_VALUE"""),"#N/A")</f>
        <v>#N/A</v>
      </c>
      <c r="X796" t="b">
        <f t="shared" ref="X796:Z796" si="1568">ISBLANK(K796)</f>
        <v>1</v>
      </c>
      <c r="Y796" t="b">
        <f t="shared" si="1568"/>
        <v>0</v>
      </c>
      <c r="Z796" t="b">
        <f t="shared" si="1568"/>
        <v>0</v>
      </c>
      <c r="AA796">
        <f t="shared" ref="AA796:AC796" si="1569">IF(X796=FALSE,1,0)</f>
        <v>0</v>
      </c>
      <c r="AB796">
        <f t="shared" si="1569"/>
        <v>1</v>
      </c>
      <c r="AC796">
        <f t="shared" si="1569"/>
        <v>1</v>
      </c>
      <c r="AD796">
        <f t="shared" si="6"/>
        <v>2</v>
      </c>
      <c r="AE796">
        <f t="shared" si="7"/>
        <v>1</v>
      </c>
      <c r="AF796">
        <f>if(iferror(vlookup($A796,'Description Database'!$E$2:$H$951,3,0),0)=TRUE,1,0)</f>
        <v>0</v>
      </c>
      <c r="AG796">
        <f>if(iferror(vlookup($A796,'Description Database'!$E$2:$H$951,4,0),0)=TRUE,1,0)</f>
        <v>0</v>
      </c>
    </row>
    <row r="797">
      <c r="A797" t="str">
        <f>IFERROR(__xludf.DUMMYFUNCTION("""COMPUTED_VALUE"""),"IVOOMI I2 Lite(2 GB/16GB)")</f>
        <v>IVOOMI I2 Lite(2 GB/16GB)</v>
      </c>
      <c r="B797" t="str">
        <f>IFERROR(__xludf.DUMMYFUNCTION("""COMPUTED_VALUE"""),"")</f>
        <v/>
      </c>
      <c r="C797" t="str">
        <f>IFERROR(__xludf.DUMMYFUNCTION("""COMPUTED_VALUE"""),"")</f>
        <v/>
      </c>
      <c r="D797" t="str">
        <f>IFERROR(__xludf.DUMMYFUNCTION("""COMPUTED_VALUE"""),"")</f>
        <v/>
      </c>
      <c r="E797" t="str">
        <f>IFERROR(__xludf.DUMMYFUNCTION("""COMPUTED_VALUE"""),"")</f>
        <v/>
      </c>
      <c r="F797" t="str">
        <f>IFERROR(__xludf.DUMMYFUNCTION("""COMPUTED_VALUE"""),"")</f>
        <v/>
      </c>
      <c r="G797" t="str">
        <f>IFERROR(__xludf.DUMMYFUNCTION("""COMPUTED_VALUE"""),"")</f>
        <v/>
      </c>
      <c r="H797" t="str">
        <f>IFERROR(__xludf.DUMMYFUNCTION("""COMPUTED_VALUE"""),"")</f>
        <v/>
      </c>
      <c r="I797">
        <f>IFERROR(__xludf.DUMMYFUNCTION("""COMPUTED_VALUE"""),5.0)</f>
        <v>5</v>
      </c>
      <c r="J797">
        <f>IFERROR(__xludf.DUMMYFUNCTION("""COMPUTED_VALUE"""),5.0)</f>
        <v>5</v>
      </c>
      <c r="L797" s="250" t="str">
        <f>IFERROR(__xludf.DUMMYFUNCTION("""COMPUTED_VALUE"""),"")</f>
        <v/>
      </c>
      <c r="M797" s="250" t="str">
        <f>IFERROR(__xludf.DUMMYFUNCTION("""COMPUTED_VALUE"""),"")</f>
        <v/>
      </c>
      <c r="N797" s="250" t="str">
        <f>IFERROR(__xludf.DUMMYFUNCTION("""COMPUTED_VALUE"""),"")</f>
        <v/>
      </c>
      <c r="O797" s="250" t="str">
        <f>IFERROR(__xludf.DUMMYFUNCTION("""COMPUTED_VALUE"""),"")</f>
        <v/>
      </c>
      <c r="P797" s="250" t="str">
        <f>IFERROR(__xludf.DUMMYFUNCTION("""COMPUTED_VALUE"""),"")</f>
        <v/>
      </c>
      <c r="Q797" s="250" t="str">
        <f>IFERROR(__xludf.DUMMYFUNCTION("""COMPUTED_VALUE"""),"")</f>
        <v/>
      </c>
      <c r="R797" s="250" t="str">
        <f>IFERROR(__xludf.DUMMYFUNCTION("""COMPUTED_VALUE"""),"")</f>
        <v/>
      </c>
      <c r="U797" s="250" t="str">
        <f>IFERROR(__xludf.DUMMYFUNCTION("""COMPUTED_VALUE"""),"#N/A")</f>
        <v>#N/A</v>
      </c>
      <c r="V797" s="250" t="str">
        <f>IFERROR(__xludf.DUMMYFUNCTION("""COMPUTED_VALUE"""),"#N/A")</f>
        <v>#N/A</v>
      </c>
      <c r="W797" s="250" t="str">
        <f>IFERROR(__xludf.DUMMYFUNCTION("""COMPUTED_VALUE"""),"#N/A")</f>
        <v>#N/A</v>
      </c>
      <c r="X797" t="b">
        <f t="shared" ref="X797:Z797" si="1570">ISBLANK(K797)</f>
        <v>1</v>
      </c>
      <c r="Y797" t="b">
        <f t="shared" si="1570"/>
        <v>0</v>
      </c>
      <c r="Z797" t="b">
        <f t="shared" si="1570"/>
        <v>0</v>
      </c>
      <c r="AA797">
        <f t="shared" ref="AA797:AC797" si="1571">IF(X797=FALSE,1,0)</f>
        <v>0</v>
      </c>
      <c r="AB797">
        <f t="shared" si="1571"/>
        <v>1</v>
      </c>
      <c r="AC797">
        <f t="shared" si="1571"/>
        <v>1</v>
      </c>
      <c r="AD797">
        <f t="shared" si="6"/>
        <v>2</v>
      </c>
      <c r="AE797">
        <f t="shared" si="7"/>
        <v>1</v>
      </c>
      <c r="AF797">
        <f>if(iferror(vlookup($A797,'Description Database'!$E$2:$H$951,3,0),0)=TRUE,1,0)</f>
        <v>0</v>
      </c>
      <c r="AG797">
        <f>if(iferror(vlookup($A797,'Description Database'!$E$2:$H$951,4,0),0)=TRUE,1,0)</f>
        <v>0</v>
      </c>
    </row>
    <row r="798">
      <c r="A798" t="str">
        <f>IFERROR(__xludf.DUMMYFUNCTION("""COMPUTED_VALUE"""),"ASUS Zenfone Selfie(3 GB/16GB)")</f>
        <v>ASUS Zenfone Selfie(3 GB/16GB)</v>
      </c>
      <c r="B798" t="str">
        <f>IFERROR(__xludf.DUMMYFUNCTION("""COMPUTED_VALUE"""),"")</f>
        <v/>
      </c>
      <c r="C798" t="str">
        <f>IFERROR(__xludf.DUMMYFUNCTION("""COMPUTED_VALUE"""),"")</f>
        <v/>
      </c>
      <c r="D798" t="str">
        <f>IFERROR(__xludf.DUMMYFUNCTION("""COMPUTED_VALUE"""),"")</f>
        <v/>
      </c>
      <c r="E798" t="str">
        <f>IFERROR(__xludf.DUMMYFUNCTION("""COMPUTED_VALUE"""),"")</f>
        <v/>
      </c>
      <c r="F798" t="str">
        <f>IFERROR(__xludf.DUMMYFUNCTION("""COMPUTED_VALUE"""),"")</f>
        <v/>
      </c>
      <c r="G798" t="str">
        <f>IFERROR(__xludf.DUMMYFUNCTION("""COMPUTED_VALUE"""),"")</f>
        <v/>
      </c>
      <c r="H798" t="str">
        <f>IFERROR(__xludf.DUMMYFUNCTION("""COMPUTED_VALUE"""),"")</f>
        <v/>
      </c>
      <c r="I798">
        <f>IFERROR(__xludf.DUMMYFUNCTION("""COMPUTED_VALUE"""),4.0)</f>
        <v>4</v>
      </c>
      <c r="J798">
        <f>IFERROR(__xludf.DUMMYFUNCTION("""COMPUTED_VALUE"""),4.0)</f>
        <v>4</v>
      </c>
      <c r="L798" s="250" t="str">
        <f>IFERROR(__xludf.DUMMYFUNCTION("""COMPUTED_VALUE"""),"")</f>
        <v/>
      </c>
      <c r="M798" s="250" t="str">
        <f>IFERROR(__xludf.DUMMYFUNCTION("""COMPUTED_VALUE"""),"")</f>
        <v/>
      </c>
      <c r="N798" s="250" t="str">
        <f>IFERROR(__xludf.DUMMYFUNCTION("""COMPUTED_VALUE"""),"")</f>
        <v/>
      </c>
      <c r="O798" s="250" t="str">
        <f>IFERROR(__xludf.DUMMYFUNCTION("""COMPUTED_VALUE"""),"")</f>
        <v/>
      </c>
      <c r="P798" s="250" t="str">
        <f>IFERROR(__xludf.DUMMYFUNCTION("""COMPUTED_VALUE"""),"")</f>
        <v/>
      </c>
      <c r="Q798" s="250" t="str">
        <f>IFERROR(__xludf.DUMMYFUNCTION("""COMPUTED_VALUE"""),"")</f>
        <v/>
      </c>
      <c r="R798" s="250" t="str">
        <f>IFERROR(__xludf.DUMMYFUNCTION("""COMPUTED_VALUE"""),"")</f>
        <v/>
      </c>
      <c r="U798" s="250" t="str">
        <f>IFERROR(__xludf.DUMMYFUNCTION("""COMPUTED_VALUE"""),"#N/A")</f>
        <v>#N/A</v>
      </c>
      <c r="V798" s="250" t="str">
        <f>IFERROR(__xludf.DUMMYFUNCTION("""COMPUTED_VALUE"""),"#N/A")</f>
        <v>#N/A</v>
      </c>
      <c r="W798" s="250" t="str">
        <f>IFERROR(__xludf.DUMMYFUNCTION("""COMPUTED_VALUE"""),"#N/A")</f>
        <v>#N/A</v>
      </c>
      <c r="X798" t="b">
        <f t="shared" ref="X798:Z798" si="1572">ISBLANK(K798)</f>
        <v>1</v>
      </c>
      <c r="Y798" t="b">
        <f t="shared" si="1572"/>
        <v>0</v>
      </c>
      <c r="Z798" t="b">
        <f t="shared" si="1572"/>
        <v>0</v>
      </c>
      <c r="AA798">
        <f t="shared" ref="AA798:AC798" si="1573">IF(X798=FALSE,1,0)</f>
        <v>0</v>
      </c>
      <c r="AB798">
        <f t="shared" si="1573"/>
        <v>1</v>
      </c>
      <c r="AC798">
        <f t="shared" si="1573"/>
        <v>1</v>
      </c>
      <c r="AD798">
        <f t="shared" si="6"/>
        <v>2</v>
      </c>
      <c r="AE798">
        <f t="shared" si="7"/>
        <v>1</v>
      </c>
      <c r="AF798">
        <f>if(iferror(vlookup($A798,'Description Database'!$E$2:$H$951,3,0),0)=TRUE,1,0)</f>
        <v>0</v>
      </c>
      <c r="AG798">
        <f>if(iferror(vlookup($A798,'Description Database'!$E$2:$H$951,4,0),0)=TRUE,1,0)</f>
        <v>0</v>
      </c>
    </row>
    <row r="799">
      <c r="A799" t="str">
        <f>IFERROR(__xludf.DUMMYFUNCTION("""COMPUTED_VALUE"""),"ONEPLUS 2(2 GB/16GB)")</f>
        <v>ONEPLUS 2(2 GB/16GB)</v>
      </c>
      <c r="B799" t="str">
        <f>IFERROR(__xludf.DUMMYFUNCTION("""COMPUTED_VALUE"""),"")</f>
        <v/>
      </c>
      <c r="C799" t="str">
        <f>IFERROR(__xludf.DUMMYFUNCTION("""COMPUTED_VALUE"""),"")</f>
        <v/>
      </c>
      <c r="D799" t="str">
        <f>IFERROR(__xludf.DUMMYFUNCTION("""COMPUTED_VALUE"""),"")</f>
        <v/>
      </c>
      <c r="E799" t="str">
        <f>IFERROR(__xludf.DUMMYFUNCTION("""COMPUTED_VALUE"""),"")</f>
        <v/>
      </c>
      <c r="F799" t="str">
        <f>IFERROR(__xludf.DUMMYFUNCTION("""COMPUTED_VALUE"""),"")</f>
        <v/>
      </c>
      <c r="G799" t="str">
        <f>IFERROR(__xludf.DUMMYFUNCTION("""COMPUTED_VALUE"""),"")</f>
        <v/>
      </c>
      <c r="H799" t="str">
        <f>IFERROR(__xludf.DUMMYFUNCTION("""COMPUTED_VALUE"""),"")</f>
        <v/>
      </c>
      <c r="I799">
        <f>IFERROR(__xludf.DUMMYFUNCTION("""COMPUTED_VALUE"""),3.0)</f>
        <v>3</v>
      </c>
      <c r="J799">
        <f>IFERROR(__xludf.DUMMYFUNCTION("""COMPUTED_VALUE"""),3.0)</f>
        <v>3</v>
      </c>
      <c r="L799" s="250" t="str">
        <f>IFERROR(__xludf.DUMMYFUNCTION("""COMPUTED_VALUE"""),"")</f>
        <v/>
      </c>
      <c r="M799" s="250" t="str">
        <f>IFERROR(__xludf.DUMMYFUNCTION("""COMPUTED_VALUE"""),"")</f>
        <v/>
      </c>
      <c r="N799" s="250" t="str">
        <f>IFERROR(__xludf.DUMMYFUNCTION("""COMPUTED_VALUE"""),"")</f>
        <v/>
      </c>
      <c r="O799" s="250" t="str">
        <f>IFERROR(__xludf.DUMMYFUNCTION("""COMPUTED_VALUE"""),"")</f>
        <v/>
      </c>
      <c r="P799" s="250" t="str">
        <f>IFERROR(__xludf.DUMMYFUNCTION("""COMPUTED_VALUE"""),"")</f>
        <v/>
      </c>
      <c r="Q799" s="250" t="str">
        <f>IFERROR(__xludf.DUMMYFUNCTION("""COMPUTED_VALUE"""),"")</f>
        <v/>
      </c>
      <c r="R799" s="250" t="str">
        <f>IFERROR(__xludf.DUMMYFUNCTION("""COMPUTED_VALUE"""),"")</f>
        <v/>
      </c>
      <c r="U799" s="250" t="str">
        <f>IFERROR(__xludf.DUMMYFUNCTION("""COMPUTED_VALUE"""),"#N/A")</f>
        <v>#N/A</v>
      </c>
      <c r="V799" s="250" t="str">
        <f>IFERROR(__xludf.DUMMYFUNCTION("""COMPUTED_VALUE"""),"#N/A")</f>
        <v>#N/A</v>
      </c>
      <c r="W799" s="250" t="str">
        <f>IFERROR(__xludf.DUMMYFUNCTION("""COMPUTED_VALUE"""),"#N/A")</f>
        <v>#N/A</v>
      </c>
      <c r="X799" t="b">
        <f t="shared" ref="X799:Z799" si="1574">ISBLANK(K799)</f>
        <v>1</v>
      </c>
      <c r="Y799" t="b">
        <f t="shared" si="1574"/>
        <v>0</v>
      </c>
      <c r="Z799" t="b">
        <f t="shared" si="1574"/>
        <v>0</v>
      </c>
      <c r="AA799">
        <f t="shared" ref="AA799:AC799" si="1575">IF(X799=FALSE,1,0)</f>
        <v>0</v>
      </c>
      <c r="AB799">
        <f t="shared" si="1575"/>
        <v>1</v>
      </c>
      <c r="AC799">
        <f t="shared" si="1575"/>
        <v>1</v>
      </c>
      <c r="AD799">
        <f t="shared" si="6"/>
        <v>2</v>
      </c>
      <c r="AE799">
        <f t="shared" si="7"/>
        <v>1</v>
      </c>
      <c r="AF799">
        <f>if(iferror(vlookup($A799,'Description Database'!$E$2:$H$951,3,0),0)=TRUE,1,0)</f>
        <v>0</v>
      </c>
      <c r="AG799">
        <f>if(iferror(vlookup($A799,'Description Database'!$E$2:$H$951,4,0),0)=TRUE,1,0)</f>
        <v>0</v>
      </c>
    </row>
    <row r="800">
      <c r="A800" t="str">
        <f>IFERROR(__xludf.DUMMYFUNCTION("""COMPUTED_VALUE"""),"Samsung GALAXY S6(3 GB/64GB)")</f>
        <v>Samsung GALAXY S6(3 GB/64GB)</v>
      </c>
      <c r="B800" t="str">
        <f>IFERROR(__xludf.DUMMYFUNCTION("""COMPUTED_VALUE"""),"")</f>
        <v/>
      </c>
      <c r="C800" t="str">
        <f>IFERROR(__xludf.DUMMYFUNCTION("""COMPUTED_VALUE"""),"")</f>
        <v/>
      </c>
      <c r="D800" t="str">
        <f>IFERROR(__xludf.DUMMYFUNCTION("""COMPUTED_VALUE"""),"")</f>
        <v/>
      </c>
      <c r="E800" t="str">
        <f>IFERROR(__xludf.DUMMYFUNCTION("""COMPUTED_VALUE"""),"")</f>
        <v/>
      </c>
      <c r="F800" t="str">
        <f>IFERROR(__xludf.DUMMYFUNCTION("""COMPUTED_VALUE"""),"")</f>
        <v/>
      </c>
      <c r="G800" t="str">
        <f>IFERROR(__xludf.DUMMYFUNCTION("""COMPUTED_VALUE"""),"")</f>
        <v/>
      </c>
      <c r="H800" t="str">
        <f>IFERROR(__xludf.DUMMYFUNCTION("""COMPUTED_VALUE"""),"")</f>
        <v/>
      </c>
      <c r="I800">
        <f>IFERROR(__xludf.DUMMYFUNCTION("""COMPUTED_VALUE"""),2.0)</f>
        <v>2</v>
      </c>
      <c r="J800">
        <f>IFERROR(__xludf.DUMMYFUNCTION("""COMPUTED_VALUE"""),2.0)</f>
        <v>2</v>
      </c>
      <c r="L800" s="250" t="str">
        <f>IFERROR(__xludf.DUMMYFUNCTION("""COMPUTED_VALUE"""),"")</f>
        <v/>
      </c>
      <c r="M800" s="250" t="str">
        <f>IFERROR(__xludf.DUMMYFUNCTION("""COMPUTED_VALUE"""),"")</f>
        <v/>
      </c>
      <c r="N800" s="250" t="str">
        <f>IFERROR(__xludf.DUMMYFUNCTION("""COMPUTED_VALUE"""),"")</f>
        <v/>
      </c>
      <c r="O800" s="250" t="str">
        <f>IFERROR(__xludf.DUMMYFUNCTION("""COMPUTED_VALUE"""),"")</f>
        <v/>
      </c>
      <c r="P800" s="250" t="str">
        <f>IFERROR(__xludf.DUMMYFUNCTION("""COMPUTED_VALUE"""),"")</f>
        <v/>
      </c>
      <c r="Q800" s="250" t="str">
        <f>IFERROR(__xludf.DUMMYFUNCTION("""COMPUTED_VALUE"""),"")</f>
        <v/>
      </c>
      <c r="R800" s="250" t="str">
        <f>IFERROR(__xludf.DUMMYFUNCTION("""COMPUTED_VALUE"""),"")</f>
        <v/>
      </c>
      <c r="U800" s="250" t="str">
        <f>IFERROR(__xludf.DUMMYFUNCTION("""COMPUTED_VALUE"""),"#N/A")</f>
        <v>#N/A</v>
      </c>
      <c r="V800" s="250" t="str">
        <f>IFERROR(__xludf.DUMMYFUNCTION("""COMPUTED_VALUE"""),"#N/A")</f>
        <v>#N/A</v>
      </c>
      <c r="W800" s="250" t="str">
        <f>IFERROR(__xludf.DUMMYFUNCTION("""COMPUTED_VALUE"""),"#N/A")</f>
        <v>#N/A</v>
      </c>
      <c r="X800" t="b">
        <f t="shared" ref="X800:Z800" si="1576">ISBLANK(K800)</f>
        <v>1</v>
      </c>
      <c r="Y800" t="b">
        <f t="shared" si="1576"/>
        <v>0</v>
      </c>
      <c r="Z800" t="b">
        <f t="shared" si="1576"/>
        <v>0</v>
      </c>
      <c r="AA800">
        <f t="shared" ref="AA800:AC800" si="1577">IF(X800=FALSE,1,0)</f>
        <v>0</v>
      </c>
      <c r="AB800">
        <f t="shared" si="1577"/>
        <v>1</v>
      </c>
      <c r="AC800">
        <f t="shared" si="1577"/>
        <v>1</v>
      </c>
      <c r="AD800">
        <f t="shared" si="6"/>
        <v>2</v>
      </c>
      <c r="AE800">
        <f t="shared" si="7"/>
        <v>1</v>
      </c>
      <c r="AF800">
        <f>if(iferror(vlookup($A800,'Description Database'!$E$2:$H$951,3,0),0)=TRUE,1,0)</f>
        <v>0</v>
      </c>
      <c r="AG800">
        <f>if(iferror(vlookup($A800,'Description Database'!$E$2:$H$951,4,0),0)=TRUE,1,0)</f>
        <v>0</v>
      </c>
    </row>
    <row r="801">
      <c r="A801" t="str">
        <f>IFERROR(__xludf.DUMMYFUNCTION("""COMPUTED_VALUE"""),"Samsung GALAXY A2 CORE(1 GB/16GB)")</f>
        <v>Samsung GALAXY A2 CORE(1 GB/16GB)</v>
      </c>
      <c r="B801" t="str">
        <f>IFERROR(__xludf.DUMMYFUNCTION("""COMPUTED_VALUE"""),"")</f>
        <v/>
      </c>
      <c r="C801" t="str">
        <f>IFERROR(__xludf.DUMMYFUNCTION("""COMPUTED_VALUE"""),"")</f>
        <v/>
      </c>
      <c r="D801" t="str">
        <f>IFERROR(__xludf.DUMMYFUNCTION("""COMPUTED_VALUE"""),"")</f>
        <v/>
      </c>
      <c r="E801" t="str">
        <f>IFERROR(__xludf.DUMMYFUNCTION("""COMPUTED_VALUE"""),"")</f>
        <v/>
      </c>
      <c r="F801" t="str">
        <f>IFERROR(__xludf.DUMMYFUNCTION("""COMPUTED_VALUE"""),"")</f>
        <v/>
      </c>
      <c r="G801" t="str">
        <f>IFERROR(__xludf.DUMMYFUNCTION("""COMPUTED_VALUE"""),"")</f>
        <v/>
      </c>
      <c r="H801" t="str">
        <f>IFERROR(__xludf.DUMMYFUNCTION("""COMPUTED_VALUE"""),"")</f>
        <v/>
      </c>
      <c r="I801" t="str">
        <f>IFERROR(__xludf.DUMMYFUNCTION("""COMPUTED_VALUE"""),"")</f>
        <v/>
      </c>
      <c r="J801">
        <f>IFERROR(__xludf.DUMMYFUNCTION("""COMPUTED_VALUE"""),0.0)</f>
        <v>0</v>
      </c>
      <c r="L801" s="250" t="str">
        <f>IFERROR(__xludf.DUMMYFUNCTION("""COMPUTED_VALUE"""),"")</f>
        <v/>
      </c>
      <c r="M801" s="250" t="str">
        <f>IFERROR(__xludf.DUMMYFUNCTION("""COMPUTED_VALUE"""),"")</f>
        <v/>
      </c>
      <c r="N801" s="250" t="str">
        <f>IFERROR(__xludf.DUMMYFUNCTION("""COMPUTED_VALUE"""),"")</f>
        <v/>
      </c>
      <c r="O801" s="250" t="str">
        <f>IFERROR(__xludf.DUMMYFUNCTION("""COMPUTED_VALUE"""),"")</f>
        <v/>
      </c>
      <c r="P801" s="250" t="str">
        <f>IFERROR(__xludf.DUMMYFUNCTION("""COMPUTED_VALUE"""),"")</f>
        <v/>
      </c>
      <c r="Q801" s="250" t="str">
        <f>IFERROR(__xludf.DUMMYFUNCTION("""COMPUTED_VALUE"""),"")</f>
        <v/>
      </c>
      <c r="R801" s="250" t="str">
        <f>IFERROR(__xludf.DUMMYFUNCTION("""COMPUTED_VALUE"""),"")</f>
        <v/>
      </c>
      <c r="U801" s="250" t="str">
        <f>IFERROR(__xludf.DUMMYFUNCTION("""COMPUTED_VALUE"""),"#N/A")</f>
        <v>#N/A</v>
      </c>
      <c r="V801" s="250" t="str">
        <f>IFERROR(__xludf.DUMMYFUNCTION("""COMPUTED_VALUE"""),"#N/A")</f>
        <v>#N/A</v>
      </c>
      <c r="W801" s="250" t="str">
        <f>IFERROR(__xludf.DUMMYFUNCTION("""COMPUTED_VALUE"""),"#N/A")</f>
        <v>#N/A</v>
      </c>
      <c r="X801" t="b">
        <f t="shared" ref="X801:Z801" si="1578">ISBLANK(K801)</f>
        <v>1</v>
      </c>
      <c r="Y801" t="b">
        <f t="shared" si="1578"/>
        <v>0</v>
      </c>
      <c r="Z801" t="b">
        <f t="shared" si="1578"/>
        <v>0</v>
      </c>
      <c r="AA801">
        <f t="shared" ref="AA801:AC801" si="1579">IF(X801=FALSE,1,0)</f>
        <v>0</v>
      </c>
      <c r="AB801">
        <f t="shared" si="1579"/>
        <v>1</v>
      </c>
      <c r="AC801">
        <f t="shared" si="1579"/>
        <v>1</v>
      </c>
      <c r="AD801">
        <f t="shared" si="6"/>
        <v>2</v>
      </c>
      <c r="AE801">
        <f t="shared" si="7"/>
        <v>1</v>
      </c>
      <c r="AF801">
        <f>if(iferror(vlookup($A801,'Description Database'!$E$2:$H$951,3,0),0)=TRUE,1,0)</f>
        <v>0</v>
      </c>
      <c r="AG801">
        <f>if(iferror(vlookup($A801,'Description Database'!$E$2:$H$951,4,0),0)=TRUE,1,0)</f>
        <v>0</v>
      </c>
    </row>
    <row r="802">
      <c r="A802" t="str">
        <f>IFERROR(__xludf.DUMMYFUNCTION("""COMPUTED_VALUE"""),"Nokia 7.2(6 GB/64GB)")</f>
        <v>Nokia 7.2(6 GB/64GB)</v>
      </c>
      <c r="B802" t="str">
        <f>IFERROR(__xludf.DUMMYFUNCTION("""COMPUTED_VALUE"""),"")</f>
        <v/>
      </c>
      <c r="C802" t="str">
        <f>IFERROR(__xludf.DUMMYFUNCTION("""COMPUTED_VALUE"""),"")</f>
        <v/>
      </c>
      <c r="D802" t="str">
        <f>IFERROR(__xludf.DUMMYFUNCTION("""COMPUTED_VALUE"""),"")</f>
        <v/>
      </c>
      <c r="E802" t="str">
        <f>IFERROR(__xludf.DUMMYFUNCTION("""COMPUTED_VALUE"""),"")</f>
        <v/>
      </c>
      <c r="F802" t="str">
        <f>IFERROR(__xludf.DUMMYFUNCTION("""COMPUTED_VALUE"""),"")</f>
        <v/>
      </c>
      <c r="G802" t="str">
        <f>IFERROR(__xludf.DUMMYFUNCTION("""COMPUTED_VALUE"""),"")</f>
        <v/>
      </c>
      <c r="H802" t="str">
        <f>IFERROR(__xludf.DUMMYFUNCTION("""COMPUTED_VALUE"""),"")</f>
        <v/>
      </c>
      <c r="I802" t="str">
        <f>IFERROR(__xludf.DUMMYFUNCTION("""COMPUTED_VALUE"""),"")</f>
        <v/>
      </c>
      <c r="J802">
        <f>IFERROR(__xludf.DUMMYFUNCTION("""COMPUTED_VALUE"""),0.0)</f>
        <v>0</v>
      </c>
      <c r="L802" s="250" t="str">
        <f>IFERROR(__xludf.DUMMYFUNCTION("""COMPUTED_VALUE"""),"")</f>
        <v/>
      </c>
      <c r="M802" s="250" t="str">
        <f>IFERROR(__xludf.DUMMYFUNCTION("""COMPUTED_VALUE"""),"")</f>
        <v/>
      </c>
      <c r="N802" s="250" t="str">
        <f>IFERROR(__xludf.DUMMYFUNCTION("""COMPUTED_VALUE"""),"")</f>
        <v/>
      </c>
      <c r="O802" s="250" t="str">
        <f>IFERROR(__xludf.DUMMYFUNCTION("""COMPUTED_VALUE"""),"")</f>
        <v/>
      </c>
      <c r="P802" s="250" t="str">
        <f>IFERROR(__xludf.DUMMYFUNCTION("""COMPUTED_VALUE"""),"")</f>
        <v/>
      </c>
      <c r="Q802" s="250" t="str">
        <f>IFERROR(__xludf.DUMMYFUNCTION("""COMPUTED_VALUE"""),"")</f>
        <v/>
      </c>
      <c r="R802" s="250" t="str">
        <f>IFERROR(__xludf.DUMMYFUNCTION("""COMPUTED_VALUE"""),"")</f>
        <v/>
      </c>
      <c r="U802" s="250" t="str">
        <f>IFERROR(__xludf.DUMMYFUNCTION("""COMPUTED_VALUE"""),"#N/A")</f>
        <v>#N/A</v>
      </c>
      <c r="V802" s="250" t="str">
        <f>IFERROR(__xludf.DUMMYFUNCTION("""COMPUTED_VALUE"""),"#N/A")</f>
        <v>#N/A</v>
      </c>
      <c r="W802" s="250" t="str">
        <f>IFERROR(__xludf.DUMMYFUNCTION("""COMPUTED_VALUE"""),"#N/A")</f>
        <v>#N/A</v>
      </c>
      <c r="X802" t="b">
        <f t="shared" ref="X802:Z802" si="1580">ISBLANK(K802)</f>
        <v>1</v>
      </c>
      <c r="Y802" t="b">
        <f t="shared" si="1580"/>
        <v>0</v>
      </c>
      <c r="Z802" t="b">
        <f t="shared" si="1580"/>
        <v>0</v>
      </c>
      <c r="AA802">
        <f t="shared" ref="AA802:AC802" si="1581">IF(X802=FALSE,1,0)</f>
        <v>0</v>
      </c>
      <c r="AB802">
        <f t="shared" si="1581"/>
        <v>1</v>
      </c>
      <c r="AC802">
        <f t="shared" si="1581"/>
        <v>1</v>
      </c>
      <c r="AD802">
        <f t="shared" si="6"/>
        <v>2</v>
      </c>
      <c r="AE802">
        <f t="shared" si="7"/>
        <v>1</v>
      </c>
      <c r="AF802">
        <f>if(iferror(vlookup($A802,'Description Database'!$E$2:$H$951,3,0),0)=TRUE,1,0)</f>
        <v>0</v>
      </c>
      <c r="AG802">
        <f>if(iferror(vlookup($A802,'Description Database'!$E$2:$H$951,4,0),0)=TRUE,1,0)</f>
        <v>0</v>
      </c>
    </row>
    <row r="803">
      <c r="A803" t="str">
        <f>IFERROR(__xludf.DUMMYFUNCTION("""COMPUTED_VALUE"""),"Realme 3 PRO(6 GB/128GB)")</f>
        <v>Realme 3 PRO(6 GB/128GB)</v>
      </c>
      <c r="B803" t="str">
        <f>IFERROR(__xludf.DUMMYFUNCTION("""COMPUTED_VALUE"""),"")</f>
        <v/>
      </c>
      <c r="C803" t="str">
        <f>IFERROR(__xludf.DUMMYFUNCTION("""COMPUTED_VALUE"""),"")</f>
        <v/>
      </c>
      <c r="D803" t="str">
        <f>IFERROR(__xludf.DUMMYFUNCTION("""COMPUTED_VALUE"""),"")</f>
        <v/>
      </c>
      <c r="E803" t="str">
        <f>IFERROR(__xludf.DUMMYFUNCTION("""COMPUTED_VALUE"""),"")</f>
        <v/>
      </c>
      <c r="F803" t="str">
        <f>IFERROR(__xludf.DUMMYFUNCTION("""COMPUTED_VALUE"""),"")</f>
        <v/>
      </c>
      <c r="G803">
        <f>IFERROR(__xludf.DUMMYFUNCTION("""COMPUTED_VALUE"""),1.0)</f>
        <v>1</v>
      </c>
      <c r="H803" t="str">
        <f>IFERROR(__xludf.DUMMYFUNCTION("""COMPUTED_VALUE"""),"")</f>
        <v/>
      </c>
      <c r="I803" t="str">
        <f>IFERROR(__xludf.DUMMYFUNCTION("""COMPUTED_VALUE"""),"")</f>
        <v/>
      </c>
      <c r="J803">
        <f>IFERROR(__xludf.DUMMYFUNCTION("""COMPUTED_VALUE"""),1.0)</f>
        <v>1</v>
      </c>
      <c r="L803" s="250" t="str">
        <f>IFERROR(__xludf.DUMMYFUNCTION("""COMPUTED_VALUE"""),"")</f>
        <v/>
      </c>
      <c r="M803" s="250" t="str">
        <f>IFERROR(__xludf.DUMMYFUNCTION("""COMPUTED_VALUE"""),"")</f>
        <v/>
      </c>
      <c r="N803" s="250" t="str">
        <f>IFERROR(__xludf.DUMMYFUNCTION("""COMPUTED_VALUE"""),"")</f>
        <v/>
      </c>
      <c r="O803" s="250" t="str">
        <f>IFERROR(__xludf.DUMMYFUNCTION("""COMPUTED_VALUE"""),"")</f>
        <v/>
      </c>
      <c r="P803" s="250" t="str">
        <f>IFERROR(__xludf.DUMMYFUNCTION("""COMPUTED_VALUE"""),"")</f>
        <v/>
      </c>
      <c r="Q803" s="250" t="str">
        <f>IFERROR(__xludf.DUMMYFUNCTION("""COMPUTED_VALUE"""),"#N/A")</f>
        <v>#N/A</v>
      </c>
      <c r="R803" s="250" t="str">
        <f>IFERROR(__xludf.DUMMYFUNCTION("""COMPUTED_VALUE"""),"")</f>
        <v/>
      </c>
      <c r="U803" s="250" t="str">
        <f>IFERROR(__xludf.DUMMYFUNCTION("""COMPUTED_VALUE"""),"#N/A")</f>
        <v>#N/A</v>
      </c>
      <c r="V803" s="250" t="str">
        <f>IFERROR(__xludf.DUMMYFUNCTION("""COMPUTED_VALUE"""),"#N/A")</f>
        <v>#N/A</v>
      </c>
      <c r="W803" s="250" t="str">
        <f>IFERROR(__xludf.DUMMYFUNCTION("""COMPUTED_VALUE"""),"#N/A")</f>
        <v>#N/A</v>
      </c>
      <c r="X803" t="b">
        <f t="shared" ref="X803:Z803" si="1582">ISBLANK(K803)</f>
        <v>1</v>
      </c>
      <c r="Y803" t="b">
        <f t="shared" si="1582"/>
        <v>0</v>
      </c>
      <c r="Z803" t="b">
        <f t="shared" si="1582"/>
        <v>0</v>
      </c>
      <c r="AA803">
        <f t="shared" ref="AA803:AC803" si="1583">IF(X803=FALSE,1,0)</f>
        <v>0</v>
      </c>
      <c r="AB803">
        <f t="shared" si="1583"/>
        <v>1</v>
      </c>
      <c r="AC803">
        <f t="shared" si="1583"/>
        <v>1</v>
      </c>
      <c r="AD803">
        <f t="shared" si="6"/>
        <v>2</v>
      </c>
      <c r="AE803">
        <f t="shared" si="7"/>
        <v>1</v>
      </c>
      <c r="AF803">
        <f>if(iferror(vlookup($A803,'Description Database'!$E$2:$H$951,3,0),0)=TRUE,1,0)</f>
        <v>0</v>
      </c>
      <c r="AG803">
        <f>if(iferror(vlookup($A803,'Description Database'!$E$2:$H$951,4,0),0)=TRUE,1,0)</f>
        <v>0</v>
      </c>
    </row>
    <row r="804">
      <c r="A804" t="str">
        <f>IFERROR(__xludf.DUMMYFUNCTION("""COMPUTED_VALUE"""),"POCO X3 (6 GB/128 GB)")</f>
        <v>POCO X3 (6 GB/128 GB)</v>
      </c>
      <c r="B804" t="str">
        <f>IFERROR(__xludf.DUMMYFUNCTION("""COMPUTED_VALUE"""),"")</f>
        <v/>
      </c>
      <c r="C804" t="str">
        <f>IFERROR(__xludf.DUMMYFUNCTION("""COMPUTED_VALUE"""),"")</f>
        <v/>
      </c>
      <c r="D804">
        <f>IFERROR(__xludf.DUMMYFUNCTION("""COMPUTED_VALUE"""),1.0)</f>
        <v>1</v>
      </c>
      <c r="E804" t="str">
        <f>IFERROR(__xludf.DUMMYFUNCTION("""COMPUTED_VALUE"""),"")</f>
        <v/>
      </c>
      <c r="F804" t="str">
        <f>IFERROR(__xludf.DUMMYFUNCTION("""COMPUTED_VALUE"""),"")</f>
        <v/>
      </c>
      <c r="G804" t="str">
        <f>IFERROR(__xludf.DUMMYFUNCTION("""COMPUTED_VALUE"""),"")</f>
        <v/>
      </c>
      <c r="H804" t="str">
        <f>IFERROR(__xludf.DUMMYFUNCTION("""COMPUTED_VALUE"""),"")</f>
        <v/>
      </c>
      <c r="I804" t="str">
        <f>IFERROR(__xludf.DUMMYFUNCTION("""COMPUTED_VALUE"""),"")</f>
        <v/>
      </c>
      <c r="J804">
        <f>IFERROR(__xludf.DUMMYFUNCTION("""COMPUTED_VALUE"""),1.0)</f>
        <v>1</v>
      </c>
      <c r="L804" s="250" t="str">
        <f>IFERROR(__xludf.DUMMYFUNCTION("""COMPUTED_VALUE"""),"")</f>
        <v/>
      </c>
      <c r="M804" s="250" t="str">
        <f>IFERROR(__xludf.DUMMYFUNCTION("""COMPUTED_VALUE"""),"")</f>
        <v/>
      </c>
      <c r="N804" s="250">
        <f>IFERROR(__xludf.DUMMYFUNCTION("""COMPUTED_VALUE"""),10789.0)</f>
        <v>10789</v>
      </c>
      <c r="O804" s="250" t="str">
        <f>IFERROR(__xludf.DUMMYFUNCTION("""COMPUTED_VALUE"""),"")</f>
        <v/>
      </c>
      <c r="P804" s="250" t="str">
        <f>IFERROR(__xludf.DUMMYFUNCTION("""COMPUTED_VALUE"""),"")</f>
        <v/>
      </c>
      <c r="Q804" s="250" t="str">
        <f>IFERROR(__xludf.DUMMYFUNCTION("""COMPUTED_VALUE"""),"")</f>
        <v/>
      </c>
      <c r="R804" s="250" t="str">
        <f>IFERROR(__xludf.DUMMYFUNCTION("""COMPUTED_VALUE"""),"")</f>
        <v/>
      </c>
      <c r="U804" s="250">
        <f>IFERROR(__xludf.DUMMYFUNCTION("""COMPUTED_VALUE"""),13849.0)</f>
        <v>13849</v>
      </c>
      <c r="V804" s="250">
        <f>IFERROR(__xludf.DUMMYFUNCTION("""COMPUTED_VALUE"""),13189.0)</f>
        <v>13189</v>
      </c>
      <c r="W804" s="250">
        <f>IFERROR(__xludf.DUMMYFUNCTION("""COMPUTED_VALUE"""),11869.0)</f>
        <v>11869</v>
      </c>
      <c r="X804" t="b">
        <f t="shared" ref="X804:Z804" si="1584">ISBLANK(K804)</f>
        <v>1</v>
      </c>
      <c r="Y804" t="b">
        <f t="shared" si="1584"/>
        <v>0</v>
      </c>
      <c r="Z804" t="b">
        <f t="shared" si="1584"/>
        <v>0</v>
      </c>
      <c r="AA804">
        <f t="shared" ref="AA804:AC804" si="1585">IF(X804=FALSE,1,0)</f>
        <v>0</v>
      </c>
      <c r="AB804">
        <f t="shared" si="1585"/>
        <v>1</v>
      </c>
      <c r="AC804">
        <f t="shared" si="1585"/>
        <v>1</v>
      </c>
      <c r="AD804">
        <f t="shared" si="6"/>
        <v>2</v>
      </c>
      <c r="AE804">
        <f t="shared" si="7"/>
        <v>1</v>
      </c>
      <c r="AF804">
        <f>if(iferror(vlookup($A804,'Description Database'!$E$2:$H$951,3,0),0)=TRUE,1,0)</f>
        <v>0</v>
      </c>
      <c r="AG804">
        <f>if(iferror(vlookup($A804,'Description Database'!$E$2:$H$951,4,0),0)=TRUE,1,0)</f>
        <v>0</v>
      </c>
    </row>
    <row r="805">
      <c r="A805" t="str">
        <f>IFERROR(__xludf.DUMMYFUNCTION("""COMPUTED_VALUE"""),"ASUS  ZENFONE GO(2 GB/16GB)")</f>
        <v>ASUS  ZENFONE GO(2 GB/16GB)</v>
      </c>
      <c r="B805" t="str">
        <f>IFERROR(__xludf.DUMMYFUNCTION("""COMPUTED_VALUE"""),"")</f>
        <v/>
      </c>
      <c r="C805" t="str">
        <f>IFERROR(__xludf.DUMMYFUNCTION("""COMPUTED_VALUE"""),"")</f>
        <v/>
      </c>
      <c r="D805" t="str">
        <f>IFERROR(__xludf.DUMMYFUNCTION("""COMPUTED_VALUE"""),"")</f>
        <v/>
      </c>
      <c r="E805" t="str">
        <f>IFERROR(__xludf.DUMMYFUNCTION("""COMPUTED_VALUE"""),"")</f>
        <v/>
      </c>
      <c r="F805" t="str">
        <f>IFERROR(__xludf.DUMMYFUNCTION("""COMPUTED_VALUE"""),"")</f>
        <v/>
      </c>
      <c r="G805" t="str">
        <f>IFERROR(__xludf.DUMMYFUNCTION("""COMPUTED_VALUE"""),"")</f>
        <v/>
      </c>
      <c r="H805" t="str">
        <f>IFERROR(__xludf.DUMMYFUNCTION("""COMPUTED_VALUE"""),"")</f>
        <v/>
      </c>
      <c r="I805" t="str">
        <f>IFERROR(__xludf.DUMMYFUNCTION("""COMPUTED_VALUE"""),"")</f>
        <v/>
      </c>
      <c r="J805">
        <f>IFERROR(__xludf.DUMMYFUNCTION("""COMPUTED_VALUE"""),0.0)</f>
        <v>0</v>
      </c>
      <c r="L805" s="250" t="str">
        <f>IFERROR(__xludf.DUMMYFUNCTION("""COMPUTED_VALUE"""),"")</f>
        <v/>
      </c>
      <c r="M805" s="250" t="str">
        <f>IFERROR(__xludf.DUMMYFUNCTION("""COMPUTED_VALUE"""),"")</f>
        <v/>
      </c>
      <c r="N805" s="250" t="str">
        <f>IFERROR(__xludf.DUMMYFUNCTION("""COMPUTED_VALUE"""),"")</f>
        <v/>
      </c>
      <c r="O805" s="250" t="str">
        <f>IFERROR(__xludf.DUMMYFUNCTION("""COMPUTED_VALUE"""),"")</f>
        <v/>
      </c>
      <c r="P805" s="250" t="str">
        <f>IFERROR(__xludf.DUMMYFUNCTION("""COMPUTED_VALUE"""),"")</f>
        <v/>
      </c>
      <c r="Q805" s="250" t="str">
        <f>IFERROR(__xludf.DUMMYFUNCTION("""COMPUTED_VALUE"""),"")</f>
        <v/>
      </c>
      <c r="R805" s="250" t="str">
        <f>IFERROR(__xludf.DUMMYFUNCTION("""COMPUTED_VALUE"""),"")</f>
        <v/>
      </c>
      <c r="U805" s="250" t="str">
        <f>IFERROR(__xludf.DUMMYFUNCTION("""COMPUTED_VALUE"""),"#N/A")</f>
        <v>#N/A</v>
      </c>
      <c r="V805" s="250" t="str">
        <f>IFERROR(__xludf.DUMMYFUNCTION("""COMPUTED_VALUE"""),"#N/A")</f>
        <v>#N/A</v>
      </c>
      <c r="W805" s="250" t="str">
        <f>IFERROR(__xludf.DUMMYFUNCTION("""COMPUTED_VALUE"""),"#N/A")</f>
        <v>#N/A</v>
      </c>
      <c r="X805" t="b">
        <f t="shared" ref="X805:Z805" si="1586">ISBLANK(K805)</f>
        <v>1</v>
      </c>
      <c r="Y805" t="b">
        <f t="shared" si="1586"/>
        <v>0</v>
      </c>
      <c r="Z805" t="b">
        <f t="shared" si="1586"/>
        <v>0</v>
      </c>
      <c r="AA805">
        <f t="shared" ref="AA805:AC805" si="1587">IF(X805=FALSE,1,0)</f>
        <v>0</v>
      </c>
      <c r="AB805">
        <f t="shared" si="1587"/>
        <v>1</v>
      </c>
      <c r="AC805">
        <f t="shared" si="1587"/>
        <v>1</v>
      </c>
      <c r="AD805">
        <f t="shared" si="6"/>
        <v>2</v>
      </c>
      <c r="AE805">
        <f t="shared" si="7"/>
        <v>1</v>
      </c>
      <c r="AF805">
        <f>if(iferror(vlookup($A805,'Description Database'!$E$2:$H$951,3,0),0)=TRUE,1,0)</f>
        <v>0</v>
      </c>
      <c r="AG805">
        <f>if(iferror(vlookup($A805,'Description Database'!$E$2:$H$951,4,0),0)=TRUE,1,0)</f>
        <v>0</v>
      </c>
    </row>
    <row r="806">
      <c r="A806" t="str">
        <f>IFERROR(__xludf.DUMMYFUNCTION("""COMPUTED_VALUE"""),"POCO X3 (6 GB/64 GB)")</f>
        <v>POCO X3 (6 GB/64 GB)</v>
      </c>
      <c r="B806" t="str">
        <f>IFERROR(__xludf.DUMMYFUNCTION("""COMPUTED_VALUE"""),"")</f>
        <v/>
      </c>
      <c r="C806" t="str">
        <f>IFERROR(__xludf.DUMMYFUNCTION("""COMPUTED_VALUE"""),"")</f>
        <v/>
      </c>
      <c r="D806" t="str">
        <f>IFERROR(__xludf.DUMMYFUNCTION("""COMPUTED_VALUE"""),"")</f>
        <v/>
      </c>
      <c r="E806" t="str">
        <f>IFERROR(__xludf.DUMMYFUNCTION("""COMPUTED_VALUE"""),"")</f>
        <v/>
      </c>
      <c r="F806" t="str">
        <f>IFERROR(__xludf.DUMMYFUNCTION("""COMPUTED_VALUE"""),"")</f>
        <v/>
      </c>
      <c r="G806" t="str">
        <f>IFERROR(__xludf.DUMMYFUNCTION("""COMPUTED_VALUE"""),"")</f>
        <v/>
      </c>
      <c r="H806" t="str">
        <f>IFERROR(__xludf.DUMMYFUNCTION("""COMPUTED_VALUE"""),"")</f>
        <v/>
      </c>
      <c r="I806" t="str">
        <f>IFERROR(__xludf.DUMMYFUNCTION("""COMPUTED_VALUE"""),"")</f>
        <v/>
      </c>
      <c r="J806">
        <f>IFERROR(__xludf.DUMMYFUNCTION("""COMPUTED_VALUE"""),0.0)</f>
        <v>0</v>
      </c>
      <c r="L806" s="250" t="str">
        <f>IFERROR(__xludf.DUMMYFUNCTION("""COMPUTED_VALUE"""),"")</f>
        <v/>
      </c>
      <c r="M806" s="250" t="str">
        <f>IFERROR(__xludf.DUMMYFUNCTION("""COMPUTED_VALUE"""),"")</f>
        <v/>
      </c>
      <c r="N806" s="250" t="str">
        <f>IFERROR(__xludf.DUMMYFUNCTION("""COMPUTED_VALUE"""),"")</f>
        <v/>
      </c>
      <c r="O806" s="250" t="str">
        <f>IFERROR(__xludf.DUMMYFUNCTION("""COMPUTED_VALUE"""),"")</f>
        <v/>
      </c>
      <c r="P806" s="250" t="str">
        <f>IFERROR(__xludf.DUMMYFUNCTION("""COMPUTED_VALUE"""),"")</f>
        <v/>
      </c>
      <c r="Q806" s="250" t="str">
        <f>IFERROR(__xludf.DUMMYFUNCTION("""COMPUTED_VALUE"""),"")</f>
        <v/>
      </c>
      <c r="R806" s="250" t="str">
        <f>IFERROR(__xludf.DUMMYFUNCTION("""COMPUTED_VALUE"""),"")</f>
        <v/>
      </c>
      <c r="U806" s="250">
        <f>IFERROR(__xludf.DUMMYFUNCTION("""COMPUTED_VALUE"""),13179.0)</f>
        <v>13179</v>
      </c>
      <c r="V806" s="250">
        <f>IFERROR(__xludf.DUMMYFUNCTION("""COMPUTED_VALUE"""),12549.0)</f>
        <v>12549</v>
      </c>
      <c r="W806" s="250">
        <f>IFERROR(__xludf.DUMMYFUNCTION("""COMPUTED_VALUE"""),11299.0)</f>
        <v>11299</v>
      </c>
      <c r="X806" t="b">
        <f t="shared" ref="X806:Z806" si="1588">ISBLANK(K806)</f>
        <v>1</v>
      </c>
      <c r="Y806" t="b">
        <f t="shared" si="1588"/>
        <v>0</v>
      </c>
      <c r="Z806" t="b">
        <f t="shared" si="1588"/>
        <v>0</v>
      </c>
      <c r="AA806">
        <f t="shared" ref="AA806:AC806" si="1589">IF(X806=FALSE,1,0)</f>
        <v>0</v>
      </c>
      <c r="AB806">
        <f t="shared" si="1589"/>
        <v>1</v>
      </c>
      <c r="AC806">
        <f t="shared" si="1589"/>
        <v>1</v>
      </c>
      <c r="AD806">
        <f t="shared" si="6"/>
        <v>2</v>
      </c>
      <c r="AE806">
        <f t="shared" si="7"/>
        <v>1</v>
      </c>
      <c r="AF806">
        <f>if(iferror(vlookup($A806,'Description Database'!$E$2:$H$951,3,0),0)=TRUE,1,0)</f>
        <v>0</v>
      </c>
      <c r="AG806">
        <f>if(iferror(vlookup($A806,'Description Database'!$E$2:$H$951,4,0),0)=TRUE,1,0)</f>
        <v>0</v>
      </c>
    </row>
    <row r="807">
      <c r="A807" t="str">
        <f>IFERROR(__xludf.DUMMYFUNCTION("""COMPUTED_VALUE"""),"Huawei Nova 3i (4 GB/128 GB)")</f>
        <v>Huawei Nova 3i (4 GB/128 GB)</v>
      </c>
      <c r="B807" t="str">
        <f>IFERROR(__xludf.DUMMYFUNCTION("""COMPUTED_VALUE"""),"")</f>
        <v/>
      </c>
      <c r="C807" t="str">
        <f>IFERROR(__xludf.DUMMYFUNCTION("""COMPUTED_VALUE"""),"")</f>
        <v/>
      </c>
      <c r="D807" t="str">
        <f>IFERROR(__xludf.DUMMYFUNCTION("""COMPUTED_VALUE"""),"")</f>
        <v/>
      </c>
      <c r="E807" t="str">
        <f>IFERROR(__xludf.DUMMYFUNCTION("""COMPUTED_VALUE"""),"")</f>
        <v/>
      </c>
      <c r="F807" t="str">
        <f>IFERROR(__xludf.DUMMYFUNCTION("""COMPUTED_VALUE"""),"")</f>
        <v/>
      </c>
      <c r="G807">
        <f>IFERROR(__xludf.DUMMYFUNCTION("""COMPUTED_VALUE"""),1.0)</f>
        <v>1</v>
      </c>
      <c r="H807" t="str">
        <f>IFERROR(__xludf.DUMMYFUNCTION("""COMPUTED_VALUE"""),"")</f>
        <v/>
      </c>
      <c r="I807" t="str">
        <f>IFERROR(__xludf.DUMMYFUNCTION("""COMPUTED_VALUE"""),"")</f>
        <v/>
      </c>
      <c r="J807">
        <f>IFERROR(__xludf.DUMMYFUNCTION("""COMPUTED_VALUE"""),1.0)</f>
        <v>1</v>
      </c>
      <c r="L807" s="250" t="str">
        <f>IFERROR(__xludf.DUMMYFUNCTION("""COMPUTED_VALUE"""),"")</f>
        <v/>
      </c>
      <c r="M807" s="250" t="str">
        <f>IFERROR(__xludf.DUMMYFUNCTION("""COMPUTED_VALUE"""),"")</f>
        <v/>
      </c>
      <c r="N807" s="250" t="str">
        <f>IFERROR(__xludf.DUMMYFUNCTION("""COMPUTED_VALUE"""),"")</f>
        <v/>
      </c>
      <c r="O807" s="250" t="str">
        <f>IFERROR(__xludf.DUMMYFUNCTION("""COMPUTED_VALUE"""),"")</f>
        <v/>
      </c>
      <c r="P807" s="250" t="str">
        <f>IFERROR(__xludf.DUMMYFUNCTION("""COMPUTED_VALUE"""),"")</f>
        <v/>
      </c>
      <c r="Q807" s="250">
        <f>IFERROR(__xludf.DUMMYFUNCTION("""COMPUTED_VALUE"""),3819.0)</f>
        <v>3819</v>
      </c>
      <c r="R807" s="250" t="str">
        <f>IFERROR(__xludf.DUMMYFUNCTION("""COMPUTED_VALUE"""),"")</f>
        <v/>
      </c>
      <c r="U807" s="250">
        <f>IFERROR(__xludf.DUMMYFUNCTION("""COMPUTED_VALUE"""),7689.0)</f>
        <v>7689</v>
      </c>
      <c r="V807" s="250">
        <f>IFERROR(__xludf.DUMMYFUNCTION("""COMPUTED_VALUE"""),7319.0)</f>
        <v>7319</v>
      </c>
      <c r="W807" s="250">
        <f>IFERROR(__xludf.DUMMYFUNCTION("""COMPUTED_VALUE"""),6579.0)</f>
        <v>6579</v>
      </c>
      <c r="X807" t="b">
        <f t="shared" ref="X807:Z807" si="1590">ISBLANK(K807)</f>
        <v>1</v>
      </c>
      <c r="Y807" t="b">
        <f t="shared" si="1590"/>
        <v>0</v>
      </c>
      <c r="Z807" t="b">
        <f t="shared" si="1590"/>
        <v>0</v>
      </c>
      <c r="AA807">
        <f t="shared" ref="AA807:AC807" si="1591">IF(X807=FALSE,1,0)</f>
        <v>0</v>
      </c>
      <c r="AB807">
        <f t="shared" si="1591"/>
        <v>1</v>
      </c>
      <c r="AC807">
        <f t="shared" si="1591"/>
        <v>1</v>
      </c>
      <c r="AD807">
        <f t="shared" si="6"/>
        <v>2</v>
      </c>
      <c r="AE807">
        <f t="shared" si="7"/>
        <v>1</v>
      </c>
      <c r="AF807">
        <f>if(iferror(vlookup($A807,'Description Database'!$E$2:$H$951,3,0),0)=TRUE,1,0)</f>
        <v>0</v>
      </c>
      <c r="AG807">
        <f>if(iferror(vlookup($A807,'Description Database'!$E$2:$H$951,4,0),0)=TRUE,1,0)</f>
        <v>0</v>
      </c>
    </row>
    <row r="808">
      <c r="A808" t="str">
        <f>IFERROR(__xludf.DUMMYFUNCTION("""COMPUTED_VALUE"""),"Xiaomi REDMI 1S(1 GB/8GB)")</f>
        <v>Xiaomi REDMI 1S(1 GB/8GB)</v>
      </c>
      <c r="B808" t="str">
        <f>IFERROR(__xludf.DUMMYFUNCTION("""COMPUTED_VALUE"""),"")</f>
        <v/>
      </c>
      <c r="C808" t="str">
        <f>IFERROR(__xludf.DUMMYFUNCTION("""COMPUTED_VALUE"""),"")</f>
        <v/>
      </c>
      <c r="D808" t="str">
        <f>IFERROR(__xludf.DUMMYFUNCTION("""COMPUTED_VALUE"""),"")</f>
        <v/>
      </c>
      <c r="E808" t="str">
        <f>IFERROR(__xludf.DUMMYFUNCTION("""COMPUTED_VALUE"""),"")</f>
        <v/>
      </c>
      <c r="F808" t="str">
        <f>IFERROR(__xludf.DUMMYFUNCTION("""COMPUTED_VALUE"""),"")</f>
        <v/>
      </c>
      <c r="G808" t="str">
        <f>IFERROR(__xludf.DUMMYFUNCTION("""COMPUTED_VALUE"""),"")</f>
        <v/>
      </c>
      <c r="H808" t="str">
        <f>IFERROR(__xludf.DUMMYFUNCTION("""COMPUTED_VALUE"""),"")</f>
        <v/>
      </c>
      <c r="I808" t="str">
        <f>IFERROR(__xludf.DUMMYFUNCTION("""COMPUTED_VALUE"""),"")</f>
        <v/>
      </c>
      <c r="J808">
        <f>IFERROR(__xludf.DUMMYFUNCTION("""COMPUTED_VALUE"""),0.0)</f>
        <v>0</v>
      </c>
      <c r="L808" s="250" t="str">
        <f>IFERROR(__xludf.DUMMYFUNCTION("""COMPUTED_VALUE"""),"")</f>
        <v/>
      </c>
      <c r="M808" s="250" t="str">
        <f>IFERROR(__xludf.DUMMYFUNCTION("""COMPUTED_VALUE"""),"")</f>
        <v/>
      </c>
      <c r="N808" s="250" t="str">
        <f>IFERROR(__xludf.DUMMYFUNCTION("""COMPUTED_VALUE"""),"")</f>
        <v/>
      </c>
      <c r="O808" s="250" t="str">
        <f>IFERROR(__xludf.DUMMYFUNCTION("""COMPUTED_VALUE"""),"")</f>
        <v/>
      </c>
      <c r="P808" s="250" t="str">
        <f>IFERROR(__xludf.DUMMYFUNCTION("""COMPUTED_VALUE"""),"")</f>
        <v/>
      </c>
      <c r="Q808" s="250" t="str">
        <f>IFERROR(__xludf.DUMMYFUNCTION("""COMPUTED_VALUE"""),"")</f>
        <v/>
      </c>
      <c r="R808" s="250" t="str">
        <f>IFERROR(__xludf.DUMMYFUNCTION("""COMPUTED_VALUE"""),"")</f>
        <v/>
      </c>
      <c r="U808" s="250" t="str">
        <f>IFERROR(__xludf.DUMMYFUNCTION("""COMPUTED_VALUE"""),"#N/A")</f>
        <v>#N/A</v>
      </c>
      <c r="V808" s="250" t="str">
        <f>IFERROR(__xludf.DUMMYFUNCTION("""COMPUTED_VALUE"""),"#N/A")</f>
        <v>#N/A</v>
      </c>
      <c r="W808" s="250" t="str">
        <f>IFERROR(__xludf.DUMMYFUNCTION("""COMPUTED_VALUE"""),"#N/A")</f>
        <v>#N/A</v>
      </c>
      <c r="X808" t="b">
        <f t="shared" ref="X808:Z808" si="1592">ISBLANK(K808)</f>
        <v>1</v>
      </c>
      <c r="Y808" t="b">
        <f t="shared" si="1592"/>
        <v>0</v>
      </c>
      <c r="Z808" t="b">
        <f t="shared" si="1592"/>
        <v>0</v>
      </c>
      <c r="AA808">
        <f t="shared" ref="AA808:AC808" si="1593">IF(X808=FALSE,1,0)</f>
        <v>0</v>
      </c>
      <c r="AB808">
        <f t="shared" si="1593"/>
        <v>1</v>
      </c>
      <c r="AC808">
        <f t="shared" si="1593"/>
        <v>1</v>
      </c>
      <c r="AD808">
        <f t="shared" si="6"/>
        <v>2</v>
      </c>
      <c r="AE808">
        <f t="shared" si="7"/>
        <v>1</v>
      </c>
      <c r="AF808">
        <f>if(iferror(vlookup($A808,'Description Database'!$E$2:$H$951,3,0),0)=TRUE,1,0)</f>
        <v>0</v>
      </c>
      <c r="AG808">
        <f>if(iferror(vlookup($A808,'Description Database'!$E$2:$H$951,4,0),0)=TRUE,1,0)</f>
        <v>0</v>
      </c>
    </row>
    <row r="809">
      <c r="A809" t="str">
        <f>IFERROR(__xludf.DUMMYFUNCTION("""COMPUTED_VALUE"""),"Vivo Z1 Pro (6 GB/64 GB)")</f>
        <v>Vivo Z1 Pro (6 GB/64 GB)</v>
      </c>
      <c r="B809" t="str">
        <f>IFERROR(__xludf.DUMMYFUNCTION("""COMPUTED_VALUE"""),"")</f>
        <v/>
      </c>
      <c r="C809" t="str">
        <f>IFERROR(__xludf.DUMMYFUNCTION("""COMPUTED_VALUE"""),"")</f>
        <v/>
      </c>
      <c r="D809" t="str">
        <f>IFERROR(__xludf.DUMMYFUNCTION("""COMPUTED_VALUE"""),"")</f>
        <v/>
      </c>
      <c r="E809" t="str">
        <f>IFERROR(__xludf.DUMMYFUNCTION("""COMPUTED_VALUE"""),"")</f>
        <v/>
      </c>
      <c r="F809" t="str">
        <f>IFERROR(__xludf.DUMMYFUNCTION("""COMPUTED_VALUE"""),"")</f>
        <v/>
      </c>
      <c r="G809" t="str">
        <f>IFERROR(__xludf.DUMMYFUNCTION("""COMPUTED_VALUE"""),"")</f>
        <v/>
      </c>
      <c r="H809" t="str">
        <f>IFERROR(__xludf.DUMMYFUNCTION("""COMPUTED_VALUE"""),"")</f>
        <v/>
      </c>
      <c r="I809" t="str">
        <f>IFERROR(__xludf.DUMMYFUNCTION("""COMPUTED_VALUE"""),"")</f>
        <v/>
      </c>
      <c r="J809">
        <f>IFERROR(__xludf.DUMMYFUNCTION("""COMPUTED_VALUE"""),0.0)</f>
        <v>0</v>
      </c>
      <c r="L809" s="250" t="str">
        <f>IFERROR(__xludf.DUMMYFUNCTION("""COMPUTED_VALUE"""),"")</f>
        <v/>
      </c>
      <c r="M809" s="250" t="str">
        <f>IFERROR(__xludf.DUMMYFUNCTION("""COMPUTED_VALUE"""),"")</f>
        <v/>
      </c>
      <c r="N809" s="250" t="str">
        <f>IFERROR(__xludf.DUMMYFUNCTION("""COMPUTED_VALUE"""),"")</f>
        <v/>
      </c>
      <c r="O809" s="250" t="str">
        <f>IFERROR(__xludf.DUMMYFUNCTION("""COMPUTED_VALUE"""),"")</f>
        <v/>
      </c>
      <c r="P809" s="250" t="str">
        <f>IFERROR(__xludf.DUMMYFUNCTION("""COMPUTED_VALUE"""),"")</f>
        <v/>
      </c>
      <c r="Q809" s="250" t="str">
        <f>IFERROR(__xludf.DUMMYFUNCTION("""COMPUTED_VALUE"""),"")</f>
        <v/>
      </c>
      <c r="R809" s="250" t="str">
        <f>IFERROR(__xludf.DUMMYFUNCTION("""COMPUTED_VALUE"""),"")</f>
        <v/>
      </c>
      <c r="U809" s="250">
        <f>IFERROR(__xludf.DUMMYFUNCTION("""COMPUTED_VALUE"""),10959.0)</f>
        <v>10959</v>
      </c>
      <c r="V809" s="250">
        <f>IFERROR(__xludf.DUMMYFUNCTION("""COMPUTED_VALUE"""),10429.0)</f>
        <v>10429</v>
      </c>
      <c r="W809" s="250">
        <f>IFERROR(__xludf.DUMMYFUNCTION("""COMPUTED_VALUE"""),9389.0)</f>
        <v>9389</v>
      </c>
      <c r="X809" t="b">
        <f t="shared" ref="X809:Z809" si="1594">ISBLANK(K809)</f>
        <v>1</v>
      </c>
      <c r="Y809" t="b">
        <f t="shared" si="1594"/>
        <v>0</v>
      </c>
      <c r="Z809" t="b">
        <f t="shared" si="1594"/>
        <v>0</v>
      </c>
      <c r="AA809">
        <f t="shared" ref="AA809:AC809" si="1595">IF(X809=FALSE,1,0)</f>
        <v>0</v>
      </c>
      <c r="AB809">
        <f t="shared" si="1595"/>
        <v>1</v>
      </c>
      <c r="AC809">
        <f t="shared" si="1595"/>
        <v>1</v>
      </c>
      <c r="AD809">
        <f t="shared" si="6"/>
        <v>2</v>
      </c>
      <c r="AE809">
        <f t="shared" si="7"/>
        <v>1</v>
      </c>
      <c r="AF809">
        <f>if(iferror(vlookup($A809,'Description Database'!$E$2:$H$951,3,0),0)=TRUE,1,0)</f>
        <v>0</v>
      </c>
      <c r="AG809">
        <f>if(iferror(vlookup($A809,'Description Database'!$E$2:$H$951,4,0),0)=TRUE,1,0)</f>
        <v>0</v>
      </c>
    </row>
    <row r="810">
      <c r="A810" t="str">
        <f>IFERROR(__xludf.DUMMYFUNCTION("""COMPUTED_VALUE"""),"Asus Zenfone 3 (3 GB/32 GB)")</f>
        <v>Asus Zenfone 3 (3 GB/32 GB)</v>
      </c>
      <c r="B810" t="str">
        <f>IFERROR(__xludf.DUMMYFUNCTION("""COMPUTED_VALUE"""),"")</f>
        <v/>
      </c>
      <c r="C810" t="str">
        <f>IFERROR(__xludf.DUMMYFUNCTION("""COMPUTED_VALUE"""),"")</f>
        <v/>
      </c>
      <c r="D810" t="str">
        <f>IFERROR(__xludf.DUMMYFUNCTION("""COMPUTED_VALUE"""),"")</f>
        <v/>
      </c>
      <c r="E810" t="str">
        <f>IFERROR(__xludf.DUMMYFUNCTION("""COMPUTED_VALUE"""),"")</f>
        <v/>
      </c>
      <c r="F810" t="str">
        <f>IFERROR(__xludf.DUMMYFUNCTION("""COMPUTED_VALUE"""),"")</f>
        <v/>
      </c>
      <c r="G810" t="str">
        <f>IFERROR(__xludf.DUMMYFUNCTION("""COMPUTED_VALUE"""),"")</f>
        <v/>
      </c>
      <c r="H810" t="str">
        <f>IFERROR(__xludf.DUMMYFUNCTION("""COMPUTED_VALUE"""),"")</f>
        <v/>
      </c>
      <c r="I810" t="str">
        <f>IFERROR(__xludf.DUMMYFUNCTION("""COMPUTED_VALUE"""),"")</f>
        <v/>
      </c>
      <c r="J810">
        <f>IFERROR(__xludf.DUMMYFUNCTION("""COMPUTED_VALUE"""),0.0)</f>
        <v>0</v>
      </c>
      <c r="L810" s="250" t="str">
        <f>IFERROR(__xludf.DUMMYFUNCTION("""COMPUTED_VALUE"""),"")</f>
        <v/>
      </c>
      <c r="M810" s="250" t="str">
        <f>IFERROR(__xludf.DUMMYFUNCTION("""COMPUTED_VALUE"""),"")</f>
        <v/>
      </c>
      <c r="N810" s="250" t="str">
        <f>IFERROR(__xludf.DUMMYFUNCTION("""COMPUTED_VALUE"""),"")</f>
        <v/>
      </c>
      <c r="O810" s="250" t="str">
        <f>IFERROR(__xludf.DUMMYFUNCTION("""COMPUTED_VALUE"""),"")</f>
        <v/>
      </c>
      <c r="P810" s="250" t="str">
        <f>IFERROR(__xludf.DUMMYFUNCTION("""COMPUTED_VALUE"""),"")</f>
        <v/>
      </c>
      <c r="Q810" s="250" t="str">
        <f>IFERROR(__xludf.DUMMYFUNCTION("""COMPUTED_VALUE"""),"")</f>
        <v/>
      </c>
      <c r="R810" s="250" t="str">
        <f>IFERROR(__xludf.DUMMYFUNCTION("""COMPUTED_VALUE"""),"")</f>
        <v/>
      </c>
      <c r="U810" s="250">
        <f>IFERROR(__xludf.DUMMYFUNCTION("""COMPUTED_VALUE"""),4009.0)</f>
        <v>4009</v>
      </c>
      <c r="V810" s="250">
        <f>IFERROR(__xludf.DUMMYFUNCTION("""COMPUTED_VALUE"""),3809.0)</f>
        <v>3809</v>
      </c>
      <c r="W810" s="250">
        <f>IFERROR(__xludf.DUMMYFUNCTION("""COMPUTED_VALUE"""),3439.0)</f>
        <v>3439</v>
      </c>
      <c r="X810" t="b">
        <f t="shared" ref="X810:Z810" si="1596">ISBLANK(K810)</f>
        <v>1</v>
      </c>
      <c r="Y810" t="b">
        <f t="shared" si="1596"/>
        <v>0</v>
      </c>
      <c r="Z810" t="b">
        <f t="shared" si="1596"/>
        <v>0</v>
      </c>
      <c r="AA810">
        <f t="shared" ref="AA810:AC810" si="1597">IF(X810=FALSE,1,0)</f>
        <v>0</v>
      </c>
      <c r="AB810">
        <f t="shared" si="1597"/>
        <v>1</v>
      </c>
      <c r="AC810">
        <f t="shared" si="1597"/>
        <v>1</v>
      </c>
      <c r="AD810">
        <f t="shared" si="6"/>
        <v>2</v>
      </c>
      <c r="AE810">
        <f t="shared" si="7"/>
        <v>1</v>
      </c>
      <c r="AF810">
        <f>if(iferror(vlookup($A810,'Description Database'!$E$2:$H$951,3,0),0)=TRUE,1,0)</f>
        <v>0</v>
      </c>
      <c r="AG810">
        <f>if(iferror(vlookup($A810,'Description Database'!$E$2:$H$951,4,0),0)=TRUE,1,0)</f>
        <v>0</v>
      </c>
    </row>
    <row r="811">
      <c r="A811" t="str">
        <f>IFERROR(__xludf.DUMMYFUNCTION("""COMPUTED_VALUE"""),"Xiaomi REDMI 8(3 GB/32GB)")</f>
        <v>Xiaomi REDMI 8(3 GB/32GB)</v>
      </c>
      <c r="B811" t="str">
        <f>IFERROR(__xludf.DUMMYFUNCTION("""COMPUTED_VALUE"""),"")</f>
        <v/>
      </c>
      <c r="C811" t="str">
        <f>IFERROR(__xludf.DUMMYFUNCTION("""COMPUTED_VALUE"""),"")</f>
        <v/>
      </c>
      <c r="D811" t="str">
        <f>IFERROR(__xludf.DUMMYFUNCTION("""COMPUTED_VALUE"""),"")</f>
        <v/>
      </c>
      <c r="E811" t="str">
        <f>IFERROR(__xludf.DUMMYFUNCTION("""COMPUTED_VALUE"""),"")</f>
        <v/>
      </c>
      <c r="F811" t="str">
        <f>IFERROR(__xludf.DUMMYFUNCTION("""COMPUTED_VALUE"""),"")</f>
        <v/>
      </c>
      <c r="G811" t="str">
        <f>IFERROR(__xludf.DUMMYFUNCTION("""COMPUTED_VALUE"""),"")</f>
        <v/>
      </c>
      <c r="H811" t="str">
        <f>IFERROR(__xludf.DUMMYFUNCTION("""COMPUTED_VALUE"""),"")</f>
        <v/>
      </c>
      <c r="I811" t="str">
        <f>IFERROR(__xludf.DUMMYFUNCTION("""COMPUTED_VALUE"""),"")</f>
        <v/>
      </c>
      <c r="J811">
        <f>IFERROR(__xludf.DUMMYFUNCTION("""COMPUTED_VALUE"""),0.0)</f>
        <v>0</v>
      </c>
      <c r="L811" s="250" t="str">
        <f>IFERROR(__xludf.DUMMYFUNCTION("""COMPUTED_VALUE"""),"")</f>
        <v/>
      </c>
      <c r="M811" s="250" t="str">
        <f>IFERROR(__xludf.DUMMYFUNCTION("""COMPUTED_VALUE"""),"")</f>
        <v/>
      </c>
      <c r="N811" s="250" t="str">
        <f>IFERROR(__xludf.DUMMYFUNCTION("""COMPUTED_VALUE"""),"")</f>
        <v/>
      </c>
      <c r="O811" s="250" t="str">
        <f>IFERROR(__xludf.DUMMYFUNCTION("""COMPUTED_VALUE"""),"")</f>
        <v/>
      </c>
      <c r="P811" s="250" t="str">
        <f>IFERROR(__xludf.DUMMYFUNCTION("""COMPUTED_VALUE"""),"")</f>
        <v/>
      </c>
      <c r="Q811" s="250" t="str">
        <f>IFERROR(__xludf.DUMMYFUNCTION("""COMPUTED_VALUE"""),"")</f>
        <v/>
      </c>
      <c r="R811" s="250" t="str">
        <f>IFERROR(__xludf.DUMMYFUNCTION("""COMPUTED_VALUE"""),"")</f>
        <v/>
      </c>
      <c r="U811" s="250" t="str">
        <f>IFERROR(__xludf.DUMMYFUNCTION("""COMPUTED_VALUE"""),"#N/A")</f>
        <v>#N/A</v>
      </c>
      <c r="V811" s="250" t="str">
        <f>IFERROR(__xludf.DUMMYFUNCTION("""COMPUTED_VALUE"""),"#N/A")</f>
        <v>#N/A</v>
      </c>
      <c r="W811" s="250" t="str">
        <f>IFERROR(__xludf.DUMMYFUNCTION("""COMPUTED_VALUE"""),"#N/A")</f>
        <v>#N/A</v>
      </c>
      <c r="X811" t="b">
        <f t="shared" ref="X811:Z811" si="1598">ISBLANK(K811)</f>
        <v>1</v>
      </c>
      <c r="Y811" t="b">
        <f t="shared" si="1598"/>
        <v>0</v>
      </c>
      <c r="Z811" t="b">
        <f t="shared" si="1598"/>
        <v>0</v>
      </c>
      <c r="AA811">
        <f t="shared" ref="AA811:AC811" si="1599">IF(X811=FALSE,1,0)</f>
        <v>0</v>
      </c>
      <c r="AB811">
        <f t="shared" si="1599"/>
        <v>1</v>
      </c>
      <c r="AC811">
        <f t="shared" si="1599"/>
        <v>1</v>
      </c>
      <c r="AD811">
        <f t="shared" si="6"/>
        <v>2</v>
      </c>
      <c r="AE811">
        <f t="shared" si="7"/>
        <v>1</v>
      </c>
      <c r="AF811">
        <f>if(iferror(vlookup($A811,'Description Database'!$E$2:$H$951,3,0),0)=TRUE,1,0)</f>
        <v>0</v>
      </c>
      <c r="AG811">
        <f>if(iferror(vlookup($A811,'Description Database'!$E$2:$H$951,4,0),0)=TRUE,1,0)</f>
        <v>0</v>
      </c>
    </row>
    <row r="812">
      <c r="A812" t="str">
        <f>IFERROR(__xludf.DUMMYFUNCTION("""COMPUTED_VALUE"""),"Realme 5(4 GB/128GB)")</f>
        <v>Realme 5(4 GB/128GB)</v>
      </c>
      <c r="B812" t="str">
        <f>IFERROR(__xludf.DUMMYFUNCTION("""COMPUTED_VALUE"""),"")</f>
        <v/>
      </c>
      <c r="C812" t="str">
        <f>IFERROR(__xludf.DUMMYFUNCTION("""COMPUTED_VALUE"""),"")</f>
        <v/>
      </c>
      <c r="D812" t="str">
        <f>IFERROR(__xludf.DUMMYFUNCTION("""COMPUTED_VALUE"""),"")</f>
        <v/>
      </c>
      <c r="E812" t="str">
        <f>IFERROR(__xludf.DUMMYFUNCTION("""COMPUTED_VALUE"""),"")</f>
        <v/>
      </c>
      <c r="F812" t="str">
        <f>IFERROR(__xludf.DUMMYFUNCTION("""COMPUTED_VALUE"""),"")</f>
        <v/>
      </c>
      <c r="G812" t="str">
        <f>IFERROR(__xludf.DUMMYFUNCTION("""COMPUTED_VALUE"""),"")</f>
        <v/>
      </c>
      <c r="H812" t="str">
        <f>IFERROR(__xludf.DUMMYFUNCTION("""COMPUTED_VALUE"""),"")</f>
        <v/>
      </c>
      <c r="I812" t="str">
        <f>IFERROR(__xludf.DUMMYFUNCTION("""COMPUTED_VALUE"""),"")</f>
        <v/>
      </c>
      <c r="J812">
        <f>IFERROR(__xludf.DUMMYFUNCTION("""COMPUTED_VALUE"""),0.0)</f>
        <v>0</v>
      </c>
      <c r="L812" s="250" t="str">
        <f>IFERROR(__xludf.DUMMYFUNCTION("""COMPUTED_VALUE"""),"")</f>
        <v/>
      </c>
      <c r="M812" s="250" t="str">
        <f>IFERROR(__xludf.DUMMYFUNCTION("""COMPUTED_VALUE"""),"")</f>
        <v/>
      </c>
      <c r="N812" s="250" t="str">
        <f>IFERROR(__xludf.DUMMYFUNCTION("""COMPUTED_VALUE"""),"")</f>
        <v/>
      </c>
      <c r="O812" s="250" t="str">
        <f>IFERROR(__xludf.DUMMYFUNCTION("""COMPUTED_VALUE"""),"")</f>
        <v/>
      </c>
      <c r="P812" s="250" t="str">
        <f>IFERROR(__xludf.DUMMYFUNCTION("""COMPUTED_VALUE"""),"")</f>
        <v/>
      </c>
      <c r="Q812" s="250" t="str">
        <f>IFERROR(__xludf.DUMMYFUNCTION("""COMPUTED_VALUE"""),"")</f>
        <v/>
      </c>
      <c r="R812" s="250" t="str">
        <f>IFERROR(__xludf.DUMMYFUNCTION("""COMPUTED_VALUE"""),"")</f>
        <v/>
      </c>
      <c r="U812" s="250" t="str">
        <f>IFERROR(__xludf.DUMMYFUNCTION("""COMPUTED_VALUE"""),"#N/A")</f>
        <v>#N/A</v>
      </c>
      <c r="V812" s="250" t="str">
        <f>IFERROR(__xludf.DUMMYFUNCTION("""COMPUTED_VALUE"""),"#N/A")</f>
        <v>#N/A</v>
      </c>
      <c r="W812" s="250" t="str">
        <f>IFERROR(__xludf.DUMMYFUNCTION("""COMPUTED_VALUE"""),"#N/A")</f>
        <v>#N/A</v>
      </c>
      <c r="X812" t="b">
        <f t="shared" ref="X812:Z812" si="1600">ISBLANK(K812)</f>
        <v>1</v>
      </c>
      <c r="Y812" t="b">
        <f t="shared" si="1600"/>
        <v>0</v>
      </c>
      <c r="Z812" t="b">
        <f t="shared" si="1600"/>
        <v>0</v>
      </c>
      <c r="AA812">
        <f t="shared" ref="AA812:AC812" si="1601">IF(X812=FALSE,1,0)</f>
        <v>0</v>
      </c>
      <c r="AB812">
        <f t="shared" si="1601"/>
        <v>1</v>
      </c>
      <c r="AC812">
        <f t="shared" si="1601"/>
        <v>1</v>
      </c>
      <c r="AD812">
        <f t="shared" si="6"/>
        <v>2</v>
      </c>
      <c r="AE812">
        <f t="shared" si="7"/>
        <v>1</v>
      </c>
      <c r="AF812">
        <f>if(iferror(vlookup($A812,'Description Database'!$E$2:$H$951,3,0),0)=TRUE,1,0)</f>
        <v>0</v>
      </c>
      <c r="AG812">
        <f>if(iferror(vlookup($A812,'Description Database'!$E$2:$H$951,4,0),0)=TRUE,1,0)</f>
        <v>0</v>
      </c>
    </row>
    <row r="813">
      <c r="A813" t="str">
        <f>IFERROR(__xludf.DUMMYFUNCTION("""COMPUTED_VALUE"""),"Realme 5 Pro (6 GB/64 GB)")</f>
        <v>Realme 5 Pro (6 GB/64 GB)</v>
      </c>
      <c r="B813" t="str">
        <f>IFERROR(__xludf.DUMMYFUNCTION("""COMPUTED_VALUE"""),"")</f>
        <v/>
      </c>
      <c r="C813" t="str">
        <f>IFERROR(__xludf.DUMMYFUNCTION("""COMPUTED_VALUE"""),"")</f>
        <v/>
      </c>
      <c r="D813" t="str">
        <f>IFERROR(__xludf.DUMMYFUNCTION("""COMPUTED_VALUE"""),"")</f>
        <v/>
      </c>
      <c r="E813" t="str">
        <f>IFERROR(__xludf.DUMMYFUNCTION("""COMPUTED_VALUE"""),"")</f>
        <v/>
      </c>
      <c r="F813" t="str">
        <f>IFERROR(__xludf.DUMMYFUNCTION("""COMPUTED_VALUE"""),"")</f>
        <v/>
      </c>
      <c r="G813" t="str">
        <f>IFERROR(__xludf.DUMMYFUNCTION("""COMPUTED_VALUE"""),"")</f>
        <v/>
      </c>
      <c r="H813" t="str">
        <f>IFERROR(__xludf.DUMMYFUNCTION("""COMPUTED_VALUE"""),"")</f>
        <v/>
      </c>
      <c r="I813" t="str">
        <f>IFERROR(__xludf.DUMMYFUNCTION("""COMPUTED_VALUE"""),"")</f>
        <v/>
      </c>
      <c r="J813">
        <f>IFERROR(__xludf.DUMMYFUNCTION("""COMPUTED_VALUE"""),0.0)</f>
        <v>0</v>
      </c>
      <c r="L813" s="250" t="str">
        <f>IFERROR(__xludf.DUMMYFUNCTION("""COMPUTED_VALUE"""),"")</f>
        <v/>
      </c>
      <c r="M813" s="250" t="str">
        <f>IFERROR(__xludf.DUMMYFUNCTION("""COMPUTED_VALUE"""),"")</f>
        <v/>
      </c>
      <c r="N813" s="250" t="str">
        <f>IFERROR(__xludf.DUMMYFUNCTION("""COMPUTED_VALUE"""),"")</f>
        <v/>
      </c>
      <c r="O813" s="250" t="str">
        <f>IFERROR(__xludf.DUMMYFUNCTION("""COMPUTED_VALUE"""),"")</f>
        <v/>
      </c>
      <c r="P813" s="250" t="str">
        <f>IFERROR(__xludf.DUMMYFUNCTION("""COMPUTED_VALUE"""),"")</f>
        <v/>
      </c>
      <c r="Q813" s="250" t="str">
        <f>IFERROR(__xludf.DUMMYFUNCTION("""COMPUTED_VALUE"""),"")</f>
        <v/>
      </c>
      <c r="R813" s="250" t="str">
        <f>IFERROR(__xludf.DUMMYFUNCTION("""COMPUTED_VALUE"""),"")</f>
        <v/>
      </c>
      <c r="U813" s="250">
        <f>IFERROR(__xludf.DUMMYFUNCTION("""COMPUTED_VALUE"""),10379.0)</f>
        <v>10379</v>
      </c>
      <c r="V813" s="250">
        <f>IFERROR(__xludf.DUMMYFUNCTION("""COMPUTED_VALUE"""),9879.0)</f>
        <v>9879</v>
      </c>
      <c r="W813" s="250">
        <f>IFERROR(__xludf.DUMMYFUNCTION("""COMPUTED_VALUE"""),8889.0)</f>
        <v>8889</v>
      </c>
      <c r="X813" t="b">
        <f t="shared" ref="X813:Z813" si="1602">ISBLANK(K813)</f>
        <v>1</v>
      </c>
      <c r="Y813" t="b">
        <f t="shared" si="1602"/>
        <v>0</v>
      </c>
      <c r="Z813" t="b">
        <f t="shared" si="1602"/>
        <v>0</v>
      </c>
      <c r="AA813">
        <f t="shared" ref="AA813:AC813" si="1603">IF(X813=FALSE,1,0)</f>
        <v>0</v>
      </c>
      <c r="AB813">
        <f t="shared" si="1603"/>
        <v>1</v>
      </c>
      <c r="AC813">
        <f t="shared" si="1603"/>
        <v>1</v>
      </c>
      <c r="AD813">
        <f t="shared" si="6"/>
        <v>2</v>
      </c>
      <c r="AE813">
        <f t="shared" si="7"/>
        <v>1</v>
      </c>
      <c r="AF813">
        <f>if(iferror(vlookup($A813,'Description Database'!$E$2:$H$951,3,0),0)=TRUE,1,0)</f>
        <v>0</v>
      </c>
      <c r="AG813">
        <f>if(iferror(vlookup($A813,'Description Database'!$E$2:$H$951,4,0),0)=TRUE,1,0)</f>
        <v>0</v>
      </c>
    </row>
    <row r="814">
      <c r="A814" t="str">
        <f>IFERROR(__xludf.DUMMYFUNCTION("""COMPUTED_VALUE"""),"Samsung Galaxy On7 (1.5 GB/8 GB)")</f>
        <v>Samsung Galaxy On7 (1.5 GB/8 GB)</v>
      </c>
      <c r="B814" t="str">
        <f>IFERROR(__xludf.DUMMYFUNCTION("""COMPUTED_VALUE"""),"")</f>
        <v/>
      </c>
      <c r="C814" t="str">
        <f>IFERROR(__xludf.DUMMYFUNCTION("""COMPUTED_VALUE"""),"")</f>
        <v/>
      </c>
      <c r="D814" t="str">
        <f>IFERROR(__xludf.DUMMYFUNCTION("""COMPUTED_VALUE"""),"")</f>
        <v/>
      </c>
      <c r="E814" t="str">
        <f>IFERROR(__xludf.DUMMYFUNCTION("""COMPUTED_VALUE"""),"")</f>
        <v/>
      </c>
      <c r="F814" t="str">
        <f>IFERROR(__xludf.DUMMYFUNCTION("""COMPUTED_VALUE"""),"")</f>
        <v/>
      </c>
      <c r="G814" t="str">
        <f>IFERROR(__xludf.DUMMYFUNCTION("""COMPUTED_VALUE"""),"")</f>
        <v/>
      </c>
      <c r="H814" t="str">
        <f>IFERROR(__xludf.DUMMYFUNCTION("""COMPUTED_VALUE"""),"")</f>
        <v/>
      </c>
      <c r="I814">
        <f>IFERROR(__xludf.DUMMYFUNCTION("""COMPUTED_VALUE"""),35.0)</f>
        <v>35</v>
      </c>
      <c r="J814">
        <f>IFERROR(__xludf.DUMMYFUNCTION("""COMPUTED_VALUE"""),35.0)</f>
        <v>35</v>
      </c>
      <c r="L814" s="250" t="str">
        <f>IFERROR(__xludf.DUMMYFUNCTION("""COMPUTED_VALUE"""),"")</f>
        <v/>
      </c>
      <c r="M814" s="250" t="str">
        <f>IFERROR(__xludf.DUMMYFUNCTION("""COMPUTED_VALUE"""),"")</f>
        <v/>
      </c>
      <c r="N814" s="250" t="str">
        <f>IFERROR(__xludf.DUMMYFUNCTION("""COMPUTED_VALUE"""),"")</f>
        <v/>
      </c>
      <c r="O814" s="250" t="str">
        <f>IFERROR(__xludf.DUMMYFUNCTION("""COMPUTED_VALUE"""),"")</f>
        <v/>
      </c>
      <c r="P814" s="250" t="str">
        <f>IFERROR(__xludf.DUMMYFUNCTION("""COMPUTED_VALUE"""),"")</f>
        <v/>
      </c>
      <c r="Q814" s="250" t="str">
        <f>IFERROR(__xludf.DUMMYFUNCTION("""COMPUTED_VALUE"""),"")</f>
        <v/>
      </c>
      <c r="R814" s="250" t="str">
        <f>IFERROR(__xludf.DUMMYFUNCTION("""COMPUTED_VALUE"""),"")</f>
        <v/>
      </c>
      <c r="U814" s="250">
        <f>IFERROR(__xludf.DUMMYFUNCTION("""COMPUTED_VALUE"""),3669.0)</f>
        <v>3669</v>
      </c>
      <c r="V814" s="250">
        <f>IFERROR(__xludf.DUMMYFUNCTION("""COMPUTED_VALUE"""),3489.0)</f>
        <v>3489</v>
      </c>
      <c r="W814" s="250">
        <f>IFERROR(__xludf.DUMMYFUNCTION("""COMPUTED_VALUE"""),3139.0)</f>
        <v>3139</v>
      </c>
      <c r="X814" t="b">
        <f t="shared" ref="X814:Z814" si="1604">ISBLANK(K814)</f>
        <v>1</v>
      </c>
      <c r="Y814" t="b">
        <f t="shared" si="1604"/>
        <v>0</v>
      </c>
      <c r="Z814" t="b">
        <f t="shared" si="1604"/>
        <v>0</v>
      </c>
      <c r="AA814">
        <f t="shared" ref="AA814:AC814" si="1605">IF(X814=FALSE,1,0)</f>
        <v>0</v>
      </c>
      <c r="AB814">
        <f t="shared" si="1605"/>
        <v>1</v>
      </c>
      <c r="AC814">
        <f t="shared" si="1605"/>
        <v>1</v>
      </c>
      <c r="AD814">
        <f t="shared" si="6"/>
        <v>2</v>
      </c>
      <c r="AE814">
        <f t="shared" si="7"/>
        <v>1</v>
      </c>
      <c r="AF814">
        <f>if(iferror(vlookup($A814,'Description Database'!$E$2:$H$951,3,0),0)=TRUE,1,0)</f>
        <v>0</v>
      </c>
      <c r="AG814">
        <f>if(iferror(vlookup($A814,'Description Database'!$E$2:$H$951,4,0),0)=TRUE,1,0)</f>
        <v>0</v>
      </c>
    </row>
    <row r="815">
      <c r="A815" t="str">
        <f>IFERROR(__xludf.DUMMYFUNCTION("""COMPUTED_VALUE"""),"Samsung Galaxy Grand Neo Plus(1 GB/8GB)")</f>
        <v>Samsung Galaxy Grand Neo Plus(1 GB/8GB)</v>
      </c>
      <c r="B815" t="str">
        <f>IFERROR(__xludf.DUMMYFUNCTION("""COMPUTED_VALUE"""),"")</f>
        <v/>
      </c>
      <c r="C815" t="str">
        <f>IFERROR(__xludf.DUMMYFUNCTION("""COMPUTED_VALUE"""),"")</f>
        <v/>
      </c>
      <c r="D815" t="str">
        <f>IFERROR(__xludf.DUMMYFUNCTION("""COMPUTED_VALUE"""),"")</f>
        <v/>
      </c>
      <c r="E815" t="str">
        <f>IFERROR(__xludf.DUMMYFUNCTION("""COMPUTED_VALUE"""),"")</f>
        <v/>
      </c>
      <c r="F815" t="str">
        <f>IFERROR(__xludf.DUMMYFUNCTION("""COMPUTED_VALUE"""),"")</f>
        <v/>
      </c>
      <c r="G815" t="str">
        <f>IFERROR(__xludf.DUMMYFUNCTION("""COMPUTED_VALUE"""),"")</f>
        <v/>
      </c>
      <c r="H815" t="str">
        <f>IFERROR(__xludf.DUMMYFUNCTION("""COMPUTED_VALUE"""),"")</f>
        <v/>
      </c>
      <c r="I815" t="str">
        <f>IFERROR(__xludf.DUMMYFUNCTION("""COMPUTED_VALUE"""),"")</f>
        <v/>
      </c>
      <c r="J815">
        <f>IFERROR(__xludf.DUMMYFUNCTION("""COMPUTED_VALUE"""),0.0)</f>
        <v>0</v>
      </c>
      <c r="L815" s="250" t="str">
        <f>IFERROR(__xludf.DUMMYFUNCTION("""COMPUTED_VALUE"""),"")</f>
        <v/>
      </c>
      <c r="M815" s="250" t="str">
        <f>IFERROR(__xludf.DUMMYFUNCTION("""COMPUTED_VALUE"""),"")</f>
        <v/>
      </c>
      <c r="N815" s="250" t="str">
        <f>IFERROR(__xludf.DUMMYFUNCTION("""COMPUTED_VALUE"""),"")</f>
        <v/>
      </c>
      <c r="O815" s="250" t="str">
        <f>IFERROR(__xludf.DUMMYFUNCTION("""COMPUTED_VALUE"""),"")</f>
        <v/>
      </c>
      <c r="P815" s="250" t="str">
        <f>IFERROR(__xludf.DUMMYFUNCTION("""COMPUTED_VALUE"""),"")</f>
        <v/>
      </c>
      <c r="Q815" s="250" t="str">
        <f>IFERROR(__xludf.DUMMYFUNCTION("""COMPUTED_VALUE"""),"")</f>
        <v/>
      </c>
      <c r="R815" s="250" t="str">
        <f>IFERROR(__xludf.DUMMYFUNCTION("""COMPUTED_VALUE"""),"")</f>
        <v/>
      </c>
      <c r="U815" s="250" t="str">
        <f>IFERROR(__xludf.DUMMYFUNCTION("""COMPUTED_VALUE"""),"#N/A")</f>
        <v>#N/A</v>
      </c>
      <c r="V815" s="250" t="str">
        <f>IFERROR(__xludf.DUMMYFUNCTION("""COMPUTED_VALUE"""),"#N/A")</f>
        <v>#N/A</v>
      </c>
      <c r="W815" s="250" t="str">
        <f>IFERROR(__xludf.DUMMYFUNCTION("""COMPUTED_VALUE"""),"#N/A")</f>
        <v>#N/A</v>
      </c>
      <c r="X815" t="b">
        <f t="shared" ref="X815:Z815" si="1606">ISBLANK(K815)</f>
        <v>1</v>
      </c>
      <c r="Y815" t="b">
        <f t="shared" si="1606"/>
        <v>0</v>
      </c>
      <c r="Z815" t="b">
        <f t="shared" si="1606"/>
        <v>0</v>
      </c>
      <c r="AA815">
        <f t="shared" ref="AA815:AC815" si="1607">IF(X815=FALSE,1,0)</f>
        <v>0</v>
      </c>
      <c r="AB815">
        <f t="shared" si="1607"/>
        <v>1</v>
      </c>
      <c r="AC815">
        <f t="shared" si="1607"/>
        <v>1</v>
      </c>
      <c r="AD815">
        <f t="shared" si="6"/>
        <v>2</v>
      </c>
      <c r="AE815">
        <f t="shared" si="7"/>
        <v>1</v>
      </c>
      <c r="AF815">
        <f>if(iferror(vlookup($A815,'Description Database'!$E$2:$H$951,3,0),0)=TRUE,1,0)</f>
        <v>0</v>
      </c>
      <c r="AG815">
        <f>if(iferror(vlookup($A815,'Description Database'!$E$2:$H$951,4,0),0)=TRUE,1,0)</f>
        <v>0</v>
      </c>
    </row>
    <row r="816">
      <c r="A816" t="str">
        <f>IFERROR(__xludf.DUMMYFUNCTION("""COMPUTED_VALUE"""),"Realme REALME U1(3 GB/32GB)")</f>
        <v>Realme REALME U1(3 GB/32GB)</v>
      </c>
      <c r="B816" t="str">
        <f>IFERROR(__xludf.DUMMYFUNCTION("""COMPUTED_VALUE"""),"")</f>
        <v/>
      </c>
      <c r="C816" t="str">
        <f>IFERROR(__xludf.DUMMYFUNCTION("""COMPUTED_VALUE"""),"")</f>
        <v/>
      </c>
      <c r="D816" t="str">
        <f>IFERROR(__xludf.DUMMYFUNCTION("""COMPUTED_VALUE"""),"")</f>
        <v/>
      </c>
      <c r="E816" t="str">
        <f>IFERROR(__xludf.DUMMYFUNCTION("""COMPUTED_VALUE"""),"")</f>
        <v/>
      </c>
      <c r="F816" t="str">
        <f>IFERROR(__xludf.DUMMYFUNCTION("""COMPUTED_VALUE"""),"")</f>
        <v/>
      </c>
      <c r="G816" t="str">
        <f>IFERROR(__xludf.DUMMYFUNCTION("""COMPUTED_VALUE"""),"")</f>
        <v/>
      </c>
      <c r="H816" t="str">
        <f>IFERROR(__xludf.DUMMYFUNCTION("""COMPUTED_VALUE"""),"")</f>
        <v/>
      </c>
      <c r="I816" t="str">
        <f>IFERROR(__xludf.DUMMYFUNCTION("""COMPUTED_VALUE"""),"")</f>
        <v/>
      </c>
      <c r="J816">
        <f>IFERROR(__xludf.DUMMYFUNCTION("""COMPUTED_VALUE"""),0.0)</f>
        <v>0</v>
      </c>
      <c r="L816" s="250" t="str">
        <f>IFERROR(__xludf.DUMMYFUNCTION("""COMPUTED_VALUE"""),"")</f>
        <v/>
      </c>
      <c r="M816" s="250" t="str">
        <f>IFERROR(__xludf.DUMMYFUNCTION("""COMPUTED_VALUE"""),"")</f>
        <v/>
      </c>
      <c r="N816" s="250" t="str">
        <f>IFERROR(__xludf.DUMMYFUNCTION("""COMPUTED_VALUE"""),"")</f>
        <v/>
      </c>
      <c r="O816" s="250" t="str">
        <f>IFERROR(__xludf.DUMMYFUNCTION("""COMPUTED_VALUE"""),"")</f>
        <v/>
      </c>
      <c r="P816" s="250" t="str">
        <f>IFERROR(__xludf.DUMMYFUNCTION("""COMPUTED_VALUE"""),"")</f>
        <v/>
      </c>
      <c r="Q816" s="250" t="str">
        <f>IFERROR(__xludf.DUMMYFUNCTION("""COMPUTED_VALUE"""),"")</f>
        <v/>
      </c>
      <c r="R816" s="250" t="str">
        <f>IFERROR(__xludf.DUMMYFUNCTION("""COMPUTED_VALUE"""),"")</f>
        <v/>
      </c>
      <c r="U816" s="250" t="str">
        <f>IFERROR(__xludf.DUMMYFUNCTION("""COMPUTED_VALUE"""),"#N/A")</f>
        <v>#N/A</v>
      </c>
      <c r="V816" s="250" t="str">
        <f>IFERROR(__xludf.DUMMYFUNCTION("""COMPUTED_VALUE"""),"#N/A")</f>
        <v>#N/A</v>
      </c>
      <c r="W816" s="250" t="str">
        <f>IFERROR(__xludf.DUMMYFUNCTION("""COMPUTED_VALUE"""),"#N/A")</f>
        <v>#N/A</v>
      </c>
      <c r="X816" t="b">
        <f t="shared" ref="X816:Z816" si="1608">ISBLANK(K816)</f>
        <v>1</v>
      </c>
      <c r="Y816" t="b">
        <f t="shared" si="1608"/>
        <v>0</v>
      </c>
      <c r="Z816" t="b">
        <f t="shared" si="1608"/>
        <v>0</v>
      </c>
      <c r="AA816">
        <f t="shared" ref="AA816:AC816" si="1609">IF(X816=FALSE,1,0)</f>
        <v>0</v>
      </c>
      <c r="AB816">
        <f t="shared" si="1609"/>
        <v>1</v>
      </c>
      <c r="AC816">
        <f t="shared" si="1609"/>
        <v>1</v>
      </c>
      <c r="AD816">
        <f t="shared" si="6"/>
        <v>2</v>
      </c>
      <c r="AE816">
        <f t="shared" si="7"/>
        <v>1</v>
      </c>
      <c r="AF816">
        <f>if(iferror(vlookup($A816,'Description Database'!$E$2:$H$951,3,0),0)=TRUE,1,0)</f>
        <v>0</v>
      </c>
      <c r="AG816">
        <f>if(iferror(vlookup($A816,'Description Database'!$E$2:$H$951,4,0),0)=TRUE,1,0)</f>
        <v>0</v>
      </c>
    </row>
    <row r="817">
      <c r="A817" t="str">
        <f>IFERROR(__xludf.DUMMYFUNCTION("""COMPUTED_VALUE"""),"Realme Realme C3(3 GB/32GB)")</f>
        <v>Realme Realme C3(3 GB/32GB)</v>
      </c>
      <c r="B817" t="str">
        <f>IFERROR(__xludf.DUMMYFUNCTION("""COMPUTED_VALUE"""),"")</f>
        <v/>
      </c>
      <c r="C817" t="str">
        <f>IFERROR(__xludf.DUMMYFUNCTION("""COMPUTED_VALUE"""),"")</f>
        <v/>
      </c>
      <c r="D817" t="str">
        <f>IFERROR(__xludf.DUMMYFUNCTION("""COMPUTED_VALUE"""),"")</f>
        <v/>
      </c>
      <c r="E817" t="str">
        <f>IFERROR(__xludf.DUMMYFUNCTION("""COMPUTED_VALUE"""),"")</f>
        <v/>
      </c>
      <c r="F817" t="str">
        <f>IFERROR(__xludf.DUMMYFUNCTION("""COMPUTED_VALUE"""),"")</f>
        <v/>
      </c>
      <c r="G817" t="str">
        <f>IFERROR(__xludf.DUMMYFUNCTION("""COMPUTED_VALUE"""),"")</f>
        <v/>
      </c>
      <c r="H817" t="str">
        <f>IFERROR(__xludf.DUMMYFUNCTION("""COMPUTED_VALUE"""),"")</f>
        <v/>
      </c>
      <c r="I817">
        <f>IFERROR(__xludf.DUMMYFUNCTION("""COMPUTED_VALUE"""),3.0)</f>
        <v>3</v>
      </c>
      <c r="J817">
        <f>IFERROR(__xludf.DUMMYFUNCTION("""COMPUTED_VALUE"""),3.0)</f>
        <v>3</v>
      </c>
      <c r="L817" s="250" t="str">
        <f>IFERROR(__xludf.DUMMYFUNCTION("""COMPUTED_VALUE"""),"")</f>
        <v/>
      </c>
      <c r="M817" s="250" t="str">
        <f>IFERROR(__xludf.DUMMYFUNCTION("""COMPUTED_VALUE"""),"")</f>
        <v/>
      </c>
      <c r="N817" s="250" t="str">
        <f>IFERROR(__xludf.DUMMYFUNCTION("""COMPUTED_VALUE"""),"")</f>
        <v/>
      </c>
      <c r="O817" s="250" t="str">
        <f>IFERROR(__xludf.DUMMYFUNCTION("""COMPUTED_VALUE"""),"")</f>
        <v/>
      </c>
      <c r="P817" s="250" t="str">
        <f>IFERROR(__xludf.DUMMYFUNCTION("""COMPUTED_VALUE"""),"")</f>
        <v/>
      </c>
      <c r="Q817" s="250" t="str">
        <f>IFERROR(__xludf.DUMMYFUNCTION("""COMPUTED_VALUE"""),"")</f>
        <v/>
      </c>
      <c r="R817" s="250" t="str">
        <f>IFERROR(__xludf.DUMMYFUNCTION("""COMPUTED_VALUE"""),"")</f>
        <v/>
      </c>
      <c r="U817" s="250" t="str">
        <f>IFERROR(__xludf.DUMMYFUNCTION("""COMPUTED_VALUE"""),"#N/A")</f>
        <v>#N/A</v>
      </c>
      <c r="V817" s="250" t="str">
        <f>IFERROR(__xludf.DUMMYFUNCTION("""COMPUTED_VALUE"""),"#N/A")</f>
        <v>#N/A</v>
      </c>
      <c r="W817" s="250" t="str">
        <f>IFERROR(__xludf.DUMMYFUNCTION("""COMPUTED_VALUE"""),"#N/A")</f>
        <v>#N/A</v>
      </c>
      <c r="X817" t="b">
        <f t="shared" ref="X817:Z817" si="1610">ISBLANK(K817)</f>
        <v>1</v>
      </c>
      <c r="Y817" t="b">
        <f t="shared" si="1610"/>
        <v>0</v>
      </c>
      <c r="Z817" t="b">
        <f t="shared" si="1610"/>
        <v>0</v>
      </c>
      <c r="AA817">
        <f t="shared" ref="AA817:AC817" si="1611">IF(X817=FALSE,1,0)</f>
        <v>0</v>
      </c>
      <c r="AB817">
        <f t="shared" si="1611"/>
        <v>1</v>
      </c>
      <c r="AC817">
        <f t="shared" si="1611"/>
        <v>1</v>
      </c>
      <c r="AD817">
        <f t="shared" si="6"/>
        <v>2</v>
      </c>
      <c r="AE817">
        <f t="shared" si="7"/>
        <v>1</v>
      </c>
      <c r="AF817">
        <f>if(iferror(vlookup($A817,'Description Database'!$E$2:$H$951,3,0),0)=TRUE,1,0)</f>
        <v>0</v>
      </c>
      <c r="AG817">
        <f>if(iferror(vlookup($A817,'Description Database'!$E$2:$H$951,4,0),0)=TRUE,1,0)</f>
        <v>0</v>
      </c>
    </row>
    <row r="818">
      <c r="A818" t="str">
        <f>IFERROR(__xludf.DUMMYFUNCTION("""COMPUTED_VALUE"""),"Vivo Z1X(6 GB/64GB)")</f>
        <v>Vivo Z1X(6 GB/64GB)</v>
      </c>
      <c r="B818" t="str">
        <f>IFERROR(__xludf.DUMMYFUNCTION("""COMPUTED_VALUE"""),"")</f>
        <v/>
      </c>
      <c r="C818" t="str">
        <f>IFERROR(__xludf.DUMMYFUNCTION("""COMPUTED_VALUE"""),"")</f>
        <v/>
      </c>
      <c r="D818" t="str">
        <f>IFERROR(__xludf.DUMMYFUNCTION("""COMPUTED_VALUE"""),"")</f>
        <v/>
      </c>
      <c r="E818" t="str">
        <f>IFERROR(__xludf.DUMMYFUNCTION("""COMPUTED_VALUE"""),"")</f>
        <v/>
      </c>
      <c r="F818" t="str">
        <f>IFERROR(__xludf.DUMMYFUNCTION("""COMPUTED_VALUE"""),"")</f>
        <v/>
      </c>
      <c r="G818" t="str">
        <f>IFERROR(__xludf.DUMMYFUNCTION("""COMPUTED_VALUE"""),"")</f>
        <v/>
      </c>
      <c r="H818" t="str">
        <f>IFERROR(__xludf.DUMMYFUNCTION("""COMPUTED_VALUE"""),"")</f>
        <v/>
      </c>
      <c r="I818" t="str">
        <f>IFERROR(__xludf.DUMMYFUNCTION("""COMPUTED_VALUE"""),"")</f>
        <v/>
      </c>
      <c r="J818">
        <f>IFERROR(__xludf.DUMMYFUNCTION("""COMPUTED_VALUE"""),0.0)</f>
        <v>0</v>
      </c>
      <c r="L818" s="250" t="str">
        <f>IFERROR(__xludf.DUMMYFUNCTION("""COMPUTED_VALUE"""),"")</f>
        <v/>
      </c>
      <c r="M818" s="250" t="str">
        <f>IFERROR(__xludf.DUMMYFUNCTION("""COMPUTED_VALUE"""),"")</f>
        <v/>
      </c>
      <c r="N818" s="250" t="str">
        <f>IFERROR(__xludf.DUMMYFUNCTION("""COMPUTED_VALUE"""),"")</f>
        <v/>
      </c>
      <c r="O818" s="250" t="str">
        <f>IFERROR(__xludf.DUMMYFUNCTION("""COMPUTED_VALUE"""),"")</f>
        <v/>
      </c>
      <c r="P818" s="250" t="str">
        <f>IFERROR(__xludf.DUMMYFUNCTION("""COMPUTED_VALUE"""),"")</f>
        <v/>
      </c>
      <c r="Q818" s="250" t="str">
        <f>IFERROR(__xludf.DUMMYFUNCTION("""COMPUTED_VALUE"""),"")</f>
        <v/>
      </c>
      <c r="R818" s="250" t="str">
        <f>IFERROR(__xludf.DUMMYFUNCTION("""COMPUTED_VALUE"""),"")</f>
        <v/>
      </c>
      <c r="U818" s="250" t="str">
        <f>IFERROR(__xludf.DUMMYFUNCTION("""COMPUTED_VALUE"""),"#N/A")</f>
        <v>#N/A</v>
      </c>
      <c r="V818" s="250" t="str">
        <f>IFERROR(__xludf.DUMMYFUNCTION("""COMPUTED_VALUE"""),"#N/A")</f>
        <v>#N/A</v>
      </c>
      <c r="W818" s="250" t="str">
        <f>IFERROR(__xludf.DUMMYFUNCTION("""COMPUTED_VALUE"""),"#N/A")</f>
        <v>#N/A</v>
      </c>
      <c r="X818" t="b">
        <f t="shared" ref="X818:Z818" si="1612">ISBLANK(K818)</f>
        <v>1</v>
      </c>
      <c r="Y818" t="b">
        <f t="shared" si="1612"/>
        <v>0</v>
      </c>
      <c r="Z818" t="b">
        <f t="shared" si="1612"/>
        <v>0</v>
      </c>
      <c r="AA818">
        <f t="shared" ref="AA818:AC818" si="1613">IF(X818=FALSE,1,0)</f>
        <v>0</v>
      </c>
      <c r="AB818">
        <f t="shared" si="1613"/>
        <v>1</v>
      </c>
      <c r="AC818">
        <f t="shared" si="1613"/>
        <v>1</v>
      </c>
      <c r="AD818">
        <f t="shared" si="6"/>
        <v>2</v>
      </c>
      <c r="AE818">
        <f t="shared" si="7"/>
        <v>1</v>
      </c>
      <c r="AF818">
        <f>if(iferror(vlookup($A818,'Description Database'!$E$2:$H$951,3,0),0)=TRUE,1,0)</f>
        <v>0</v>
      </c>
      <c r="AG818">
        <f>if(iferror(vlookup($A818,'Description Database'!$E$2:$H$951,4,0),0)=TRUE,1,0)</f>
        <v>0</v>
      </c>
    </row>
    <row r="819">
      <c r="A819" t="str">
        <f>IFERROR(__xludf.DUMMYFUNCTION("""COMPUTED_VALUE"""),"Oppo K1(4 GB 64GB)")</f>
        <v>Oppo K1(4 GB 64GB)</v>
      </c>
      <c r="B819" t="str">
        <f>IFERROR(__xludf.DUMMYFUNCTION("""COMPUTED_VALUE"""),"")</f>
        <v/>
      </c>
      <c r="C819" t="str">
        <f>IFERROR(__xludf.DUMMYFUNCTION("""COMPUTED_VALUE"""),"")</f>
        <v/>
      </c>
      <c r="D819" t="str">
        <f>IFERROR(__xludf.DUMMYFUNCTION("""COMPUTED_VALUE"""),"")</f>
        <v/>
      </c>
      <c r="E819" t="str">
        <f>IFERROR(__xludf.DUMMYFUNCTION("""COMPUTED_VALUE"""),"")</f>
        <v/>
      </c>
      <c r="F819" t="str">
        <f>IFERROR(__xludf.DUMMYFUNCTION("""COMPUTED_VALUE"""),"")</f>
        <v/>
      </c>
      <c r="G819" t="str">
        <f>IFERROR(__xludf.DUMMYFUNCTION("""COMPUTED_VALUE"""),"")</f>
        <v/>
      </c>
      <c r="H819" t="str">
        <f>IFERROR(__xludf.DUMMYFUNCTION("""COMPUTED_VALUE"""),"")</f>
        <v/>
      </c>
      <c r="I819">
        <f>IFERROR(__xludf.DUMMYFUNCTION("""COMPUTED_VALUE"""),1.0)</f>
        <v>1</v>
      </c>
      <c r="J819">
        <f>IFERROR(__xludf.DUMMYFUNCTION("""COMPUTED_VALUE"""),1.0)</f>
        <v>1</v>
      </c>
      <c r="L819" s="250" t="str">
        <f>IFERROR(__xludf.DUMMYFUNCTION("""COMPUTED_VALUE"""),"")</f>
        <v/>
      </c>
      <c r="M819" s="250" t="str">
        <f>IFERROR(__xludf.DUMMYFUNCTION("""COMPUTED_VALUE"""),"")</f>
        <v/>
      </c>
      <c r="N819" s="250" t="str">
        <f>IFERROR(__xludf.DUMMYFUNCTION("""COMPUTED_VALUE"""),"")</f>
        <v/>
      </c>
      <c r="O819" s="250" t="str">
        <f>IFERROR(__xludf.DUMMYFUNCTION("""COMPUTED_VALUE"""),"")</f>
        <v/>
      </c>
      <c r="P819" s="250" t="str">
        <f>IFERROR(__xludf.DUMMYFUNCTION("""COMPUTED_VALUE"""),"")</f>
        <v/>
      </c>
      <c r="Q819" s="250" t="str">
        <f>IFERROR(__xludf.DUMMYFUNCTION("""COMPUTED_VALUE"""),"")</f>
        <v/>
      </c>
      <c r="R819" s="250" t="str">
        <f>IFERROR(__xludf.DUMMYFUNCTION("""COMPUTED_VALUE"""),"")</f>
        <v/>
      </c>
      <c r="U819" s="250" t="str">
        <f>IFERROR(__xludf.DUMMYFUNCTION("""COMPUTED_VALUE"""),"#N/A")</f>
        <v>#N/A</v>
      </c>
      <c r="V819" s="250" t="str">
        <f>IFERROR(__xludf.DUMMYFUNCTION("""COMPUTED_VALUE"""),"#N/A")</f>
        <v>#N/A</v>
      </c>
      <c r="W819" s="250" t="str">
        <f>IFERROR(__xludf.DUMMYFUNCTION("""COMPUTED_VALUE"""),"#N/A")</f>
        <v>#N/A</v>
      </c>
      <c r="X819" t="b">
        <f t="shared" ref="X819:Z819" si="1614">ISBLANK(K819)</f>
        <v>1</v>
      </c>
      <c r="Y819" t="b">
        <f t="shared" si="1614"/>
        <v>0</v>
      </c>
      <c r="Z819" t="b">
        <f t="shared" si="1614"/>
        <v>0</v>
      </c>
      <c r="AA819">
        <f t="shared" ref="AA819:AC819" si="1615">IF(X819=FALSE,1,0)</f>
        <v>0</v>
      </c>
      <c r="AB819">
        <f t="shared" si="1615"/>
        <v>1</v>
      </c>
      <c r="AC819">
        <f t="shared" si="1615"/>
        <v>1</v>
      </c>
      <c r="AD819">
        <f t="shared" si="6"/>
        <v>2</v>
      </c>
      <c r="AE819">
        <f t="shared" si="7"/>
        <v>1</v>
      </c>
      <c r="AF819">
        <f>if(iferror(vlookup($A819,'Description Database'!$E$2:$H$951,3,0),0)=TRUE,1,0)</f>
        <v>0</v>
      </c>
      <c r="AG819">
        <f>if(iferror(vlookup($A819,'Description Database'!$E$2:$H$951,4,0),0)=TRUE,1,0)</f>
        <v>0</v>
      </c>
    </row>
    <row r="820">
      <c r="A820" t="str">
        <f>IFERROR(__xludf.DUMMYFUNCTION("""COMPUTED_VALUE"""),"Lenovo A7700(2 GB /16GB)")</f>
        <v>Lenovo A7700(2 GB /16GB)</v>
      </c>
      <c r="B820" t="str">
        <f>IFERROR(__xludf.DUMMYFUNCTION("""COMPUTED_VALUE"""),"")</f>
        <v/>
      </c>
      <c r="C820" t="str">
        <f>IFERROR(__xludf.DUMMYFUNCTION("""COMPUTED_VALUE"""),"")</f>
        <v/>
      </c>
      <c r="D820" t="str">
        <f>IFERROR(__xludf.DUMMYFUNCTION("""COMPUTED_VALUE"""),"")</f>
        <v/>
      </c>
      <c r="E820" t="str">
        <f>IFERROR(__xludf.DUMMYFUNCTION("""COMPUTED_VALUE"""),"")</f>
        <v/>
      </c>
      <c r="F820" t="str">
        <f>IFERROR(__xludf.DUMMYFUNCTION("""COMPUTED_VALUE"""),"")</f>
        <v/>
      </c>
      <c r="G820" t="str">
        <f>IFERROR(__xludf.DUMMYFUNCTION("""COMPUTED_VALUE"""),"")</f>
        <v/>
      </c>
      <c r="H820" t="str">
        <f>IFERROR(__xludf.DUMMYFUNCTION("""COMPUTED_VALUE"""),"")</f>
        <v/>
      </c>
      <c r="I820" t="str">
        <f>IFERROR(__xludf.DUMMYFUNCTION("""COMPUTED_VALUE"""),"")</f>
        <v/>
      </c>
      <c r="J820">
        <f>IFERROR(__xludf.DUMMYFUNCTION("""COMPUTED_VALUE"""),0.0)</f>
        <v>0</v>
      </c>
      <c r="L820" s="250" t="str">
        <f>IFERROR(__xludf.DUMMYFUNCTION("""COMPUTED_VALUE"""),"")</f>
        <v/>
      </c>
      <c r="M820" s="250" t="str">
        <f>IFERROR(__xludf.DUMMYFUNCTION("""COMPUTED_VALUE"""),"")</f>
        <v/>
      </c>
      <c r="N820" s="250" t="str">
        <f>IFERROR(__xludf.DUMMYFUNCTION("""COMPUTED_VALUE"""),"")</f>
        <v/>
      </c>
      <c r="O820" s="250" t="str">
        <f>IFERROR(__xludf.DUMMYFUNCTION("""COMPUTED_VALUE"""),"")</f>
        <v/>
      </c>
      <c r="P820" s="250" t="str">
        <f>IFERROR(__xludf.DUMMYFUNCTION("""COMPUTED_VALUE"""),"")</f>
        <v/>
      </c>
      <c r="Q820" s="250" t="str">
        <f>IFERROR(__xludf.DUMMYFUNCTION("""COMPUTED_VALUE"""),"")</f>
        <v/>
      </c>
      <c r="R820" s="250" t="str">
        <f>IFERROR(__xludf.DUMMYFUNCTION("""COMPUTED_VALUE"""),"")</f>
        <v/>
      </c>
      <c r="U820" s="250" t="str">
        <f>IFERROR(__xludf.DUMMYFUNCTION("""COMPUTED_VALUE"""),"#N/A")</f>
        <v>#N/A</v>
      </c>
      <c r="V820" s="250" t="str">
        <f>IFERROR(__xludf.DUMMYFUNCTION("""COMPUTED_VALUE"""),"#N/A")</f>
        <v>#N/A</v>
      </c>
      <c r="W820" s="250" t="str">
        <f>IFERROR(__xludf.DUMMYFUNCTION("""COMPUTED_VALUE"""),"#N/A")</f>
        <v>#N/A</v>
      </c>
      <c r="X820" t="b">
        <f t="shared" ref="X820:Z820" si="1616">ISBLANK(K820)</f>
        <v>1</v>
      </c>
      <c r="Y820" t="b">
        <f t="shared" si="1616"/>
        <v>0</v>
      </c>
      <c r="Z820" t="b">
        <f t="shared" si="1616"/>
        <v>0</v>
      </c>
      <c r="AA820">
        <f t="shared" ref="AA820:AC820" si="1617">IF(X820=FALSE,1,0)</f>
        <v>0</v>
      </c>
      <c r="AB820">
        <f t="shared" si="1617"/>
        <v>1</v>
      </c>
      <c r="AC820">
        <f t="shared" si="1617"/>
        <v>1</v>
      </c>
      <c r="AD820">
        <f t="shared" si="6"/>
        <v>2</v>
      </c>
      <c r="AE820">
        <f t="shared" si="7"/>
        <v>1</v>
      </c>
      <c r="AF820">
        <f>if(iferror(vlookup($A820,'Description Database'!$E$2:$H$951,3,0),0)=TRUE,1,0)</f>
        <v>0</v>
      </c>
      <c r="AG820">
        <f>if(iferror(vlookup($A820,'Description Database'!$E$2:$H$951,4,0),0)=TRUE,1,0)</f>
        <v>0</v>
      </c>
    </row>
    <row r="821">
      <c r="A821" t="str">
        <f>IFERROR(__xludf.DUMMYFUNCTION("""COMPUTED_VALUE"""),"Samsung GALAXY A9(8 GB/128GB)")</f>
        <v>Samsung GALAXY A9(8 GB/128GB)</v>
      </c>
      <c r="B821" t="str">
        <f>IFERROR(__xludf.DUMMYFUNCTION("""COMPUTED_VALUE"""),"")</f>
        <v/>
      </c>
      <c r="C821" t="str">
        <f>IFERROR(__xludf.DUMMYFUNCTION("""COMPUTED_VALUE"""),"")</f>
        <v/>
      </c>
      <c r="D821" t="str">
        <f>IFERROR(__xludf.DUMMYFUNCTION("""COMPUTED_VALUE"""),"")</f>
        <v/>
      </c>
      <c r="E821" t="str">
        <f>IFERROR(__xludf.DUMMYFUNCTION("""COMPUTED_VALUE"""),"")</f>
        <v/>
      </c>
      <c r="F821" t="str">
        <f>IFERROR(__xludf.DUMMYFUNCTION("""COMPUTED_VALUE"""),"")</f>
        <v/>
      </c>
      <c r="G821" t="str">
        <f>IFERROR(__xludf.DUMMYFUNCTION("""COMPUTED_VALUE"""),"")</f>
        <v/>
      </c>
      <c r="H821" t="str">
        <f>IFERROR(__xludf.DUMMYFUNCTION("""COMPUTED_VALUE"""),"")</f>
        <v/>
      </c>
      <c r="I821" t="str">
        <f>IFERROR(__xludf.DUMMYFUNCTION("""COMPUTED_VALUE"""),"")</f>
        <v/>
      </c>
      <c r="J821">
        <f>IFERROR(__xludf.DUMMYFUNCTION("""COMPUTED_VALUE"""),0.0)</f>
        <v>0</v>
      </c>
      <c r="L821" s="250" t="str">
        <f>IFERROR(__xludf.DUMMYFUNCTION("""COMPUTED_VALUE"""),"")</f>
        <v/>
      </c>
      <c r="M821" s="250" t="str">
        <f>IFERROR(__xludf.DUMMYFUNCTION("""COMPUTED_VALUE"""),"")</f>
        <v/>
      </c>
      <c r="N821" s="250" t="str">
        <f>IFERROR(__xludf.DUMMYFUNCTION("""COMPUTED_VALUE"""),"")</f>
        <v/>
      </c>
      <c r="O821" s="250" t="str">
        <f>IFERROR(__xludf.DUMMYFUNCTION("""COMPUTED_VALUE"""),"")</f>
        <v/>
      </c>
      <c r="P821" s="250" t="str">
        <f>IFERROR(__xludf.DUMMYFUNCTION("""COMPUTED_VALUE"""),"")</f>
        <v/>
      </c>
      <c r="Q821" s="250" t="str">
        <f>IFERROR(__xludf.DUMMYFUNCTION("""COMPUTED_VALUE"""),"")</f>
        <v/>
      </c>
      <c r="R821" s="250" t="str">
        <f>IFERROR(__xludf.DUMMYFUNCTION("""COMPUTED_VALUE"""),"")</f>
        <v/>
      </c>
      <c r="U821" s="250" t="str">
        <f>IFERROR(__xludf.DUMMYFUNCTION("""COMPUTED_VALUE"""),"#N/A")</f>
        <v>#N/A</v>
      </c>
      <c r="V821" s="250" t="str">
        <f>IFERROR(__xludf.DUMMYFUNCTION("""COMPUTED_VALUE"""),"#N/A")</f>
        <v>#N/A</v>
      </c>
      <c r="W821" s="250" t="str">
        <f>IFERROR(__xludf.DUMMYFUNCTION("""COMPUTED_VALUE"""),"#N/A")</f>
        <v>#N/A</v>
      </c>
      <c r="X821" t="b">
        <f t="shared" ref="X821:Z821" si="1618">ISBLANK(K821)</f>
        <v>1</v>
      </c>
      <c r="Y821" t="b">
        <f t="shared" si="1618"/>
        <v>0</v>
      </c>
      <c r="Z821" t="b">
        <f t="shared" si="1618"/>
        <v>0</v>
      </c>
      <c r="AA821">
        <f t="shared" ref="AA821:AC821" si="1619">IF(X821=FALSE,1,0)</f>
        <v>0</v>
      </c>
      <c r="AB821">
        <f t="shared" si="1619"/>
        <v>1</v>
      </c>
      <c r="AC821">
        <f t="shared" si="1619"/>
        <v>1</v>
      </c>
      <c r="AD821">
        <f t="shared" si="6"/>
        <v>2</v>
      </c>
      <c r="AE821">
        <f t="shared" si="7"/>
        <v>1</v>
      </c>
      <c r="AF821">
        <f>if(iferror(vlookup($A821,'Description Database'!$E$2:$H$951,3,0),0)=TRUE,1,0)</f>
        <v>0</v>
      </c>
      <c r="AG821">
        <f>if(iferror(vlookup($A821,'Description Database'!$E$2:$H$951,4,0),0)=TRUE,1,0)</f>
        <v>0</v>
      </c>
    </row>
    <row r="822">
      <c r="A822" t="str">
        <f>IFERROR(__xludf.DUMMYFUNCTION("""COMPUTED_VALUE"""),"Huawei HONOR HOLLY 2 PLUS(2 GB/16GB)")</f>
        <v>Huawei HONOR HOLLY 2 PLUS(2 GB/16GB)</v>
      </c>
      <c r="B822" t="str">
        <f>IFERROR(__xludf.DUMMYFUNCTION("""COMPUTED_VALUE"""),"")</f>
        <v/>
      </c>
      <c r="C822" t="str">
        <f>IFERROR(__xludf.DUMMYFUNCTION("""COMPUTED_VALUE"""),"")</f>
        <v/>
      </c>
      <c r="D822" t="str">
        <f>IFERROR(__xludf.DUMMYFUNCTION("""COMPUTED_VALUE"""),"")</f>
        <v/>
      </c>
      <c r="E822" t="str">
        <f>IFERROR(__xludf.DUMMYFUNCTION("""COMPUTED_VALUE"""),"")</f>
        <v/>
      </c>
      <c r="F822" t="str">
        <f>IFERROR(__xludf.DUMMYFUNCTION("""COMPUTED_VALUE"""),"")</f>
        <v/>
      </c>
      <c r="G822" t="str">
        <f>IFERROR(__xludf.DUMMYFUNCTION("""COMPUTED_VALUE"""),"")</f>
        <v/>
      </c>
      <c r="H822" t="str">
        <f>IFERROR(__xludf.DUMMYFUNCTION("""COMPUTED_VALUE"""),"")</f>
        <v/>
      </c>
      <c r="I822">
        <f>IFERROR(__xludf.DUMMYFUNCTION("""COMPUTED_VALUE"""),1.0)</f>
        <v>1</v>
      </c>
      <c r="J822">
        <f>IFERROR(__xludf.DUMMYFUNCTION("""COMPUTED_VALUE"""),1.0)</f>
        <v>1</v>
      </c>
      <c r="L822" s="250" t="str">
        <f>IFERROR(__xludf.DUMMYFUNCTION("""COMPUTED_VALUE"""),"")</f>
        <v/>
      </c>
      <c r="M822" s="250" t="str">
        <f>IFERROR(__xludf.DUMMYFUNCTION("""COMPUTED_VALUE"""),"")</f>
        <v/>
      </c>
      <c r="N822" s="250" t="str">
        <f>IFERROR(__xludf.DUMMYFUNCTION("""COMPUTED_VALUE"""),"")</f>
        <v/>
      </c>
      <c r="O822" s="250" t="str">
        <f>IFERROR(__xludf.DUMMYFUNCTION("""COMPUTED_VALUE"""),"")</f>
        <v/>
      </c>
      <c r="P822" s="250" t="str">
        <f>IFERROR(__xludf.DUMMYFUNCTION("""COMPUTED_VALUE"""),"")</f>
        <v/>
      </c>
      <c r="Q822" s="250" t="str">
        <f>IFERROR(__xludf.DUMMYFUNCTION("""COMPUTED_VALUE"""),"")</f>
        <v/>
      </c>
      <c r="R822" s="250" t="str">
        <f>IFERROR(__xludf.DUMMYFUNCTION("""COMPUTED_VALUE"""),"")</f>
        <v/>
      </c>
      <c r="U822" s="250" t="str">
        <f>IFERROR(__xludf.DUMMYFUNCTION("""COMPUTED_VALUE"""),"#N/A")</f>
        <v>#N/A</v>
      </c>
      <c r="V822" s="250" t="str">
        <f>IFERROR(__xludf.DUMMYFUNCTION("""COMPUTED_VALUE"""),"#N/A")</f>
        <v>#N/A</v>
      </c>
      <c r="W822" s="250" t="str">
        <f>IFERROR(__xludf.DUMMYFUNCTION("""COMPUTED_VALUE"""),"#N/A")</f>
        <v>#N/A</v>
      </c>
      <c r="X822" t="b">
        <f t="shared" ref="X822:Z822" si="1620">ISBLANK(K822)</f>
        <v>1</v>
      </c>
      <c r="Y822" t="b">
        <f t="shared" si="1620"/>
        <v>0</v>
      </c>
      <c r="Z822" t="b">
        <f t="shared" si="1620"/>
        <v>0</v>
      </c>
      <c r="AA822">
        <f t="shared" ref="AA822:AC822" si="1621">IF(X822=FALSE,1,0)</f>
        <v>0</v>
      </c>
      <c r="AB822">
        <f t="shared" si="1621"/>
        <v>1</v>
      </c>
      <c r="AC822">
        <f t="shared" si="1621"/>
        <v>1</v>
      </c>
      <c r="AD822">
        <f t="shared" si="6"/>
        <v>2</v>
      </c>
      <c r="AE822">
        <f t="shared" si="7"/>
        <v>1</v>
      </c>
      <c r="AF822">
        <f>if(iferror(vlookup($A822,'Description Database'!$E$2:$H$951,3,0),0)=TRUE,1,0)</f>
        <v>0</v>
      </c>
      <c r="AG822">
        <f>if(iferror(vlookup($A822,'Description Database'!$E$2:$H$951,4,0),0)=TRUE,1,0)</f>
        <v>0</v>
      </c>
    </row>
    <row r="823">
      <c r="A823" t="str">
        <f>IFERROR(__xludf.DUMMYFUNCTION("""COMPUTED_VALUE"""),"Motorola Moto G6 Plus (6 GB/64 GB)")</f>
        <v>Motorola Moto G6 Plus (6 GB/64 GB)</v>
      </c>
      <c r="B823" t="str">
        <f>IFERROR(__xludf.DUMMYFUNCTION("""COMPUTED_VALUE"""),"")</f>
        <v/>
      </c>
      <c r="C823" t="str">
        <f>IFERROR(__xludf.DUMMYFUNCTION("""COMPUTED_VALUE"""),"")</f>
        <v/>
      </c>
      <c r="D823" t="str">
        <f>IFERROR(__xludf.DUMMYFUNCTION("""COMPUTED_VALUE"""),"")</f>
        <v/>
      </c>
      <c r="E823" t="str">
        <f>IFERROR(__xludf.DUMMYFUNCTION("""COMPUTED_VALUE"""),"")</f>
        <v/>
      </c>
      <c r="F823" t="str">
        <f>IFERROR(__xludf.DUMMYFUNCTION("""COMPUTED_VALUE"""),"")</f>
        <v/>
      </c>
      <c r="G823" t="str">
        <f>IFERROR(__xludf.DUMMYFUNCTION("""COMPUTED_VALUE"""),"")</f>
        <v/>
      </c>
      <c r="H823" t="str">
        <f>IFERROR(__xludf.DUMMYFUNCTION("""COMPUTED_VALUE"""),"")</f>
        <v/>
      </c>
      <c r="I823">
        <f>IFERROR(__xludf.DUMMYFUNCTION("""COMPUTED_VALUE"""),2.0)</f>
        <v>2</v>
      </c>
      <c r="J823">
        <f>IFERROR(__xludf.DUMMYFUNCTION("""COMPUTED_VALUE"""),2.0)</f>
        <v>2</v>
      </c>
      <c r="L823" s="250" t="str">
        <f>IFERROR(__xludf.DUMMYFUNCTION("""COMPUTED_VALUE"""),"")</f>
        <v/>
      </c>
      <c r="M823" s="250" t="str">
        <f>IFERROR(__xludf.DUMMYFUNCTION("""COMPUTED_VALUE"""),"")</f>
        <v/>
      </c>
      <c r="N823" s="250" t="str">
        <f>IFERROR(__xludf.DUMMYFUNCTION("""COMPUTED_VALUE"""),"")</f>
        <v/>
      </c>
      <c r="O823" s="250" t="str">
        <f>IFERROR(__xludf.DUMMYFUNCTION("""COMPUTED_VALUE"""),"")</f>
        <v/>
      </c>
      <c r="P823" s="250" t="str">
        <f>IFERROR(__xludf.DUMMYFUNCTION("""COMPUTED_VALUE"""),"")</f>
        <v/>
      </c>
      <c r="Q823" s="250" t="str">
        <f>IFERROR(__xludf.DUMMYFUNCTION("""COMPUTED_VALUE"""),"")</f>
        <v/>
      </c>
      <c r="R823" s="250" t="str">
        <f>IFERROR(__xludf.DUMMYFUNCTION("""COMPUTED_VALUE"""),"")</f>
        <v/>
      </c>
      <c r="U823" s="250">
        <f>IFERROR(__xludf.DUMMYFUNCTION("""COMPUTED_VALUE"""),7369.0)</f>
        <v>7369</v>
      </c>
      <c r="V823" s="250">
        <f>IFERROR(__xludf.DUMMYFUNCTION("""COMPUTED_VALUE"""),7019.0)</f>
        <v>7019</v>
      </c>
      <c r="W823" s="250">
        <f>IFERROR(__xludf.DUMMYFUNCTION("""COMPUTED_VALUE"""),6319.0)</f>
        <v>6319</v>
      </c>
      <c r="X823" t="b">
        <f t="shared" ref="X823:Z823" si="1622">ISBLANK(K823)</f>
        <v>1</v>
      </c>
      <c r="Y823" t="b">
        <f t="shared" si="1622"/>
        <v>0</v>
      </c>
      <c r="Z823" t="b">
        <f t="shared" si="1622"/>
        <v>0</v>
      </c>
      <c r="AA823">
        <f t="shared" ref="AA823:AC823" si="1623">IF(X823=FALSE,1,0)</f>
        <v>0</v>
      </c>
      <c r="AB823">
        <f t="shared" si="1623"/>
        <v>1</v>
      </c>
      <c r="AC823">
        <f t="shared" si="1623"/>
        <v>1</v>
      </c>
      <c r="AD823">
        <f t="shared" si="6"/>
        <v>2</v>
      </c>
      <c r="AE823">
        <f t="shared" si="7"/>
        <v>1</v>
      </c>
      <c r="AF823">
        <f>if(iferror(vlookup($A823,'Description Database'!$E$2:$H$951,3,0),0)=TRUE,1,0)</f>
        <v>0</v>
      </c>
      <c r="AG823">
        <f>if(iferror(vlookup($A823,'Description Database'!$E$2:$H$951,4,0),0)=TRUE,1,0)</f>
        <v>0</v>
      </c>
    </row>
    <row r="824">
      <c r="A824" t="str">
        <f>IFERROR(__xludf.DUMMYFUNCTION("""COMPUTED_VALUE"""),"Lenovo P2 (4 GB/32 GB)")</f>
        <v>Lenovo P2 (4 GB/32 GB)</v>
      </c>
      <c r="B824" t="str">
        <f>IFERROR(__xludf.DUMMYFUNCTION("""COMPUTED_VALUE"""),"")</f>
        <v/>
      </c>
      <c r="C824" t="str">
        <f>IFERROR(__xludf.DUMMYFUNCTION("""COMPUTED_VALUE"""),"")</f>
        <v/>
      </c>
      <c r="D824" t="str">
        <f>IFERROR(__xludf.DUMMYFUNCTION("""COMPUTED_VALUE"""),"")</f>
        <v/>
      </c>
      <c r="E824" t="str">
        <f>IFERROR(__xludf.DUMMYFUNCTION("""COMPUTED_VALUE"""),"")</f>
        <v/>
      </c>
      <c r="F824" t="str">
        <f>IFERROR(__xludf.DUMMYFUNCTION("""COMPUTED_VALUE"""),"")</f>
        <v/>
      </c>
      <c r="G824" t="str">
        <f>IFERROR(__xludf.DUMMYFUNCTION("""COMPUTED_VALUE"""),"")</f>
        <v/>
      </c>
      <c r="H824" t="str">
        <f>IFERROR(__xludf.DUMMYFUNCTION("""COMPUTED_VALUE"""),"")</f>
        <v/>
      </c>
      <c r="I824" t="str">
        <f>IFERROR(__xludf.DUMMYFUNCTION("""COMPUTED_VALUE"""),"")</f>
        <v/>
      </c>
      <c r="J824">
        <f>IFERROR(__xludf.DUMMYFUNCTION("""COMPUTED_VALUE"""),0.0)</f>
        <v>0</v>
      </c>
      <c r="L824" s="250" t="str">
        <f>IFERROR(__xludf.DUMMYFUNCTION("""COMPUTED_VALUE"""),"")</f>
        <v/>
      </c>
      <c r="M824" s="250" t="str">
        <f>IFERROR(__xludf.DUMMYFUNCTION("""COMPUTED_VALUE"""),"")</f>
        <v/>
      </c>
      <c r="N824" s="250" t="str">
        <f>IFERROR(__xludf.DUMMYFUNCTION("""COMPUTED_VALUE"""),"")</f>
        <v/>
      </c>
      <c r="O824" s="250" t="str">
        <f>IFERROR(__xludf.DUMMYFUNCTION("""COMPUTED_VALUE"""),"")</f>
        <v/>
      </c>
      <c r="P824" s="250" t="str">
        <f>IFERROR(__xludf.DUMMYFUNCTION("""COMPUTED_VALUE"""),"")</f>
        <v/>
      </c>
      <c r="Q824" s="250" t="str">
        <f>IFERROR(__xludf.DUMMYFUNCTION("""COMPUTED_VALUE"""),"")</f>
        <v/>
      </c>
      <c r="R824" s="250" t="str">
        <f>IFERROR(__xludf.DUMMYFUNCTION("""COMPUTED_VALUE"""),"")</f>
        <v/>
      </c>
      <c r="U824" s="250">
        <f>IFERROR(__xludf.DUMMYFUNCTION("""COMPUTED_VALUE"""),4799.0)</f>
        <v>4799</v>
      </c>
      <c r="V824" s="250">
        <f>IFERROR(__xludf.DUMMYFUNCTION("""COMPUTED_VALUE"""),4569.0)</f>
        <v>4569</v>
      </c>
      <c r="W824" s="250">
        <f>IFERROR(__xludf.DUMMYFUNCTION("""COMPUTED_VALUE"""),4109.0)</f>
        <v>4109</v>
      </c>
      <c r="X824" t="b">
        <f t="shared" ref="X824:Z824" si="1624">ISBLANK(K824)</f>
        <v>1</v>
      </c>
      <c r="Y824" t="b">
        <f t="shared" si="1624"/>
        <v>0</v>
      </c>
      <c r="Z824" t="b">
        <f t="shared" si="1624"/>
        <v>0</v>
      </c>
      <c r="AA824">
        <f t="shared" ref="AA824:AC824" si="1625">IF(X824=FALSE,1,0)</f>
        <v>0</v>
      </c>
      <c r="AB824">
        <f t="shared" si="1625"/>
        <v>1</v>
      </c>
      <c r="AC824">
        <f t="shared" si="1625"/>
        <v>1</v>
      </c>
      <c r="AD824">
        <f t="shared" si="6"/>
        <v>2</v>
      </c>
      <c r="AE824">
        <f t="shared" si="7"/>
        <v>1</v>
      </c>
      <c r="AF824">
        <f>if(iferror(vlookup($A824,'Description Database'!$E$2:$H$951,3,0),0)=TRUE,1,0)</f>
        <v>0</v>
      </c>
      <c r="AG824">
        <f>if(iferror(vlookup($A824,'Description Database'!$E$2:$H$951,4,0),0)=TRUE,1,0)</f>
        <v>0</v>
      </c>
    </row>
    <row r="825">
      <c r="A825" t="str">
        <f>IFERROR(__xludf.DUMMYFUNCTION("""COMPUTED_VALUE"""),"Realme 1 (3 GB/32 GB)")</f>
        <v>Realme 1 (3 GB/32 GB)</v>
      </c>
      <c r="B825" t="str">
        <f>IFERROR(__xludf.DUMMYFUNCTION("""COMPUTED_VALUE"""),"")</f>
        <v/>
      </c>
      <c r="C825" t="str">
        <f>IFERROR(__xludf.DUMMYFUNCTION("""COMPUTED_VALUE"""),"")</f>
        <v/>
      </c>
      <c r="D825" t="str">
        <f>IFERROR(__xludf.DUMMYFUNCTION("""COMPUTED_VALUE"""),"")</f>
        <v/>
      </c>
      <c r="E825" t="str">
        <f>IFERROR(__xludf.DUMMYFUNCTION("""COMPUTED_VALUE"""),"")</f>
        <v/>
      </c>
      <c r="F825" t="str">
        <f>IFERROR(__xludf.DUMMYFUNCTION("""COMPUTED_VALUE"""),"")</f>
        <v/>
      </c>
      <c r="G825">
        <f>IFERROR(__xludf.DUMMYFUNCTION("""COMPUTED_VALUE"""),1.0)</f>
        <v>1</v>
      </c>
      <c r="H825" t="str">
        <f>IFERROR(__xludf.DUMMYFUNCTION("""COMPUTED_VALUE"""),"")</f>
        <v/>
      </c>
      <c r="I825" t="str">
        <f>IFERROR(__xludf.DUMMYFUNCTION("""COMPUTED_VALUE"""),"")</f>
        <v/>
      </c>
      <c r="J825">
        <f>IFERROR(__xludf.DUMMYFUNCTION("""COMPUTED_VALUE"""),1.0)</f>
        <v>1</v>
      </c>
      <c r="L825" s="250" t="str">
        <f>IFERROR(__xludf.DUMMYFUNCTION("""COMPUTED_VALUE"""),"")</f>
        <v/>
      </c>
      <c r="M825" s="250" t="str">
        <f>IFERROR(__xludf.DUMMYFUNCTION("""COMPUTED_VALUE"""),"")</f>
        <v/>
      </c>
      <c r="N825" s="250" t="str">
        <f>IFERROR(__xludf.DUMMYFUNCTION("""COMPUTED_VALUE"""),"")</f>
        <v/>
      </c>
      <c r="O825" s="250" t="str">
        <f>IFERROR(__xludf.DUMMYFUNCTION("""COMPUTED_VALUE"""),"")</f>
        <v/>
      </c>
      <c r="P825" s="250" t="str">
        <f>IFERROR(__xludf.DUMMYFUNCTION("""COMPUTED_VALUE"""),"")</f>
        <v/>
      </c>
      <c r="Q825" s="250">
        <f>IFERROR(__xludf.DUMMYFUNCTION("""COMPUTED_VALUE"""),2889.0)</f>
        <v>2889</v>
      </c>
      <c r="R825" s="250" t="str">
        <f>IFERROR(__xludf.DUMMYFUNCTION("""COMPUTED_VALUE"""),"")</f>
        <v/>
      </c>
      <c r="U825" s="250">
        <f>IFERROR(__xludf.DUMMYFUNCTION("""COMPUTED_VALUE"""),5829.0)</f>
        <v>5829</v>
      </c>
      <c r="V825" s="250">
        <f>IFERROR(__xludf.DUMMYFUNCTION("""COMPUTED_VALUE"""),5549.0)</f>
        <v>5549</v>
      </c>
      <c r="W825" s="250">
        <f>IFERROR(__xludf.DUMMYFUNCTION("""COMPUTED_VALUE"""),4999.0)</f>
        <v>4999</v>
      </c>
      <c r="X825" t="b">
        <f t="shared" ref="X825:Z825" si="1626">ISBLANK(K825)</f>
        <v>1</v>
      </c>
      <c r="Y825" t="b">
        <f t="shared" si="1626"/>
        <v>0</v>
      </c>
      <c r="Z825" t="b">
        <f t="shared" si="1626"/>
        <v>0</v>
      </c>
      <c r="AA825">
        <f t="shared" ref="AA825:AC825" si="1627">IF(X825=FALSE,1,0)</f>
        <v>0</v>
      </c>
      <c r="AB825">
        <f t="shared" si="1627"/>
        <v>1</v>
      </c>
      <c r="AC825">
        <f t="shared" si="1627"/>
        <v>1</v>
      </c>
      <c r="AD825">
        <f t="shared" si="6"/>
        <v>2</v>
      </c>
      <c r="AE825">
        <f t="shared" si="7"/>
        <v>1</v>
      </c>
      <c r="AF825">
        <f>if(iferror(vlookup($A825,'Description Database'!$E$2:$H$951,3,0),0)=TRUE,1,0)</f>
        <v>0</v>
      </c>
      <c r="AG825">
        <f>if(iferror(vlookup($A825,'Description Database'!$E$2:$H$951,4,0),0)=TRUE,1,0)</f>
        <v>0</v>
      </c>
    </row>
    <row r="826">
      <c r="A826" t="str">
        <f>IFERROR(__xludf.DUMMYFUNCTION("""COMPUTED_VALUE"""),"Realme 1 (6 GB/128 GB)")</f>
        <v>Realme 1 (6 GB/128 GB)</v>
      </c>
      <c r="B826" t="str">
        <f>IFERROR(__xludf.DUMMYFUNCTION("""COMPUTED_VALUE"""),"")</f>
        <v/>
      </c>
      <c r="C826" t="str">
        <f>IFERROR(__xludf.DUMMYFUNCTION("""COMPUTED_VALUE"""),"")</f>
        <v/>
      </c>
      <c r="D826" t="str">
        <f>IFERROR(__xludf.DUMMYFUNCTION("""COMPUTED_VALUE"""),"")</f>
        <v/>
      </c>
      <c r="E826" t="str">
        <f>IFERROR(__xludf.DUMMYFUNCTION("""COMPUTED_VALUE"""),"")</f>
        <v/>
      </c>
      <c r="F826" t="str">
        <f>IFERROR(__xludf.DUMMYFUNCTION("""COMPUTED_VALUE"""),"")</f>
        <v/>
      </c>
      <c r="G826">
        <f>IFERROR(__xludf.DUMMYFUNCTION("""COMPUTED_VALUE"""),1.0)</f>
        <v>1</v>
      </c>
      <c r="H826" t="str">
        <f>IFERROR(__xludf.DUMMYFUNCTION("""COMPUTED_VALUE"""),"")</f>
        <v/>
      </c>
      <c r="I826" t="str">
        <f>IFERROR(__xludf.DUMMYFUNCTION("""COMPUTED_VALUE"""),"")</f>
        <v/>
      </c>
      <c r="J826">
        <f>IFERROR(__xludf.DUMMYFUNCTION("""COMPUTED_VALUE"""),1.0)</f>
        <v>1</v>
      </c>
      <c r="L826" s="250" t="str">
        <f>IFERROR(__xludf.DUMMYFUNCTION("""COMPUTED_VALUE"""),"")</f>
        <v/>
      </c>
      <c r="M826" s="250" t="str">
        <f>IFERROR(__xludf.DUMMYFUNCTION("""COMPUTED_VALUE"""),"")</f>
        <v/>
      </c>
      <c r="N826" s="250" t="str">
        <f>IFERROR(__xludf.DUMMYFUNCTION("""COMPUTED_VALUE"""),"")</f>
        <v/>
      </c>
      <c r="O826" s="250" t="str">
        <f>IFERROR(__xludf.DUMMYFUNCTION("""COMPUTED_VALUE"""),"")</f>
        <v/>
      </c>
      <c r="P826" s="250" t="str">
        <f>IFERROR(__xludf.DUMMYFUNCTION("""COMPUTED_VALUE"""),"")</f>
        <v/>
      </c>
      <c r="Q826" s="250">
        <f>IFERROR(__xludf.DUMMYFUNCTION("""COMPUTED_VALUE"""),3989.0)</f>
        <v>3989</v>
      </c>
      <c r="R826" s="250" t="str">
        <f>IFERROR(__xludf.DUMMYFUNCTION("""COMPUTED_VALUE"""),"")</f>
        <v/>
      </c>
      <c r="U826" s="250">
        <f>IFERROR(__xludf.DUMMYFUNCTION("""COMPUTED_VALUE"""),7989.0)</f>
        <v>7989</v>
      </c>
      <c r="V826" s="250">
        <f>IFERROR(__xludf.DUMMYFUNCTION("""COMPUTED_VALUE"""),7599.0)</f>
        <v>7599</v>
      </c>
      <c r="W826" s="250">
        <f>IFERROR(__xludf.DUMMYFUNCTION("""COMPUTED_VALUE"""),6959.0)</f>
        <v>6959</v>
      </c>
      <c r="X826" t="b">
        <f t="shared" ref="X826:Z826" si="1628">ISBLANK(K826)</f>
        <v>1</v>
      </c>
      <c r="Y826" t="b">
        <f t="shared" si="1628"/>
        <v>0</v>
      </c>
      <c r="Z826" t="b">
        <f t="shared" si="1628"/>
        <v>0</v>
      </c>
      <c r="AA826">
        <f t="shared" ref="AA826:AC826" si="1629">IF(X826=FALSE,1,0)</f>
        <v>0</v>
      </c>
      <c r="AB826">
        <f t="shared" si="1629"/>
        <v>1</v>
      </c>
      <c r="AC826">
        <f t="shared" si="1629"/>
        <v>1</v>
      </c>
      <c r="AD826">
        <f t="shared" si="6"/>
        <v>2</v>
      </c>
      <c r="AE826">
        <f t="shared" si="7"/>
        <v>1</v>
      </c>
      <c r="AF826">
        <f>if(iferror(vlookup($A826,'Description Database'!$E$2:$H$951,3,0),0)=TRUE,1,0)</f>
        <v>0</v>
      </c>
      <c r="AG826">
        <f>if(iferror(vlookup($A826,'Description Database'!$E$2:$H$951,4,0),0)=TRUE,1,0)</f>
        <v>0</v>
      </c>
    </row>
    <row r="827">
      <c r="A827" t="str">
        <f>IFERROR(__xludf.DUMMYFUNCTION("""COMPUTED_VALUE"""),"Motorola MOTO X(2 GB/16GB)")</f>
        <v>Motorola MOTO X(2 GB/16GB)</v>
      </c>
      <c r="B827" t="str">
        <f>IFERROR(__xludf.DUMMYFUNCTION("""COMPUTED_VALUE"""),"")</f>
        <v/>
      </c>
      <c r="C827" t="str">
        <f>IFERROR(__xludf.DUMMYFUNCTION("""COMPUTED_VALUE"""),"")</f>
        <v/>
      </c>
      <c r="D827" t="str">
        <f>IFERROR(__xludf.DUMMYFUNCTION("""COMPUTED_VALUE"""),"")</f>
        <v/>
      </c>
      <c r="E827" t="str">
        <f>IFERROR(__xludf.DUMMYFUNCTION("""COMPUTED_VALUE"""),"")</f>
        <v/>
      </c>
      <c r="F827" t="str">
        <f>IFERROR(__xludf.DUMMYFUNCTION("""COMPUTED_VALUE"""),"")</f>
        <v/>
      </c>
      <c r="G827" t="str">
        <f>IFERROR(__xludf.DUMMYFUNCTION("""COMPUTED_VALUE"""),"")</f>
        <v/>
      </c>
      <c r="H827" t="str">
        <f>IFERROR(__xludf.DUMMYFUNCTION("""COMPUTED_VALUE"""),"")</f>
        <v/>
      </c>
      <c r="I827">
        <f>IFERROR(__xludf.DUMMYFUNCTION("""COMPUTED_VALUE"""),3.0)</f>
        <v>3</v>
      </c>
      <c r="J827">
        <f>IFERROR(__xludf.DUMMYFUNCTION("""COMPUTED_VALUE"""),3.0)</f>
        <v>3</v>
      </c>
      <c r="L827" s="250" t="str">
        <f>IFERROR(__xludf.DUMMYFUNCTION("""COMPUTED_VALUE"""),"")</f>
        <v/>
      </c>
      <c r="M827" s="250" t="str">
        <f>IFERROR(__xludf.DUMMYFUNCTION("""COMPUTED_VALUE"""),"")</f>
        <v/>
      </c>
      <c r="N827" s="250" t="str">
        <f>IFERROR(__xludf.DUMMYFUNCTION("""COMPUTED_VALUE"""),"")</f>
        <v/>
      </c>
      <c r="O827" s="250" t="str">
        <f>IFERROR(__xludf.DUMMYFUNCTION("""COMPUTED_VALUE"""),"")</f>
        <v/>
      </c>
      <c r="P827" s="250" t="str">
        <f>IFERROR(__xludf.DUMMYFUNCTION("""COMPUTED_VALUE"""),"")</f>
        <v/>
      </c>
      <c r="Q827" s="250" t="str">
        <f>IFERROR(__xludf.DUMMYFUNCTION("""COMPUTED_VALUE"""),"")</f>
        <v/>
      </c>
      <c r="R827" s="250" t="str">
        <f>IFERROR(__xludf.DUMMYFUNCTION("""COMPUTED_VALUE"""),"")</f>
        <v/>
      </c>
      <c r="U827" s="250" t="str">
        <f>IFERROR(__xludf.DUMMYFUNCTION("""COMPUTED_VALUE"""),"#N/A")</f>
        <v>#N/A</v>
      </c>
      <c r="V827" s="250" t="str">
        <f>IFERROR(__xludf.DUMMYFUNCTION("""COMPUTED_VALUE"""),"#N/A")</f>
        <v>#N/A</v>
      </c>
      <c r="W827" s="250" t="str">
        <f>IFERROR(__xludf.DUMMYFUNCTION("""COMPUTED_VALUE"""),"#N/A")</f>
        <v>#N/A</v>
      </c>
      <c r="X827" t="b">
        <f t="shared" ref="X827:Z827" si="1630">ISBLANK(K827)</f>
        <v>1</v>
      </c>
      <c r="Y827" t="b">
        <f t="shared" si="1630"/>
        <v>0</v>
      </c>
      <c r="Z827" t="b">
        <f t="shared" si="1630"/>
        <v>0</v>
      </c>
      <c r="AA827">
        <f t="shared" ref="AA827:AC827" si="1631">IF(X827=FALSE,1,0)</f>
        <v>0</v>
      </c>
      <c r="AB827">
        <f t="shared" si="1631"/>
        <v>1</v>
      </c>
      <c r="AC827">
        <f t="shared" si="1631"/>
        <v>1</v>
      </c>
      <c r="AD827">
        <f t="shared" si="6"/>
        <v>2</v>
      </c>
      <c r="AE827">
        <f t="shared" si="7"/>
        <v>1</v>
      </c>
      <c r="AF827">
        <f>if(iferror(vlookup($A827,'Description Database'!$E$2:$H$951,3,0),0)=TRUE,1,0)</f>
        <v>0</v>
      </c>
      <c r="AG827">
        <f>if(iferror(vlookup($A827,'Description Database'!$E$2:$H$951,4,0),0)=TRUE,1,0)</f>
        <v>0</v>
      </c>
    </row>
    <row r="828">
      <c r="A828" t="str">
        <f>IFERROR(__xludf.DUMMYFUNCTION("""COMPUTED_VALUE"""),"Oppo A5S(4 GB/64GB)")</f>
        <v>Oppo A5S(4 GB/64GB)</v>
      </c>
      <c r="B828" t="str">
        <f>IFERROR(__xludf.DUMMYFUNCTION("""COMPUTED_VALUE"""),"")</f>
        <v/>
      </c>
      <c r="C828" t="str">
        <f>IFERROR(__xludf.DUMMYFUNCTION("""COMPUTED_VALUE"""),"")</f>
        <v/>
      </c>
      <c r="D828" t="str">
        <f>IFERROR(__xludf.DUMMYFUNCTION("""COMPUTED_VALUE"""),"")</f>
        <v/>
      </c>
      <c r="E828" t="str">
        <f>IFERROR(__xludf.DUMMYFUNCTION("""COMPUTED_VALUE"""),"")</f>
        <v/>
      </c>
      <c r="F828" t="str">
        <f>IFERROR(__xludf.DUMMYFUNCTION("""COMPUTED_VALUE"""),"")</f>
        <v/>
      </c>
      <c r="G828" t="str">
        <f>IFERROR(__xludf.DUMMYFUNCTION("""COMPUTED_VALUE"""),"")</f>
        <v/>
      </c>
      <c r="H828" t="str">
        <f>IFERROR(__xludf.DUMMYFUNCTION("""COMPUTED_VALUE"""),"")</f>
        <v/>
      </c>
      <c r="I828" t="str">
        <f>IFERROR(__xludf.DUMMYFUNCTION("""COMPUTED_VALUE"""),"")</f>
        <v/>
      </c>
      <c r="J828">
        <f>IFERROR(__xludf.DUMMYFUNCTION("""COMPUTED_VALUE"""),0.0)</f>
        <v>0</v>
      </c>
      <c r="L828" s="250" t="str">
        <f>IFERROR(__xludf.DUMMYFUNCTION("""COMPUTED_VALUE"""),"")</f>
        <v/>
      </c>
      <c r="M828" s="250" t="str">
        <f>IFERROR(__xludf.DUMMYFUNCTION("""COMPUTED_VALUE"""),"")</f>
        <v/>
      </c>
      <c r="N828" s="250" t="str">
        <f>IFERROR(__xludf.DUMMYFUNCTION("""COMPUTED_VALUE"""),"")</f>
        <v/>
      </c>
      <c r="O828" s="250" t="str">
        <f>IFERROR(__xludf.DUMMYFUNCTION("""COMPUTED_VALUE"""),"")</f>
        <v/>
      </c>
      <c r="P828" s="250" t="str">
        <f>IFERROR(__xludf.DUMMYFUNCTION("""COMPUTED_VALUE"""),"")</f>
        <v/>
      </c>
      <c r="Q828" s="250" t="str">
        <f>IFERROR(__xludf.DUMMYFUNCTION("""COMPUTED_VALUE"""),"")</f>
        <v/>
      </c>
      <c r="R828" s="250" t="str">
        <f>IFERROR(__xludf.DUMMYFUNCTION("""COMPUTED_VALUE"""),"")</f>
        <v/>
      </c>
      <c r="U828" s="250" t="str">
        <f>IFERROR(__xludf.DUMMYFUNCTION("""COMPUTED_VALUE"""),"#N/A")</f>
        <v>#N/A</v>
      </c>
      <c r="V828" s="250" t="str">
        <f>IFERROR(__xludf.DUMMYFUNCTION("""COMPUTED_VALUE"""),"#N/A")</f>
        <v>#N/A</v>
      </c>
      <c r="W828" s="250" t="str">
        <f>IFERROR(__xludf.DUMMYFUNCTION("""COMPUTED_VALUE"""),"#N/A")</f>
        <v>#N/A</v>
      </c>
      <c r="X828" t="b">
        <f t="shared" ref="X828:Z828" si="1632">ISBLANK(K828)</f>
        <v>1</v>
      </c>
      <c r="Y828" t="b">
        <f t="shared" si="1632"/>
        <v>0</v>
      </c>
      <c r="Z828" t="b">
        <f t="shared" si="1632"/>
        <v>0</v>
      </c>
      <c r="AA828">
        <f t="shared" ref="AA828:AC828" si="1633">IF(X828=FALSE,1,0)</f>
        <v>0</v>
      </c>
      <c r="AB828">
        <f t="shared" si="1633"/>
        <v>1</v>
      </c>
      <c r="AC828">
        <f t="shared" si="1633"/>
        <v>1</v>
      </c>
      <c r="AD828">
        <f t="shared" si="6"/>
        <v>2</v>
      </c>
      <c r="AE828">
        <f t="shared" si="7"/>
        <v>1</v>
      </c>
      <c r="AF828">
        <f>if(iferror(vlookup($A828,'Description Database'!$E$2:$H$951,3,0),0)=TRUE,1,0)</f>
        <v>0</v>
      </c>
      <c r="AG828">
        <f>if(iferror(vlookup($A828,'Description Database'!$E$2:$H$951,4,0),0)=TRUE,1,0)</f>
        <v>0</v>
      </c>
    </row>
    <row r="829">
      <c r="A829" t="str">
        <f>IFERROR(__xludf.DUMMYFUNCTION("""COMPUTED_VALUE"""),"Google PIXEL 2 XL(4 GB/64GB)")</f>
        <v>Google PIXEL 2 XL(4 GB/64GB)</v>
      </c>
      <c r="B829" t="str">
        <f>IFERROR(__xludf.DUMMYFUNCTION("""COMPUTED_VALUE"""),"")</f>
        <v/>
      </c>
      <c r="C829" t="str">
        <f>IFERROR(__xludf.DUMMYFUNCTION("""COMPUTED_VALUE"""),"")</f>
        <v/>
      </c>
      <c r="D829" t="str">
        <f>IFERROR(__xludf.DUMMYFUNCTION("""COMPUTED_VALUE"""),"")</f>
        <v/>
      </c>
      <c r="E829" t="str">
        <f>IFERROR(__xludf.DUMMYFUNCTION("""COMPUTED_VALUE"""),"")</f>
        <v/>
      </c>
      <c r="F829" t="str">
        <f>IFERROR(__xludf.DUMMYFUNCTION("""COMPUTED_VALUE"""),"")</f>
        <v/>
      </c>
      <c r="G829" t="str">
        <f>IFERROR(__xludf.DUMMYFUNCTION("""COMPUTED_VALUE"""),"")</f>
        <v/>
      </c>
      <c r="H829" t="str">
        <f>IFERROR(__xludf.DUMMYFUNCTION("""COMPUTED_VALUE"""),"")</f>
        <v/>
      </c>
      <c r="I829" t="str">
        <f>IFERROR(__xludf.DUMMYFUNCTION("""COMPUTED_VALUE"""),"")</f>
        <v/>
      </c>
      <c r="J829">
        <f>IFERROR(__xludf.DUMMYFUNCTION("""COMPUTED_VALUE"""),0.0)</f>
        <v>0</v>
      </c>
      <c r="L829" s="250" t="str">
        <f>IFERROR(__xludf.DUMMYFUNCTION("""COMPUTED_VALUE"""),"")</f>
        <v/>
      </c>
      <c r="M829" s="250" t="str">
        <f>IFERROR(__xludf.DUMMYFUNCTION("""COMPUTED_VALUE"""),"")</f>
        <v/>
      </c>
      <c r="N829" s="250" t="str">
        <f>IFERROR(__xludf.DUMMYFUNCTION("""COMPUTED_VALUE"""),"")</f>
        <v/>
      </c>
      <c r="O829" s="250" t="str">
        <f>IFERROR(__xludf.DUMMYFUNCTION("""COMPUTED_VALUE"""),"")</f>
        <v/>
      </c>
      <c r="P829" s="250" t="str">
        <f>IFERROR(__xludf.DUMMYFUNCTION("""COMPUTED_VALUE"""),"")</f>
        <v/>
      </c>
      <c r="Q829" s="250" t="str">
        <f>IFERROR(__xludf.DUMMYFUNCTION("""COMPUTED_VALUE"""),"")</f>
        <v/>
      </c>
      <c r="R829" s="250" t="str">
        <f>IFERROR(__xludf.DUMMYFUNCTION("""COMPUTED_VALUE"""),"")</f>
        <v/>
      </c>
      <c r="U829" s="250" t="str">
        <f>IFERROR(__xludf.DUMMYFUNCTION("""COMPUTED_VALUE"""),"#N/A")</f>
        <v>#N/A</v>
      </c>
      <c r="V829" s="250" t="str">
        <f>IFERROR(__xludf.DUMMYFUNCTION("""COMPUTED_VALUE"""),"#N/A")</f>
        <v>#N/A</v>
      </c>
      <c r="W829" s="250" t="str">
        <f>IFERROR(__xludf.DUMMYFUNCTION("""COMPUTED_VALUE"""),"#N/A")</f>
        <v>#N/A</v>
      </c>
      <c r="X829" t="b">
        <f t="shared" ref="X829:Z829" si="1634">ISBLANK(K829)</f>
        <v>1</v>
      </c>
      <c r="Y829" t="b">
        <f t="shared" si="1634"/>
        <v>0</v>
      </c>
      <c r="Z829" t="b">
        <f t="shared" si="1634"/>
        <v>0</v>
      </c>
      <c r="AA829">
        <f t="shared" ref="AA829:AC829" si="1635">IF(X829=FALSE,1,0)</f>
        <v>0</v>
      </c>
      <c r="AB829">
        <f t="shared" si="1635"/>
        <v>1</v>
      </c>
      <c r="AC829">
        <f t="shared" si="1635"/>
        <v>1</v>
      </c>
      <c r="AD829">
        <f t="shared" si="6"/>
        <v>2</v>
      </c>
      <c r="AE829">
        <f t="shared" si="7"/>
        <v>1</v>
      </c>
      <c r="AF829">
        <f>if(iferror(vlookup($A829,'Description Database'!$E$2:$H$951,3,0),0)=TRUE,1,0)</f>
        <v>0</v>
      </c>
      <c r="AG829">
        <f>if(iferror(vlookup($A829,'Description Database'!$E$2:$H$951,4,0),0)=TRUE,1,0)</f>
        <v>0</v>
      </c>
    </row>
    <row r="830">
      <c r="A830" t="str">
        <f>IFERROR(__xludf.DUMMYFUNCTION("""COMPUTED_VALUE"""),"Realme 5(4 GB/64GB)")</f>
        <v>Realme 5(4 GB/64GB)</v>
      </c>
      <c r="B830" t="str">
        <f>IFERROR(__xludf.DUMMYFUNCTION("""COMPUTED_VALUE"""),"")</f>
        <v/>
      </c>
      <c r="C830" t="str">
        <f>IFERROR(__xludf.DUMMYFUNCTION("""COMPUTED_VALUE"""),"")</f>
        <v/>
      </c>
      <c r="D830" t="str">
        <f>IFERROR(__xludf.DUMMYFUNCTION("""COMPUTED_VALUE"""),"")</f>
        <v/>
      </c>
      <c r="E830" t="str">
        <f>IFERROR(__xludf.DUMMYFUNCTION("""COMPUTED_VALUE"""),"")</f>
        <v/>
      </c>
      <c r="F830">
        <f>IFERROR(__xludf.DUMMYFUNCTION("""COMPUTED_VALUE"""),1.0)</f>
        <v>1</v>
      </c>
      <c r="G830" t="str">
        <f>IFERROR(__xludf.DUMMYFUNCTION("""COMPUTED_VALUE"""),"")</f>
        <v/>
      </c>
      <c r="H830" t="str">
        <f>IFERROR(__xludf.DUMMYFUNCTION("""COMPUTED_VALUE"""),"")</f>
        <v/>
      </c>
      <c r="I830" t="str">
        <f>IFERROR(__xludf.DUMMYFUNCTION("""COMPUTED_VALUE"""),"")</f>
        <v/>
      </c>
      <c r="J830">
        <f>IFERROR(__xludf.DUMMYFUNCTION("""COMPUTED_VALUE"""),1.0)</f>
        <v>1</v>
      </c>
      <c r="L830" s="250" t="str">
        <f>IFERROR(__xludf.DUMMYFUNCTION("""COMPUTED_VALUE"""),"")</f>
        <v/>
      </c>
      <c r="M830" s="250" t="str">
        <f>IFERROR(__xludf.DUMMYFUNCTION("""COMPUTED_VALUE"""),"")</f>
        <v/>
      </c>
      <c r="N830" s="250" t="str">
        <f>IFERROR(__xludf.DUMMYFUNCTION("""COMPUTED_VALUE"""),"")</f>
        <v/>
      </c>
      <c r="O830" s="250" t="str">
        <f>IFERROR(__xludf.DUMMYFUNCTION("""COMPUTED_VALUE"""),"")</f>
        <v/>
      </c>
      <c r="P830" s="250" t="str">
        <f>IFERROR(__xludf.DUMMYFUNCTION("""COMPUTED_VALUE"""),"#N/A")</f>
        <v>#N/A</v>
      </c>
      <c r="Q830" s="250" t="str">
        <f>IFERROR(__xludf.DUMMYFUNCTION("""COMPUTED_VALUE"""),"")</f>
        <v/>
      </c>
      <c r="R830" s="250" t="str">
        <f>IFERROR(__xludf.DUMMYFUNCTION("""COMPUTED_VALUE"""),"")</f>
        <v/>
      </c>
      <c r="U830" s="250" t="str">
        <f>IFERROR(__xludf.DUMMYFUNCTION("""COMPUTED_VALUE"""),"#N/A")</f>
        <v>#N/A</v>
      </c>
      <c r="V830" s="250" t="str">
        <f>IFERROR(__xludf.DUMMYFUNCTION("""COMPUTED_VALUE"""),"#N/A")</f>
        <v>#N/A</v>
      </c>
      <c r="W830" s="250" t="str">
        <f>IFERROR(__xludf.DUMMYFUNCTION("""COMPUTED_VALUE"""),"#N/A")</f>
        <v>#N/A</v>
      </c>
      <c r="X830" t="b">
        <f t="shared" ref="X830:Z830" si="1636">ISBLANK(K830)</f>
        <v>1</v>
      </c>
      <c r="Y830" t="b">
        <f t="shared" si="1636"/>
        <v>0</v>
      </c>
      <c r="Z830" t="b">
        <f t="shared" si="1636"/>
        <v>0</v>
      </c>
      <c r="AA830">
        <f t="shared" ref="AA830:AC830" si="1637">IF(X830=FALSE,1,0)</f>
        <v>0</v>
      </c>
      <c r="AB830">
        <f t="shared" si="1637"/>
        <v>1</v>
      </c>
      <c r="AC830">
        <f t="shared" si="1637"/>
        <v>1</v>
      </c>
      <c r="AD830">
        <f t="shared" si="6"/>
        <v>2</v>
      </c>
      <c r="AE830">
        <f t="shared" si="7"/>
        <v>1</v>
      </c>
      <c r="AF830">
        <f>if(iferror(vlookup($A830,'Description Database'!$E$2:$H$951,3,0),0)=TRUE,1,0)</f>
        <v>0</v>
      </c>
      <c r="AG830">
        <f>if(iferror(vlookup($A830,'Description Database'!$E$2:$H$951,4,0),0)=TRUE,1,0)</f>
        <v>0</v>
      </c>
    </row>
    <row r="831">
      <c r="A831" t="str">
        <f>IFERROR(__xludf.DUMMYFUNCTION("""COMPUTED_VALUE"""),"Samsung GALAXY J4(3 GB/32GB)")</f>
        <v>Samsung GALAXY J4(3 GB/32GB)</v>
      </c>
      <c r="B831" t="str">
        <f>IFERROR(__xludf.DUMMYFUNCTION("""COMPUTED_VALUE"""),"")</f>
        <v/>
      </c>
      <c r="C831" t="str">
        <f>IFERROR(__xludf.DUMMYFUNCTION("""COMPUTED_VALUE"""),"")</f>
        <v/>
      </c>
      <c r="D831" t="str">
        <f>IFERROR(__xludf.DUMMYFUNCTION("""COMPUTED_VALUE"""),"")</f>
        <v/>
      </c>
      <c r="E831" t="str">
        <f>IFERROR(__xludf.DUMMYFUNCTION("""COMPUTED_VALUE"""),"")</f>
        <v/>
      </c>
      <c r="F831" t="str">
        <f>IFERROR(__xludf.DUMMYFUNCTION("""COMPUTED_VALUE"""),"")</f>
        <v/>
      </c>
      <c r="G831" t="str">
        <f>IFERROR(__xludf.DUMMYFUNCTION("""COMPUTED_VALUE"""),"")</f>
        <v/>
      </c>
      <c r="H831" t="str">
        <f>IFERROR(__xludf.DUMMYFUNCTION("""COMPUTED_VALUE"""),"")</f>
        <v/>
      </c>
      <c r="I831">
        <f>IFERROR(__xludf.DUMMYFUNCTION("""COMPUTED_VALUE"""),4.0)</f>
        <v>4</v>
      </c>
      <c r="J831">
        <f>IFERROR(__xludf.DUMMYFUNCTION("""COMPUTED_VALUE"""),4.0)</f>
        <v>4</v>
      </c>
      <c r="L831" s="250" t="str">
        <f>IFERROR(__xludf.DUMMYFUNCTION("""COMPUTED_VALUE"""),"")</f>
        <v/>
      </c>
      <c r="M831" s="250" t="str">
        <f>IFERROR(__xludf.DUMMYFUNCTION("""COMPUTED_VALUE"""),"")</f>
        <v/>
      </c>
      <c r="N831" s="250" t="str">
        <f>IFERROR(__xludf.DUMMYFUNCTION("""COMPUTED_VALUE"""),"")</f>
        <v/>
      </c>
      <c r="O831" s="250" t="str">
        <f>IFERROR(__xludf.DUMMYFUNCTION("""COMPUTED_VALUE"""),"")</f>
        <v/>
      </c>
      <c r="P831" s="250" t="str">
        <f>IFERROR(__xludf.DUMMYFUNCTION("""COMPUTED_VALUE"""),"")</f>
        <v/>
      </c>
      <c r="Q831" s="250" t="str">
        <f>IFERROR(__xludf.DUMMYFUNCTION("""COMPUTED_VALUE"""),"")</f>
        <v/>
      </c>
      <c r="R831" s="250" t="str">
        <f>IFERROR(__xludf.DUMMYFUNCTION("""COMPUTED_VALUE"""),"")</f>
        <v/>
      </c>
      <c r="U831" s="250" t="str">
        <f>IFERROR(__xludf.DUMMYFUNCTION("""COMPUTED_VALUE"""),"#N/A")</f>
        <v>#N/A</v>
      </c>
      <c r="V831" s="250" t="str">
        <f>IFERROR(__xludf.DUMMYFUNCTION("""COMPUTED_VALUE"""),"#N/A")</f>
        <v>#N/A</v>
      </c>
      <c r="W831" s="250" t="str">
        <f>IFERROR(__xludf.DUMMYFUNCTION("""COMPUTED_VALUE"""),"#N/A")</f>
        <v>#N/A</v>
      </c>
      <c r="X831" t="b">
        <f t="shared" ref="X831:Z831" si="1638">ISBLANK(K831)</f>
        <v>1</v>
      </c>
      <c r="Y831" t="b">
        <f t="shared" si="1638"/>
        <v>0</v>
      </c>
      <c r="Z831" t="b">
        <f t="shared" si="1638"/>
        <v>0</v>
      </c>
      <c r="AA831">
        <f t="shared" ref="AA831:AC831" si="1639">IF(X831=FALSE,1,0)</f>
        <v>0</v>
      </c>
      <c r="AB831">
        <f t="shared" si="1639"/>
        <v>1</v>
      </c>
      <c r="AC831">
        <f t="shared" si="1639"/>
        <v>1</v>
      </c>
      <c r="AD831">
        <f t="shared" si="6"/>
        <v>2</v>
      </c>
      <c r="AE831">
        <f t="shared" si="7"/>
        <v>1</v>
      </c>
      <c r="AF831">
        <f>if(iferror(vlookup($A831,'Description Database'!$E$2:$H$951,3,0),0)=TRUE,1,0)</f>
        <v>0</v>
      </c>
      <c r="AG831">
        <f>if(iferror(vlookup($A831,'Description Database'!$E$2:$H$951,4,0),0)=TRUE,1,0)</f>
        <v>0</v>
      </c>
    </row>
    <row r="832">
      <c r="A832" t="str">
        <f>IFERROR(__xludf.DUMMYFUNCTION("""COMPUTED_VALUE"""),"ASUS ZENFONE MAX(3 GB/32GB)")</f>
        <v>ASUS ZENFONE MAX(3 GB/32GB)</v>
      </c>
      <c r="B832" t="str">
        <f>IFERROR(__xludf.DUMMYFUNCTION("""COMPUTED_VALUE"""),"")</f>
        <v/>
      </c>
      <c r="C832" t="str">
        <f>IFERROR(__xludf.DUMMYFUNCTION("""COMPUTED_VALUE"""),"")</f>
        <v/>
      </c>
      <c r="D832" t="str">
        <f>IFERROR(__xludf.DUMMYFUNCTION("""COMPUTED_VALUE"""),"")</f>
        <v/>
      </c>
      <c r="E832" t="str">
        <f>IFERROR(__xludf.DUMMYFUNCTION("""COMPUTED_VALUE"""),"")</f>
        <v/>
      </c>
      <c r="F832" t="str">
        <f>IFERROR(__xludf.DUMMYFUNCTION("""COMPUTED_VALUE"""),"")</f>
        <v/>
      </c>
      <c r="G832" t="str">
        <f>IFERROR(__xludf.DUMMYFUNCTION("""COMPUTED_VALUE"""),"")</f>
        <v/>
      </c>
      <c r="H832" t="str">
        <f>IFERROR(__xludf.DUMMYFUNCTION("""COMPUTED_VALUE"""),"")</f>
        <v/>
      </c>
      <c r="I832">
        <f>IFERROR(__xludf.DUMMYFUNCTION("""COMPUTED_VALUE"""),2.0)</f>
        <v>2</v>
      </c>
      <c r="J832">
        <f>IFERROR(__xludf.DUMMYFUNCTION("""COMPUTED_VALUE"""),2.0)</f>
        <v>2</v>
      </c>
      <c r="L832" s="250" t="str">
        <f>IFERROR(__xludf.DUMMYFUNCTION("""COMPUTED_VALUE"""),"")</f>
        <v/>
      </c>
      <c r="M832" s="250" t="str">
        <f>IFERROR(__xludf.DUMMYFUNCTION("""COMPUTED_VALUE"""),"")</f>
        <v/>
      </c>
      <c r="N832" s="250" t="str">
        <f>IFERROR(__xludf.DUMMYFUNCTION("""COMPUTED_VALUE"""),"")</f>
        <v/>
      </c>
      <c r="O832" s="250" t="str">
        <f>IFERROR(__xludf.DUMMYFUNCTION("""COMPUTED_VALUE"""),"")</f>
        <v/>
      </c>
      <c r="P832" s="250" t="str">
        <f>IFERROR(__xludf.DUMMYFUNCTION("""COMPUTED_VALUE"""),"")</f>
        <v/>
      </c>
      <c r="Q832" s="250" t="str">
        <f>IFERROR(__xludf.DUMMYFUNCTION("""COMPUTED_VALUE"""),"")</f>
        <v/>
      </c>
      <c r="R832" s="250" t="str">
        <f>IFERROR(__xludf.DUMMYFUNCTION("""COMPUTED_VALUE"""),"")</f>
        <v/>
      </c>
      <c r="U832" s="250" t="str">
        <f>IFERROR(__xludf.DUMMYFUNCTION("""COMPUTED_VALUE"""),"#N/A")</f>
        <v>#N/A</v>
      </c>
      <c r="V832" s="250" t="str">
        <f>IFERROR(__xludf.DUMMYFUNCTION("""COMPUTED_VALUE"""),"#N/A")</f>
        <v>#N/A</v>
      </c>
      <c r="W832" s="250" t="str">
        <f>IFERROR(__xludf.DUMMYFUNCTION("""COMPUTED_VALUE"""),"#N/A")</f>
        <v>#N/A</v>
      </c>
      <c r="X832" t="b">
        <f t="shared" ref="X832:Z832" si="1640">ISBLANK(K832)</f>
        <v>1</v>
      </c>
      <c r="Y832" t="b">
        <f t="shared" si="1640"/>
        <v>0</v>
      </c>
      <c r="Z832" t="b">
        <f t="shared" si="1640"/>
        <v>0</v>
      </c>
      <c r="AA832">
        <f t="shared" ref="AA832:AC832" si="1641">IF(X832=FALSE,1,0)</f>
        <v>0</v>
      </c>
      <c r="AB832">
        <f t="shared" si="1641"/>
        <v>1</v>
      </c>
      <c r="AC832">
        <f t="shared" si="1641"/>
        <v>1</v>
      </c>
      <c r="AD832">
        <f t="shared" si="6"/>
        <v>2</v>
      </c>
      <c r="AE832">
        <f t="shared" si="7"/>
        <v>1</v>
      </c>
      <c r="AF832">
        <f>if(iferror(vlookup($A832,'Description Database'!$E$2:$H$951,3,0),0)=TRUE,1,0)</f>
        <v>0</v>
      </c>
      <c r="AG832">
        <f>if(iferror(vlookup($A832,'Description Database'!$E$2:$H$951,4,0),0)=TRUE,1,0)</f>
        <v>0</v>
      </c>
    </row>
    <row r="833">
      <c r="A833" t="str">
        <f>IFERROR(__xludf.DUMMYFUNCTION("""COMPUTED_VALUE"""),"Asus Zenfone 2 Laser ZE550KL (3 GB/16 GB)")</f>
        <v>Asus Zenfone 2 Laser ZE550KL (3 GB/16 GB)</v>
      </c>
      <c r="B833" t="str">
        <f>IFERROR(__xludf.DUMMYFUNCTION("""COMPUTED_VALUE"""),"")</f>
        <v/>
      </c>
      <c r="C833" t="str">
        <f>IFERROR(__xludf.DUMMYFUNCTION("""COMPUTED_VALUE"""),"")</f>
        <v/>
      </c>
      <c r="D833" t="str">
        <f>IFERROR(__xludf.DUMMYFUNCTION("""COMPUTED_VALUE"""),"")</f>
        <v/>
      </c>
      <c r="E833" t="str">
        <f>IFERROR(__xludf.DUMMYFUNCTION("""COMPUTED_VALUE"""),"")</f>
        <v/>
      </c>
      <c r="F833" t="str">
        <f>IFERROR(__xludf.DUMMYFUNCTION("""COMPUTED_VALUE"""),"")</f>
        <v/>
      </c>
      <c r="G833">
        <f>IFERROR(__xludf.DUMMYFUNCTION("""COMPUTED_VALUE"""),1.0)</f>
        <v>1</v>
      </c>
      <c r="H833" t="str">
        <f>IFERROR(__xludf.DUMMYFUNCTION("""COMPUTED_VALUE"""),"")</f>
        <v/>
      </c>
      <c r="I833">
        <f>IFERROR(__xludf.DUMMYFUNCTION("""COMPUTED_VALUE"""),1.0)</f>
        <v>1</v>
      </c>
      <c r="J833">
        <f>IFERROR(__xludf.DUMMYFUNCTION("""COMPUTED_VALUE"""),2.0)</f>
        <v>2</v>
      </c>
      <c r="L833" s="250" t="str">
        <f>IFERROR(__xludf.DUMMYFUNCTION("""COMPUTED_VALUE"""),"")</f>
        <v/>
      </c>
      <c r="M833" s="250" t="str">
        <f>IFERROR(__xludf.DUMMYFUNCTION("""COMPUTED_VALUE"""),"")</f>
        <v/>
      </c>
      <c r="N833" s="250" t="str">
        <f>IFERROR(__xludf.DUMMYFUNCTION("""COMPUTED_VALUE"""),"")</f>
        <v/>
      </c>
      <c r="O833" s="250" t="str">
        <f>IFERROR(__xludf.DUMMYFUNCTION("""COMPUTED_VALUE"""),"")</f>
        <v/>
      </c>
      <c r="P833" s="250" t="str">
        <f>IFERROR(__xludf.DUMMYFUNCTION("""COMPUTED_VALUE"""),"")</f>
        <v/>
      </c>
      <c r="Q833" s="250">
        <f>IFERROR(__xludf.DUMMYFUNCTION("""COMPUTED_VALUE"""),1239.0)</f>
        <v>1239</v>
      </c>
      <c r="R833" s="250" t="str">
        <f>IFERROR(__xludf.DUMMYFUNCTION("""COMPUTED_VALUE"""),"")</f>
        <v/>
      </c>
      <c r="U833" s="250">
        <f>IFERROR(__xludf.DUMMYFUNCTION("""COMPUTED_VALUE"""),2509.0)</f>
        <v>2509</v>
      </c>
      <c r="V833" s="250">
        <f>IFERROR(__xludf.DUMMYFUNCTION("""COMPUTED_VALUE"""),2389.0)</f>
        <v>2389</v>
      </c>
      <c r="W833" s="250">
        <f>IFERROR(__xludf.DUMMYFUNCTION("""COMPUTED_VALUE"""),2149.0)</f>
        <v>2149</v>
      </c>
      <c r="X833" t="b">
        <f t="shared" ref="X833:Z833" si="1642">ISBLANK(K833)</f>
        <v>1</v>
      </c>
      <c r="Y833" t="b">
        <f t="shared" si="1642"/>
        <v>0</v>
      </c>
      <c r="Z833" t="b">
        <f t="shared" si="1642"/>
        <v>0</v>
      </c>
      <c r="AA833">
        <f t="shared" ref="AA833:AC833" si="1643">IF(X833=FALSE,1,0)</f>
        <v>0</v>
      </c>
      <c r="AB833">
        <f t="shared" si="1643"/>
        <v>1</v>
      </c>
      <c r="AC833">
        <f t="shared" si="1643"/>
        <v>1</v>
      </c>
      <c r="AD833">
        <f t="shared" si="6"/>
        <v>2</v>
      </c>
      <c r="AE833">
        <f t="shared" si="7"/>
        <v>1</v>
      </c>
      <c r="AF833">
        <f>if(iferror(vlookup($A833,'Description Database'!$E$2:$H$951,3,0),0)=TRUE,1,0)</f>
        <v>0</v>
      </c>
      <c r="AG833">
        <f>if(iferror(vlookup($A833,'Description Database'!$E$2:$H$951,4,0),0)=TRUE,1,0)</f>
        <v>0</v>
      </c>
    </row>
    <row r="834">
      <c r="A834" t="str">
        <f>IFERROR(__xludf.DUMMYFUNCTION("""COMPUTED_VALUE"""),"ASUS ZENFONE 4 SELFI(4 GB/64GB)")</f>
        <v>ASUS ZENFONE 4 SELFI(4 GB/64GB)</v>
      </c>
      <c r="B834" t="str">
        <f>IFERROR(__xludf.DUMMYFUNCTION("""COMPUTED_VALUE"""),"")</f>
        <v/>
      </c>
      <c r="C834" t="str">
        <f>IFERROR(__xludf.DUMMYFUNCTION("""COMPUTED_VALUE"""),"")</f>
        <v/>
      </c>
      <c r="D834" t="str">
        <f>IFERROR(__xludf.DUMMYFUNCTION("""COMPUTED_VALUE"""),"")</f>
        <v/>
      </c>
      <c r="E834" t="str">
        <f>IFERROR(__xludf.DUMMYFUNCTION("""COMPUTED_VALUE"""),"")</f>
        <v/>
      </c>
      <c r="F834" t="str">
        <f>IFERROR(__xludf.DUMMYFUNCTION("""COMPUTED_VALUE"""),"")</f>
        <v/>
      </c>
      <c r="G834" t="str">
        <f>IFERROR(__xludf.DUMMYFUNCTION("""COMPUTED_VALUE"""),"")</f>
        <v/>
      </c>
      <c r="H834" t="str">
        <f>IFERROR(__xludf.DUMMYFUNCTION("""COMPUTED_VALUE"""),"")</f>
        <v/>
      </c>
      <c r="I834">
        <f>IFERROR(__xludf.DUMMYFUNCTION("""COMPUTED_VALUE"""),2.0)</f>
        <v>2</v>
      </c>
      <c r="J834">
        <f>IFERROR(__xludf.DUMMYFUNCTION("""COMPUTED_VALUE"""),2.0)</f>
        <v>2</v>
      </c>
      <c r="L834" s="250" t="str">
        <f>IFERROR(__xludf.DUMMYFUNCTION("""COMPUTED_VALUE"""),"")</f>
        <v/>
      </c>
      <c r="M834" s="250" t="str">
        <f>IFERROR(__xludf.DUMMYFUNCTION("""COMPUTED_VALUE"""),"")</f>
        <v/>
      </c>
      <c r="N834" s="250" t="str">
        <f>IFERROR(__xludf.DUMMYFUNCTION("""COMPUTED_VALUE"""),"")</f>
        <v/>
      </c>
      <c r="O834" s="250" t="str">
        <f>IFERROR(__xludf.DUMMYFUNCTION("""COMPUTED_VALUE"""),"")</f>
        <v/>
      </c>
      <c r="P834" s="250" t="str">
        <f>IFERROR(__xludf.DUMMYFUNCTION("""COMPUTED_VALUE"""),"")</f>
        <v/>
      </c>
      <c r="Q834" s="250" t="str">
        <f>IFERROR(__xludf.DUMMYFUNCTION("""COMPUTED_VALUE"""),"")</f>
        <v/>
      </c>
      <c r="R834" s="250" t="str">
        <f>IFERROR(__xludf.DUMMYFUNCTION("""COMPUTED_VALUE"""),"")</f>
        <v/>
      </c>
      <c r="U834" s="250" t="str">
        <f>IFERROR(__xludf.DUMMYFUNCTION("""COMPUTED_VALUE"""),"#N/A")</f>
        <v>#N/A</v>
      </c>
      <c r="V834" s="250" t="str">
        <f>IFERROR(__xludf.DUMMYFUNCTION("""COMPUTED_VALUE"""),"#N/A")</f>
        <v>#N/A</v>
      </c>
      <c r="W834" s="250" t="str">
        <f>IFERROR(__xludf.DUMMYFUNCTION("""COMPUTED_VALUE"""),"#N/A")</f>
        <v>#N/A</v>
      </c>
      <c r="X834" t="b">
        <f t="shared" ref="X834:Z834" si="1644">ISBLANK(K834)</f>
        <v>1</v>
      </c>
      <c r="Y834" t="b">
        <f t="shared" si="1644"/>
        <v>0</v>
      </c>
      <c r="Z834" t="b">
        <f t="shared" si="1644"/>
        <v>0</v>
      </c>
      <c r="AA834">
        <f t="shared" ref="AA834:AC834" si="1645">IF(X834=FALSE,1,0)</f>
        <v>0</v>
      </c>
      <c r="AB834">
        <f t="shared" si="1645"/>
        <v>1</v>
      </c>
      <c r="AC834">
        <f t="shared" si="1645"/>
        <v>1</v>
      </c>
      <c r="AD834">
        <f t="shared" si="6"/>
        <v>2</v>
      </c>
      <c r="AE834">
        <f t="shared" si="7"/>
        <v>1</v>
      </c>
      <c r="AF834">
        <f>if(iferror(vlookup($A834,'Description Database'!$E$2:$H$951,3,0),0)=TRUE,1,0)</f>
        <v>0</v>
      </c>
      <c r="AG834">
        <f>if(iferror(vlookup($A834,'Description Database'!$E$2:$H$951,4,0),0)=TRUE,1,0)</f>
        <v>0</v>
      </c>
    </row>
    <row r="835">
      <c r="A835" t="str">
        <f>IFERROR(__xludf.DUMMYFUNCTION("""COMPUTED_VALUE"""),"Samsung GALAXY S4 MINI(1.5GB /8GB)")</f>
        <v>Samsung GALAXY S4 MINI(1.5GB /8GB)</v>
      </c>
      <c r="B835" t="str">
        <f>IFERROR(__xludf.DUMMYFUNCTION("""COMPUTED_VALUE"""),"")</f>
        <v/>
      </c>
      <c r="C835" t="str">
        <f>IFERROR(__xludf.DUMMYFUNCTION("""COMPUTED_VALUE"""),"")</f>
        <v/>
      </c>
      <c r="D835" t="str">
        <f>IFERROR(__xludf.DUMMYFUNCTION("""COMPUTED_VALUE"""),"")</f>
        <v/>
      </c>
      <c r="E835" t="str">
        <f>IFERROR(__xludf.DUMMYFUNCTION("""COMPUTED_VALUE"""),"")</f>
        <v/>
      </c>
      <c r="F835" t="str">
        <f>IFERROR(__xludf.DUMMYFUNCTION("""COMPUTED_VALUE"""),"")</f>
        <v/>
      </c>
      <c r="G835" t="str">
        <f>IFERROR(__xludf.DUMMYFUNCTION("""COMPUTED_VALUE"""),"")</f>
        <v/>
      </c>
      <c r="H835" t="str">
        <f>IFERROR(__xludf.DUMMYFUNCTION("""COMPUTED_VALUE"""),"")</f>
        <v/>
      </c>
      <c r="I835" t="str">
        <f>IFERROR(__xludf.DUMMYFUNCTION("""COMPUTED_VALUE"""),"")</f>
        <v/>
      </c>
      <c r="J835">
        <f>IFERROR(__xludf.DUMMYFUNCTION("""COMPUTED_VALUE"""),0.0)</f>
        <v>0</v>
      </c>
      <c r="L835" s="250" t="str">
        <f>IFERROR(__xludf.DUMMYFUNCTION("""COMPUTED_VALUE"""),"")</f>
        <v/>
      </c>
      <c r="M835" s="250" t="str">
        <f>IFERROR(__xludf.DUMMYFUNCTION("""COMPUTED_VALUE"""),"")</f>
        <v/>
      </c>
      <c r="N835" s="250" t="str">
        <f>IFERROR(__xludf.DUMMYFUNCTION("""COMPUTED_VALUE"""),"")</f>
        <v/>
      </c>
      <c r="O835" s="250" t="str">
        <f>IFERROR(__xludf.DUMMYFUNCTION("""COMPUTED_VALUE"""),"")</f>
        <v/>
      </c>
      <c r="P835" s="250" t="str">
        <f>IFERROR(__xludf.DUMMYFUNCTION("""COMPUTED_VALUE"""),"")</f>
        <v/>
      </c>
      <c r="Q835" s="250" t="str">
        <f>IFERROR(__xludf.DUMMYFUNCTION("""COMPUTED_VALUE"""),"")</f>
        <v/>
      </c>
      <c r="R835" s="250" t="str">
        <f>IFERROR(__xludf.DUMMYFUNCTION("""COMPUTED_VALUE"""),"")</f>
        <v/>
      </c>
      <c r="U835" s="250" t="str">
        <f>IFERROR(__xludf.DUMMYFUNCTION("""COMPUTED_VALUE"""),"#N/A")</f>
        <v>#N/A</v>
      </c>
      <c r="V835" s="250" t="str">
        <f>IFERROR(__xludf.DUMMYFUNCTION("""COMPUTED_VALUE"""),"#N/A")</f>
        <v>#N/A</v>
      </c>
      <c r="W835" s="250" t="str">
        <f>IFERROR(__xludf.DUMMYFUNCTION("""COMPUTED_VALUE"""),"#N/A")</f>
        <v>#N/A</v>
      </c>
      <c r="X835" t="b">
        <f t="shared" ref="X835:Z835" si="1646">ISBLANK(K835)</f>
        <v>1</v>
      </c>
      <c r="Y835" t="b">
        <f t="shared" si="1646"/>
        <v>0</v>
      </c>
      <c r="Z835" t="b">
        <f t="shared" si="1646"/>
        <v>0</v>
      </c>
      <c r="AA835">
        <f t="shared" ref="AA835:AC835" si="1647">IF(X835=FALSE,1,0)</f>
        <v>0</v>
      </c>
      <c r="AB835">
        <f t="shared" si="1647"/>
        <v>1</v>
      </c>
      <c r="AC835">
        <f t="shared" si="1647"/>
        <v>1</v>
      </c>
      <c r="AD835">
        <f t="shared" si="6"/>
        <v>2</v>
      </c>
      <c r="AE835">
        <f t="shared" si="7"/>
        <v>1</v>
      </c>
      <c r="AF835">
        <f>if(iferror(vlookup($A835,'Description Database'!$E$2:$H$951,3,0),0)=TRUE,1,0)</f>
        <v>0</v>
      </c>
      <c r="AG835">
        <f>if(iferror(vlookup($A835,'Description Database'!$E$2:$H$951,4,0),0)=TRUE,1,0)</f>
        <v>0</v>
      </c>
    </row>
    <row r="836">
      <c r="A836" t="str">
        <f>IFERROR(__xludf.DUMMYFUNCTION("""COMPUTED_VALUE"""),"Samsung Galaxy S6 Edge (3 GB/64 GB)")</f>
        <v>Samsung Galaxy S6 Edge (3 GB/64 GB)</v>
      </c>
      <c r="B836" t="str">
        <f>IFERROR(__xludf.DUMMYFUNCTION("""COMPUTED_VALUE"""),"")</f>
        <v/>
      </c>
      <c r="C836" t="str">
        <f>IFERROR(__xludf.DUMMYFUNCTION("""COMPUTED_VALUE"""),"")</f>
        <v/>
      </c>
      <c r="D836" t="str">
        <f>IFERROR(__xludf.DUMMYFUNCTION("""COMPUTED_VALUE"""),"")</f>
        <v/>
      </c>
      <c r="E836" t="str">
        <f>IFERROR(__xludf.DUMMYFUNCTION("""COMPUTED_VALUE"""),"")</f>
        <v/>
      </c>
      <c r="F836" t="str">
        <f>IFERROR(__xludf.DUMMYFUNCTION("""COMPUTED_VALUE"""),"")</f>
        <v/>
      </c>
      <c r="G836">
        <f>IFERROR(__xludf.DUMMYFUNCTION("""COMPUTED_VALUE"""),1.0)</f>
        <v>1</v>
      </c>
      <c r="H836" t="str">
        <f>IFERROR(__xludf.DUMMYFUNCTION("""COMPUTED_VALUE"""),"")</f>
        <v/>
      </c>
      <c r="I836">
        <f>IFERROR(__xludf.DUMMYFUNCTION("""COMPUTED_VALUE"""),3.0)</f>
        <v>3</v>
      </c>
      <c r="J836">
        <f>IFERROR(__xludf.DUMMYFUNCTION("""COMPUTED_VALUE"""),4.0)</f>
        <v>4</v>
      </c>
      <c r="L836" s="250" t="str">
        <f>IFERROR(__xludf.DUMMYFUNCTION("""COMPUTED_VALUE"""),"")</f>
        <v/>
      </c>
      <c r="M836" s="250" t="str">
        <f>IFERROR(__xludf.DUMMYFUNCTION("""COMPUTED_VALUE"""),"")</f>
        <v/>
      </c>
      <c r="N836" s="250" t="str">
        <f>IFERROR(__xludf.DUMMYFUNCTION("""COMPUTED_VALUE"""),"")</f>
        <v/>
      </c>
      <c r="O836" s="250" t="str">
        <f>IFERROR(__xludf.DUMMYFUNCTION("""COMPUTED_VALUE"""),"")</f>
        <v/>
      </c>
      <c r="P836" s="250" t="str">
        <f>IFERROR(__xludf.DUMMYFUNCTION("""COMPUTED_VALUE"""),"")</f>
        <v/>
      </c>
      <c r="Q836" s="250">
        <f>IFERROR(__xludf.DUMMYFUNCTION("""COMPUTED_VALUE"""),3119.0)</f>
        <v>3119</v>
      </c>
      <c r="R836" s="250" t="str">
        <f>IFERROR(__xludf.DUMMYFUNCTION("""COMPUTED_VALUE"""),"")</f>
        <v/>
      </c>
      <c r="U836" s="250">
        <f>IFERROR(__xludf.DUMMYFUNCTION("""COMPUTED_VALUE"""),6259.0)</f>
        <v>6259</v>
      </c>
      <c r="V836" s="250">
        <f>IFERROR(__xludf.DUMMYFUNCTION("""COMPUTED_VALUE"""),5969.0)</f>
        <v>5969</v>
      </c>
      <c r="W836" s="250">
        <f>IFERROR(__xludf.DUMMYFUNCTION("""COMPUTED_VALUE"""),5359.0)</f>
        <v>5359</v>
      </c>
      <c r="X836" t="b">
        <f t="shared" ref="X836:Z836" si="1648">ISBLANK(K836)</f>
        <v>1</v>
      </c>
      <c r="Y836" t="b">
        <f t="shared" si="1648"/>
        <v>0</v>
      </c>
      <c r="Z836" t="b">
        <f t="shared" si="1648"/>
        <v>0</v>
      </c>
      <c r="AA836">
        <f t="shared" ref="AA836:AC836" si="1649">IF(X836=FALSE,1,0)</f>
        <v>0</v>
      </c>
      <c r="AB836">
        <f t="shared" si="1649"/>
        <v>1</v>
      </c>
      <c r="AC836">
        <f t="shared" si="1649"/>
        <v>1</v>
      </c>
      <c r="AD836">
        <f t="shared" si="6"/>
        <v>2</v>
      </c>
      <c r="AE836">
        <f t="shared" si="7"/>
        <v>1</v>
      </c>
      <c r="AF836">
        <f>if(iferror(vlookup($A836,'Description Database'!$E$2:$H$951,3,0),0)=TRUE,1,0)</f>
        <v>0</v>
      </c>
      <c r="AG836">
        <f>if(iferror(vlookup($A836,'Description Database'!$E$2:$H$951,4,0),0)=TRUE,1,0)</f>
        <v>0</v>
      </c>
    </row>
    <row r="837">
      <c r="A837" t="str">
        <f>IFERROR(__xludf.DUMMYFUNCTION("""COMPUTED_VALUE"""),"SWIPE ELITE MAX(4 GB/32GB)")</f>
        <v>SWIPE ELITE MAX(4 GB/32GB)</v>
      </c>
      <c r="B837" t="str">
        <f>IFERROR(__xludf.DUMMYFUNCTION("""COMPUTED_VALUE"""),"")</f>
        <v/>
      </c>
      <c r="C837" t="str">
        <f>IFERROR(__xludf.DUMMYFUNCTION("""COMPUTED_VALUE"""),"")</f>
        <v/>
      </c>
      <c r="D837" t="str">
        <f>IFERROR(__xludf.DUMMYFUNCTION("""COMPUTED_VALUE"""),"")</f>
        <v/>
      </c>
      <c r="E837" t="str">
        <f>IFERROR(__xludf.DUMMYFUNCTION("""COMPUTED_VALUE"""),"")</f>
        <v/>
      </c>
      <c r="F837" t="str">
        <f>IFERROR(__xludf.DUMMYFUNCTION("""COMPUTED_VALUE"""),"")</f>
        <v/>
      </c>
      <c r="G837" t="str">
        <f>IFERROR(__xludf.DUMMYFUNCTION("""COMPUTED_VALUE"""),"")</f>
        <v/>
      </c>
      <c r="H837" t="str">
        <f>IFERROR(__xludf.DUMMYFUNCTION("""COMPUTED_VALUE"""),"")</f>
        <v/>
      </c>
      <c r="I837" t="str">
        <f>IFERROR(__xludf.DUMMYFUNCTION("""COMPUTED_VALUE"""),"")</f>
        <v/>
      </c>
      <c r="J837">
        <f>IFERROR(__xludf.DUMMYFUNCTION("""COMPUTED_VALUE"""),0.0)</f>
        <v>0</v>
      </c>
      <c r="L837" s="250" t="str">
        <f>IFERROR(__xludf.DUMMYFUNCTION("""COMPUTED_VALUE"""),"")</f>
        <v/>
      </c>
      <c r="M837" s="250" t="str">
        <f>IFERROR(__xludf.DUMMYFUNCTION("""COMPUTED_VALUE"""),"")</f>
        <v/>
      </c>
      <c r="N837" s="250" t="str">
        <f>IFERROR(__xludf.DUMMYFUNCTION("""COMPUTED_VALUE"""),"")</f>
        <v/>
      </c>
      <c r="O837" s="250" t="str">
        <f>IFERROR(__xludf.DUMMYFUNCTION("""COMPUTED_VALUE"""),"")</f>
        <v/>
      </c>
      <c r="P837" s="250" t="str">
        <f>IFERROR(__xludf.DUMMYFUNCTION("""COMPUTED_VALUE"""),"")</f>
        <v/>
      </c>
      <c r="Q837" s="250" t="str">
        <f>IFERROR(__xludf.DUMMYFUNCTION("""COMPUTED_VALUE"""),"")</f>
        <v/>
      </c>
      <c r="R837" s="250" t="str">
        <f>IFERROR(__xludf.DUMMYFUNCTION("""COMPUTED_VALUE"""),"")</f>
        <v/>
      </c>
      <c r="U837" s="250" t="str">
        <f>IFERROR(__xludf.DUMMYFUNCTION("""COMPUTED_VALUE"""),"#N/A")</f>
        <v>#N/A</v>
      </c>
      <c r="V837" s="250" t="str">
        <f>IFERROR(__xludf.DUMMYFUNCTION("""COMPUTED_VALUE"""),"#N/A")</f>
        <v>#N/A</v>
      </c>
      <c r="W837" s="250" t="str">
        <f>IFERROR(__xludf.DUMMYFUNCTION("""COMPUTED_VALUE"""),"#N/A")</f>
        <v>#N/A</v>
      </c>
      <c r="X837" t="b">
        <f t="shared" ref="X837:Z837" si="1650">ISBLANK(K837)</f>
        <v>1</v>
      </c>
      <c r="Y837" t="b">
        <f t="shared" si="1650"/>
        <v>0</v>
      </c>
      <c r="Z837" t="b">
        <f t="shared" si="1650"/>
        <v>0</v>
      </c>
      <c r="AA837">
        <f t="shared" ref="AA837:AC837" si="1651">IF(X837=FALSE,1,0)</f>
        <v>0</v>
      </c>
      <c r="AB837">
        <f t="shared" si="1651"/>
        <v>1</v>
      </c>
      <c r="AC837">
        <f t="shared" si="1651"/>
        <v>1</v>
      </c>
      <c r="AD837">
        <f t="shared" si="6"/>
        <v>2</v>
      </c>
      <c r="AE837">
        <f t="shared" si="7"/>
        <v>1</v>
      </c>
      <c r="AF837">
        <f>if(iferror(vlookup($A837,'Description Database'!$E$2:$H$951,3,0),0)=TRUE,1,0)</f>
        <v>0</v>
      </c>
      <c r="AG837">
        <f>if(iferror(vlookup($A837,'Description Database'!$E$2:$H$951,4,0),0)=TRUE,1,0)</f>
        <v>0</v>
      </c>
    </row>
    <row r="838">
      <c r="A838" t="str">
        <f>IFERROR(__xludf.DUMMYFUNCTION("""COMPUTED_VALUE"""),"SONY Xperia X(3 GB/64GB)")</f>
        <v>SONY Xperia X(3 GB/64GB)</v>
      </c>
      <c r="B838" t="str">
        <f>IFERROR(__xludf.DUMMYFUNCTION("""COMPUTED_VALUE"""),"")</f>
        <v/>
      </c>
      <c r="C838" t="str">
        <f>IFERROR(__xludf.DUMMYFUNCTION("""COMPUTED_VALUE"""),"")</f>
        <v/>
      </c>
      <c r="D838" t="str">
        <f>IFERROR(__xludf.DUMMYFUNCTION("""COMPUTED_VALUE"""),"")</f>
        <v/>
      </c>
      <c r="E838" t="str">
        <f>IFERROR(__xludf.DUMMYFUNCTION("""COMPUTED_VALUE"""),"")</f>
        <v/>
      </c>
      <c r="F838" t="str">
        <f>IFERROR(__xludf.DUMMYFUNCTION("""COMPUTED_VALUE"""),"")</f>
        <v/>
      </c>
      <c r="G838" t="str">
        <f>IFERROR(__xludf.DUMMYFUNCTION("""COMPUTED_VALUE"""),"")</f>
        <v/>
      </c>
      <c r="H838" t="str">
        <f>IFERROR(__xludf.DUMMYFUNCTION("""COMPUTED_VALUE"""),"")</f>
        <v/>
      </c>
      <c r="I838" t="str">
        <f>IFERROR(__xludf.DUMMYFUNCTION("""COMPUTED_VALUE"""),"")</f>
        <v/>
      </c>
      <c r="J838">
        <f>IFERROR(__xludf.DUMMYFUNCTION("""COMPUTED_VALUE"""),0.0)</f>
        <v>0</v>
      </c>
      <c r="L838" s="250" t="str">
        <f>IFERROR(__xludf.DUMMYFUNCTION("""COMPUTED_VALUE"""),"")</f>
        <v/>
      </c>
      <c r="M838" s="250" t="str">
        <f>IFERROR(__xludf.DUMMYFUNCTION("""COMPUTED_VALUE"""),"")</f>
        <v/>
      </c>
      <c r="N838" s="250" t="str">
        <f>IFERROR(__xludf.DUMMYFUNCTION("""COMPUTED_VALUE"""),"")</f>
        <v/>
      </c>
      <c r="O838" s="250" t="str">
        <f>IFERROR(__xludf.DUMMYFUNCTION("""COMPUTED_VALUE"""),"")</f>
        <v/>
      </c>
      <c r="P838" s="250" t="str">
        <f>IFERROR(__xludf.DUMMYFUNCTION("""COMPUTED_VALUE"""),"")</f>
        <v/>
      </c>
      <c r="Q838" s="250" t="str">
        <f>IFERROR(__xludf.DUMMYFUNCTION("""COMPUTED_VALUE"""),"")</f>
        <v/>
      </c>
      <c r="R838" s="250" t="str">
        <f>IFERROR(__xludf.DUMMYFUNCTION("""COMPUTED_VALUE"""),"")</f>
        <v/>
      </c>
      <c r="U838" s="250" t="str">
        <f>IFERROR(__xludf.DUMMYFUNCTION("""COMPUTED_VALUE"""),"#N/A")</f>
        <v>#N/A</v>
      </c>
      <c r="V838" s="250" t="str">
        <f>IFERROR(__xludf.DUMMYFUNCTION("""COMPUTED_VALUE"""),"#N/A")</f>
        <v>#N/A</v>
      </c>
      <c r="W838" s="250" t="str">
        <f>IFERROR(__xludf.DUMMYFUNCTION("""COMPUTED_VALUE"""),"#N/A")</f>
        <v>#N/A</v>
      </c>
      <c r="X838" t="b">
        <f t="shared" ref="X838:Z838" si="1652">ISBLANK(K838)</f>
        <v>1</v>
      </c>
      <c r="Y838" t="b">
        <f t="shared" si="1652"/>
        <v>0</v>
      </c>
      <c r="Z838" t="b">
        <f t="shared" si="1652"/>
        <v>0</v>
      </c>
      <c r="AA838">
        <f t="shared" ref="AA838:AC838" si="1653">IF(X838=FALSE,1,0)</f>
        <v>0</v>
      </c>
      <c r="AB838">
        <f t="shared" si="1653"/>
        <v>1</v>
      </c>
      <c r="AC838">
        <f t="shared" si="1653"/>
        <v>1</v>
      </c>
      <c r="AD838">
        <f t="shared" si="6"/>
        <v>2</v>
      </c>
      <c r="AE838">
        <f t="shared" si="7"/>
        <v>1</v>
      </c>
      <c r="AF838">
        <f>if(iferror(vlookup($A838,'Description Database'!$E$2:$H$951,3,0),0)=TRUE,1,0)</f>
        <v>0</v>
      </c>
      <c r="AG838">
        <f>if(iferror(vlookup($A838,'Description Database'!$E$2:$H$951,4,0),0)=TRUE,1,0)</f>
        <v>0</v>
      </c>
    </row>
    <row r="839">
      <c r="A839" t="str">
        <f>IFERROR(__xludf.DUMMYFUNCTION("""COMPUTED_VALUE"""),"Xiaomi Redmi Note 9 Pro (6 GB/128 GB)")</f>
        <v>Xiaomi Redmi Note 9 Pro (6 GB/128 GB)</v>
      </c>
      <c r="B839" t="str">
        <f>IFERROR(__xludf.DUMMYFUNCTION("""COMPUTED_VALUE"""),"")</f>
        <v/>
      </c>
      <c r="C839" t="str">
        <f>IFERROR(__xludf.DUMMYFUNCTION("""COMPUTED_VALUE"""),"")</f>
        <v/>
      </c>
      <c r="D839" t="str">
        <f>IFERROR(__xludf.DUMMYFUNCTION("""COMPUTED_VALUE"""),"")</f>
        <v/>
      </c>
      <c r="E839" t="str">
        <f>IFERROR(__xludf.DUMMYFUNCTION("""COMPUTED_VALUE"""),"")</f>
        <v/>
      </c>
      <c r="F839" t="str">
        <f>IFERROR(__xludf.DUMMYFUNCTION("""COMPUTED_VALUE"""),"")</f>
        <v/>
      </c>
      <c r="G839" t="str">
        <f>IFERROR(__xludf.DUMMYFUNCTION("""COMPUTED_VALUE"""),"")</f>
        <v/>
      </c>
      <c r="H839" t="str">
        <f>IFERROR(__xludf.DUMMYFUNCTION("""COMPUTED_VALUE"""),"")</f>
        <v/>
      </c>
      <c r="I839" t="str">
        <f>IFERROR(__xludf.DUMMYFUNCTION("""COMPUTED_VALUE"""),"")</f>
        <v/>
      </c>
      <c r="J839">
        <f>IFERROR(__xludf.DUMMYFUNCTION("""COMPUTED_VALUE"""),0.0)</f>
        <v>0</v>
      </c>
      <c r="L839" s="250" t="str">
        <f>IFERROR(__xludf.DUMMYFUNCTION("""COMPUTED_VALUE"""),"")</f>
        <v/>
      </c>
      <c r="M839" s="250" t="str">
        <f>IFERROR(__xludf.DUMMYFUNCTION("""COMPUTED_VALUE"""),"")</f>
        <v/>
      </c>
      <c r="N839" s="250" t="str">
        <f>IFERROR(__xludf.DUMMYFUNCTION("""COMPUTED_VALUE"""),"")</f>
        <v/>
      </c>
      <c r="O839" s="250" t="str">
        <f>IFERROR(__xludf.DUMMYFUNCTION("""COMPUTED_VALUE"""),"")</f>
        <v/>
      </c>
      <c r="P839" s="250" t="str">
        <f>IFERROR(__xludf.DUMMYFUNCTION("""COMPUTED_VALUE"""),"")</f>
        <v/>
      </c>
      <c r="Q839" s="250" t="str">
        <f>IFERROR(__xludf.DUMMYFUNCTION("""COMPUTED_VALUE"""),"")</f>
        <v/>
      </c>
      <c r="R839" s="250" t="str">
        <f>IFERROR(__xludf.DUMMYFUNCTION("""COMPUTED_VALUE"""),"")</f>
        <v/>
      </c>
      <c r="U839" s="250">
        <f>IFERROR(__xludf.DUMMYFUNCTION("""COMPUTED_VALUE"""),12429.0)</f>
        <v>12429</v>
      </c>
      <c r="V839" s="250">
        <f>IFERROR(__xludf.DUMMYFUNCTION("""COMPUTED_VALUE"""),11839.0)</f>
        <v>11839</v>
      </c>
      <c r="W839" s="250">
        <f>IFERROR(__xludf.DUMMYFUNCTION("""COMPUTED_VALUE"""),10659.0)</f>
        <v>10659</v>
      </c>
      <c r="X839" t="b">
        <f t="shared" ref="X839:Z839" si="1654">ISBLANK(K839)</f>
        <v>1</v>
      </c>
      <c r="Y839" t="b">
        <f t="shared" si="1654"/>
        <v>0</v>
      </c>
      <c r="Z839" t="b">
        <f t="shared" si="1654"/>
        <v>0</v>
      </c>
      <c r="AA839">
        <f t="shared" ref="AA839:AC839" si="1655">IF(X839=FALSE,1,0)</f>
        <v>0</v>
      </c>
      <c r="AB839">
        <f t="shared" si="1655"/>
        <v>1</v>
      </c>
      <c r="AC839">
        <f t="shared" si="1655"/>
        <v>1</v>
      </c>
      <c r="AD839">
        <f t="shared" si="6"/>
        <v>2</v>
      </c>
      <c r="AE839">
        <f t="shared" si="7"/>
        <v>1</v>
      </c>
      <c r="AF839">
        <f>if(iferror(vlookup($A839,'Description Database'!$E$2:$H$951,3,0),0)=TRUE,1,0)</f>
        <v>0</v>
      </c>
      <c r="AG839">
        <f>if(iferror(vlookup($A839,'Description Database'!$E$2:$H$951,4,0),0)=TRUE,1,0)</f>
        <v>0</v>
      </c>
    </row>
    <row r="840">
      <c r="A840" t="str">
        <f>IFERROR(__xludf.DUMMYFUNCTION("""COMPUTED_VALUE"""),"Xiaomi Redmi Note 9 Pro (4 GB/64 GB)")</f>
        <v>Xiaomi Redmi Note 9 Pro (4 GB/64 GB)</v>
      </c>
      <c r="B840" t="str">
        <f>IFERROR(__xludf.DUMMYFUNCTION("""COMPUTED_VALUE"""),"")</f>
        <v/>
      </c>
      <c r="C840">
        <f>IFERROR(__xludf.DUMMYFUNCTION("""COMPUTED_VALUE"""),1.0)</f>
        <v>1</v>
      </c>
      <c r="D840" t="str">
        <f>IFERROR(__xludf.DUMMYFUNCTION("""COMPUTED_VALUE"""),"")</f>
        <v/>
      </c>
      <c r="E840" t="str">
        <f>IFERROR(__xludf.DUMMYFUNCTION("""COMPUTED_VALUE"""),"")</f>
        <v/>
      </c>
      <c r="F840" t="str">
        <f>IFERROR(__xludf.DUMMYFUNCTION("""COMPUTED_VALUE"""),"")</f>
        <v/>
      </c>
      <c r="G840" t="str">
        <f>IFERROR(__xludf.DUMMYFUNCTION("""COMPUTED_VALUE"""),"")</f>
        <v/>
      </c>
      <c r="H840" t="str">
        <f>IFERROR(__xludf.DUMMYFUNCTION("""COMPUTED_VALUE"""),"")</f>
        <v/>
      </c>
      <c r="I840">
        <f>IFERROR(__xludf.DUMMYFUNCTION("""COMPUTED_VALUE"""),8.0)</f>
        <v>8</v>
      </c>
      <c r="J840">
        <f>IFERROR(__xludf.DUMMYFUNCTION("""COMPUTED_VALUE"""),9.0)</f>
        <v>9</v>
      </c>
      <c r="L840" s="250" t="str">
        <f>IFERROR(__xludf.DUMMYFUNCTION("""COMPUTED_VALUE"""),"")</f>
        <v/>
      </c>
      <c r="M840" s="250">
        <f>IFERROR(__xludf.DUMMYFUNCTION("""COMPUTED_VALUE"""),9839.0)</f>
        <v>9839</v>
      </c>
      <c r="N840" s="250" t="str">
        <f>IFERROR(__xludf.DUMMYFUNCTION("""COMPUTED_VALUE"""),"")</f>
        <v/>
      </c>
      <c r="O840" s="250" t="str">
        <f>IFERROR(__xludf.DUMMYFUNCTION("""COMPUTED_VALUE"""),"")</f>
        <v/>
      </c>
      <c r="P840" s="250" t="str">
        <f>IFERROR(__xludf.DUMMYFUNCTION("""COMPUTED_VALUE"""),"")</f>
        <v/>
      </c>
      <c r="Q840" s="250" t="str">
        <f>IFERROR(__xludf.DUMMYFUNCTION("""COMPUTED_VALUE"""),"")</f>
        <v/>
      </c>
      <c r="R840" s="250" t="str">
        <f>IFERROR(__xludf.DUMMYFUNCTION("""COMPUTED_VALUE"""),"")</f>
        <v/>
      </c>
      <c r="U840" s="250">
        <f>IFERROR(__xludf.DUMMYFUNCTION("""COMPUTED_VALUE"""),11379.0)</f>
        <v>11379</v>
      </c>
      <c r="V840" s="250">
        <f>IFERROR(__xludf.DUMMYFUNCTION("""COMPUTED_VALUE"""),10829.0)</f>
        <v>10829</v>
      </c>
      <c r="W840" s="250">
        <f>IFERROR(__xludf.DUMMYFUNCTION("""COMPUTED_VALUE"""),9749.0)</f>
        <v>9749</v>
      </c>
      <c r="X840" t="b">
        <f t="shared" ref="X840:Z840" si="1656">ISBLANK(K840)</f>
        <v>1</v>
      </c>
      <c r="Y840" t="b">
        <f t="shared" si="1656"/>
        <v>0</v>
      </c>
      <c r="Z840" t="b">
        <f t="shared" si="1656"/>
        <v>0</v>
      </c>
      <c r="AA840">
        <f t="shared" ref="AA840:AC840" si="1657">IF(X840=FALSE,1,0)</f>
        <v>0</v>
      </c>
      <c r="AB840">
        <f t="shared" si="1657"/>
        <v>1</v>
      </c>
      <c r="AC840">
        <f t="shared" si="1657"/>
        <v>1</v>
      </c>
      <c r="AD840">
        <f t="shared" si="6"/>
        <v>2</v>
      </c>
      <c r="AE840">
        <f t="shared" si="7"/>
        <v>1</v>
      </c>
      <c r="AF840">
        <f>if(iferror(vlookup($A840,'Description Database'!$E$2:$H$951,3,0),0)=TRUE,1,0)</f>
        <v>0</v>
      </c>
      <c r="AG840">
        <f>if(iferror(vlookup($A840,'Description Database'!$E$2:$H$951,4,0),0)=TRUE,1,0)</f>
        <v>0</v>
      </c>
    </row>
    <row r="841">
      <c r="A841" t="str">
        <f>IFERROR(__xludf.DUMMYFUNCTION("""COMPUTED_VALUE"""),"Xiaomi Redmi Note 9 Pro (4 GB/128 GB)")</f>
        <v>Xiaomi Redmi Note 9 Pro (4 GB/128 GB)</v>
      </c>
      <c r="B841" t="str">
        <f>IFERROR(__xludf.DUMMYFUNCTION("""COMPUTED_VALUE"""),"")</f>
        <v/>
      </c>
      <c r="C841" t="str">
        <f>IFERROR(__xludf.DUMMYFUNCTION("""COMPUTED_VALUE"""),"")</f>
        <v/>
      </c>
      <c r="D841" t="str">
        <f>IFERROR(__xludf.DUMMYFUNCTION("""COMPUTED_VALUE"""),"")</f>
        <v/>
      </c>
      <c r="E841" t="str">
        <f>IFERROR(__xludf.DUMMYFUNCTION("""COMPUTED_VALUE"""),"")</f>
        <v/>
      </c>
      <c r="F841" t="str">
        <f>IFERROR(__xludf.DUMMYFUNCTION("""COMPUTED_VALUE"""),"")</f>
        <v/>
      </c>
      <c r="G841" t="str">
        <f>IFERROR(__xludf.DUMMYFUNCTION("""COMPUTED_VALUE"""),"")</f>
        <v/>
      </c>
      <c r="H841" t="str">
        <f>IFERROR(__xludf.DUMMYFUNCTION("""COMPUTED_VALUE"""),"")</f>
        <v/>
      </c>
      <c r="I841">
        <f>IFERROR(__xludf.DUMMYFUNCTION("""COMPUTED_VALUE"""),1.0)</f>
        <v>1</v>
      </c>
      <c r="J841">
        <f>IFERROR(__xludf.DUMMYFUNCTION("""COMPUTED_VALUE"""),1.0)</f>
        <v>1</v>
      </c>
      <c r="L841" s="250" t="str">
        <f>IFERROR(__xludf.DUMMYFUNCTION("""COMPUTED_VALUE"""),"")</f>
        <v/>
      </c>
      <c r="M841" s="250" t="str">
        <f>IFERROR(__xludf.DUMMYFUNCTION("""COMPUTED_VALUE"""),"")</f>
        <v/>
      </c>
      <c r="N841" s="250" t="str">
        <f>IFERROR(__xludf.DUMMYFUNCTION("""COMPUTED_VALUE"""),"")</f>
        <v/>
      </c>
      <c r="O841" s="250" t="str">
        <f>IFERROR(__xludf.DUMMYFUNCTION("""COMPUTED_VALUE"""),"")</f>
        <v/>
      </c>
      <c r="P841" s="250" t="str">
        <f>IFERROR(__xludf.DUMMYFUNCTION("""COMPUTED_VALUE"""),"")</f>
        <v/>
      </c>
      <c r="Q841" s="250" t="str">
        <f>IFERROR(__xludf.DUMMYFUNCTION("""COMPUTED_VALUE"""),"")</f>
        <v/>
      </c>
      <c r="R841" s="250" t="str">
        <f>IFERROR(__xludf.DUMMYFUNCTION("""COMPUTED_VALUE"""),"")</f>
        <v/>
      </c>
      <c r="U841" s="250">
        <f>IFERROR(__xludf.DUMMYFUNCTION("""COMPUTED_VALUE"""),12159.0)</f>
        <v>12159</v>
      </c>
      <c r="V841" s="250">
        <f>IFERROR(__xludf.DUMMYFUNCTION("""COMPUTED_VALUE"""),11579.0)</f>
        <v>11579</v>
      </c>
      <c r="W841" s="250">
        <f>IFERROR(__xludf.DUMMYFUNCTION("""COMPUTED_VALUE"""),10419.0)</f>
        <v>10419</v>
      </c>
      <c r="X841" t="b">
        <f t="shared" ref="X841:Z841" si="1658">ISBLANK(K841)</f>
        <v>1</v>
      </c>
      <c r="Y841" t="b">
        <f t="shared" si="1658"/>
        <v>0</v>
      </c>
      <c r="Z841" t="b">
        <f t="shared" si="1658"/>
        <v>0</v>
      </c>
      <c r="AA841">
        <f t="shared" ref="AA841:AC841" si="1659">IF(X841=FALSE,1,0)</f>
        <v>0</v>
      </c>
      <c r="AB841">
        <f t="shared" si="1659"/>
        <v>1</v>
      </c>
      <c r="AC841">
        <f t="shared" si="1659"/>
        <v>1</v>
      </c>
      <c r="AD841">
        <f t="shared" si="6"/>
        <v>2</v>
      </c>
      <c r="AE841">
        <f t="shared" si="7"/>
        <v>1</v>
      </c>
      <c r="AF841">
        <f>if(iferror(vlookup($A841,'Description Database'!$E$2:$H$951,3,0),0)=TRUE,1,0)</f>
        <v>0</v>
      </c>
      <c r="AG841">
        <f>if(iferror(vlookup($A841,'Description Database'!$E$2:$H$951,4,0),0)=TRUE,1,0)</f>
        <v>0</v>
      </c>
    </row>
    <row r="842">
      <c r="A842" t="str">
        <f>IFERROR(__xludf.DUMMYFUNCTION("""COMPUTED_VALUE"""),"OPPO F17 (6 GB/128 GB)")</f>
        <v>OPPO F17 (6 GB/128 GB)</v>
      </c>
      <c r="B842" t="str">
        <f>IFERROR(__xludf.DUMMYFUNCTION("""COMPUTED_VALUE"""),"")</f>
        <v/>
      </c>
      <c r="C842" t="str">
        <f>IFERROR(__xludf.DUMMYFUNCTION("""COMPUTED_VALUE"""),"")</f>
        <v/>
      </c>
      <c r="D842" t="str">
        <f>IFERROR(__xludf.DUMMYFUNCTION("""COMPUTED_VALUE"""),"")</f>
        <v/>
      </c>
      <c r="E842" t="str">
        <f>IFERROR(__xludf.DUMMYFUNCTION("""COMPUTED_VALUE"""),"")</f>
        <v/>
      </c>
      <c r="F842" t="str">
        <f>IFERROR(__xludf.DUMMYFUNCTION("""COMPUTED_VALUE"""),"")</f>
        <v/>
      </c>
      <c r="G842">
        <f>IFERROR(__xludf.DUMMYFUNCTION("""COMPUTED_VALUE"""),1.0)</f>
        <v>1</v>
      </c>
      <c r="H842" t="str">
        <f>IFERROR(__xludf.DUMMYFUNCTION("""COMPUTED_VALUE"""),"")</f>
        <v/>
      </c>
      <c r="I842" t="str">
        <f>IFERROR(__xludf.DUMMYFUNCTION("""COMPUTED_VALUE"""),"")</f>
        <v/>
      </c>
      <c r="J842">
        <f>IFERROR(__xludf.DUMMYFUNCTION("""COMPUTED_VALUE"""),1.0)</f>
        <v>1</v>
      </c>
      <c r="L842" s="250" t="str">
        <f>IFERROR(__xludf.DUMMYFUNCTION("""COMPUTED_VALUE"""),"")</f>
        <v/>
      </c>
      <c r="M842" s="250" t="str">
        <f>IFERROR(__xludf.DUMMYFUNCTION("""COMPUTED_VALUE"""),"")</f>
        <v/>
      </c>
      <c r="N842" s="250" t="str">
        <f>IFERROR(__xludf.DUMMYFUNCTION("""COMPUTED_VALUE"""),"")</f>
        <v/>
      </c>
      <c r="O842" s="250" t="str">
        <f>IFERROR(__xludf.DUMMYFUNCTION("""COMPUTED_VALUE"""),"")</f>
        <v/>
      </c>
      <c r="P842" s="250" t="str">
        <f>IFERROR(__xludf.DUMMYFUNCTION("""COMPUTED_VALUE"""),"")</f>
        <v/>
      </c>
      <c r="Q842" s="250">
        <f>IFERROR(__xludf.DUMMYFUNCTION("""COMPUTED_VALUE"""),6629.0)</f>
        <v>6629</v>
      </c>
      <c r="R842" s="250" t="str">
        <f>IFERROR(__xludf.DUMMYFUNCTION("""COMPUTED_VALUE"""),"")</f>
        <v/>
      </c>
      <c r="U842" s="250">
        <f>IFERROR(__xludf.DUMMYFUNCTION("""COMPUTED_VALUE"""),13419.0)</f>
        <v>13419</v>
      </c>
      <c r="V842" s="250">
        <f>IFERROR(__xludf.DUMMYFUNCTION("""COMPUTED_VALUE"""),12789.0)</f>
        <v>12789</v>
      </c>
      <c r="W842" s="250">
        <f>IFERROR(__xludf.DUMMYFUNCTION("""COMPUTED_VALUE"""),11509.0)</f>
        <v>11509</v>
      </c>
      <c r="X842" t="b">
        <f t="shared" ref="X842:Z842" si="1660">ISBLANK(K842)</f>
        <v>1</v>
      </c>
      <c r="Y842" t="b">
        <f t="shared" si="1660"/>
        <v>0</v>
      </c>
      <c r="Z842" t="b">
        <f t="shared" si="1660"/>
        <v>0</v>
      </c>
      <c r="AA842">
        <f t="shared" ref="AA842:AC842" si="1661">IF(X842=FALSE,1,0)</f>
        <v>0</v>
      </c>
      <c r="AB842">
        <f t="shared" si="1661"/>
        <v>1</v>
      </c>
      <c r="AC842">
        <f t="shared" si="1661"/>
        <v>1</v>
      </c>
      <c r="AD842">
        <f t="shared" si="6"/>
        <v>2</v>
      </c>
      <c r="AE842">
        <f t="shared" si="7"/>
        <v>1</v>
      </c>
      <c r="AF842">
        <f>if(iferror(vlookup($A842,'Description Database'!$E$2:$H$951,3,0),0)=TRUE,1,0)</f>
        <v>0</v>
      </c>
      <c r="AG842">
        <f>if(iferror(vlookup($A842,'Description Database'!$E$2:$H$951,4,0),0)=TRUE,1,0)</f>
        <v>0</v>
      </c>
    </row>
    <row r="843">
      <c r="A843" t="str">
        <f>IFERROR(__xludf.DUMMYFUNCTION("""COMPUTED_VALUE"""),"Xiaomi Redmi Note 9 Pro Max (6 GB/64 GB)")</f>
        <v>Xiaomi Redmi Note 9 Pro Max (6 GB/64 GB)</v>
      </c>
      <c r="B843" t="str">
        <f>IFERROR(__xludf.DUMMYFUNCTION("""COMPUTED_VALUE"""),"")</f>
        <v/>
      </c>
      <c r="C843">
        <f>IFERROR(__xludf.DUMMYFUNCTION("""COMPUTED_VALUE"""),1.0)</f>
        <v>1</v>
      </c>
      <c r="D843" t="str">
        <f>IFERROR(__xludf.DUMMYFUNCTION("""COMPUTED_VALUE"""),"")</f>
        <v/>
      </c>
      <c r="E843" t="str">
        <f>IFERROR(__xludf.DUMMYFUNCTION("""COMPUTED_VALUE"""),"")</f>
        <v/>
      </c>
      <c r="F843" t="str">
        <f>IFERROR(__xludf.DUMMYFUNCTION("""COMPUTED_VALUE"""),"")</f>
        <v/>
      </c>
      <c r="G843" t="str">
        <f>IFERROR(__xludf.DUMMYFUNCTION("""COMPUTED_VALUE"""),"")</f>
        <v/>
      </c>
      <c r="H843" t="str">
        <f>IFERROR(__xludf.DUMMYFUNCTION("""COMPUTED_VALUE"""),"")</f>
        <v/>
      </c>
      <c r="I843" t="str">
        <f>IFERROR(__xludf.DUMMYFUNCTION("""COMPUTED_VALUE"""),"")</f>
        <v/>
      </c>
      <c r="J843">
        <f>IFERROR(__xludf.DUMMYFUNCTION("""COMPUTED_VALUE"""),1.0)</f>
        <v>1</v>
      </c>
      <c r="L843" s="250" t="str">
        <f>IFERROR(__xludf.DUMMYFUNCTION("""COMPUTED_VALUE"""),"")</f>
        <v/>
      </c>
      <c r="M843" s="250">
        <f>IFERROR(__xludf.DUMMYFUNCTION("""COMPUTED_VALUE"""),11409.0)</f>
        <v>11409</v>
      </c>
      <c r="N843" s="250" t="str">
        <f>IFERROR(__xludf.DUMMYFUNCTION("""COMPUTED_VALUE"""),"")</f>
        <v/>
      </c>
      <c r="O843" s="250" t="str">
        <f>IFERROR(__xludf.DUMMYFUNCTION("""COMPUTED_VALUE"""),"")</f>
        <v/>
      </c>
      <c r="P843" s="250" t="str">
        <f>IFERROR(__xludf.DUMMYFUNCTION("""COMPUTED_VALUE"""),"")</f>
        <v/>
      </c>
      <c r="Q843" s="250" t="str">
        <f>IFERROR(__xludf.DUMMYFUNCTION("""COMPUTED_VALUE"""),"")</f>
        <v/>
      </c>
      <c r="R843" s="250" t="str">
        <f>IFERROR(__xludf.DUMMYFUNCTION("""COMPUTED_VALUE"""),"")</f>
        <v/>
      </c>
      <c r="U843" s="250">
        <f>IFERROR(__xludf.DUMMYFUNCTION("""COMPUTED_VALUE"""),13179.0)</f>
        <v>13179</v>
      </c>
      <c r="V843" s="250">
        <f>IFERROR(__xludf.DUMMYFUNCTION("""COMPUTED_VALUE"""),12549.0)</f>
        <v>12549</v>
      </c>
      <c r="W843" s="250">
        <f>IFERROR(__xludf.DUMMYFUNCTION("""COMPUTED_VALUE"""),11299.0)</f>
        <v>11299</v>
      </c>
      <c r="X843" t="b">
        <f t="shared" ref="X843:Z843" si="1662">ISBLANK(K843)</f>
        <v>1</v>
      </c>
      <c r="Y843" t="b">
        <f t="shared" si="1662"/>
        <v>0</v>
      </c>
      <c r="Z843" t="b">
        <f t="shared" si="1662"/>
        <v>0</v>
      </c>
      <c r="AA843">
        <f t="shared" ref="AA843:AC843" si="1663">IF(X843=FALSE,1,0)</f>
        <v>0</v>
      </c>
      <c r="AB843">
        <f t="shared" si="1663"/>
        <v>1</v>
      </c>
      <c r="AC843">
        <f t="shared" si="1663"/>
        <v>1</v>
      </c>
      <c r="AD843">
        <f t="shared" si="6"/>
        <v>2</v>
      </c>
      <c r="AE843">
        <f t="shared" si="7"/>
        <v>1</v>
      </c>
      <c r="AF843">
        <f>if(iferror(vlookup($A843,'Description Database'!$E$2:$H$951,3,0),0)=TRUE,1,0)</f>
        <v>0</v>
      </c>
      <c r="AG843">
        <f>if(iferror(vlookup($A843,'Description Database'!$E$2:$H$951,4,0),0)=TRUE,1,0)</f>
        <v>0</v>
      </c>
    </row>
    <row r="844">
      <c r="A844" t="str">
        <f>IFERROR(__xludf.DUMMYFUNCTION("""COMPUTED_VALUE"""),"Apple iPhone SE (2 GB/64 GB)")</f>
        <v>Apple iPhone SE (2 GB/64 GB)</v>
      </c>
      <c r="B844" t="str">
        <f>IFERROR(__xludf.DUMMYFUNCTION("""COMPUTED_VALUE"""),"")</f>
        <v/>
      </c>
      <c r="C844" t="str">
        <f>IFERROR(__xludf.DUMMYFUNCTION("""COMPUTED_VALUE"""),"")</f>
        <v/>
      </c>
      <c r="D844" t="str">
        <f>IFERROR(__xludf.DUMMYFUNCTION("""COMPUTED_VALUE"""),"")</f>
        <v/>
      </c>
      <c r="E844" t="str">
        <f>IFERROR(__xludf.DUMMYFUNCTION("""COMPUTED_VALUE"""),"")</f>
        <v/>
      </c>
      <c r="F844" t="str">
        <f>IFERROR(__xludf.DUMMYFUNCTION("""COMPUTED_VALUE"""),"")</f>
        <v/>
      </c>
      <c r="G844" t="str">
        <f>IFERROR(__xludf.DUMMYFUNCTION("""COMPUTED_VALUE"""),"")</f>
        <v/>
      </c>
      <c r="H844" t="str">
        <f>IFERROR(__xludf.DUMMYFUNCTION("""COMPUTED_VALUE"""),"")</f>
        <v/>
      </c>
      <c r="I844" t="str">
        <f>IFERROR(__xludf.DUMMYFUNCTION("""COMPUTED_VALUE"""),"")</f>
        <v/>
      </c>
      <c r="J844">
        <f>IFERROR(__xludf.DUMMYFUNCTION("""COMPUTED_VALUE"""),0.0)</f>
        <v>0</v>
      </c>
      <c r="L844" s="250" t="str">
        <f>IFERROR(__xludf.DUMMYFUNCTION("""COMPUTED_VALUE"""),"")</f>
        <v/>
      </c>
      <c r="M844" s="250" t="str">
        <f>IFERROR(__xludf.DUMMYFUNCTION("""COMPUTED_VALUE"""),"")</f>
        <v/>
      </c>
      <c r="N844" s="250" t="str">
        <f>IFERROR(__xludf.DUMMYFUNCTION("""COMPUTED_VALUE"""),"")</f>
        <v/>
      </c>
      <c r="O844" s="250" t="str">
        <f>IFERROR(__xludf.DUMMYFUNCTION("""COMPUTED_VALUE"""),"")</f>
        <v/>
      </c>
      <c r="P844" s="250" t="str">
        <f>IFERROR(__xludf.DUMMYFUNCTION("""COMPUTED_VALUE"""),"")</f>
        <v/>
      </c>
      <c r="Q844" s="250" t="str">
        <f>IFERROR(__xludf.DUMMYFUNCTION("""COMPUTED_VALUE"""),"")</f>
        <v/>
      </c>
      <c r="R844" s="250" t="str">
        <f>IFERROR(__xludf.DUMMYFUNCTION("""COMPUTED_VALUE"""),"")</f>
        <v/>
      </c>
      <c r="U844" s="250">
        <f>IFERROR(__xludf.DUMMYFUNCTION("""COMPUTED_VALUE"""),7289.0)</f>
        <v>7289</v>
      </c>
      <c r="V844" s="250">
        <f>IFERROR(__xludf.DUMMYFUNCTION("""COMPUTED_VALUE"""),6929.0)</f>
        <v>6929</v>
      </c>
      <c r="W844" s="250">
        <f>IFERROR(__xludf.DUMMYFUNCTION("""COMPUTED_VALUE"""),6239.0)</f>
        <v>6239</v>
      </c>
      <c r="X844" t="b">
        <f t="shared" ref="X844:Z844" si="1664">ISBLANK(K844)</f>
        <v>1</v>
      </c>
      <c r="Y844" t="b">
        <f t="shared" si="1664"/>
        <v>0</v>
      </c>
      <c r="Z844" t="b">
        <f t="shared" si="1664"/>
        <v>0</v>
      </c>
      <c r="AA844">
        <f t="shared" ref="AA844:AC844" si="1665">IF(X844=FALSE,1,0)</f>
        <v>0</v>
      </c>
      <c r="AB844">
        <f t="shared" si="1665"/>
        <v>1</v>
      </c>
      <c r="AC844">
        <f t="shared" si="1665"/>
        <v>1</v>
      </c>
      <c r="AD844">
        <f t="shared" si="6"/>
        <v>2</v>
      </c>
      <c r="AE844">
        <f t="shared" si="7"/>
        <v>1</v>
      </c>
      <c r="AF844">
        <f>if(iferror(vlookup($A844,'Description Database'!$E$2:$H$951,3,0),0)=TRUE,1,0)</f>
        <v>0</v>
      </c>
      <c r="AG844">
        <f>if(iferror(vlookup($A844,'Description Database'!$E$2:$H$951,4,0),0)=TRUE,1,0)</f>
        <v>1</v>
      </c>
    </row>
    <row r="845">
      <c r="A845" t="str">
        <f>IFERROR(__xludf.DUMMYFUNCTION("""COMPUTED_VALUE"""),"Realme C11 (2 GB/32 GB)")</f>
        <v>Realme C11 (2 GB/32 GB)</v>
      </c>
      <c r="B845" t="str">
        <f>IFERROR(__xludf.DUMMYFUNCTION("""COMPUTED_VALUE"""),"")</f>
        <v/>
      </c>
      <c r="C845" t="str">
        <f>IFERROR(__xludf.DUMMYFUNCTION("""COMPUTED_VALUE"""),"")</f>
        <v/>
      </c>
      <c r="D845" t="str">
        <f>IFERROR(__xludf.DUMMYFUNCTION("""COMPUTED_VALUE"""),"")</f>
        <v/>
      </c>
      <c r="E845" t="str">
        <f>IFERROR(__xludf.DUMMYFUNCTION("""COMPUTED_VALUE"""),"")</f>
        <v/>
      </c>
      <c r="F845" t="str">
        <f>IFERROR(__xludf.DUMMYFUNCTION("""COMPUTED_VALUE"""),"")</f>
        <v/>
      </c>
      <c r="G845" t="str">
        <f>IFERROR(__xludf.DUMMYFUNCTION("""COMPUTED_VALUE"""),"")</f>
        <v/>
      </c>
      <c r="H845" t="str">
        <f>IFERROR(__xludf.DUMMYFUNCTION("""COMPUTED_VALUE"""),"")</f>
        <v/>
      </c>
      <c r="I845" t="str">
        <f>IFERROR(__xludf.DUMMYFUNCTION("""COMPUTED_VALUE"""),"")</f>
        <v/>
      </c>
      <c r="J845">
        <f>IFERROR(__xludf.DUMMYFUNCTION("""COMPUTED_VALUE"""),0.0)</f>
        <v>0</v>
      </c>
      <c r="L845" s="250" t="str">
        <f>IFERROR(__xludf.DUMMYFUNCTION("""COMPUTED_VALUE"""),"")</f>
        <v/>
      </c>
      <c r="M845" s="250" t="str">
        <f>IFERROR(__xludf.DUMMYFUNCTION("""COMPUTED_VALUE"""),"")</f>
        <v/>
      </c>
      <c r="N845" s="250" t="str">
        <f>IFERROR(__xludf.DUMMYFUNCTION("""COMPUTED_VALUE"""),"")</f>
        <v/>
      </c>
      <c r="O845" s="250" t="str">
        <f>IFERROR(__xludf.DUMMYFUNCTION("""COMPUTED_VALUE"""),"")</f>
        <v/>
      </c>
      <c r="P845" s="250" t="str">
        <f>IFERROR(__xludf.DUMMYFUNCTION("""COMPUTED_VALUE"""),"")</f>
        <v/>
      </c>
      <c r="Q845" s="250" t="str">
        <f>IFERROR(__xludf.DUMMYFUNCTION("""COMPUTED_VALUE"""),"")</f>
        <v/>
      </c>
      <c r="R845" s="250" t="str">
        <f>IFERROR(__xludf.DUMMYFUNCTION("""COMPUTED_VALUE"""),"")</f>
        <v/>
      </c>
      <c r="U845" s="250">
        <f>IFERROR(__xludf.DUMMYFUNCTION("""COMPUTED_VALUE"""),7009.0)</f>
        <v>7009</v>
      </c>
      <c r="V845" s="250">
        <f>IFERROR(__xludf.DUMMYFUNCTION("""COMPUTED_VALUE"""),6669.0)</f>
        <v>6669</v>
      </c>
      <c r="W845" s="250">
        <f>IFERROR(__xludf.DUMMYFUNCTION("""COMPUTED_VALUE"""),6099.0)</f>
        <v>6099</v>
      </c>
      <c r="X845" t="b">
        <f t="shared" ref="X845:Z845" si="1666">ISBLANK(K845)</f>
        <v>1</v>
      </c>
      <c r="Y845" t="b">
        <f t="shared" si="1666"/>
        <v>0</v>
      </c>
      <c r="Z845" t="b">
        <f t="shared" si="1666"/>
        <v>0</v>
      </c>
      <c r="AA845">
        <f t="shared" ref="AA845:AC845" si="1667">IF(X845=FALSE,1,0)</f>
        <v>0</v>
      </c>
      <c r="AB845">
        <f t="shared" si="1667"/>
        <v>1</v>
      </c>
      <c r="AC845">
        <f t="shared" si="1667"/>
        <v>1</v>
      </c>
      <c r="AD845">
        <f t="shared" si="6"/>
        <v>2</v>
      </c>
      <c r="AE845">
        <f t="shared" si="7"/>
        <v>1</v>
      </c>
      <c r="AF845">
        <f>if(iferror(vlookup($A845,'Description Database'!$E$2:$H$951,3,0),0)=TRUE,1,0)</f>
        <v>0</v>
      </c>
      <c r="AG845">
        <f>if(iferror(vlookup($A845,'Description Database'!$E$2:$H$951,4,0),0)=TRUE,1,0)</f>
        <v>1</v>
      </c>
    </row>
    <row r="846">
      <c r="A846" t="str">
        <f>IFERROR(__xludf.DUMMYFUNCTION("""COMPUTED_VALUE"""),"Xiaomi Redmi Note 9 Pro Max (8 GB/128 GB)")</f>
        <v>Xiaomi Redmi Note 9 Pro Max (8 GB/128 GB)</v>
      </c>
      <c r="B846" t="str">
        <f>IFERROR(__xludf.DUMMYFUNCTION("""COMPUTED_VALUE"""),"")</f>
        <v/>
      </c>
      <c r="C846" t="str">
        <f>IFERROR(__xludf.DUMMYFUNCTION("""COMPUTED_VALUE"""),"")</f>
        <v/>
      </c>
      <c r="D846" t="str">
        <f>IFERROR(__xludf.DUMMYFUNCTION("""COMPUTED_VALUE"""),"")</f>
        <v/>
      </c>
      <c r="E846" t="str">
        <f>IFERROR(__xludf.DUMMYFUNCTION("""COMPUTED_VALUE"""),"")</f>
        <v/>
      </c>
      <c r="F846" t="str">
        <f>IFERROR(__xludf.DUMMYFUNCTION("""COMPUTED_VALUE"""),"")</f>
        <v/>
      </c>
      <c r="G846" t="str">
        <f>IFERROR(__xludf.DUMMYFUNCTION("""COMPUTED_VALUE"""),"")</f>
        <v/>
      </c>
      <c r="H846" t="str">
        <f>IFERROR(__xludf.DUMMYFUNCTION("""COMPUTED_VALUE"""),"")</f>
        <v/>
      </c>
      <c r="I846" t="str">
        <f>IFERROR(__xludf.DUMMYFUNCTION("""COMPUTED_VALUE"""),"")</f>
        <v/>
      </c>
      <c r="J846">
        <f>IFERROR(__xludf.DUMMYFUNCTION("""COMPUTED_VALUE"""),0.0)</f>
        <v>0</v>
      </c>
      <c r="L846" s="250" t="str">
        <f>IFERROR(__xludf.DUMMYFUNCTION("""COMPUTED_VALUE"""),"")</f>
        <v/>
      </c>
      <c r="M846" s="250" t="str">
        <f>IFERROR(__xludf.DUMMYFUNCTION("""COMPUTED_VALUE"""),"")</f>
        <v/>
      </c>
      <c r="N846" s="250" t="str">
        <f>IFERROR(__xludf.DUMMYFUNCTION("""COMPUTED_VALUE"""),"")</f>
        <v/>
      </c>
      <c r="O846" s="250" t="str">
        <f>IFERROR(__xludf.DUMMYFUNCTION("""COMPUTED_VALUE"""),"")</f>
        <v/>
      </c>
      <c r="P846" s="250" t="str">
        <f>IFERROR(__xludf.DUMMYFUNCTION("""COMPUTED_VALUE"""),"")</f>
        <v/>
      </c>
      <c r="Q846" s="250" t="str">
        <f>IFERROR(__xludf.DUMMYFUNCTION("""COMPUTED_VALUE"""),"")</f>
        <v/>
      </c>
      <c r="R846" s="250" t="str">
        <f>IFERROR(__xludf.DUMMYFUNCTION("""COMPUTED_VALUE"""),"")</f>
        <v/>
      </c>
      <c r="U846" s="250">
        <f>IFERROR(__xludf.DUMMYFUNCTION("""COMPUTED_VALUE"""),16269.0)</f>
        <v>16269</v>
      </c>
      <c r="V846" s="250">
        <f>IFERROR(__xludf.DUMMYFUNCTION("""COMPUTED_VALUE"""),15489.0)</f>
        <v>15489</v>
      </c>
      <c r="W846" s="250">
        <f>IFERROR(__xludf.DUMMYFUNCTION("""COMPUTED_VALUE"""),13949.0)</f>
        <v>13949</v>
      </c>
      <c r="X846" t="b">
        <f t="shared" ref="X846:Z846" si="1668">ISBLANK(K846)</f>
        <v>1</v>
      </c>
      <c r="Y846" t="b">
        <f t="shared" si="1668"/>
        <v>0</v>
      </c>
      <c r="Z846" t="b">
        <f t="shared" si="1668"/>
        <v>0</v>
      </c>
      <c r="AA846">
        <f t="shared" ref="AA846:AC846" si="1669">IF(X846=FALSE,1,0)</f>
        <v>0</v>
      </c>
      <c r="AB846">
        <f t="shared" si="1669"/>
        <v>1</v>
      </c>
      <c r="AC846">
        <f t="shared" si="1669"/>
        <v>1</v>
      </c>
      <c r="AD846">
        <f t="shared" si="6"/>
        <v>2</v>
      </c>
      <c r="AE846">
        <f t="shared" si="7"/>
        <v>1</v>
      </c>
      <c r="AF846">
        <f>if(iferror(vlookup($A846,'Description Database'!$E$2:$H$951,3,0),0)=TRUE,1,0)</f>
        <v>0</v>
      </c>
      <c r="AG846">
        <f>if(iferror(vlookup($A846,'Description Database'!$E$2:$H$951,4,0),0)=TRUE,1,0)</f>
        <v>0</v>
      </c>
    </row>
    <row r="847">
      <c r="A847" t="str">
        <f>IFERROR(__xludf.DUMMYFUNCTION("""COMPUTED_VALUE"""),"Xiaomi Redmi 3s Plus (2 GB/32 GB)")</f>
        <v>Xiaomi Redmi 3s Plus (2 GB/32 GB)</v>
      </c>
      <c r="B847" t="str">
        <f>IFERROR(__xludf.DUMMYFUNCTION("""COMPUTED_VALUE"""),"")</f>
        <v/>
      </c>
      <c r="C847" t="str">
        <f>IFERROR(__xludf.DUMMYFUNCTION("""COMPUTED_VALUE"""),"")</f>
        <v/>
      </c>
      <c r="D847" t="str">
        <f>IFERROR(__xludf.DUMMYFUNCTION("""COMPUTED_VALUE"""),"")</f>
        <v/>
      </c>
      <c r="E847" t="str">
        <f>IFERROR(__xludf.DUMMYFUNCTION("""COMPUTED_VALUE"""),"")</f>
        <v/>
      </c>
      <c r="F847" t="str">
        <f>IFERROR(__xludf.DUMMYFUNCTION("""COMPUTED_VALUE"""),"")</f>
        <v/>
      </c>
      <c r="G847" t="str">
        <f>IFERROR(__xludf.DUMMYFUNCTION("""COMPUTED_VALUE"""),"")</f>
        <v/>
      </c>
      <c r="H847" t="str">
        <f>IFERROR(__xludf.DUMMYFUNCTION("""COMPUTED_VALUE"""),"")</f>
        <v/>
      </c>
      <c r="I847" t="str">
        <f>IFERROR(__xludf.DUMMYFUNCTION("""COMPUTED_VALUE"""),"")</f>
        <v/>
      </c>
      <c r="J847">
        <f>IFERROR(__xludf.DUMMYFUNCTION("""COMPUTED_VALUE"""),0.0)</f>
        <v>0</v>
      </c>
      <c r="L847" s="250" t="str">
        <f>IFERROR(__xludf.DUMMYFUNCTION("""COMPUTED_VALUE"""),"")</f>
        <v/>
      </c>
      <c r="M847" s="250" t="str">
        <f>IFERROR(__xludf.DUMMYFUNCTION("""COMPUTED_VALUE"""),"")</f>
        <v/>
      </c>
      <c r="N847" s="250" t="str">
        <f>IFERROR(__xludf.DUMMYFUNCTION("""COMPUTED_VALUE"""),"")</f>
        <v/>
      </c>
      <c r="O847" s="250" t="str">
        <f>IFERROR(__xludf.DUMMYFUNCTION("""COMPUTED_VALUE"""),"")</f>
        <v/>
      </c>
      <c r="P847" s="250" t="str">
        <f>IFERROR(__xludf.DUMMYFUNCTION("""COMPUTED_VALUE"""),"")</f>
        <v/>
      </c>
      <c r="Q847" s="250" t="str">
        <f>IFERROR(__xludf.DUMMYFUNCTION("""COMPUTED_VALUE"""),"")</f>
        <v/>
      </c>
      <c r="R847" s="250" t="str">
        <f>IFERROR(__xludf.DUMMYFUNCTION("""COMPUTED_VALUE"""),"")</f>
        <v/>
      </c>
      <c r="U847" s="250">
        <f>IFERROR(__xludf.DUMMYFUNCTION("""COMPUTED_VALUE"""),3969.0)</f>
        <v>3969</v>
      </c>
      <c r="V847" s="250">
        <f>IFERROR(__xludf.DUMMYFUNCTION("""COMPUTED_VALUE"""),3779.0)</f>
        <v>3779</v>
      </c>
      <c r="W847" s="250">
        <f>IFERROR(__xludf.DUMMYFUNCTION("""COMPUTED_VALUE"""),3399.0)</f>
        <v>3399</v>
      </c>
      <c r="X847" t="b">
        <f t="shared" ref="X847:Z847" si="1670">ISBLANK(K847)</f>
        <v>1</v>
      </c>
      <c r="Y847" t="b">
        <f t="shared" si="1670"/>
        <v>0</v>
      </c>
      <c r="Z847" t="b">
        <f t="shared" si="1670"/>
        <v>0</v>
      </c>
      <c r="AA847">
        <f t="shared" ref="AA847:AC847" si="1671">IF(X847=FALSE,1,0)</f>
        <v>0</v>
      </c>
      <c r="AB847">
        <f t="shared" si="1671"/>
        <v>1</v>
      </c>
      <c r="AC847">
        <f t="shared" si="1671"/>
        <v>1</v>
      </c>
      <c r="AD847">
        <f t="shared" si="6"/>
        <v>2</v>
      </c>
      <c r="AE847">
        <f t="shared" si="7"/>
        <v>1</v>
      </c>
      <c r="AF847">
        <f>if(iferror(vlookup($A847,'Description Database'!$E$2:$H$951,3,0),0)=TRUE,1,0)</f>
        <v>0</v>
      </c>
      <c r="AG847">
        <f>if(iferror(vlookup($A847,'Description Database'!$E$2:$H$951,4,0),0)=TRUE,1,0)</f>
        <v>0</v>
      </c>
    </row>
    <row r="848">
      <c r="A848" t="str">
        <f>IFERROR(__xludf.DUMMYFUNCTION("""COMPUTED_VALUE"""),"Oppo F7(6 GB /128GB)")</f>
        <v>Oppo F7(6 GB /128GB)</v>
      </c>
      <c r="B848" t="str">
        <f>IFERROR(__xludf.DUMMYFUNCTION("""COMPUTED_VALUE"""),"")</f>
        <v/>
      </c>
      <c r="C848" t="str">
        <f>IFERROR(__xludf.DUMMYFUNCTION("""COMPUTED_VALUE"""),"")</f>
        <v/>
      </c>
      <c r="D848" t="str">
        <f>IFERROR(__xludf.DUMMYFUNCTION("""COMPUTED_VALUE"""),"")</f>
        <v/>
      </c>
      <c r="E848" t="str">
        <f>IFERROR(__xludf.DUMMYFUNCTION("""COMPUTED_VALUE"""),"")</f>
        <v/>
      </c>
      <c r="F848" t="str">
        <f>IFERROR(__xludf.DUMMYFUNCTION("""COMPUTED_VALUE"""),"")</f>
        <v/>
      </c>
      <c r="G848" t="str">
        <f>IFERROR(__xludf.DUMMYFUNCTION("""COMPUTED_VALUE"""),"")</f>
        <v/>
      </c>
      <c r="H848" t="str">
        <f>IFERROR(__xludf.DUMMYFUNCTION("""COMPUTED_VALUE"""),"")</f>
        <v/>
      </c>
      <c r="I848" t="str">
        <f>IFERROR(__xludf.DUMMYFUNCTION("""COMPUTED_VALUE"""),"")</f>
        <v/>
      </c>
      <c r="J848">
        <f>IFERROR(__xludf.DUMMYFUNCTION("""COMPUTED_VALUE"""),0.0)</f>
        <v>0</v>
      </c>
      <c r="L848" s="250" t="str">
        <f>IFERROR(__xludf.DUMMYFUNCTION("""COMPUTED_VALUE"""),"")</f>
        <v/>
      </c>
      <c r="M848" s="250" t="str">
        <f>IFERROR(__xludf.DUMMYFUNCTION("""COMPUTED_VALUE"""),"")</f>
        <v/>
      </c>
      <c r="N848" s="250" t="str">
        <f>IFERROR(__xludf.DUMMYFUNCTION("""COMPUTED_VALUE"""),"")</f>
        <v/>
      </c>
      <c r="O848" s="250" t="str">
        <f>IFERROR(__xludf.DUMMYFUNCTION("""COMPUTED_VALUE"""),"")</f>
        <v/>
      </c>
      <c r="P848" s="250" t="str">
        <f>IFERROR(__xludf.DUMMYFUNCTION("""COMPUTED_VALUE"""),"")</f>
        <v/>
      </c>
      <c r="Q848" s="250" t="str">
        <f>IFERROR(__xludf.DUMMYFUNCTION("""COMPUTED_VALUE"""),"")</f>
        <v/>
      </c>
      <c r="R848" s="250" t="str">
        <f>IFERROR(__xludf.DUMMYFUNCTION("""COMPUTED_VALUE"""),"")</f>
        <v/>
      </c>
      <c r="U848" s="250" t="str">
        <f>IFERROR(__xludf.DUMMYFUNCTION("""COMPUTED_VALUE"""),"#N/A")</f>
        <v>#N/A</v>
      </c>
      <c r="V848" s="250" t="str">
        <f>IFERROR(__xludf.DUMMYFUNCTION("""COMPUTED_VALUE"""),"#N/A")</f>
        <v>#N/A</v>
      </c>
      <c r="W848" s="250" t="str">
        <f>IFERROR(__xludf.DUMMYFUNCTION("""COMPUTED_VALUE"""),"#N/A")</f>
        <v>#N/A</v>
      </c>
      <c r="X848" t="b">
        <f t="shared" ref="X848:Z848" si="1672">ISBLANK(K848)</f>
        <v>1</v>
      </c>
      <c r="Y848" t="b">
        <f t="shared" si="1672"/>
        <v>0</v>
      </c>
      <c r="Z848" t="b">
        <f t="shared" si="1672"/>
        <v>0</v>
      </c>
      <c r="AA848">
        <f t="shared" ref="AA848:AC848" si="1673">IF(X848=FALSE,1,0)</f>
        <v>0</v>
      </c>
      <c r="AB848">
        <f t="shared" si="1673"/>
        <v>1</v>
      </c>
      <c r="AC848">
        <f t="shared" si="1673"/>
        <v>1</v>
      </c>
      <c r="AD848">
        <f t="shared" si="6"/>
        <v>2</v>
      </c>
      <c r="AE848">
        <f t="shared" si="7"/>
        <v>1</v>
      </c>
      <c r="AF848">
        <f>if(iferror(vlookup($A848,'Description Database'!$E$2:$H$951,3,0),0)=TRUE,1,0)</f>
        <v>0</v>
      </c>
      <c r="AG848">
        <f>if(iferror(vlookup($A848,'Description Database'!$E$2:$H$951,4,0),0)=TRUE,1,0)</f>
        <v>0</v>
      </c>
    </row>
    <row r="849">
      <c r="A849" t="str">
        <f>IFERROR(__xludf.DUMMYFUNCTION("""COMPUTED_VALUE"""),"Realme 7i (4 GB/64 GB)")</f>
        <v>Realme 7i (4 GB/64 GB)</v>
      </c>
      <c r="B849" t="str">
        <f>IFERROR(__xludf.DUMMYFUNCTION("""COMPUTED_VALUE"""),"")</f>
        <v/>
      </c>
      <c r="C849" t="str">
        <f>IFERROR(__xludf.DUMMYFUNCTION("""COMPUTED_VALUE"""),"")</f>
        <v/>
      </c>
      <c r="D849" t="str">
        <f>IFERROR(__xludf.DUMMYFUNCTION("""COMPUTED_VALUE"""),"")</f>
        <v/>
      </c>
      <c r="E849" t="str">
        <f>IFERROR(__xludf.DUMMYFUNCTION("""COMPUTED_VALUE"""),"")</f>
        <v/>
      </c>
      <c r="F849" t="str">
        <f>IFERROR(__xludf.DUMMYFUNCTION("""COMPUTED_VALUE"""),"")</f>
        <v/>
      </c>
      <c r="G849" t="str">
        <f>IFERROR(__xludf.DUMMYFUNCTION("""COMPUTED_VALUE"""),"")</f>
        <v/>
      </c>
      <c r="H849" t="str">
        <f>IFERROR(__xludf.DUMMYFUNCTION("""COMPUTED_VALUE"""),"")</f>
        <v/>
      </c>
      <c r="I849" t="str">
        <f>IFERROR(__xludf.DUMMYFUNCTION("""COMPUTED_VALUE"""),"")</f>
        <v/>
      </c>
      <c r="J849">
        <f>IFERROR(__xludf.DUMMYFUNCTION("""COMPUTED_VALUE"""),0.0)</f>
        <v>0</v>
      </c>
      <c r="L849" s="250" t="str">
        <f>IFERROR(__xludf.DUMMYFUNCTION("""COMPUTED_VALUE"""),"")</f>
        <v/>
      </c>
      <c r="M849" s="250" t="str">
        <f>IFERROR(__xludf.DUMMYFUNCTION("""COMPUTED_VALUE"""),"")</f>
        <v/>
      </c>
      <c r="N849" s="250" t="str">
        <f>IFERROR(__xludf.DUMMYFUNCTION("""COMPUTED_VALUE"""),"")</f>
        <v/>
      </c>
      <c r="O849" s="250" t="str">
        <f>IFERROR(__xludf.DUMMYFUNCTION("""COMPUTED_VALUE"""),"")</f>
        <v/>
      </c>
      <c r="P849" s="250" t="str">
        <f>IFERROR(__xludf.DUMMYFUNCTION("""COMPUTED_VALUE"""),"")</f>
        <v/>
      </c>
      <c r="Q849" s="250" t="str">
        <f>IFERROR(__xludf.DUMMYFUNCTION("""COMPUTED_VALUE"""),"")</f>
        <v/>
      </c>
      <c r="R849" s="250" t="str">
        <f>IFERROR(__xludf.DUMMYFUNCTION("""COMPUTED_VALUE"""),"")</f>
        <v/>
      </c>
      <c r="U849" s="250">
        <f>IFERROR(__xludf.DUMMYFUNCTION("""COMPUTED_VALUE"""),10679.0)</f>
        <v>10679</v>
      </c>
      <c r="V849" s="250">
        <f>IFERROR(__xludf.DUMMYFUNCTION("""COMPUTED_VALUE"""),10169.0)</f>
        <v>10169</v>
      </c>
      <c r="W849" s="250">
        <f>IFERROR(__xludf.DUMMYFUNCTION("""COMPUTED_VALUE"""),9159.0)</f>
        <v>9159</v>
      </c>
      <c r="X849" t="b">
        <f t="shared" ref="X849:Z849" si="1674">ISBLANK(K849)</f>
        <v>1</v>
      </c>
      <c r="Y849" t="b">
        <f t="shared" si="1674"/>
        <v>0</v>
      </c>
      <c r="Z849" t="b">
        <f t="shared" si="1674"/>
        <v>0</v>
      </c>
      <c r="AA849">
        <f t="shared" ref="AA849:AC849" si="1675">IF(X849=FALSE,1,0)</f>
        <v>0</v>
      </c>
      <c r="AB849">
        <f t="shared" si="1675"/>
        <v>1</v>
      </c>
      <c r="AC849">
        <f t="shared" si="1675"/>
        <v>1</v>
      </c>
      <c r="AD849">
        <f t="shared" si="6"/>
        <v>2</v>
      </c>
      <c r="AE849">
        <f t="shared" si="7"/>
        <v>1</v>
      </c>
      <c r="AF849">
        <f>if(iferror(vlookup($A849,'Description Database'!$E$2:$H$951,3,0),0)=TRUE,1,0)</f>
        <v>0</v>
      </c>
      <c r="AG849">
        <f>if(iferror(vlookup($A849,'Description Database'!$E$2:$H$951,4,0),0)=TRUE,1,0)</f>
        <v>0</v>
      </c>
    </row>
    <row r="850">
      <c r="A850" t="str">
        <f>IFERROR(__xludf.DUMMYFUNCTION("""COMPUTED_VALUE"""),"OPPO Reno3 Pro (8 GB/128 GB)")</f>
        <v>OPPO Reno3 Pro (8 GB/128 GB)</v>
      </c>
      <c r="B850" t="str">
        <f>IFERROR(__xludf.DUMMYFUNCTION("""COMPUTED_VALUE"""),"")</f>
        <v/>
      </c>
      <c r="C850" t="str">
        <f>IFERROR(__xludf.DUMMYFUNCTION("""COMPUTED_VALUE"""),"")</f>
        <v/>
      </c>
      <c r="D850" t="str">
        <f>IFERROR(__xludf.DUMMYFUNCTION("""COMPUTED_VALUE"""),"")</f>
        <v/>
      </c>
      <c r="E850" t="str">
        <f>IFERROR(__xludf.DUMMYFUNCTION("""COMPUTED_VALUE"""),"")</f>
        <v/>
      </c>
      <c r="F850" t="str">
        <f>IFERROR(__xludf.DUMMYFUNCTION("""COMPUTED_VALUE"""),"")</f>
        <v/>
      </c>
      <c r="G850" t="str">
        <f>IFERROR(__xludf.DUMMYFUNCTION("""COMPUTED_VALUE"""),"")</f>
        <v/>
      </c>
      <c r="H850" t="str">
        <f>IFERROR(__xludf.DUMMYFUNCTION("""COMPUTED_VALUE"""),"")</f>
        <v/>
      </c>
      <c r="I850" t="str">
        <f>IFERROR(__xludf.DUMMYFUNCTION("""COMPUTED_VALUE"""),"")</f>
        <v/>
      </c>
      <c r="J850">
        <f>IFERROR(__xludf.DUMMYFUNCTION("""COMPUTED_VALUE"""),0.0)</f>
        <v>0</v>
      </c>
      <c r="L850" s="250" t="str">
        <f>IFERROR(__xludf.DUMMYFUNCTION("""COMPUTED_VALUE"""),"")</f>
        <v/>
      </c>
      <c r="M850" s="250" t="str">
        <f>IFERROR(__xludf.DUMMYFUNCTION("""COMPUTED_VALUE"""),"")</f>
        <v/>
      </c>
      <c r="N850" s="250" t="str">
        <f>IFERROR(__xludf.DUMMYFUNCTION("""COMPUTED_VALUE"""),"")</f>
        <v/>
      </c>
      <c r="O850" s="250" t="str">
        <f>IFERROR(__xludf.DUMMYFUNCTION("""COMPUTED_VALUE"""),"")</f>
        <v/>
      </c>
      <c r="P850" s="250" t="str">
        <f>IFERROR(__xludf.DUMMYFUNCTION("""COMPUTED_VALUE"""),"")</f>
        <v/>
      </c>
      <c r="Q850" s="250" t="str">
        <f>IFERROR(__xludf.DUMMYFUNCTION("""COMPUTED_VALUE"""),"")</f>
        <v/>
      </c>
      <c r="R850" s="250" t="str">
        <f>IFERROR(__xludf.DUMMYFUNCTION("""COMPUTED_VALUE"""),"")</f>
        <v/>
      </c>
      <c r="U850" s="250">
        <f>IFERROR(__xludf.DUMMYFUNCTION("""COMPUTED_VALUE"""),16539.0)</f>
        <v>16539</v>
      </c>
      <c r="V850" s="250">
        <f>IFERROR(__xludf.DUMMYFUNCTION("""COMPUTED_VALUE"""),15739.0)</f>
        <v>15739</v>
      </c>
      <c r="W850" s="250">
        <f>IFERROR(__xludf.DUMMYFUNCTION("""COMPUTED_VALUE"""),14159.0)</f>
        <v>14159</v>
      </c>
      <c r="X850" t="b">
        <f t="shared" ref="X850:Z850" si="1676">ISBLANK(K850)</f>
        <v>1</v>
      </c>
      <c r="Y850" t="b">
        <f t="shared" si="1676"/>
        <v>0</v>
      </c>
      <c r="Z850" t="b">
        <f t="shared" si="1676"/>
        <v>0</v>
      </c>
      <c r="AA850">
        <f t="shared" ref="AA850:AC850" si="1677">IF(X850=FALSE,1,0)</f>
        <v>0</v>
      </c>
      <c r="AB850">
        <f t="shared" si="1677"/>
        <v>1</v>
      </c>
      <c r="AC850">
        <f t="shared" si="1677"/>
        <v>1</v>
      </c>
      <c r="AD850">
        <f t="shared" si="6"/>
        <v>2</v>
      </c>
      <c r="AE850">
        <f t="shared" si="7"/>
        <v>1</v>
      </c>
      <c r="AF850">
        <f>if(iferror(vlookup($A850,'Description Database'!$E$2:$H$951,3,0),0)=TRUE,1,0)</f>
        <v>0</v>
      </c>
      <c r="AG850">
        <f>if(iferror(vlookup($A850,'Description Database'!$E$2:$H$951,4,0),0)=TRUE,1,0)</f>
        <v>0</v>
      </c>
    </row>
    <row r="851">
      <c r="A851" t="str">
        <f>IFERROR(__xludf.DUMMYFUNCTION("""COMPUTED_VALUE"""),"Realme 5s (4 GB/128 GB)")</f>
        <v>Realme 5s (4 GB/128 GB)</v>
      </c>
      <c r="B851" t="str">
        <f>IFERROR(__xludf.DUMMYFUNCTION("""COMPUTED_VALUE"""),"")</f>
        <v/>
      </c>
      <c r="C851" t="str">
        <f>IFERROR(__xludf.DUMMYFUNCTION("""COMPUTED_VALUE"""),"")</f>
        <v/>
      </c>
      <c r="D851" t="str">
        <f>IFERROR(__xludf.DUMMYFUNCTION("""COMPUTED_VALUE"""),"")</f>
        <v/>
      </c>
      <c r="E851" t="str">
        <f>IFERROR(__xludf.DUMMYFUNCTION("""COMPUTED_VALUE"""),"")</f>
        <v/>
      </c>
      <c r="F851" t="str">
        <f>IFERROR(__xludf.DUMMYFUNCTION("""COMPUTED_VALUE"""),"")</f>
        <v/>
      </c>
      <c r="G851" t="str">
        <f>IFERROR(__xludf.DUMMYFUNCTION("""COMPUTED_VALUE"""),"")</f>
        <v/>
      </c>
      <c r="H851" t="str">
        <f>IFERROR(__xludf.DUMMYFUNCTION("""COMPUTED_VALUE"""),"")</f>
        <v/>
      </c>
      <c r="I851" t="str">
        <f>IFERROR(__xludf.DUMMYFUNCTION("""COMPUTED_VALUE"""),"")</f>
        <v/>
      </c>
      <c r="J851">
        <f>IFERROR(__xludf.DUMMYFUNCTION("""COMPUTED_VALUE"""),0.0)</f>
        <v>0</v>
      </c>
      <c r="L851" s="250" t="str">
        <f>IFERROR(__xludf.DUMMYFUNCTION("""COMPUTED_VALUE"""),"")</f>
        <v/>
      </c>
      <c r="M851" s="250" t="str">
        <f>IFERROR(__xludf.DUMMYFUNCTION("""COMPUTED_VALUE"""),"")</f>
        <v/>
      </c>
      <c r="N851" s="250" t="str">
        <f>IFERROR(__xludf.DUMMYFUNCTION("""COMPUTED_VALUE"""),"")</f>
        <v/>
      </c>
      <c r="O851" s="250" t="str">
        <f>IFERROR(__xludf.DUMMYFUNCTION("""COMPUTED_VALUE"""),"")</f>
        <v/>
      </c>
      <c r="P851" s="250" t="str">
        <f>IFERROR(__xludf.DUMMYFUNCTION("""COMPUTED_VALUE"""),"")</f>
        <v/>
      </c>
      <c r="Q851" s="250" t="str">
        <f>IFERROR(__xludf.DUMMYFUNCTION("""COMPUTED_VALUE"""),"")</f>
        <v/>
      </c>
      <c r="R851" s="250" t="str">
        <f>IFERROR(__xludf.DUMMYFUNCTION("""COMPUTED_VALUE"""),"")</f>
        <v/>
      </c>
      <c r="U851" s="250">
        <f>IFERROR(__xludf.DUMMYFUNCTION("""COMPUTED_VALUE"""),10499.0)</f>
        <v>10499</v>
      </c>
      <c r="V851" s="250">
        <f>IFERROR(__xludf.DUMMYFUNCTION("""COMPUTED_VALUE"""),9989.0)</f>
        <v>9989</v>
      </c>
      <c r="W851" s="250">
        <f>IFERROR(__xludf.DUMMYFUNCTION("""COMPUTED_VALUE"""),8999.0)</f>
        <v>8999</v>
      </c>
      <c r="X851" t="b">
        <f t="shared" ref="X851:Z851" si="1678">ISBLANK(K851)</f>
        <v>1</v>
      </c>
      <c r="Y851" t="b">
        <f t="shared" si="1678"/>
        <v>0</v>
      </c>
      <c r="Z851" t="b">
        <f t="shared" si="1678"/>
        <v>0</v>
      </c>
      <c r="AA851">
        <f t="shared" ref="AA851:AC851" si="1679">IF(X851=FALSE,1,0)</f>
        <v>0</v>
      </c>
      <c r="AB851">
        <f t="shared" si="1679"/>
        <v>1</v>
      </c>
      <c r="AC851">
        <f t="shared" si="1679"/>
        <v>1</v>
      </c>
      <c r="AD851">
        <f t="shared" si="6"/>
        <v>2</v>
      </c>
      <c r="AE851">
        <f t="shared" si="7"/>
        <v>1</v>
      </c>
      <c r="AF851">
        <f>if(iferror(vlookup($A851,'Description Database'!$E$2:$H$951,3,0),0)=TRUE,1,0)</f>
        <v>0</v>
      </c>
      <c r="AG851">
        <f>if(iferror(vlookup($A851,'Description Database'!$E$2:$H$951,4,0),0)=TRUE,1,0)</f>
        <v>0</v>
      </c>
    </row>
    <row r="852">
      <c r="A852" t="str">
        <f>IFERROR(__xludf.DUMMYFUNCTION("""COMPUTED_VALUE"""),"OnePlus Nord (12 GB/256 GB)")</f>
        <v>OnePlus Nord (12 GB/256 GB)</v>
      </c>
      <c r="B852" t="str">
        <f>IFERROR(__xludf.DUMMYFUNCTION("""COMPUTED_VALUE"""),"")</f>
        <v/>
      </c>
      <c r="C852">
        <f>IFERROR(__xludf.DUMMYFUNCTION("""COMPUTED_VALUE"""),1.0)</f>
        <v>1</v>
      </c>
      <c r="D852" t="str">
        <f>IFERROR(__xludf.DUMMYFUNCTION("""COMPUTED_VALUE"""),"")</f>
        <v/>
      </c>
      <c r="E852" t="str">
        <f>IFERROR(__xludf.DUMMYFUNCTION("""COMPUTED_VALUE"""),"")</f>
        <v/>
      </c>
      <c r="F852" t="str">
        <f>IFERROR(__xludf.DUMMYFUNCTION("""COMPUTED_VALUE"""),"")</f>
        <v/>
      </c>
      <c r="G852" t="str">
        <f>IFERROR(__xludf.DUMMYFUNCTION("""COMPUTED_VALUE"""),"")</f>
        <v/>
      </c>
      <c r="H852" t="str">
        <f>IFERROR(__xludf.DUMMYFUNCTION("""COMPUTED_VALUE"""),"")</f>
        <v/>
      </c>
      <c r="I852" t="str">
        <f>IFERROR(__xludf.DUMMYFUNCTION("""COMPUTED_VALUE"""),"")</f>
        <v/>
      </c>
      <c r="J852">
        <f>IFERROR(__xludf.DUMMYFUNCTION("""COMPUTED_VALUE"""),1.0)</f>
        <v>1</v>
      </c>
      <c r="L852" s="250" t="str">
        <f>IFERROR(__xludf.DUMMYFUNCTION("""COMPUTED_VALUE"""),"")</f>
        <v/>
      </c>
      <c r="M852" s="250">
        <f>IFERROR(__xludf.DUMMYFUNCTION("""COMPUTED_VALUE"""),20189.0)</f>
        <v>20189</v>
      </c>
      <c r="N852" s="250" t="str">
        <f>IFERROR(__xludf.DUMMYFUNCTION("""COMPUTED_VALUE"""),"")</f>
        <v/>
      </c>
      <c r="O852" s="250" t="str">
        <f>IFERROR(__xludf.DUMMYFUNCTION("""COMPUTED_VALUE"""),"")</f>
        <v/>
      </c>
      <c r="P852" s="250" t="str">
        <f>IFERROR(__xludf.DUMMYFUNCTION("""COMPUTED_VALUE"""),"")</f>
        <v/>
      </c>
      <c r="Q852" s="250" t="str">
        <f>IFERROR(__xludf.DUMMYFUNCTION("""COMPUTED_VALUE"""),"")</f>
        <v/>
      </c>
      <c r="R852" s="250" t="str">
        <f>IFERROR(__xludf.DUMMYFUNCTION("""COMPUTED_VALUE"""),"")</f>
        <v/>
      </c>
      <c r="U852" s="250">
        <f>IFERROR(__xludf.DUMMYFUNCTION("""COMPUTED_VALUE"""),23319.0)</f>
        <v>23319</v>
      </c>
      <c r="V852" s="250">
        <f>IFERROR(__xludf.DUMMYFUNCTION("""COMPUTED_VALUE"""),22209.0)</f>
        <v>22209</v>
      </c>
      <c r="W852" s="250">
        <f>IFERROR(__xludf.DUMMYFUNCTION("""COMPUTED_VALUE"""),19989.0)</f>
        <v>19989</v>
      </c>
      <c r="X852" t="b">
        <f t="shared" ref="X852:Z852" si="1680">ISBLANK(K852)</f>
        <v>1</v>
      </c>
      <c r="Y852" t="b">
        <f t="shared" si="1680"/>
        <v>0</v>
      </c>
      <c r="Z852" t="b">
        <f t="shared" si="1680"/>
        <v>0</v>
      </c>
      <c r="AA852">
        <f t="shared" ref="AA852:AC852" si="1681">IF(X852=FALSE,1,0)</f>
        <v>0</v>
      </c>
      <c r="AB852">
        <f t="shared" si="1681"/>
        <v>1</v>
      </c>
      <c r="AC852">
        <f t="shared" si="1681"/>
        <v>1</v>
      </c>
      <c r="AD852">
        <f t="shared" si="6"/>
        <v>2</v>
      </c>
      <c r="AE852">
        <f t="shared" si="7"/>
        <v>1</v>
      </c>
      <c r="AF852">
        <f>if(iferror(vlookup($A852,'Description Database'!$E$2:$H$951,3,0),0)=TRUE,1,0)</f>
        <v>0</v>
      </c>
      <c r="AG852">
        <f>if(iferror(vlookup($A852,'Description Database'!$E$2:$H$951,4,0),0)=TRUE,1,0)</f>
        <v>0</v>
      </c>
    </row>
    <row r="853">
      <c r="A853" t="str">
        <f>IFERROR(__xludf.DUMMYFUNCTION("""COMPUTED_VALUE"""),"Samsung GALAXY S7 EDGE (4 GB/128 GB)")</f>
        <v>Samsung GALAXY S7 EDGE (4 GB/128 GB)</v>
      </c>
      <c r="B853" t="str">
        <f>IFERROR(__xludf.DUMMYFUNCTION("""COMPUTED_VALUE"""),"")</f>
        <v/>
      </c>
      <c r="C853" t="str">
        <f>IFERROR(__xludf.DUMMYFUNCTION("""COMPUTED_VALUE"""),"")</f>
        <v/>
      </c>
      <c r="D853" t="str">
        <f>IFERROR(__xludf.DUMMYFUNCTION("""COMPUTED_VALUE"""),"")</f>
        <v/>
      </c>
      <c r="E853" t="str">
        <f>IFERROR(__xludf.DUMMYFUNCTION("""COMPUTED_VALUE"""),"")</f>
        <v/>
      </c>
      <c r="F853" t="str">
        <f>IFERROR(__xludf.DUMMYFUNCTION("""COMPUTED_VALUE"""),"")</f>
        <v/>
      </c>
      <c r="G853" t="str">
        <f>IFERROR(__xludf.DUMMYFUNCTION("""COMPUTED_VALUE"""),"")</f>
        <v/>
      </c>
      <c r="H853" t="str">
        <f>IFERROR(__xludf.DUMMYFUNCTION("""COMPUTED_VALUE"""),"")</f>
        <v/>
      </c>
      <c r="I853" t="str">
        <f>IFERROR(__xludf.DUMMYFUNCTION("""COMPUTED_VALUE"""),"")</f>
        <v/>
      </c>
      <c r="J853">
        <f>IFERROR(__xludf.DUMMYFUNCTION("""COMPUTED_VALUE"""),0.0)</f>
        <v>0</v>
      </c>
      <c r="L853" s="250" t="str">
        <f>IFERROR(__xludf.DUMMYFUNCTION("""COMPUTED_VALUE"""),"")</f>
        <v/>
      </c>
      <c r="M853" s="250" t="str">
        <f>IFERROR(__xludf.DUMMYFUNCTION("""COMPUTED_VALUE"""),"")</f>
        <v/>
      </c>
      <c r="N853" s="250" t="str">
        <f>IFERROR(__xludf.DUMMYFUNCTION("""COMPUTED_VALUE"""),"")</f>
        <v/>
      </c>
      <c r="O853" s="250" t="str">
        <f>IFERROR(__xludf.DUMMYFUNCTION("""COMPUTED_VALUE"""),"")</f>
        <v/>
      </c>
      <c r="P853" s="250" t="str">
        <f>IFERROR(__xludf.DUMMYFUNCTION("""COMPUTED_VALUE"""),"")</f>
        <v/>
      </c>
      <c r="Q853" s="250" t="str">
        <f>IFERROR(__xludf.DUMMYFUNCTION("""COMPUTED_VALUE"""),"")</f>
        <v/>
      </c>
      <c r="R853" s="250" t="str">
        <f>IFERROR(__xludf.DUMMYFUNCTION("""COMPUTED_VALUE"""),"")</f>
        <v/>
      </c>
      <c r="U853" s="250">
        <f>IFERROR(__xludf.DUMMYFUNCTION("""COMPUTED_VALUE"""),8149.0)</f>
        <v>8149</v>
      </c>
      <c r="V853" s="250">
        <f>IFERROR(__xludf.DUMMYFUNCTION("""COMPUTED_VALUE"""),7759.0)</f>
        <v>7759</v>
      </c>
      <c r="W853" s="250">
        <f>IFERROR(__xludf.DUMMYFUNCTION("""COMPUTED_VALUE"""),6989.0)</f>
        <v>6989</v>
      </c>
      <c r="X853" t="b">
        <f t="shared" ref="X853:Z853" si="1682">ISBLANK(K853)</f>
        <v>1</v>
      </c>
      <c r="Y853" t="b">
        <f t="shared" si="1682"/>
        <v>0</v>
      </c>
      <c r="Z853" t="b">
        <f t="shared" si="1682"/>
        <v>0</v>
      </c>
      <c r="AA853">
        <f t="shared" ref="AA853:AC853" si="1683">IF(X853=FALSE,1,0)</f>
        <v>0</v>
      </c>
      <c r="AB853">
        <f t="shared" si="1683"/>
        <v>1</v>
      </c>
      <c r="AC853">
        <f t="shared" si="1683"/>
        <v>1</v>
      </c>
      <c r="AD853">
        <f t="shared" si="6"/>
        <v>2</v>
      </c>
      <c r="AE853">
        <f t="shared" si="7"/>
        <v>1</v>
      </c>
      <c r="AF853">
        <f>if(iferror(vlookup($A853,'Description Database'!$E$2:$H$951,3,0),0)=TRUE,1,0)</f>
        <v>0</v>
      </c>
      <c r="AG853">
        <f>if(iferror(vlookup($A853,'Description Database'!$E$2:$H$951,4,0),0)=TRUE,1,0)</f>
        <v>0</v>
      </c>
    </row>
    <row r="854">
      <c r="A854" t="str">
        <f>IFERROR(__xludf.DUMMYFUNCTION("""COMPUTED_VALUE"""),"Samsung Galaxy A30s (4 GB/64 GB)")</f>
        <v>Samsung Galaxy A30s (4 GB/64 GB)</v>
      </c>
      <c r="B854" t="str">
        <f>IFERROR(__xludf.DUMMYFUNCTION("""COMPUTED_VALUE"""),"")</f>
        <v/>
      </c>
      <c r="C854" t="str">
        <f>IFERROR(__xludf.DUMMYFUNCTION("""COMPUTED_VALUE"""),"")</f>
        <v/>
      </c>
      <c r="D854" t="str">
        <f>IFERROR(__xludf.DUMMYFUNCTION("""COMPUTED_VALUE"""),"")</f>
        <v/>
      </c>
      <c r="E854" t="str">
        <f>IFERROR(__xludf.DUMMYFUNCTION("""COMPUTED_VALUE"""),"")</f>
        <v/>
      </c>
      <c r="F854" t="str">
        <f>IFERROR(__xludf.DUMMYFUNCTION("""COMPUTED_VALUE"""),"")</f>
        <v/>
      </c>
      <c r="G854">
        <f>IFERROR(__xludf.DUMMYFUNCTION("""COMPUTED_VALUE"""),1.0)</f>
        <v>1</v>
      </c>
      <c r="H854" t="str">
        <f>IFERROR(__xludf.DUMMYFUNCTION("""COMPUTED_VALUE"""),"")</f>
        <v/>
      </c>
      <c r="I854">
        <f>IFERROR(__xludf.DUMMYFUNCTION("""COMPUTED_VALUE"""),7.0)</f>
        <v>7</v>
      </c>
      <c r="J854">
        <f>IFERROR(__xludf.DUMMYFUNCTION("""COMPUTED_VALUE"""),8.0)</f>
        <v>8</v>
      </c>
      <c r="L854" s="250" t="str">
        <f>IFERROR(__xludf.DUMMYFUNCTION("""COMPUTED_VALUE"""),"")</f>
        <v/>
      </c>
      <c r="M854" s="250" t="str">
        <f>IFERROR(__xludf.DUMMYFUNCTION("""COMPUTED_VALUE"""),"")</f>
        <v/>
      </c>
      <c r="N854" s="250" t="str">
        <f>IFERROR(__xludf.DUMMYFUNCTION("""COMPUTED_VALUE"""),"")</f>
        <v/>
      </c>
      <c r="O854" s="250" t="str">
        <f>IFERROR(__xludf.DUMMYFUNCTION("""COMPUTED_VALUE"""),"")</f>
        <v/>
      </c>
      <c r="P854" s="250" t="str">
        <f>IFERROR(__xludf.DUMMYFUNCTION("""COMPUTED_VALUE"""),"")</f>
        <v/>
      </c>
      <c r="Q854" s="250">
        <f>IFERROR(__xludf.DUMMYFUNCTION("""COMPUTED_VALUE"""),3429.0)</f>
        <v>3429</v>
      </c>
      <c r="R854" s="250" t="str">
        <f>IFERROR(__xludf.DUMMYFUNCTION("""COMPUTED_VALUE"""),"")</f>
        <v/>
      </c>
      <c r="U854" s="250">
        <f>IFERROR(__xludf.DUMMYFUNCTION("""COMPUTED_VALUE"""),7699.0)</f>
        <v>7699</v>
      </c>
      <c r="V854" s="250">
        <f>IFERROR(__xludf.DUMMYFUNCTION("""COMPUTED_VALUE"""),7329.0)</f>
        <v>7329</v>
      </c>
      <c r="W854" s="250">
        <f>IFERROR(__xludf.DUMMYFUNCTION("""COMPUTED_VALUE"""),6599.0)</f>
        <v>6599</v>
      </c>
      <c r="X854" t="b">
        <f t="shared" ref="X854:Z854" si="1684">ISBLANK(K854)</f>
        <v>1</v>
      </c>
      <c r="Y854" t="b">
        <f t="shared" si="1684"/>
        <v>0</v>
      </c>
      <c r="Z854" t="b">
        <f t="shared" si="1684"/>
        <v>0</v>
      </c>
      <c r="AA854">
        <f t="shared" ref="AA854:AC854" si="1685">IF(X854=FALSE,1,0)</f>
        <v>0</v>
      </c>
      <c r="AB854">
        <f t="shared" si="1685"/>
        <v>1</v>
      </c>
      <c r="AC854">
        <f t="shared" si="1685"/>
        <v>1</v>
      </c>
      <c r="AD854">
        <f t="shared" si="6"/>
        <v>2</v>
      </c>
      <c r="AE854">
        <f t="shared" si="7"/>
        <v>1</v>
      </c>
      <c r="AF854">
        <f>if(iferror(vlookup($A854,'Description Database'!$E$2:$H$951,3,0),0)=TRUE,1,0)</f>
        <v>0</v>
      </c>
      <c r="AG854">
        <f>if(iferror(vlookup($A854,'Description Database'!$E$2:$H$951,4,0),0)=TRUE,1,0)</f>
        <v>0</v>
      </c>
    </row>
    <row r="855">
      <c r="A855" t="str">
        <f>IFERROR(__xludf.DUMMYFUNCTION("""COMPUTED_VALUE"""),"Samsung GALAXY S10 LITE(8 GB /512GB)")</f>
        <v>Samsung GALAXY S10 LITE(8 GB /512GB)</v>
      </c>
      <c r="B855" t="str">
        <f>IFERROR(__xludf.DUMMYFUNCTION("""COMPUTED_VALUE"""),"")</f>
        <v/>
      </c>
      <c r="C855" t="str">
        <f>IFERROR(__xludf.DUMMYFUNCTION("""COMPUTED_VALUE"""),"")</f>
        <v/>
      </c>
      <c r="D855" t="str">
        <f>IFERROR(__xludf.DUMMYFUNCTION("""COMPUTED_VALUE"""),"")</f>
        <v/>
      </c>
      <c r="E855" t="str">
        <f>IFERROR(__xludf.DUMMYFUNCTION("""COMPUTED_VALUE"""),"")</f>
        <v/>
      </c>
      <c r="F855" t="str">
        <f>IFERROR(__xludf.DUMMYFUNCTION("""COMPUTED_VALUE"""),"")</f>
        <v/>
      </c>
      <c r="G855" t="str">
        <f>IFERROR(__xludf.DUMMYFUNCTION("""COMPUTED_VALUE"""),"")</f>
        <v/>
      </c>
      <c r="H855" t="str">
        <f>IFERROR(__xludf.DUMMYFUNCTION("""COMPUTED_VALUE"""),"")</f>
        <v/>
      </c>
      <c r="I855" t="str">
        <f>IFERROR(__xludf.DUMMYFUNCTION("""COMPUTED_VALUE"""),"")</f>
        <v/>
      </c>
      <c r="J855">
        <f>IFERROR(__xludf.DUMMYFUNCTION("""COMPUTED_VALUE"""),0.0)</f>
        <v>0</v>
      </c>
      <c r="L855" s="250" t="str">
        <f>IFERROR(__xludf.DUMMYFUNCTION("""COMPUTED_VALUE"""),"")</f>
        <v/>
      </c>
      <c r="M855" s="250" t="str">
        <f>IFERROR(__xludf.DUMMYFUNCTION("""COMPUTED_VALUE"""),"")</f>
        <v/>
      </c>
      <c r="N855" s="250" t="str">
        <f>IFERROR(__xludf.DUMMYFUNCTION("""COMPUTED_VALUE"""),"")</f>
        <v/>
      </c>
      <c r="O855" s="250" t="str">
        <f>IFERROR(__xludf.DUMMYFUNCTION("""COMPUTED_VALUE"""),"")</f>
        <v/>
      </c>
      <c r="P855" s="250" t="str">
        <f>IFERROR(__xludf.DUMMYFUNCTION("""COMPUTED_VALUE"""),"")</f>
        <v/>
      </c>
      <c r="Q855" s="250" t="str">
        <f>IFERROR(__xludf.DUMMYFUNCTION("""COMPUTED_VALUE"""),"")</f>
        <v/>
      </c>
      <c r="R855" s="250" t="str">
        <f>IFERROR(__xludf.DUMMYFUNCTION("""COMPUTED_VALUE"""),"")</f>
        <v/>
      </c>
      <c r="U855" s="250" t="str">
        <f>IFERROR(__xludf.DUMMYFUNCTION("""COMPUTED_VALUE"""),"#N/A")</f>
        <v>#N/A</v>
      </c>
      <c r="V855" s="250" t="str">
        <f>IFERROR(__xludf.DUMMYFUNCTION("""COMPUTED_VALUE"""),"#N/A")</f>
        <v>#N/A</v>
      </c>
      <c r="W855" s="250" t="str">
        <f>IFERROR(__xludf.DUMMYFUNCTION("""COMPUTED_VALUE"""),"#N/A")</f>
        <v>#N/A</v>
      </c>
      <c r="X855" t="b">
        <f t="shared" ref="X855:Z855" si="1686">ISBLANK(K855)</f>
        <v>1</v>
      </c>
      <c r="Y855" t="b">
        <f t="shared" si="1686"/>
        <v>0</v>
      </c>
      <c r="Z855" t="b">
        <f t="shared" si="1686"/>
        <v>0</v>
      </c>
      <c r="AA855">
        <f t="shared" ref="AA855:AC855" si="1687">IF(X855=FALSE,1,0)</f>
        <v>0</v>
      </c>
      <c r="AB855">
        <f t="shared" si="1687"/>
        <v>1</v>
      </c>
      <c r="AC855">
        <f t="shared" si="1687"/>
        <v>1</v>
      </c>
      <c r="AD855">
        <f t="shared" si="6"/>
        <v>2</v>
      </c>
      <c r="AE855">
        <f t="shared" si="7"/>
        <v>1</v>
      </c>
      <c r="AF855">
        <f>if(iferror(vlookup($A855,'Description Database'!$E$2:$H$951,3,0),0)=TRUE,1,0)</f>
        <v>0</v>
      </c>
      <c r="AG855">
        <f>if(iferror(vlookup($A855,'Description Database'!$E$2:$H$951,4,0),0)=TRUE,1,0)</f>
        <v>0</v>
      </c>
    </row>
    <row r="856">
      <c r="A856" t="str">
        <f>IFERROR(__xludf.DUMMYFUNCTION("""COMPUTED_VALUE"""),"Samsung Galaxy M31 (8 GB/128 GB)")</f>
        <v>Samsung Galaxy M31 (8 GB/128 GB)</v>
      </c>
      <c r="B856" t="str">
        <f>IFERROR(__xludf.DUMMYFUNCTION("""COMPUTED_VALUE"""),"")</f>
        <v/>
      </c>
      <c r="C856" t="str">
        <f>IFERROR(__xludf.DUMMYFUNCTION("""COMPUTED_VALUE"""),"")</f>
        <v/>
      </c>
      <c r="D856" t="str">
        <f>IFERROR(__xludf.DUMMYFUNCTION("""COMPUTED_VALUE"""),"")</f>
        <v/>
      </c>
      <c r="E856" t="str">
        <f>IFERROR(__xludf.DUMMYFUNCTION("""COMPUTED_VALUE"""),"")</f>
        <v/>
      </c>
      <c r="F856" t="str">
        <f>IFERROR(__xludf.DUMMYFUNCTION("""COMPUTED_VALUE"""),"")</f>
        <v/>
      </c>
      <c r="G856" t="str">
        <f>IFERROR(__xludf.DUMMYFUNCTION("""COMPUTED_VALUE"""),"")</f>
        <v/>
      </c>
      <c r="H856" t="str">
        <f>IFERROR(__xludf.DUMMYFUNCTION("""COMPUTED_VALUE"""),"")</f>
        <v/>
      </c>
      <c r="I856" t="str">
        <f>IFERROR(__xludf.DUMMYFUNCTION("""COMPUTED_VALUE"""),"")</f>
        <v/>
      </c>
      <c r="J856">
        <f>IFERROR(__xludf.DUMMYFUNCTION("""COMPUTED_VALUE"""),0.0)</f>
        <v>0</v>
      </c>
      <c r="L856" s="250" t="str">
        <f>IFERROR(__xludf.DUMMYFUNCTION("""COMPUTED_VALUE"""),"")</f>
        <v/>
      </c>
      <c r="M856" s="250" t="str">
        <f>IFERROR(__xludf.DUMMYFUNCTION("""COMPUTED_VALUE"""),"")</f>
        <v/>
      </c>
      <c r="N856" s="250" t="str">
        <f>IFERROR(__xludf.DUMMYFUNCTION("""COMPUTED_VALUE"""),"")</f>
        <v/>
      </c>
      <c r="O856" s="250" t="str">
        <f>IFERROR(__xludf.DUMMYFUNCTION("""COMPUTED_VALUE"""),"")</f>
        <v/>
      </c>
      <c r="P856" s="250" t="str">
        <f>IFERROR(__xludf.DUMMYFUNCTION("""COMPUTED_VALUE"""),"")</f>
        <v/>
      </c>
      <c r="Q856" s="250" t="str">
        <f>IFERROR(__xludf.DUMMYFUNCTION("""COMPUTED_VALUE"""),"")</f>
        <v/>
      </c>
      <c r="R856" s="250" t="str">
        <f>IFERROR(__xludf.DUMMYFUNCTION("""COMPUTED_VALUE"""),"")</f>
        <v/>
      </c>
      <c r="U856" s="250">
        <f>IFERROR(__xludf.DUMMYFUNCTION("""COMPUTED_VALUE"""),10739.0)</f>
        <v>10739</v>
      </c>
      <c r="V856" s="250">
        <f>IFERROR(__xludf.DUMMYFUNCTION("""COMPUTED_VALUE"""),10219.0)</f>
        <v>10219</v>
      </c>
      <c r="W856" s="250">
        <f>IFERROR(__xludf.DUMMYFUNCTION("""COMPUTED_VALUE"""),9199.0)</f>
        <v>9199</v>
      </c>
      <c r="X856" t="b">
        <f t="shared" ref="X856:Z856" si="1688">ISBLANK(K856)</f>
        <v>1</v>
      </c>
      <c r="Y856" t="b">
        <f t="shared" si="1688"/>
        <v>0</v>
      </c>
      <c r="Z856" t="b">
        <f t="shared" si="1688"/>
        <v>0</v>
      </c>
      <c r="AA856">
        <f t="shared" ref="AA856:AC856" si="1689">IF(X856=FALSE,1,0)</f>
        <v>0</v>
      </c>
      <c r="AB856">
        <f t="shared" si="1689"/>
        <v>1</v>
      </c>
      <c r="AC856">
        <f t="shared" si="1689"/>
        <v>1</v>
      </c>
      <c r="AD856">
        <f t="shared" si="6"/>
        <v>2</v>
      </c>
      <c r="AE856">
        <f t="shared" si="7"/>
        <v>1</v>
      </c>
      <c r="AF856">
        <f>if(iferror(vlookup($A856,'Description Database'!$E$2:$H$951,3,0),0)=TRUE,1,0)</f>
        <v>0</v>
      </c>
      <c r="AG856">
        <f>if(iferror(vlookup($A856,'Description Database'!$E$2:$H$951,4,0),0)=TRUE,1,0)</f>
        <v>0</v>
      </c>
    </row>
    <row r="857">
      <c r="A857" t="str">
        <f>IFERROR(__xludf.DUMMYFUNCTION("""COMPUTED_VALUE"""),"Samsung Galaxy A9 2018 (6 GB/128 GB)")</f>
        <v>Samsung Galaxy A9 2018 (6 GB/128 GB)</v>
      </c>
      <c r="B857" t="str">
        <f>IFERROR(__xludf.DUMMYFUNCTION("""COMPUTED_VALUE"""),"")</f>
        <v/>
      </c>
      <c r="C857" t="str">
        <f>IFERROR(__xludf.DUMMYFUNCTION("""COMPUTED_VALUE"""),"")</f>
        <v/>
      </c>
      <c r="D857">
        <f>IFERROR(__xludf.DUMMYFUNCTION("""COMPUTED_VALUE"""),1.0)</f>
        <v>1</v>
      </c>
      <c r="E857" t="str">
        <f>IFERROR(__xludf.DUMMYFUNCTION("""COMPUTED_VALUE"""),"")</f>
        <v/>
      </c>
      <c r="F857" t="str">
        <f>IFERROR(__xludf.DUMMYFUNCTION("""COMPUTED_VALUE"""),"")</f>
        <v/>
      </c>
      <c r="G857" t="str">
        <f>IFERROR(__xludf.DUMMYFUNCTION("""COMPUTED_VALUE"""),"")</f>
        <v/>
      </c>
      <c r="H857" t="str">
        <f>IFERROR(__xludf.DUMMYFUNCTION("""COMPUTED_VALUE"""),"")</f>
        <v/>
      </c>
      <c r="I857" t="str">
        <f>IFERROR(__xludf.DUMMYFUNCTION("""COMPUTED_VALUE"""),"")</f>
        <v/>
      </c>
      <c r="J857">
        <f>IFERROR(__xludf.DUMMYFUNCTION("""COMPUTED_VALUE"""),1.0)</f>
        <v>1</v>
      </c>
      <c r="L857" s="250" t="str">
        <f>IFERROR(__xludf.DUMMYFUNCTION("""COMPUTED_VALUE"""),"")</f>
        <v/>
      </c>
      <c r="M857" s="250" t="str">
        <f>IFERROR(__xludf.DUMMYFUNCTION("""COMPUTED_VALUE"""),"")</f>
        <v/>
      </c>
      <c r="N857" s="250">
        <f>IFERROR(__xludf.DUMMYFUNCTION("""COMPUTED_VALUE"""),7729.0)</f>
        <v>7729</v>
      </c>
      <c r="O857" s="250" t="str">
        <f>IFERROR(__xludf.DUMMYFUNCTION("""COMPUTED_VALUE"""),"")</f>
        <v/>
      </c>
      <c r="P857" s="250" t="str">
        <f>IFERROR(__xludf.DUMMYFUNCTION("""COMPUTED_VALUE"""),"")</f>
        <v/>
      </c>
      <c r="Q857" s="250" t="str">
        <f>IFERROR(__xludf.DUMMYFUNCTION("""COMPUTED_VALUE"""),"")</f>
        <v/>
      </c>
      <c r="R857" s="250" t="str">
        <f>IFERROR(__xludf.DUMMYFUNCTION("""COMPUTED_VALUE"""),"")</f>
        <v/>
      </c>
      <c r="U857" s="250">
        <f>IFERROR(__xludf.DUMMYFUNCTION("""COMPUTED_VALUE"""),9909.0)</f>
        <v>9909</v>
      </c>
      <c r="V857" s="250">
        <f>IFERROR(__xludf.DUMMYFUNCTION("""COMPUTED_VALUE"""),9439.0)</f>
        <v>9439</v>
      </c>
      <c r="W857" s="250">
        <f>IFERROR(__xludf.DUMMYFUNCTION("""COMPUTED_VALUE"""),8509.0)</f>
        <v>8509</v>
      </c>
      <c r="X857" t="b">
        <f t="shared" ref="X857:Z857" si="1690">ISBLANK(K857)</f>
        <v>1</v>
      </c>
      <c r="Y857" t="b">
        <f t="shared" si="1690"/>
        <v>0</v>
      </c>
      <c r="Z857" t="b">
        <f t="shared" si="1690"/>
        <v>0</v>
      </c>
      <c r="AA857">
        <f t="shared" ref="AA857:AC857" si="1691">IF(X857=FALSE,1,0)</f>
        <v>0</v>
      </c>
      <c r="AB857">
        <f t="shared" si="1691"/>
        <v>1</v>
      </c>
      <c r="AC857">
        <f t="shared" si="1691"/>
        <v>1</v>
      </c>
      <c r="AD857">
        <f t="shared" si="6"/>
        <v>2</v>
      </c>
      <c r="AE857">
        <f t="shared" si="7"/>
        <v>1</v>
      </c>
      <c r="AF857">
        <f>if(iferror(vlookup($A857,'Description Database'!$E$2:$H$951,3,0),0)=TRUE,1,0)</f>
        <v>0</v>
      </c>
      <c r="AG857">
        <f>if(iferror(vlookup($A857,'Description Database'!$E$2:$H$951,4,0),0)=TRUE,1,0)</f>
        <v>0</v>
      </c>
    </row>
    <row r="858">
      <c r="A858" t="str">
        <f>IFERROR(__xludf.DUMMYFUNCTION("""COMPUTED_VALUE"""),"Realme X2(6 GB/128GB)")</f>
        <v>Realme X2(6 GB/128GB)</v>
      </c>
      <c r="B858" t="str">
        <f>IFERROR(__xludf.DUMMYFUNCTION("""COMPUTED_VALUE"""),"")</f>
        <v/>
      </c>
      <c r="C858" t="str">
        <f>IFERROR(__xludf.DUMMYFUNCTION("""COMPUTED_VALUE"""),"")</f>
        <v/>
      </c>
      <c r="D858" t="str">
        <f>IFERROR(__xludf.DUMMYFUNCTION("""COMPUTED_VALUE"""),"")</f>
        <v/>
      </c>
      <c r="E858" t="str">
        <f>IFERROR(__xludf.DUMMYFUNCTION("""COMPUTED_VALUE"""),"")</f>
        <v/>
      </c>
      <c r="F858" t="str">
        <f>IFERROR(__xludf.DUMMYFUNCTION("""COMPUTED_VALUE"""),"")</f>
        <v/>
      </c>
      <c r="G858" t="str">
        <f>IFERROR(__xludf.DUMMYFUNCTION("""COMPUTED_VALUE"""),"")</f>
        <v/>
      </c>
      <c r="H858" t="str">
        <f>IFERROR(__xludf.DUMMYFUNCTION("""COMPUTED_VALUE"""),"")</f>
        <v/>
      </c>
      <c r="I858" t="str">
        <f>IFERROR(__xludf.DUMMYFUNCTION("""COMPUTED_VALUE"""),"")</f>
        <v/>
      </c>
      <c r="J858">
        <f>IFERROR(__xludf.DUMMYFUNCTION("""COMPUTED_VALUE"""),0.0)</f>
        <v>0</v>
      </c>
      <c r="L858" s="250" t="str">
        <f>IFERROR(__xludf.DUMMYFUNCTION("""COMPUTED_VALUE"""),"")</f>
        <v/>
      </c>
      <c r="M858" s="250" t="str">
        <f>IFERROR(__xludf.DUMMYFUNCTION("""COMPUTED_VALUE"""),"")</f>
        <v/>
      </c>
      <c r="N858" s="250" t="str">
        <f>IFERROR(__xludf.DUMMYFUNCTION("""COMPUTED_VALUE"""),"")</f>
        <v/>
      </c>
      <c r="O858" s="250" t="str">
        <f>IFERROR(__xludf.DUMMYFUNCTION("""COMPUTED_VALUE"""),"")</f>
        <v/>
      </c>
      <c r="P858" s="250" t="str">
        <f>IFERROR(__xludf.DUMMYFUNCTION("""COMPUTED_VALUE"""),"")</f>
        <v/>
      </c>
      <c r="Q858" s="250" t="str">
        <f>IFERROR(__xludf.DUMMYFUNCTION("""COMPUTED_VALUE"""),"")</f>
        <v/>
      </c>
      <c r="R858" s="250" t="str">
        <f>IFERROR(__xludf.DUMMYFUNCTION("""COMPUTED_VALUE"""),"")</f>
        <v/>
      </c>
      <c r="U858" s="250" t="str">
        <f>IFERROR(__xludf.DUMMYFUNCTION("""COMPUTED_VALUE"""),"#N/A")</f>
        <v>#N/A</v>
      </c>
      <c r="V858" s="250" t="str">
        <f>IFERROR(__xludf.DUMMYFUNCTION("""COMPUTED_VALUE"""),"#N/A")</f>
        <v>#N/A</v>
      </c>
      <c r="W858" s="250" t="str">
        <f>IFERROR(__xludf.DUMMYFUNCTION("""COMPUTED_VALUE"""),"#N/A")</f>
        <v>#N/A</v>
      </c>
      <c r="X858" t="b">
        <f t="shared" ref="X858:Z858" si="1692">ISBLANK(K858)</f>
        <v>1</v>
      </c>
      <c r="Y858" t="b">
        <f t="shared" si="1692"/>
        <v>0</v>
      </c>
      <c r="Z858" t="b">
        <f t="shared" si="1692"/>
        <v>0</v>
      </c>
      <c r="AA858">
        <f t="shared" ref="AA858:AC858" si="1693">IF(X858=FALSE,1,0)</f>
        <v>0</v>
      </c>
      <c r="AB858">
        <f t="shared" si="1693"/>
        <v>1</v>
      </c>
      <c r="AC858">
        <f t="shared" si="1693"/>
        <v>1</v>
      </c>
      <c r="AD858">
        <f t="shared" si="6"/>
        <v>2</v>
      </c>
      <c r="AE858">
        <f t="shared" si="7"/>
        <v>1</v>
      </c>
      <c r="AF858">
        <f>if(iferror(vlookup($A858,'Description Database'!$E$2:$H$951,3,0),0)=TRUE,1,0)</f>
        <v>0</v>
      </c>
      <c r="AG858">
        <f>if(iferror(vlookup($A858,'Description Database'!$E$2:$H$951,4,0),0)=TRUE,1,0)</f>
        <v>0</v>
      </c>
    </row>
    <row r="859">
      <c r="A859" t="str">
        <f>IFERROR(__xludf.DUMMYFUNCTION("""COMPUTED_VALUE"""),"Realme REALME X(4 GB/128GB)")</f>
        <v>Realme REALME X(4 GB/128GB)</v>
      </c>
      <c r="B859" t="str">
        <f>IFERROR(__xludf.DUMMYFUNCTION("""COMPUTED_VALUE"""),"")</f>
        <v/>
      </c>
      <c r="C859" t="str">
        <f>IFERROR(__xludf.DUMMYFUNCTION("""COMPUTED_VALUE"""),"")</f>
        <v/>
      </c>
      <c r="D859" t="str">
        <f>IFERROR(__xludf.DUMMYFUNCTION("""COMPUTED_VALUE"""),"")</f>
        <v/>
      </c>
      <c r="E859" t="str">
        <f>IFERROR(__xludf.DUMMYFUNCTION("""COMPUTED_VALUE"""),"")</f>
        <v/>
      </c>
      <c r="F859" t="str">
        <f>IFERROR(__xludf.DUMMYFUNCTION("""COMPUTED_VALUE"""),"")</f>
        <v/>
      </c>
      <c r="G859" t="str">
        <f>IFERROR(__xludf.DUMMYFUNCTION("""COMPUTED_VALUE"""),"")</f>
        <v/>
      </c>
      <c r="H859" t="str">
        <f>IFERROR(__xludf.DUMMYFUNCTION("""COMPUTED_VALUE"""),"")</f>
        <v/>
      </c>
      <c r="I859" t="str">
        <f>IFERROR(__xludf.DUMMYFUNCTION("""COMPUTED_VALUE"""),"")</f>
        <v/>
      </c>
      <c r="J859">
        <f>IFERROR(__xludf.DUMMYFUNCTION("""COMPUTED_VALUE"""),0.0)</f>
        <v>0</v>
      </c>
      <c r="L859" s="250" t="str">
        <f>IFERROR(__xludf.DUMMYFUNCTION("""COMPUTED_VALUE"""),"")</f>
        <v/>
      </c>
      <c r="M859" s="250" t="str">
        <f>IFERROR(__xludf.DUMMYFUNCTION("""COMPUTED_VALUE"""),"")</f>
        <v/>
      </c>
      <c r="N859" s="250" t="str">
        <f>IFERROR(__xludf.DUMMYFUNCTION("""COMPUTED_VALUE"""),"")</f>
        <v/>
      </c>
      <c r="O859" s="250" t="str">
        <f>IFERROR(__xludf.DUMMYFUNCTION("""COMPUTED_VALUE"""),"")</f>
        <v/>
      </c>
      <c r="P859" s="250" t="str">
        <f>IFERROR(__xludf.DUMMYFUNCTION("""COMPUTED_VALUE"""),"")</f>
        <v/>
      </c>
      <c r="Q859" s="250" t="str">
        <f>IFERROR(__xludf.DUMMYFUNCTION("""COMPUTED_VALUE"""),"")</f>
        <v/>
      </c>
      <c r="R859" s="250" t="str">
        <f>IFERROR(__xludf.DUMMYFUNCTION("""COMPUTED_VALUE"""),"")</f>
        <v/>
      </c>
      <c r="U859" s="250" t="str">
        <f>IFERROR(__xludf.DUMMYFUNCTION("""COMPUTED_VALUE"""),"#N/A")</f>
        <v>#N/A</v>
      </c>
      <c r="V859" s="250" t="str">
        <f>IFERROR(__xludf.DUMMYFUNCTION("""COMPUTED_VALUE"""),"#N/A")</f>
        <v>#N/A</v>
      </c>
      <c r="W859" s="250" t="str">
        <f>IFERROR(__xludf.DUMMYFUNCTION("""COMPUTED_VALUE"""),"#N/A")</f>
        <v>#N/A</v>
      </c>
      <c r="X859" t="b">
        <f t="shared" ref="X859:Z859" si="1694">ISBLANK(K859)</f>
        <v>1</v>
      </c>
      <c r="Y859" t="b">
        <f t="shared" si="1694"/>
        <v>0</v>
      </c>
      <c r="Z859" t="b">
        <f t="shared" si="1694"/>
        <v>0</v>
      </c>
      <c r="AA859">
        <f t="shared" ref="AA859:AC859" si="1695">IF(X859=FALSE,1,0)</f>
        <v>0</v>
      </c>
      <c r="AB859">
        <f t="shared" si="1695"/>
        <v>1</v>
      </c>
      <c r="AC859">
        <f t="shared" si="1695"/>
        <v>1</v>
      </c>
      <c r="AD859">
        <f t="shared" si="6"/>
        <v>2</v>
      </c>
      <c r="AE859">
        <f t="shared" si="7"/>
        <v>1</v>
      </c>
      <c r="AF859">
        <f>if(iferror(vlookup($A859,'Description Database'!$E$2:$H$951,3,0),0)=TRUE,1,0)</f>
        <v>0</v>
      </c>
      <c r="AG859">
        <f>if(iferror(vlookup($A859,'Description Database'!$E$2:$H$951,4,0),0)=TRUE,1,0)</f>
        <v>0</v>
      </c>
    </row>
    <row r="860">
      <c r="A860" t="str">
        <f>IFERROR(__xludf.DUMMYFUNCTION("""COMPUTED_VALUE"""),"LG NEXUS 5 (2 GB/32 GB)")</f>
        <v>LG NEXUS 5 (2 GB/32 GB)</v>
      </c>
      <c r="B860" t="str">
        <f>IFERROR(__xludf.DUMMYFUNCTION("""COMPUTED_VALUE"""),"")</f>
        <v/>
      </c>
      <c r="C860" t="str">
        <f>IFERROR(__xludf.DUMMYFUNCTION("""COMPUTED_VALUE"""),"")</f>
        <v/>
      </c>
      <c r="D860" t="str">
        <f>IFERROR(__xludf.DUMMYFUNCTION("""COMPUTED_VALUE"""),"")</f>
        <v/>
      </c>
      <c r="E860" t="str">
        <f>IFERROR(__xludf.DUMMYFUNCTION("""COMPUTED_VALUE"""),"")</f>
        <v/>
      </c>
      <c r="F860" t="str">
        <f>IFERROR(__xludf.DUMMYFUNCTION("""COMPUTED_VALUE"""),"")</f>
        <v/>
      </c>
      <c r="G860" t="str">
        <f>IFERROR(__xludf.DUMMYFUNCTION("""COMPUTED_VALUE"""),"")</f>
        <v/>
      </c>
      <c r="H860" t="str">
        <f>IFERROR(__xludf.DUMMYFUNCTION("""COMPUTED_VALUE"""),"")</f>
        <v/>
      </c>
      <c r="I860">
        <f>IFERROR(__xludf.DUMMYFUNCTION("""COMPUTED_VALUE"""),23.0)</f>
        <v>23</v>
      </c>
      <c r="J860">
        <f>IFERROR(__xludf.DUMMYFUNCTION("""COMPUTED_VALUE"""),23.0)</f>
        <v>23</v>
      </c>
      <c r="L860" s="250" t="str">
        <f>IFERROR(__xludf.DUMMYFUNCTION("""COMPUTED_VALUE"""),"")</f>
        <v/>
      </c>
      <c r="M860" s="250" t="str">
        <f>IFERROR(__xludf.DUMMYFUNCTION("""COMPUTED_VALUE"""),"")</f>
        <v/>
      </c>
      <c r="N860" s="250" t="str">
        <f>IFERROR(__xludf.DUMMYFUNCTION("""COMPUTED_VALUE"""),"")</f>
        <v/>
      </c>
      <c r="O860" s="250" t="str">
        <f>IFERROR(__xludf.DUMMYFUNCTION("""COMPUTED_VALUE"""),"")</f>
        <v/>
      </c>
      <c r="P860" s="250" t="str">
        <f>IFERROR(__xludf.DUMMYFUNCTION("""COMPUTED_VALUE"""),"")</f>
        <v/>
      </c>
      <c r="Q860" s="250" t="str">
        <f>IFERROR(__xludf.DUMMYFUNCTION("""COMPUTED_VALUE"""),"")</f>
        <v/>
      </c>
      <c r="R860" s="250" t="str">
        <f>IFERROR(__xludf.DUMMYFUNCTION("""COMPUTED_VALUE"""),"")</f>
        <v/>
      </c>
      <c r="U860" s="250" t="str">
        <f>IFERROR(__xludf.DUMMYFUNCTION("""COMPUTED_VALUE"""),"#N/A")</f>
        <v>#N/A</v>
      </c>
      <c r="V860" s="250" t="str">
        <f>IFERROR(__xludf.DUMMYFUNCTION("""COMPUTED_VALUE"""),"#N/A")</f>
        <v>#N/A</v>
      </c>
      <c r="W860" s="250" t="str">
        <f>IFERROR(__xludf.DUMMYFUNCTION("""COMPUTED_VALUE"""),"#N/A")</f>
        <v>#N/A</v>
      </c>
      <c r="X860" t="b">
        <f t="shared" ref="X860:Z860" si="1696">ISBLANK(K860)</f>
        <v>1</v>
      </c>
      <c r="Y860" t="b">
        <f t="shared" si="1696"/>
        <v>0</v>
      </c>
      <c r="Z860" t="b">
        <f t="shared" si="1696"/>
        <v>0</v>
      </c>
      <c r="AA860">
        <f t="shared" ref="AA860:AC860" si="1697">IF(X860=FALSE,1,0)</f>
        <v>0</v>
      </c>
      <c r="AB860">
        <f t="shared" si="1697"/>
        <v>1</v>
      </c>
      <c r="AC860">
        <f t="shared" si="1697"/>
        <v>1</v>
      </c>
      <c r="AD860">
        <f t="shared" si="6"/>
        <v>2</v>
      </c>
      <c r="AE860">
        <f t="shared" si="7"/>
        <v>1</v>
      </c>
      <c r="AF860">
        <f>if(iferror(vlookup($A860,'Description Database'!$E$2:$H$951,3,0),0)=TRUE,1,0)</f>
        <v>0</v>
      </c>
      <c r="AG860">
        <f>if(iferror(vlookup($A860,'Description Database'!$E$2:$H$951,4,0),0)=TRUE,1,0)</f>
        <v>0</v>
      </c>
    </row>
    <row r="861">
      <c r="A861" t="str">
        <f>IFERROR(__xludf.DUMMYFUNCTION("""COMPUTED_VALUE"""),"LG NEXUS 5 (2 GB/16 GB)")</f>
        <v>LG NEXUS 5 (2 GB/16 GB)</v>
      </c>
      <c r="B861" t="str">
        <f>IFERROR(__xludf.DUMMYFUNCTION("""COMPUTED_VALUE"""),"")</f>
        <v/>
      </c>
      <c r="C861" t="str">
        <f>IFERROR(__xludf.DUMMYFUNCTION("""COMPUTED_VALUE"""),"")</f>
        <v/>
      </c>
      <c r="D861" t="str">
        <f>IFERROR(__xludf.DUMMYFUNCTION("""COMPUTED_VALUE"""),"")</f>
        <v/>
      </c>
      <c r="E861" t="str">
        <f>IFERROR(__xludf.DUMMYFUNCTION("""COMPUTED_VALUE"""),"")</f>
        <v/>
      </c>
      <c r="F861" t="str">
        <f>IFERROR(__xludf.DUMMYFUNCTION("""COMPUTED_VALUE"""),"")</f>
        <v/>
      </c>
      <c r="G861" t="str">
        <f>IFERROR(__xludf.DUMMYFUNCTION("""COMPUTED_VALUE"""),"")</f>
        <v/>
      </c>
      <c r="H861" t="str">
        <f>IFERROR(__xludf.DUMMYFUNCTION("""COMPUTED_VALUE"""),"")</f>
        <v/>
      </c>
      <c r="I861">
        <f>IFERROR(__xludf.DUMMYFUNCTION("""COMPUTED_VALUE"""),55.0)</f>
        <v>55</v>
      </c>
      <c r="J861">
        <f>IFERROR(__xludf.DUMMYFUNCTION("""COMPUTED_VALUE"""),55.0)</f>
        <v>55</v>
      </c>
      <c r="L861" s="250" t="str">
        <f>IFERROR(__xludf.DUMMYFUNCTION("""COMPUTED_VALUE"""),"")</f>
        <v/>
      </c>
      <c r="M861" s="250" t="str">
        <f>IFERROR(__xludf.DUMMYFUNCTION("""COMPUTED_VALUE"""),"")</f>
        <v/>
      </c>
      <c r="N861" s="250" t="str">
        <f>IFERROR(__xludf.DUMMYFUNCTION("""COMPUTED_VALUE"""),"")</f>
        <v/>
      </c>
      <c r="O861" s="250" t="str">
        <f>IFERROR(__xludf.DUMMYFUNCTION("""COMPUTED_VALUE"""),"")</f>
        <v/>
      </c>
      <c r="P861" s="250" t="str">
        <f>IFERROR(__xludf.DUMMYFUNCTION("""COMPUTED_VALUE"""),"")</f>
        <v/>
      </c>
      <c r="Q861" s="250" t="str">
        <f>IFERROR(__xludf.DUMMYFUNCTION("""COMPUTED_VALUE"""),"")</f>
        <v/>
      </c>
      <c r="R861" s="250" t="str">
        <f>IFERROR(__xludf.DUMMYFUNCTION("""COMPUTED_VALUE"""),"")</f>
        <v/>
      </c>
      <c r="U861" s="250" t="str">
        <f>IFERROR(__xludf.DUMMYFUNCTION("""COMPUTED_VALUE"""),"#N/A")</f>
        <v>#N/A</v>
      </c>
      <c r="V861" s="250" t="str">
        <f>IFERROR(__xludf.DUMMYFUNCTION("""COMPUTED_VALUE"""),"#N/A")</f>
        <v>#N/A</v>
      </c>
      <c r="W861" s="250" t="str">
        <f>IFERROR(__xludf.DUMMYFUNCTION("""COMPUTED_VALUE"""),"#N/A")</f>
        <v>#N/A</v>
      </c>
      <c r="X861" t="b">
        <f t="shared" ref="X861:Z861" si="1698">ISBLANK(K861)</f>
        <v>1</v>
      </c>
      <c r="Y861" t="b">
        <f t="shared" si="1698"/>
        <v>0</v>
      </c>
      <c r="Z861" t="b">
        <f t="shared" si="1698"/>
        <v>0</v>
      </c>
      <c r="AA861">
        <f t="shared" ref="AA861:AC861" si="1699">IF(X861=FALSE,1,0)</f>
        <v>0</v>
      </c>
      <c r="AB861">
        <f t="shared" si="1699"/>
        <v>1</v>
      </c>
      <c r="AC861">
        <f t="shared" si="1699"/>
        <v>1</v>
      </c>
      <c r="AD861">
        <f t="shared" si="6"/>
        <v>2</v>
      </c>
      <c r="AE861">
        <f t="shared" si="7"/>
        <v>1</v>
      </c>
      <c r="AF861">
        <f>if(iferror(vlookup($A861,'Description Database'!$E$2:$H$951,3,0),0)=TRUE,1,0)</f>
        <v>0</v>
      </c>
      <c r="AG861">
        <f>if(iferror(vlookup($A861,'Description Database'!$E$2:$H$951,4,0),0)=TRUE,1,0)</f>
        <v>0</v>
      </c>
    </row>
    <row r="862">
      <c r="A862" t="str">
        <f>IFERROR(__xludf.DUMMYFUNCTION("""COMPUTED_VALUE"""),"Lenovo VIBE X2 (2 GB/32 GB)")</f>
        <v>Lenovo VIBE X2 (2 GB/32 GB)</v>
      </c>
      <c r="B862" t="str">
        <f>IFERROR(__xludf.DUMMYFUNCTION("""COMPUTED_VALUE"""),"")</f>
        <v/>
      </c>
      <c r="C862" t="str">
        <f>IFERROR(__xludf.DUMMYFUNCTION("""COMPUTED_VALUE"""),"")</f>
        <v/>
      </c>
      <c r="D862" t="str">
        <f>IFERROR(__xludf.DUMMYFUNCTION("""COMPUTED_VALUE"""),"")</f>
        <v/>
      </c>
      <c r="E862" t="str">
        <f>IFERROR(__xludf.DUMMYFUNCTION("""COMPUTED_VALUE"""),"")</f>
        <v/>
      </c>
      <c r="F862" t="str">
        <f>IFERROR(__xludf.DUMMYFUNCTION("""COMPUTED_VALUE"""),"")</f>
        <v/>
      </c>
      <c r="G862" t="str">
        <f>IFERROR(__xludf.DUMMYFUNCTION("""COMPUTED_VALUE"""),"")</f>
        <v/>
      </c>
      <c r="H862" t="str">
        <f>IFERROR(__xludf.DUMMYFUNCTION("""COMPUTED_VALUE"""),"")</f>
        <v/>
      </c>
      <c r="I862" t="str">
        <f>IFERROR(__xludf.DUMMYFUNCTION("""COMPUTED_VALUE"""),"")</f>
        <v/>
      </c>
      <c r="J862">
        <f>IFERROR(__xludf.DUMMYFUNCTION("""COMPUTED_VALUE"""),0.0)</f>
        <v>0</v>
      </c>
      <c r="L862" s="250" t="str">
        <f>IFERROR(__xludf.DUMMYFUNCTION("""COMPUTED_VALUE"""),"")</f>
        <v/>
      </c>
      <c r="M862" s="250" t="str">
        <f>IFERROR(__xludf.DUMMYFUNCTION("""COMPUTED_VALUE"""),"")</f>
        <v/>
      </c>
      <c r="N862" s="250" t="str">
        <f>IFERROR(__xludf.DUMMYFUNCTION("""COMPUTED_VALUE"""),"")</f>
        <v/>
      </c>
      <c r="O862" s="250" t="str">
        <f>IFERROR(__xludf.DUMMYFUNCTION("""COMPUTED_VALUE"""),"")</f>
        <v/>
      </c>
      <c r="P862" s="250" t="str">
        <f>IFERROR(__xludf.DUMMYFUNCTION("""COMPUTED_VALUE"""),"")</f>
        <v/>
      </c>
      <c r="Q862" s="250" t="str">
        <f>IFERROR(__xludf.DUMMYFUNCTION("""COMPUTED_VALUE"""),"")</f>
        <v/>
      </c>
      <c r="R862" s="250" t="str">
        <f>IFERROR(__xludf.DUMMYFUNCTION("""COMPUTED_VALUE"""),"")</f>
        <v/>
      </c>
      <c r="U862" s="250" t="str">
        <f>IFERROR(__xludf.DUMMYFUNCTION("""COMPUTED_VALUE"""),"#N/A")</f>
        <v>#N/A</v>
      </c>
      <c r="V862" s="250" t="str">
        <f>IFERROR(__xludf.DUMMYFUNCTION("""COMPUTED_VALUE"""),"#N/A")</f>
        <v>#N/A</v>
      </c>
      <c r="W862" s="250" t="str">
        <f>IFERROR(__xludf.DUMMYFUNCTION("""COMPUTED_VALUE"""),"#N/A")</f>
        <v>#N/A</v>
      </c>
      <c r="X862" t="b">
        <f t="shared" ref="X862:Z862" si="1700">ISBLANK(K862)</f>
        <v>1</v>
      </c>
      <c r="Y862" t="b">
        <f t="shared" si="1700"/>
        <v>0</v>
      </c>
      <c r="Z862" t="b">
        <f t="shared" si="1700"/>
        <v>0</v>
      </c>
      <c r="AA862">
        <f t="shared" ref="AA862:AC862" si="1701">IF(X862=FALSE,1,0)</f>
        <v>0</v>
      </c>
      <c r="AB862">
        <f t="shared" si="1701"/>
        <v>1</v>
      </c>
      <c r="AC862">
        <f t="shared" si="1701"/>
        <v>1</v>
      </c>
      <c r="AD862">
        <f t="shared" si="6"/>
        <v>2</v>
      </c>
      <c r="AE862">
        <f t="shared" si="7"/>
        <v>1</v>
      </c>
      <c r="AF862">
        <f>if(iferror(vlookup($A862,'Description Database'!$E$2:$H$951,3,0),0)=TRUE,1,0)</f>
        <v>0</v>
      </c>
      <c r="AG862">
        <f>if(iferror(vlookup($A862,'Description Database'!$E$2:$H$951,4,0),0)=TRUE,1,0)</f>
        <v>0</v>
      </c>
    </row>
    <row r="863">
      <c r="A863" t="str">
        <f>IFERROR(__xludf.DUMMYFUNCTION("""COMPUTED_VALUE"""),"Lenovo K5 NOTE (4 GB/64 GB)")</f>
        <v>Lenovo K5 NOTE (4 GB/64 GB)</v>
      </c>
      <c r="B863" t="str">
        <f>IFERROR(__xludf.DUMMYFUNCTION("""COMPUTED_VALUE"""),"")</f>
        <v/>
      </c>
      <c r="C863" t="str">
        <f>IFERROR(__xludf.DUMMYFUNCTION("""COMPUTED_VALUE"""),"")</f>
        <v/>
      </c>
      <c r="D863" t="str">
        <f>IFERROR(__xludf.DUMMYFUNCTION("""COMPUTED_VALUE"""),"")</f>
        <v/>
      </c>
      <c r="E863" t="str">
        <f>IFERROR(__xludf.DUMMYFUNCTION("""COMPUTED_VALUE"""),"")</f>
        <v/>
      </c>
      <c r="F863" t="str">
        <f>IFERROR(__xludf.DUMMYFUNCTION("""COMPUTED_VALUE"""),"")</f>
        <v/>
      </c>
      <c r="G863" t="str">
        <f>IFERROR(__xludf.DUMMYFUNCTION("""COMPUTED_VALUE"""),"")</f>
        <v/>
      </c>
      <c r="H863" t="str">
        <f>IFERROR(__xludf.DUMMYFUNCTION("""COMPUTED_VALUE"""),"")</f>
        <v/>
      </c>
      <c r="I863" t="str">
        <f>IFERROR(__xludf.DUMMYFUNCTION("""COMPUTED_VALUE"""),"")</f>
        <v/>
      </c>
      <c r="J863">
        <f>IFERROR(__xludf.DUMMYFUNCTION("""COMPUTED_VALUE"""),0.0)</f>
        <v>0</v>
      </c>
      <c r="L863" s="250" t="str">
        <f>IFERROR(__xludf.DUMMYFUNCTION("""COMPUTED_VALUE"""),"")</f>
        <v/>
      </c>
      <c r="M863" s="250" t="str">
        <f>IFERROR(__xludf.DUMMYFUNCTION("""COMPUTED_VALUE"""),"")</f>
        <v/>
      </c>
      <c r="N863" s="250" t="str">
        <f>IFERROR(__xludf.DUMMYFUNCTION("""COMPUTED_VALUE"""),"")</f>
        <v/>
      </c>
      <c r="O863" s="250" t="str">
        <f>IFERROR(__xludf.DUMMYFUNCTION("""COMPUTED_VALUE"""),"")</f>
        <v/>
      </c>
      <c r="P863" s="250" t="str">
        <f>IFERROR(__xludf.DUMMYFUNCTION("""COMPUTED_VALUE"""),"")</f>
        <v/>
      </c>
      <c r="Q863" s="250" t="str">
        <f>IFERROR(__xludf.DUMMYFUNCTION("""COMPUTED_VALUE"""),"")</f>
        <v/>
      </c>
      <c r="R863" s="250" t="str">
        <f>IFERROR(__xludf.DUMMYFUNCTION("""COMPUTED_VALUE"""),"")</f>
        <v/>
      </c>
      <c r="U863" s="250" t="str">
        <f>IFERROR(__xludf.DUMMYFUNCTION("""COMPUTED_VALUE"""),"#N/A")</f>
        <v>#N/A</v>
      </c>
      <c r="V863" s="250" t="str">
        <f>IFERROR(__xludf.DUMMYFUNCTION("""COMPUTED_VALUE"""),"#N/A")</f>
        <v>#N/A</v>
      </c>
      <c r="W863" s="250" t="str">
        <f>IFERROR(__xludf.DUMMYFUNCTION("""COMPUTED_VALUE"""),"#N/A")</f>
        <v>#N/A</v>
      </c>
      <c r="X863" t="b">
        <f t="shared" ref="X863:Z863" si="1702">ISBLANK(K863)</f>
        <v>1</v>
      </c>
      <c r="Y863" t="b">
        <f t="shared" si="1702"/>
        <v>0</v>
      </c>
      <c r="Z863" t="b">
        <f t="shared" si="1702"/>
        <v>0</v>
      </c>
      <c r="AA863">
        <f t="shared" ref="AA863:AC863" si="1703">IF(X863=FALSE,1,0)</f>
        <v>0</v>
      </c>
      <c r="AB863">
        <f t="shared" si="1703"/>
        <v>1</v>
      </c>
      <c r="AC863">
        <f t="shared" si="1703"/>
        <v>1</v>
      </c>
      <c r="AD863">
        <f t="shared" si="6"/>
        <v>2</v>
      </c>
      <c r="AE863">
        <f t="shared" si="7"/>
        <v>1</v>
      </c>
      <c r="AF863">
        <f>if(iferror(vlookup($A863,'Description Database'!$E$2:$H$951,3,0),0)=TRUE,1,0)</f>
        <v>0</v>
      </c>
      <c r="AG863">
        <f>if(iferror(vlookup($A863,'Description Database'!$E$2:$H$951,4,0),0)=TRUE,1,0)</f>
        <v>0</v>
      </c>
    </row>
    <row r="864">
      <c r="A864" t="str">
        <f>IFERROR(__xludf.DUMMYFUNCTION("""COMPUTED_VALUE"""),"Xiaomi MI 3 (2 GB/16 GB)")</f>
        <v>Xiaomi MI 3 (2 GB/16 GB)</v>
      </c>
      <c r="B864" t="str">
        <f>IFERROR(__xludf.DUMMYFUNCTION("""COMPUTED_VALUE"""),"")</f>
        <v/>
      </c>
      <c r="C864" t="str">
        <f>IFERROR(__xludf.DUMMYFUNCTION("""COMPUTED_VALUE"""),"")</f>
        <v/>
      </c>
      <c r="D864" t="str">
        <f>IFERROR(__xludf.DUMMYFUNCTION("""COMPUTED_VALUE"""),"")</f>
        <v/>
      </c>
      <c r="E864" t="str">
        <f>IFERROR(__xludf.DUMMYFUNCTION("""COMPUTED_VALUE"""),"")</f>
        <v/>
      </c>
      <c r="F864" t="str">
        <f>IFERROR(__xludf.DUMMYFUNCTION("""COMPUTED_VALUE"""),"")</f>
        <v/>
      </c>
      <c r="G864" t="str">
        <f>IFERROR(__xludf.DUMMYFUNCTION("""COMPUTED_VALUE"""),"")</f>
        <v/>
      </c>
      <c r="H864" t="str">
        <f>IFERROR(__xludf.DUMMYFUNCTION("""COMPUTED_VALUE"""),"")</f>
        <v/>
      </c>
      <c r="I864">
        <f>IFERROR(__xludf.DUMMYFUNCTION("""COMPUTED_VALUE"""),1.0)</f>
        <v>1</v>
      </c>
      <c r="J864">
        <f>IFERROR(__xludf.DUMMYFUNCTION("""COMPUTED_VALUE"""),1.0)</f>
        <v>1</v>
      </c>
      <c r="L864" s="250" t="str">
        <f>IFERROR(__xludf.DUMMYFUNCTION("""COMPUTED_VALUE"""),"")</f>
        <v/>
      </c>
      <c r="M864" s="250" t="str">
        <f>IFERROR(__xludf.DUMMYFUNCTION("""COMPUTED_VALUE"""),"")</f>
        <v/>
      </c>
      <c r="N864" s="250" t="str">
        <f>IFERROR(__xludf.DUMMYFUNCTION("""COMPUTED_VALUE"""),"")</f>
        <v/>
      </c>
      <c r="O864" s="250" t="str">
        <f>IFERROR(__xludf.DUMMYFUNCTION("""COMPUTED_VALUE"""),"")</f>
        <v/>
      </c>
      <c r="P864" s="250" t="str">
        <f>IFERROR(__xludf.DUMMYFUNCTION("""COMPUTED_VALUE"""),"")</f>
        <v/>
      </c>
      <c r="Q864" s="250" t="str">
        <f>IFERROR(__xludf.DUMMYFUNCTION("""COMPUTED_VALUE"""),"")</f>
        <v/>
      </c>
      <c r="R864" s="250" t="str">
        <f>IFERROR(__xludf.DUMMYFUNCTION("""COMPUTED_VALUE"""),"")</f>
        <v/>
      </c>
      <c r="U864" s="250" t="str">
        <f>IFERROR(__xludf.DUMMYFUNCTION("""COMPUTED_VALUE"""),"#N/A")</f>
        <v>#N/A</v>
      </c>
      <c r="V864" s="250" t="str">
        <f>IFERROR(__xludf.DUMMYFUNCTION("""COMPUTED_VALUE"""),"#N/A")</f>
        <v>#N/A</v>
      </c>
      <c r="W864" s="250" t="str">
        <f>IFERROR(__xludf.DUMMYFUNCTION("""COMPUTED_VALUE"""),"#N/A")</f>
        <v>#N/A</v>
      </c>
      <c r="X864" t="b">
        <f t="shared" ref="X864:Z864" si="1704">ISBLANK(K864)</f>
        <v>1</v>
      </c>
      <c r="Y864" t="b">
        <f t="shared" si="1704"/>
        <v>0</v>
      </c>
      <c r="Z864" t="b">
        <f t="shared" si="1704"/>
        <v>0</v>
      </c>
      <c r="AA864">
        <f t="shared" ref="AA864:AC864" si="1705">IF(X864=FALSE,1,0)</f>
        <v>0</v>
      </c>
      <c r="AB864">
        <f t="shared" si="1705"/>
        <v>1</v>
      </c>
      <c r="AC864">
        <f t="shared" si="1705"/>
        <v>1</v>
      </c>
      <c r="AD864">
        <f t="shared" si="6"/>
        <v>2</v>
      </c>
      <c r="AE864">
        <f t="shared" si="7"/>
        <v>1</v>
      </c>
      <c r="AF864">
        <f>if(iferror(vlookup($A864,'Description Database'!$E$2:$H$951,3,0),0)=TRUE,1,0)</f>
        <v>0</v>
      </c>
      <c r="AG864">
        <f>if(iferror(vlookup($A864,'Description Database'!$E$2:$H$951,4,0),0)=TRUE,1,0)</f>
        <v>0</v>
      </c>
    </row>
    <row r="865">
      <c r="A865" t="str">
        <f>IFERROR(__xludf.DUMMYFUNCTION("""COMPUTED_VALUE"""),"Realme 5 Pro (4 GB/64 GB)")</f>
        <v>Realme 5 Pro (4 GB/64 GB)</v>
      </c>
      <c r="B865" t="str">
        <f>IFERROR(__xludf.DUMMYFUNCTION("""COMPUTED_VALUE"""),"")</f>
        <v/>
      </c>
      <c r="C865" t="str">
        <f>IFERROR(__xludf.DUMMYFUNCTION("""COMPUTED_VALUE"""),"")</f>
        <v/>
      </c>
      <c r="D865" t="str">
        <f>IFERROR(__xludf.DUMMYFUNCTION("""COMPUTED_VALUE"""),"")</f>
        <v/>
      </c>
      <c r="E865" t="str">
        <f>IFERROR(__xludf.DUMMYFUNCTION("""COMPUTED_VALUE"""),"")</f>
        <v/>
      </c>
      <c r="F865" t="str">
        <f>IFERROR(__xludf.DUMMYFUNCTION("""COMPUTED_VALUE"""),"")</f>
        <v/>
      </c>
      <c r="G865" t="str">
        <f>IFERROR(__xludf.DUMMYFUNCTION("""COMPUTED_VALUE"""),"")</f>
        <v/>
      </c>
      <c r="H865" t="str">
        <f>IFERROR(__xludf.DUMMYFUNCTION("""COMPUTED_VALUE"""),"")</f>
        <v/>
      </c>
      <c r="I865">
        <f>IFERROR(__xludf.DUMMYFUNCTION("""COMPUTED_VALUE"""),1.0)</f>
        <v>1</v>
      </c>
      <c r="J865">
        <f>IFERROR(__xludf.DUMMYFUNCTION("""COMPUTED_VALUE"""),1.0)</f>
        <v>1</v>
      </c>
      <c r="L865" s="250" t="str">
        <f>IFERROR(__xludf.DUMMYFUNCTION("""COMPUTED_VALUE"""),"")</f>
        <v/>
      </c>
      <c r="M865" s="250" t="str">
        <f>IFERROR(__xludf.DUMMYFUNCTION("""COMPUTED_VALUE"""),"")</f>
        <v/>
      </c>
      <c r="N865" s="250" t="str">
        <f>IFERROR(__xludf.DUMMYFUNCTION("""COMPUTED_VALUE"""),"")</f>
        <v/>
      </c>
      <c r="O865" s="250" t="str">
        <f>IFERROR(__xludf.DUMMYFUNCTION("""COMPUTED_VALUE"""),"")</f>
        <v/>
      </c>
      <c r="P865" s="250" t="str">
        <f>IFERROR(__xludf.DUMMYFUNCTION("""COMPUTED_VALUE"""),"")</f>
        <v/>
      </c>
      <c r="Q865" s="250" t="str">
        <f>IFERROR(__xludf.DUMMYFUNCTION("""COMPUTED_VALUE"""),"")</f>
        <v/>
      </c>
      <c r="R865" s="250" t="str">
        <f>IFERROR(__xludf.DUMMYFUNCTION("""COMPUTED_VALUE"""),"")</f>
        <v/>
      </c>
      <c r="U865" s="250">
        <f>IFERROR(__xludf.DUMMYFUNCTION("""COMPUTED_VALUE"""),9869.0)</f>
        <v>9869</v>
      </c>
      <c r="V865" s="250">
        <f>IFERROR(__xludf.DUMMYFUNCTION("""COMPUTED_VALUE"""),9399.0)</f>
        <v>9399</v>
      </c>
      <c r="W865" s="250">
        <f>IFERROR(__xludf.DUMMYFUNCTION("""COMPUTED_VALUE"""),8459.0)</f>
        <v>8459</v>
      </c>
      <c r="X865" t="b">
        <f t="shared" ref="X865:Z865" si="1706">ISBLANK(K865)</f>
        <v>1</v>
      </c>
      <c r="Y865" t="b">
        <f t="shared" si="1706"/>
        <v>0</v>
      </c>
      <c r="Z865" t="b">
        <f t="shared" si="1706"/>
        <v>0</v>
      </c>
      <c r="AA865">
        <f t="shared" ref="AA865:AC865" si="1707">IF(X865=FALSE,1,0)</f>
        <v>0</v>
      </c>
      <c r="AB865">
        <f t="shared" si="1707"/>
        <v>1</v>
      </c>
      <c r="AC865">
        <f t="shared" si="1707"/>
        <v>1</v>
      </c>
      <c r="AD865">
        <f t="shared" si="6"/>
        <v>2</v>
      </c>
      <c r="AE865">
        <f t="shared" si="7"/>
        <v>1</v>
      </c>
      <c r="AF865">
        <f>if(iferror(vlookup($A865,'Description Database'!$E$2:$H$951,3,0),0)=TRUE,1,0)</f>
        <v>0</v>
      </c>
      <c r="AG865">
        <f>if(iferror(vlookup($A865,'Description Database'!$E$2:$H$951,4,0),0)=TRUE,1,0)</f>
        <v>0</v>
      </c>
    </row>
    <row r="866">
      <c r="A866" t="str">
        <f>IFERROR(__xludf.DUMMYFUNCTION("""COMPUTED_VALUE"""),"Vivo Y31L (1 GB/16 GB)")</f>
        <v>Vivo Y31L (1 GB/16 GB)</v>
      </c>
      <c r="B866" t="str">
        <f>IFERROR(__xludf.DUMMYFUNCTION("""COMPUTED_VALUE"""),"")</f>
        <v/>
      </c>
      <c r="C866" t="str">
        <f>IFERROR(__xludf.DUMMYFUNCTION("""COMPUTED_VALUE"""),"")</f>
        <v/>
      </c>
      <c r="D866" t="str">
        <f>IFERROR(__xludf.DUMMYFUNCTION("""COMPUTED_VALUE"""),"")</f>
        <v/>
      </c>
      <c r="E866" t="str">
        <f>IFERROR(__xludf.DUMMYFUNCTION("""COMPUTED_VALUE"""),"")</f>
        <v/>
      </c>
      <c r="F866" t="str">
        <f>IFERROR(__xludf.DUMMYFUNCTION("""COMPUTED_VALUE"""),"")</f>
        <v/>
      </c>
      <c r="G866" t="str">
        <f>IFERROR(__xludf.DUMMYFUNCTION("""COMPUTED_VALUE"""),"")</f>
        <v/>
      </c>
      <c r="H866" t="str">
        <f>IFERROR(__xludf.DUMMYFUNCTION("""COMPUTED_VALUE"""),"")</f>
        <v/>
      </c>
      <c r="I866">
        <f>IFERROR(__xludf.DUMMYFUNCTION("""COMPUTED_VALUE"""),1.0)</f>
        <v>1</v>
      </c>
      <c r="J866">
        <f>IFERROR(__xludf.DUMMYFUNCTION("""COMPUTED_VALUE"""),1.0)</f>
        <v>1</v>
      </c>
      <c r="L866" s="250" t="str">
        <f>IFERROR(__xludf.DUMMYFUNCTION("""COMPUTED_VALUE"""),"")</f>
        <v/>
      </c>
      <c r="M866" s="250" t="str">
        <f>IFERROR(__xludf.DUMMYFUNCTION("""COMPUTED_VALUE"""),"")</f>
        <v/>
      </c>
      <c r="N866" s="250" t="str">
        <f>IFERROR(__xludf.DUMMYFUNCTION("""COMPUTED_VALUE"""),"")</f>
        <v/>
      </c>
      <c r="O866" s="250" t="str">
        <f>IFERROR(__xludf.DUMMYFUNCTION("""COMPUTED_VALUE"""),"")</f>
        <v/>
      </c>
      <c r="P866" s="250" t="str">
        <f>IFERROR(__xludf.DUMMYFUNCTION("""COMPUTED_VALUE"""),"")</f>
        <v/>
      </c>
      <c r="Q866" s="250" t="str">
        <f>IFERROR(__xludf.DUMMYFUNCTION("""COMPUTED_VALUE"""),"")</f>
        <v/>
      </c>
      <c r="R866" s="250" t="str">
        <f>IFERROR(__xludf.DUMMYFUNCTION("""COMPUTED_VALUE"""),"")</f>
        <v/>
      </c>
      <c r="U866" s="250">
        <f>IFERROR(__xludf.DUMMYFUNCTION("""COMPUTED_VALUE"""),2869.0)</f>
        <v>2869</v>
      </c>
      <c r="V866" s="250">
        <f>IFERROR(__xludf.DUMMYFUNCTION("""COMPUTED_VALUE"""),2729.0)</f>
        <v>2729</v>
      </c>
      <c r="W866" s="250">
        <f>IFERROR(__xludf.DUMMYFUNCTION("""COMPUTED_VALUE"""),2469.0)</f>
        <v>2469</v>
      </c>
      <c r="X866" t="b">
        <f t="shared" ref="X866:Z866" si="1708">ISBLANK(K866)</f>
        <v>1</v>
      </c>
      <c r="Y866" t="b">
        <f t="shared" si="1708"/>
        <v>0</v>
      </c>
      <c r="Z866" t="b">
        <f t="shared" si="1708"/>
        <v>0</v>
      </c>
      <c r="AA866">
        <f t="shared" ref="AA866:AC866" si="1709">IF(X866=FALSE,1,0)</f>
        <v>0</v>
      </c>
      <c r="AB866">
        <f t="shared" si="1709"/>
        <v>1</v>
      </c>
      <c r="AC866">
        <f t="shared" si="1709"/>
        <v>1</v>
      </c>
      <c r="AD866">
        <f t="shared" si="6"/>
        <v>2</v>
      </c>
      <c r="AE866">
        <f t="shared" si="7"/>
        <v>1</v>
      </c>
      <c r="AF866">
        <f>if(iferror(vlookup($A866,'Description Database'!$E$2:$H$951,3,0),0)=TRUE,1,0)</f>
        <v>0</v>
      </c>
      <c r="AG866">
        <f>if(iferror(vlookup($A866,'Description Database'!$E$2:$H$951,4,0),0)=TRUE,1,0)</f>
        <v>0</v>
      </c>
    </row>
    <row r="867">
      <c r="A867" t="str">
        <f>IFERROR(__xludf.DUMMYFUNCTION("""COMPUTED_VALUE"""),"Motorola Moto G 3rd Gen (1 GB/8 GB)")</f>
        <v>Motorola Moto G 3rd Gen (1 GB/8 GB)</v>
      </c>
      <c r="B867" t="str">
        <f>IFERROR(__xludf.DUMMYFUNCTION("""COMPUTED_VALUE"""),"")</f>
        <v/>
      </c>
      <c r="C867" t="str">
        <f>IFERROR(__xludf.DUMMYFUNCTION("""COMPUTED_VALUE"""),"")</f>
        <v/>
      </c>
      <c r="D867" t="str">
        <f>IFERROR(__xludf.DUMMYFUNCTION("""COMPUTED_VALUE"""),"")</f>
        <v/>
      </c>
      <c r="E867" t="str">
        <f>IFERROR(__xludf.DUMMYFUNCTION("""COMPUTED_VALUE"""),"")</f>
        <v/>
      </c>
      <c r="F867" t="str">
        <f>IFERROR(__xludf.DUMMYFUNCTION("""COMPUTED_VALUE"""),"")</f>
        <v/>
      </c>
      <c r="G867" t="str">
        <f>IFERROR(__xludf.DUMMYFUNCTION("""COMPUTED_VALUE"""),"")</f>
        <v/>
      </c>
      <c r="H867" t="str">
        <f>IFERROR(__xludf.DUMMYFUNCTION("""COMPUTED_VALUE"""),"")</f>
        <v/>
      </c>
      <c r="I867" t="str">
        <f>IFERROR(__xludf.DUMMYFUNCTION("""COMPUTED_VALUE"""),"")</f>
        <v/>
      </c>
      <c r="J867">
        <f>IFERROR(__xludf.DUMMYFUNCTION("""COMPUTED_VALUE"""),0.0)</f>
        <v>0</v>
      </c>
      <c r="L867" s="250" t="str">
        <f>IFERROR(__xludf.DUMMYFUNCTION("""COMPUTED_VALUE"""),"")</f>
        <v/>
      </c>
      <c r="M867" s="250" t="str">
        <f>IFERROR(__xludf.DUMMYFUNCTION("""COMPUTED_VALUE"""),"")</f>
        <v/>
      </c>
      <c r="N867" s="250" t="str">
        <f>IFERROR(__xludf.DUMMYFUNCTION("""COMPUTED_VALUE"""),"")</f>
        <v/>
      </c>
      <c r="O867" s="250" t="str">
        <f>IFERROR(__xludf.DUMMYFUNCTION("""COMPUTED_VALUE"""),"")</f>
        <v/>
      </c>
      <c r="P867" s="250" t="str">
        <f>IFERROR(__xludf.DUMMYFUNCTION("""COMPUTED_VALUE"""),"")</f>
        <v/>
      </c>
      <c r="Q867" s="250" t="str">
        <f>IFERROR(__xludf.DUMMYFUNCTION("""COMPUTED_VALUE"""),"")</f>
        <v/>
      </c>
      <c r="R867" s="250" t="str">
        <f>IFERROR(__xludf.DUMMYFUNCTION("""COMPUTED_VALUE"""),"")</f>
        <v/>
      </c>
      <c r="U867" s="250">
        <f>IFERROR(__xludf.DUMMYFUNCTION("""COMPUTED_VALUE"""),1909.0)</f>
        <v>1909</v>
      </c>
      <c r="V867" s="250">
        <f>IFERROR(__xludf.DUMMYFUNCTION("""COMPUTED_VALUE"""),1809.0)</f>
        <v>1809</v>
      </c>
      <c r="W867" s="250">
        <f>IFERROR(__xludf.DUMMYFUNCTION("""COMPUTED_VALUE"""),1629.0)</f>
        <v>1629</v>
      </c>
      <c r="X867" t="b">
        <f t="shared" ref="X867:Z867" si="1710">ISBLANK(K867)</f>
        <v>1</v>
      </c>
      <c r="Y867" t="b">
        <f t="shared" si="1710"/>
        <v>0</v>
      </c>
      <c r="Z867" t="b">
        <f t="shared" si="1710"/>
        <v>0</v>
      </c>
      <c r="AA867">
        <f t="shared" ref="AA867:AC867" si="1711">IF(X867=FALSE,1,0)</f>
        <v>0</v>
      </c>
      <c r="AB867">
        <f t="shared" si="1711"/>
        <v>1</v>
      </c>
      <c r="AC867">
        <f t="shared" si="1711"/>
        <v>1</v>
      </c>
      <c r="AD867">
        <f t="shared" si="6"/>
        <v>2</v>
      </c>
      <c r="AE867">
        <f t="shared" si="7"/>
        <v>1</v>
      </c>
      <c r="AF867">
        <f>if(iferror(vlookup($A867,'Description Database'!$E$2:$H$951,3,0),0)=TRUE,1,0)</f>
        <v>0</v>
      </c>
      <c r="AG867">
        <f>if(iferror(vlookup($A867,'Description Database'!$E$2:$H$951,4,0),0)=TRUE,1,0)</f>
        <v>0</v>
      </c>
    </row>
    <row r="868">
      <c r="A868" t="str">
        <f>IFERROR(__xludf.DUMMYFUNCTION("""COMPUTED_VALUE"""),"Lenovo K8 Plus (3 GB/32 GB)")</f>
        <v>Lenovo K8 Plus (3 GB/32 GB)</v>
      </c>
      <c r="B868" t="str">
        <f>IFERROR(__xludf.DUMMYFUNCTION("""COMPUTED_VALUE"""),"")</f>
        <v/>
      </c>
      <c r="C868" t="str">
        <f>IFERROR(__xludf.DUMMYFUNCTION("""COMPUTED_VALUE"""),"")</f>
        <v/>
      </c>
      <c r="D868">
        <f>IFERROR(__xludf.DUMMYFUNCTION("""COMPUTED_VALUE"""),2.0)</f>
        <v>2</v>
      </c>
      <c r="E868">
        <f>IFERROR(__xludf.DUMMYFUNCTION("""COMPUTED_VALUE"""),1.0)</f>
        <v>1</v>
      </c>
      <c r="F868" t="str">
        <f>IFERROR(__xludf.DUMMYFUNCTION("""COMPUTED_VALUE"""),"")</f>
        <v/>
      </c>
      <c r="G868">
        <f>IFERROR(__xludf.DUMMYFUNCTION("""COMPUTED_VALUE"""),1.0)</f>
        <v>1</v>
      </c>
      <c r="H868" t="str">
        <f>IFERROR(__xludf.DUMMYFUNCTION("""COMPUTED_VALUE"""),"")</f>
        <v/>
      </c>
      <c r="I868">
        <f>IFERROR(__xludf.DUMMYFUNCTION("""COMPUTED_VALUE"""),41.0)</f>
        <v>41</v>
      </c>
      <c r="J868">
        <f>IFERROR(__xludf.DUMMYFUNCTION("""COMPUTED_VALUE"""),45.0)</f>
        <v>45</v>
      </c>
      <c r="L868" s="250" t="str">
        <f>IFERROR(__xludf.DUMMYFUNCTION("""COMPUTED_VALUE"""),"")</f>
        <v/>
      </c>
      <c r="M868" s="250" t="str">
        <f>IFERROR(__xludf.DUMMYFUNCTION("""COMPUTED_VALUE"""),"")</f>
        <v/>
      </c>
      <c r="N868" s="250">
        <f>IFERROR(__xludf.DUMMYFUNCTION("""COMPUTED_VALUE"""),3059.0)</f>
        <v>3059</v>
      </c>
      <c r="O868" s="250">
        <f>IFERROR(__xludf.DUMMYFUNCTION("""COMPUTED_VALUE"""),2784.0)</f>
        <v>2784</v>
      </c>
      <c r="P868" s="250" t="str">
        <f>IFERROR(__xludf.DUMMYFUNCTION("""COMPUTED_VALUE"""),"")</f>
        <v/>
      </c>
      <c r="Q868" s="250">
        <f>IFERROR(__xludf.DUMMYFUNCTION("""COMPUTED_VALUE"""),1659.0)</f>
        <v>1659</v>
      </c>
      <c r="R868" s="250" t="str">
        <f>IFERROR(__xludf.DUMMYFUNCTION("""COMPUTED_VALUE"""),"")</f>
        <v/>
      </c>
      <c r="U868" s="250">
        <f>IFERROR(__xludf.DUMMYFUNCTION("""COMPUTED_VALUE"""),3859.0)</f>
        <v>3859</v>
      </c>
      <c r="V868" s="250">
        <f>IFERROR(__xludf.DUMMYFUNCTION("""COMPUTED_VALUE"""),3679.0)</f>
        <v>3679</v>
      </c>
      <c r="W868" s="250">
        <f>IFERROR(__xludf.DUMMYFUNCTION("""COMPUTED_VALUE"""),3369.0)</f>
        <v>3369</v>
      </c>
      <c r="X868" t="b">
        <f t="shared" ref="X868:Z868" si="1712">ISBLANK(K868)</f>
        <v>1</v>
      </c>
      <c r="Y868" t="b">
        <f t="shared" si="1712"/>
        <v>0</v>
      </c>
      <c r="Z868" t="b">
        <f t="shared" si="1712"/>
        <v>0</v>
      </c>
      <c r="AA868">
        <f t="shared" ref="AA868:AC868" si="1713">IF(X868=FALSE,1,0)</f>
        <v>0</v>
      </c>
      <c r="AB868">
        <f t="shared" si="1713"/>
        <v>1</v>
      </c>
      <c r="AC868">
        <f t="shared" si="1713"/>
        <v>1</v>
      </c>
      <c r="AD868">
        <f t="shared" si="6"/>
        <v>2</v>
      </c>
      <c r="AE868">
        <f t="shared" si="7"/>
        <v>1</v>
      </c>
      <c r="AF868">
        <f>if(iferror(vlookup($A868,'Description Database'!$E$2:$H$951,3,0),0)=TRUE,1,0)</f>
        <v>0</v>
      </c>
      <c r="AG868">
        <f>if(iferror(vlookup($A868,'Description Database'!$E$2:$H$951,4,0),0)=TRUE,1,0)</f>
        <v>0</v>
      </c>
    </row>
    <row r="869">
      <c r="A869" t="str">
        <f>IFERROR(__xludf.DUMMYFUNCTION("""COMPUTED_VALUE"""),"Samsung Galaxy J6 Plus (3 GB/32 GB)")</f>
        <v>Samsung Galaxy J6 Plus (3 GB/32 GB)</v>
      </c>
      <c r="B869" t="str">
        <f>IFERROR(__xludf.DUMMYFUNCTION("""COMPUTED_VALUE"""),"")</f>
        <v/>
      </c>
      <c r="C869" t="str">
        <f>IFERROR(__xludf.DUMMYFUNCTION("""COMPUTED_VALUE"""),"")</f>
        <v/>
      </c>
      <c r="D869" t="str">
        <f>IFERROR(__xludf.DUMMYFUNCTION("""COMPUTED_VALUE"""),"")</f>
        <v/>
      </c>
      <c r="E869" t="str">
        <f>IFERROR(__xludf.DUMMYFUNCTION("""COMPUTED_VALUE"""),"")</f>
        <v/>
      </c>
      <c r="F869" t="str">
        <f>IFERROR(__xludf.DUMMYFUNCTION("""COMPUTED_VALUE"""),"")</f>
        <v/>
      </c>
      <c r="G869" t="str">
        <f>IFERROR(__xludf.DUMMYFUNCTION("""COMPUTED_VALUE"""),"")</f>
        <v/>
      </c>
      <c r="H869" t="str">
        <f>IFERROR(__xludf.DUMMYFUNCTION("""COMPUTED_VALUE"""),"")</f>
        <v/>
      </c>
      <c r="I869" t="str">
        <f>IFERROR(__xludf.DUMMYFUNCTION("""COMPUTED_VALUE"""),"")</f>
        <v/>
      </c>
      <c r="J869">
        <f>IFERROR(__xludf.DUMMYFUNCTION("""COMPUTED_VALUE"""),0.0)</f>
        <v>0</v>
      </c>
      <c r="L869" s="250" t="str">
        <f>IFERROR(__xludf.DUMMYFUNCTION("""COMPUTED_VALUE"""),"")</f>
        <v/>
      </c>
      <c r="M869" s="250" t="str">
        <f>IFERROR(__xludf.DUMMYFUNCTION("""COMPUTED_VALUE"""),"")</f>
        <v/>
      </c>
      <c r="N869" s="250" t="str">
        <f>IFERROR(__xludf.DUMMYFUNCTION("""COMPUTED_VALUE"""),"")</f>
        <v/>
      </c>
      <c r="O869" s="250" t="str">
        <f>IFERROR(__xludf.DUMMYFUNCTION("""COMPUTED_VALUE"""),"")</f>
        <v/>
      </c>
      <c r="P869" s="250" t="str">
        <f>IFERROR(__xludf.DUMMYFUNCTION("""COMPUTED_VALUE"""),"")</f>
        <v/>
      </c>
      <c r="Q869" s="250" t="str">
        <f>IFERROR(__xludf.DUMMYFUNCTION("""COMPUTED_VALUE"""),"")</f>
        <v/>
      </c>
      <c r="R869" s="250" t="str">
        <f>IFERROR(__xludf.DUMMYFUNCTION("""COMPUTED_VALUE"""),"")</f>
        <v/>
      </c>
      <c r="U869" s="250">
        <f>IFERROR(__xludf.DUMMYFUNCTION("""COMPUTED_VALUE"""),6479.0)</f>
        <v>6479</v>
      </c>
      <c r="V869" s="250">
        <f>IFERROR(__xludf.DUMMYFUNCTION("""COMPUTED_VALUE"""),6169.0)</f>
        <v>6169</v>
      </c>
      <c r="W869" s="250">
        <f>IFERROR(__xludf.DUMMYFUNCTION("""COMPUTED_VALUE"""),5549.0)</f>
        <v>5549</v>
      </c>
      <c r="X869" t="b">
        <f t="shared" ref="X869:Z869" si="1714">ISBLANK(K869)</f>
        <v>1</v>
      </c>
      <c r="Y869" t="b">
        <f t="shared" si="1714"/>
        <v>0</v>
      </c>
      <c r="Z869" t="b">
        <f t="shared" si="1714"/>
        <v>0</v>
      </c>
      <c r="AA869">
        <f t="shared" ref="AA869:AC869" si="1715">IF(X869=FALSE,1,0)</f>
        <v>0</v>
      </c>
      <c r="AB869">
        <f t="shared" si="1715"/>
        <v>1</v>
      </c>
      <c r="AC869">
        <f t="shared" si="1715"/>
        <v>1</v>
      </c>
      <c r="AD869">
        <f t="shared" si="6"/>
        <v>2</v>
      </c>
      <c r="AE869">
        <f t="shared" si="7"/>
        <v>1</v>
      </c>
      <c r="AF869">
        <f>if(iferror(vlookup($A869,'Description Database'!$E$2:$H$951,3,0),0)=TRUE,1,0)</f>
        <v>0</v>
      </c>
      <c r="AG869">
        <f>if(iferror(vlookup($A869,'Description Database'!$E$2:$H$951,4,0),0)=TRUE,1,0)</f>
        <v>0</v>
      </c>
    </row>
    <row r="870">
      <c r="A870" t="str">
        <f>IFERROR(__xludf.DUMMYFUNCTION("""COMPUTED_VALUE"""),"Huawei REDMI 7A (3 GB/32GB)")</f>
        <v>Huawei REDMI 7A (3 GB/32GB)</v>
      </c>
      <c r="B870" t="str">
        <f>IFERROR(__xludf.DUMMYFUNCTION("""COMPUTED_VALUE"""),"")</f>
        <v/>
      </c>
      <c r="C870" t="str">
        <f>IFERROR(__xludf.DUMMYFUNCTION("""COMPUTED_VALUE"""),"")</f>
        <v/>
      </c>
      <c r="D870" t="str">
        <f>IFERROR(__xludf.DUMMYFUNCTION("""COMPUTED_VALUE"""),"")</f>
        <v/>
      </c>
      <c r="E870" t="str">
        <f>IFERROR(__xludf.DUMMYFUNCTION("""COMPUTED_VALUE"""),"")</f>
        <v/>
      </c>
      <c r="F870" t="str">
        <f>IFERROR(__xludf.DUMMYFUNCTION("""COMPUTED_VALUE"""),"")</f>
        <v/>
      </c>
      <c r="G870" t="str">
        <f>IFERROR(__xludf.DUMMYFUNCTION("""COMPUTED_VALUE"""),"")</f>
        <v/>
      </c>
      <c r="H870" t="str">
        <f>IFERROR(__xludf.DUMMYFUNCTION("""COMPUTED_VALUE"""),"")</f>
        <v/>
      </c>
      <c r="I870" t="str">
        <f>IFERROR(__xludf.DUMMYFUNCTION("""COMPUTED_VALUE"""),"")</f>
        <v/>
      </c>
      <c r="J870">
        <f>IFERROR(__xludf.DUMMYFUNCTION("""COMPUTED_VALUE"""),0.0)</f>
        <v>0</v>
      </c>
      <c r="L870" s="250" t="str">
        <f>IFERROR(__xludf.DUMMYFUNCTION("""COMPUTED_VALUE"""),"")</f>
        <v/>
      </c>
      <c r="M870" s="250" t="str">
        <f>IFERROR(__xludf.DUMMYFUNCTION("""COMPUTED_VALUE"""),"")</f>
        <v/>
      </c>
      <c r="N870" s="250" t="str">
        <f>IFERROR(__xludf.DUMMYFUNCTION("""COMPUTED_VALUE"""),"")</f>
        <v/>
      </c>
      <c r="O870" s="250" t="str">
        <f>IFERROR(__xludf.DUMMYFUNCTION("""COMPUTED_VALUE"""),"")</f>
        <v/>
      </c>
      <c r="P870" s="250" t="str">
        <f>IFERROR(__xludf.DUMMYFUNCTION("""COMPUTED_VALUE"""),"")</f>
        <v/>
      </c>
      <c r="Q870" s="250" t="str">
        <f>IFERROR(__xludf.DUMMYFUNCTION("""COMPUTED_VALUE"""),"")</f>
        <v/>
      </c>
      <c r="R870" s="250" t="str">
        <f>IFERROR(__xludf.DUMMYFUNCTION("""COMPUTED_VALUE"""),"")</f>
        <v/>
      </c>
      <c r="U870" s="250" t="str">
        <f>IFERROR(__xludf.DUMMYFUNCTION("""COMPUTED_VALUE"""),"#N/A")</f>
        <v>#N/A</v>
      </c>
      <c r="V870" s="250" t="str">
        <f>IFERROR(__xludf.DUMMYFUNCTION("""COMPUTED_VALUE"""),"#N/A")</f>
        <v>#N/A</v>
      </c>
      <c r="W870" s="250" t="str">
        <f>IFERROR(__xludf.DUMMYFUNCTION("""COMPUTED_VALUE"""),"#N/A")</f>
        <v>#N/A</v>
      </c>
      <c r="X870" t="b">
        <f t="shared" ref="X870:Z870" si="1716">ISBLANK(K870)</f>
        <v>1</v>
      </c>
      <c r="Y870" t="b">
        <f t="shared" si="1716"/>
        <v>0</v>
      </c>
      <c r="Z870" t="b">
        <f t="shared" si="1716"/>
        <v>0</v>
      </c>
      <c r="AA870">
        <f t="shared" ref="AA870:AC870" si="1717">IF(X870=FALSE,1,0)</f>
        <v>0</v>
      </c>
      <c r="AB870">
        <f t="shared" si="1717"/>
        <v>1</v>
      </c>
      <c r="AC870">
        <f t="shared" si="1717"/>
        <v>1</v>
      </c>
      <c r="AD870">
        <f t="shared" si="6"/>
        <v>2</v>
      </c>
      <c r="AE870">
        <f t="shared" si="7"/>
        <v>1</v>
      </c>
      <c r="AF870">
        <f>if(iferror(vlookup($A870,'Description Database'!$E$2:$H$951,3,0),0)=TRUE,1,0)</f>
        <v>0</v>
      </c>
      <c r="AG870">
        <f>if(iferror(vlookup($A870,'Description Database'!$E$2:$H$951,4,0),0)=TRUE,1,0)</f>
        <v>0</v>
      </c>
    </row>
    <row r="871">
      <c r="A871" t="str">
        <f>IFERROR(__xludf.DUMMYFUNCTION("""COMPUTED_VALUE"""),"MICROMAX EVOK POWER (2 GB/16 GB)")</f>
        <v>MICROMAX EVOK POWER (2 GB/16 GB)</v>
      </c>
      <c r="B871" t="str">
        <f>IFERROR(__xludf.DUMMYFUNCTION("""COMPUTED_VALUE"""),"")</f>
        <v/>
      </c>
      <c r="C871" t="str">
        <f>IFERROR(__xludf.DUMMYFUNCTION("""COMPUTED_VALUE"""),"")</f>
        <v/>
      </c>
      <c r="D871" t="str">
        <f>IFERROR(__xludf.DUMMYFUNCTION("""COMPUTED_VALUE"""),"")</f>
        <v/>
      </c>
      <c r="E871" t="str">
        <f>IFERROR(__xludf.DUMMYFUNCTION("""COMPUTED_VALUE"""),"")</f>
        <v/>
      </c>
      <c r="F871" t="str">
        <f>IFERROR(__xludf.DUMMYFUNCTION("""COMPUTED_VALUE"""),"")</f>
        <v/>
      </c>
      <c r="G871" t="str">
        <f>IFERROR(__xludf.DUMMYFUNCTION("""COMPUTED_VALUE"""),"")</f>
        <v/>
      </c>
      <c r="H871" t="str">
        <f>IFERROR(__xludf.DUMMYFUNCTION("""COMPUTED_VALUE"""),"")</f>
        <v/>
      </c>
      <c r="I871" t="str">
        <f>IFERROR(__xludf.DUMMYFUNCTION("""COMPUTED_VALUE"""),"")</f>
        <v/>
      </c>
      <c r="J871">
        <f>IFERROR(__xludf.DUMMYFUNCTION("""COMPUTED_VALUE"""),0.0)</f>
        <v>0</v>
      </c>
      <c r="L871" s="250" t="str">
        <f>IFERROR(__xludf.DUMMYFUNCTION("""COMPUTED_VALUE"""),"")</f>
        <v/>
      </c>
      <c r="M871" s="250" t="str">
        <f>IFERROR(__xludf.DUMMYFUNCTION("""COMPUTED_VALUE"""),"")</f>
        <v/>
      </c>
      <c r="N871" s="250" t="str">
        <f>IFERROR(__xludf.DUMMYFUNCTION("""COMPUTED_VALUE"""),"")</f>
        <v/>
      </c>
      <c r="O871" s="250" t="str">
        <f>IFERROR(__xludf.DUMMYFUNCTION("""COMPUTED_VALUE"""),"")</f>
        <v/>
      </c>
      <c r="P871" s="250" t="str">
        <f>IFERROR(__xludf.DUMMYFUNCTION("""COMPUTED_VALUE"""),"")</f>
        <v/>
      </c>
      <c r="Q871" s="250" t="str">
        <f>IFERROR(__xludf.DUMMYFUNCTION("""COMPUTED_VALUE"""),"")</f>
        <v/>
      </c>
      <c r="R871" s="250" t="str">
        <f>IFERROR(__xludf.DUMMYFUNCTION("""COMPUTED_VALUE"""),"")</f>
        <v/>
      </c>
      <c r="U871" s="250" t="str">
        <f>IFERROR(__xludf.DUMMYFUNCTION("""COMPUTED_VALUE"""),"#N/A")</f>
        <v>#N/A</v>
      </c>
      <c r="V871" s="250" t="str">
        <f>IFERROR(__xludf.DUMMYFUNCTION("""COMPUTED_VALUE"""),"#N/A")</f>
        <v>#N/A</v>
      </c>
      <c r="W871" s="250" t="str">
        <f>IFERROR(__xludf.DUMMYFUNCTION("""COMPUTED_VALUE"""),"#N/A")</f>
        <v>#N/A</v>
      </c>
      <c r="X871" t="b">
        <f t="shared" ref="X871:Z871" si="1718">ISBLANK(K871)</f>
        <v>1</v>
      </c>
      <c r="Y871" t="b">
        <f t="shared" si="1718"/>
        <v>0</v>
      </c>
      <c r="Z871" t="b">
        <f t="shared" si="1718"/>
        <v>0</v>
      </c>
      <c r="AA871">
        <f t="shared" ref="AA871:AC871" si="1719">IF(X871=FALSE,1,0)</f>
        <v>0</v>
      </c>
      <c r="AB871">
        <f t="shared" si="1719"/>
        <v>1</v>
      </c>
      <c r="AC871">
        <f t="shared" si="1719"/>
        <v>1</v>
      </c>
      <c r="AD871">
        <f t="shared" si="6"/>
        <v>2</v>
      </c>
      <c r="AE871">
        <f t="shared" si="7"/>
        <v>1</v>
      </c>
      <c r="AF871">
        <f>if(iferror(vlookup($A871,'Description Database'!$E$2:$H$951,3,0),0)=TRUE,1,0)</f>
        <v>0</v>
      </c>
      <c r="AG871">
        <f>if(iferror(vlookup($A871,'Description Database'!$E$2:$H$951,4,0),0)=TRUE,1,0)</f>
        <v>0</v>
      </c>
    </row>
    <row r="872">
      <c r="A872" t="str">
        <f>IFERROR(__xludf.DUMMYFUNCTION("""COMPUTED_VALUE"""),"Asus ZenFone 5Z (6 GB/64 GB)")</f>
        <v>Asus ZenFone 5Z (6 GB/64 GB)</v>
      </c>
      <c r="B872" t="str">
        <f>IFERROR(__xludf.DUMMYFUNCTION("""COMPUTED_VALUE"""),"")</f>
        <v/>
      </c>
      <c r="C872" t="str">
        <f>IFERROR(__xludf.DUMMYFUNCTION("""COMPUTED_VALUE"""),"")</f>
        <v/>
      </c>
      <c r="D872" t="str">
        <f>IFERROR(__xludf.DUMMYFUNCTION("""COMPUTED_VALUE"""),"")</f>
        <v/>
      </c>
      <c r="E872" t="str">
        <f>IFERROR(__xludf.DUMMYFUNCTION("""COMPUTED_VALUE"""),"")</f>
        <v/>
      </c>
      <c r="F872" t="str">
        <f>IFERROR(__xludf.DUMMYFUNCTION("""COMPUTED_VALUE"""),"")</f>
        <v/>
      </c>
      <c r="G872" t="str">
        <f>IFERROR(__xludf.DUMMYFUNCTION("""COMPUTED_VALUE"""),"")</f>
        <v/>
      </c>
      <c r="H872" t="str">
        <f>IFERROR(__xludf.DUMMYFUNCTION("""COMPUTED_VALUE"""),"")</f>
        <v/>
      </c>
      <c r="I872">
        <f>IFERROR(__xludf.DUMMYFUNCTION("""COMPUTED_VALUE"""),1.0)</f>
        <v>1</v>
      </c>
      <c r="J872">
        <f>IFERROR(__xludf.DUMMYFUNCTION("""COMPUTED_VALUE"""),1.0)</f>
        <v>1</v>
      </c>
      <c r="L872" s="250" t="str">
        <f>IFERROR(__xludf.DUMMYFUNCTION("""COMPUTED_VALUE"""),"")</f>
        <v/>
      </c>
      <c r="M872" s="250" t="str">
        <f>IFERROR(__xludf.DUMMYFUNCTION("""COMPUTED_VALUE"""),"")</f>
        <v/>
      </c>
      <c r="N872" s="250" t="str">
        <f>IFERROR(__xludf.DUMMYFUNCTION("""COMPUTED_VALUE"""),"")</f>
        <v/>
      </c>
      <c r="O872" s="250" t="str">
        <f>IFERROR(__xludf.DUMMYFUNCTION("""COMPUTED_VALUE"""),"")</f>
        <v/>
      </c>
      <c r="P872" s="250" t="str">
        <f>IFERROR(__xludf.DUMMYFUNCTION("""COMPUTED_VALUE"""),"")</f>
        <v/>
      </c>
      <c r="Q872" s="250" t="str">
        <f>IFERROR(__xludf.DUMMYFUNCTION("""COMPUTED_VALUE"""),"")</f>
        <v/>
      </c>
      <c r="R872" s="250" t="str">
        <f>IFERROR(__xludf.DUMMYFUNCTION("""COMPUTED_VALUE"""),"")</f>
        <v/>
      </c>
      <c r="U872" s="250">
        <f>IFERROR(__xludf.DUMMYFUNCTION("""COMPUTED_VALUE"""),8689.0)</f>
        <v>8689</v>
      </c>
      <c r="V872" s="250">
        <f>IFERROR(__xludf.DUMMYFUNCTION("""COMPUTED_VALUE"""),8279.0)</f>
        <v>8279</v>
      </c>
      <c r="W872" s="250">
        <f>IFERROR(__xludf.DUMMYFUNCTION("""COMPUTED_VALUE"""),7449.0)</f>
        <v>7449</v>
      </c>
      <c r="X872" t="b">
        <f t="shared" ref="X872:Z872" si="1720">ISBLANK(K872)</f>
        <v>1</v>
      </c>
      <c r="Y872" t="b">
        <f t="shared" si="1720"/>
        <v>0</v>
      </c>
      <c r="Z872" t="b">
        <f t="shared" si="1720"/>
        <v>0</v>
      </c>
      <c r="AA872">
        <f t="shared" ref="AA872:AC872" si="1721">IF(X872=FALSE,1,0)</f>
        <v>0</v>
      </c>
      <c r="AB872">
        <f t="shared" si="1721"/>
        <v>1</v>
      </c>
      <c r="AC872">
        <f t="shared" si="1721"/>
        <v>1</v>
      </c>
      <c r="AD872">
        <f t="shared" si="6"/>
        <v>2</v>
      </c>
      <c r="AE872">
        <f t="shared" si="7"/>
        <v>1</v>
      </c>
      <c r="AF872">
        <f>if(iferror(vlookup($A872,'Description Database'!$E$2:$H$951,3,0),0)=TRUE,1,0)</f>
        <v>0</v>
      </c>
      <c r="AG872">
        <f>if(iferror(vlookup($A872,'Description Database'!$E$2:$H$951,4,0),0)=TRUE,1,0)</f>
        <v>0</v>
      </c>
    </row>
    <row r="873">
      <c r="A873" t="str">
        <f>IFERROR(__xludf.DUMMYFUNCTION("""COMPUTED_VALUE"""),"Samsung Galaxy On7 Prime (3 GB/32 GB)")</f>
        <v>Samsung Galaxy On7 Prime (3 GB/32 GB)</v>
      </c>
      <c r="B873" t="str">
        <f>IFERROR(__xludf.DUMMYFUNCTION("""COMPUTED_VALUE"""),"")</f>
        <v/>
      </c>
      <c r="C873" t="str">
        <f>IFERROR(__xludf.DUMMYFUNCTION("""COMPUTED_VALUE"""),"")</f>
        <v/>
      </c>
      <c r="D873" t="str">
        <f>IFERROR(__xludf.DUMMYFUNCTION("""COMPUTED_VALUE"""),"")</f>
        <v/>
      </c>
      <c r="E873" t="str">
        <f>IFERROR(__xludf.DUMMYFUNCTION("""COMPUTED_VALUE"""),"")</f>
        <v/>
      </c>
      <c r="F873" t="str">
        <f>IFERROR(__xludf.DUMMYFUNCTION("""COMPUTED_VALUE"""),"")</f>
        <v/>
      </c>
      <c r="G873" t="str">
        <f>IFERROR(__xludf.DUMMYFUNCTION("""COMPUTED_VALUE"""),"")</f>
        <v/>
      </c>
      <c r="H873" t="str">
        <f>IFERROR(__xludf.DUMMYFUNCTION("""COMPUTED_VALUE"""),"")</f>
        <v/>
      </c>
      <c r="I873" t="str">
        <f>IFERROR(__xludf.DUMMYFUNCTION("""COMPUTED_VALUE"""),"")</f>
        <v/>
      </c>
      <c r="J873">
        <f>IFERROR(__xludf.DUMMYFUNCTION("""COMPUTED_VALUE"""),0.0)</f>
        <v>0</v>
      </c>
      <c r="L873" s="250" t="str">
        <f>IFERROR(__xludf.DUMMYFUNCTION("""COMPUTED_VALUE"""),"")</f>
        <v/>
      </c>
      <c r="M873" s="250" t="str">
        <f>IFERROR(__xludf.DUMMYFUNCTION("""COMPUTED_VALUE"""),"")</f>
        <v/>
      </c>
      <c r="N873" s="250" t="str">
        <f>IFERROR(__xludf.DUMMYFUNCTION("""COMPUTED_VALUE"""),"")</f>
        <v/>
      </c>
      <c r="O873" s="250" t="str">
        <f>IFERROR(__xludf.DUMMYFUNCTION("""COMPUTED_VALUE"""),"")</f>
        <v/>
      </c>
      <c r="P873" s="250" t="str">
        <f>IFERROR(__xludf.DUMMYFUNCTION("""COMPUTED_VALUE"""),"")</f>
        <v/>
      </c>
      <c r="Q873" s="250" t="str">
        <f>IFERROR(__xludf.DUMMYFUNCTION("""COMPUTED_VALUE"""),"")</f>
        <v/>
      </c>
      <c r="R873" s="250" t="str">
        <f>IFERROR(__xludf.DUMMYFUNCTION("""COMPUTED_VALUE"""),"")</f>
        <v/>
      </c>
      <c r="U873" s="250">
        <f>IFERROR(__xludf.DUMMYFUNCTION("""COMPUTED_VALUE"""),5429.0)</f>
        <v>5429</v>
      </c>
      <c r="V873" s="250">
        <f>IFERROR(__xludf.DUMMYFUNCTION("""COMPUTED_VALUE"""),5159.0)</f>
        <v>5159</v>
      </c>
      <c r="W873" s="250">
        <f>IFERROR(__xludf.DUMMYFUNCTION("""COMPUTED_VALUE"""),4649.0)</f>
        <v>4649</v>
      </c>
      <c r="X873" t="b">
        <f t="shared" ref="X873:Z873" si="1722">ISBLANK(K873)</f>
        <v>1</v>
      </c>
      <c r="Y873" t="b">
        <f t="shared" si="1722"/>
        <v>0</v>
      </c>
      <c r="Z873" t="b">
        <f t="shared" si="1722"/>
        <v>0</v>
      </c>
      <c r="AA873">
        <f t="shared" ref="AA873:AC873" si="1723">IF(X873=FALSE,1,0)</f>
        <v>0</v>
      </c>
      <c r="AB873">
        <f t="shared" si="1723"/>
        <v>1</v>
      </c>
      <c r="AC873">
        <f t="shared" si="1723"/>
        <v>1</v>
      </c>
      <c r="AD873">
        <f t="shared" si="6"/>
        <v>2</v>
      </c>
      <c r="AE873">
        <f t="shared" si="7"/>
        <v>1</v>
      </c>
      <c r="AF873">
        <f>if(iferror(vlookup($A873,'Description Database'!$E$2:$H$951,3,0),0)=TRUE,1,0)</f>
        <v>0</v>
      </c>
      <c r="AG873">
        <f>if(iferror(vlookup($A873,'Description Database'!$E$2:$H$951,4,0),0)=TRUE,1,0)</f>
        <v>0</v>
      </c>
    </row>
    <row r="874">
      <c r="A874" t="str">
        <f>IFERROR(__xludf.DUMMYFUNCTION("""COMPUTED_VALUE"""),"Samsung Galaxy J2 Ace (1.5 GB/8 GB)")</f>
        <v>Samsung Galaxy J2 Ace (1.5 GB/8 GB)</v>
      </c>
      <c r="B874" t="str">
        <f>IFERROR(__xludf.DUMMYFUNCTION("""COMPUTED_VALUE"""),"")</f>
        <v/>
      </c>
      <c r="C874" t="str">
        <f>IFERROR(__xludf.DUMMYFUNCTION("""COMPUTED_VALUE"""),"")</f>
        <v/>
      </c>
      <c r="D874" t="str">
        <f>IFERROR(__xludf.DUMMYFUNCTION("""COMPUTED_VALUE"""),"")</f>
        <v/>
      </c>
      <c r="E874" t="str">
        <f>IFERROR(__xludf.DUMMYFUNCTION("""COMPUTED_VALUE"""),"")</f>
        <v/>
      </c>
      <c r="F874" t="str">
        <f>IFERROR(__xludf.DUMMYFUNCTION("""COMPUTED_VALUE"""),"")</f>
        <v/>
      </c>
      <c r="G874" t="str">
        <f>IFERROR(__xludf.DUMMYFUNCTION("""COMPUTED_VALUE"""),"")</f>
        <v/>
      </c>
      <c r="H874" t="str">
        <f>IFERROR(__xludf.DUMMYFUNCTION("""COMPUTED_VALUE"""),"")</f>
        <v/>
      </c>
      <c r="I874">
        <f>IFERROR(__xludf.DUMMYFUNCTION("""COMPUTED_VALUE"""),2.0)</f>
        <v>2</v>
      </c>
      <c r="J874">
        <f>IFERROR(__xludf.DUMMYFUNCTION("""COMPUTED_VALUE"""),2.0)</f>
        <v>2</v>
      </c>
      <c r="L874" s="250" t="str">
        <f>IFERROR(__xludf.DUMMYFUNCTION("""COMPUTED_VALUE"""),"")</f>
        <v/>
      </c>
      <c r="M874" s="250" t="str">
        <f>IFERROR(__xludf.DUMMYFUNCTION("""COMPUTED_VALUE"""),"")</f>
        <v/>
      </c>
      <c r="N874" s="250" t="str">
        <f>IFERROR(__xludf.DUMMYFUNCTION("""COMPUTED_VALUE"""),"")</f>
        <v/>
      </c>
      <c r="O874" s="250" t="str">
        <f>IFERROR(__xludf.DUMMYFUNCTION("""COMPUTED_VALUE"""),"")</f>
        <v/>
      </c>
      <c r="P874" s="250" t="str">
        <f>IFERROR(__xludf.DUMMYFUNCTION("""COMPUTED_VALUE"""),"")</f>
        <v/>
      </c>
      <c r="Q874" s="250" t="str">
        <f>IFERROR(__xludf.DUMMYFUNCTION("""COMPUTED_VALUE"""),"")</f>
        <v/>
      </c>
      <c r="R874" s="250" t="str">
        <f>IFERROR(__xludf.DUMMYFUNCTION("""COMPUTED_VALUE"""),"")</f>
        <v/>
      </c>
      <c r="U874" s="250">
        <f>IFERROR(__xludf.DUMMYFUNCTION("""COMPUTED_VALUE"""),2969.0)</f>
        <v>2969</v>
      </c>
      <c r="V874" s="250">
        <f>IFERROR(__xludf.DUMMYFUNCTION("""COMPUTED_VALUE"""),2829.0)</f>
        <v>2829</v>
      </c>
      <c r="W874" s="250">
        <f>IFERROR(__xludf.DUMMYFUNCTION("""COMPUTED_VALUE"""),2559.0)</f>
        <v>2559</v>
      </c>
      <c r="X874" t="b">
        <f t="shared" ref="X874:Z874" si="1724">ISBLANK(K874)</f>
        <v>1</v>
      </c>
      <c r="Y874" t="b">
        <f t="shared" si="1724"/>
        <v>0</v>
      </c>
      <c r="Z874" t="b">
        <f t="shared" si="1724"/>
        <v>0</v>
      </c>
      <c r="AA874">
        <f t="shared" ref="AA874:AC874" si="1725">IF(X874=FALSE,1,0)</f>
        <v>0</v>
      </c>
      <c r="AB874">
        <f t="shared" si="1725"/>
        <v>1</v>
      </c>
      <c r="AC874">
        <f t="shared" si="1725"/>
        <v>1</v>
      </c>
      <c r="AD874">
        <f t="shared" si="6"/>
        <v>2</v>
      </c>
      <c r="AE874">
        <f t="shared" si="7"/>
        <v>1</v>
      </c>
      <c r="AF874">
        <f>if(iferror(vlookup($A874,'Description Database'!$E$2:$H$951,3,0),0)=TRUE,1,0)</f>
        <v>0</v>
      </c>
      <c r="AG874">
        <f>if(iferror(vlookup($A874,'Description Database'!$E$2:$H$951,4,0),0)=TRUE,1,0)</f>
        <v>0</v>
      </c>
    </row>
    <row r="875">
      <c r="A875" t="str">
        <f>IFERROR(__xludf.DUMMYFUNCTION("""COMPUTED_VALUE"""),"Honor 8C (4 GB/64 GB)")</f>
        <v>Honor 8C (4 GB/64 GB)</v>
      </c>
      <c r="B875" t="str">
        <f>IFERROR(__xludf.DUMMYFUNCTION("""COMPUTED_VALUE"""),"")</f>
        <v/>
      </c>
      <c r="C875" t="str">
        <f>IFERROR(__xludf.DUMMYFUNCTION("""COMPUTED_VALUE"""),"")</f>
        <v/>
      </c>
      <c r="D875" t="str">
        <f>IFERROR(__xludf.DUMMYFUNCTION("""COMPUTED_VALUE"""),"")</f>
        <v/>
      </c>
      <c r="E875" t="str">
        <f>IFERROR(__xludf.DUMMYFUNCTION("""COMPUTED_VALUE"""),"")</f>
        <v/>
      </c>
      <c r="F875" t="str">
        <f>IFERROR(__xludf.DUMMYFUNCTION("""COMPUTED_VALUE"""),"")</f>
        <v/>
      </c>
      <c r="G875" t="str">
        <f>IFERROR(__xludf.DUMMYFUNCTION("""COMPUTED_VALUE"""),"")</f>
        <v/>
      </c>
      <c r="H875" t="str">
        <f>IFERROR(__xludf.DUMMYFUNCTION("""COMPUTED_VALUE"""),"")</f>
        <v/>
      </c>
      <c r="I875">
        <f>IFERROR(__xludf.DUMMYFUNCTION("""COMPUTED_VALUE"""),1.0)</f>
        <v>1</v>
      </c>
      <c r="J875">
        <f>IFERROR(__xludf.DUMMYFUNCTION("""COMPUTED_VALUE"""),1.0)</f>
        <v>1</v>
      </c>
      <c r="L875" s="250" t="str">
        <f>IFERROR(__xludf.DUMMYFUNCTION("""COMPUTED_VALUE"""),"")</f>
        <v/>
      </c>
      <c r="M875" s="250" t="str">
        <f>IFERROR(__xludf.DUMMYFUNCTION("""COMPUTED_VALUE"""),"")</f>
        <v/>
      </c>
      <c r="N875" s="250" t="str">
        <f>IFERROR(__xludf.DUMMYFUNCTION("""COMPUTED_VALUE"""),"")</f>
        <v/>
      </c>
      <c r="O875" s="250" t="str">
        <f>IFERROR(__xludf.DUMMYFUNCTION("""COMPUTED_VALUE"""),"")</f>
        <v/>
      </c>
      <c r="P875" s="250" t="str">
        <f>IFERROR(__xludf.DUMMYFUNCTION("""COMPUTED_VALUE"""),"")</f>
        <v/>
      </c>
      <c r="Q875" s="250" t="str">
        <f>IFERROR(__xludf.DUMMYFUNCTION("""COMPUTED_VALUE"""),"")</f>
        <v/>
      </c>
      <c r="R875" s="250" t="str">
        <f>IFERROR(__xludf.DUMMYFUNCTION("""COMPUTED_VALUE"""),"")</f>
        <v/>
      </c>
      <c r="U875" s="250">
        <f>IFERROR(__xludf.DUMMYFUNCTION("""COMPUTED_VALUE"""),6369.0)</f>
        <v>6369</v>
      </c>
      <c r="V875" s="250">
        <f>IFERROR(__xludf.DUMMYFUNCTION("""COMPUTED_VALUE"""),6059.0)</f>
        <v>6059</v>
      </c>
      <c r="W875" s="250">
        <f>IFERROR(__xludf.DUMMYFUNCTION("""COMPUTED_VALUE"""),5459.0)</f>
        <v>5459</v>
      </c>
      <c r="X875" t="b">
        <f t="shared" ref="X875:Z875" si="1726">ISBLANK(K875)</f>
        <v>1</v>
      </c>
      <c r="Y875" t="b">
        <f t="shared" si="1726"/>
        <v>0</v>
      </c>
      <c r="Z875" t="b">
        <f t="shared" si="1726"/>
        <v>0</v>
      </c>
      <c r="AA875">
        <f t="shared" ref="AA875:AC875" si="1727">IF(X875=FALSE,1,0)</f>
        <v>0</v>
      </c>
      <c r="AB875">
        <f t="shared" si="1727"/>
        <v>1</v>
      </c>
      <c r="AC875">
        <f t="shared" si="1727"/>
        <v>1</v>
      </c>
      <c r="AD875">
        <f t="shared" si="6"/>
        <v>2</v>
      </c>
      <c r="AE875">
        <f t="shared" si="7"/>
        <v>1</v>
      </c>
      <c r="AF875">
        <f>if(iferror(vlookup($A875,'Description Database'!$E$2:$H$951,3,0),0)=TRUE,1,0)</f>
        <v>0</v>
      </c>
      <c r="AG875">
        <f>if(iferror(vlookup($A875,'Description Database'!$E$2:$H$951,4,0),0)=TRUE,1,0)</f>
        <v>0</v>
      </c>
    </row>
    <row r="876">
      <c r="A876" t="str">
        <f>IFERROR(__xludf.DUMMYFUNCTION("""COMPUTED_VALUE"""),"Realme 3i (4 GB/64 GB)")</f>
        <v>Realme 3i (4 GB/64 GB)</v>
      </c>
      <c r="B876" t="str">
        <f>IFERROR(__xludf.DUMMYFUNCTION("""COMPUTED_VALUE"""),"")</f>
        <v/>
      </c>
      <c r="C876" t="str">
        <f>IFERROR(__xludf.DUMMYFUNCTION("""COMPUTED_VALUE"""),"")</f>
        <v/>
      </c>
      <c r="D876" t="str">
        <f>IFERROR(__xludf.DUMMYFUNCTION("""COMPUTED_VALUE"""),"")</f>
        <v/>
      </c>
      <c r="E876" t="str">
        <f>IFERROR(__xludf.DUMMYFUNCTION("""COMPUTED_VALUE"""),"")</f>
        <v/>
      </c>
      <c r="F876" t="str">
        <f>IFERROR(__xludf.DUMMYFUNCTION("""COMPUTED_VALUE"""),"")</f>
        <v/>
      </c>
      <c r="G876" t="str">
        <f>IFERROR(__xludf.DUMMYFUNCTION("""COMPUTED_VALUE"""),"")</f>
        <v/>
      </c>
      <c r="H876" t="str">
        <f>IFERROR(__xludf.DUMMYFUNCTION("""COMPUTED_VALUE"""),"")</f>
        <v/>
      </c>
      <c r="I876">
        <f>IFERROR(__xludf.DUMMYFUNCTION("""COMPUTED_VALUE"""),1.0)</f>
        <v>1</v>
      </c>
      <c r="J876">
        <f>IFERROR(__xludf.DUMMYFUNCTION("""COMPUTED_VALUE"""),1.0)</f>
        <v>1</v>
      </c>
      <c r="L876" s="250" t="str">
        <f>IFERROR(__xludf.DUMMYFUNCTION("""COMPUTED_VALUE"""),"")</f>
        <v/>
      </c>
      <c r="M876" s="250" t="str">
        <f>IFERROR(__xludf.DUMMYFUNCTION("""COMPUTED_VALUE"""),"")</f>
        <v/>
      </c>
      <c r="N876" s="250" t="str">
        <f>IFERROR(__xludf.DUMMYFUNCTION("""COMPUTED_VALUE"""),"")</f>
        <v/>
      </c>
      <c r="O876" s="250" t="str">
        <f>IFERROR(__xludf.DUMMYFUNCTION("""COMPUTED_VALUE"""),"")</f>
        <v/>
      </c>
      <c r="P876" s="250" t="str">
        <f>IFERROR(__xludf.DUMMYFUNCTION("""COMPUTED_VALUE"""),"")</f>
        <v/>
      </c>
      <c r="Q876" s="250" t="str">
        <f>IFERROR(__xludf.DUMMYFUNCTION("""COMPUTED_VALUE"""),"")</f>
        <v/>
      </c>
      <c r="R876" s="250" t="str">
        <f>IFERROR(__xludf.DUMMYFUNCTION("""COMPUTED_VALUE"""),"")</f>
        <v/>
      </c>
      <c r="U876" s="250">
        <f>IFERROR(__xludf.DUMMYFUNCTION("""COMPUTED_VALUE"""),7749.0)</f>
        <v>7749</v>
      </c>
      <c r="V876" s="250">
        <f>IFERROR(__xludf.DUMMYFUNCTION("""COMPUTED_VALUE"""),7369.0)</f>
        <v>7369</v>
      </c>
      <c r="W876" s="250">
        <f>IFERROR(__xludf.DUMMYFUNCTION("""COMPUTED_VALUE"""),6639.0)</f>
        <v>6639</v>
      </c>
      <c r="X876" t="b">
        <f t="shared" ref="X876:Z876" si="1728">ISBLANK(K876)</f>
        <v>1</v>
      </c>
      <c r="Y876" t="b">
        <f t="shared" si="1728"/>
        <v>0</v>
      </c>
      <c r="Z876" t="b">
        <f t="shared" si="1728"/>
        <v>0</v>
      </c>
      <c r="AA876">
        <f t="shared" ref="AA876:AC876" si="1729">IF(X876=FALSE,1,0)</f>
        <v>0</v>
      </c>
      <c r="AB876">
        <f t="shared" si="1729"/>
        <v>1</v>
      </c>
      <c r="AC876">
        <f t="shared" si="1729"/>
        <v>1</v>
      </c>
      <c r="AD876">
        <f t="shared" si="6"/>
        <v>2</v>
      </c>
      <c r="AE876">
        <f t="shared" si="7"/>
        <v>1</v>
      </c>
      <c r="AF876">
        <f>if(iferror(vlookup($A876,'Description Database'!$E$2:$H$951,3,0),0)=TRUE,1,0)</f>
        <v>0</v>
      </c>
      <c r="AG876">
        <f>if(iferror(vlookup($A876,'Description Database'!$E$2:$H$951,4,0),0)=TRUE,1,0)</f>
        <v>0</v>
      </c>
    </row>
    <row r="877">
      <c r="A877" t="str">
        <f>IFERROR(__xludf.DUMMYFUNCTION("""COMPUTED_VALUE"""),"Asus ZenFone 5Z (8 GB/256 GB)")</f>
        <v>Asus ZenFone 5Z (8 GB/256 GB)</v>
      </c>
      <c r="B877" t="str">
        <f>IFERROR(__xludf.DUMMYFUNCTION("""COMPUTED_VALUE"""),"")</f>
        <v/>
      </c>
      <c r="C877" t="str">
        <f>IFERROR(__xludf.DUMMYFUNCTION("""COMPUTED_VALUE"""),"")</f>
        <v/>
      </c>
      <c r="D877" t="str">
        <f>IFERROR(__xludf.DUMMYFUNCTION("""COMPUTED_VALUE"""),"")</f>
        <v/>
      </c>
      <c r="E877" t="str">
        <f>IFERROR(__xludf.DUMMYFUNCTION("""COMPUTED_VALUE"""),"")</f>
        <v/>
      </c>
      <c r="F877" t="str">
        <f>IFERROR(__xludf.DUMMYFUNCTION("""COMPUTED_VALUE"""),"")</f>
        <v/>
      </c>
      <c r="G877" t="str">
        <f>IFERROR(__xludf.DUMMYFUNCTION("""COMPUTED_VALUE"""),"")</f>
        <v/>
      </c>
      <c r="H877" t="str">
        <f>IFERROR(__xludf.DUMMYFUNCTION("""COMPUTED_VALUE"""),"")</f>
        <v/>
      </c>
      <c r="I877">
        <f>IFERROR(__xludf.DUMMYFUNCTION("""COMPUTED_VALUE"""),1.0)</f>
        <v>1</v>
      </c>
      <c r="J877">
        <f>IFERROR(__xludf.DUMMYFUNCTION("""COMPUTED_VALUE"""),1.0)</f>
        <v>1</v>
      </c>
      <c r="L877" s="250" t="str">
        <f>IFERROR(__xludf.DUMMYFUNCTION("""COMPUTED_VALUE"""),"")</f>
        <v/>
      </c>
      <c r="M877" s="250" t="str">
        <f>IFERROR(__xludf.DUMMYFUNCTION("""COMPUTED_VALUE"""),"")</f>
        <v/>
      </c>
      <c r="N877" s="250" t="str">
        <f>IFERROR(__xludf.DUMMYFUNCTION("""COMPUTED_VALUE"""),"")</f>
        <v/>
      </c>
      <c r="O877" s="250" t="str">
        <f>IFERROR(__xludf.DUMMYFUNCTION("""COMPUTED_VALUE"""),"")</f>
        <v/>
      </c>
      <c r="P877" s="250" t="str">
        <f>IFERROR(__xludf.DUMMYFUNCTION("""COMPUTED_VALUE"""),"")</f>
        <v/>
      </c>
      <c r="Q877" s="250" t="str">
        <f>IFERROR(__xludf.DUMMYFUNCTION("""COMPUTED_VALUE"""),"")</f>
        <v/>
      </c>
      <c r="R877" s="250" t="str">
        <f>IFERROR(__xludf.DUMMYFUNCTION("""COMPUTED_VALUE"""),"")</f>
        <v/>
      </c>
      <c r="U877" s="250">
        <f>IFERROR(__xludf.DUMMYFUNCTION("""COMPUTED_VALUE"""),10809.0)</f>
        <v>10809</v>
      </c>
      <c r="V877" s="250">
        <f>IFERROR(__xludf.DUMMYFUNCTION("""COMPUTED_VALUE"""),10289.0)</f>
        <v>10289</v>
      </c>
      <c r="W877" s="250">
        <f>IFERROR(__xludf.DUMMYFUNCTION("""COMPUTED_VALUE"""),9269.0)</f>
        <v>9269</v>
      </c>
      <c r="X877" t="b">
        <f t="shared" ref="X877:Z877" si="1730">ISBLANK(K877)</f>
        <v>1</v>
      </c>
      <c r="Y877" t="b">
        <f t="shared" si="1730"/>
        <v>0</v>
      </c>
      <c r="Z877" t="b">
        <f t="shared" si="1730"/>
        <v>0</v>
      </c>
      <c r="AA877">
        <f t="shared" ref="AA877:AC877" si="1731">IF(X877=FALSE,1,0)</f>
        <v>0</v>
      </c>
      <c r="AB877">
        <f t="shared" si="1731"/>
        <v>1</v>
      </c>
      <c r="AC877">
        <f t="shared" si="1731"/>
        <v>1</v>
      </c>
      <c r="AD877">
        <f t="shared" si="6"/>
        <v>2</v>
      </c>
      <c r="AE877">
        <f t="shared" si="7"/>
        <v>1</v>
      </c>
      <c r="AF877">
        <f>if(iferror(vlookup($A877,'Description Database'!$E$2:$H$951,3,0),0)=TRUE,1,0)</f>
        <v>0</v>
      </c>
      <c r="AG877">
        <f>if(iferror(vlookup($A877,'Description Database'!$E$2:$H$951,4,0),0)=TRUE,1,0)</f>
        <v>0</v>
      </c>
    </row>
    <row r="878">
      <c r="A878" t="str">
        <f>IFERROR(__xludf.DUMMYFUNCTION("""COMPUTED_VALUE"""),"Samsung Galaxy A20s (3 GB/32 GB)")</f>
        <v>Samsung Galaxy A20s (3 GB/32 GB)</v>
      </c>
      <c r="B878" t="str">
        <f>IFERROR(__xludf.DUMMYFUNCTION("""COMPUTED_VALUE"""),"")</f>
        <v/>
      </c>
      <c r="C878" t="str">
        <f>IFERROR(__xludf.DUMMYFUNCTION("""COMPUTED_VALUE"""),"")</f>
        <v/>
      </c>
      <c r="D878" t="str">
        <f>IFERROR(__xludf.DUMMYFUNCTION("""COMPUTED_VALUE"""),"")</f>
        <v/>
      </c>
      <c r="E878" t="str">
        <f>IFERROR(__xludf.DUMMYFUNCTION("""COMPUTED_VALUE"""),"")</f>
        <v/>
      </c>
      <c r="F878" t="str">
        <f>IFERROR(__xludf.DUMMYFUNCTION("""COMPUTED_VALUE"""),"")</f>
        <v/>
      </c>
      <c r="G878" t="str">
        <f>IFERROR(__xludf.DUMMYFUNCTION("""COMPUTED_VALUE"""),"")</f>
        <v/>
      </c>
      <c r="H878" t="str">
        <f>IFERROR(__xludf.DUMMYFUNCTION("""COMPUTED_VALUE"""),"")</f>
        <v/>
      </c>
      <c r="I878">
        <f>IFERROR(__xludf.DUMMYFUNCTION("""COMPUTED_VALUE"""),3.0)</f>
        <v>3</v>
      </c>
      <c r="J878">
        <f>IFERROR(__xludf.DUMMYFUNCTION("""COMPUTED_VALUE"""),3.0)</f>
        <v>3</v>
      </c>
      <c r="L878" s="250" t="str">
        <f>IFERROR(__xludf.DUMMYFUNCTION("""COMPUTED_VALUE"""),"")</f>
        <v/>
      </c>
      <c r="M878" s="250" t="str">
        <f>IFERROR(__xludf.DUMMYFUNCTION("""COMPUTED_VALUE"""),"")</f>
        <v/>
      </c>
      <c r="N878" s="250" t="str">
        <f>IFERROR(__xludf.DUMMYFUNCTION("""COMPUTED_VALUE"""),"")</f>
        <v/>
      </c>
      <c r="O878" s="250" t="str">
        <f>IFERROR(__xludf.DUMMYFUNCTION("""COMPUTED_VALUE"""),"")</f>
        <v/>
      </c>
      <c r="P878" s="250" t="str">
        <f>IFERROR(__xludf.DUMMYFUNCTION("""COMPUTED_VALUE"""),"")</f>
        <v/>
      </c>
      <c r="Q878" s="250" t="str">
        <f>IFERROR(__xludf.DUMMYFUNCTION("""COMPUTED_VALUE"""),"")</f>
        <v/>
      </c>
      <c r="R878" s="250" t="str">
        <f>IFERROR(__xludf.DUMMYFUNCTION("""COMPUTED_VALUE"""),"")</f>
        <v/>
      </c>
      <c r="U878" s="250">
        <f>IFERROR(__xludf.DUMMYFUNCTION("""COMPUTED_VALUE"""),6879.0)</f>
        <v>6879</v>
      </c>
      <c r="V878" s="250">
        <f>IFERROR(__xludf.DUMMYFUNCTION("""COMPUTED_VALUE"""),6549.0)</f>
        <v>6549</v>
      </c>
      <c r="W878" s="250">
        <f>IFERROR(__xludf.DUMMYFUNCTION("""COMPUTED_VALUE"""),5989.0)</f>
        <v>5989</v>
      </c>
      <c r="X878" t="b">
        <f t="shared" ref="X878:Z878" si="1732">ISBLANK(K878)</f>
        <v>1</v>
      </c>
      <c r="Y878" t="b">
        <f t="shared" si="1732"/>
        <v>0</v>
      </c>
      <c r="Z878" t="b">
        <f t="shared" si="1732"/>
        <v>0</v>
      </c>
      <c r="AA878">
        <f t="shared" ref="AA878:AC878" si="1733">IF(X878=FALSE,1,0)</f>
        <v>0</v>
      </c>
      <c r="AB878">
        <f t="shared" si="1733"/>
        <v>1</v>
      </c>
      <c r="AC878">
        <f t="shared" si="1733"/>
        <v>1</v>
      </c>
      <c r="AD878">
        <f t="shared" si="6"/>
        <v>2</v>
      </c>
      <c r="AE878">
        <f t="shared" si="7"/>
        <v>1</v>
      </c>
      <c r="AF878">
        <f>if(iferror(vlookup($A878,'Description Database'!$E$2:$H$951,3,0),0)=TRUE,1,0)</f>
        <v>0</v>
      </c>
      <c r="AG878">
        <f>if(iferror(vlookup($A878,'Description Database'!$E$2:$H$951,4,0),0)=TRUE,1,0)</f>
        <v>0</v>
      </c>
    </row>
    <row r="879">
      <c r="A879" t="str">
        <f>IFERROR(__xludf.DUMMYFUNCTION("""COMPUTED_VALUE"""),"Realme 6 (4 GB/64 GB)")</f>
        <v>Realme 6 (4 GB/64 GB)</v>
      </c>
      <c r="B879" t="str">
        <f>IFERROR(__xludf.DUMMYFUNCTION("""COMPUTED_VALUE"""),"")</f>
        <v/>
      </c>
      <c r="C879" t="str">
        <f>IFERROR(__xludf.DUMMYFUNCTION("""COMPUTED_VALUE"""),"")</f>
        <v/>
      </c>
      <c r="D879" t="str">
        <f>IFERROR(__xludf.DUMMYFUNCTION("""COMPUTED_VALUE"""),"")</f>
        <v/>
      </c>
      <c r="E879" t="str">
        <f>IFERROR(__xludf.DUMMYFUNCTION("""COMPUTED_VALUE"""),"")</f>
        <v/>
      </c>
      <c r="F879" t="str">
        <f>IFERROR(__xludf.DUMMYFUNCTION("""COMPUTED_VALUE"""),"")</f>
        <v/>
      </c>
      <c r="G879" t="str">
        <f>IFERROR(__xludf.DUMMYFUNCTION("""COMPUTED_VALUE"""),"")</f>
        <v/>
      </c>
      <c r="H879" t="str">
        <f>IFERROR(__xludf.DUMMYFUNCTION("""COMPUTED_VALUE"""),"")</f>
        <v/>
      </c>
      <c r="I879">
        <f>IFERROR(__xludf.DUMMYFUNCTION("""COMPUTED_VALUE"""),3.0)</f>
        <v>3</v>
      </c>
      <c r="J879">
        <f>IFERROR(__xludf.DUMMYFUNCTION("""COMPUTED_VALUE"""),3.0)</f>
        <v>3</v>
      </c>
      <c r="L879" s="250" t="str">
        <f>IFERROR(__xludf.DUMMYFUNCTION("""COMPUTED_VALUE"""),"")</f>
        <v/>
      </c>
      <c r="M879" s="250" t="str">
        <f>IFERROR(__xludf.DUMMYFUNCTION("""COMPUTED_VALUE"""),"")</f>
        <v/>
      </c>
      <c r="N879" s="250" t="str">
        <f>IFERROR(__xludf.DUMMYFUNCTION("""COMPUTED_VALUE"""),"")</f>
        <v/>
      </c>
      <c r="O879" s="250" t="str">
        <f>IFERROR(__xludf.DUMMYFUNCTION("""COMPUTED_VALUE"""),"")</f>
        <v/>
      </c>
      <c r="P879" s="250" t="str">
        <f>IFERROR(__xludf.DUMMYFUNCTION("""COMPUTED_VALUE"""),"")</f>
        <v/>
      </c>
      <c r="Q879" s="250" t="str">
        <f>IFERROR(__xludf.DUMMYFUNCTION("""COMPUTED_VALUE"""),"")</f>
        <v/>
      </c>
      <c r="R879" s="250" t="str">
        <f>IFERROR(__xludf.DUMMYFUNCTION("""COMPUTED_VALUE"""),"")</f>
        <v/>
      </c>
      <c r="U879" s="250">
        <f>IFERROR(__xludf.DUMMYFUNCTION("""COMPUTED_VALUE"""),10599.0)</f>
        <v>10599</v>
      </c>
      <c r="V879" s="250">
        <f>IFERROR(__xludf.DUMMYFUNCTION("""COMPUTED_VALUE"""),10089.0)</f>
        <v>10089</v>
      </c>
      <c r="W879" s="250">
        <f>IFERROR(__xludf.DUMMYFUNCTION("""COMPUTED_VALUE"""),9079.0)</f>
        <v>9079</v>
      </c>
      <c r="X879" t="b">
        <f t="shared" ref="X879:Z879" si="1734">ISBLANK(K879)</f>
        <v>1</v>
      </c>
      <c r="Y879" t="b">
        <f t="shared" si="1734"/>
        <v>0</v>
      </c>
      <c r="Z879" t="b">
        <f t="shared" si="1734"/>
        <v>0</v>
      </c>
      <c r="AA879">
        <f t="shared" ref="AA879:AC879" si="1735">IF(X879=FALSE,1,0)</f>
        <v>0</v>
      </c>
      <c r="AB879">
        <f t="shared" si="1735"/>
        <v>1</v>
      </c>
      <c r="AC879">
        <f t="shared" si="1735"/>
        <v>1</v>
      </c>
      <c r="AD879">
        <f t="shared" si="6"/>
        <v>2</v>
      </c>
      <c r="AE879">
        <f t="shared" si="7"/>
        <v>1</v>
      </c>
      <c r="AF879">
        <f>if(iferror(vlookup($A879,'Description Database'!$E$2:$H$951,3,0),0)=TRUE,1,0)</f>
        <v>0</v>
      </c>
      <c r="AG879">
        <f>if(iferror(vlookup($A879,'Description Database'!$E$2:$H$951,4,0),0)=TRUE,1,0)</f>
        <v>0</v>
      </c>
    </row>
    <row r="880">
      <c r="A880" t="str">
        <f>IFERROR(__xludf.DUMMYFUNCTION("""COMPUTED_VALUE"""),"Realme X (8 GB/128 GB)")</f>
        <v>Realme X (8 GB/128 GB)</v>
      </c>
      <c r="B880" t="str">
        <f>IFERROR(__xludf.DUMMYFUNCTION("""COMPUTED_VALUE"""),"")</f>
        <v/>
      </c>
      <c r="C880" t="str">
        <f>IFERROR(__xludf.DUMMYFUNCTION("""COMPUTED_VALUE"""),"")</f>
        <v/>
      </c>
      <c r="D880" t="str">
        <f>IFERROR(__xludf.DUMMYFUNCTION("""COMPUTED_VALUE"""),"")</f>
        <v/>
      </c>
      <c r="E880" t="str">
        <f>IFERROR(__xludf.DUMMYFUNCTION("""COMPUTED_VALUE"""),"")</f>
        <v/>
      </c>
      <c r="F880" t="str">
        <f>IFERROR(__xludf.DUMMYFUNCTION("""COMPUTED_VALUE"""),"")</f>
        <v/>
      </c>
      <c r="G880" t="str">
        <f>IFERROR(__xludf.DUMMYFUNCTION("""COMPUTED_VALUE"""),"")</f>
        <v/>
      </c>
      <c r="H880" t="str">
        <f>IFERROR(__xludf.DUMMYFUNCTION("""COMPUTED_VALUE"""),"")</f>
        <v/>
      </c>
      <c r="I880">
        <f>IFERROR(__xludf.DUMMYFUNCTION("""COMPUTED_VALUE"""),1.0)</f>
        <v>1</v>
      </c>
      <c r="J880">
        <f>IFERROR(__xludf.DUMMYFUNCTION("""COMPUTED_VALUE"""),1.0)</f>
        <v>1</v>
      </c>
      <c r="L880" s="250" t="str">
        <f>IFERROR(__xludf.DUMMYFUNCTION("""COMPUTED_VALUE"""),"")</f>
        <v/>
      </c>
      <c r="M880" s="250" t="str">
        <f>IFERROR(__xludf.DUMMYFUNCTION("""COMPUTED_VALUE"""),"")</f>
        <v/>
      </c>
      <c r="N880" s="250" t="str">
        <f>IFERROR(__xludf.DUMMYFUNCTION("""COMPUTED_VALUE"""),"")</f>
        <v/>
      </c>
      <c r="O880" s="250" t="str">
        <f>IFERROR(__xludf.DUMMYFUNCTION("""COMPUTED_VALUE"""),"")</f>
        <v/>
      </c>
      <c r="P880" s="250" t="str">
        <f>IFERROR(__xludf.DUMMYFUNCTION("""COMPUTED_VALUE"""),"")</f>
        <v/>
      </c>
      <c r="Q880" s="250" t="str">
        <f>IFERROR(__xludf.DUMMYFUNCTION("""COMPUTED_VALUE"""),"")</f>
        <v/>
      </c>
      <c r="R880" s="250" t="str">
        <f>IFERROR(__xludf.DUMMYFUNCTION("""COMPUTED_VALUE"""),"")</f>
        <v/>
      </c>
      <c r="U880" s="250">
        <f>IFERROR(__xludf.DUMMYFUNCTION("""COMPUTED_VALUE"""),12589.0)</f>
        <v>12589</v>
      </c>
      <c r="V880" s="250">
        <f>IFERROR(__xludf.DUMMYFUNCTION("""COMPUTED_VALUE"""),11979.0)</f>
        <v>11979</v>
      </c>
      <c r="W880" s="250">
        <f>IFERROR(__xludf.DUMMYFUNCTION("""COMPUTED_VALUE"""),10779.0)</f>
        <v>10779</v>
      </c>
      <c r="X880" t="b">
        <f t="shared" ref="X880:Z880" si="1736">ISBLANK(K880)</f>
        <v>1</v>
      </c>
      <c r="Y880" t="b">
        <f t="shared" si="1736"/>
        <v>0</v>
      </c>
      <c r="Z880" t="b">
        <f t="shared" si="1736"/>
        <v>0</v>
      </c>
      <c r="AA880">
        <f t="shared" ref="AA880:AC880" si="1737">IF(X880=FALSE,1,0)</f>
        <v>0</v>
      </c>
      <c r="AB880">
        <f t="shared" si="1737"/>
        <v>1</v>
      </c>
      <c r="AC880">
        <f t="shared" si="1737"/>
        <v>1</v>
      </c>
      <c r="AD880">
        <f t="shared" si="6"/>
        <v>2</v>
      </c>
      <c r="AE880">
        <f t="shared" si="7"/>
        <v>1</v>
      </c>
      <c r="AF880">
        <f>if(iferror(vlookup($A880,'Description Database'!$E$2:$H$951,3,0),0)=TRUE,1,0)</f>
        <v>0</v>
      </c>
      <c r="AG880">
        <f>if(iferror(vlookup($A880,'Description Database'!$E$2:$H$951,4,0),0)=TRUE,1,0)</f>
        <v>0</v>
      </c>
    </row>
    <row r="881">
      <c r="A881" t="str">
        <f>IFERROR(__xludf.DUMMYFUNCTION("""COMPUTED_VALUE"""),"Vivo S1 (6 GB/64 GB)")</f>
        <v>Vivo S1 (6 GB/64 GB)</v>
      </c>
      <c r="B881" t="str">
        <f>IFERROR(__xludf.DUMMYFUNCTION("""COMPUTED_VALUE"""),"")</f>
        <v/>
      </c>
      <c r="C881" t="str">
        <f>IFERROR(__xludf.DUMMYFUNCTION("""COMPUTED_VALUE"""),"")</f>
        <v/>
      </c>
      <c r="D881" t="str">
        <f>IFERROR(__xludf.DUMMYFUNCTION("""COMPUTED_VALUE"""),"")</f>
        <v/>
      </c>
      <c r="E881" t="str">
        <f>IFERROR(__xludf.DUMMYFUNCTION("""COMPUTED_VALUE"""),"")</f>
        <v/>
      </c>
      <c r="F881" t="str">
        <f>IFERROR(__xludf.DUMMYFUNCTION("""COMPUTED_VALUE"""),"")</f>
        <v/>
      </c>
      <c r="G881" t="str">
        <f>IFERROR(__xludf.DUMMYFUNCTION("""COMPUTED_VALUE"""),"")</f>
        <v/>
      </c>
      <c r="H881" t="str">
        <f>IFERROR(__xludf.DUMMYFUNCTION("""COMPUTED_VALUE"""),"")</f>
        <v/>
      </c>
      <c r="I881" t="str">
        <f>IFERROR(__xludf.DUMMYFUNCTION("""COMPUTED_VALUE"""),"")</f>
        <v/>
      </c>
      <c r="J881">
        <f>IFERROR(__xludf.DUMMYFUNCTION("""COMPUTED_VALUE"""),0.0)</f>
        <v>0</v>
      </c>
      <c r="L881" s="250" t="str">
        <f>IFERROR(__xludf.DUMMYFUNCTION("""COMPUTED_VALUE"""),"")</f>
        <v/>
      </c>
      <c r="M881" s="250" t="str">
        <f>IFERROR(__xludf.DUMMYFUNCTION("""COMPUTED_VALUE"""),"")</f>
        <v/>
      </c>
      <c r="N881" s="250" t="str">
        <f>IFERROR(__xludf.DUMMYFUNCTION("""COMPUTED_VALUE"""),"")</f>
        <v/>
      </c>
      <c r="O881" s="250" t="str">
        <f>IFERROR(__xludf.DUMMYFUNCTION("""COMPUTED_VALUE"""),"")</f>
        <v/>
      </c>
      <c r="P881" s="250" t="str">
        <f>IFERROR(__xludf.DUMMYFUNCTION("""COMPUTED_VALUE"""),"")</f>
        <v/>
      </c>
      <c r="Q881" s="250" t="str">
        <f>IFERROR(__xludf.DUMMYFUNCTION("""COMPUTED_VALUE"""),"")</f>
        <v/>
      </c>
      <c r="R881" s="250" t="str">
        <f>IFERROR(__xludf.DUMMYFUNCTION("""COMPUTED_VALUE"""),"")</f>
        <v/>
      </c>
      <c r="U881" s="250">
        <f>IFERROR(__xludf.DUMMYFUNCTION("""COMPUTED_VALUE"""),11289.0)</f>
        <v>11289</v>
      </c>
      <c r="V881" s="250">
        <f>IFERROR(__xludf.DUMMYFUNCTION("""COMPUTED_VALUE"""),10749.0)</f>
        <v>10749</v>
      </c>
      <c r="W881" s="250">
        <f>IFERROR(__xludf.DUMMYFUNCTION("""COMPUTED_VALUE"""),9669.0)</f>
        <v>9669</v>
      </c>
      <c r="X881" t="b">
        <f t="shared" ref="X881:Z881" si="1738">ISBLANK(K881)</f>
        <v>1</v>
      </c>
      <c r="Y881" t="b">
        <f t="shared" si="1738"/>
        <v>0</v>
      </c>
      <c r="Z881" t="b">
        <f t="shared" si="1738"/>
        <v>0</v>
      </c>
      <c r="AA881">
        <f t="shared" ref="AA881:AC881" si="1739">IF(X881=FALSE,1,0)</f>
        <v>0</v>
      </c>
      <c r="AB881">
        <f t="shared" si="1739"/>
        <v>1</v>
      </c>
      <c r="AC881">
        <f t="shared" si="1739"/>
        <v>1</v>
      </c>
      <c r="AD881">
        <f t="shared" si="6"/>
        <v>2</v>
      </c>
      <c r="AE881">
        <f t="shared" si="7"/>
        <v>1</v>
      </c>
      <c r="AF881">
        <f>if(iferror(vlookup($A881,'Description Database'!$E$2:$H$951,3,0),0)=TRUE,1,0)</f>
        <v>0</v>
      </c>
      <c r="AG881">
        <f>if(iferror(vlookup($A881,'Description Database'!$E$2:$H$951,4,0),0)=TRUE,1,0)</f>
        <v>0</v>
      </c>
    </row>
    <row r="882">
      <c r="A882" t="str">
        <f>IFERROR(__xludf.DUMMYFUNCTION("""COMPUTED_VALUE"""),"Vivo Y15S (1 GB/8 GB)")</f>
        <v>Vivo Y15S (1 GB/8 GB)</v>
      </c>
      <c r="B882" t="str">
        <f>IFERROR(__xludf.DUMMYFUNCTION("""COMPUTED_VALUE"""),"")</f>
        <v/>
      </c>
      <c r="C882" t="str">
        <f>IFERROR(__xludf.DUMMYFUNCTION("""COMPUTED_VALUE"""),"")</f>
        <v/>
      </c>
      <c r="D882" t="str">
        <f>IFERROR(__xludf.DUMMYFUNCTION("""COMPUTED_VALUE"""),"")</f>
        <v/>
      </c>
      <c r="E882" t="str">
        <f>IFERROR(__xludf.DUMMYFUNCTION("""COMPUTED_VALUE"""),"")</f>
        <v/>
      </c>
      <c r="F882" t="str">
        <f>IFERROR(__xludf.DUMMYFUNCTION("""COMPUTED_VALUE"""),"")</f>
        <v/>
      </c>
      <c r="G882" t="str">
        <f>IFERROR(__xludf.DUMMYFUNCTION("""COMPUTED_VALUE"""),"")</f>
        <v/>
      </c>
      <c r="H882" t="str">
        <f>IFERROR(__xludf.DUMMYFUNCTION("""COMPUTED_VALUE"""),"")</f>
        <v/>
      </c>
      <c r="I882" t="str">
        <f>IFERROR(__xludf.DUMMYFUNCTION("""COMPUTED_VALUE"""),"")</f>
        <v/>
      </c>
      <c r="J882">
        <f>IFERROR(__xludf.DUMMYFUNCTION("""COMPUTED_VALUE"""),0.0)</f>
        <v>0</v>
      </c>
      <c r="L882" s="250" t="str">
        <f>IFERROR(__xludf.DUMMYFUNCTION("""COMPUTED_VALUE"""),"")</f>
        <v/>
      </c>
      <c r="M882" s="250" t="str">
        <f>IFERROR(__xludf.DUMMYFUNCTION("""COMPUTED_VALUE"""),"")</f>
        <v/>
      </c>
      <c r="N882" s="250" t="str">
        <f>IFERROR(__xludf.DUMMYFUNCTION("""COMPUTED_VALUE"""),"")</f>
        <v/>
      </c>
      <c r="O882" s="250" t="str">
        <f>IFERROR(__xludf.DUMMYFUNCTION("""COMPUTED_VALUE"""),"")</f>
        <v/>
      </c>
      <c r="P882" s="250" t="str">
        <f>IFERROR(__xludf.DUMMYFUNCTION("""COMPUTED_VALUE"""),"")</f>
        <v/>
      </c>
      <c r="Q882" s="250" t="str">
        <f>IFERROR(__xludf.DUMMYFUNCTION("""COMPUTED_VALUE"""),"")</f>
        <v/>
      </c>
      <c r="R882" s="250" t="str">
        <f>IFERROR(__xludf.DUMMYFUNCTION("""COMPUTED_VALUE"""),"")</f>
        <v/>
      </c>
      <c r="U882" s="250">
        <f>IFERROR(__xludf.DUMMYFUNCTION("""COMPUTED_VALUE"""),1379.0)</f>
        <v>1379</v>
      </c>
      <c r="V882" s="250">
        <f>IFERROR(__xludf.DUMMYFUNCTION("""COMPUTED_VALUE"""),1309.0)</f>
        <v>1309</v>
      </c>
      <c r="W882" s="250">
        <f>IFERROR(__xludf.DUMMYFUNCTION("""COMPUTED_VALUE"""),1179.0)</f>
        <v>1179</v>
      </c>
      <c r="X882" t="b">
        <f t="shared" ref="X882:Z882" si="1740">ISBLANK(K882)</f>
        <v>1</v>
      </c>
      <c r="Y882" t="b">
        <f t="shared" si="1740"/>
        <v>0</v>
      </c>
      <c r="Z882" t="b">
        <f t="shared" si="1740"/>
        <v>0</v>
      </c>
      <c r="AA882">
        <f t="shared" ref="AA882:AC882" si="1741">IF(X882=FALSE,1,0)</f>
        <v>0</v>
      </c>
      <c r="AB882">
        <f t="shared" si="1741"/>
        <v>1</v>
      </c>
      <c r="AC882">
        <f t="shared" si="1741"/>
        <v>1</v>
      </c>
      <c r="AD882">
        <f t="shared" si="6"/>
        <v>2</v>
      </c>
      <c r="AE882">
        <f t="shared" si="7"/>
        <v>1</v>
      </c>
      <c r="AF882">
        <f>if(iferror(vlookup($A882,'Description Database'!$E$2:$H$951,3,0),0)=TRUE,1,0)</f>
        <v>0</v>
      </c>
      <c r="AG882">
        <f>if(iferror(vlookup($A882,'Description Database'!$E$2:$H$951,4,0),0)=TRUE,1,0)</f>
        <v>0</v>
      </c>
    </row>
    <row r="883">
      <c r="A883" t="str">
        <f>IFERROR(__xludf.DUMMYFUNCTION("""COMPUTED_VALUE"""),"Infinix Smart 3 Plus (2 GB/32 GB)")</f>
        <v>Infinix Smart 3 Plus (2 GB/32 GB)</v>
      </c>
      <c r="B883" t="str">
        <f>IFERROR(__xludf.DUMMYFUNCTION("""COMPUTED_VALUE"""),"")</f>
        <v/>
      </c>
      <c r="C883" t="str">
        <f>IFERROR(__xludf.DUMMYFUNCTION("""COMPUTED_VALUE"""),"")</f>
        <v/>
      </c>
      <c r="D883" t="str">
        <f>IFERROR(__xludf.DUMMYFUNCTION("""COMPUTED_VALUE"""),"")</f>
        <v/>
      </c>
      <c r="E883" t="str">
        <f>IFERROR(__xludf.DUMMYFUNCTION("""COMPUTED_VALUE"""),"")</f>
        <v/>
      </c>
      <c r="F883" t="str">
        <f>IFERROR(__xludf.DUMMYFUNCTION("""COMPUTED_VALUE"""),"")</f>
        <v/>
      </c>
      <c r="G883" t="str">
        <f>IFERROR(__xludf.DUMMYFUNCTION("""COMPUTED_VALUE"""),"")</f>
        <v/>
      </c>
      <c r="H883" t="str">
        <f>IFERROR(__xludf.DUMMYFUNCTION("""COMPUTED_VALUE"""),"")</f>
        <v/>
      </c>
      <c r="I883">
        <f>IFERROR(__xludf.DUMMYFUNCTION("""COMPUTED_VALUE"""),1.0)</f>
        <v>1</v>
      </c>
      <c r="J883">
        <f>IFERROR(__xludf.DUMMYFUNCTION("""COMPUTED_VALUE"""),1.0)</f>
        <v>1</v>
      </c>
      <c r="L883" s="250" t="str">
        <f>IFERROR(__xludf.DUMMYFUNCTION("""COMPUTED_VALUE"""),"")</f>
        <v/>
      </c>
      <c r="M883" s="250" t="str">
        <f>IFERROR(__xludf.DUMMYFUNCTION("""COMPUTED_VALUE"""),"")</f>
        <v/>
      </c>
      <c r="N883" s="250" t="str">
        <f>IFERROR(__xludf.DUMMYFUNCTION("""COMPUTED_VALUE"""),"")</f>
        <v/>
      </c>
      <c r="O883" s="250" t="str">
        <f>IFERROR(__xludf.DUMMYFUNCTION("""COMPUTED_VALUE"""),"")</f>
        <v/>
      </c>
      <c r="P883" s="250" t="str">
        <f>IFERROR(__xludf.DUMMYFUNCTION("""COMPUTED_VALUE"""),"")</f>
        <v/>
      </c>
      <c r="Q883" s="250" t="str">
        <f>IFERROR(__xludf.DUMMYFUNCTION("""COMPUTED_VALUE"""),"")</f>
        <v/>
      </c>
      <c r="R883" s="250" t="str">
        <f>IFERROR(__xludf.DUMMYFUNCTION("""COMPUTED_VALUE"""),"")</f>
        <v/>
      </c>
      <c r="U883" s="250">
        <f>IFERROR(__xludf.DUMMYFUNCTION("""COMPUTED_VALUE"""),3489.0)</f>
        <v>3489</v>
      </c>
      <c r="V883" s="250">
        <f>IFERROR(__xludf.DUMMYFUNCTION("""COMPUTED_VALUE"""),3329.0)</f>
        <v>3329</v>
      </c>
      <c r="W883" s="250">
        <f>IFERROR(__xludf.DUMMYFUNCTION("""COMPUTED_VALUE"""),2999.0)</f>
        <v>2999</v>
      </c>
      <c r="X883" t="b">
        <f t="shared" ref="X883:Z883" si="1742">ISBLANK(K883)</f>
        <v>1</v>
      </c>
      <c r="Y883" t="b">
        <f t="shared" si="1742"/>
        <v>0</v>
      </c>
      <c r="Z883" t="b">
        <f t="shared" si="1742"/>
        <v>0</v>
      </c>
      <c r="AA883">
        <f t="shared" ref="AA883:AC883" si="1743">IF(X883=FALSE,1,0)</f>
        <v>0</v>
      </c>
      <c r="AB883">
        <f t="shared" si="1743"/>
        <v>1</v>
      </c>
      <c r="AC883">
        <f t="shared" si="1743"/>
        <v>1</v>
      </c>
      <c r="AD883">
        <f t="shared" si="6"/>
        <v>2</v>
      </c>
      <c r="AE883">
        <f t="shared" si="7"/>
        <v>1</v>
      </c>
      <c r="AF883">
        <f>if(iferror(vlookup($A883,'Description Database'!$E$2:$H$951,3,0),0)=TRUE,1,0)</f>
        <v>0</v>
      </c>
      <c r="AG883">
        <f>if(iferror(vlookup($A883,'Description Database'!$E$2:$H$951,4,0),0)=TRUE,1,0)</f>
        <v>0</v>
      </c>
    </row>
    <row r="884">
      <c r="A884" t="str">
        <f>IFERROR(__xludf.DUMMYFUNCTION("""COMPUTED_VALUE"""),"Realme 6 (6 GB/128 GB)")</f>
        <v>Realme 6 (6 GB/128 GB)</v>
      </c>
      <c r="B884" t="str">
        <f>IFERROR(__xludf.DUMMYFUNCTION("""COMPUTED_VALUE"""),"")</f>
        <v/>
      </c>
      <c r="C884" t="str">
        <f>IFERROR(__xludf.DUMMYFUNCTION("""COMPUTED_VALUE"""),"")</f>
        <v/>
      </c>
      <c r="D884" t="str">
        <f>IFERROR(__xludf.DUMMYFUNCTION("""COMPUTED_VALUE"""),"")</f>
        <v/>
      </c>
      <c r="E884" t="str">
        <f>IFERROR(__xludf.DUMMYFUNCTION("""COMPUTED_VALUE"""),"")</f>
        <v/>
      </c>
      <c r="F884" t="str">
        <f>IFERROR(__xludf.DUMMYFUNCTION("""COMPUTED_VALUE"""),"")</f>
        <v/>
      </c>
      <c r="G884" t="str">
        <f>IFERROR(__xludf.DUMMYFUNCTION("""COMPUTED_VALUE"""),"")</f>
        <v/>
      </c>
      <c r="H884" t="str">
        <f>IFERROR(__xludf.DUMMYFUNCTION("""COMPUTED_VALUE"""),"")</f>
        <v/>
      </c>
      <c r="I884" t="str">
        <f>IFERROR(__xludf.DUMMYFUNCTION("""COMPUTED_VALUE"""),"")</f>
        <v/>
      </c>
      <c r="J884">
        <f>IFERROR(__xludf.DUMMYFUNCTION("""COMPUTED_VALUE"""),0.0)</f>
        <v>0</v>
      </c>
      <c r="L884" s="250" t="str">
        <f>IFERROR(__xludf.DUMMYFUNCTION("""COMPUTED_VALUE"""),"")</f>
        <v/>
      </c>
      <c r="M884" s="250" t="str">
        <f>IFERROR(__xludf.DUMMYFUNCTION("""COMPUTED_VALUE"""),"")</f>
        <v/>
      </c>
      <c r="N884" s="250" t="str">
        <f>IFERROR(__xludf.DUMMYFUNCTION("""COMPUTED_VALUE"""),"")</f>
        <v/>
      </c>
      <c r="O884" s="250" t="str">
        <f>IFERROR(__xludf.DUMMYFUNCTION("""COMPUTED_VALUE"""),"")</f>
        <v/>
      </c>
      <c r="P884" s="250" t="str">
        <f>IFERROR(__xludf.DUMMYFUNCTION("""COMPUTED_VALUE"""),"")</f>
        <v/>
      </c>
      <c r="Q884" s="250" t="str">
        <f>IFERROR(__xludf.DUMMYFUNCTION("""COMPUTED_VALUE"""),"")</f>
        <v/>
      </c>
      <c r="R884" s="250" t="str">
        <f>IFERROR(__xludf.DUMMYFUNCTION("""COMPUTED_VALUE"""),"")</f>
        <v/>
      </c>
      <c r="U884" s="250">
        <f>IFERROR(__xludf.DUMMYFUNCTION("""COMPUTED_VALUE"""),11979.0)</f>
        <v>11979</v>
      </c>
      <c r="V884" s="250">
        <f>IFERROR(__xludf.DUMMYFUNCTION("""COMPUTED_VALUE"""),11409.0)</f>
        <v>11409</v>
      </c>
      <c r="W884" s="250">
        <f>IFERROR(__xludf.DUMMYFUNCTION("""COMPUTED_VALUE"""),10269.0)</f>
        <v>10269</v>
      </c>
      <c r="X884" t="b">
        <f t="shared" ref="X884:Z884" si="1744">ISBLANK(K884)</f>
        <v>1</v>
      </c>
      <c r="Y884" t="b">
        <f t="shared" si="1744"/>
        <v>0</v>
      </c>
      <c r="Z884" t="b">
        <f t="shared" si="1744"/>
        <v>0</v>
      </c>
      <c r="AA884">
        <f t="shared" ref="AA884:AC884" si="1745">IF(X884=FALSE,1,0)</f>
        <v>0</v>
      </c>
      <c r="AB884">
        <f t="shared" si="1745"/>
        <v>1</v>
      </c>
      <c r="AC884">
        <f t="shared" si="1745"/>
        <v>1</v>
      </c>
      <c r="AD884">
        <f t="shared" si="6"/>
        <v>2</v>
      </c>
      <c r="AE884">
        <f t="shared" si="7"/>
        <v>1</v>
      </c>
      <c r="AF884">
        <f>if(iferror(vlookup($A884,'Description Database'!$E$2:$H$951,3,0),0)=TRUE,1,0)</f>
        <v>0</v>
      </c>
      <c r="AG884">
        <f>if(iferror(vlookup($A884,'Description Database'!$E$2:$H$951,4,0),0)=TRUE,1,0)</f>
        <v>0</v>
      </c>
    </row>
    <row r="885">
      <c r="A885" t="str">
        <f>IFERROR(__xludf.DUMMYFUNCTION("""COMPUTED_VALUE"""),"Honor 8X (6 GB/128 GB)")</f>
        <v>Honor 8X (6 GB/128 GB)</v>
      </c>
      <c r="B885" t="str">
        <f>IFERROR(__xludf.DUMMYFUNCTION("""COMPUTED_VALUE"""),"")</f>
        <v/>
      </c>
      <c r="C885" t="str">
        <f>IFERROR(__xludf.DUMMYFUNCTION("""COMPUTED_VALUE"""),"")</f>
        <v/>
      </c>
      <c r="D885" t="str">
        <f>IFERROR(__xludf.DUMMYFUNCTION("""COMPUTED_VALUE"""),"")</f>
        <v/>
      </c>
      <c r="E885" t="str">
        <f>IFERROR(__xludf.DUMMYFUNCTION("""COMPUTED_VALUE"""),"")</f>
        <v/>
      </c>
      <c r="F885" t="str">
        <f>IFERROR(__xludf.DUMMYFUNCTION("""COMPUTED_VALUE"""),"")</f>
        <v/>
      </c>
      <c r="G885" t="str">
        <f>IFERROR(__xludf.DUMMYFUNCTION("""COMPUTED_VALUE"""),"")</f>
        <v/>
      </c>
      <c r="H885" t="str">
        <f>IFERROR(__xludf.DUMMYFUNCTION("""COMPUTED_VALUE"""),"")</f>
        <v/>
      </c>
      <c r="I885" t="str">
        <f>IFERROR(__xludf.DUMMYFUNCTION("""COMPUTED_VALUE"""),"")</f>
        <v/>
      </c>
      <c r="J885">
        <f>IFERROR(__xludf.DUMMYFUNCTION("""COMPUTED_VALUE"""),0.0)</f>
        <v>0</v>
      </c>
      <c r="L885" s="250" t="str">
        <f>IFERROR(__xludf.DUMMYFUNCTION("""COMPUTED_VALUE"""),"")</f>
        <v/>
      </c>
      <c r="M885" s="250" t="str">
        <f>IFERROR(__xludf.DUMMYFUNCTION("""COMPUTED_VALUE"""),"")</f>
        <v/>
      </c>
      <c r="N885" s="250" t="str">
        <f>IFERROR(__xludf.DUMMYFUNCTION("""COMPUTED_VALUE"""),"")</f>
        <v/>
      </c>
      <c r="O885" s="250" t="str">
        <f>IFERROR(__xludf.DUMMYFUNCTION("""COMPUTED_VALUE"""),"")</f>
        <v/>
      </c>
      <c r="P885" s="250" t="str">
        <f>IFERROR(__xludf.DUMMYFUNCTION("""COMPUTED_VALUE"""),"")</f>
        <v/>
      </c>
      <c r="Q885" s="250" t="str">
        <f>IFERROR(__xludf.DUMMYFUNCTION("""COMPUTED_VALUE"""),"")</f>
        <v/>
      </c>
      <c r="R885" s="250" t="str">
        <f>IFERROR(__xludf.DUMMYFUNCTION("""COMPUTED_VALUE"""),"")</f>
        <v/>
      </c>
      <c r="U885" s="250">
        <f>IFERROR(__xludf.DUMMYFUNCTION("""COMPUTED_VALUE"""),8439.0)</f>
        <v>8439</v>
      </c>
      <c r="V885" s="250">
        <f>IFERROR(__xludf.DUMMYFUNCTION("""COMPUTED_VALUE"""),8029.0)</f>
        <v>8029</v>
      </c>
      <c r="W885" s="250">
        <f>IFERROR(__xludf.DUMMYFUNCTION("""COMPUTED_VALUE"""),7229.0)</f>
        <v>7229</v>
      </c>
      <c r="X885" t="b">
        <f t="shared" ref="X885:Z885" si="1746">ISBLANK(K885)</f>
        <v>1</v>
      </c>
      <c r="Y885" t="b">
        <f t="shared" si="1746"/>
        <v>0</v>
      </c>
      <c r="Z885" t="b">
        <f t="shared" si="1746"/>
        <v>0</v>
      </c>
      <c r="AA885">
        <f t="shared" ref="AA885:AC885" si="1747">IF(X885=FALSE,1,0)</f>
        <v>0</v>
      </c>
      <c r="AB885">
        <f t="shared" si="1747"/>
        <v>1</v>
      </c>
      <c r="AC885">
        <f t="shared" si="1747"/>
        <v>1</v>
      </c>
      <c r="AD885">
        <f t="shared" si="6"/>
        <v>2</v>
      </c>
      <c r="AE885">
        <f t="shared" si="7"/>
        <v>1</v>
      </c>
      <c r="AF885">
        <f>if(iferror(vlookup($A885,'Description Database'!$E$2:$H$951,3,0),0)=TRUE,1,0)</f>
        <v>0</v>
      </c>
      <c r="AG885">
        <f>if(iferror(vlookup($A885,'Description Database'!$E$2:$H$951,4,0),0)=TRUE,1,0)</f>
        <v>0</v>
      </c>
    </row>
    <row r="886">
      <c r="A886" t="str">
        <f>IFERROR(__xludf.DUMMYFUNCTION("""COMPUTED_VALUE"""),"Motorola MOTO G5 PLUS (3 GB/16 GB)")</f>
        <v>Motorola MOTO G5 PLUS (3 GB/16 GB)</v>
      </c>
      <c r="B886" t="str">
        <f>IFERROR(__xludf.DUMMYFUNCTION("""COMPUTED_VALUE"""),"")</f>
        <v/>
      </c>
      <c r="C886" t="str">
        <f>IFERROR(__xludf.DUMMYFUNCTION("""COMPUTED_VALUE"""),"")</f>
        <v/>
      </c>
      <c r="D886" t="str">
        <f>IFERROR(__xludf.DUMMYFUNCTION("""COMPUTED_VALUE"""),"")</f>
        <v/>
      </c>
      <c r="E886" t="str">
        <f>IFERROR(__xludf.DUMMYFUNCTION("""COMPUTED_VALUE"""),"")</f>
        <v/>
      </c>
      <c r="F886" t="str">
        <f>IFERROR(__xludf.DUMMYFUNCTION("""COMPUTED_VALUE"""),"")</f>
        <v/>
      </c>
      <c r="G886" t="str">
        <f>IFERROR(__xludf.DUMMYFUNCTION("""COMPUTED_VALUE"""),"")</f>
        <v/>
      </c>
      <c r="H886" t="str">
        <f>IFERROR(__xludf.DUMMYFUNCTION("""COMPUTED_VALUE"""),"")</f>
        <v/>
      </c>
      <c r="I886">
        <f>IFERROR(__xludf.DUMMYFUNCTION("""COMPUTED_VALUE"""),10.0)</f>
        <v>10</v>
      </c>
      <c r="J886">
        <f>IFERROR(__xludf.DUMMYFUNCTION("""COMPUTED_VALUE"""),10.0)</f>
        <v>10</v>
      </c>
      <c r="L886" s="250" t="str">
        <f>IFERROR(__xludf.DUMMYFUNCTION("""COMPUTED_VALUE"""),"")</f>
        <v/>
      </c>
      <c r="M886" s="250" t="str">
        <f>IFERROR(__xludf.DUMMYFUNCTION("""COMPUTED_VALUE"""),"")</f>
        <v/>
      </c>
      <c r="N886" s="250" t="str">
        <f>IFERROR(__xludf.DUMMYFUNCTION("""COMPUTED_VALUE"""),"")</f>
        <v/>
      </c>
      <c r="O886" s="250" t="str">
        <f>IFERROR(__xludf.DUMMYFUNCTION("""COMPUTED_VALUE"""),"")</f>
        <v/>
      </c>
      <c r="P886" s="250" t="str">
        <f>IFERROR(__xludf.DUMMYFUNCTION("""COMPUTED_VALUE"""),"")</f>
        <v/>
      </c>
      <c r="Q886" s="250" t="str">
        <f>IFERROR(__xludf.DUMMYFUNCTION("""COMPUTED_VALUE"""),"")</f>
        <v/>
      </c>
      <c r="R886" s="250" t="str">
        <f>IFERROR(__xludf.DUMMYFUNCTION("""COMPUTED_VALUE"""),"")</f>
        <v/>
      </c>
      <c r="U886" s="250">
        <f>IFERROR(__xludf.DUMMYFUNCTION("""COMPUTED_VALUE"""),3139.0)</f>
        <v>3139</v>
      </c>
      <c r="V886" s="250">
        <f>IFERROR(__xludf.DUMMYFUNCTION("""COMPUTED_VALUE"""),2979.0)</f>
        <v>2979</v>
      </c>
      <c r="W886" s="250">
        <f>IFERROR(__xludf.DUMMYFUNCTION("""COMPUTED_VALUE"""),2689.0)</f>
        <v>2689</v>
      </c>
      <c r="X886" t="b">
        <f t="shared" ref="X886:Z886" si="1748">ISBLANK(K886)</f>
        <v>1</v>
      </c>
      <c r="Y886" t="b">
        <f t="shared" si="1748"/>
        <v>0</v>
      </c>
      <c r="Z886" t="b">
        <f t="shared" si="1748"/>
        <v>0</v>
      </c>
      <c r="AA886">
        <f t="shared" ref="AA886:AC886" si="1749">IF(X886=FALSE,1,0)</f>
        <v>0</v>
      </c>
      <c r="AB886">
        <f t="shared" si="1749"/>
        <v>1</v>
      </c>
      <c r="AC886">
        <f t="shared" si="1749"/>
        <v>1</v>
      </c>
      <c r="AD886">
        <f t="shared" si="6"/>
        <v>2</v>
      </c>
      <c r="AE886">
        <f t="shared" si="7"/>
        <v>1</v>
      </c>
      <c r="AF886">
        <f>if(iferror(vlookup($A886,'Description Database'!$E$2:$H$951,3,0),0)=TRUE,1,0)</f>
        <v>0</v>
      </c>
      <c r="AG886">
        <f>if(iferror(vlookup($A886,'Description Database'!$E$2:$H$951,4,0),0)=TRUE,1,0)</f>
        <v>0</v>
      </c>
    </row>
    <row r="887">
      <c r="A887" t="str">
        <f>IFERROR(__xludf.DUMMYFUNCTION("""COMPUTED_VALUE"""),"Samsung Galaxy S7 (4 GB/64 GB)")</f>
        <v>Samsung Galaxy S7 (4 GB/64 GB)</v>
      </c>
      <c r="B887" t="str">
        <f>IFERROR(__xludf.DUMMYFUNCTION("""COMPUTED_VALUE"""),"")</f>
        <v/>
      </c>
      <c r="C887" t="str">
        <f>IFERROR(__xludf.DUMMYFUNCTION("""COMPUTED_VALUE"""),"")</f>
        <v/>
      </c>
      <c r="D887" t="str">
        <f>IFERROR(__xludf.DUMMYFUNCTION("""COMPUTED_VALUE"""),"")</f>
        <v/>
      </c>
      <c r="E887" t="str">
        <f>IFERROR(__xludf.DUMMYFUNCTION("""COMPUTED_VALUE"""),"")</f>
        <v/>
      </c>
      <c r="F887" t="str">
        <f>IFERROR(__xludf.DUMMYFUNCTION("""COMPUTED_VALUE"""),"")</f>
        <v/>
      </c>
      <c r="G887" t="str">
        <f>IFERROR(__xludf.DUMMYFUNCTION("""COMPUTED_VALUE"""),"")</f>
        <v/>
      </c>
      <c r="H887" t="str">
        <f>IFERROR(__xludf.DUMMYFUNCTION("""COMPUTED_VALUE"""),"")</f>
        <v/>
      </c>
      <c r="I887">
        <f>IFERROR(__xludf.DUMMYFUNCTION("""COMPUTED_VALUE"""),1.0)</f>
        <v>1</v>
      </c>
      <c r="J887">
        <f>IFERROR(__xludf.DUMMYFUNCTION("""COMPUTED_VALUE"""),1.0)</f>
        <v>1</v>
      </c>
      <c r="L887" s="250" t="str">
        <f>IFERROR(__xludf.DUMMYFUNCTION("""COMPUTED_VALUE"""),"")</f>
        <v/>
      </c>
      <c r="M887" s="250" t="str">
        <f>IFERROR(__xludf.DUMMYFUNCTION("""COMPUTED_VALUE"""),"")</f>
        <v/>
      </c>
      <c r="N887" s="250" t="str">
        <f>IFERROR(__xludf.DUMMYFUNCTION("""COMPUTED_VALUE"""),"")</f>
        <v/>
      </c>
      <c r="O887" s="250" t="str">
        <f>IFERROR(__xludf.DUMMYFUNCTION("""COMPUTED_VALUE"""),"")</f>
        <v/>
      </c>
      <c r="P887" s="250" t="str">
        <f>IFERROR(__xludf.DUMMYFUNCTION("""COMPUTED_VALUE"""),"")</f>
        <v/>
      </c>
      <c r="Q887" s="250" t="str">
        <f>IFERROR(__xludf.DUMMYFUNCTION("""COMPUTED_VALUE"""),"")</f>
        <v/>
      </c>
      <c r="R887" s="250" t="str">
        <f>IFERROR(__xludf.DUMMYFUNCTION("""COMPUTED_VALUE"""),"")</f>
        <v/>
      </c>
      <c r="U887" s="250">
        <f>IFERROR(__xludf.DUMMYFUNCTION("""COMPUTED_VALUE"""),8009.0)</f>
        <v>8009</v>
      </c>
      <c r="V887" s="250">
        <f>IFERROR(__xludf.DUMMYFUNCTION("""COMPUTED_VALUE"""),7629.0)</f>
        <v>7629</v>
      </c>
      <c r="W887" s="250">
        <f>IFERROR(__xludf.DUMMYFUNCTION("""COMPUTED_VALUE"""),6869.0)</f>
        <v>6869</v>
      </c>
      <c r="X887" t="b">
        <f t="shared" ref="X887:Z887" si="1750">ISBLANK(K887)</f>
        <v>1</v>
      </c>
      <c r="Y887" t="b">
        <f t="shared" si="1750"/>
        <v>0</v>
      </c>
      <c r="Z887" t="b">
        <f t="shared" si="1750"/>
        <v>0</v>
      </c>
      <c r="AA887">
        <f t="shared" ref="AA887:AC887" si="1751">IF(X887=FALSE,1,0)</f>
        <v>0</v>
      </c>
      <c r="AB887">
        <f t="shared" si="1751"/>
        <v>1</v>
      </c>
      <c r="AC887">
        <f t="shared" si="1751"/>
        <v>1</v>
      </c>
      <c r="AD887">
        <f t="shared" si="6"/>
        <v>2</v>
      </c>
      <c r="AE887">
        <f t="shared" si="7"/>
        <v>1</v>
      </c>
      <c r="AF887">
        <f>if(iferror(vlookup($A887,'Description Database'!$E$2:$H$951,3,0),0)=TRUE,1,0)</f>
        <v>0</v>
      </c>
      <c r="AG887">
        <f>if(iferror(vlookup($A887,'Description Database'!$E$2:$H$951,4,0),0)=TRUE,1,0)</f>
        <v>0</v>
      </c>
    </row>
    <row r="888">
      <c r="A888" t="str">
        <f>IFERROR(__xludf.DUMMYFUNCTION("""COMPUTED_VALUE"""),"Samsung GALAXY NOTE EDGE (3 GB/32 GB)")</f>
        <v>Samsung GALAXY NOTE EDGE (3 GB/32 GB)</v>
      </c>
      <c r="B888" t="str">
        <f>IFERROR(__xludf.DUMMYFUNCTION("""COMPUTED_VALUE"""),"")</f>
        <v/>
      </c>
      <c r="C888" t="str">
        <f>IFERROR(__xludf.DUMMYFUNCTION("""COMPUTED_VALUE"""),"")</f>
        <v/>
      </c>
      <c r="D888" t="str">
        <f>IFERROR(__xludf.DUMMYFUNCTION("""COMPUTED_VALUE"""),"")</f>
        <v/>
      </c>
      <c r="E888" t="str">
        <f>IFERROR(__xludf.DUMMYFUNCTION("""COMPUTED_VALUE"""),"")</f>
        <v/>
      </c>
      <c r="F888" t="str">
        <f>IFERROR(__xludf.DUMMYFUNCTION("""COMPUTED_VALUE"""),"")</f>
        <v/>
      </c>
      <c r="G888" t="str">
        <f>IFERROR(__xludf.DUMMYFUNCTION("""COMPUTED_VALUE"""),"")</f>
        <v/>
      </c>
      <c r="H888" t="str">
        <f>IFERROR(__xludf.DUMMYFUNCTION("""COMPUTED_VALUE"""),"")</f>
        <v/>
      </c>
      <c r="I888">
        <f>IFERROR(__xludf.DUMMYFUNCTION("""COMPUTED_VALUE"""),1.0)</f>
        <v>1</v>
      </c>
      <c r="J888">
        <f>IFERROR(__xludf.DUMMYFUNCTION("""COMPUTED_VALUE"""),1.0)</f>
        <v>1</v>
      </c>
      <c r="L888" s="250" t="str">
        <f>IFERROR(__xludf.DUMMYFUNCTION("""COMPUTED_VALUE"""),"")</f>
        <v/>
      </c>
      <c r="M888" s="250" t="str">
        <f>IFERROR(__xludf.DUMMYFUNCTION("""COMPUTED_VALUE"""),"")</f>
        <v/>
      </c>
      <c r="N888" s="250" t="str">
        <f>IFERROR(__xludf.DUMMYFUNCTION("""COMPUTED_VALUE"""),"")</f>
        <v/>
      </c>
      <c r="O888" s="250" t="str">
        <f>IFERROR(__xludf.DUMMYFUNCTION("""COMPUTED_VALUE"""),"")</f>
        <v/>
      </c>
      <c r="P888" s="250" t="str">
        <f>IFERROR(__xludf.DUMMYFUNCTION("""COMPUTED_VALUE"""),"")</f>
        <v/>
      </c>
      <c r="Q888" s="250" t="str">
        <f>IFERROR(__xludf.DUMMYFUNCTION("""COMPUTED_VALUE"""),"")</f>
        <v/>
      </c>
      <c r="R888" s="250" t="str">
        <f>IFERROR(__xludf.DUMMYFUNCTION("""COMPUTED_VALUE"""),"")</f>
        <v/>
      </c>
      <c r="U888" s="250" t="str">
        <f>IFERROR(__xludf.DUMMYFUNCTION("""COMPUTED_VALUE"""),"#N/A")</f>
        <v>#N/A</v>
      </c>
      <c r="V888" s="250" t="str">
        <f>IFERROR(__xludf.DUMMYFUNCTION("""COMPUTED_VALUE"""),"#N/A")</f>
        <v>#N/A</v>
      </c>
      <c r="W888" s="250" t="str">
        <f>IFERROR(__xludf.DUMMYFUNCTION("""COMPUTED_VALUE"""),"#N/A")</f>
        <v>#N/A</v>
      </c>
      <c r="X888" t="b">
        <f t="shared" ref="X888:Z888" si="1752">ISBLANK(K888)</f>
        <v>1</v>
      </c>
      <c r="Y888" t="b">
        <f t="shared" si="1752"/>
        <v>0</v>
      </c>
      <c r="Z888" t="b">
        <f t="shared" si="1752"/>
        <v>0</v>
      </c>
      <c r="AA888">
        <f t="shared" ref="AA888:AC888" si="1753">IF(X888=FALSE,1,0)</f>
        <v>0</v>
      </c>
      <c r="AB888">
        <f t="shared" si="1753"/>
        <v>1</v>
      </c>
      <c r="AC888">
        <f t="shared" si="1753"/>
        <v>1</v>
      </c>
      <c r="AD888">
        <f t="shared" si="6"/>
        <v>2</v>
      </c>
      <c r="AE888">
        <f t="shared" si="7"/>
        <v>1</v>
      </c>
      <c r="AF888">
        <f>if(iferror(vlookup($A888,'Description Database'!$E$2:$H$951,3,0),0)=TRUE,1,0)</f>
        <v>0</v>
      </c>
      <c r="AG888">
        <f>if(iferror(vlookup($A888,'Description Database'!$E$2:$H$951,4,0),0)=TRUE,1,0)</f>
        <v>0</v>
      </c>
    </row>
    <row r="889">
      <c r="A889" t="str">
        <f>IFERROR(__xludf.DUMMYFUNCTION("""COMPUTED_VALUE"""),"Xiaomi REDMI NOTE 8 PRO(6 GB/128 GB)")</f>
        <v>Xiaomi REDMI NOTE 8 PRO(6 GB/128 GB)</v>
      </c>
      <c r="B889" t="str">
        <f>IFERROR(__xludf.DUMMYFUNCTION("""COMPUTED_VALUE"""),"")</f>
        <v/>
      </c>
      <c r="C889" t="str">
        <f>IFERROR(__xludf.DUMMYFUNCTION("""COMPUTED_VALUE"""),"")</f>
        <v/>
      </c>
      <c r="D889" t="str">
        <f>IFERROR(__xludf.DUMMYFUNCTION("""COMPUTED_VALUE"""),"")</f>
        <v/>
      </c>
      <c r="E889" t="str">
        <f>IFERROR(__xludf.DUMMYFUNCTION("""COMPUTED_VALUE"""),"")</f>
        <v/>
      </c>
      <c r="F889" t="str">
        <f>IFERROR(__xludf.DUMMYFUNCTION("""COMPUTED_VALUE"""),"")</f>
        <v/>
      </c>
      <c r="G889" t="str">
        <f>IFERROR(__xludf.DUMMYFUNCTION("""COMPUTED_VALUE"""),"")</f>
        <v/>
      </c>
      <c r="H889" t="str">
        <f>IFERROR(__xludf.DUMMYFUNCTION("""COMPUTED_VALUE"""),"")</f>
        <v/>
      </c>
      <c r="I889" t="str">
        <f>IFERROR(__xludf.DUMMYFUNCTION("""COMPUTED_VALUE"""),"")</f>
        <v/>
      </c>
      <c r="J889">
        <f>IFERROR(__xludf.DUMMYFUNCTION("""COMPUTED_VALUE"""),0.0)</f>
        <v>0</v>
      </c>
      <c r="L889" s="250" t="str">
        <f>IFERROR(__xludf.DUMMYFUNCTION("""COMPUTED_VALUE"""),"")</f>
        <v/>
      </c>
      <c r="M889" s="250" t="str">
        <f>IFERROR(__xludf.DUMMYFUNCTION("""COMPUTED_VALUE"""),"")</f>
        <v/>
      </c>
      <c r="N889" s="250" t="str">
        <f>IFERROR(__xludf.DUMMYFUNCTION("""COMPUTED_VALUE"""),"")</f>
        <v/>
      </c>
      <c r="O889" s="250" t="str">
        <f>IFERROR(__xludf.DUMMYFUNCTION("""COMPUTED_VALUE"""),"")</f>
        <v/>
      </c>
      <c r="P889" s="250" t="str">
        <f>IFERROR(__xludf.DUMMYFUNCTION("""COMPUTED_VALUE"""),"")</f>
        <v/>
      </c>
      <c r="Q889" s="250" t="str">
        <f>IFERROR(__xludf.DUMMYFUNCTION("""COMPUTED_VALUE"""),"")</f>
        <v/>
      </c>
      <c r="R889" s="250" t="str">
        <f>IFERROR(__xludf.DUMMYFUNCTION("""COMPUTED_VALUE"""),"")</f>
        <v/>
      </c>
      <c r="U889" s="250" t="str">
        <f>IFERROR(__xludf.DUMMYFUNCTION("""COMPUTED_VALUE"""),"#N/A")</f>
        <v>#N/A</v>
      </c>
      <c r="V889" s="250" t="str">
        <f>IFERROR(__xludf.DUMMYFUNCTION("""COMPUTED_VALUE"""),"#N/A")</f>
        <v>#N/A</v>
      </c>
      <c r="W889" s="250" t="str">
        <f>IFERROR(__xludf.DUMMYFUNCTION("""COMPUTED_VALUE"""),"#N/A")</f>
        <v>#N/A</v>
      </c>
      <c r="X889" t="b">
        <f t="shared" ref="X889:Z889" si="1754">ISBLANK(K889)</f>
        <v>1</v>
      </c>
      <c r="Y889" t="b">
        <f t="shared" si="1754"/>
        <v>0</v>
      </c>
      <c r="Z889" t="b">
        <f t="shared" si="1754"/>
        <v>0</v>
      </c>
      <c r="AA889">
        <f t="shared" ref="AA889:AC889" si="1755">IF(X889=FALSE,1,0)</f>
        <v>0</v>
      </c>
      <c r="AB889">
        <f t="shared" si="1755"/>
        <v>1</v>
      </c>
      <c r="AC889">
        <f t="shared" si="1755"/>
        <v>1</v>
      </c>
      <c r="AD889">
        <f t="shared" si="6"/>
        <v>2</v>
      </c>
      <c r="AE889">
        <f t="shared" si="7"/>
        <v>1</v>
      </c>
      <c r="AF889">
        <f>if(iferror(vlookup($A889,'Description Database'!$E$2:$H$951,3,0),0)=TRUE,1,0)</f>
        <v>0</v>
      </c>
      <c r="AG889">
        <f>if(iferror(vlookup($A889,'Description Database'!$E$2:$H$951,4,0),0)=TRUE,1,0)</f>
        <v>0</v>
      </c>
    </row>
    <row r="890">
      <c r="A890" t="str">
        <f>IFERROR(__xludf.DUMMYFUNCTION("""COMPUTED_VALUE"""),"Asus ZenFone 3 Laser (4 GB/32 GB)")</f>
        <v>Asus ZenFone 3 Laser (4 GB/32 GB)</v>
      </c>
      <c r="B890" t="str">
        <f>IFERROR(__xludf.DUMMYFUNCTION("""COMPUTED_VALUE"""),"")</f>
        <v/>
      </c>
      <c r="C890" t="str">
        <f>IFERROR(__xludf.DUMMYFUNCTION("""COMPUTED_VALUE"""),"")</f>
        <v/>
      </c>
      <c r="D890" t="str">
        <f>IFERROR(__xludf.DUMMYFUNCTION("""COMPUTED_VALUE"""),"")</f>
        <v/>
      </c>
      <c r="E890" t="str">
        <f>IFERROR(__xludf.DUMMYFUNCTION("""COMPUTED_VALUE"""),"")</f>
        <v/>
      </c>
      <c r="F890" t="str">
        <f>IFERROR(__xludf.DUMMYFUNCTION("""COMPUTED_VALUE"""),"")</f>
        <v/>
      </c>
      <c r="G890" t="str">
        <f>IFERROR(__xludf.DUMMYFUNCTION("""COMPUTED_VALUE"""),"")</f>
        <v/>
      </c>
      <c r="H890" t="str">
        <f>IFERROR(__xludf.DUMMYFUNCTION("""COMPUTED_VALUE"""),"")</f>
        <v/>
      </c>
      <c r="I890" t="str">
        <f>IFERROR(__xludf.DUMMYFUNCTION("""COMPUTED_VALUE"""),"")</f>
        <v/>
      </c>
      <c r="J890">
        <f>IFERROR(__xludf.DUMMYFUNCTION("""COMPUTED_VALUE"""),0.0)</f>
        <v>0</v>
      </c>
      <c r="L890" s="250" t="str">
        <f>IFERROR(__xludf.DUMMYFUNCTION("""COMPUTED_VALUE"""),"")</f>
        <v/>
      </c>
      <c r="M890" s="250" t="str">
        <f>IFERROR(__xludf.DUMMYFUNCTION("""COMPUTED_VALUE"""),"")</f>
        <v/>
      </c>
      <c r="N890" s="250" t="str">
        <f>IFERROR(__xludf.DUMMYFUNCTION("""COMPUTED_VALUE"""),"")</f>
        <v/>
      </c>
      <c r="O890" s="250" t="str">
        <f>IFERROR(__xludf.DUMMYFUNCTION("""COMPUTED_VALUE"""),"")</f>
        <v/>
      </c>
      <c r="P890" s="250" t="str">
        <f>IFERROR(__xludf.DUMMYFUNCTION("""COMPUTED_VALUE"""),"")</f>
        <v/>
      </c>
      <c r="Q890" s="250" t="str">
        <f>IFERROR(__xludf.DUMMYFUNCTION("""COMPUTED_VALUE"""),"")</f>
        <v/>
      </c>
      <c r="R890" s="250" t="str">
        <f>IFERROR(__xludf.DUMMYFUNCTION("""COMPUTED_VALUE"""),"")</f>
        <v/>
      </c>
      <c r="U890" s="250">
        <f>IFERROR(__xludf.DUMMYFUNCTION("""COMPUTED_VALUE"""),3929.0)</f>
        <v>3929</v>
      </c>
      <c r="V890" s="250">
        <f>IFERROR(__xludf.DUMMYFUNCTION("""COMPUTED_VALUE"""),3739.0)</f>
        <v>3739</v>
      </c>
      <c r="W890" s="250">
        <f>IFERROR(__xludf.DUMMYFUNCTION("""COMPUTED_VALUE"""),3369.0)</f>
        <v>3369</v>
      </c>
      <c r="X890" t="b">
        <f t="shared" ref="X890:Z890" si="1756">ISBLANK(K890)</f>
        <v>1</v>
      </c>
      <c r="Y890" t="b">
        <f t="shared" si="1756"/>
        <v>0</v>
      </c>
      <c r="Z890" t="b">
        <f t="shared" si="1756"/>
        <v>0</v>
      </c>
      <c r="AA890">
        <f t="shared" ref="AA890:AC890" si="1757">IF(X890=FALSE,1,0)</f>
        <v>0</v>
      </c>
      <c r="AB890">
        <f t="shared" si="1757"/>
        <v>1</v>
      </c>
      <c r="AC890">
        <f t="shared" si="1757"/>
        <v>1</v>
      </c>
      <c r="AD890">
        <f t="shared" si="6"/>
        <v>2</v>
      </c>
      <c r="AE890">
        <f t="shared" si="7"/>
        <v>1</v>
      </c>
      <c r="AF890">
        <f>if(iferror(vlookup($A890,'Description Database'!$E$2:$H$951,3,0),0)=TRUE,1,0)</f>
        <v>0</v>
      </c>
      <c r="AG890">
        <f>if(iferror(vlookup($A890,'Description Database'!$E$2:$H$951,4,0),0)=TRUE,1,0)</f>
        <v>0</v>
      </c>
    </row>
    <row r="891">
      <c r="A891" t="str">
        <f>IFERROR(__xludf.DUMMYFUNCTION("""COMPUTED_VALUE"""),"Samsung GALAXY A51 2019(6 GB/128 GB)")</f>
        <v>Samsung GALAXY A51 2019(6 GB/128 GB)</v>
      </c>
      <c r="B891" t="str">
        <f>IFERROR(__xludf.DUMMYFUNCTION("""COMPUTED_VALUE"""),"")</f>
        <v/>
      </c>
      <c r="C891" t="str">
        <f>IFERROR(__xludf.DUMMYFUNCTION("""COMPUTED_VALUE"""),"")</f>
        <v/>
      </c>
      <c r="D891">
        <f>IFERROR(__xludf.DUMMYFUNCTION("""COMPUTED_VALUE"""),1.0)</f>
        <v>1</v>
      </c>
      <c r="E891" t="str">
        <f>IFERROR(__xludf.DUMMYFUNCTION("""COMPUTED_VALUE"""),"")</f>
        <v/>
      </c>
      <c r="F891" t="str">
        <f>IFERROR(__xludf.DUMMYFUNCTION("""COMPUTED_VALUE"""),"")</f>
        <v/>
      </c>
      <c r="G891" t="str">
        <f>IFERROR(__xludf.DUMMYFUNCTION("""COMPUTED_VALUE"""),"")</f>
        <v/>
      </c>
      <c r="H891" t="str">
        <f>IFERROR(__xludf.DUMMYFUNCTION("""COMPUTED_VALUE"""),"")</f>
        <v/>
      </c>
      <c r="I891" t="str">
        <f>IFERROR(__xludf.DUMMYFUNCTION("""COMPUTED_VALUE"""),"")</f>
        <v/>
      </c>
      <c r="J891">
        <f>IFERROR(__xludf.DUMMYFUNCTION("""COMPUTED_VALUE"""),1.0)</f>
        <v>1</v>
      </c>
      <c r="L891" s="250" t="str">
        <f>IFERROR(__xludf.DUMMYFUNCTION("""COMPUTED_VALUE"""),"")</f>
        <v/>
      </c>
      <c r="M891" s="250" t="str">
        <f>IFERROR(__xludf.DUMMYFUNCTION("""COMPUTED_VALUE"""),"")</f>
        <v/>
      </c>
      <c r="N891" s="250" t="str">
        <f>IFERROR(__xludf.DUMMYFUNCTION("""COMPUTED_VALUE"""),"#N/A")</f>
        <v>#N/A</v>
      </c>
      <c r="O891" s="250" t="str">
        <f>IFERROR(__xludf.DUMMYFUNCTION("""COMPUTED_VALUE"""),"")</f>
        <v/>
      </c>
      <c r="P891" s="250" t="str">
        <f>IFERROR(__xludf.DUMMYFUNCTION("""COMPUTED_VALUE"""),"")</f>
        <v/>
      </c>
      <c r="Q891" s="250" t="str">
        <f>IFERROR(__xludf.DUMMYFUNCTION("""COMPUTED_VALUE"""),"")</f>
        <v/>
      </c>
      <c r="R891" s="250" t="str">
        <f>IFERROR(__xludf.DUMMYFUNCTION("""COMPUTED_VALUE"""),"")</f>
        <v/>
      </c>
      <c r="U891" s="250" t="str">
        <f>IFERROR(__xludf.DUMMYFUNCTION("""COMPUTED_VALUE"""),"#N/A")</f>
        <v>#N/A</v>
      </c>
      <c r="V891" s="250" t="str">
        <f>IFERROR(__xludf.DUMMYFUNCTION("""COMPUTED_VALUE"""),"#N/A")</f>
        <v>#N/A</v>
      </c>
      <c r="W891" s="250" t="str">
        <f>IFERROR(__xludf.DUMMYFUNCTION("""COMPUTED_VALUE"""),"#N/A")</f>
        <v>#N/A</v>
      </c>
      <c r="X891" t="b">
        <f t="shared" ref="X891:Z891" si="1758">ISBLANK(K891)</f>
        <v>1</v>
      </c>
      <c r="Y891" t="b">
        <f t="shared" si="1758"/>
        <v>0</v>
      </c>
      <c r="Z891" t="b">
        <f t="shared" si="1758"/>
        <v>0</v>
      </c>
      <c r="AA891">
        <f t="shared" ref="AA891:AC891" si="1759">IF(X891=FALSE,1,0)</f>
        <v>0</v>
      </c>
      <c r="AB891">
        <f t="shared" si="1759"/>
        <v>1</v>
      </c>
      <c r="AC891">
        <f t="shared" si="1759"/>
        <v>1</v>
      </c>
      <c r="AD891">
        <f t="shared" si="6"/>
        <v>2</v>
      </c>
      <c r="AE891">
        <f t="shared" si="7"/>
        <v>1</v>
      </c>
      <c r="AF891">
        <f>if(iferror(vlookup($A891,'Description Database'!$E$2:$H$951,3,0),0)=TRUE,1,0)</f>
        <v>0</v>
      </c>
      <c r="AG891">
        <f>if(iferror(vlookup($A891,'Description Database'!$E$2:$H$951,4,0),0)=TRUE,1,0)</f>
        <v>0</v>
      </c>
    </row>
    <row r="892">
      <c r="A892" t="str">
        <f>IFERROR(__xludf.DUMMYFUNCTION("""COMPUTED_VALUE"""),"Samsung Galaxy M31s (6 GB/128 GB)")</f>
        <v>Samsung Galaxy M31s (6 GB/128 GB)</v>
      </c>
      <c r="B892" t="str">
        <f>IFERROR(__xludf.DUMMYFUNCTION("""COMPUTED_VALUE"""),"")</f>
        <v/>
      </c>
      <c r="C892" t="str">
        <f>IFERROR(__xludf.DUMMYFUNCTION("""COMPUTED_VALUE"""),"")</f>
        <v/>
      </c>
      <c r="D892" t="str">
        <f>IFERROR(__xludf.DUMMYFUNCTION("""COMPUTED_VALUE"""),"")</f>
        <v/>
      </c>
      <c r="E892" t="str">
        <f>IFERROR(__xludf.DUMMYFUNCTION("""COMPUTED_VALUE"""),"")</f>
        <v/>
      </c>
      <c r="F892" t="str">
        <f>IFERROR(__xludf.DUMMYFUNCTION("""COMPUTED_VALUE"""),"")</f>
        <v/>
      </c>
      <c r="G892" t="str">
        <f>IFERROR(__xludf.DUMMYFUNCTION("""COMPUTED_VALUE"""),"")</f>
        <v/>
      </c>
      <c r="H892" t="str">
        <f>IFERROR(__xludf.DUMMYFUNCTION("""COMPUTED_VALUE"""),"")</f>
        <v/>
      </c>
      <c r="I892" t="str">
        <f>IFERROR(__xludf.DUMMYFUNCTION("""COMPUTED_VALUE"""),"")</f>
        <v/>
      </c>
      <c r="J892">
        <f>IFERROR(__xludf.DUMMYFUNCTION("""COMPUTED_VALUE"""),0.0)</f>
        <v>0</v>
      </c>
      <c r="L892" s="250" t="str">
        <f>IFERROR(__xludf.DUMMYFUNCTION("""COMPUTED_VALUE"""),"")</f>
        <v/>
      </c>
      <c r="M892" s="250" t="str">
        <f>IFERROR(__xludf.DUMMYFUNCTION("""COMPUTED_VALUE"""),"")</f>
        <v/>
      </c>
      <c r="N892" s="250" t="str">
        <f>IFERROR(__xludf.DUMMYFUNCTION("""COMPUTED_VALUE"""),"")</f>
        <v/>
      </c>
      <c r="O892" s="250" t="str">
        <f>IFERROR(__xludf.DUMMYFUNCTION("""COMPUTED_VALUE"""),"")</f>
        <v/>
      </c>
      <c r="P892" s="250" t="str">
        <f>IFERROR(__xludf.DUMMYFUNCTION("""COMPUTED_VALUE"""),"")</f>
        <v/>
      </c>
      <c r="Q892" s="250" t="str">
        <f>IFERROR(__xludf.DUMMYFUNCTION("""COMPUTED_VALUE"""),"")</f>
        <v/>
      </c>
      <c r="R892" s="250" t="str">
        <f>IFERROR(__xludf.DUMMYFUNCTION("""COMPUTED_VALUE"""),"")</f>
        <v/>
      </c>
      <c r="U892" s="250">
        <f>IFERROR(__xludf.DUMMYFUNCTION("""COMPUTED_VALUE"""),11429.0)</f>
        <v>11429</v>
      </c>
      <c r="V892" s="250">
        <f>IFERROR(__xludf.DUMMYFUNCTION("""COMPUTED_VALUE"""),10879.0)</f>
        <v>10879</v>
      </c>
      <c r="W892" s="250">
        <f>IFERROR(__xludf.DUMMYFUNCTION("""COMPUTED_VALUE"""),9789.0)</f>
        <v>9789</v>
      </c>
      <c r="X892" t="b">
        <f t="shared" ref="X892:Z892" si="1760">ISBLANK(K892)</f>
        <v>1</v>
      </c>
      <c r="Y892" t="b">
        <f t="shared" si="1760"/>
        <v>0</v>
      </c>
      <c r="Z892" t="b">
        <f t="shared" si="1760"/>
        <v>0</v>
      </c>
      <c r="AA892">
        <f t="shared" ref="AA892:AC892" si="1761">IF(X892=FALSE,1,0)</f>
        <v>0</v>
      </c>
      <c r="AB892">
        <f t="shared" si="1761"/>
        <v>1</v>
      </c>
      <c r="AC892">
        <f t="shared" si="1761"/>
        <v>1</v>
      </c>
      <c r="AD892">
        <f t="shared" si="6"/>
        <v>2</v>
      </c>
      <c r="AE892">
        <f t="shared" si="7"/>
        <v>1</v>
      </c>
      <c r="AF892">
        <f>if(iferror(vlookup($A892,'Description Database'!$E$2:$H$951,3,0),0)=TRUE,1,0)</f>
        <v>0</v>
      </c>
      <c r="AG892">
        <f>if(iferror(vlookup($A892,'Description Database'!$E$2:$H$951,4,0),0)=TRUE,1,0)</f>
        <v>0</v>
      </c>
    </row>
    <row r="893">
      <c r="A893" t="str">
        <f>IFERROR(__xludf.DUMMYFUNCTION("""COMPUTED_VALUE"""),"Samsung GALAXY NOTE 10(8 GB/256 GB)")</f>
        <v>Samsung GALAXY NOTE 10(8 GB/256 GB)</v>
      </c>
      <c r="B893" t="str">
        <f>IFERROR(__xludf.DUMMYFUNCTION("""COMPUTED_VALUE"""),"")</f>
        <v/>
      </c>
      <c r="C893" t="str">
        <f>IFERROR(__xludf.DUMMYFUNCTION("""COMPUTED_VALUE"""),"")</f>
        <v/>
      </c>
      <c r="D893" t="str">
        <f>IFERROR(__xludf.DUMMYFUNCTION("""COMPUTED_VALUE"""),"")</f>
        <v/>
      </c>
      <c r="E893" t="str">
        <f>IFERROR(__xludf.DUMMYFUNCTION("""COMPUTED_VALUE"""),"")</f>
        <v/>
      </c>
      <c r="F893">
        <f>IFERROR(__xludf.DUMMYFUNCTION("""COMPUTED_VALUE"""),1.0)</f>
        <v>1</v>
      </c>
      <c r="G893" t="str">
        <f>IFERROR(__xludf.DUMMYFUNCTION("""COMPUTED_VALUE"""),"")</f>
        <v/>
      </c>
      <c r="H893" t="str">
        <f>IFERROR(__xludf.DUMMYFUNCTION("""COMPUTED_VALUE"""),"")</f>
        <v/>
      </c>
      <c r="I893" t="str">
        <f>IFERROR(__xludf.DUMMYFUNCTION("""COMPUTED_VALUE"""),"")</f>
        <v/>
      </c>
      <c r="J893">
        <f>IFERROR(__xludf.DUMMYFUNCTION("""COMPUTED_VALUE"""),1.0)</f>
        <v>1</v>
      </c>
      <c r="L893" s="250" t="str">
        <f>IFERROR(__xludf.DUMMYFUNCTION("""COMPUTED_VALUE"""),"")</f>
        <v/>
      </c>
      <c r="M893" s="250" t="str">
        <f>IFERROR(__xludf.DUMMYFUNCTION("""COMPUTED_VALUE"""),"")</f>
        <v/>
      </c>
      <c r="N893" s="250" t="str">
        <f>IFERROR(__xludf.DUMMYFUNCTION("""COMPUTED_VALUE"""),"")</f>
        <v/>
      </c>
      <c r="O893" s="250" t="str">
        <f>IFERROR(__xludf.DUMMYFUNCTION("""COMPUTED_VALUE"""),"")</f>
        <v/>
      </c>
      <c r="P893" s="250" t="str">
        <f>IFERROR(__xludf.DUMMYFUNCTION("""COMPUTED_VALUE"""),"#N/A")</f>
        <v>#N/A</v>
      </c>
      <c r="Q893" s="250" t="str">
        <f>IFERROR(__xludf.DUMMYFUNCTION("""COMPUTED_VALUE"""),"")</f>
        <v/>
      </c>
      <c r="R893" s="250" t="str">
        <f>IFERROR(__xludf.DUMMYFUNCTION("""COMPUTED_VALUE"""),"")</f>
        <v/>
      </c>
      <c r="U893" s="250" t="str">
        <f>IFERROR(__xludf.DUMMYFUNCTION("""COMPUTED_VALUE"""),"#N/A")</f>
        <v>#N/A</v>
      </c>
      <c r="V893" s="250" t="str">
        <f>IFERROR(__xludf.DUMMYFUNCTION("""COMPUTED_VALUE"""),"#N/A")</f>
        <v>#N/A</v>
      </c>
      <c r="W893" s="250" t="str">
        <f>IFERROR(__xludf.DUMMYFUNCTION("""COMPUTED_VALUE"""),"#N/A")</f>
        <v>#N/A</v>
      </c>
      <c r="X893" t="b">
        <f t="shared" ref="X893:Z893" si="1762">ISBLANK(K893)</f>
        <v>1</v>
      </c>
      <c r="Y893" t="b">
        <f t="shared" si="1762"/>
        <v>0</v>
      </c>
      <c r="Z893" t="b">
        <f t="shared" si="1762"/>
        <v>0</v>
      </c>
      <c r="AA893">
        <f t="shared" ref="AA893:AC893" si="1763">IF(X893=FALSE,1,0)</f>
        <v>0</v>
      </c>
      <c r="AB893">
        <f t="shared" si="1763"/>
        <v>1</v>
      </c>
      <c r="AC893">
        <f t="shared" si="1763"/>
        <v>1</v>
      </c>
      <c r="AD893">
        <f t="shared" si="6"/>
        <v>2</v>
      </c>
      <c r="AE893">
        <f t="shared" si="7"/>
        <v>1</v>
      </c>
      <c r="AF893">
        <f>if(iferror(vlookup($A893,'Description Database'!$E$2:$H$951,3,0),0)=TRUE,1,0)</f>
        <v>0</v>
      </c>
      <c r="AG893">
        <f>if(iferror(vlookup($A893,'Description Database'!$E$2:$H$951,4,0),0)=TRUE,1,0)</f>
        <v>0</v>
      </c>
    </row>
    <row r="894">
      <c r="A894" t="str">
        <f>IFERROR(__xludf.DUMMYFUNCTION("""COMPUTED_VALUE"""),"Realme XT(8 GB/128 GB)")</f>
        <v>Realme XT(8 GB/128 GB)</v>
      </c>
      <c r="B894" t="str">
        <f>IFERROR(__xludf.DUMMYFUNCTION("""COMPUTED_VALUE"""),"")</f>
        <v/>
      </c>
      <c r="C894" t="str">
        <f>IFERROR(__xludf.DUMMYFUNCTION("""COMPUTED_VALUE"""),"")</f>
        <v/>
      </c>
      <c r="D894" t="str">
        <f>IFERROR(__xludf.DUMMYFUNCTION("""COMPUTED_VALUE"""),"")</f>
        <v/>
      </c>
      <c r="E894">
        <f>IFERROR(__xludf.DUMMYFUNCTION("""COMPUTED_VALUE"""),1.0)</f>
        <v>1</v>
      </c>
      <c r="F894" t="str">
        <f>IFERROR(__xludf.DUMMYFUNCTION("""COMPUTED_VALUE"""),"")</f>
        <v/>
      </c>
      <c r="G894" t="str">
        <f>IFERROR(__xludf.DUMMYFUNCTION("""COMPUTED_VALUE"""),"")</f>
        <v/>
      </c>
      <c r="H894" t="str">
        <f>IFERROR(__xludf.DUMMYFUNCTION("""COMPUTED_VALUE"""),"")</f>
        <v/>
      </c>
      <c r="I894" t="str">
        <f>IFERROR(__xludf.DUMMYFUNCTION("""COMPUTED_VALUE"""),"")</f>
        <v/>
      </c>
      <c r="J894">
        <f>IFERROR(__xludf.DUMMYFUNCTION("""COMPUTED_VALUE"""),1.0)</f>
        <v>1</v>
      </c>
      <c r="L894" s="250" t="str">
        <f>IFERROR(__xludf.DUMMYFUNCTION("""COMPUTED_VALUE"""),"")</f>
        <v/>
      </c>
      <c r="M894" s="250" t="str">
        <f>IFERROR(__xludf.DUMMYFUNCTION("""COMPUTED_VALUE"""),"")</f>
        <v/>
      </c>
      <c r="N894" s="250" t="str">
        <f>IFERROR(__xludf.DUMMYFUNCTION("""COMPUTED_VALUE"""),"")</f>
        <v/>
      </c>
      <c r="O894" s="250" t="str">
        <f>IFERROR(__xludf.DUMMYFUNCTION("""COMPUTED_VALUE"""),"#N/A")</f>
        <v>#N/A</v>
      </c>
      <c r="P894" s="250" t="str">
        <f>IFERROR(__xludf.DUMMYFUNCTION("""COMPUTED_VALUE"""),"")</f>
        <v/>
      </c>
      <c r="Q894" s="250" t="str">
        <f>IFERROR(__xludf.DUMMYFUNCTION("""COMPUTED_VALUE"""),"")</f>
        <v/>
      </c>
      <c r="R894" s="250" t="str">
        <f>IFERROR(__xludf.DUMMYFUNCTION("""COMPUTED_VALUE"""),"")</f>
        <v/>
      </c>
      <c r="U894" s="250" t="str">
        <f>IFERROR(__xludf.DUMMYFUNCTION("""COMPUTED_VALUE"""),"#N/A")</f>
        <v>#N/A</v>
      </c>
      <c r="V894" s="250" t="str">
        <f>IFERROR(__xludf.DUMMYFUNCTION("""COMPUTED_VALUE"""),"#N/A")</f>
        <v>#N/A</v>
      </c>
      <c r="W894" s="250" t="str">
        <f>IFERROR(__xludf.DUMMYFUNCTION("""COMPUTED_VALUE"""),"#N/A")</f>
        <v>#N/A</v>
      </c>
      <c r="X894" t="b">
        <f t="shared" ref="X894:Z894" si="1764">ISBLANK(K894)</f>
        <v>1</v>
      </c>
      <c r="Y894" t="b">
        <f t="shared" si="1764"/>
        <v>0</v>
      </c>
      <c r="Z894" t="b">
        <f t="shared" si="1764"/>
        <v>0</v>
      </c>
      <c r="AA894">
        <f t="shared" ref="AA894:AC894" si="1765">IF(X894=FALSE,1,0)</f>
        <v>0</v>
      </c>
      <c r="AB894">
        <f t="shared" si="1765"/>
        <v>1</v>
      </c>
      <c r="AC894">
        <f t="shared" si="1765"/>
        <v>1</v>
      </c>
      <c r="AD894">
        <f t="shared" si="6"/>
        <v>2</v>
      </c>
      <c r="AE894">
        <f t="shared" si="7"/>
        <v>1</v>
      </c>
      <c r="AF894">
        <f>if(iferror(vlookup($A894,'Description Database'!$E$2:$H$951,3,0),0)=TRUE,1,0)</f>
        <v>0</v>
      </c>
      <c r="AG894">
        <f>if(iferror(vlookup($A894,'Description Database'!$E$2:$H$951,4,0),0)=TRUE,1,0)</f>
        <v>0</v>
      </c>
    </row>
    <row r="895">
      <c r="A895" t="str">
        <f>IFERROR(__xludf.DUMMYFUNCTION("""COMPUTED_VALUE"""),"Vivo V20 SE(8 GB/128 GB)")</f>
        <v>Vivo V20 SE(8 GB/128 GB)</v>
      </c>
      <c r="B895" t="str">
        <f>IFERROR(__xludf.DUMMYFUNCTION("""COMPUTED_VALUE"""),"")</f>
        <v/>
      </c>
      <c r="C895" t="str">
        <f>IFERROR(__xludf.DUMMYFUNCTION("""COMPUTED_VALUE"""),"")</f>
        <v/>
      </c>
      <c r="D895" t="str">
        <f>IFERROR(__xludf.DUMMYFUNCTION("""COMPUTED_VALUE"""),"")</f>
        <v/>
      </c>
      <c r="E895">
        <f>IFERROR(__xludf.DUMMYFUNCTION("""COMPUTED_VALUE"""),1.0)</f>
        <v>1</v>
      </c>
      <c r="F895" t="str">
        <f>IFERROR(__xludf.DUMMYFUNCTION("""COMPUTED_VALUE"""),"")</f>
        <v/>
      </c>
      <c r="G895" t="str">
        <f>IFERROR(__xludf.DUMMYFUNCTION("""COMPUTED_VALUE"""),"")</f>
        <v/>
      </c>
      <c r="H895" t="str">
        <f>IFERROR(__xludf.DUMMYFUNCTION("""COMPUTED_VALUE"""),"")</f>
        <v/>
      </c>
      <c r="I895" t="str">
        <f>IFERROR(__xludf.DUMMYFUNCTION("""COMPUTED_VALUE"""),"")</f>
        <v/>
      </c>
      <c r="J895">
        <f>IFERROR(__xludf.DUMMYFUNCTION("""COMPUTED_VALUE"""),1.0)</f>
        <v>1</v>
      </c>
      <c r="L895" s="250" t="str">
        <f>IFERROR(__xludf.DUMMYFUNCTION("""COMPUTED_VALUE"""),"")</f>
        <v/>
      </c>
      <c r="M895" s="250" t="str">
        <f>IFERROR(__xludf.DUMMYFUNCTION("""COMPUTED_VALUE"""),"")</f>
        <v/>
      </c>
      <c r="N895" s="250" t="str">
        <f>IFERROR(__xludf.DUMMYFUNCTION("""COMPUTED_VALUE"""),"")</f>
        <v/>
      </c>
      <c r="O895" s="250" t="str">
        <f>IFERROR(__xludf.DUMMYFUNCTION("""COMPUTED_VALUE"""),"#N/A")</f>
        <v>#N/A</v>
      </c>
      <c r="P895" s="250" t="str">
        <f>IFERROR(__xludf.DUMMYFUNCTION("""COMPUTED_VALUE"""),"")</f>
        <v/>
      </c>
      <c r="Q895" s="250" t="str">
        <f>IFERROR(__xludf.DUMMYFUNCTION("""COMPUTED_VALUE"""),"")</f>
        <v/>
      </c>
      <c r="R895" s="250" t="str">
        <f>IFERROR(__xludf.DUMMYFUNCTION("""COMPUTED_VALUE"""),"")</f>
        <v/>
      </c>
      <c r="U895" s="250" t="str">
        <f>IFERROR(__xludf.DUMMYFUNCTION("""COMPUTED_VALUE"""),"#N/A")</f>
        <v>#N/A</v>
      </c>
      <c r="V895" s="250" t="str">
        <f>IFERROR(__xludf.DUMMYFUNCTION("""COMPUTED_VALUE"""),"#N/A")</f>
        <v>#N/A</v>
      </c>
      <c r="W895" s="250" t="str">
        <f>IFERROR(__xludf.DUMMYFUNCTION("""COMPUTED_VALUE"""),"#N/A")</f>
        <v>#N/A</v>
      </c>
      <c r="X895" t="b">
        <f t="shared" ref="X895:Z895" si="1766">ISBLANK(K895)</f>
        <v>1</v>
      </c>
      <c r="Y895" t="b">
        <f t="shared" si="1766"/>
        <v>0</v>
      </c>
      <c r="Z895" t="b">
        <f t="shared" si="1766"/>
        <v>0</v>
      </c>
      <c r="AA895">
        <f t="shared" ref="AA895:AC895" si="1767">IF(X895=FALSE,1,0)</f>
        <v>0</v>
      </c>
      <c r="AB895">
        <f t="shared" si="1767"/>
        <v>1</v>
      </c>
      <c r="AC895">
        <f t="shared" si="1767"/>
        <v>1</v>
      </c>
      <c r="AD895">
        <f t="shared" si="6"/>
        <v>2</v>
      </c>
      <c r="AE895">
        <f t="shared" si="7"/>
        <v>1</v>
      </c>
      <c r="AF895">
        <f>if(iferror(vlookup($A895,'Description Database'!$E$2:$H$951,3,0),0)=TRUE,1,0)</f>
        <v>0</v>
      </c>
      <c r="AG895">
        <f>if(iferror(vlookup($A895,'Description Database'!$E$2:$H$951,4,0),0)=TRUE,1,0)</f>
        <v>0</v>
      </c>
    </row>
    <row r="896">
      <c r="A896" t="str">
        <f>IFERROR(__xludf.DUMMYFUNCTION("""COMPUTED_VALUE"""),"Realme X2 PRO(8 GB/128 GB)")</f>
        <v>Realme X2 PRO(8 GB/128 GB)</v>
      </c>
      <c r="B896" t="str">
        <f>IFERROR(__xludf.DUMMYFUNCTION("""COMPUTED_VALUE"""),"")</f>
        <v/>
      </c>
      <c r="C896" t="str">
        <f>IFERROR(__xludf.DUMMYFUNCTION("""COMPUTED_VALUE"""),"")</f>
        <v/>
      </c>
      <c r="D896" t="str">
        <f>IFERROR(__xludf.DUMMYFUNCTION("""COMPUTED_VALUE"""),"")</f>
        <v/>
      </c>
      <c r="E896" t="str">
        <f>IFERROR(__xludf.DUMMYFUNCTION("""COMPUTED_VALUE"""),"")</f>
        <v/>
      </c>
      <c r="F896">
        <f>IFERROR(__xludf.DUMMYFUNCTION("""COMPUTED_VALUE"""),1.0)</f>
        <v>1</v>
      </c>
      <c r="G896" t="str">
        <f>IFERROR(__xludf.DUMMYFUNCTION("""COMPUTED_VALUE"""),"")</f>
        <v/>
      </c>
      <c r="H896" t="str">
        <f>IFERROR(__xludf.DUMMYFUNCTION("""COMPUTED_VALUE"""),"")</f>
        <v/>
      </c>
      <c r="I896" t="str">
        <f>IFERROR(__xludf.DUMMYFUNCTION("""COMPUTED_VALUE"""),"")</f>
        <v/>
      </c>
      <c r="J896">
        <f>IFERROR(__xludf.DUMMYFUNCTION("""COMPUTED_VALUE"""),1.0)</f>
        <v>1</v>
      </c>
      <c r="L896" s="250" t="str">
        <f>IFERROR(__xludf.DUMMYFUNCTION("""COMPUTED_VALUE"""),"")</f>
        <v/>
      </c>
      <c r="M896" s="250" t="str">
        <f>IFERROR(__xludf.DUMMYFUNCTION("""COMPUTED_VALUE"""),"")</f>
        <v/>
      </c>
      <c r="N896" s="250" t="str">
        <f>IFERROR(__xludf.DUMMYFUNCTION("""COMPUTED_VALUE"""),"")</f>
        <v/>
      </c>
      <c r="O896" s="250" t="str">
        <f>IFERROR(__xludf.DUMMYFUNCTION("""COMPUTED_VALUE"""),"")</f>
        <v/>
      </c>
      <c r="P896" s="250" t="str">
        <f>IFERROR(__xludf.DUMMYFUNCTION("""COMPUTED_VALUE"""),"#N/A")</f>
        <v>#N/A</v>
      </c>
      <c r="Q896" s="250" t="str">
        <f>IFERROR(__xludf.DUMMYFUNCTION("""COMPUTED_VALUE"""),"")</f>
        <v/>
      </c>
      <c r="R896" s="250" t="str">
        <f>IFERROR(__xludf.DUMMYFUNCTION("""COMPUTED_VALUE"""),"")</f>
        <v/>
      </c>
      <c r="U896" s="250" t="str">
        <f>IFERROR(__xludf.DUMMYFUNCTION("""COMPUTED_VALUE"""),"#N/A")</f>
        <v>#N/A</v>
      </c>
      <c r="V896" s="250" t="str">
        <f>IFERROR(__xludf.DUMMYFUNCTION("""COMPUTED_VALUE"""),"#N/A")</f>
        <v>#N/A</v>
      </c>
      <c r="W896" s="250" t="str">
        <f>IFERROR(__xludf.DUMMYFUNCTION("""COMPUTED_VALUE"""),"#N/A")</f>
        <v>#N/A</v>
      </c>
      <c r="X896" t="b">
        <f t="shared" ref="X896:Z896" si="1768">ISBLANK(K896)</f>
        <v>1</v>
      </c>
      <c r="Y896" t="b">
        <f t="shared" si="1768"/>
        <v>0</v>
      </c>
      <c r="Z896" t="b">
        <f t="shared" si="1768"/>
        <v>0</v>
      </c>
      <c r="AA896">
        <f t="shared" ref="AA896:AC896" si="1769">IF(X896=FALSE,1,0)</f>
        <v>0</v>
      </c>
      <c r="AB896">
        <f t="shared" si="1769"/>
        <v>1</v>
      </c>
      <c r="AC896">
        <f t="shared" si="1769"/>
        <v>1</v>
      </c>
      <c r="AD896">
        <f t="shared" si="6"/>
        <v>2</v>
      </c>
      <c r="AE896">
        <f t="shared" si="7"/>
        <v>1</v>
      </c>
      <c r="AF896">
        <f>if(iferror(vlookup($A896,'Description Database'!$E$2:$H$951,3,0),0)=TRUE,1,0)</f>
        <v>0</v>
      </c>
      <c r="AG896">
        <f>if(iferror(vlookup($A896,'Description Database'!$E$2:$H$951,4,0),0)=TRUE,1,0)</f>
        <v>0</v>
      </c>
    </row>
    <row r="897">
      <c r="A897" t="str">
        <f>IFERROR(__xludf.DUMMYFUNCTION("""COMPUTED_VALUE"""),"LG G6 (4 GB/64 GB)")</f>
        <v>LG G6 (4 GB/64 GB)</v>
      </c>
      <c r="B897" t="str">
        <f>IFERROR(__xludf.DUMMYFUNCTION("""COMPUTED_VALUE"""),"")</f>
        <v/>
      </c>
      <c r="C897" t="str">
        <f>IFERROR(__xludf.DUMMYFUNCTION("""COMPUTED_VALUE"""),"")</f>
        <v/>
      </c>
      <c r="D897" t="str">
        <f>IFERROR(__xludf.DUMMYFUNCTION("""COMPUTED_VALUE"""),"")</f>
        <v/>
      </c>
      <c r="E897" t="str">
        <f>IFERROR(__xludf.DUMMYFUNCTION("""COMPUTED_VALUE"""),"")</f>
        <v/>
      </c>
      <c r="F897" t="str">
        <f>IFERROR(__xludf.DUMMYFUNCTION("""COMPUTED_VALUE"""),"")</f>
        <v/>
      </c>
      <c r="G897" t="str">
        <f>IFERROR(__xludf.DUMMYFUNCTION("""COMPUTED_VALUE"""),"")</f>
        <v/>
      </c>
      <c r="H897" t="str">
        <f>IFERROR(__xludf.DUMMYFUNCTION("""COMPUTED_VALUE"""),"")</f>
        <v/>
      </c>
      <c r="I897">
        <f>IFERROR(__xludf.DUMMYFUNCTION("""COMPUTED_VALUE"""),1.0)</f>
        <v>1</v>
      </c>
      <c r="J897">
        <f>IFERROR(__xludf.DUMMYFUNCTION("""COMPUTED_VALUE"""),1.0)</f>
        <v>1</v>
      </c>
      <c r="L897" s="250" t="str">
        <f>IFERROR(__xludf.DUMMYFUNCTION("""COMPUTED_VALUE"""),"")</f>
        <v/>
      </c>
      <c r="M897" s="250" t="str">
        <f>IFERROR(__xludf.DUMMYFUNCTION("""COMPUTED_VALUE"""),"")</f>
        <v/>
      </c>
      <c r="N897" s="250" t="str">
        <f>IFERROR(__xludf.DUMMYFUNCTION("""COMPUTED_VALUE"""),"")</f>
        <v/>
      </c>
      <c r="O897" s="250" t="str">
        <f>IFERROR(__xludf.DUMMYFUNCTION("""COMPUTED_VALUE"""),"")</f>
        <v/>
      </c>
      <c r="P897" s="250" t="str">
        <f>IFERROR(__xludf.DUMMYFUNCTION("""COMPUTED_VALUE"""),"")</f>
        <v/>
      </c>
      <c r="Q897" s="250" t="str">
        <f>IFERROR(__xludf.DUMMYFUNCTION("""COMPUTED_VALUE"""),"")</f>
        <v/>
      </c>
      <c r="R897" s="250" t="str">
        <f>IFERROR(__xludf.DUMMYFUNCTION("""COMPUTED_VALUE"""),"")</f>
        <v/>
      </c>
      <c r="U897" s="250">
        <f>IFERROR(__xludf.DUMMYFUNCTION("""COMPUTED_VALUE"""),5379.0)</f>
        <v>5379</v>
      </c>
      <c r="V897" s="250">
        <f>IFERROR(__xludf.DUMMYFUNCTION("""COMPUTED_VALUE"""),5119.0)</f>
        <v>5119</v>
      </c>
      <c r="W897" s="250">
        <f>IFERROR(__xludf.DUMMYFUNCTION("""COMPUTED_VALUE"""),4609.0)</f>
        <v>4609</v>
      </c>
      <c r="X897" t="b">
        <f t="shared" ref="X897:Z897" si="1770">ISBLANK(K897)</f>
        <v>1</v>
      </c>
      <c r="Y897" t="b">
        <f t="shared" si="1770"/>
        <v>0</v>
      </c>
      <c r="Z897" t="b">
        <f t="shared" si="1770"/>
        <v>0</v>
      </c>
      <c r="AA897">
        <f t="shared" ref="AA897:AC897" si="1771">IF(X897=FALSE,1,0)</f>
        <v>0</v>
      </c>
      <c r="AB897">
        <f t="shared" si="1771"/>
        <v>1</v>
      </c>
      <c r="AC897">
        <f t="shared" si="1771"/>
        <v>1</v>
      </c>
      <c r="AD897">
        <f t="shared" si="6"/>
        <v>2</v>
      </c>
      <c r="AE897">
        <f t="shared" si="7"/>
        <v>1</v>
      </c>
      <c r="AF897">
        <f>if(iferror(vlookup($A897,'Description Database'!$E$2:$H$951,3,0),0)=TRUE,1,0)</f>
        <v>0</v>
      </c>
      <c r="AG897">
        <f>if(iferror(vlookup($A897,'Description Database'!$E$2:$H$951,4,0),0)=TRUE,1,0)</f>
        <v>0</v>
      </c>
    </row>
    <row r="898">
      <c r="A898" t="str">
        <f>IFERROR(__xludf.DUMMYFUNCTION("""COMPUTED_VALUE"""),"Xiaomi MI MAX 2(4 GB/32GB)")</f>
        <v>Xiaomi MI MAX 2(4 GB/32GB)</v>
      </c>
      <c r="B898" t="str">
        <f>IFERROR(__xludf.DUMMYFUNCTION("""COMPUTED_VALUE"""),"")</f>
        <v/>
      </c>
      <c r="C898" t="str">
        <f>IFERROR(__xludf.DUMMYFUNCTION("""COMPUTED_VALUE"""),"")</f>
        <v/>
      </c>
      <c r="D898" t="str">
        <f>IFERROR(__xludf.DUMMYFUNCTION("""COMPUTED_VALUE"""),"")</f>
        <v/>
      </c>
      <c r="E898" t="str">
        <f>IFERROR(__xludf.DUMMYFUNCTION("""COMPUTED_VALUE"""),"")</f>
        <v/>
      </c>
      <c r="F898" t="str">
        <f>IFERROR(__xludf.DUMMYFUNCTION("""COMPUTED_VALUE"""),"")</f>
        <v/>
      </c>
      <c r="G898" t="str">
        <f>IFERROR(__xludf.DUMMYFUNCTION("""COMPUTED_VALUE"""),"")</f>
        <v/>
      </c>
      <c r="H898" t="str">
        <f>IFERROR(__xludf.DUMMYFUNCTION("""COMPUTED_VALUE"""),"")</f>
        <v/>
      </c>
      <c r="I898" t="str">
        <f>IFERROR(__xludf.DUMMYFUNCTION("""COMPUTED_VALUE"""),"")</f>
        <v/>
      </c>
      <c r="J898">
        <f>IFERROR(__xludf.DUMMYFUNCTION("""COMPUTED_VALUE"""),0.0)</f>
        <v>0</v>
      </c>
      <c r="L898" s="250" t="str">
        <f>IFERROR(__xludf.DUMMYFUNCTION("""COMPUTED_VALUE"""),"")</f>
        <v/>
      </c>
      <c r="M898" s="250" t="str">
        <f>IFERROR(__xludf.DUMMYFUNCTION("""COMPUTED_VALUE"""),"")</f>
        <v/>
      </c>
      <c r="N898" s="250" t="str">
        <f>IFERROR(__xludf.DUMMYFUNCTION("""COMPUTED_VALUE"""),"")</f>
        <v/>
      </c>
      <c r="O898" s="250" t="str">
        <f>IFERROR(__xludf.DUMMYFUNCTION("""COMPUTED_VALUE"""),"")</f>
        <v/>
      </c>
      <c r="P898" s="250" t="str">
        <f>IFERROR(__xludf.DUMMYFUNCTION("""COMPUTED_VALUE"""),"")</f>
        <v/>
      </c>
      <c r="Q898" s="250" t="str">
        <f>IFERROR(__xludf.DUMMYFUNCTION("""COMPUTED_VALUE"""),"")</f>
        <v/>
      </c>
      <c r="R898" s="250" t="str">
        <f>IFERROR(__xludf.DUMMYFUNCTION("""COMPUTED_VALUE"""),"")</f>
        <v/>
      </c>
      <c r="U898" s="250" t="str">
        <f>IFERROR(__xludf.DUMMYFUNCTION("""COMPUTED_VALUE"""),"#N/A")</f>
        <v>#N/A</v>
      </c>
      <c r="V898" s="250" t="str">
        <f>IFERROR(__xludf.DUMMYFUNCTION("""COMPUTED_VALUE"""),"#N/A")</f>
        <v>#N/A</v>
      </c>
      <c r="W898" s="250" t="str">
        <f>IFERROR(__xludf.DUMMYFUNCTION("""COMPUTED_VALUE"""),"#N/A")</f>
        <v>#N/A</v>
      </c>
      <c r="X898" t="b">
        <f t="shared" ref="X898:Z898" si="1772">ISBLANK(K898)</f>
        <v>1</v>
      </c>
      <c r="Y898" t="b">
        <f t="shared" si="1772"/>
        <v>0</v>
      </c>
      <c r="Z898" t="b">
        <f t="shared" si="1772"/>
        <v>0</v>
      </c>
      <c r="AA898">
        <f t="shared" ref="AA898:AC898" si="1773">IF(X898=FALSE,1,0)</f>
        <v>0</v>
      </c>
      <c r="AB898">
        <f t="shared" si="1773"/>
        <v>1</v>
      </c>
      <c r="AC898">
        <f t="shared" si="1773"/>
        <v>1</v>
      </c>
      <c r="AD898">
        <f t="shared" si="6"/>
        <v>2</v>
      </c>
      <c r="AE898">
        <f t="shared" si="7"/>
        <v>1</v>
      </c>
      <c r="AF898">
        <f>if(iferror(vlookup($A898,'Description Database'!$E$2:$H$951,3,0),0)=TRUE,1,0)</f>
        <v>0</v>
      </c>
      <c r="AG898">
        <f>if(iferror(vlookup($A898,'Description Database'!$E$2:$H$951,4,0),0)=TRUE,1,0)</f>
        <v>0</v>
      </c>
    </row>
    <row r="899">
      <c r="A899" t="str">
        <f>IFERROR(__xludf.DUMMYFUNCTION("""COMPUTED_VALUE"""),"Vivo U10 (3 GB/32 GB)")</f>
        <v>Vivo U10 (3 GB/32 GB)</v>
      </c>
      <c r="B899" t="str">
        <f>IFERROR(__xludf.DUMMYFUNCTION("""COMPUTED_VALUE"""),"")</f>
        <v/>
      </c>
      <c r="C899" t="str">
        <f>IFERROR(__xludf.DUMMYFUNCTION("""COMPUTED_VALUE"""),"")</f>
        <v/>
      </c>
      <c r="D899" t="str">
        <f>IFERROR(__xludf.DUMMYFUNCTION("""COMPUTED_VALUE"""),"")</f>
        <v/>
      </c>
      <c r="E899" t="str">
        <f>IFERROR(__xludf.DUMMYFUNCTION("""COMPUTED_VALUE"""),"")</f>
        <v/>
      </c>
      <c r="F899" t="str">
        <f>IFERROR(__xludf.DUMMYFUNCTION("""COMPUTED_VALUE"""),"")</f>
        <v/>
      </c>
      <c r="G899" t="str">
        <f>IFERROR(__xludf.DUMMYFUNCTION("""COMPUTED_VALUE"""),"")</f>
        <v/>
      </c>
      <c r="H899" t="str">
        <f>IFERROR(__xludf.DUMMYFUNCTION("""COMPUTED_VALUE"""),"")</f>
        <v/>
      </c>
      <c r="I899" t="str">
        <f>IFERROR(__xludf.DUMMYFUNCTION("""COMPUTED_VALUE"""),"")</f>
        <v/>
      </c>
      <c r="J899">
        <f>IFERROR(__xludf.DUMMYFUNCTION("""COMPUTED_VALUE"""),0.0)</f>
        <v>0</v>
      </c>
      <c r="L899" s="250" t="str">
        <f>IFERROR(__xludf.DUMMYFUNCTION("""COMPUTED_VALUE"""),"")</f>
        <v/>
      </c>
      <c r="M899" s="250" t="str">
        <f>IFERROR(__xludf.DUMMYFUNCTION("""COMPUTED_VALUE"""),"")</f>
        <v/>
      </c>
      <c r="N899" s="250" t="str">
        <f>IFERROR(__xludf.DUMMYFUNCTION("""COMPUTED_VALUE"""),"")</f>
        <v/>
      </c>
      <c r="O899" s="250" t="str">
        <f>IFERROR(__xludf.DUMMYFUNCTION("""COMPUTED_VALUE"""),"")</f>
        <v/>
      </c>
      <c r="P899" s="250" t="str">
        <f>IFERROR(__xludf.DUMMYFUNCTION("""COMPUTED_VALUE"""),"")</f>
        <v/>
      </c>
      <c r="Q899" s="250" t="str">
        <f>IFERROR(__xludf.DUMMYFUNCTION("""COMPUTED_VALUE"""),"")</f>
        <v/>
      </c>
      <c r="R899" s="250" t="str">
        <f>IFERROR(__xludf.DUMMYFUNCTION("""COMPUTED_VALUE"""),"")</f>
        <v/>
      </c>
      <c r="U899" s="250">
        <f>IFERROR(__xludf.DUMMYFUNCTION("""COMPUTED_VALUE"""),7729.0)</f>
        <v>7729</v>
      </c>
      <c r="V899" s="250">
        <f>IFERROR(__xludf.DUMMYFUNCTION("""COMPUTED_VALUE"""),7349.0)</f>
        <v>7349</v>
      </c>
      <c r="W899" s="250">
        <f>IFERROR(__xludf.DUMMYFUNCTION("""COMPUTED_VALUE"""),6609.0)</f>
        <v>6609</v>
      </c>
      <c r="X899" t="b">
        <f t="shared" ref="X899:Z899" si="1774">ISBLANK(K899)</f>
        <v>1</v>
      </c>
      <c r="Y899" t="b">
        <f t="shared" si="1774"/>
        <v>0</v>
      </c>
      <c r="Z899" t="b">
        <f t="shared" si="1774"/>
        <v>0</v>
      </c>
      <c r="AA899">
        <f t="shared" ref="AA899:AC899" si="1775">IF(X899=FALSE,1,0)</f>
        <v>0</v>
      </c>
      <c r="AB899">
        <f t="shared" si="1775"/>
        <v>1</v>
      </c>
      <c r="AC899">
        <f t="shared" si="1775"/>
        <v>1</v>
      </c>
      <c r="AD899">
        <f t="shared" si="6"/>
        <v>2</v>
      </c>
      <c r="AE899">
        <f t="shared" si="7"/>
        <v>1</v>
      </c>
      <c r="AF899">
        <f>if(iferror(vlookup($A899,'Description Database'!$E$2:$H$951,3,0),0)=TRUE,1,0)</f>
        <v>0</v>
      </c>
      <c r="AG899">
        <f>if(iferror(vlookup($A899,'Description Database'!$E$2:$H$951,4,0),0)=TRUE,1,0)</f>
        <v>0</v>
      </c>
    </row>
    <row r="900">
      <c r="A900" t="str">
        <f>IFERROR(__xludf.DUMMYFUNCTION("""COMPUTED_VALUE"""),"Lenovo K8 Plus (4 GB/32 GB)")</f>
        <v>Lenovo K8 Plus (4 GB/32 GB)</v>
      </c>
      <c r="B900" t="str">
        <f>IFERROR(__xludf.DUMMYFUNCTION("""COMPUTED_VALUE"""),"")</f>
        <v/>
      </c>
      <c r="C900" t="str">
        <f>IFERROR(__xludf.DUMMYFUNCTION("""COMPUTED_VALUE"""),"")</f>
        <v/>
      </c>
      <c r="D900" t="str">
        <f>IFERROR(__xludf.DUMMYFUNCTION("""COMPUTED_VALUE"""),"")</f>
        <v/>
      </c>
      <c r="E900" t="str">
        <f>IFERROR(__xludf.DUMMYFUNCTION("""COMPUTED_VALUE"""),"")</f>
        <v/>
      </c>
      <c r="F900" t="str">
        <f>IFERROR(__xludf.DUMMYFUNCTION("""COMPUTED_VALUE"""),"")</f>
        <v/>
      </c>
      <c r="G900" t="str">
        <f>IFERROR(__xludf.DUMMYFUNCTION("""COMPUTED_VALUE"""),"")</f>
        <v/>
      </c>
      <c r="H900" t="str">
        <f>IFERROR(__xludf.DUMMYFUNCTION("""COMPUTED_VALUE"""),"")</f>
        <v/>
      </c>
      <c r="I900">
        <f>IFERROR(__xludf.DUMMYFUNCTION("""COMPUTED_VALUE"""),7.0)</f>
        <v>7</v>
      </c>
      <c r="J900">
        <f>IFERROR(__xludf.DUMMYFUNCTION("""COMPUTED_VALUE"""),7.0)</f>
        <v>7</v>
      </c>
      <c r="L900" s="250" t="str">
        <f>IFERROR(__xludf.DUMMYFUNCTION("""COMPUTED_VALUE"""),"")</f>
        <v/>
      </c>
      <c r="M900" s="250" t="str">
        <f>IFERROR(__xludf.DUMMYFUNCTION("""COMPUTED_VALUE"""),"")</f>
        <v/>
      </c>
      <c r="N900" s="250" t="str">
        <f>IFERROR(__xludf.DUMMYFUNCTION("""COMPUTED_VALUE"""),"")</f>
        <v/>
      </c>
      <c r="O900" s="250" t="str">
        <f>IFERROR(__xludf.DUMMYFUNCTION("""COMPUTED_VALUE"""),"")</f>
        <v/>
      </c>
      <c r="P900" s="250" t="str">
        <f>IFERROR(__xludf.DUMMYFUNCTION("""COMPUTED_VALUE"""),"")</f>
        <v/>
      </c>
      <c r="Q900" s="250" t="str">
        <f>IFERROR(__xludf.DUMMYFUNCTION("""COMPUTED_VALUE"""),"")</f>
        <v/>
      </c>
      <c r="R900" s="250" t="str">
        <f>IFERROR(__xludf.DUMMYFUNCTION("""COMPUTED_VALUE"""),"")</f>
        <v/>
      </c>
      <c r="U900" s="250">
        <f>IFERROR(__xludf.DUMMYFUNCTION("""COMPUTED_VALUE"""),3849.0)</f>
        <v>3849</v>
      </c>
      <c r="V900" s="250">
        <f>IFERROR(__xludf.DUMMYFUNCTION("""COMPUTED_VALUE"""),3669.0)</f>
        <v>3669</v>
      </c>
      <c r="W900" s="250">
        <f>IFERROR(__xludf.DUMMYFUNCTION("""COMPUTED_VALUE"""),3289.0)</f>
        <v>3289</v>
      </c>
      <c r="X900" t="b">
        <f t="shared" ref="X900:Z900" si="1776">ISBLANK(K900)</f>
        <v>1</v>
      </c>
      <c r="Y900" t="b">
        <f t="shared" si="1776"/>
        <v>0</v>
      </c>
      <c r="Z900" t="b">
        <f t="shared" si="1776"/>
        <v>0</v>
      </c>
      <c r="AA900">
        <f t="shared" ref="AA900:AC900" si="1777">IF(X900=FALSE,1,0)</f>
        <v>0</v>
      </c>
      <c r="AB900">
        <f t="shared" si="1777"/>
        <v>1</v>
      </c>
      <c r="AC900">
        <f t="shared" si="1777"/>
        <v>1</v>
      </c>
      <c r="AD900">
        <f t="shared" si="6"/>
        <v>2</v>
      </c>
      <c r="AE900">
        <f t="shared" si="7"/>
        <v>1</v>
      </c>
      <c r="AF900">
        <f>if(iferror(vlookup($A900,'Description Database'!$E$2:$H$951,3,0),0)=TRUE,1,0)</f>
        <v>0</v>
      </c>
      <c r="AG900">
        <f>if(iferror(vlookup($A900,'Description Database'!$E$2:$H$951,4,0),0)=TRUE,1,0)</f>
        <v>0</v>
      </c>
    </row>
    <row r="901">
      <c r="A901" t="str">
        <f>IFERROR(__xludf.DUMMYFUNCTION("""COMPUTED_VALUE"""),"Xiaomi Redmi Note 3 (2 GB/32 GB)")</f>
        <v>Xiaomi Redmi Note 3 (2 GB/32 GB)</v>
      </c>
      <c r="B901" t="str">
        <f>IFERROR(__xludf.DUMMYFUNCTION("""COMPUTED_VALUE"""),"")</f>
        <v/>
      </c>
      <c r="C901" t="str">
        <f>IFERROR(__xludf.DUMMYFUNCTION("""COMPUTED_VALUE"""),"")</f>
        <v/>
      </c>
      <c r="D901" t="str">
        <f>IFERROR(__xludf.DUMMYFUNCTION("""COMPUTED_VALUE"""),"")</f>
        <v/>
      </c>
      <c r="E901" t="str">
        <f>IFERROR(__xludf.DUMMYFUNCTION("""COMPUTED_VALUE"""),"")</f>
        <v/>
      </c>
      <c r="F901" t="str">
        <f>IFERROR(__xludf.DUMMYFUNCTION("""COMPUTED_VALUE"""),"")</f>
        <v/>
      </c>
      <c r="G901" t="str">
        <f>IFERROR(__xludf.DUMMYFUNCTION("""COMPUTED_VALUE"""),"")</f>
        <v/>
      </c>
      <c r="H901" t="str">
        <f>IFERROR(__xludf.DUMMYFUNCTION("""COMPUTED_VALUE"""),"")</f>
        <v/>
      </c>
      <c r="I901">
        <f>IFERROR(__xludf.DUMMYFUNCTION("""COMPUTED_VALUE"""),1.0)</f>
        <v>1</v>
      </c>
      <c r="J901">
        <f>IFERROR(__xludf.DUMMYFUNCTION("""COMPUTED_VALUE"""),1.0)</f>
        <v>1</v>
      </c>
      <c r="L901" s="250" t="str">
        <f>IFERROR(__xludf.DUMMYFUNCTION("""COMPUTED_VALUE"""),"")</f>
        <v/>
      </c>
      <c r="M901" s="250" t="str">
        <f>IFERROR(__xludf.DUMMYFUNCTION("""COMPUTED_VALUE"""),"")</f>
        <v/>
      </c>
      <c r="N901" s="250" t="str">
        <f>IFERROR(__xludf.DUMMYFUNCTION("""COMPUTED_VALUE"""),"")</f>
        <v/>
      </c>
      <c r="O901" s="250" t="str">
        <f>IFERROR(__xludf.DUMMYFUNCTION("""COMPUTED_VALUE"""),"")</f>
        <v/>
      </c>
      <c r="P901" s="250" t="str">
        <f>IFERROR(__xludf.DUMMYFUNCTION("""COMPUTED_VALUE"""),"")</f>
        <v/>
      </c>
      <c r="Q901" s="250" t="str">
        <f>IFERROR(__xludf.DUMMYFUNCTION("""COMPUTED_VALUE"""),"")</f>
        <v/>
      </c>
      <c r="R901" s="250" t="str">
        <f>IFERROR(__xludf.DUMMYFUNCTION("""COMPUTED_VALUE"""),"")</f>
        <v/>
      </c>
      <c r="U901" s="250" t="str">
        <f>IFERROR(__xludf.DUMMYFUNCTION("""COMPUTED_VALUE"""),"#N/A")</f>
        <v>#N/A</v>
      </c>
      <c r="V901" s="250" t="str">
        <f>IFERROR(__xludf.DUMMYFUNCTION("""COMPUTED_VALUE"""),"#N/A")</f>
        <v>#N/A</v>
      </c>
      <c r="W901" s="250" t="str">
        <f>IFERROR(__xludf.DUMMYFUNCTION("""COMPUTED_VALUE"""),"#N/A")</f>
        <v>#N/A</v>
      </c>
      <c r="X901" t="b">
        <f t="shared" ref="X901:Z901" si="1778">ISBLANK(K901)</f>
        <v>1</v>
      </c>
      <c r="Y901" t="b">
        <f t="shared" si="1778"/>
        <v>0</v>
      </c>
      <c r="Z901" t="b">
        <f t="shared" si="1778"/>
        <v>0</v>
      </c>
      <c r="AA901">
        <f t="shared" ref="AA901:AC901" si="1779">IF(X901=FALSE,1,0)</f>
        <v>0</v>
      </c>
      <c r="AB901">
        <f t="shared" si="1779"/>
        <v>1</v>
      </c>
      <c r="AC901">
        <f t="shared" si="1779"/>
        <v>1</v>
      </c>
      <c r="AD901">
        <f t="shared" si="6"/>
        <v>2</v>
      </c>
      <c r="AE901">
        <f t="shared" si="7"/>
        <v>1</v>
      </c>
      <c r="AF901">
        <f>if(iferror(vlookup($A901,'Description Database'!$E$2:$H$951,3,0),0)=TRUE,1,0)</f>
        <v>0</v>
      </c>
      <c r="AG901">
        <f>if(iferror(vlookup($A901,'Description Database'!$E$2:$H$951,4,0),0)=TRUE,1,0)</f>
        <v>0</v>
      </c>
    </row>
    <row r="902">
      <c r="A902" t="str">
        <f>IFERROR(__xludf.DUMMYFUNCTION("""COMPUTED_VALUE"""),"Vivo V1 (2 GB/16 GB)")</f>
        <v>Vivo V1 (2 GB/16 GB)</v>
      </c>
      <c r="B902" t="str">
        <f>IFERROR(__xludf.DUMMYFUNCTION("""COMPUTED_VALUE"""),"")</f>
        <v/>
      </c>
      <c r="C902" t="str">
        <f>IFERROR(__xludf.DUMMYFUNCTION("""COMPUTED_VALUE"""),"")</f>
        <v/>
      </c>
      <c r="D902" t="str">
        <f>IFERROR(__xludf.DUMMYFUNCTION("""COMPUTED_VALUE"""),"")</f>
        <v/>
      </c>
      <c r="E902" t="str">
        <f>IFERROR(__xludf.DUMMYFUNCTION("""COMPUTED_VALUE"""),"")</f>
        <v/>
      </c>
      <c r="F902" t="str">
        <f>IFERROR(__xludf.DUMMYFUNCTION("""COMPUTED_VALUE"""),"")</f>
        <v/>
      </c>
      <c r="G902" t="str">
        <f>IFERROR(__xludf.DUMMYFUNCTION("""COMPUTED_VALUE"""),"")</f>
        <v/>
      </c>
      <c r="H902" t="str">
        <f>IFERROR(__xludf.DUMMYFUNCTION("""COMPUTED_VALUE"""),"")</f>
        <v/>
      </c>
      <c r="I902">
        <f>IFERROR(__xludf.DUMMYFUNCTION("""COMPUTED_VALUE"""),2.0)</f>
        <v>2</v>
      </c>
      <c r="J902">
        <f>IFERROR(__xludf.DUMMYFUNCTION("""COMPUTED_VALUE"""),2.0)</f>
        <v>2</v>
      </c>
      <c r="L902" s="250" t="str">
        <f>IFERROR(__xludf.DUMMYFUNCTION("""COMPUTED_VALUE"""),"")</f>
        <v/>
      </c>
      <c r="M902" s="250" t="str">
        <f>IFERROR(__xludf.DUMMYFUNCTION("""COMPUTED_VALUE"""),"")</f>
        <v/>
      </c>
      <c r="N902" s="250" t="str">
        <f>IFERROR(__xludf.DUMMYFUNCTION("""COMPUTED_VALUE"""),"")</f>
        <v/>
      </c>
      <c r="O902" s="250" t="str">
        <f>IFERROR(__xludf.DUMMYFUNCTION("""COMPUTED_VALUE"""),"")</f>
        <v/>
      </c>
      <c r="P902" s="250" t="str">
        <f>IFERROR(__xludf.DUMMYFUNCTION("""COMPUTED_VALUE"""),"")</f>
        <v/>
      </c>
      <c r="Q902" s="250" t="str">
        <f>IFERROR(__xludf.DUMMYFUNCTION("""COMPUTED_VALUE"""),"")</f>
        <v/>
      </c>
      <c r="R902" s="250" t="str">
        <f>IFERROR(__xludf.DUMMYFUNCTION("""COMPUTED_VALUE"""),"")</f>
        <v/>
      </c>
      <c r="U902" s="250">
        <f>IFERROR(__xludf.DUMMYFUNCTION("""COMPUTED_VALUE"""),3089.0)</f>
        <v>3089</v>
      </c>
      <c r="V902" s="250">
        <f>IFERROR(__xludf.DUMMYFUNCTION("""COMPUTED_VALUE"""),2939.0)</f>
        <v>2939</v>
      </c>
      <c r="W902" s="250">
        <f>IFERROR(__xludf.DUMMYFUNCTION("""COMPUTED_VALUE"""),2649.0)</f>
        <v>2649</v>
      </c>
      <c r="X902" t="b">
        <f t="shared" ref="X902:Z902" si="1780">ISBLANK(K902)</f>
        <v>1</v>
      </c>
      <c r="Y902" t="b">
        <f t="shared" si="1780"/>
        <v>0</v>
      </c>
      <c r="Z902" t="b">
        <f t="shared" si="1780"/>
        <v>0</v>
      </c>
      <c r="AA902">
        <f t="shared" ref="AA902:AC902" si="1781">IF(X902=FALSE,1,0)</f>
        <v>0</v>
      </c>
      <c r="AB902">
        <f t="shared" si="1781"/>
        <v>1</v>
      </c>
      <c r="AC902">
        <f t="shared" si="1781"/>
        <v>1</v>
      </c>
      <c r="AD902">
        <f t="shared" si="6"/>
        <v>2</v>
      </c>
      <c r="AE902">
        <f t="shared" si="7"/>
        <v>1</v>
      </c>
      <c r="AF902">
        <f>if(iferror(vlookup($A902,'Description Database'!$E$2:$H$951,3,0),0)=TRUE,1,0)</f>
        <v>0</v>
      </c>
      <c r="AG902">
        <f>if(iferror(vlookup($A902,'Description Database'!$E$2:$H$951,4,0),0)=TRUE,1,0)</f>
        <v>0</v>
      </c>
    </row>
    <row r="903">
      <c r="A903" t="str">
        <f>IFERROR(__xludf.DUMMYFUNCTION("""COMPUTED_VALUE"""),"OPPO F15 (4 GB/128 GB)")</f>
        <v>OPPO F15 (4 GB/128 GB)</v>
      </c>
      <c r="B903" t="str">
        <f>IFERROR(__xludf.DUMMYFUNCTION("""COMPUTED_VALUE"""),"")</f>
        <v/>
      </c>
      <c r="C903" t="str">
        <f>IFERROR(__xludf.DUMMYFUNCTION("""COMPUTED_VALUE"""),"")</f>
        <v/>
      </c>
      <c r="D903" t="str">
        <f>IFERROR(__xludf.DUMMYFUNCTION("""COMPUTED_VALUE"""),"")</f>
        <v/>
      </c>
      <c r="E903" t="str">
        <f>IFERROR(__xludf.DUMMYFUNCTION("""COMPUTED_VALUE"""),"")</f>
        <v/>
      </c>
      <c r="F903" t="str">
        <f>IFERROR(__xludf.DUMMYFUNCTION("""COMPUTED_VALUE"""),"")</f>
        <v/>
      </c>
      <c r="G903" t="str">
        <f>IFERROR(__xludf.DUMMYFUNCTION("""COMPUTED_VALUE"""),"")</f>
        <v/>
      </c>
      <c r="H903" t="str">
        <f>IFERROR(__xludf.DUMMYFUNCTION("""COMPUTED_VALUE"""),"")</f>
        <v/>
      </c>
      <c r="I903">
        <f>IFERROR(__xludf.DUMMYFUNCTION("""COMPUTED_VALUE"""),1.0)</f>
        <v>1</v>
      </c>
      <c r="J903">
        <f>IFERROR(__xludf.DUMMYFUNCTION("""COMPUTED_VALUE"""),1.0)</f>
        <v>1</v>
      </c>
      <c r="L903" s="250" t="str">
        <f>IFERROR(__xludf.DUMMYFUNCTION("""COMPUTED_VALUE"""),"")</f>
        <v/>
      </c>
      <c r="M903" s="250" t="str">
        <f>IFERROR(__xludf.DUMMYFUNCTION("""COMPUTED_VALUE"""),"")</f>
        <v/>
      </c>
      <c r="N903" s="250" t="str">
        <f>IFERROR(__xludf.DUMMYFUNCTION("""COMPUTED_VALUE"""),"")</f>
        <v/>
      </c>
      <c r="O903" s="250" t="str">
        <f>IFERROR(__xludf.DUMMYFUNCTION("""COMPUTED_VALUE"""),"")</f>
        <v/>
      </c>
      <c r="P903" s="250" t="str">
        <f>IFERROR(__xludf.DUMMYFUNCTION("""COMPUTED_VALUE"""),"")</f>
        <v/>
      </c>
      <c r="Q903" s="250" t="str">
        <f>IFERROR(__xludf.DUMMYFUNCTION("""COMPUTED_VALUE"""),"")</f>
        <v/>
      </c>
      <c r="R903" s="250" t="str">
        <f>IFERROR(__xludf.DUMMYFUNCTION("""COMPUTED_VALUE"""),"")</f>
        <v/>
      </c>
      <c r="U903" s="250">
        <f>IFERROR(__xludf.DUMMYFUNCTION("""COMPUTED_VALUE"""),12129.0)</f>
        <v>12129</v>
      </c>
      <c r="V903" s="250">
        <f>IFERROR(__xludf.DUMMYFUNCTION("""COMPUTED_VALUE"""),11539.0)</f>
        <v>11539</v>
      </c>
      <c r="W903" s="250">
        <f>IFERROR(__xludf.DUMMYFUNCTION("""COMPUTED_VALUE"""),10389.0)</f>
        <v>10389</v>
      </c>
      <c r="X903" t="b">
        <f t="shared" ref="X903:Z903" si="1782">ISBLANK(K903)</f>
        <v>1</v>
      </c>
      <c r="Y903" t="b">
        <f t="shared" si="1782"/>
        <v>0</v>
      </c>
      <c r="Z903" t="b">
        <f t="shared" si="1782"/>
        <v>0</v>
      </c>
      <c r="AA903">
        <f t="shared" ref="AA903:AC903" si="1783">IF(X903=FALSE,1,0)</f>
        <v>0</v>
      </c>
      <c r="AB903">
        <f t="shared" si="1783"/>
        <v>1</v>
      </c>
      <c r="AC903">
        <f t="shared" si="1783"/>
        <v>1</v>
      </c>
      <c r="AD903">
        <f t="shared" si="6"/>
        <v>2</v>
      </c>
      <c r="AE903">
        <f t="shared" si="7"/>
        <v>1</v>
      </c>
      <c r="AF903">
        <f>if(iferror(vlookup($A903,'Description Database'!$E$2:$H$951,3,0),0)=TRUE,1,0)</f>
        <v>0</v>
      </c>
      <c r="AG903">
        <f>if(iferror(vlookup($A903,'Description Database'!$E$2:$H$951,4,0),0)=TRUE,1,0)</f>
        <v>0</v>
      </c>
    </row>
    <row r="904">
      <c r="A904" t="str">
        <f>IFERROR(__xludf.DUMMYFUNCTION("""COMPUTED_VALUE"""),"Vivo V5 Plus (4 GB/32 GB)")</f>
        <v>Vivo V5 Plus (4 GB/32 GB)</v>
      </c>
      <c r="B904" t="str">
        <f>IFERROR(__xludf.DUMMYFUNCTION("""COMPUTED_VALUE"""),"")</f>
        <v/>
      </c>
      <c r="C904" t="str">
        <f>IFERROR(__xludf.DUMMYFUNCTION("""COMPUTED_VALUE"""),"")</f>
        <v/>
      </c>
      <c r="D904" t="str">
        <f>IFERROR(__xludf.DUMMYFUNCTION("""COMPUTED_VALUE"""),"")</f>
        <v/>
      </c>
      <c r="E904" t="str">
        <f>IFERROR(__xludf.DUMMYFUNCTION("""COMPUTED_VALUE"""),"")</f>
        <v/>
      </c>
      <c r="F904" t="str">
        <f>IFERROR(__xludf.DUMMYFUNCTION("""COMPUTED_VALUE"""),"")</f>
        <v/>
      </c>
      <c r="G904" t="str">
        <f>IFERROR(__xludf.DUMMYFUNCTION("""COMPUTED_VALUE"""),"")</f>
        <v/>
      </c>
      <c r="H904" t="str">
        <f>IFERROR(__xludf.DUMMYFUNCTION("""COMPUTED_VALUE"""),"")</f>
        <v/>
      </c>
      <c r="I904" t="str">
        <f>IFERROR(__xludf.DUMMYFUNCTION("""COMPUTED_VALUE"""),"")</f>
        <v/>
      </c>
      <c r="J904">
        <f>IFERROR(__xludf.DUMMYFUNCTION("""COMPUTED_VALUE"""),0.0)</f>
        <v>0</v>
      </c>
      <c r="L904" s="250" t="str">
        <f>IFERROR(__xludf.DUMMYFUNCTION("""COMPUTED_VALUE"""),"")</f>
        <v/>
      </c>
      <c r="M904" s="250" t="str">
        <f>IFERROR(__xludf.DUMMYFUNCTION("""COMPUTED_VALUE"""),"")</f>
        <v/>
      </c>
      <c r="N904" s="250" t="str">
        <f>IFERROR(__xludf.DUMMYFUNCTION("""COMPUTED_VALUE"""),"")</f>
        <v/>
      </c>
      <c r="O904" s="250" t="str">
        <f>IFERROR(__xludf.DUMMYFUNCTION("""COMPUTED_VALUE"""),"")</f>
        <v/>
      </c>
      <c r="P904" s="250" t="str">
        <f>IFERROR(__xludf.DUMMYFUNCTION("""COMPUTED_VALUE"""),"")</f>
        <v/>
      </c>
      <c r="Q904" s="250" t="str">
        <f>IFERROR(__xludf.DUMMYFUNCTION("""COMPUTED_VALUE"""),"")</f>
        <v/>
      </c>
      <c r="R904" s="250" t="str">
        <f>IFERROR(__xludf.DUMMYFUNCTION("""COMPUTED_VALUE"""),"")</f>
        <v/>
      </c>
      <c r="U904" s="250">
        <f>IFERROR(__xludf.DUMMYFUNCTION("""COMPUTED_VALUE"""),5759.0)</f>
        <v>5759</v>
      </c>
      <c r="V904" s="250">
        <f>IFERROR(__xludf.DUMMYFUNCTION("""COMPUTED_VALUE"""),5479.0)</f>
        <v>5479</v>
      </c>
      <c r="W904" s="250">
        <f>IFERROR(__xludf.DUMMYFUNCTION("""COMPUTED_VALUE"""),4939.0)</f>
        <v>4939</v>
      </c>
      <c r="X904" t="b">
        <f t="shared" ref="X904:Z904" si="1784">ISBLANK(K904)</f>
        <v>1</v>
      </c>
      <c r="Y904" t="b">
        <f t="shared" si="1784"/>
        <v>0</v>
      </c>
      <c r="Z904" t="b">
        <f t="shared" si="1784"/>
        <v>0</v>
      </c>
      <c r="AA904">
        <f t="shared" ref="AA904:AC904" si="1785">IF(X904=FALSE,1,0)</f>
        <v>0</v>
      </c>
      <c r="AB904">
        <f t="shared" si="1785"/>
        <v>1</v>
      </c>
      <c r="AC904">
        <f t="shared" si="1785"/>
        <v>1</v>
      </c>
      <c r="AD904">
        <f t="shared" si="6"/>
        <v>2</v>
      </c>
      <c r="AE904">
        <f t="shared" si="7"/>
        <v>1</v>
      </c>
      <c r="AF904">
        <f>if(iferror(vlookup($A904,'Description Database'!$E$2:$H$951,3,0),0)=TRUE,1,0)</f>
        <v>0</v>
      </c>
      <c r="AG904">
        <f>if(iferror(vlookup($A904,'Description Database'!$E$2:$H$951,4,0),0)=TRUE,1,0)</f>
        <v>0</v>
      </c>
    </row>
    <row r="905">
      <c r="A905" t="str">
        <f>IFERROR(__xludf.DUMMYFUNCTION("""COMPUTED_VALUE"""),"Realme 5 Pro (8 GB/128 GB)")</f>
        <v>Realme 5 Pro (8 GB/128 GB)</v>
      </c>
      <c r="B905" t="str">
        <f>IFERROR(__xludf.DUMMYFUNCTION("""COMPUTED_VALUE"""),"")</f>
        <v/>
      </c>
      <c r="C905" t="str">
        <f>IFERROR(__xludf.DUMMYFUNCTION("""COMPUTED_VALUE"""),"")</f>
        <v/>
      </c>
      <c r="D905" t="str">
        <f>IFERROR(__xludf.DUMMYFUNCTION("""COMPUTED_VALUE"""),"")</f>
        <v/>
      </c>
      <c r="E905" t="str">
        <f>IFERROR(__xludf.DUMMYFUNCTION("""COMPUTED_VALUE"""),"")</f>
        <v/>
      </c>
      <c r="F905" t="str">
        <f>IFERROR(__xludf.DUMMYFUNCTION("""COMPUTED_VALUE"""),"")</f>
        <v/>
      </c>
      <c r="G905" t="str">
        <f>IFERROR(__xludf.DUMMYFUNCTION("""COMPUTED_VALUE"""),"")</f>
        <v/>
      </c>
      <c r="H905" t="str">
        <f>IFERROR(__xludf.DUMMYFUNCTION("""COMPUTED_VALUE"""),"")</f>
        <v/>
      </c>
      <c r="I905" t="str">
        <f>IFERROR(__xludf.DUMMYFUNCTION("""COMPUTED_VALUE"""),"")</f>
        <v/>
      </c>
      <c r="J905">
        <f>IFERROR(__xludf.DUMMYFUNCTION("""COMPUTED_VALUE"""),0.0)</f>
        <v>0</v>
      </c>
      <c r="L905" s="250" t="str">
        <f>IFERROR(__xludf.DUMMYFUNCTION("""COMPUTED_VALUE"""),"")</f>
        <v/>
      </c>
      <c r="M905" s="250" t="str">
        <f>IFERROR(__xludf.DUMMYFUNCTION("""COMPUTED_VALUE"""),"")</f>
        <v/>
      </c>
      <c r="N905" s="250" t="str">
        <f>IFERROR(__xludf.DUMMYFUNCTION("""COMPUTED_VALUE"""),"")</f>
        <v/>
      </c>
      <c r="O905" s="250" t="str">
        <f>IFERROR(__xludf.DUMMYFUNCTION("""COMPUTED_VALUE"""),"")</f>
        <v/>
      </c>
      <c r="P905" s="250" t="str">
        <f>IFERROR(__xludf.DUMMYFUNCTION("""COMPUTED_VALUE"""),"")</f>
        <v/>
      </c>
      <c r="Q905" s="250" t="str">
        <f>IFERROR(__xludf.DUMMYFUNCTION("""COMPUTED_VALUE"""),"")</f>
        <v/>
      </c>
      <c r="R905" s="250" t="str">
        <f>IFERROR(__xludf.DUMMYFUNCTION("""COMPUTED_VALUE"""),"")</f>
        <v/>
      </c>
      <c r="U905" s="250">
        <f>IFERROR(__xludf.DUMMYFUNCTION("""COMPUTED_VALUE"""),11299.0)</f>
        <v>11299</v>
      </c>
      <c r="V905" s="250">
        <f>IFERROR(__xludf.DUMMYFUNCTION("""COMPUTED_VALUE"""),10759.0)</f>
        <v>10759</v>
      </c>
      <c r="W905" s="250">
        <f>IFERROR(__xludf.DUMMYFUNCTION("""COMPUTED_VALUE"""),9679.0)</f>
        <v>9679</v>
      </c>
      <c r="X905" t="b">
        <f t="shared" ref="X905:Z905" si="1786">ISBLANK(K905)</f>
        <v>1</v>
      </c>
      <c r="Y905" t="b">
        <f t="shared" si="1786"/>
        <v>0</v>
      </c>
      <c r="Z905" t="b">
        <f t="shared" si="1786"/>
        <v>0</v>
      </c>
      <c r="AA905">
        <f t="shared" ref="AA905:AC905" si="1787">IF(X905=FALSE,1,0)</f>
        <v>0</v>
      </c>
      <c r="AB905">
        <f t="shared" si="1787"/>
        <v>1</v>
      </c>
      <c r="AC905">
        <f t="shared" si="1787"/>
        <v>1</v>
      </c>
      <c r="AD905">
        <f t="shared" si="6"/>
        <v>2</v>
      </c>
      <c r="AE905">
        <f t="shared" si="7"/>
        <v>1</v>
      </c>
      <c r="AF905">
        <f>if(iferror(vlookup($A905,'Description Database'!$E$2:$H$951,3,0),0)=TRUE,1,0)</f>
        <v>0</v>
      </c>
      <c r="AG905">
        <f>if(iferror(vlookup($A905,'Description Database'!$E$2:$H$951,4,0),0)=TRUE,1,0)</f>
        <v>0</v>
      </c>
    </row>
    <row r="906">
      <c r="A906" t="str">
        <f>IFERROR(__xludf.DUMMYFUNCTION("""COMPUTED_VALUE"""),"XIAOMI GALAXY A10S (4 GB/64 GB)")</f>
        <v>XIAOMI GALAXY A10S (4 GB/64 GB)</v>
      </c>
      <c r="B906" t="str">
        <f>IFERROR(__xludf.DUMMYFUNCTION("""COMPUTED_VALUE"""),"")</f>
        <v/>
      </c>
      <c r="C906" t="str">
        <f>IFERROR(__xludf.DUMMYFUNCTION("""COMPUTED_VALUE"""),"")</f>
        <v/>
      </c>
      <c r="D906" t="str">
        <f>IFERROR(__xludf.DUMMYFUNCTION("""COMPUTED_VALUE"""),"")</f>
        <v/>
      </c>
      <c r="E906" t="str">
        <f>IFERROR(__xludf.DUMMYFUNCTION("""COMPUTED_VALUE"""),"")</f>
        <v/>
      </c>
      <c r="F906" t="str">
        <f>IFERROR(__xludf.DUMMYFUNCTION("""COMPUTED_VALUE"""),"")</f>
        <v/>
      </c>
      <c r="G906" t="str">
        <f>IFERROR(__xludf.DUMMYFUNCTION("""COMPUTED_VALUE"""),"")</f>
        <v/>
      </c>
      <c r="H906" t="str">
        <f>IFERROR(__xludf.DUMMYFUNCTION("""COMPUTED_VALUE"""),"")</f>
        <v/>
      </c>
      <c r="I906" t="str">
        <f>IFERROR(__xludf.DUMMYFUNCTION("""COMPUTED_VALUE"""),"")</f>
        <v/>
      </c>
      <c r="J906">
        <f>IFERROR(__xludf.DUMMYFUNCTION("""COMPUTED_VALUE"""),0.0)</f>
        <v>0</v>
      </c>
      <c r="L906" s="250" t="str">
        <f>IFERROR(__xludf.DUMMYFUNCTION("""COMPUTED_VALUE"""),"")</f>
        <v/>
      </c>
      <c r="M906" s="250" t="str">
        <f>IFERROR(__xludf.DUMMYFUNCTION("""COMPUTED_VALUE"""),"")</f>
        <v/>
      </c>
      <c r="N906" s="250" t="str">
        <f>IFERROR(__xludf.DUMMYFUNCTION("""COMPUTED_VALUE"""),"")</f>
        <v/>
      </c>
      <c r="O906" s="250" t="str">
        <f>IFERROR(__xludf.DUMMYFUNCTION("""COMPUTED_VALUE"""),"")</f>
        <v/>
      </c>
      <c r="P906" s="250" t="str">
        <f>IFERROR(__xludf.DUMMYFUNCTION("""COMPUTED_VALUE"""),"")</f>
        <v/>
      </c>
      <c r="Q906" s="250" t="str">
        <f>IFERROR(__xludf.DUMMYFUNCTION("""COMPUTED_VALUE"""),"")</f>
        <v/>
      </c>
      <c r="R906" s="250" t="str">
        <f>IFERROR(__xludf.DUMMYFUNCTION("""COMPUTED_VALUE"""),"")</f>
        <v/>
      </c>
      <c r="U906" s="250" t="str">
        <f>IFERROR(__xludf.DUMMYFUNCTION("""COMPUTED_VALUE"""),"#N/A")</f>
        <v>#N/A</v>
      </c>
      <c r="V906" s="250" t="str">
        <f>IFERROR(__xludf.DUMMYFUNCTION("""COMPUTED_VALUE"""),"#N/A")</f>
        <v>#N/A</v>
      </c>
      <c r="W906" s="250" t="str">
        <f>IFERROR(__xludf.DUMMYFUNCTION("""COMPUTED_VALUE"""),"#N/A")</f>
        <v>#N/A</v>
      </c>
      <c r="X906" t="b">
        <f t="shared" ref="X906:Z906" si="1788">ISBLANK(K906)</f>
        <v>1</v>
      </c>
      <c r="Y906" t="b">
        <f t="shared" si="1788"/>
        <v>0</v>
      </c>
      <c r="Z906" t="b">
        <f t="shared" si="1788"/>
        <v>0</v>
      </c>
      <c r="AA906">
        <f t="shared" ref="AA906:AC906" si="1789">IF(X906=FALSE,1,0)</f>
        <v>0</v>
      </c>
      <c r="AB906">
        <f t="shared" si="1789"/>
        <v>1</v>
      </c>
      <c r="AC906">
        <f t="shared" si="1789"/>
        <v>1</v>
      </c>
      <c r="AD906">
        <f t="shared" si="6"/>
        <v>2</v>
      </c>
      <c r="AE906">
        <f t="shared" si="7"/>
        <v>1</v>
      </c>
      <c r="AF906">
        <f>if(iferror(vlookup($A906,'Description Database'!$E$2:$H$951,3,0),0)=TRUE,1,0)</f>
        <v>0</v>
      </c>
      <c r="AG906">
        <f>if(iferror(vlookup($A906,'Description Database'!$E$2:$H$951,4,0),0)=TRUE,1,0)</f>
        <v>0</v>
      </c>
    </row>
    <row r="907">
      <c r="A907" t="str">
        <f>IFERROR(__xludf.DUMMYFUNCTION("""COMPUTED_VALUE"""),"LG G7 Plus ThinQ (6 GB/128 GB)")</f>
        <v>LG G7 Plus ThinQ (6 GB/128 GB)</v>
      </c>
      <c r="B907" t="str">
        <f>IFERROR(__xludf.DUMMYFUNCTION("""COMPUTED_VALUE"""),"")</f>
        <v/>
      </c>
      <c r="C907" t="str">
        <f>IFERROR(__xludf.DUMMYFUNCTION("""COMPUTED_VALUE"""),"")</f>
        <v/>
      </c>
      <c r="D907" t="str">
        <f>IFERROR(__xludf.DUMMYFUNCTION("""COMPUTED_VALUE"""),"")</f>
        <v/>
      </c>
      <c r="E907" t="str">
        <f>IFERROR(__xludf.DUMMYFUNCTION("""COMPUTED_VALUE"""),"")</f>
        <v/>
      </c>
      <c r="F907" t="str">
        <f>IFERROR(__xludf.DUMMYFUNCTION("""COMPUTED_VALUE"""),"")</f>
        <v/>
      </c>
      <c r="G907" t="str">
        <f>IFERROR(__xludf.DUMMYFUNCTION("""COMPUTED_VALUE"""),"")</f>
        <v/>
      </c>
      <c r="H907" t="str">
        <f>IFERROR(__xludf.DUMMYFUNCTION("""COMPUTED_VALUE"""),"")</f>
        <v/>
      </c>
      <c r="I907" t="str">
        <f>IFERROR(__xludf.DUMMYFUNCTION("""COMPUTED_VALUE"""),"")</f>
        <v/>
      </c>
      <c r="J907">
        <f>IFERROR(__xludf.DUMMYFUNCTION("""COMPUTED_VALUE"""),0.0)</f>
        <v>0</v>
      </c>
      <c r="L907" s="250" t="str">
        <f>IFERROR(__xludf.DUMMYFUNCTION("""COMPUTED_VALUE"""),"")</f>
        <v/>
      </c>
      <c r="M907" s="250" t="str">
        <f>IFERROR(__xludf.DUMMYFUNCTION("""COMPUTED_VALUE"""),"")</f>
        <v/>
      </c>
      <c r="N907" s="250" t="str">
        <f>IFERROR(__xludf.DUMMYFUNCTION("""COMPUTED_VALUE"""),"")</f>
        <v/>
      </c>
      <c r="O907" s="250" t="str">
        <f>IFERROR(__xludf.DUMMYFUNCTION("""COMPUTED_VALUE"""),"")</f>
        <v/>
      </c>
      <c r="P907" s="250" t="str">
        <f>IFERROR(__xludf.DUMMYFUNCTION("""COMPUTED_VALUE"""),"")</f>
        <v/>
      </c>
      <c r="Q907" s="250" t="str">
        <f>IFERROR(__xludf.DUMMYFUNCTION("""COMPUTED_VALUE"""),"")</f>
        <v/>
      </c>
      <c r="R907" s="250" t="str">
        <f>IFERROR(__xludf.DUMMYFUNCTION("""COMPUTED_VALUE"""),"")</f>
        <v/>
      </c>
      <c r="U907" s="250">
        <f>IFERROR(__xludf.DUMMYFUNCTION("""COMPUTED_VALUE"""),9599.0)</f>
        <v>9599</v>
      </c>
      <c r="V907" s="250">
        <f>IFERROR(__xludf.DUMMYFUNCTION("""COMPUTED_VALUE"""),9129.0)</f>
        <v>9129</v>
      </c>
      <c r="W907" s="250">
        <f>IFERROR(__xludf.DUMMYFUNCTION("""COMPUTED_VALUE"""),8209.0)</f>
        <v>8209</v>
      </c>
      <c r="X907" t="b">
        <f t="shared" ref="X907:Z907" si="1790">ISBLANK(K907)</f>
        <v>1</v>
      </c>
      <c r="Y907" t="b">
        <f t="shared" si="1790"/>
        <v>0</v>
      </c>
      <c r="Z907" t="b">
        <f t="shared" si="1790"/>
        <v>0</v>
      </c>
      <c r="AA907">
        <f t="shared" ref="AA907:AC907" si="1791">IF(X907=FALSE,1,0)</f>
        <v>0</v>
      </c>
      <c r="AB907">
        <f t="shared" si="1791"/>
        <v>1</v>
      </c>
      <c r="AC907">
        <f t="shared" si="1791"/>
        <v>1</v>
      </c>
      <c r="AD907">
        <f t="shared" si="6"/>
        <v>2</v>
      </c>
      <c r="AE907">
        <f t="shared" si="7"/>
        <v>1</v>
      </c>
      <c r="AF907">
        <f>if(iferror(vlookup($A907,'Description Database'!$E$2:$H$951,3,0),0)=TRUE,1,0)</f>
        <v>0</v>
      </c>
      <c r="AG907">
        <f>if(iferror(vlookup($A907,'Description Database'!$E$2:$H$951,4,0),0)=TRUE,1,0)</f>
        <v>0</v>
      </c>
    </row>
    <row r="908">
      <c r="A908" t="str">
        <f>IFERROR(__xludf.DUMMYFUNCTION("""COMPUTED_VALUE"""),"Vivo Y91 (3 GB/32 GB)")</f>
        <v>Vivo Y91 (3 GB/32 GB)</v>
      </c>
      <c r="B908" t="str">
        <f>IFERROR(__xludf.DUMMYFUNCTION("""COMPUTED_VALUE"""),"")</f>
        <v/>
      </c>
      <c r="C908" t="str">
        <f>IFERROR(__xludf.DUMMYFUNCTION("""COMPUTED_VALUE"""),"")</f>
        <v/>
      </c>
      <c r="D908" t="str">
        <f>IFERROR(__xludf.DUMMYFUNCTION("""COMPUTED_VALUE"""),"")</f>
        <v/>
      </c>
      <c r="E908" t="str">
        <f>IFERROR(__xludf.DUMMYFUNCTION("""COMPUTED_VALUE"""),"")</f>
        <v/>
      </c>
      <c r="F908" t="str">
        <f>IFERROR(__xludf.DUMMYFUNCTION("""COMPUTED_VALUE"""),"")</f>
        <v/>
      </c>
      <c r="G908" t="str">
        <f>IFERROR(__xludf.DUMMYFUNCTION("""COMPUTED_VALUE"""),"")</f>
        <v/>
      </c>
      <c r="H908" t="str">
        <f>IFERROR(__xludf.DUMMYFUNCTION("""COMPUTED_VALUE"""),"")</f>
        <v/>
      </c>
      <c r="I908">
        <f>IFERROR(__xludf.DUMMYFUNCTION("""COMPUTED_VALUE"""),5.0)</f>
        <v>5</v>
      </c>
      <c r="J908">
        <f>IFERROR(__xludf.DUMMYFUNCTION("""COMPUTED_VALUE"""),5.0)</f>
        <v>5</v>
      </c>
      <c r="L908" s="250" t="str">
        <f>IFERROR(__xludf.DUMMYFUNCTION("""COMPUTED_VALUE"""),"")</f>
        <v/>
      </c>
      <c r="M908" s="250" t="str">
        <f>IFERROR(__xludf.DUMMYFUNCTION("""COMPUTED_VALUE"""),"")</f>
        <v/>
      </c>
      <c r="N908" s="250" t="str">
        <f>IFERROR(__xludf.DUMMYFUNCTION("""COMPUTED_VALUE"""),"")</f>
        <v/>
      </c>
      <c r="O908" s="250" t="str">
        <f>IFERROR(__xludf.DUMMYFUNCTION("""COMPUTED_VALUE"""),"")</f>
        <v/>
      </c>
      <c r="P908" s="250" t="str">
        <f>IFERROR(__xludf.DUMMYFUNCTION("""COMPUTED_VALUE"""),"")</f>
        <v/>
      </c>
      <c r="Q908" s="250" t="str">
        <f>IFERROR(__xludf.DUMMYFUNCTION("""COMPUTED_VALUE"""),"")</f>
        <v/>
      </c>
      <c r="R908" s="250" t="str">
        <f>IFERROR(__xludf.DUMMYFUNCTION("""COMPUTED_VALUE"""),"")</f>
        <v/>
      </c>
      <c r="U908" s="250">
        <f>IFERROR(__xludf.DUMMYFUNCTION("""COMPUTED_VALUE"""),7119.0)</f>
        <v>7119</v>
      </c>
      <c r="V908" s="250">
        <f>IFERROR(__xludf.DUMMYFUNCTION("""COMPUTED_VALUE"""),6779.0)</f>
        <v>6779</v>
      </c>
      <c r="W908" s="250">
        <f>IFERROR(__xludf.DUMMYFUNCTION("""COMPUTED_VALUE"""),6189.0)</f>
        <v>6189</v>
      </c>
      <c r="X908" t="b">
        <f t="shared" ref="X908:Z908" si="1792">ISBLANK(K908)</f>
        <v>1</v>
      </c>
      <c r="Y908" t="b">
        <f t="shared" si="1792"/>
        <v>0</v>
      </c>
      <c r="Z908" t="b">
        <f t="shared" si="1792"/>
        <v>0</v>
      </c>
      <c r="AA908">
        <f t="shared" ref="AA908:AC908" si="1793">IF(X908=FALSE,1,0)</f>
        <v>0</v>
      </c>
      <c r="AB908">
        <f t="shared" si="1793"/>
        <v>1</v>
      </c>
      <c r="AC908">
        <f t="shared" si="1793"/>
        <v>1</v>
      </c>
      <c r="AD908">
        <f t="shared" si="6"/>
        <v>2</v>
      </c>
      <c r="AE908">
        <f t="shared" si="7"/>
        <v>1</v>
      </c>
      <c r="AF908">
        <f>if(iferror(vlookup($A908,'Description Database'!$E$2:$H$951,3,0),0)=TRUE,1,0)</f>
        <v>0</v>
      </c>
      <c r="AG908">
        <f>if(iferror(vlookup($A908,'Description Database'!$E$2:$H$951,4,0),0)=TRUE,1,0)</f>
        <v>0</v>
      </c>
    </row>
    <row r="909">
      <c r="A909" t="str">
        <f>IFERROR(__xludf.DUMMYFUNCTION("""COMPUTED_VALUE"""),"Nokia 6.1+ (3 GB/32 GB)")</f>
        <v>Nokia 6.1+ (3 GB/32 GB)</v>
      </c>
      <c r="B909" t="str">
        <f>IFERROR(__xludf.DUMMYFUNCTION("""COMPUTED_VALUE"""),"")</f>
        <v/>
      </c>
      <c r="C909" t="str">
        <f>IFERROR(__xludf.DUMMYFUNCTION("""COMPUTED_VALUE"""),"")</f>
        <v/>
      </c>
      <c r="D909" t="str">
        <f>IFERROR(__xludf.DUMMYFUNCTION("""COMPUTED_VALUE"""),"")</f>
        <v/>
      </c>
      <c r="E909" t="str">
        <f>IFERROR(__xludf.DUMMYFUNCTION("""COMPUTED_VALUE"""),"")</f>
        <v/>
      </c>
      <c r="F909" t="str">
        <f>IFERROR(__xludf.DUMMYFUNCTION("""COMPUTED_VALUE"""),"")</f>
        <v/>
      </c>
      <c r="G909" t="str">
        <f>IFERROR(__xludf.DUMMYFUNCTION("""COMPUTED_VALUE"""),"")</f>
        <v/>
      </c>
      <c r="H909" t="str">
        <f>IFERROR(__xludf.DUMMYFUNCTION("""COMPUTED_VALUE"""),"")</f>
        <v/>
      </c>
      <c r="I909">
        <f>IFERROR(__xludf.DUMMYFUNCTION("""COMPUTED_VALUE"""),2.0)</f>
        <v>2</v>
      </c>
      <c r="J909">
        <f>IFERROR(__xludf.DUMMYFUNCTION("""COMPUTED_VALUE"""),2.0)</f>
        <v>2</v>
      </c>
      <c r="L909" s="250" t="str">
        <f>IFERROR(__xludf.DUMMYFUNCTION("""COMPUTED_VALUE"""),"")</f>
        <v/>
      </c>
      <c r="M909" s="250" t="str">
        <f>IFERROR(__xludf.DUMMYFUNCTION("""COMPUTED_VALUE"""),"")</f>
        <v/>
      </c>
      <c r="N909" s="250" t="str">
        <f>IFERROR(__xludf.DUMMYFUNCTION("""COMPUTED_VALUE"""),"")</f>
        <v/>
      </c>
      <c r="O909" s="250" t="str">
        <f>IFERROR(__xludf.DUMMYFUNCTION("""COMPUTED_VALUE"""),"")</f>
        <v/>
      </c>
      <c r="P909" s="250" t="str">
        <f>IFERROR(__xludf.DUMMYFUNCTION("""COMPUTED_VALUE"""),"")</f>
        <v/>
      </c>
      <c r="Q909" s="250" t="str">
        <f>IFERROR(__xludf.DUMMYFUNCTION("""COMPUTED_VALUE"""),"")</f>
        <v/>
      </c>
      <c r="R909" s="250" t="str">
        <f>IFERROR(__xludf.DUMMYFUNCTION("""COMPUTED_VALUE"""),"")</f>
        <v/>
      </c>
      <c r="U909" s="250" t="str">
        <f>IFERROR(__xludf.DUMMYFUNCTION("""COMPUTED_VALUE"""),"#N/A")</f>
        <v>#N/A</v>
      </c>
      <c r="V909" s="250" t="str">
        <f>IFERROR(__xludf.DUMMYFUNCTION("""COMPUTED_VALUE"""),"#N/A")</f>
        <v>#N/A</v>
      </c>
      <c r="W909" s="250" t="str">
        <f>IFERROR(__xludf.DUMMYFUNCTION("""COMPUTED_VALUE"""),"#N/A")</f>
        <v>#N/A</v>
      </c>
      <c r="X909" t="b">
        <f t="shared" ref="X909:Z909" si="1794">ISBLANK(K909)</f>
        <v>1</v>
      </c>
      <c r="Y909" t="b">
        <f t="shared" si="1794"/>
        <v>0</v>
      </c>
      <c r="Z909" t="b">
        <f t="shared" si="1794"/>
        <v>0</v>
      </c>
      <c r="AA909">
        <f t="shared" ref="AA909:AC909" si="1795">IF(X909=FALSE,1,0)</f>
        <v>0</v>
      </c>
      <c r="AB909">
        <f t="shared" si="1795"/>
        <v>1</v>
      </c>
      <c r="AC909">
        <f t="shared" si="1795"/>
        <v>1</v>
      </c>
      <c r="AD909">
        <f t="shared" si="6"/>
        <v>2</v>
      </c>
      <c r="AE909">
        <f t="shared" si="7"/>
        <v>1</v>
      </c>
      <c r="AF909">
        <f>if(iferror(vlookup($A909,'Description Database'!$E$2:$H$951,3,0),0)=TRUE,1,0)</f>
        <v>0</v>
      </c>
      <c r="AG909">
        <f>if(iferror(vlookup($A909,'Description Database'!$E$2:$H$951,4,0),0)=TRUE,1,0)</f>
        <v>0</v>
      </c>
    </row>
    <row r="910">
      <c r="A910" t="str">
        <f>IFERROR(__xludf.DUMMYFUNCTION("""COMPUTED_VALUE"""),"Samsung Galaxy A10s (3 GB/32 GB)")</f>
        <v>Samsung Galaxy A10s (3 GB/32 GB)</v>
      </c>
      <c r="B910" t="str">
        <f>IFERROR(__xludf.DUMMYFUNCTION("""COMPUTED_VALUE"""),"")</f>
        <v/>
      </c>
      <c r="C910" t="str">
        <f>IFERROR(__xludf.DUMMYFUNCTION("""COMPUTED_VALUE"""),"")</f>
        <v/>
      </c>
      <c r="D910" t="str">
        <f>IFERROR(__xludf.DUMMYFUNCTION("""COMPUTED_VALUE"""),"")</f>
        <v/>
      </c>
      <c r="E910" t="str">
        <f>IFERROR(__xludf.DUMMYFUNCTION("""COMPUTED_VALUE"""),"")</f>
        <v/>
      </c>
      <c r="F910" t="str">
        <f>IFERROR(__xludf.DUMMYFUNCTION("""COMPUTED_VALUE"""),"")</f>
        <v/>
      </c>
      <c r="G910" t="str">
        <f>IFERROR(__xludf.DUMMYFUNCTION("""COMPUTED_VALUE"""),"")</f>
        <v/>
      </c>
      <c r="H910" t="str">
        <f>IFERROR(__xludf.DUMMYFUNCTION("""COMPUTED_VALUE"""),"")</f>
        <v/>
      </c>
      <c r="I910">
        <f>IFERROR(__xludf.DUMMYFUNCTION("""COMPUTED_VALUE"""),1.0)</f>
        <v>1</v>
      </c>
      <c r="J910">
        <f>IFERROR(__xludf.DUMMYFUNCTION("""COMPUTED_VALUE"""),1.0)</f>
        <v>1</v>
      </c>
      <c r="L910" s="250" t="str">
        <f>IFERROR(__xludf.DUMMYFUNCTION("""COMPUTED_VALUE"""),"")</f>
        <v/>
      </c>
      <c r="M910" s="250" t="str">
        <f>IFERROR(__xludf.DUMMYFUNCTION("""COMPUTED_VALUE"""),"")</f>
        <v/>
      </c>
      <c r="N910" s="250" t="str">
        <f>IFERROR(__xludf.DUMMYFUNCTION("""COMPUTED_VALUE"""),"")</f>
        <v/>
      </c>
      <c r="O910" s="250" t="str">
        <f>IFERROR(__xludf.DUMMYFUNCTION("""COMPUTED_VALUE"""),"")</f>
        <v/>
      </c>
      <c r="P910" s="250" t="str">
        <f>IFERROR(__xludf.DUMMYFUNCTION("""COMPUTED_VALUE"""),"")</f>
        <v/>
      </c>
      <c r="Q910" s="250" t="str">
        <f>IFERROR(__xludf.DUMMYFUNCTION("""COMPUTED_VALUE"""),"")</f>
        <v/>
      </c>
      <c r="R910" s="250" t="str">
        <f>IFERROR(__xludf.DUMMYFUNCTION("""COMPUTED_VALUE"""),"")</f>
        <v/>
      </c>
      <c r="U910" s="250">
        <f>IFERROR(__xludf.DUMMYFUNCTION("""COMPUTED_VALUE"""),6759.0)</f>
        <v>6759</v>
      </c>
      <c r="V910" s="250">
        <f>IFERROR(__xludf.DUMMYFUNCTION("""COMPUTED_VALUE"""),6429.0)</f>
        <v>6429</v>
      </c>
      <c r="W910" s="250">
        <f>IFERROR(__xludf.DUMMYFUNCTION("""COMPUTED_VALUE"""),5789.0)</f>
        <v>5789</v>
      </c>
      <c r="X910" t="b">
        <f t="shared" ref="X910:Z910" si="1796">ISBLANK(K910)</f>
        <v>1</v>
      </c>
      <c r="Y910" t="b">
        <f t="shared" si="1796"/>
        <v>0</v>
      </c>
      <c r="Z910" t="b">
        <f t="shared" si="1796"/>
        <v>0</v>
      </c>
      <c r="AA910">
        <f t="shared" ref="AA910:AC910" si="1797">IF(X910=FALSE,1,0)</f>
        <v>0</v>
      </c>
      <c r="AB910">
        <f t="shared" si="1797"/>
        <v>1</v>
      </c>
      <c r="AC910">
        <f t="shared" si="1797"/>
        <v>1</v>
      </c>
      <c r="AD910">
        <f t="shared" si="6"/>
        <v>2</v>
      </c>
      <c r="AE910">
        <f t="shared" si="7"/>
        <v>1</v>
      </c>
      <c r="AF910">
        <f>if(iferror(vlookup($A910,'Description Database'!$E$2:$H$951,3,0),0)=TRUE,1,0)</f>
        <v>0</v>
      </c>
      <c r="AG910">
        <f>if(iferror(vlookup($A910,'Description Database'!$E$2:$H$951,4,0),0)=TRUE,1,0)</f>
        <v>0</v>
      </c>
    </row>
    <row r="911">
      <c r="A911" t="str">
        <f>IFERROR(__xludf.DUMMYFUNCTION("""COMPUTED_VALUE"""),"ASUS MAX M2 (4 GB/64 GB)")</f>
        <v>ASUS MAX M2 (4 GB/64 GB)</v>
      </c>
      <c r="B911" t="str">
        <f>IFERROR(__xludf.DUMMYFUNCTION("""COMPUTED_VALUE"""),"")</f>
        <v/>
      </c>
      <c r="C911" t="str">
        <f>IFERROR(__xludf.DUMMYFUNCTION("""COMPUTED_VALUE"""),"")</f>
        <v/>
      </c>
      <c r="D911" t="str">
        <f>IFERROR(__xludf.DUMMYFUNCTION("""COMPUTED_VALUE"""),"")</f>
        <v/>
      </c>
      <c r="E911" t="str">
        <f>IFERROR(__xludf.DUMMYFUNCTION("""COMPUTED_VALUE"""),"")</f>
        <v/>
      </c>
      <c r="F911" t="str">
        <f>IFERROR(__xludf.DUMMYFUNCTION("""COMPUTED_VALUE"""),"")</f>
        <v/>
      </c>
      <c r="G911" t="str">
        <f>IFERROR(__xludf.DUMMYFUNCTION("""COMPUTED_VALUE"""),"")</f>
        <v/>
      </c>
      <c r="H911" t="str">
        <f>IFERROR(__xludf.DUMMYFUNCTION("""COMPUTED_VALUE"""),"")</f>
        <v/>
      </c>
      <c r="I911">
        <f>IFERROR(__xludf.DUMMYFUNCTION("""COMPUTED_VALUE"""),1.0)</f>
        <v>1</v>
      </c>
      <c r="J911">
        <f>IFERROR(__xludf.DUMMYFUNCTION("""COMPUTED_VALUE"""),1.0)</f>
        <v>1</v>
      </c>
      <c r="L911" s="250" t="str">
        <f>IFERROR(__xludf.DUMMYFUNCTION("""COMPUTED_VALUE"""),"")</f>
        <v/>
      </c>
      <c r="M911" s="250" t="str">
        <f>IFERROR(__xludf.DUMMYFUNCTION("""COMPUTED_VALUE"""),"")</f>
        <v/>
      </c>
      <c r="N911" s="250" t="str">
        <f>IFERROR(__xludf.DUMMYFUNCTION("""COMPUTED_VALUE"""),"")</f>
        <v/>
      </c>
      <c r="O911" s="250" t="str">
        <f>IFERROR(__xludf.DUMMYFUNCTION("""COMPUTED_VALUE"""),"")</f>
        <v/>
      </c>
      <c r="P911" s="250" t="str">
        <f>IFERROR(__xludf.DUMMYFUNCTION("""COMPUTED_VALUE"""),"")</f>
        <v/>
      </c>
      <c r="Q911" s="250" t="str">
        <f>IFERROR(__xludf.DUMMYFUNCTION("""COMPUTED_VALUE"""),"")</f>
        <v/>
      </c>
      <c r="R911" s="250" t="str">
        <f>IFERROR(__xludf.DUMMYFUNCTION("""COMPUTED_VALUE"""),"")</f>
        <v/>
      </c>
      <c r="U911" s="250" t="str">
        <f>IFERROR(__xludf.DUMMYFUNCTION("""COMPUTED_VALUE"""),"#N/A")</f>
        <v>#N/A</v>
      </c>
      <c r="V911" s="250" t="str">
        <f>IFERROR(__xludf.DUMMYFUNCTION("""COMPUTED_VALUE"""),"#N/A")</f>
        <v>#N/A</v>
      </c>
      <c r="W911" s="250" t="str">
        <f>IFERROR(__xludf.DUMMYFUNCTION("""COMPUTED_VALUE"""),"#N/A")</f>
        <v>#N/A</v>
      </c>
      <c r="X911" t="b">
        <f t="shared" ref="X911:Z911" si="1798">ISBLANK(K911)</f>
        <v>1</v>
      </c>
      <c r="Y911" t="b">
        <f t="shared" si="1798"/>
        <v>0</v>
      </c>
      <c r="Z911" t="b">
        <f t="shared" si="1798"/>
        <v>0</v>
      </c>
      <c r="AA911">
        <f t="shared" ref="AA911:AC911" si="1799">IF(X911=FALSE,1,0)</f>
        <v>0</v>
      </c>
      <c r="AB911">
        <f t="shared" si="1799"/>
        <v>1</v>
      </c>
      <c r="AC911">
        <f t="shared" si="1799"/>
        <v>1</v>
      </c>
      <c r="AD911">
        <f t="shared" si="6"/>
        <v>2</v>
      </c>
      <c r="AE911">
        <f t="shared" si="7"/>
        <v>1</v>
      </c>
      <c r="AF911">
        <f>if(iferror(vlookup($A911,'Description Database'!$E$2:$H$951,3,0),0)=TRUE,1,0)</f>
        <v>0</v>
      </c>
      <c r="AG911">
        <f>if(iferror(vlookup($A911,'Description Database'!$E$2:$H$951,4,0),0)=TRUE,1,0)</f>
        <v>0</v>
      </c>
    </row>
    <row r="912">
      <c r="A912" t="str">
        <f>IFERROR(__xludf.DUMMYFUNCTION("""COMPUTED_VALUE"""),"Oppo R17 (8 GB/128 GB)")</f>
        <v>Oppo R17 (8 GB/128 GB)</v>
      </c>
      <c r="B912" t="str">
        <f>IFERROR(__xludf.DUMMYFUNCTION("""COMPUTED_VALUE"""),"")</f>
        <v/>
      </c>
      <c r="C912" t="str">
        <f>IFERROR(__xludf.DUMMYFUNCTION("""COMPUTED_VALUE"""),"")</f>
        <v/>
      </c>
      <c r="D912" t="str">
        <f>IFERROR(__xludf.DUMMYFUNCTION("""COMPUTED_VALUE"""),"")</f>
        <v/>
      </c>
      <c r="E912" t="str">
        <f>IFERROR(__xludf.DUMMYFUNCTION("""COMPUTED_VALUE"""),"")</f>
        <v/>
      </c>
      <c r="F912" t="str">
        <f>IFERROR(__xludf.DUMMYFUNCTION("""COMPUTED_VALUE"""),"")</f>
        <v/>
      </c>
      <c r="G912" t="str">
        <f>IFERROR(__xludf.DUMMYFUNCTION("""COMPUTED_VALUE"""),"")</f>
        <v/>
      </c>
      <c r="H912" t="str">
        <f>IFERROR(__xludf.DUMMYFUNCTION("""COMPUTED_VALUE"""),"")</f>
        <v/>
      </c>
      <c r="I912" t="str">
        <f>IFERROR(__xludf.DUMMYFUNCTION("""COMPUTED_VALUE"""),"")</f>
        <v/>
      </c>
      <c r="J912">
        <f>IFERROR(__xludf.DUMMYFUNCTION("""COMPUTED_VALUE"""),0.0)</f>
        <v>0</v>
      </c>
      <c r="L912" s="250" t="str">
        <f>IFERROR(__xludf.DUMMYFUNCTION("""COMPUTED_VALUE"""),"")</f>
        <v/>
      </c>
      <c r="M912" s="250" t="str">
        <f>IFERROR(__xludf.DUMMYFUNCTION("""COMPUTED_VALUE"""),"")</f>
        <v/>
      </c>
      <c r="N912" s="250" t="str">
        <f>IFERROR(__xludf.DUMMYFUNCTION("""COMPUTED_VALUE"""),"")</f>
        <v/>
      </c>
      <c r="O912" s="250" t="str">
        <f>IFERROR(__xludf.DUMMYFUNCTION("""COMPUTED_VALUE"""),"")</f>
        <v/>
      </c>
      <c r="P912" s="250" t="str">
        <f>IFERROR(__xludf.DUMMYFUNCTION("""COMPUTED_VALUE"""),"")</f>
        <v/>
      </c>
      <c r="Q912" s="250" t="str">
        <f>IFERROR(__xludf.DUMMYFUNCTION("""COMPUTED_VALUE"""),"")</f>
        <v/>
      </c>
      <c r="R912" s="250" t="str">
        <f>IFERROR(__xludf.DUMMYFUNCTION("""COMPUTED_VALUE"""),"")</f>
        <v/>
      </c>
      <c r="U912" s="250">
        <f>IFERROR(__xludf.DUMMYFUNCTION("""COMPUTED_VALUE"""),12719.0)</f>
        <v>12719</v>
      </c>
      <c r="V912" s="250">
        <f>IFERROR(__xludf.DUMMYFUNCTION("""COMPUTED_VALUE"""),12109.0)</f>
        <v>12109</v>
      </c>
      <c r="W912" s="250">
        <f>IFERROR(__xludf.DUMMYFUNCTION("""COMPUTED_VALUE"""),10919.0)</f>
        <v>10919</v>
      </c>
      <c r="X912" t="b">
        <f t="shared" ref="X912:Z912" si="1800">ISBLANK(K912)</f>
        <v>1</v>
      </c>
      <c r="Y912" t="b">
        <f t="shared" si="1800"/>
        <v>0</v>
      </c>
      <c r="Z912" t="b">
        <f t="shared" si="1800"/>
        <v>0</v>
      </c>
      <c r="AA912">
        <f t="shared" ref="AA912:AC912" si="1801">IF(X912=FALSE,1,0)</f>
        <v>0</v>
      </c>
      <c r="AB912">
        <f t="shared" si="1801"/>
        <v>1</v>
      </c>
      <c r="AC912">
        <f t="shared" si="1801"/>
        <v>1</v>
      </c>
      <c r="AD912">
        <f t="shared" si="6"/>
        <v>2</v>
      </c>
      <c r="AE912">
        <f t="shared" si="7"/>
        <v>1</v>
      </c>
      <c r="AF912">
        <f>if(iferror(vlookup($A912,'Description Database'!$E$2:$H$951,3,0),0)=TRUE,1,0)</f>
        <v>0</v>
      </c>
      <c r="AG912">
        <f>if(iferror(vlookup($A912,'Description Database'!$E$2:$H$951,4,0),0)=TRUE,1,0)</f>
        <v>0</v>
      </c>
    </row>
    <row r="913">
      <c r="A913" t="str">
        <f>IFERROR(__xludf.DUMMYFUNCTION("""COMPUTED_VALUE"""),"Vivo Y20i (3 GB/64 GB)")</f>
        <v>Vivo Y20i (3 GB/64 GB)</v>
      </c>
      <c r="B913" t="str">
        <f>IFERROR(__xludf.DUMMYFUNCTION("""COMPUTED_VALUE"""),"")</f>
        <v/>
      </c>
      <c r="C913" t="str">
        <f>IFERROR(__xludf.DUMMYFUNCTION("""COMPUTED_VALUE"""),"")</f>
        <v/>
      </c>
      <c r="D913" t="str">
        <f>IFERROR(__xludf.DUMMYFUNCTION("""COMPUTED_VALUE"""),"")</f>
        <v/>
      </c>
      <c r="E913" t="str">
        <f>IFERROR(__xludf.DUMMYFUNCTION("""COMPUTED_VALUE"""),"")</f>
        <v/>
      </c>
      <c r="F913" t="str">
        <f>IFERROR(__xludf.DUMMYFUNCTION("""COMPUTED_VALUE"""),"")</f>
        <v/>
      </c>
      <c r="G913" t="str">
        <f>IFERROR(__xludf.DUMMYFUNCTION("""COMPUTED_VALUE"""),"")</f>
        <v/>
      </c>
      <c r="H913" t="str">
        <f>IFERROR(__xludf.DUMMYFUNCTION("""COMPUTED_VALUE"""),"")</f>
        <v/>
      </c>
      <c r="I913" t="str">
        <f>IFERROR(__xludf.DUMMYFUNCTION("""COMPUTED_VALUE"""),"")</f>
        <v/>
      </c>
      <c r="J913">
        <f>IFERROR(__xludf.DUMMYFUNCTION("""COMPUTED_VALUE"""),0.0)</f>
        <v>0</v>
      </c>
      <c r="L913" s="250" t="str">
        <f>IFERROR(__xludf.DUMMYFUNCTION("""COMPUTED_VALUE"""),"")</f>
        <v/>
      </c>
      <c r="M913" s="250" t="str">
        <f>IFERROR(__xludf.DUMMYFUNCTION("""COMPUTED_VALUE"""),"")</f>
        <v/>
      </c>
      <c r="N913" s="250" t="str">
        <f>IFERROR(__xludf.DUMMYFUNCTION("""COMPUTED_VALUE"""),"")</f>
        <v/>
      </c>
      <c r="O913" s="250" t="str">
        <f>IFERROR(__xludf.DUMMYFUNCTION("""COMPUTED_VALUE"""),"")</f>
        <v/>
      </c>
      <c r="P913" s="250" t="str">
        <f>IFERROR(__xludf.DUMMYFUNCTION("""COMPUTED_VALUE"""),"")</f>
        <v/>
      </c>
      <c r="Q913" s="250" t="str">
        <f>IFERROR(__xludf.DUMMYFUNCTION("""COMPUTED_VALUE"""),"")</f>
        <v/>
      </c>
      <c r="R913" s="250" t="str">
        <f>IFERROR(__xludf.DUMMYFUNCTION("""COMPUTED_VALUE"""),"")</f>
        <v/>
      </c>
      <c r="U913" s="250">
        <f>IFERROR(__xludf.DUMMYFUNCTION("""COMPUTED_VALUE"""),9119.0)</f>
        <v>9119</v>
      </c>
      <c r="V913" s="250">
        <f>IFERROR(__xludf.DUMMYFUNCTION("""COMPUTED_VALUE"""),8679.0)</f>
        <v>8679</v>
      </c>
      <c r="W913" s="250">
        <f>IFERROR(__xludf.DUMMYFUNCTION("""COMPUTED_VALUE"""),7819.0)</f>
        <v>7819</v>
      </c>
      <c r="X913" t="b">
        <f t="shared" ref="X913:Z913" si="1802">ISBLANK(K913)</f>
        <v>1</v>
      </c>
      <c r="Y913" t="b">
        <f t="shared" si="1802"/>
        <v>0</v>
      </c>
      <c r="Z913" t="b">
        <f t="shared" si="1802"/>
        <v>0</v>
      </c>
      <c r="AA913">
        <f t="shared" ref="AA913:AC913" si="1803">IF(X913=FALSE,1,0)</f>
        <v>0</v>
      </c>
      <c r="AB913">
        <f t="shared" si="1803"/>
        <v>1</v>
      </c>
      <c r="AC913">
        <f t="shared" si="1803"/>
        <v>1</v>
      </c>
      <c r="AD913">
        <f t="shared" si="6"/>
        <v>2</v>
      </c>
      <c r="AE913">
        <f t="shared" si="7"/>
        <v>1</v>
      </c>
      <c r="AF913">
        <f>if(iferror(vlookup($A913,'Description Database'!$E$2:$H$951,3,0),0)=TRUE,1,0)</f>
        <v>0</v>
      </c>
      <c r="AG913">
        <f>if(iferror(vlookup($A913,'Description Database'!$E$2:$H$951,4,0),0)=TRUE,1,0)</f>
        <v>0</v>
      </c>
    </row>
    <row r="914">
      <c r="A914" t="str">
        <f>IFERROR(__xludf.DUMMYFUNCTION("""COMPUTED_VALUE"""),"Samsung GALAXY J4+ (3 GB/32 GB)")</f>
        <v>Samsung GALAXY J4+ (3 GB/32 GB)</v>
      </c>
      <c r="B914" t="str">
        <f>IFERROR(__xludf.DUMMYFUNCTION("""COMPUTED_VALUE"""),"")</f>
        <v/>
      </c>
      <c r="C914" t="str">
        <f>IFERROR(__xludf.DUMMYFUNCTION("""COMPUTED_VALUE"""),"")</f>
        <v/>
      </c>
      <c r="D914" t="str">
        <f>IFERROR(__xludf.DUMMYFUNCTION("""COMPUTED_VALUE"""),"")</f>
        <v/>
      </c>
      <c r="E914" t="str">
        <f>IFERROR(__xludf.DUMMYFUNCTION("""COMPUTED_VALUE"""),"")</f>
        <v/>
      </c>
      <c r="F914" t="str">
        <f>IFERROR(__xludf.DUMMYFUNCTION("""COMPUTED_VALUE"""),"")</f>
        <v/>
      </c>
      <c r="G914" t="str">
        <f>IFERROR(__xludf.DUMMYFUNCTION("""COMPUTED_VALUE"""),"")</f>
        <v/>
      </c>
      <c r="H914" t="str">
        <f>IFERROR(__xludf.DUMMYFUNCTION("""COMPUTED_VALUE"""),"")</f>
        <v/>
      </c>
      <c r="I914" t="str">
        <f>IFERROR(__xludf.DUMMYFUNCTION("""COMPUTED_VALUE"""),"")</f>
        <v/>
      </c>
      <c r="J914">
        <f>IFERROR(__xludf.DUMMYFUNCTION("""COMPUTED_VALUE"""),0.0)</f>
        <v>0</v>
      </c>
      <c r="L914" s="250" t="str">
        <f>IFERROR(__xludf.DUMMYFUNCTION("""COMPUTED_VALUE"""),"")</f>
        <v/>
      </c>
      <c r="M914" s="250" t="str">
        <f>IFERROR(__xludf.DUMMYFUNCTION("""COMPUTED_VALUE"""),"")</f>
        <v/>
      </c>
      <c r="N914" s="250" t="str">
        <f>IFERROR(__xludf.DUMMYFUNCTION("""COMPUTED_VALUE"""),"")</f>
        <v/>
      </c>
      <c r="O914" s="250" t="str">
        <f>IFERROR(__xludf.DUMMYFUNCTION("""COMPUTED_VALUE"""),"")</f>
        <v/>
      </c>
      <c r="P914" s="250" t="str">
        <f>IFERROR(__xludf.DUMMYFUNCTION("""COMPUTED_VALUE"""),"")</f>
        <v/>
      </c>
      <c r="Q914" s="250" t="str">
        <f>IFERROR(__xludf.DUMMYFUNCTION("""COMPUTED_VALUE"""),"")</f>
        <v/>
      </c>
      <c r="R914" s="250" t="str">
        <f>IFERROR(__xludf.DUMMYFUNCTION("""COMPUTED_VALUE"""),"")</f>
        <v/>
      </c>
      <c r="U914" s="250" t="str">
        <f>IFERROR(__xludf.DUMMYFUNCTION("""COMPUTED_VALUE"""),"#N/A")</f>
        <v>#N/A</v>
      </c>
      <c r="V914" s="250" t="str">
        <f>IFERROR(__xludf.DUMMYFUNCTION("""COMPUTED_VALUE"""),"#N/A")</f>
        <v>#N/A</v>
      </c>
      <c r="W914" s="250" t="str">
        <f>IFERROR(__xludf.DUMMYFUNCTION("""COMPUTED_VALUE"""),"#N/A")</f>
        <v>#N/A</v>
      </c>
      <c r="X914" t="b">
        <f t="shared" ref="X914:Z914" si="1804">ISBLANK(K914)</f>
        <v>1</v>
      </c>
      <c r="Y914" t="b">
        <f t="shared" si="1804"/>
        <v>0</v>
      </c>
      <c r="Z914" t="b">
        <f t="shared" si="1804"/>
        <v>0</v>
      </c>
      <c r="AA914">
        <f t="shared" ref="AA914:AC914" si="1805">IF(X914=FALSE,1,0)</f>
        <v>0</v>
      </c>
      <c r="AB914">
        <f t="shared" si="1805"/>
        <v>1</v>
      </c>
      <c r="AC914">
        <f t="shared" si="1805"/>
        <v>1</v>
      </c>
      <c r="AD914">
        <f t="shared" si="6"/>
        <v>2</v>
      </c>
      <c r="AE914">
        <f t="shared" si="7"/>
        <v>1</v>
      </c>
      <c r="AF914">
        <f>if(iferror(vlookup($A914,'Description Database'!$E$2:$H$951,3,0),0)=TRUE,1,0)</f>
        <v>0</v>
      </c>
      <c r="AG914">
        <f>if(iferror(vlookup($A914,'Description Database'!$E$2:$H$951,4,0),0)=TRUE,1,0)</f>
        <v>0</v>
      </c>
    </row>
    <row r="915">
      <c r="A915" t="str">
        <f>IFERROR(__xludf.DUMMYFUNCTION("""COMPUTED_VALUE"""),"Samsung Galaxy Z Flip (8 GB/256 GB)")</f>
        <v>Samsung Galaxy Z Flip (8 GB/256 GB)</v>
      </c>
      <c r="B915" t="str">
        <f>IFERROR(__xludf.DUMMYFUNCTION("""COMPUTED_VALUE"""),"")</f>
        <v/>
      </c>
      <c r="C915" t="str">
        <f>IFERROR(__xludf.DUMMYFUNCTION("""COMPUTED_VALUE"""),"")</f>
        <v/>
      </c>
      <c r="D915" t="str">
        <f>IFERROR(__xludf.DUMMYFUNCTION("""COMPUTED_VALUE"""),"")</f>
        <v/>
      </c>
      <c r="E915" t="str">
        <f>IFERROR(__xludf.DUMMYFUNCTION("""COMPUTED_VALUE"""),"")</f>
        <v/>
      </c>
      <c r="F915" t="str">
        <f>IFERROR(__xludf.DUMMYFUNCTION("""COMPUTED_VALUE"""),"")</f>
        <v/>
      </c>
      <c r="G915" t="str">
        <f>IFERROR(__xludf.DUMMYFUNCTION("""COMPUTED_VALUE"""),"")</f>
        <v/>
      </c>
      <c r="H915" t="str">
        <f>IFERROR(__xludf.DUMMYFUNCTION("""COMPUTED_VALUE"""),"")</f>
        <v/>
      </c>
      <c r="I915" t="str">
        <f>IFERROR(__xludf.DUMMYFUNCTION("""COMPUTED_VALUE"""),"")</f>
        <v/>
      </c>
      <c r="J915">
        <f>IFERROR(__xludf.DUMMYFUNCTION("""COMPUTED_VALUE"""),0.0)</f>
        <v>0</v>
      </c>
      <c r="L915" s="250" t="str">
        <f>IFERROR(__xludf.DUMMYFUNCTION("""COMPUTED_VALUE"""),"")</f>
        <v/>
      </c>
      <c r="M915" s="250" t="str">
        <f>IFERROR(__xludf.DUMMYFUNCTION("""COMPUTED_VALUE"""),"")</f>
        <v/>
      </c>
      <c r="N915" s="250" t="str">
        <f>IFERROR(__xludf.DUMMYFUNCTION("""COMPUTED_VALUE"""),"")</f>
        <v/>
      </c>
      <c r="O915" s="250" t="str">
        <f>IFERROR(__xludf.DUMMYFUNCTION("""COMPUTED_VALUE"""),"")</f>
        <v/>
      </c>
      <c r="P915" s="250" t="str">
        <f>IFERROR(__xludf.DUMMYFUNCTION("""COMPUTED_VALUE"""),"")</f>
        <v/>
      </c>
      <c r="Q915" s="250" t="str">
        <f>IFERROR(__xludf.DUMMYFUNCTION("""COMPUTED_VALUE"""),"")</f>
        <v/>
      </c>
      <c r="R915" s="250" t="str">
        <f>IFERROR(__xludf.DUMMYFUNCTION("""COMPUTED_VALUE"""),"")</f>
        <v/>
      </c>
      <c r="U915" s="250">
        <f>IFERROR(__xludf.DUMMYFUNCTION("""COMPUTED_VALUE"""),48879.0)</f>
        <v>48879</v>
      </c>
      <c r="V915" s="250">
        <f>IFERROR(__xludf.DUMMYFUNCTION("""COMPUTED_VALUE"""),46539.0)</f>
        <v>46539</v>
      </c>
      <c r="W915" s="250">
        <f>IFERROR(__xludf.DUMMYFUNCTION("""COMPUTED_VALUE"""),41899.0)</f>
        <v>41899</v>
      </c>
      <c r="X915" t="b">
        <f t="shared" ref="X915:Z915" si="1806">ISBLANK(K915)</f>
        <v>1</v>
      </c>
      <c r="Y915" t="b">
        <f t="shared" si="1806"/>
        <v>0</v>
      </c>
      <c r="Z915" t="b">
        <f t="shared" si="1806"/>
        <v>0</v>
      </c>
      <c r="AA915">
        <f t="shared" ref="AA915:AC915" si="1807">IF(X915=FALSE,1,0)</f>
        <v>0</v>
      </c>
      <c r="AB915">
        <f t="shared" si="1807"/>
        <v>1</v>
      </c>
      <c r="AC915">
        <f t="shared" si="1807"/>
        <v>1</v>
      </c>
      <c r="AD915">
        <f t="shared" si="6"/>
        <v>2</v>
      </c>
      <c r="AE915">
        <f t="shared" si="7"/>
        <v>1</v>
      </c>
      <c r="AF915">
        <f>if(iferror(vlookup($A915,'Description Database'!$E$2:$H$951,3,0),0)=TRUE,1,0)</f>
        <v>0</v>
      </c>
      <c r="AG915">
        <f>if(iferror(vlookup($A915,'Description Database'!$E$2:$H$951,4,0),0)=TRUE,1,0)</f>
        <v>0</v>
      </c>
    </row>
    <row r="916">
      <c r="A916" t="str">
        <f>IFERROR(__xludf.DUMMYFUNCTION("""COMPUTED_VALUE"""),"Xiaomi Redmi Go (1 GB/16 GB)")</f>
        <v>Xiaomi Redmi Go (1 GB/16 GB)</v>
      </c>
      <c r="B916" t="str">
        <f>IFERROR(__xludf.DUMMYFUNCTION("""COMPUTED_VALUE"""),"")</f>
        <v/>
      </c>
      <c r="C916">
        <f>IFERROR(__xludf.DUMMYFUNCTION("""COMPUTED_VALUE"""),1.0)</f>
        <v>1</v>
      </c>
      <c r="D916" t="str">
        <f>IFERROR(__xludf.DUMMYFUNCTION("""COMPUTED_VALUE"""),"")</f>
        <v/>
      </c>
      <c r="E916" t="str">
        <f>IFERROR(__xludf.DUMMYFUNCTION("""COMPUTED_VALUE"""),"")</f>
        <v/>
      </c>
      <c r="F916" t="str">
        <f>IFERROR(__xludf.DUMMYFUNCTION("""COMPUTED_VALUE"""),"")</f>
        <v/>
      </c>
      <c r="G916" t="str">
        <f>IFERROR(__xludf.DUMMYFUNCTION("""COMPUTED_VALUE"""),"")</f>
        <v/>
      </c>
      <c r="H916" t="str">
        <f>IFERROR(__xludf.DUMMYFUNCTION("""COMPUTED_VALUE"""),"")</f>
        <v/>
      </c>
      <c r="I916" t="str">
        <f>IFERROR(__xludf.DUMMYFUNCTION("""COMPUTED_VALUE"""),"")</f>
        <v/>
      </c>
      <c r="J916">
        <f>IFERROR(__xludf.DUMMYFUNCTION("""COMPUTED_VALUE"""),1.0)</f>
        <v>1</v>
      </c>
      <c r="L916" s="250" t="str">
        <f>IFERROR(__xludf.DUMMYFUNCTION("""COMPUTED_VALUE"""),"")</f>
        <v/>
      </c>
      <c r="M916" s="250">
        <f>IFERROR(__xludf.DUMMYFUNCTION("""COMPUTED_VALUE"""),3209.0)</f>
        <v>3209</v>
      </c>
      <c r="N916" s="250" t="str">
        <f>IFERROR(__xludf.DUMMYFUNCTION("""COMPUTED_VALUE"""),"")</f>
        <v/>
      </c>
      <c r="O916" s="250" t="str">
        <f>IFERROR(__xludf.DUMMYFUNCTION("""COMPUTED_VALUE"""),"")</f>
        <v/>
      </c>
      <c r="P916" s="250" t="str">
        <f>IFERROR(__xludf.DUMMYFUNCTION("""COMPUTED_VALUE"""),"")</f>
        <v/>
      </c>
      <c r="Q916" s="250" t="str">
        <f>IFERROR(__xludf.DUMMYFUNCTION("""COMPUTED_VALUE"""),"")</f>
        <v/>
      </c>
      <c r="R916" s="250" t="str">
        <f>IFERROR(__xludf.DUMMYFUNCTION("""COMPUTED_VALUE"""),"")</f>
        <v/>
      </c>
      <c r="U916" s="250">
        <f>IFERROR(__xludf.DUMMYFUNCTION("""COMPUTED_VALUE"""),3709.0)</f>
        <v>3709</v>
      </c>
      <c r="V916" s="250">
        <f>IFERROR(__xludf.DUMMYFUNCTION("""COMPUTED_VALUE"""),3529.0)</f>
        <v>3529</v>
      </c>
      <c r="W916" s="250">
        <f>IFERROR(__xludf.DUMMYFUNCTION("""COMPUTED_VALUE"""),3169.0)</f>
        <v>3169</v>
      </c>
      <c r="X916" t="b">
        <f t="shared" ref="X916:Z916" si="1808">ISBLANK(K916)</f>
        <v>1</v>
      </c>
      <c r="Y916" t="b">
        <f t="shared" si="1808"/>
        <v>0</v>
      </c>
      <c r="Z916" t="b">
        <f t="shared" si="1808"/>
        <v>0</v>
      </c>
      <c r="AA916">
        <f t="shared" ref="AA916:AC916" si="1809">IF(X916=FALSE,1,0)</f>
        <v>0</v>
      </c>
      <c r="AB916">
        <f t="shared" si="1809"/>
        <v>1</v>
      </c>
      <c r="AC916">
        <f t="shared" si="1809"/>
        <v>1</v>
      </c>
      <c r="AD916">
        <f t="shared" si="6"/>
        <v>2</v>
      </c>
      <c r="AE916">
        <f t="shared" si="7"/>
        <v>1</v>
      </c>
      <c r="AF916">
        <f>if(iferror(vlookup($A916,'Description Database'!$E$2:$H$951,3,0),0)=TRUE,1,0)</f>
        <v>0</v>
      </c>
      <c r="AG916">
        <f>if(iferror(vlookup($A916,'Description Database'!$E$2:$H$951,4,0),0)=TRUE,1,0)</f>
        <v>0</v>
      </c>
    </row>
    <row r="917">
      <c r="A917" t="str">
        <f>IFERROR(__xludf.DUMMYFUNCTION("""COMPUTED_VALUE"""),"Samsung GALAXY F62 (6 GB/ 128 GB)")</f>
        <v>Samsung GALAXY F62 (6 GB/ 128 GB)</v>
      </c>
      <c r="B917" t="str">
        <f>IFERROR(__xludf.DUMMYFUNCTION("""COMPUTED_VALUE"""),"")</f>
        <v/>
      </c>
      <c r="C917" t="str">
        <f>IFERROR(__xludf.DUMMYFUNCTION("""COMPUTED_VALUE"""),"")</f>
        <v/>
      </c>
      <c r="D917">
        <f>IFERROR(__xludf.DUMMYFUNCTION("""COMPUTED_VALUE"""),1.0)</f>
        <v>1</v>
      </c>
      <c r="E917" t="str">
        <f>IFERROR(__xludf.DUMMYFUNCTION("""COMPUTED_VALUE"""),"")</f>
        <v/>
      </c>
      <c r="F917" t="str">
        <f>IFERROR(__xludf.DUMMYFUNCTION("""COMPUTED_VALUE"""),"")</f>
        <v/>
      </c>
      <c r="G917" t="str">
        <f>IFERROR(__xludf.DUMMYFUNCTION("""COMPUTED_VALUE"""),"")</f>
        <v/>
      </c>
      <c r="H917" t="str">
        <f>IFERROR(__xludf.DUMMYFUNCTION("""COMPUTED_VALUE"""),"")</f>
        <v/>
      </c>
      <c r="I917" t="str">
        <f>IFERROR(__xludf.DUMMYFUNCTION("""COMPUTED_VALUE"""),"")</f>
        <v/>
      </c>
      <c r="J917">
        <f>IFERROR(__xludf.DUMMYFUNCTION("""COMPUTED_VALUE"""),1.0)</f>
        <v>1</v>
      </c>
      <c r="L917" s="250" t="str">
        <f>IFERROR(__xludf.DUMMYFUNCTION("""COMPUTED_VALUE"""),"")</f>
        <v/>
      </c>
      <c r="M917" s="250" t="str">
        <f>IFERROR(__xludf.DUMMYFUNCTION("""COMPUTED_VALUE"""),"")</f>
        <v/>
      </c>
      <c r="N917" s="250" t="str">
        <f>IFERROR(__xludf.DUMMYFUNCTION("""COMPUTED_VALUE"""),"#N/A")</f>
        <v>#N/A</v>
      </c>
      <c r="O917" s="250" t="str">
        <f>IFERROR(__xludf.DUMMYFUNCTION("""COMPUTED_VALUE"""),"")</f>
        <v/>
      </c>
      <c r="P917" s="250" t="str">
        <f>IFERROR(__xludf.DUMMYFUNCTION("""COMPUTED_VALUE"""),"")</f>
        <v/>
      </c>
      <c r="Q917" s="250" t="str">
        <f>IFERROR(__xludf.DUMMYFUNCTION("""COMPUTED_VALUE"""),"")</f>
        <v/>
      </c>
      <c r="R917" s="250" t="str">
        <f>IFERROR(__xludf.DUMMYFUNCTION("""COMPUTED_VALUE"""),"")</f>
        <v/>
      </c>
      <c r="U917" s="250" t="str">
        <f>IFERROR(__xludf.DUMMYFUNCTION("""COMPUTED_VALUE"""),"#N/A")</f>
        <v>#N/A</v>
      </c>
      <c r="V917" s="250" t="str">
        <f>IFERROR(__xludf.DUMMYFUNCTION("""COMPUTED_VALUE"""),"#N/A")</f>
        <v>#N/A</v>
      </c>
      <c r="W917" s="250" t="str">
        <f>IFERROR(__xludf.DUMMYFUNCTION("""COMPUTED_VALUE"""),"#N/A")</f>
        <v>#N/A</v>
      </c>
      <c r="X917" t="b">
        <f t="shared" ref="X917:Z917" si="1810">ISBLANK(K917)</f>
        <v>1</v>
      </c>
      <c r="Y917" t="b">
        <f t="shared" si="1810"/>
        <v>0</v>
      </c>
      <c r="Z917" t="b">
        <f t="shared" si="1810"/>
        <v>0</v>
      </c>
      <c r="AA917">
        <f t="shared" ref="AA917:AC917" si="1811">IF(X917=FALSE,1,0)</f>
        <v>0</v>
      </c>
      <c r="AB917">
        <f t="shared" si="1811"/>
        <v>1</v>
      </c>
      <c r="AC917">
        <f t="shared" si="1811"/>
        <v>1</v>
      </c>
      <c r="AD917">
        <f t="shared" si="6"/>
        <v>2</v>
      </c>
      <c r="AE917">
        <f t="shared" si="7"/>
        <v>1</v>
      </c>
      <c r="AF917">
        <f>if(iferror(vlookup($A917,'Description Database'!$E$2:$H$951,3,0),0)=TRUE,1,0)</f>
        <v>0</v>
      </c>
      <c r="AG917">
        <f>if(iferror(vlookup($A917,'Description Database'!$E$2:$H$951,4,0),0)=TRUE,1,0)</f>
        <v>0</v>
      </c>
    </row>
    <row r="918">
      <c r="A918" t="str">
        <f>IFERROR(__xludf.DUMMYFUNCTION("""COMPUTED_VALUE"""),"Apple iPhone 8 (2 GB/128 GB)")</f>
        <v>Apple iPhone 8 (2 GB/128 GB)</v>
      </c>
      <c r="B918" t="str">
        <f>IFERROR(__xludf.DUMMYFUNCTION("""COMPUTED_VALUE"""),"")</f>
        <v/>
      </c>
      <c r="C918" t="str">
        <f>IFERROR(__xludf.DUMMYFUNCTION("""COMPUTED_VALUE"""),"")</f>
        <v/>
      </c>
      <c r="D918">
        <f>IFERROR(__xludf.DUMMYFUNCTION("""COMPUTED_VALUE"""),1.0)</f>
        <v>1</v>
      </c>
      <c r="E918" t="str">
        <f>IFERROR(__xludf.DUMMYFUNCTION("""COMPUTED_VALUE"""),"")</f>
        <v/>
      </c>
      <c r="F918" t="str">
        <f>IFERROR(__xludf.DUMMYFUNCTION("""COMPUTED_VALUE"""),"")</f>
        <v/>
      </c>
      <c r="G918" t="str">
        <f>IFERROR(__xludf.DUMMYFUNCTION("""COMPUTED_VALUE"""),"")</f>
        <v/>
      </c>
      <c r="H918" t="str">
        <f>IFERROR(__xludf.DUMMYFUNCTION("""COMPUTED_VALUE"""),"")</f>
        <v/>
      </c>
      <c r="I918" t="str">
        <f>IFERROR(__xludf.DUMMYFUNCTION("""COMPUTED_VALUE"""),"")</f>
        <v/>
      </c>
      <c r="J918">
        <f>IFERROR(__xludf.DUMMYFUNCTION("""COMPUTED_VALUE"""),1.0)</f>
        <v>1</v>
      </c>
      <c r="L918" s="250" t="str">
        <f>IFERROR(__xludf.DUMMYFUNCTION("""COMPUTED_VALUE"""),"")</f>
        <v/>
      </c>
      <c r="M918" s="250" t="str">
        <f>IFERROR(__xludf.DUMMYFUNCTION("""COMPUTED_VALUE"""),"")</f>
        <v/>
      </c>
      <c r="N918" s="250">
        <f>IFERROR(__xludf.DUMMYFUNCTION("""COMPUTED_VALUE"""),15449.0)</f>
        <v>15449</v>
      </c>
      <c r="O918" s="250" t="str">
        <f>IFERROR(__xludf.DUMMYFUNCTION("""COMPUTED_VALUE"""),"")</f>
        <v/>
      </c>
      <c r="P918" s="250" t="str">
        <f>IFERROR(__xludf.DUMMYFUNCTION("""COMPUTED_VALUE"""),"")</f>
        <v/>
      </c>
      <c r="Q918" s="250" t="str">
        <f>IFERROR(__xludf.DUMMYFUNCTION("""COMPUTED_VALUE"""),"")</f>
        <v/>
      </c>
      <c r="R918" s="250" t="str">
        <f>IFERROR(__xludf.DUMMYFUNCTION("""COMPUTED_VALUE"""),"")</f>
        <v/>
      </c>
      <c r="U918" s="250">
        <f>IFERROR(__xludf.DUMMYFUNCTION("""COMPUTED_VALUE"""),19829.0)</f>
        <v>19829</v>
      </c>
      <c r="V918" s="250">
        <f>IFERROR(__xludf.DUMMYFUNCTION("""COMPUTED_VALUE"""),18879.0)</f>
        <v>18879</v>
      </c>
      <c r="W918" s="250">
        <f>IFERROR(__xludf.DUMMYFUNCTION("""COMPUTED_VALUE"""),16999.0)</f>
        <v>16999</v>
      </c>
      <c r="X918" t="b">
        <f t="shared" ref="X918:Z918" si="1812">ISBLANK(K918)</f>
        <v>1</v>
      </c>
      <c r="Y918" t="b">
        <f t="shared" si="1812"/>
        <v>0</v>
      </c>
      <c r="Z918" t="b">
        <f t="shared" si="1812"/>
        <v>0</v>
      </c>
      <c r="AA918">
        <f t="shared" ref="AA918:AC918" si="1813">IF(X918=FALSE,1,0)</f>
        <v>0</v>
      </c>
      <c r="AB918">
        <f t="shared" si="1813"/>
        <v>1</v>
      </c>
      <c r="AC918">
        <f t="shared" si="1813"/>
        <v>1</v>
      </c>
      <c r="AD918">
        <f t="shared" si="6"/>
        <v>2</v>
      </c>
      <c r="AE918">
        <f t="shared" si="7"/>
        <v>1</v>
      </c>
      <c r="AF918">
        <f>if(iferror(vlookup($A918,'Description Database'!$E$2:$H$951,3,0),0)=TRUE,1,0)</f>
        <v>0</v>
      </c>
      <c r="AG918">
        <f>if(iferror(vlookup($A918,'Description Database'!$E$2:$H$951,4,0),0)=TRUE,1,0)</f>
        <v>0</v>
      </c>
    </row>
    <row r="919">
      <c r="A919" t="str">
        <f>IFERROR(__xludf.DUMMYFUNCTION("""COMPUTED_VALUE"""),"Xiaomi Redmi Note 9 (6 GB/128 GB)")</f>
        <v>Xiaomi Redmi Note 9 (6 GB/128 GB)</v>
      </c>
      <c r="B919" t="str">
        <f>IFERROR(__xludf.DUMMYFUNCTION("""COMPUTED_VALUE"""),"")</f>
        <v/>
      </c>
      <c r="C919" t="str">
        <f>IFERROR(__xludf.DUMMYFUNCTION("""COMPUTED_VALUE"""),"")</f>
        <v/>
      </c>
      <c r="D919" t="str">
        <f>IFERROR(__xludf.DUMMYFUNCTION("""COMPUTED_VALUE"""),"")</f>
        <v/>
      </c>
      <c r="E919" t="str">
        <f>IFERROR(__xludf.DUMMYFUNCTION("""COMPUTED_VALUE"""),"")</f>
        <v/>
      </c>
      <c r="F919" t="str">
        <f>IFERROR(__xludf.DUMMYFUNCTION("""COMPUTED_VALUE"""),"")</f>
        <v/>
      </c>
      <c r="G919" t="str">
        <f>IFERROR(__xludf.DUMMYFUNCTION("""COMPUTED_VALUE"""),"")</f>
        <v/>
      </c>
      <c r="H919" t="str">
        <f>IFERROR(__xludf.DUMMYFUNCTION("""COMPUTED_VALUE"""),"")</f>
        <v/>
      </c>
      <c r="I919" t="str">
        <f>IFERROR(__xludf.DUMMYFUNCTION("""COMPUTED_VALUE"""),"")</f>
        <v/>
      </c>
      <c r="J919">
        <f>IFERROR(__xludf.DUMMYFUNCTION("""COMPUTED_VALUE"""),0.0)</f>
        <v>0</v>
      </c>
      <c r="L919" s="250" t="str">
        <f>IFERROR(__xludf.DUMMYFUNCTION("""COMPUTED_VALUE"""),"")</f>
        <v/>
      </c>
      <c r="M919" s="250" t="str">
        <f>IFERROR(__xludf.DUMMYFUNCTION("""COMPUTED_VALUE"""),"")</f>
        <v/>
      </c>
      <c r="N919" s="250" t="str">
        <f>IFERROR(__xludf.DUMMYFUNCTION("""COMPUTED_VALUE"""),"")</f>
        <v/>
      </c>
      <c r="O919" s="250" t="str">
        <f>IFERROR(__xludf.DUMMYFUNCTION("""COMPUTED_VALUE"""),"")</f>
        <v/>
      </c>
      <c r="P919" s="250" t="str">
        <f>IFERROR(__xludf.DUMMYFUNCTION("""COMPUTED_VALUE"""),"")</f>
        <v/>
      </c>
      <c r="Q919" s="250" t="str">
        <f>IFERROR(__xludf.DUMMYFUNCTION("""COMPUTED_VALUE"""),"")</f>
        <v/>
      </c>
      <c r="R919" s="250" t="str">
        <f>IFERROR(__xludf.DUMMYFUNCTION("""COMPUTED_VALUE"""),"")</f>
        <v/>
      </c>
      <c r="U919" s="250">
        <f>IFERROR(__xludf.DUMMYFUNCTION("""COMPUTED_VALUE"""),11649.0)</f>
        <v>11649</v>
      </c>
      <c r="V919" s="250">
        <f>IFERROR(__xludf.DUMMYFUNCTION("""COMPUTED_VALUE"""),11089.0)</f>
        <v>11089</v>
      </c>
      <c r="W919" s="250">
        <f>IFERROR(__xludf.DUMMYFUNCTION("""COMPUTED_VALUE"""),9979.0)</f>
        <v>9979</v>
      </c>
      <c r="X919" t="b">
        <f t="shared" ref="X919:Z919" si="1814">ISBLANK(K919)</f>
        <v>1</v>
      </c>
      <c r="Y919" t="b">
        <f t="shared" si="1814"/>
        <v>0</v>
      </c>
      <c r="Z919" t="b">
        <f t="shared" si="1814"/>
        <v>0</v>
      </c>
      <c r="AA919">
        <f t="shared" ref="AA919:AC919" si="1815">IF(X919=FALSE,1,0)</f>
        <v>0</v>
      </c>
      <c r="AB919">
        <f t="shared" si="1815"/>
        <v>1</v>
      </c>
      <c r="AC919">
        <f t="shared" si="1815"/>
        <v>1</v>
      </c>
      <c r="AD919">
        <f t="shared" si="6"/>
        <v>2</v>
      </c>
      <c r="AE919">
        <f t="shared" si="7"/>
        <v>1</v>
      </c>
      <c r="AF919">
        <f>if(iferror(vlookup($A919,'Description Database'!$E$2:$H$951,3,0),0)=TRUE,1,0)</f>
        <v>0</v>
      </c>
      <c r="AG919">
        <f>if(iferror(vlookup($A919,'Description Database'!$E$2:$H$951,4,0),0)=TRUE,1,0)</f>
        <v>0</v>
      </c>
    </row>
    <row r="920">
      <c r="A920" t="str">
        <f>IFERROR(__xludf.DUMMYFUNCTION("""COMPUTED_VALUE"""),"Realme U1 (4 GB/64 GB)")</f>
        <v>Realme U1 (4 GB/64 GB)</v>
      </c>
      <c r="B920" t="str">
        <f>IFERROR(__xludf.DUMMYFUNCTION("""COMPUTED_VALUE"""),"")</f>
        <v/>
      </c>
      <c r="C920" t="str">
        <f>IFERROR(__xludf.DUMMYFUNCTION("""COMPUTED_VALUE"""),"")</f>
        <v/>
      </c>
      <c r="D920" t="str">
        <f>IFERROR(__xludf.DUMMYFUNCTION("""COMPUTED_VALUE"""),"")</f>
        <v/>
      </c>
      <c r="E920" t="str">
        <f>IFERROR(__xludf.DUMMYFUNCTION("""COMPUTED_VALUE"""),"")</f>
        <v/>
      </c>
      <c r="F920" t="str">
        <f>IFERROR(__xludf.DUMMYFUNCTION("""COMPUTED_VALUE"""),"")</f>
        <v/>
      </c>
      <c r="G920" t="str">
        <f>IFERROR(__xludf.DUMMYFUNCTION("""COMPUTED_VALUE"""),"")</f>
        <v/>
      </c>
      <c r="H920" t="str">
        <f>IFERROR(__xludf.DUMMYFUNCTION("""COMPUTED_VALUE"""),"")</f>
        <v/>
      </c>
      <c r="I920">
        <f>IFERROR(__xludf.DUMMYFUNCTION("""COMPUTED_VALUE"""),1.0)</f>
        <v>1</v>
      </c>
      <c r="J920">
        <f>IFERROR(__xludf.DUMMYFUNCTION("""COMPUTED_VALUE"""),1.0)</f>
        <v>1</v>
      </c>
      <c r="L920" s="250" t="str">
        <f>IFERROR(__xludf.DUMMYFUNCTION("""COMPUTED_VALUE"""),"")</f>
        <v/>
      </c>
      <c r="M920" s="250" t="str">
        <f>IFERROR(__xludf.DUMMYFUNCTION("""COMPUTED_VALUE"""),"")</f>
        <v/>
      </c>
      <c r="N920" s="250" t="str">
        <f>IFERROR(__xludf.DUMMYFUNCTION("""COMPUTED_VALUE"""),"")</f>
        <v/>
      </c>
      <c r="O920" s="250" t="str">
        <f>IFERROR(__xludf.DUMMYFUNCTION("""COMPUTED_VALUE"""),"")</f>
        <v/>
      </c>
      <c r="P920" s="250" t="str">
        <f>IFERROR(__xludf.DUMMYFUNCTION("""COMPUTED_VALUE"""),"")</f>
        <v/>
      </c>
      <c r="Q920" s="250" t="str">
        <f>IFERROR(__xludf.DUMMYFUNCTION("""COMPUTED_VALUE"""),"")</f>
        <v/>
      </c>
      <c r="R920" s="250" t="str">
        <f>IFERROR(__xludf.DUMMYFUNCTION("""COMPUTED_VALUE"""),"")</f>
        <v/>
      </c>
      <c r="U920" s="250">
        <f>IFERROR(__xludf.DUMMYFUNCTION("""COMPUTED_VALUE"""),8039.0)</f>
        <v>8039</v>
      </c>
      <c r="V920" s="250">
        <f>IFERROR(__xludf.DUMMYFUNCTION("""COMPUTED_VALUE"""),7659.0)</f>
        <v>7659</v>
      </c>
      <c r="W920" s="250">
        <f>IFERROR(__xludf.DUMMYFUNCTION("""COMPUTED_VALUE"""),6999.0)</f>
        <v>6999</v>
      </c>
      <c r="X920" t="b">
        <f t="shared" ref="X920:Z920" si="1816">ISBLANK(K920)</f>
        <v>1</v>
      </c>
      <c r="Y920" t="b">
        <f t="shared" si="1816"/>
        <v>0</v>
      </c>
      <c r="Z920" t="b">
        <f t="shared" si="1816"/>
        <v>0</v>
      </c>
      <c r="AA920">
        <f t="shared" ref="AA920:AC920" si="1817">IF(X920=FALSE,1,0)</f>
        <v>0</v>
      </c>
      <c r="AB920">
        <f t="shared" si="1817"/>
        <v>1</v>
      </c>
      <c r="AC920">
        <f t="shared" si="1817"/>
        <v>1</v>
      </c>
      <c r="AD920">
        <f t="shared" si="6"/>
        <v>2</v>
      </c>
      <c r="AE920">
        <f t="shared" si="7"/>
        <v>1</v>
      </c>
      <c r="AF920">
        <f>if(iferror(vlookup($A920,'Description Database'!$E$2:$H$951,3,0),0)=TRUE,1,0)</f>
        <v>0</v>
      </c>
      <c r="AG920">
        <f>if(iferror(vlookup($A920,'Description Database'!$E$2:$H$951,4,0),0)=TRUE,1,0)</f>
        <v>0</v>
      </c>
    </row>
    <row r="921">
      <c r="A921" t="str">
        <f>IFERROR(__xludf.DUMMYFUNCTION("""COMPUTED_VALUE"""),"OnePlus 8 (12 GB/256 GB)")</f>
        <v>OnePlus 8 (12 GB/256 GB)</v>
      </c>
      <c r="B921" t="str">
        <f>IFERROR(__xludf.DUMMYFUNCTION("""COMPUTED_VALUE"""),"")</f>
        <v/>
      </c>
      <c r="C921" t="str">
        <f>IFERROR(__xludf.DUMMYFUNCTION("""COMPUTED_VALUE"""),"")</f>
        <v/>
      </c>
      <c r="D921" t="str">
        <f>IFERROR(__xludf.DUMMYFUNCTION("""COMPUTED_VALUE"""),"")</f>
        <v/>
      </c>
      <c r="E921" t="str">
        <f>IFERROR(__xludf.DUMMYFUNCTION("""COMPUTED_VALUE"""),"")</f>
        <v/>
      </c>
      <c r="F921" t="str">
        <f>IFERROR(__xludf.DUMMYFUNCTION("""COMPUTED_VALUE"""),"")</f>
        <v/>
      </c>
      <c r="G921" t="str">
        <f>IFERROR(__xludf.DUMMYFUNCTION("""COMPUTED_VALUE"""),"")</f>
        <v/>
      </c>
      <c r="H921" t="str">
        <f>IFERROR(__xludf.DUMMYFUNCTION("""COMPUTED_VALUE"""),"")</f>
        <v/>
      </c>
      <c r="I921" t="str">
        <f>IFERROR(__xludf.DUMMYFUNCTION("""COMPUTED_VALUE"""),"")</f>
        <v/>
      </c>
      <c r="J921">
        <f>IFERROR(__xludf.DUMMYFUNCTION("""COMPUTED_VALUE"""),0.0)</f>
        <v>0</v>
      </c>
      <c r="L921" s="250" t="str">
        <f>IFERROR(__xludf.DUMMYFUNCTION("""COMPUTED_VALUE"""),"")</f>
        <v/>
      </c>
      <c r="M921" s="250" t="str">
        <f>IFERROR(__xludf.DUMMYFUNCTION("""COMPUTED_VALUE"""),"")</f>
        <v/>
      </c>
      <c r="N921" s="250" t="str">
        <f>IFERROR(__xludf.DUMMYFUNCTION("""COMPUTED_VALUE"""),"")</f>
        <v/>
      </c>
      <c r="O921" s="250" t="str">
        <f>IFERROR(__xludf.DUMMYFUNCTION("""COMPUTED_VALUE"""),"")</f>
        <v/>
      </c>
      <c r="P921" s="250" t="str">
        <f>IFERROR(__xludf.DUMMYFUNCTION("""COMPUTED_VALUE"""),"")</f>
        <v/>
      </c>
      <c r="Q921" s="250" t="str">
        <f>IFERROR(__xludf.DUMMYFUNCTION("""COMPUTED_VALUE"""),"")</f>
        <v/>
      </c>
      <c r="R921" s="250" t="str">
        <f>IFERROR(__xludf.DUMMYFUNCTION("""COMPUTED_VALUE"""),"")</f>
        <v/>
      </c>
      <c r="U921" s="250">
        <f>IFERROR(__xludf.DUMMYFUNCTION("""COMPUTED_VALUE"""),36739.0)</f>
        <v>36739</v>
      </c>
      <c r="V921" s="250">
        <f>IFERROR(__xludf.DUMMYFUNCTION("""COMPUTED_VALUE"""),34989.0)</f>
        <v>34989</v>
      </c>
      <c r="W921" s="250">
        <f>IFERROR(__xludf.DUMMYFUNCTION("""COMPUTED_VALUE"""),31489.0)</f>
        <v>31489</v>
      </c>
      <c r="X921" t="b">
        <f t="shared" ref="X921:Z921" si="1818">ISBLANK(K921)</f>
        <v>1</v>
      </c>
      <c r="Y921" t="b">
        <f t="shared" si="1818"/>
        <v>0</v>
      </c>
      <c r="Z921" t="b">
        <f t="shared" si="1818"/>
        <v>0</v>
      </c>
      <c r="AA921">
        <f t="shared" ref="AA921:AC921" si="1819">IF(X921=FALSE,1,0)</f>
        <v>0</v>
      </c>
      <c r="AB921">
        <f t="shared" si="1819"/>
        <v>1</v>
      </c>
      <c r="AC921">
        <f t="shared" si="1819"/>
        <v>1</v>
      </c>
      <c r="AD921">
        <f t="shared" si="6"/>
        <v>2</v>
      </c>
      <c r="AE921">
        <f t="shared" si="7"/>
        <v>1</v>
      </c>
      <c r="AF921">
        <f>if(iferror(vlookup($A921,'Description Database'!$E$2:$H$951,3,0),0)=TRUE,1,0)</f>
        <v>0</v>
      </c>
      <c r="AG921">
        <f>if(iferror(vlookup($A921,'Description Database'!$E$2:$H$951,4,0),0)=TRUE,1,0)</f>
        <v>0</v>
      </c>
    </row>
    <row r="922">
      <c r="A922" t="str">
        <f>IFERROR(__xludf.DUMMYFUNCTION("""COMPUTED_VALUE"""),"Vivo Z1X(6 GB 128GB)")</f>
        <v>Vivo Z1X(6 GB 128GB)</v>
      </c>
      <c r="B922" t="str">
        <f>IFERROR(__xludf.DUMMYFUNCTION("""COMPUTED_VALUE"""),"")</f>
        <v/>
      </c>
      <c r="C922" t="str">
        <f>IFERROR(__xludf.DUMMYFUNCTION("""COMPUTED_VALUE"""),"")</f>
        <v/>
      </c>
      <c r="D922" t="str">
        <f>IFERROR(__xludf.DUMMYFUNCTION("""COMPUTED_VALUE"""),"")</f>
        <v/>
      </c>
      <c r="E922" t="str">
        <f>IFERROR(__xludf.DUMMYFUNCTION("""COMPUTED_VALUE"""),"")</f>
        <v/>
      </c>
      <c r="F922" t="str">
        <f>IFERROR(__xludf.DUMMYFUNCTION("""COMPUTED_VALUE"""),"")</f>
        <v/>
      </c>
      <c r="G922" t="str">
        <f>IFERROR(__xludf.DUMMYFUNCTION("""COMPUTED_VALUE"""),"")</f>
        <v/>
      </c>
      <c r="H922" t="str">
        <f>IFERROR(__xludf.DUMMYFUNCTION("""COMPUTED_VALUE"""),"")</f>
        <v/>
      </c>
      <c r="I922">
        <f>IFERROR(__xludf.DUMMYFUNCTION("""COMPUTED_VALUE"""),1.0)</f>
        <v>1</v>
      </c>
      <c r="J922">
        <f>IFERROR(__xludf.DUMMYFUNCTION("""COMPUTED_VALUE"""),1.0)</f>
        <v>1</v>
      </c>
      <c r="L922" s="250" t="str">
        <f>IFERROR(__xludf.DUMMYFUNCTION("""COMPUTED_VALUE"""),"")</f>
        <v/>
      </c>
      <c r="M922" s="250" t="str">
        <f>IFERROR(__xludf.DUMMYFUNCTION("""COMPUTED_VALUE"""),"")</f>
        <v/>
      </c>
      <c r="N922" s="250" t="str">
        <f>IFERROR(__xludf.DUMMYFUNCTION("""COMPUTED_VALUE"""),"")</f>
        <v/>
      </c>
      <c r="O922" s="250" t="str">
        <f>IFERROR(__xludf.DUMMYFUNCTION("""COMPUTED_VALUE"""),"")</f>
        <v/>
      </c>
      <c r="P922" s="250" t="str">
        <f>IFERROR(__xludf.DUMMYFUNCTION("""COMPUTED_VALUE"""),"")</f>
        <v/>
      </c>
      <c r="Q922" s="250" t="str">
        <f>IFERROR(__xludf.DUMMYFUNCTION("""COMPUTED_VALUE"""),"")</f>
        <v/>
      </c>
      <c r="R922" s="250" t="str">
        <f>IFERROR(__xludf.DUMMYFUNCTION("""COMPUTED_VALUE"""),"")</f>
        <v/>
      </c>
      <c r="U922" s="250" t="str">
        <f>IFERROR(__xludf.DUMMYFUNCTION("""COMPUTED_VALUE"""),"#N/A")</f>
        <v>#N/A</v>
      </c>
      <c r="V922" s="250" t="str">
        <f>IFERROR(__xludf.DUMMYFUNCTION("""COMPUTED_VALUE"""),"#N/A")</f>
        <v>#N/A</v>
      </c>
      <c r="W922" s="250" t="str">
        <f>IFERROR(__xludf.DUMMYFUNCTION("""COMPUTED_VALUE"""),"#N/A")</f>
        <v>#N/A</v>
      </c>
      <c r="X922" t="b">
        <f t="shared" ref="X922:Z922" si="1820">ISBLANK(K922)</f>
        <v>1</v>
      </c>
      <c r="Y922" t="b">
        <f t="shared" si="1820"/>
        <v>0</v>
      </c>
      <c r="Z922" t="b">
        <f t="shared" si="1820"/>
        <v>0</v>
      </c>
      <c r="AA922">
        <f t="shared" ref="AA922:AC922" si="1821">IF(X922=FALSE,1,0)</f>
        <v>0</v>
      </c>
      <c r="AB922">
        <f t="shared" si="1821"/>
        <v>1</v>
      </c>
      <c r="AC922">
        <f t="shared" si="1821"/>
        <v>1</v>
      </c>
      <c r="AD922">
        <f t="shared" si="6"/>
        <v>2</v>
      </c>
      <c r="AE922">
        <f t="shared" si="7"/>
        <v>1</v>
      </c>
      <c r="AF922">
        <f>if(iferror(vlookup($A922,'Description Database'!$E$2:$H$951,3,0),0)=TRUE,1,0)</f>
        <v>0</v>
      </c>
      <c r="AG922">
        <f>if(iferror(vlookup($A922,'Description Database'!$E$2:$H$951,4,0),0)=TRUE,1,0)</f>
        <v>0</v>
      </c>
    </row>
    <row r="923">
      <c r="A923" t="str">
        <f>IFERROR(__xludf.DUMMYFUNCTION("""COMPUTED_VALUE"""),"Xiaomi POCO X2 (6 GB/64 GB)")</f>
        <v>Xiaomi POCO X2 (6 GB/64 GB)</v>
      </c>
      <c r="B923" t="str">
        <f>IFERROR(__xludf.DUMMYFUNCTION("""COMPUTED_VALUE"""),"")</f>
        <v/>
      </c>
      <c r="C923" t="str">
        <f>IFERROR(__xludf.DUMMYFUNCTION("""COMPUTED_VALUE"""),"")</f>
        <v/>
      </c>
      <c r="D923" t="str">
        <f>IFERROR(__xludf.DUMMYFUNCTION("""COMPUTED_VALUE"""),"")</f>
        <v/>
      </c>
      <c r="E923" t="str">
        <f>IFERROR(__xludf.DUMMYFUNCTION("""COMPUTED_VALUE"""),"")</f>
        <v/>
      </c>
      <c r="F923" t="str">
        <f>IFERROR(__xludf.DUMMYFUNCTION("""COMPUTED_VALUE"""),"")</f>
        <v/>
      </c>
      <c r="G923" t="str">
        <f>IFERROR(__xludf.DUMMYFUNCTION("""COMPUTED_VALUE"""),"")</f>
        <v/>
      </c>
      <c r="H923" t="str">
        <f>IFERROR(__xludf.DUMMYFUNCTION("""COMPUTED_VALUE"""),"")</f>
        <v/>
      </c>
      <c r="I923">
        <f>IFERROR(__xludf.DUMMYFUNCTION("""COMPUTED_VALUE"""),3.0)</f>
        <v>3</v>
      </c>
      <c r="J923">
        <f>IFERROR(__xludf.DUMMYFUNCTION("""COMPUTED_VALUE"""),3.0)</f>
        <v>3</v>
      </c>
      <c r="L923" s="250" t="str">
        <f>IFERROR(__xludf.DUMMYFUNCTION("""COMPUTED_VALUE"""),"")</f>
        <v/>
      </c>
      <c r="M923" s="250" t="str">
        <f>IFERROR(__xludf.DUMMYFUNCTION("""COMPUTED_VALUE"""),"")</f>
        <v/>
      </c>
      <c r="N923" s="250" t="str">
        <f>IFERROR(__xludf.DUMMYFUNCTION("""COMPUTED_VALUE"""),"")</f>
        <v/>
      </c>
      <c r="O923" s="250" t="str">
        <f>IFERROR(__xludf.DUMMYFUNCTION("""COMPUTED_VALUE"""),"")</f>
        <v/>
      </c>
      <c r="P923" s="250" t="str">
        <f>IFERROR(__xludf.DUMMYFUNCTION("""COMPUTED_VALUE"""),"")</f>
        <v/>
      </c>
      <c r="Q923" s="250" t="str">
        <f>IFERROR(__xludf.DUMMYFUNCTION("""COMPUTED_VALUE"""),"")</f>
        <v/>
      </c>
      <c r="R923" s="250" t="str">
        <f>IFERROR(__xludf.DUMMYFUNCTION("""COMPUTED_VALUE"""),"")</f>
        <v/>
      </c>
      <c r="U923" s="250">
        <f>IFERROR(__xludf.DUMMYFUNCTION("""COMPUTED_VALUE"""),12299.0)</f>
        <v>12299</v>
      </c>
      <c r="V923" s="250">
        <f>IFERROR(__xludf.DUMMYFUNCTION("""COMPUTED_VALUE"""),11709.0)</f>
        <v>11709</v>
      </c>
      <c r="W923" s="250">
        <f>IFERROR(__xludf.DUMMYFUNCTION("""COMPUTED_VALUE"""),10539.0)</f>
        <v>10539</v>
      </c>
      <c r="X923" t="b">
        <f t="shared" ref="X923:Z923" si="1822">ISBLANK(K923)</f>
        <v>1</v>
      </c>
      <c r="Y923" t="b">
        <f t="shared" si="1822"/>
        <v>0</v>
      </c>
      <c r="Z923" t="b">
        <f t="shared" si="1822"/>
        <v>0</v>
      </c>
      <c r="AA923">
        <f t="shared" ref="AA923:AC923" si="1823">IF(X923=FALSE,1,0)</f>
        <v>0</v>
      </c>
      <c r="AB923">
        <f t="shared" si="1823"/>
        <v>1</v>
      </c>
      <c r="AC923">
        <f t="shared" si="1823"/>
        <v>1</v>
      </c>
      <c r="AD923">
        <f t="shared" si="6"/>
        <v>2</v>
      </c>
      <c r="AE923">
        <f t="shared" si="7"/>
        <v>1</v>
      </c>
      <c r="AF923">
        <f>if(iferror(vlookup($A923,'Description Database'!$E$2:$H$951,3,0),0)=TRUE,1,0)</f>
        <v>0</v>
      </c>
      <c r="AG923">
        <f>if(iferror(vlookup($A923,'Description Database'!$E$2:$H$951,4,0),0)=TRUE,1,0)</f>
        <v>0</v>
      </c>
    </row>
    <row r="924">
      <c r="A924" t="str">
        <f>IFERROR(__xludf.DUMMYFUNCTION("""COMPUTED_VALUE"""),"Samsung Galaxy M31 (6 GB/64 GB)")</f>
        <v>Samsung Galaxy M31 (6 GB/64 GB)</v>
      </c>
      <c r="B924" t="str">
        <f>IFERROR(__xludf.DUMMYFUNCTION("""COMPUTED_VALUE"""),"")</f>
        <v/>
      </c>
      <c r="C924" t="str">
        <f>IFERROR(__xludf.DUMMYFUNCTION("""COMPUTED_VALUE"""),"")</f>
        <v/>
      </c>
      <c r="D924" t="str">
        <f>IFERROR(__xludf.DUMMYFUNCTION("""COMPUTED_VALUE"""),"")</f>
        <v/>
      </c>
      <c r="E924" t="str">
        <f>IFERROR(__xludf.DUMMYFUNCTION("""COMPUTED_VALUE"""),"")</f>
        <v/>
      </c>
      <c r="F924" t="str">
        <f>IFERROR(__xludf.DUMMYFUNCTION("""COMPUTED_VALUE"""),"")</f>
        <v/>
      </c>
      <c r="G924" t="str">
        <f>IFERROR(__xludf.DUMMYFUNCTION("""COMPUTED_VALUE"""),"")</f>
        <v/>
      </c>
      <c r="H924" t="str">
        <f>IFERROR(__xludf.DUMMYFUNCTION("""COMPUTED_VALUE"""),"")</f>
        <v/>
      </c>
      <c r="I924">
        <f>IFERROR(__xludf.DUMMYFUNCTION("""COMPUTED_VALUE"""),1.0)</f>
        <v>1</v>
      </c>
      <c r="J924">
        <f>IFERROR(__xludf.DUMMYFUNCTION("""COMPUTED_VALUE"""),1.0)</f>
        <v>1</v>
      </c>
      <c r="L924" s="250" t="str">
        <f>IFERROR(__xludf.DUMMYFUNCTION("""COMPUTED_VALUE"""),"")</f>
        <v/>
      </c>
      <c r="M924" s="250" t="str">
        <f>IFERROR(__xludf.DUMMYFUNCTION("""COMPUTED_VALUE"""),"")</f>
        <v/>
      </c>
      <c r="N924" s="250" t="str">
        <f>IFERROR(__xludf.DUMMYFUNCTION("""COMPUTED_VALUE"""),"")</f>
        <v/>
      </c>
      <c r="O924" s="250" t="str">
        <f>IFERROR(__xludf.DUMMYFUNCTION("""COMPUTED_VALUE"""),"")</f>
        <v/>
      </c>
      <c r="P924" s="250" t="str">
        <f>IFERROR(__xludf.DUMMYFUNCTION("""COMPUTED_VALUE"""),"")</f>
        <v/>
      </c>
      <c r="Q924" s="250" t="str">
        <f>IFERROR(__xludf.DUMMYFUNCTION("""COMPUTED_VALUE"""),"")</f>
        <v/>
      </c>
      <c r="R924" s="250" t="str">
        <f>IFERROR(__xludf.DUMMYFUNCTION("""COMPUTED_VALUE"""),"")</f>
        <v/>
      </c>
      <c r="U924" s="250">
        <f>IFERROR(__xludf.DUMMYFUNCTION("""COMPUTED_VALUE"""),8649.0)</f>
        <v>8649</v>
      </c>
      <c r="V924" s="250">
        <f>IFERROR(__xludf.DUMMYFUNCTION("""COMPUTED_VALUE"""),8229.0)</f>
        <v>8229</v>
      </c>
      <c r="W924" s="250">
        <f>IFERROR(__xludf.DUMMYFUNCTION("""COMPUTED_VALUE"""),7339.0)</f>
        <v>7339</v>
      </c>
      <c r="X924" t="b">
        <f t="shared" ref="X924:Z924" si="1824">ISBLANK(K924)</f>
        <v>1</v>
      </c>
      <c r="Y924" t="b">
        <f t="shared" si="1824"/>
        <v>0</v>
      </c>
      <c r="Z924" t="b">
        <f t="shared" si="1824"/>
        <v>0</v>
      </c>
      <c r="AA924">
        <f t="shared" ref="AA924:AC924" si="1825">IF(X924=FALSE,1,0)</f>
        <v>0</v>
      </c>
      <c r="AB924">
        <f t="shared" si="1825"/>
        <v>1</v>
      </c>
      <c r="AC924">
        <f t="shared" si="1825"/>
        <v>1</v>
      </c>
      <c r="AD924">
        <f t="shared" si="6"/>
        <v>2</v>
      </c>
      <c r="AE924">
        <f t="shared" si="7"/>
        <v>1</v>
      </c>
      <c r="AF924">
        <f>if(iferror(vlookup($A924,'Description Database'!$E$2:$H$951,3,0),0)=TRUE,1,0)</f>
        <v>0</v>
      </c>
      <c r="AG924">
        <f>if(iferror(vlookup($A924,'Description Database'!$E$2:$H$951,4,0),0)=TRUE,1,0)</f>
        <v>0</v>
      </c>
    </row>
    <row r="925">
      <c r="A925" t="str">
        <f>IFERROR(__xludf.DUMMYFUNCTION("""COMPUTED_VALUE"""),"Lenovo K6 power (2 GB/16 GB)")</f>
        <v>Lenovo K6 power (2 GB/16 GB)</v>
      </c>
      <c r="B925" t="str">
        <f>IFERROR(__xludf.DUMMYFUNCTION("""COMPUTED_VALUE"""),"")</f>
        <v/>
      </c>
      <c r="C925" t="str">
        <f>IFERROR(__xludf.DUMMYFUNCTION("""COMPUTED_VALUE"""),"")</f>
        <v/>
      </c>
      <c r="D925" t="str">
        <f>IFERROR(__xludf.DUMMYFUNCTION("""COMPUTED_VALUE"""),"")</f>
        <v/>
      </c>
      <c r="E925" t="str">
        <f>IFERROR(__xludf.DUMMYFUNCTION("""COMPUTED_VALUE"""),"")</f>
        <v/>
      </c>
      <c r="F925" t="str">
        <f>IFERROR(__xludf.DUMMYFUNCTION("""COMPUTED_VALUE"""),"")</f>
        <v/>
      </c>
      <c r="G925" t="str">
        <f>IFERROR(__xludf.DUMMYFUNCTION("""COMPUTED_VALUE"""),"")</f>
        <v/>
      </c>
      <c r="H925" t="str">
        <f>IFERROR(__xludf.DUMMYFUNCTION("""COMPUTED_VALUE"""),"")</f>
        <v/>
      </c>
      <c r="I925">
        <f>IFERROR(__xludf.DUMMYFUNCTION("""COMPUTED_VALUE"""),2.0)</f>
        <v>2</v>
      </c>
      <c r="J925">
        <f>IFERROR(__xludf.DUMMYFUNCTION("""COMPUTED_VALUE"""),2.0)</f>
        <v>2</v>
      </c>
      <c r="L925" s="250" t="str">
        <f>IFERROR(__xludf.DUMMYFUNCTION("""COMPUTED_VALUE"""),"")</f>
        <v/>
      </c>
      <c r="M925" s="250" t="str">
        <f>IFERROR(__xludf.DUMMYFUNCTION("""COMPUTED_VALUE"""),"")</f>
        <v/>
      </c>
      <c r="N925" s="250" t="str">
        <f>IFERROR(__xludf.DUMMYFUNCTION("""COMPUTED_VALUE"""),"")</f>
        <v/>
      </c>
      <c r="O925" s="250" t="str">
        <f>IFERROR(__xludf.DUMMYFUNCTION("""COMPUTED_VALUE"""),"")</f>
        <v/>
      </c>
      <c r="P925" s="250" t="str">
        <f>IFERROR(__xludf.DUMMYFUNCTION("""COMPUTED_VALUE"""),"")</f>
        <v/>
      </c>
      <c r="Q925" s="250" t="str">
        <f>IFERROR(__xludf.DUMMYFUNCTION("""COMPUTED_VALUE"""),"")</f>
        <v/>
      </c>
      <c r="R925" s="250" t="str">
        <f>IFERROR(__xludf.DUMMYFUNCTION("""COMPUTED_VALUE"""),"")</f>
        <v/>
      </c>
      <c r="U925" s="250">
        <f>IFERROR(__xludf.DUMMYFUNCTION("""COMPUTED_VALUE"""),3119.0)</f>
        <v>3119</v>
      </c>
      <c r="V925" s="250">
        <f>IFERROR(__xludf.DUMMYFUNCTION("""COMPUTED_VALUE"""),2959.0)</f>
        <v>2959</v>
      </c>
      <c r="W925" s="250">
        <f>IFERROR(__xludf.DUMMYFUNCTION("""COMPUTED_VALUE"""),2669.0)</f>
        <v>2669</v>
      </c>
      <c r="X925" t="b">
        <f t="shared" ref="X925:Z925" si="1826">ISBLANK(K925)</f>
        <v>1</v>
      </c>
      <c r="Y925" t="b">
        <f t="shared" si="1826"/>
        <v>0</v>
      </c>
      <c r="Z925" t="b">
        <f t="shared" si="1826"/>
        <v>0</v>
      </c>
      <c r="AA925">
        <f t="shared" ref="AA925:AC925" si="1827">IF(X925=FALSE,1,0)</f>
        <v>0</v>
      </c>
      <c r="AB925">
        <f t="shared" si="1827"/>
        <v>1</v>
      </c>
      <c r="AC925">
        <f t="shared" si="1827"/>
        <v>1</v>
      </c>
      <c r="AD925">
        <f t="shared" si="6"/>
        <v>2</v>
      </c>
      <c r="AE925">
        <f t="shared" si="7"/>
        <v>1</v>
      </c>
      <c r="AF925">
        <f>if(iferror(vlookup($A925,'Description Database'!$E$2:$H$951,3,0),0)=TRUE,1,0)</f>
        <v>0</v>
      </c>
      <c r="AG925">
        <f>if(iferror(vlookup($A925,'Description Database'!$E$2:$H$951,4,0),0)=TRUE,1,0)</f>
        <v>0</v>
      </c>
    </row>
    <row r="926">
      <c r="A926" t="str">
        <f>IFERROR(__xludf.DUMMYFUNCTION("""COMPUTED_VALUE"""),"Xiaomi POCO X2 (8 GB/256 GB)")</f>
        <v>Xiaomi POCO X2 (8 GB/256 GB)</v>
      </c>
      <c r="B926" t="str">
        <f>IFERROR(__xludf.DUMMYFUNCTION("""COMPUTED_VALUE"""),"")</f>
        <v/>
      </c>
      <c r="C926" t="str">
        <f>IFERROR(__xludf.DUMMYFUNCTION("""COMPUTED_VALUE"""),"")</f>
        <v/>
      </c>
      <c r="D926" t="str">
        <f>IFERROR(__xludf.DUMMYFUNCTION("""COMPUTED_VALUE"""),"")</f>
        <v/>
      </c>
      <c r="E926" t="str">
        <f>IFERROR(__xludf.DUMMYFUNCTION("""COMPUTED_VALUE"""),"")</f>
        <v/>
      </c>
      <c r="F926" t="str">
        <f>IFERROR(__xludf.DUMMYFUNCTION("""COMPUTED_VALUE"""),"")</f>
        <v/>
      </c>
      <c r="G926" t="str">
        <f>IFERROR(__xludf.DUMMYFUNCTION("""COMPUTED_VALUE"""),"")</f>
        <v/>
      </c>
      <c r="H926" t="str">
        <f>IFERROR(__xludf.DUMMYFUNCTION("""COMPUTED_VALUE"""),"")</f>
        <v/>
      </c>
      <c r="I926" t="str">
        <f>IFERROR(__xludf.DUMMYFUNCTION("""COMPUTED_VALUE"""),"")</f>
        <v/>
      </c>
      <c r="J926">
        <f>IFERROR(__xludf.DUMMYFUNCTION("""COMPUTED_VALUE"""),0.0)</f>
        <v>0</v>
      </c>
      <c r="L926" s="250" t="str">
        <f>IFERROR(__xludf.DUMMYFUNCTION("""COMPUTED_VALUE"""),"")</f>
        <v/>
      </c>
      <c r="M926" s="250" t="str">
        <f>IFERROR(__xludf.DUMMYFUNCTION("""COMPUTED_VALUE"""),"")</f>
        <v/>
      </c>
      <c r="N926" s="250" t="str">
        <f>IFERROR(__xludf.DUMMYFUNCTION("""COMPUTED_VALUE"""),"")</f>
        <v/>
      </c>
      <c r="O926" s="250" t="str">
        <f>IFERROR(__xludf.DUMMYFUNCTION("""COMPUTED_VALUE"""),"")</f>
        <v/>
      </c>
      <c r="P926" s="250" t="str">
        <f>IFERROR(__xludf.DUMMYFUNCTION("""COMPUTED_VALUE"""),"")</f>
        <v/>
      </c>
      <c r="Q926" s="250" t="str">
        <f>IFERROR(__xludf.DUMMYFUNCTION("""COMPUTED_VALUE"""),"")</f>
        <v/>
      </c>
      <c r="R926" s="250" t="str">
        <f>IFERROR(__xludf.DUMMYFUNCTION("""COMPUTED_VALUE"""),"")</f>
        <v/>
      </c>
      <c r="U926" s="250">
        <f>IFERROR(__xludf.DUMMYFUNCTION("""COMPUTED_VALUE"""),13979.0)</f>
        <v>13979</v>
      </c>
      <c r="V926" s="250">
        <f>IFERROR(__xludf.DUMMYFUNCTION("""COMPUTED_VALUE"""),13309.0)</f>
        <v>13309</v>
      </c>
      <c r="W926" s="250">
        <f>IFERROR(__xludf.DUMMYFUNCTION("""COMPUTED_VALUE"""),11979.0)</f>
        <v>11979</v>
      </c>
      <c r="X926" t="b">
        <f t="shared" ref="X926:Z926" si="1828">ISBLANK(K926)</f>
        <v>1</v>
      </c>
      <c r="Y926" t="b">
        <f t="shared" si="1828"/>
        <v>0</v>
      </c>
      <c r="Z926" t="b">
        <f t="shared" si="1828"/>
        <v>0</v>
      </c>
      <c r="AA926">
        <f t="shared" ref="AA926:AC926" si="1829">IF(X926=FALSE,1,0)</f>
        <v>0</v>
      </c>
      <c r="AB926">
        <f t="shared" si="1829"/>
        <v>1</v>
      </c>
      <c r="AC926">
        <f t="shared" si="1829"/>
        <v>1</v>
      </c>
      <c r="AD926">
        <f t="shared" si="6"/>
        <v>2</v>
      </c>
      <c r="AE926">
        <f t="shared" si="7"/>
        <v>1</v>
      </c>
      <c r="AF926">
        <f>if(iferror(vlookup($A926,'Description Database'!$E$2:$H$951,3,0),0)=TRUE,1,0)</f>
        <v>0</v>
      </c>
      <c r="AG926">
        <f>if(iferror(vlookup($A926,'Description Database'!$E$2:$H$951,4,0),0)=TRUE,1,0)</f>
        <v>0</v>
      </c>
    </row>
    <row r="927">
      <c r="A927" t="str">
        <f>IFERROR(__xludf.DUMMYFUNCTION("""COMPUTED_VALUE"""),"Motorola Moto G4 (2 GB/32 GB)")</f>
        <v>Motorola Moto G4 (2 GB/32 GB)</v>
      </c>
      <c r="B927" t="str">
        <f>IFERROR(__xludf.DUMMYFUNCTION("""COMPUTED_VALUE"""),"")</f>
        <v/>
      </c>
      <c r="C927" t="str">
        <f>IFERROR(__xludf.DUMMYFUNCTION("""COMPUTED_VALUE"""),"")</f>
        <v/>
      </c>
      <c r="D927" t="str">
        <f>IFERROR(__xludf.DUMMYFUNCTION("""COMPUTED_VALUE"""),"")</f>
        <v/>
      </c>
      <c r="E927" t="str">
        <f>IFERROR(__xludf.DUMMYFUNCTION("""COMPUTED_VALUE"""),"")</f>
        <v/>
      </c>
      <c r="F927" t="str">
        <f>IFERROR(__xludf.DUMMYFUNCTION("""COMPUTED_VALUE"""),"")</f>
        <v/>
      </c>
      <c r="G927" t="str">
        <f>IFERROR(__xludf.DUMMYFUNCTION("""COMPUTED_VALUE"""),"")</f>
        <v/>
      </c>
      <c r="H927" t="str">
        <f>IFERROR(__xludf.DUMMYFUNCTION("""COMPUTED_VALUE"""),"")</f>
        <v/>
      </c>
      <c r="I927">
        <f>IFERROR(__xludf.DUMMYFUNCTION("""COMPUTED_VALUE"""),1.0)</f>
        <v>1</v>
      </c>
      <c r="J927">
        <f>IFERROR(__xludf.DUMMYFUNCTION("""COMPUTED_VALUE"""),1.0)</f>
        <v>1</v>
      </c>
      <c r="L927" s="250" t="str">
        <f>IFERROR(__xludf.DUMMYFUNCTION("""COMPUTED_VALUE"""),"")</f>
        <v/>
      </c>
      <c r="M927" s="250" t="str">
        <f>IFERROR(__xludf.DUMMYFUNCTION("""COMPUTED_VALUE"""),"")</f>
        <v/>
      </c>
      <c r="N927" s="250" t="str">
        <f>IFERROR(__xludf.DUMMYFUNCTION("""COMPUTED_VALUE"""),"")</f>
        <v/>
      </c>
      <c r="O927" s="250" t="str">
        <f>IFERROR(__xludf.DUMMYFUNCTION("""COMPUTED_VALUE"""),"")</f>
        <v/>
      </c>
      <c r="P927" s="250" t="str">
        <f>IFERROR(__xludf.DUMMYFUNCTION("""COMPUTED_VALUE"""),"")</f>
        <v/>
      </c>
      <c r="Q927" s="250" t="str">
        <f>IFERROR(__xludf.DUMMYFUNCTION("""COMPUTED_VALUE"""),"")</f>
        <v/>
      </c>
      <c r="R927" s="250" t="str">
        <f>IFERROR(__xludf.DUMMYFUNCTION("""COMPUTED_VALUE"""),"")</f>
        <v/>
      </c>
      <c r="U927" s="250">
        <f>IFERROR(__xludf.DUMMYFUNCTION("""COMPUTED_VALUE"""),2629.0)</f>
        <v>2629</v>
      </c>
      <c r="V927" s="250">
        <f>IFERROR(__xludf.DUMMYFUNCTION("""COMPUTED_VALUE"""),2499.0)</f>
        <v>2499</v>
      </c>
      <c r="W927" s="250">
        <f>IFERROR(__xludf.DUMMYFUNCTION("""COMPUTED_VALUE"""),2259.0)</f>
        <v>2259</v>
      </c>
      <c r="X927" t="b">
        <f t="shared" ref="X927:Z927" si="1830">ISBLANK(K927)</f>
        <v>1</v>
      </c>
      <c r="Y927" t="b">
        <f t="shared" si="1830"/>
        <v>0</v>
      </c>
      <c r="Z927" t="b">
        <f t="shared" si="1830"/>
        <v>0</v>
      </c>
      <c r="AA927">
        <f t="shared" ref="AA927:AC927" si="1831">IF(X927=FALSE,1,0)</f>
        <v>0</v>
      </c>
      <c r="AB927">
        <f t="shared" si="1831"/>
        <v>1</v>
      </c>
      <c r="AC927">
        <f t="shared" si="1831"/>
        <v>1</v>
      </c>
      <c r="AD927">
        <f t="shared" si="6"/>
        <v>2</v>
      </c>
      <c r="AE927">
        <f t="shared" si="7"/>
        <v>1</v>
      </c>
      <c r="AF927">
        <f>if(iferror(vlookup($A927,'Description Database'!$E$2:$H$951,3,0),0)=TRUE,1,0)</f>
        <v>0</v>
      </c>
      <c r="AG927">
        <f>if(iferror(vlookup($A927,'Description Database'!$E$2:$H$951,4,0),0)=TRUE,1,0)</f>
        <v>0</v>
      </c>
    </row>
    <row r="928">
      <c r="A928" t="str">
        <f>IFERROR(__xludf.DUMMYFUNCTION("""COMPUTED_VALUE"""),"Samsung Galaxy A21s (6 GB/64 GB)")</f>
        <v>Samsung Galaxy A21s (6 GB/64 GB)</v>
      </c>
      <c r="B928" t="str">
        <f>IFERROR(__xludf.DUMMYFUNCTION("""COMPUTED_VALUE"""),"")</f>
        <v/>
      </c>
      <c r="C928" t="str">
        <f>IFERROR(__xludf.DUMMYFUNCTION("""COMPUTED_VALUE"""),"")</f>
        <v/>
      </c>
      <c r="D928" t="str">
        <f>IFERROR(__xludf.DUMMYFUNCTION("""COMPUTED_VALUE"""),"")</f>
        <v/>
      </c>
      <c r="E928" t="str">
        <f>IFERROR(__xludf.DUMMYFUNCTION("""COMPUTED_VALUE"""),"")</f>
        <v/>
      </c>
      <c r="F928" t="str">
        <f>IFERROR(__xludf.DUMMYFUNCTION("""COMPUTED_VALUE"""),"")</f>
        <v/>
      </c>
      <c r="G928" t="str">
        <f>IFERROR(__xludf.DUMMYFUNCTION("""COMPUTED_VALUE"""),"")</f>
        <v/>
      </c>
      <c r="H928" t="str">
        <f>IFERROR(__xludf.DUMMYFUNCTION("""COMPUTED_VALUE"""),"")</f>
        <v/>
      </c>
      <c r="I928" t="str">
        <f>IFERROR(__xludf.DUMMYFUNCTION("""COMPUTED_VALUE"""),"")</f>
        <v/>
      </c>
      <c r="J928">
        <f>IFERROR(__xludf.DUMMYFUNCTION("""COMPUTED_VALUE"""),0.0)</f>
        <v>0</v>
      </c>
      <c r="L928" s="250" t="str">
        <f>IFERROR(__xludf.DUMMYFUNCTION("""COMPUTED_VALUE"""),"")</f>
        <v/>
      </c>
      <c r="M928" s="250" t="str">
        <f>IFERROR(__xludf.DUMMYFUNCTION("""COMPUTED_VALUE"""),"")</f>
        <v/>
      </c>
      <c r="N928" s="250" t="str">
        <f>IFERROR(__xludf.DUMMYFUNCTION("""COMPUTED_VALUE"""),"")</f>
        <v/>
      </c>
      <c r="O928" s="250" t="str">
        <f>IFERROR(__xludf.DUMMYFUNCTION("""COMPUTED_VALUE"""),"")</f>
        <v/>
      </c>
      <c r="P928" s="250" t="str">
        <f>IFERROR(__xludf.DUMMYFUNCTION("""COMPUTED_VALUE"""),"")</f>
        <v/>
      </c>
      <c r="Q928" s="250" t="str">
        <f>IFERROR(__xludf.DUMMYFUNCTION("""COMPUTED_VALUE"""),"")</f>
        <v/>
      </c>
      <c r="R928" s="250" t="str">
        <f>IFERROR(__xludf.DUMMYFUNCTION("""COMPUTED_VALUE"""),"")</f>
        <v/>
      </c>
      <c r="U928" s="250">
        <f>IFERROR(__xludf.DUMMYFUNCTION("""COMPUTED_VALUE"""),10379.0)</f>
        <v>10379</v>
      </c>
      <c r="V928" s="250">
        <f>IFERROR(__xludf.DUMMYFUNCTION("""COMPUTED_VALUE"""),9879.0)</f>
        <v>9879</v>
      </c>
      <c r="W928" s="250">
        <f>IFERROR(__xludf.DUMMYFUNCTION("""COMPUTED_VALUE"""),8889.0)</f>
        <v>8889</v>
      </c>
      <c r="X928" t="b">
        <f t="shared" ref="X928:Z928" si="1832">ISBLANK(K928)</f>
        <v>1</v>
      </c>
      <c r="Y928" t="b">
        <f t="shared" si="1832"/>
        <v>0</v>
      </c>
      <c r="Z928" t="b">
        <f t="shared" si="1832"/>
        <v>0</v>
      </c>
      <c r="AA928">
        <f t="shared" ref="AA928:AC928" si="1833">IF(X928=FALSE,1,0)</f>
        <v>0</v>
      </c>
      <c r="AB928">
        <f t="shared" si="1833"/>
        <v>1</v>
      </c>
      <c r="AC928">
        <f t="shared" si="1833"/>
        <v>1</v>
      </c>
      <c r="AD928">
        <f t="shared" si="6"/>
        <v>2</v>
      </c>
      <c r="AE928">
        <f t="shared" si="7"/>
        <v>1</v>
      </c>
      <c r="AF928">
        <f>if(iferror(vlookup($A928,'Description Database'!$E$2:$H$951,3,0),0)=TRUE,1,0)</f>
        <v>0</v>
      </c>
      <c r="AG928">
        <f>if(iferror(vlookup($A928,'Description Database'!$E$2:$H$951,4,0),0)=TRUE,1,0)</f>
        <v>0</v>
      </c>
    </row>
    <row r="929">
      <c r="A929" t="str">
        <f>IFERROR(__xludf.DUMMYFUNCTION("""COMPUTED_VALUE"""),"MICROMAX X707")</f>
        <v>MICROMAX X707</v>
      </c>
      <c r="B929" t="str">
        <f>IFERROR(__xludf.DUMMYFUNCTION("""COMPUTED_VALUE"""),"")</f>
        <v/>
      </c>
      <c r="C929" t="str">
        <f>IFERROR(__xludf.DUMMYFUNCTION("""COMPUTED_VALUE"""),"")</f>
        <v/>
      </c>
      <c r="D929" t="str">
        <f>IFERROR(__xludf.DUMMYFUNCTION("""COMPUTED_VALUE"""),"")</f>
        <v/>
      </c>
      <c r="E929" t="str">
        <f>IFERROR(__xludf.DUMMYFUNCTION("""COMPUTED_VALUE"""),"")</f>
        <v/>
      </c>
      <c r="F929" t="str">
        <f>IFERROR(__xludf.DUMMYFUNCTION("""COMPUTED_VALUE"""),"")</f>
        <v/>
      </c>
      <c r="G929" t="str">
        <f>IFERROR(__xludf.DUMMYFUNCTION("""COMPUTED_VALUE"""),"")</f>
        <v/>
      </c>
      <c r="H929" t="str">
        <f>IFERROR(__xludf.DUMMYFUNCTION("""COMPUTED_VALUE"""),"")</f>
        <v/>
      </c>
      <c r="I929">
        <f>IFERROR(__xludf.DUMMYFUNCTION("""COMPUTED_VALUE"""),2.0)</f>
        <v>2</v>
      </c>
      <c r="J929">
        <f>IFERROR(__xludf.DUMMYFUNCTION("""COMPUTED_VALUE"""),2.0)</f>
        <v>2</v>
      </c>
      <c r="L929" s="250" t="str">
        <f>IFERROR(__xludf.DUMMYFUNCTION("""COMPUTED_VALUE"""),"")</f>
        <v/>
      </c>
      <c r="M929" s="250" t="str">
        <f>IFERROR(__xludf.DUMMYFUNCTION("""COMPUTED_VALUE"""),"")</f>
        <v/>
      </c>
      <c r="N929" s="250" t="str">
        <f>IFERROR(__xludf.DUMMYFUNCTION("""COMPUTED_VALUE"""),"")</f>
        <v/>
      </c>
      <c r="O929" s="250" t="str">
        <f>IFERROR(__xludf.DUMMYFUNCTION("""COMPUTED_VALUE"""),"")</f>
        <v/>
      </c>
      <c r="P929" s="250" t="str">
        <f>IFERROR(__xludf.DUMMYFUNCTION("""COMPUTED_VALUE"""),"")</f>
        <v/>
      </c>
      <c r="Q929" s="250" t="str">
        <f>IFERROR(__xludf.DUMMYFUNCTION("""COMPUTED_VALUE"""),"")</f>
        <v/>
      </c>
      <c r="R929" s="250" t="str">
        <f>IFERROR(__xludf.DUMMYFUNCTION("""COMPUTED_VALUE"""),"")</f>
        <v/>
      </c>
      <c r="U929" s="250" t="str">
        <f>IFERROR(__xludf.DUMMYFUNCTION("""COMPUTED_VALUE"""),"#N/A")</f>
        <v>#N/A</v>
      </c>
      <c r="V929" s="250" t="str">
        <f>IFERROR(__xludf.DUMMYFUNCTION("""COMPUTED_VALUE"""),"#N/A")</f>
        <v>#N/A</v>
      </c>
      <c r="W929" s="250" t="str">
        <f>IFERROR(__xludf.DUMMYFUNCTION("""COMPUTED_VALUE"""),"#N/A")</f>
        <v>#N/A</v>
      </c>
      <c r="X929" t="b">
        <f t="shared" ref="X929:Z929" si="1834">ISBLANK(K929)</f>
        <v>1</v>
      </c>
      <c r="Y929" t="b">
        <f t="shared" si="1834"/>
        <v>0</v>
      </c>
      <c r="Z929" t="b">
        <f t="shared" si="1834"/>
        <v>0</v>
      </c>
      <c r="AA929">
        <f t="shared" ref="AA929:AC929" si="1835">IF(X929=FALSE,1,0)</f>
        <v>0</v>
      </c>
      <c r="AB929">
        <f t="shared" si="1835"/>
        <v>1</v>
      </c>
      <c r="AC929">
        <f t="shared" si="1835"/>
        <v>1</v>
      </c>
      <c r="AD929">
        <f t="shared" si="6"/>
        <v>2</v>
      </c>
      <c r="AE929">
        <f t="shared" si="7"/>
        <v>1</v>
      </c>
      <c r="AF929">
        <f>if(iferror(vlookup($A929,'Description Database'!$E$2:$H$951,3,0),0)=TRUE,1,0)</f>
        <v>0</v>
      </c>
      <c r="AG929">
        <f>if(iferror(vlookup($A929,'Description Database'!$E$2:$H$951,4,0),0)=TRUE,1,0)</f>
        <v>0</v>
      </c>
    </row>
    <row r="930">
      <c r="A930" t="str">
        <f>IFERROR(__xludf.DUMMYFUNCTION("""COMPUTED_VALUE"""),"Samsung  GURU FM PLUS")</f>
        <v>Samsung  GURU FM PLUS</v>
      </c>
      <c r="B930" t="str">
        <f>IFERROR(__xludf.DUMMYFUNCTION("""COMPUTED_VALUE"""),"")</f>
        <v/>
      </c>
      <c r="C930" t="str">
        <f>IFERROR(__xludf.DUMMYFUNCTION("""COMPUTED_VALUE"""),"")</f>
        <v/>
      </c>
      <c r="D930" t="str">
        <f>IFERROR(__xludf.DUMMYFUNCTION("""COMPUTED_VALUE"""),"")</f>
        <v/>
      </c>
      <c r="E930" t="str">
        <f>IFERROR(__xludf.DUMMYFUNCTION("""COMPUTED_VALUE"""),"")</f>
        <v/>
      </c>
      <c r="F930" t="str">
        <f>IFERROR(__xludf.DUMMYFUNCTION("""COMPUTED_VALUE"""),"")</f>
        <v/>
      </c>
      <c r="G930" t="str">
        <f>IFERROR(__xludf.DUMMYFUNCTION("""COMPUTED_VALUE"""),"")</f>
        <v/>
      </c>
      <c r="H930" t="str">
        <f>IFERROR(__xludf.DUMMYFUNCTION("""COMPUTED_VALUE"""),"")</f>
        <v/>
      </c>
      <c r="I930">
        <f>IFERROR(__xludf.DUMMYFUNCTION("""COMPUTED_VALUE"""),12.0)</f>
        <v>12</v>
      </c>
      <c r="J930">
        <f>IFERROR(__xludf.DUMMYFUNCTION("""COMPUTED_VALUE"""),12.0)</f>
        <v>12</v>
      </c>
      <c r="L930" s="250" t="str">
        <f>IFERROR(__xludf.DUMMYFUNCTION("""COMPUTED_VALUE"""),"")</f>
        <v/>
      </c>
      <c r="M930" s="250" t="str">
        <f>IFERROR(__xludf.DUMMYFUNCTION("""COMPUTED_VALUE"""),"")</f>
        <v/>
      </c>
      <c r="N930" s="250" t="str">
        <f>IFERROR(__xludf.DUMMYFUNCTION("""COMPUTED_VALUE"""),"")</f>
        <v/>
      </c>
      <c r="O930" s="250" t="str">
        <f>IFERROR(__xludf.DUMMYFUNCTION("""COMPUTED_VALUE"""),"")</f>
        <v/>
      </c>
      <c r="P930" s="250" t="str">
        <f>IFERROR(__xludf.DUMMYFUNCTION("""COMPUTED_VALUE"""),"")</f>
        <v/>
      </c>
      <c r="Q930" s="250" t="str">
        <f>IFERROR(__xludf.DUMMYFUNCTION("""COMPUTED_VALUE"""),"")</f>
        <v/>
      </c>
      <c r="R930" s="250" t="str">
        <f>IFERROR(__xludf.DUMMYFUNCTION("""COMPUTED_VALUE"""),"")</f>
        <v/>
      </c>
      <c r="U930" s="250" t="str">
        <f>IFERROR(__xludf.DUMMYFUNCTION("""COMPUTED_VALUE"""),"#N/A")</f>
        <v>#N/A</v>
      </c>
      <c r="V930" s="250" t="str">
        <f>IFERROR(__xludf.DUMMYFUNCTION("""COMPUTED_VALUE"""),"#N/A")</f>
        <v>#N/A</v>
      </c>
      <c r="W930" s="250" t="str">
        <f>IFERROR(__xludf.DUMMYFUNCTION("""COMPUTED_VALUE"""),"#N/A")</f>
        <v>#N/A</v>
      </c>
      <c r="X930" t="b">
        <f t="shared" ref="X930:Z930" si="1836">ISBLANK(K930)</f>
        <v>1</v>
      </c>
      <c r="Y930" t="b">
        <f t="shared" si="1836"/>
        <v>0</v>
      </c>
      <c r="Z930" t="b">
        <f t="shared" si="1836"/>
        <v>0</v>
      </c>
      <c r="AA930">
        <f t="shared" ref="AA930:AC930" si="1837">IF(X930=FALSE,1,0)</f>
        <v>0</v>
      </c>
      <c r="AB930">
        <f t="shared" si="1837"/>
        <v>1</v>
      </c>
      <c r="AC930">
        <f t="shared" si="1837"/>
        <v>1</v>
      </c>
      <c r="AD930">
        <f t="shared" si="6"/>
        <v>2</v>
      </c>
      <c r="AE930">
        <f t="shared" si="7"/>
        <v>1</v>
      </c>
      <c r="AF930">
        <f>if(iferror(vlookup($A930,'Description Database'!$E$2:$H$951,3,0),0)=TRUE,1,0)</f>
        <v>0</v>
      </c>
      <c r="AG930">
        <f>if(iferror(vlookup($A930,'Description Database'!$E$2:$H$951,4,0),0)=TRUE,1,0)</f>
        <v>0</v>
      </c>
    </row>
    <row r="931">
      <c r="A931" t="str">
        <f>IFERROR(__xludf.DUMMYFUNCTION("""COMPUTED_VALUE"""),"Panasonic Eluga I9 (3 GB/32 GB)")</f>
        <v>Panasonic Eluga I9 (3 GB/32 GB)</v>
      </c>
      <c r="B931" t="str">
        <f>IFERROR(__xludf.DUMMYFUNCTION("""COMPUTED_VALUE"""),"")</f>
        <v/>
      </c>
      <c r="C931" t="str">
        <f>IFERROR(__xludf.DUMMYFUNCTION("""COMPUTED_VALUE"""),"")</f>
        <v/>
      </c>
      <c r="D931" t="str">
        <f>IFERROR(__xludf.DUMMYFUNCTION("""COMPUTED_VALUE"""),"")</f>
        <v/>
      </c>
      <c r="E931" t="str">
        <f>IFERROR(__xludf.DUMMYFUNCTION("""COMPUTED_VALUE"""),"")</f>
        <v/>
      </c>
      <c r="F931" t="str">
        <f>IFERROR(__xludf.DUMMYFUNCTION("""COMPUTED_VALUE"""),"")</f>
        <v/>
      </c>
      <c r="G931" t="str">
        <f>IFERROR(__xludf.DUMMYFUNCTION("""COMPUTED_VALUE"""),"")</f>
        <v/>
      </c>
      <c r="H931" t="str">
        <f>IFERROR(__xludf.DUMMYFUNCTION("""COMPUTED_VALUE"""),"")</f>
        <v/>
      </c>
      <c r="I931">
        <f>IFERROR(__xludf.DUMMYFUNCTION("""COMPUTED_VALUE"""),1.0)</f>
        <v>1</v>
      </c>
      <c r="J931">
        <f>IFERROR(__xludf.DUMMYFUNCTION("""COMPUTED_VALUE"""),1.0)</f>
        <v>1</v>
      </c>
      <c r="L931" s="250" t="str">
        <f>IFERROR(__xludf.DUMMYFUNCTION("""COMPUTED_VALUE"""),"")</f>
        <v/>
      </c>
      <c r="M931" s="250" t="str">
        <f>IFERROR(__xludf.DUMMYFUNCTION("""COMPUTED_VALUE"""),"")</f>
        <v/>
      </c>
      <c r="N931" s="250" t="str">
        <f>IFERROR(__xludf.DUMMYFUNCTION("""COMPUTED_VALUE"""),"")</f>
        <v/>
      </c>
      <c r="O931" s="250" t="str">
        <f>IFERROR(__xludf.DUMMYFUNCTION("""COMPUTED_VALUE"""),"")</f>
        <v/>
      </c>
      <c r="P931" s="250" t="str">
        <f>IFERROR(__xludf.DUMMYFUNCTION("""COMPUTED_VALUE"""),"")</f>
        <v/>
      </c>
      <c r="Q931" s="250" t="str">
        <f>IFERROR(__xludf.DUMMYFUNCTION("""COMPUTED_VALUE"""),"")</f>
        <v/>
      </c>
      <c r="R931" s="250" t="str">
        <f>IFERROR(__xludf.DUMMYFUNCTION("""COMPUTED_VALUE"""),"")</f>
        <v/>
      </c>
      <c r="U931" s="250">
        <f>IFERROR(__xludf.DUMMYFUNCTION("""COMPUTED_VALUE"""),2699.0)</f>
        <v>2699</v>
      </c>
      <c r="V931" s="250">
        <f>IFERROR(__xludf.DUMMYFUNCTION("""COMPUTED_VALUE"""),2569.0)</f>
        <v>2569</v>
      </c>
      <c r="W931" s="250">
        <f>IFERROR(__xludf.DUMMYFUNCTION("""COMPUTED_VALUE"""),2299.0)</f>
        <v>2299</v>
      </c>
      <c r="X931" t="b">
        <f t="shared" ref="X931:Z931" si="1838">ISBLANK(K931)</f>
        <v>1</v>
      </c>
      <c r="Y931" t="b">
        <f t="shared" si="1838"/>
        <v>0</v>
      </c>
      <c r="Z931" t="b">
        <f t="shared" si="1838"/>
        <v>0</v>
      </c>
      <c r="AA931">
        <f t="shared" ref="AA931:AC931" si="1839">IF(X931=FALSE,1,0)</f>
        <v>0</v>
      </c>
      <c r="AB931">
        <f t="shared" si="1839"/>
        <v>1</v>
      </c>
      <c r="AC931">
        <f t="shared" si="1839"/>
        <v>1</v>
      </c>
      <c r="AD931">
        <f t="shared" si="6"/>
        <v>2</v>
      </c>
      <c r="AE931">
        <f t="shared" si="7"/>
        <v>1</v>
      </c>
      <c r="AF931">
        <f>if(iferror(vlookup($A931,'Description Database'!$E$2:$H$951,3,0),0)=TRUE,1,0)</f>
        <v>0</v>
      </c>
      <c r="AG931">
        <f>if(iferror(vlookup($A931,'Description Database'!$E$2:$H$951,4,0),0)=TRUE,1,0)</f>
        <v>0</v>
      </c>
    </row>
    <row r="932">
      <c r="A932" t="str">
        <f>IFERROR(__xludf.DUMMYFUNCTION("""COMPUTED_VALUE"""),"Samsung Metro XL")</f>
        <v>Samsung Metro XL</v>
      </c>
      <c r="B932" t="str">
        <f>IFERROR(__xludf.DUMMYFUNCTION("""COMPUTED_VALUE"""),"")</f>
        <v/>
      </c>
      <c r="C932" t="str">
        <f>IFERROR(__xludf.DUMMYFUNCTION("""COMPUTED_VALUE"""),"")</f>
        <v/>
      </c>
      <c r="D932" t="str">
        <f>IFERROR(__xludf.DUMMYFUNCTION("""COMPUTED_VALUE"""),"")</f>
        <v/>
      </c>
      <c r="E932" t="str">
        <f>IFERROR(__xludf.DUMMYFUNCTION("""COMPUTED_VALUE"""),"")</f>
        <v/>
      </c>
      <c r="F932" t="str">
        <f>IFERROR(__xludf.DUMMYFUNCTION("""COMPUTED_VALUE"""),"")</f>
        <v/>
      </c>
      <c r="G932" t="str">
        <f>IFERROR(__xludf.DUMMYFUNCTION("""COMPUTED_VALUE"""),"")</f>
        <v/>
      </c>
      <c r="H932" t="str">
        <f>IFERROR(__xludf.DUMMYFUNCTION("""COMPUTED_VALUE"""),"")</f>
        <v/>
      </c>
      <c r="I932">
        <f>IFERROR(__xludf.DUMMYFUNCTION("""COMPUTED_VALUE"""),4.0)</f>
        <v>4</v>
      </c>
      <c r="J932">
        <f>IFERROR(__xludf.DUMMYFUNCTION("""COMPUTED_VALUE"""),4.0)</f>
        <v>4</v>
      </c>
      <c r="L932" s="250" t="str">
        <f>IFERROR(__xludf.DUMMYFUNCTION("""COMPUTED_VALUE"""),"")</f>
        <v/>
      </c>
      <c r="M932" s="250" t="str">
        <f>IFERROR(__xludf.DUMMYFUNCTION("""COMPUTED_VALUE"""),"")</f>
        <v/>
      </c>
      <c r="N932" s="250" t="str">
        <f>IFERROR(__xludf.DUMMYFUNCTION("""COMPUTED_VALUE"""),"")</f>
        <v/>
      </c>
      <c r="O932" s="250" t="str">
        <f>IFERROR(__xludf.DUMMYFUNCTION("""COMPUTED_VALUE"""),"")</f>
        <v/>
      </c>
      <c r="P932" s="250" t="str">
        <f>IFERROR(__xludf.DUMMYFUNCTION("""COMPUTED_VALUE"""),"")</f>
        <v/>
      </c>
      <c r="Q932" s="250" t="str">
        <f>IFERROR(__xludf.DUMMYFUNCTION("""COMPUTED_VALUE"""),"")</f>
        <v/>
      </c>
      <c r="R932" s="250" t="str">
        <f>IFERROR(__xludf.DUMMYFUNCTION("""COMPUTED_VALUE"""),"")</f>
        <v/>
      </c>
      <c r="U932" s="250" t="str">
        <f>IFERROR(__xludf.DUMMYFUNCTION("""COMPUTED_VALUE"""),"#N/A")</f>
        <v>#N/A</v>
      </c>
      <c r="V932" s="250" t="str">
        <f>IFERROR(__xludf.DUMMYFUNCTION("""COMPUTED_VALUE"""),"#N/A")</f>
        <v>#N/A</v>
      </c>
      <c r="W932" s="250" t="str">
        <f>IFERROR(__xludf.DUMMYFUNCTION("""COMPUTED_VALUE"""),"#N/A")</f>
        <v>#N/A</v>
      </c>
      <c r="X932" t="b">
        <f t="shared" ref="X932:Z932" si="1840">ISBLANK(K932)</f>
        <v>1</v>
      </c>
      <c r="Y932" t="b">
        <f t="shared" si="1840"/>
        <v>0</v>
      </c>
      <c r="Z932" t="b">
        <f t="shared" si="1840"/>
        <v>0</v>
      </c>
      <c r="AA932">
        <f t="shared" ref="AA932:AC932" si="1841">IF(X932=FALSE,1,0)</f>
        <v>0</v>
      </c>
      <c r="AB932">
        <f t="shared" si="1841"/>
        <v>1</v>
      </c>
      <c r="AC932">
        <f t="shared" si="1841"/>
        <v>1</v>
      </c>
      <c r="AD932">
        <f t="shared" si="6"/>
        <v>2</v>
      </c>
      <c r="AE932">
        <f t="shared" si="7"/>
        <v>1</v>
      </c>
      <c r="AF932">
        <f>if(iferror(vlookup($A932,'Description Database'!$E$2:$H$951,3,0),0)=TRUE,1,0)</f>
        <v>0</v>
      </c>
      <c r="AG932">
        <f>if(iferror(vlookup($A932,'Description Database'!$E$2:$H$951,4,0),0)=TRUE,1,0)</f>
        <v>0</v>
      </c>
    </row>
    <row r="933">
      <c r="A933" t="str">
        <f>IFERROR(__xludf.DUMMYFUNCTION("""COMPUTED_VALUE"""),"HTC One E8 (2 GB/16 GB)")</f>
        <v>HTC One E8 (2 GB/16 GB)</v>
      </c>
      <c r="B933" t="str">
        <f>IFERROR(__xludf.DUMMYFUNCTION("""COMPUTED_VALUE"""),"")</f>
        <v/>
      </c>
      <c r="C933" t="str">
        <f>IFERROR(__xludf.DUMMYFUNCTION("""COMPUTED_VALUE"""),"")</f>
        <v/>
      </c>
      <c r="D933" t="str">
        <f>IFERROR(__xludf.DUMMYFUNCTION("""COMPUTED_VALUE"""),"")</f>
        <v/>
      </c>
      <c r="E933" t="str">
        <f>IFERROR(__xludf.DUMMYFUNCTION("""COMPUTED_VALUE"""),"")</f>
        <v/>
      </c>
      <c r="F933" t="str">
        <f>IFERROR(__xludf.DUMMYFUNCTION("""COMPUTED_VALUE"""),"")</f>
        <v/>
      </c>
      <c r="G933" t="str">
        <f>IFERROR(__xludf.DUMMYFUNCTION("""COMPUTED_VALUE"""),"")</f>
        <v/>
      </c>
      <c r="H933" t="str">
        <f>IFERROR(__xludf.DUMMYFUNCTION("""COMPUTED_VALUE"""),"")</f>
        <v/>
      </c>
      <c r="I933">
        <f>IFERROR(__xludf.DUMMYFUNCTION("""COMPUTED_VALUE"""),3.0)</f>
        <v>3</v>
      </c>
      <c r="J933">
        <f>IFERROR(__xludf.DUMMYFUNCTION("""COMPUTED_VALUE"""),3.0)</f>
        <v>3</v>
      </c>
      <c r="L933" s="250" t="str">
        <f>IFERROR(__xludf.DUMMYFUNCTION("""COMPUTED_VALUE"""),"")</f>
        <v/>
      </c>
      <c r="M933" s="250" t="str">
        <f>IFERROR(__xludf.DUMMYFUNCTION("""COMPUTED_VALUE"""),"")</f>
        <v/>
      </c>
      <c r="N933" s="250" t="str">
        <f>IFERROR(__xludf.DUMMYFUNCTION("""COMPUTED_VALUE"""),"")</f>
        <v/>
      </c>
      <c r="O933" s="250" t="str">
        <f>IFERROR(__xludf.DUMMYFUNCTION("""COMPUTED_VALUE"""),"")</f>
        <v/>
      </c>
      <c r="P933" s="250" t="str">
        <f>IFERROR(__xludf.DUMMYFUNCTION("""COMPUTED_VALUE"""),"")</f>
        <v/>
      </c>
      <c r="Q933" s="250" t="str">
        <f>IFERROR(__xludf.DUMMYFUNCTION("""COMPUTED_VALUE"""),"")</f>
        <v/>
      </c>
      <c r="R933" s="250" t="str">
        <f>IFERROR(__xludf.DUMMYFUNCTION("""COMPUTED_VALUE"""),"")</f>
        <v/>
      </c>
      <c r="U933" s="250">
        <f>IFERROR(__xludf.DUMMYFUNCTION("""COMPUTED_VALUE"""),1359.0)</f>
        <v>1359</v>
      </c>
      <c r="V933" s="250">
        <f>IFERROR(__xludf.DUMMYFUNCTION("""COMPUTED_VALUE"""),1289.0)</f>
        <v>1289</v>
      </c>
      <c r="W933" s="250">
        <f>IFERROR(__xludf.DUMMYFUNCTION("""COMPUTED_VALUE"""),1169.0)</f>
        <v>1169</v>
      </c>
      <c r="X933" t="b">
        <f t="shared" ref="X933:Z933" si="1842">ISBLANK(K933)</f>
        <v>1</v>
      </c>
      <c r="Y933" t="b">
        <f t="shared" si="1842"/>
        <v>0</v>
      </c>
      <c r="Z933" t="b">
        <f t="shared" si="1842"/>
        <v>0</v>
      </c>
      <c r="AA933">
        <f t="shared" ref="AA933:AC933" si="1843">IF(X933=FALSE,1,0)</f>
        <v>0</v>
      </c>
      <c r="AB933">
        <f t="shared" si="1843"/>
        <v>1</v>
      </c>
      <c r="AC933">
        <f t="shared" si="1843"/>
        <v>1</v>
      </c>
      <c r="AD933">
        <f t="shared" si="6"/>
        <v>2</v>
      </c>
      <c r="AE933">
        <f t="shared" si="7"/>
        <v>1</v>
      </c>
      <c r="AF933">
        <f>if(iferror(vlookup($A933,'Description Database'!$E$2:$H$951,3,0),0)=TRUE,1,0)</f>
        <v>0</v>
      </c>
      <c r="AG933">
        <f>if(iferror(vlookup($A933,'Description Database'!$E$2:$H$951,4,0),0)=TRUE,1,0)</f>
        <v>0</v>
      </c>
    </row>
    <row r="934">
      <c r="A934" t="str">
        <f>IFERROR(__xludf.DUMMYFUNCTION("""COMPUTED_VALUE"""),"LYF FLAME 8 (1 GB/8 GB)")</f>
        <v>LYF FLAME 8 (1 GB/8 GB)</v>
      </c>
      <c r="B934" t="str">
        <f>IFERROR(__xludf.DUMMYFUNCTION("""COMPUTED_VALUE"""),"")</f>
        <v/>
      </c>
      <c r="C934" t="str">
        <f>IFERROR(__xludf.DUMMYFUNCTION("""COMPUTED_VALUE"""),"")</f>
        <v/>
      </c>
      <c r="D934" t="str">
        <f>IFERROR(__xludf.DUMMYFUNCTION("""COMPUTED_VALUE"""),"")</f>
        <v/>
      </c>
      <c r="E934" t="str">
        <f>IFERROR(__xludf.DUMMYFUNCTION("""COMPUTED_VALUE"""),"")</f>
        <v/>
      </c>
      <c r="F934" t="str">
        <f>IFERROR(__xludf.DUMMYFUNCTION("""COMPUTED_VALUE"""),"")</f>
        <v/>
      </c>
      <c r="G934" t="str">
        <f>IFERROR(__xludf.DUMMYFUNCTION("""COMPUTED_VALUE"""),"")</f>
        <v/>
      </c>
      <c r="H934" t="str">
        <f>IFERROR(__xludf.DUMMYFUNCTION("""COMPUTED_VALUE"""),"")</f>
        <v/>
      </c>
      <c r="I934">
        <f>IFERROR(__xludf.DUMMYFUNCTION("""COMPUTED_VALUE"""),1.0)</f>
        <v>1</v>
      </c>
      <c r="J934">
        <f>IFERROR(__xludf.DUMMYFUNCTION("""COMPUTED_VALUE"""),1.0)</f>
        <v>1</v>
      </c>
      <c r="L934" s="250" t="str">
        <f>IFERROR(__xludf.DUMMYFUNCTION("""COMPUTED_VALUE"""),"")</f>
        <v/>
      </c>
      <c r="M934" s="250" t="str">
        <f>IFERROR(__xludf.DUMMYFUNCTION("""COMPUTED_VALUE"""),"")</f>
        <v/>
      </c>
      <c r="N934" s="250" t="str">
        <f>IFERROR(__xludf.DUMMYFUNCTION("""COMPUTED_VALUE"""),"")</f>
        <v/>
      </c>
      <c r="O934" s="250" t="str">
        <f>IFERROR(__xludf.DUMMYFUNCTION("""COMPUTED_VALUE"""),"")</f>
        <v/>
      </c>
      <c r="P934" s="250" t="str">
        <f>IFERROR(__xludf.DUMMYFUNCTION("""COMPUTED_VALUE"""),"")</f>
        <v/>
      </c>
      <c r="Q934" s="250" t="str">
        <f>IFERROR(__xludf.DUMMYFUNCTION("""COMPUTED_VALUE"""),"")</f>
        <v/>
      </c>
      <c r="R934" s="250" t="str">
        <f>IFERROR(__xludf.DUMMYFUNCTION("""COMPUTED_VALUE"""),"")</f>
        <v/>
      </c>
      <c r="U934" s="250" t="str">
        <f>IFERROR(__xludf.DUMMYFUNCTION("""COMPUTED_VALUE"""),"#N/A")</f>
        <v>#N/A</v>
      </c>
      <c r="V934" s="250" t="str">
        <f>IFERROR(__xludf.DUMMYFUNCTION("""COMPUTED_VALUE"""),"#N/A")</f>
        <v>#N/A</v>
      </c>
      <c r="W934" s="250" t="str">
        <f>IFERROR(__xludf.DUMMYFUNCTION("""COMPUTED_VALUE"""),"#N/A")</f>
        <v>#N/A</v>
      </c>
      <c r="X934" t="b">
        <f t="shared" ref="X934:Z934" si="1844">ISBLANK(K934)</f>
        <v>1</v>
      </c>
      <c r="Y934" t="b">
        <f t="shared" si="1844"/>
        <v>0</v>
      </c>
      <c r="Z934" t="b">
        <f t="shared" si="1844"/>
        <v>0</v>
      </c>
      <c r="AA934">
        <f t="shared" ref="AA934:AC934" si="1845">IF(X934=FALSE,1,0)</f>
        <v>0</v>
      </c>
      <c r="AB934">
        <f t="shared" si="1845"/>
        <v>1</v>
      </c>
      <c r="AC934">
        <f t="shared" si="1845"/>
        <v>1</v>
      </c>
      <c r="AD934">
        <f t="shared" si="6"/>
        <v>2</v>
      </c>
      <c r="AE934">
        <f t="shared" si="7"/>
        <v>1</v>
      </c>
      <c r="AF934">
        <f>if(iferror(vlookup($A934,'Description Database'!$E$2:$H$951,3,0),0)=TRUE,1,0)</f>
        <v>0</v>
      </c>
      <c r="AG934">
        <f>if(iferror(vlookup($A934,'Description Database'!$E$2:$H$951,4,0),0)=TRUE,1,0)</f>
        <v>0</v>
      </c>
    </row>
    <row r="935">
      <c r="A935" t="str">
        <f>IFERROR(__xludf.DUMMYFUNCTION("""COMPUTED_VALUE"""),"Motorola 2ND GENERATION (1 GB/16 GB)")</f>
        <v>Motorola 2ND GENERATION (1 GB/16 GB)</v>
      </c>
      <c r="B935" t="str">
        <f>IFERROR(__xludf.DUMMYFUNCTION("""COMPUTED_VALUE"""),"")</f>
        <v/>
      </c>
      <c r="C935" t="str">
        <f>IFERROR(__xludf.DUMMYFUNCTION("""COMPUTED_VALUE"""),"")</f>
        <v/>
      </c>
      <c r="D935" t="str">
        <f>IFERROR(__xludf.DUMMYFUNCTION("""COMPUTED_VALUE"""),"")</f>
        <v/>
      </c>
      <c r="E935" t="str">
        <f>IFERROR(__xludf.DUMMYFUNCTION("""COMPUTED_VALUE"""),"")</f>
        <v/>
      </c>
      <c r="F935" t="str">
        <f>IFERROR(__xludf.DUMMYFUNCTION("""COMPUTED_VALUE"""),"")</f>
        <v/>
      </c>
      <c r="G935" t="str">
        <f>IFERROR(__xludf.DUMMYFUNCTION("""COMPUTED_VALUE"""),"")</f>
        <v/>
      </c>
      <c r="H935" t="str">
        <f>IFERROR(__xludf.DUMMYFUNCTION("""COMPUTED_VALUE"""),"")</f>
        <v/>
      </c>
      <c r="I935">
        <f>IFERROR(__xludf.DUMMYFUNCTION("""COMPUTED_VALUE"""),4.0)</f>
        <v>4</v>
      </c>
      <c r="J935">
        <f>IFERROR(__xludf.DUMMYFUNCTION("""COMPUTED_VALUE"""),4.0)</f>
        <v>4</v>
      </c>
      <c r="L935" s="250" t="str">
        <f>IFERROR(__xludf.DUMMYFUNCTION("""COMPUTED_VALUE"""),"")</f>
        <v/>
      </c>
      <c r="M935" s="250" t="str">
        <f>IFERROR(__xludf.DUMMYFUNCTION("""COMPUTED_VALUE"""),"")</f>
        <v/>
      </c>
      <c r="N935" s="250" t="str">
        <f>IFERROR(__xludf.DUMMYFUNCTION("""COMPUTED_VALUE"""),"")</f>
        <v/>
      </c>
      <c r="O935" s="250" t="str">
        <f>IFERROR(__xludf.DUMMYFUNCTION("""COMPUTED_VALUE"""),"")</f>
        <v/>
      </c>
      <c r="P935" s="250" t="str">
        <f>IFERROR(__xludf.DUMMYFUNCTION("""COMPUTED_VALUE"""),"")</f>
        <v/>
      </c>
      <c r="Q935" s="250" t="str">
        <f>IFERROR(__xludf.DUMMYFUNCTION("""COMPUTED_VALUE"""),"")</f>
        <v/>
      </c>
      <c r="R935" s="250" t="str">
        <f>IFERROR(__xludf.DUMMYFUNCTION("""COMPUTED_VALUE"""),"")</f>
        <v/>
      </c>
      <c r="U935" s="250" t="str">
        <f>IFERROR(__xludf.DUMMYFUNCTION("""COMPUTED_VALUE"""),"#N/A")</f>
        <v>#N/A</v>
      </c>
      <c r="V935" s="250" t="str">
        <f>IFERROR(__xludf.DUMMYFUNCTION("""COMPUTED_VALUE"""),"#N/A")</f>
        <v>#N/A</v>
      </c>
      <c r="W935" s="250" t="str">
        <f>IFERROR(__xludf.DUMMYFUNCTION("""COMPUTED_VALUE"""),"#N/A")</f>
        <v>#N/A</v>
      </c>
      <c r="X935" t="b">
        <f t="shared" ref="X935:Z935" si="1846">ISBLANK(K935)</f>
        <v>1</v>
      </c>
      <c r="Y935" t="b">
        <f t="shared" si="1846"/>
        <v>0</v>
      </c>
      <c r="Z935" t="b">
        <f t="shared" si="1846"/>
        <v>0</v>
      </c>
      <c r="AA935">
        <f t="shared" ref="AA935:AC935" si="1847">IF(X935=FALSE,1,0)</f>
        <v>0</v>
      </c>
      <c r="AB935">
        <f t="shared" si="1847"/>
        <v>1</v>
      </c>
      <c r="AC935">
        <f t="shared" si="1847"/>
        <v>1</v>
      </c>
      <c r="AD935">
        <f t="shared" si="6"/>
        <v>2</v>
      </c>
      <c r="AE935">
        <f t="shared" si="7"/>
        <v>1</v>
      </c>
      <c r="AF935">
        <f>if(iferror(vlookup($A935,'Description Database'!$E$2:$H$951,3,0),0)=TRUE,1,0)</f>
        <v>0</v>
      </c>
      <c r="AG935">
        <f>if(iferror(vlookup($A935,'Description Database'!$E$2:$H$951,4,0),0)=TRUE,1,0)</f>
        <v>0</v>
      </c>
    </row>
    <row r="936">
      <c r="A936" t="str">
        <f>IFERROR(__xludf.DUMMYFUNCTION("""COMPUTED_VALUE"""),"Samsung Galaxy A50 (4 GB/128 GB)")</f>
        <v>Samsung Galaxy A50 (4 GB/128 GB)</v>
      </c>
      <c r="B936" t="str">
        <f>IFERROR(__xludf.DUMMYFUNCTION("""COMPUTED_VALUE"""),"")</f>
        <v/>
      </c>
      <c r="C936" t="str">
        <f>IFERROR(__xludf.DUMMYFUNCTION("""COMPUTED_VALUE"""),"")</f>
        <v/>
      </c>
      <c r="D936" t="str">
        <f>IFERROR(__xludf.DUMMYFUNCTION("""COMPUTED_VALUE"""),"")</f>
        <v/>
      </c>
      <c r="E936" t="str">
        <f>IFERROR(__xludf.DUMMYFUNCTION("""COMPUTED_VALUE"""),"")</f>
        <v/>
      </c>
      <c r="F936" t="str">
        <f>IFERROR(__xludf.DUMMYFUNCTION("""COMPUTED_VALUE"""),"")</f>
        <v/>
      </c>
      <c r="G936" t="str">
        <f>IFERROR(__xludf.DUMMYFUNCTION("""COMPUTED_VALUE"""),"")</f>
        <v/>
      </c>
      <c r="H936" t="str">
        <f>IFERROR(__xludf.DUMMYFUNCTION("""COMPUTED_VALUE"""),"")</f>
        <v/>
      </c>
      <c r="I936">
        <f>IFERROR(__xludf.DUMMYFUNCTION("""COMPUTED_VALUE"""),4.0)</f>
        <v>4</v>
      </c>
      <c r="J936">
        <f>IFERROR(__xludf.DUMMYFUNCTION("""COMPUTED_VALUE"""),4.0)</f>
        <v>4</v>
      </c>
      <c r="L936" s="250" t="str">
        <f>IFERROR(__xludf.DUMMYFUNCTION("""COMPUTED_VALUE"""),"")</f>
        <v/>
      </c>
      <c r="M936" s="250" t="str">
        <f>IFERROR(__xludf.DUMMYFUNCTION("""COMPUTED_VALUE"""),"")</f>
        <v/>
      </c>
      <c r="N936" s="250" t="str">
        <f>IFERROR(__xludf.DUMMYFUNCTION("""COMPUTED_VALUE"""),"")</f>
        <v/>
      </c>
      <c r="O936" s="250" t="str">
        <f>IFERROR(__xludf.DUMMYFUNCTION("""COMPUTED_VALUE"""),"")</f>
        <v/>
      </c>
      <c r="P936" s="250" t="str">
        <f>IFERROR(__xludf.DUMMYFUNCTION("""COMPUTED_VALUE"""),"")</f>
        <v/>
      </c>
      <c r="Q936" s="250" t="str">
        <f>IFERROR(__xludf.DUMMYFUNCTION("""COMPUTED_VALUE"""),"")</f>
        <v/>
      </c>
      <c r="R936" s="250" t="str">
        <f>IFERROR(__xludf.DUMMYFUNCTION("""COMPUTED_VALUE"""),"")</f>
        <v/>
      </c>
      <c r="U936" s="250">
        <f>IFERROR(__xludf.DUMMYFUNCTION("""COMPUTED_VALUE"""),9659.0)</f>
        <v>9659</v>
      </c>
      <c r="V936" s="250">
        <f>IFERROR(__xludf.DUMMYFUNCTION("""COMPUTED_VALUE"""),9199.0)</f>
        <v>9199</v>
      </c>
      <c r="W936" s="250">
        <f>IFERROR(__xludf.DUMMYFUNCTION("""COMPUTED_VALUE"""),8279.0)</f>
        <v>8279</v>
      </c>
      <c r="X936" t="b">
        <f t="shared" ref="X936:Z936" si="1848">ISBLANK(K936)</f>
        <v>1</v>
      </c>
      <c r="Y936" t="b">
        <f t="shared" si="1848"/>
        <v>0</v>
      </c>
      <c r="Z936" t="b">
        <f t="shared" si="1848"/>
        <v>0</v>
      </c>
      <c r="AA936">
        <f t="shared" ref="AA936:AC936" si="1849">IF(X936=FALSE,1,0)</f>
        <v>0</v>
      </c>
      <c r="AB936">
        <f t="shared" si="1849"/>
        <v>1</v>
      </c>
      <c r="AC936">
        <f t="shared" si="1849"/>
        <v>1</v>
      </c>
      <c r="AD936">
        <f t="shared" si="6"/>
        <v>2</v>
      </c>
      <c r="AE936">
        <f t="shared" si="7"/>
        <v>1</v>
      </c>
      <c r="AF936">
        <f>if(iferror(vlookup($A936,'Description Database'!$E$2:$H$951,3,0),0)=TRUE,1,0)</f>
        <v>0</v>
      </c>
      <c r="AG936">
        <f>if(iferror(vlookup($A936,'Description Database'!$E$2:$H$951,4,0),0)=TRUE,1,0)</f>
        <v>0</v>
      </c>
    </row>
    <row r="937">
      <c r="A937" t="str">
        <f>IFERROR(__xludf.DUMMYFUNCTION("""COMPUTED_VALUE"""),"LG Q6 (3 GB/32 GB)")</f>
        <v>LG Q6 (3 GB/32 GB)</v>
      </c>
      <c r="B937" t="str">
        <f>IFERROR(__xludf.DUMMYFUNCTION("""COMPUTED_VALUE"""),"")</f>
        <v/>
      </c>
      <c r="C937" t="str">
        <f>IFERROR(__xludf.DUMMYFUNCTION("""COMPUTED_VALUE"""),"")</f>
        <v/>
      </c>
      <c r="D937" t="str">
        <f>IFERROR(__xludf.DUMMYFUNCTION("""COMPUTED_VALUE"""),"")</f>
        <v/>
      </c>
      <c r="E937" t="str">
        <f>IFERROR(__xludf.DUMMYFUNCTION("""COMPUTED_VALUE"""),"")</f>
        <v/>
      </c>
      <c r="F937" t="str">
        <f>IFERROR(__xludf.DUMMYFUNCTION("""COMPUTED_VALUE"""),"")</f>
        <v/>
      </c>
      <c r="G937" t="str">
        <f>IFERROR(__xludf.DUMMYFUNCTION("""COMPUTED_VALUE"""),"")</f>
        <v/>
      </c>
      <c r="H937" t="str">
        <f>IFERROR(__xludf.DUMMYFUNCTION("""COMPUTED_VALUE"""),"")</f>
        <v/>
      </c>
      <c r="I937">
        <f>IFERROR(__xludf.DUMMYFUNCTION("""COMPUTED_VALUE"""),2.0)</f>
        <v>2</v>
      </c>
      <c r="J937">
        <f>IFERROR(__xludf.DUMMYFUNCTION("""COMPUTED_VALUE"""),2.0)</f>
        <v>2</v>
      </c>
      <c r="L937" s="250" t="str">
        <f>IFERROR(__xludf.DUMMYFUNCTION("""COMPUTED_VALUE"""),"")</f>
        <v/>
      </c>
      <c r="M937" s="250" t="str">
        <f>IFERROR(__xludf.DUMMYFUNCTION("""COMPUTED_VALUE"""),"")</f>
        <v/>
      </c>
      <c r="N937" s="250" t="str">
        <f>IFERROR(__xludf.DUMMYFUNCTION("""COMPUTED_VALUE"""),"")</f>
        <v/>
      </c>
      <c r="O937" s="250" t="str">
        <f>IFERROR(__xludf.DUMMYFUNCTION("""COMPUTED_VALUE"""),"")</f>
        <v/>
      </c>
      <c r="P937" s="250" t="str">
        <f>IFERROR(__xludf.DUMMYFUNCTION("""COMPUTED_VALUE"""),"")</f>
        <v/>
      </c>
      <c r="Q937" s="250" t="str">
        <f>IFERROR(__xludf.DUMMYFUNCTION("""COMPUTED_VALUE"""),"")</f>
        <v/>
      </c>
      <c r="R937" s="250" t="str">
        <f>IFERROR(__xludf.DUMMYFUNCTION("""COMPUTED_VALUE"""),"")</f>
        <v/>
      </c>
      <c r="U937" s="250">
        <f>IFERROR(__xludf.DUMMYFUNCTION("""COMPUTED_VALUE"""),3569.0)</f>
        <v>3569</v>
      </c>
      <c r="V937" s="250">
        <f>IFERROR(__xludf.DUMMYFUNCTION("""COMPUTED_VALUE"""),3389.0)</f>
        <v>3389</v>
      </c>
      <c r="W937" s="250">
        <f>IFERROR(__xludf.DUMMYFUNCTION("""COMPUTED_VALUE"""),3049.0)</f>
        <v>3049</v>
      </c>
      <c r="X937" t="b">
        <f t="shared" ref="X937:Z937" si="1850">ISBLANK(K937)</f>
        <v>1</v>
      </c>
      <c r="Y937" t="b">
        <f t="shared" si="1850"/>
        <v>0</v>
      </c>
      <c r="Z937" t="b">
        <f t="shared" si="1850"/>
        <v>0</v>
      </c>
      <c r="AA937">
        <f t="shared" ref="AA937:AC937" si="1851">IF(X937=FALSE,1,0)</f>
        <v>0</v>
      </c>
      <c r="AB937">
        <f t="shared" si="1851"/>
        <v>1</v>
      </c>
      <c r="AC937">
        <f t="shared" si="1851"/>
        <v>1</v>
      </c>
      <c r="AD937">
        <f t="shared" si="6"/>
        <v>2</v>
      </c>
      <c r="AE937">
        <f t="shared" si="7"/>
        <v>1</v>
      </c>
      <c r="AF937">
        <f>if(iferror(vlookup($A937,'Description Database'!$E$2:$H$951,3,0),0)=TRUE,1,0)</f>
        <v>0</v>
      </c>
      <c r="AG937">
        <f>if(iferror(vlookup($A937,'Description Database'!$E$2:$H$951,4,0),0)=TRUE,1,0)</f>
        <v>0</v>
      </c>
    </row>
    <row r="938">
      <c r="A938" t="str">
        <f>IFERROR(__xludf.DUMMYFUNCTION("""COMPUTED_VALUE"""),"HTC One E9+ (3 GB/32 GB)")</f>
        <v>HTC One E9+ (3 GB/32 GB)</v>
      </c>
      <c r="B938" t="str">
        <f>IFERROR(__xludf.DUMMYFUNCTION("""COMPUTED_VALUE"""),"")</f>
        <v/>
      </c>
      <c r="C938" t="str">
        <f>IFERROR(__xludf.DUMMYFUNCTION("""COMPUTED_VALUE"""),"")</f>
        <v/>
      </c>
      <c r="D938" t="str">
        <f>IFERROR(__xludf.DUMMYFUNCTION("""COMPUTED_VALUE"""),"")</f>
        <v/>
      </c>
      <c r="E938" t="str">
        <f>IFERROR(__xludf.DUMMYFUNCTION("""COMPUTED_VALUE"""),"")</f>
        <v/>
      </c>
      <c r="F938" t="str">
        <f>IFERROR(__xludf.DUMMYFUNCTION("""COMPUTED_VALUE"""),"")</f>
        <v/>
      </c>
      <c r="G938" t="str">
        <f>IFERROR(__xludf.DUMMYFUNCTION("""COMPUTED_VALUE"""),"")</f>
        <v/>
      </c>
      <c r="H938" t="str">
        <f>IFERROR(__xludf.DUMMYFUNCTION("""COMPUTED_VALUE"""),"")</f>
        <v/>
      </c>
      <c r="I938">
        <f>IFERROR(__xludf.DUMMYFUNCTION("""COMPUTED_VALUE"""),3.0)</f>
        <v>3</v>
      </c>
      <c r="J938">
        <f>IFERROR(__xludf.DUMMYFUNCTION("""COMPUTED_VALUE"""),3.0)</f>
        <v>3</v>
      </c>
      <c r="L938" s="250" t="str">
        <f>IFERROR(__xludf.DUMMYFUNCTION("""COMPUTED_VALUE"""),"")</f>
        <v/>
      </c>
      <c r="M938" s="250" t="str">
        <f>IFERROR(__xludf.DUMMYFUNCTION("""COMPUTED_VALUE"""),"")</f>
        <v/>
      </c>
      <c r="N938" s="250" t="str">
        <f>IFERROR(__xludf.DUMMYFUNCTION("""COMPUTED_VALUE"""),"")</f>
        <v/>
      </c>
      <c r="O938" s="250" t="str">
        <f>IFERROR(__xludf.DUMMYFUNCTION("""COMPUTED_VALUE"""),"")</f>
        <v/>
      </c>
      <c r="P938" s="250" t="str">
        <f>IFERROR(__xludf.DUMMYFUNCTION("""COMPUTED_VALUE"""),"")</f>
        <v/>
      </c>
      <c r="Q938" s="250" t="str">
        <f>IFERROR(__xludf.DUMMYFUNCTION("""COMPUTED_VALUE"""),"")</f>
        <v/>
      </c>
      <c r="R938" s="250" t="str">
        <f>IFERROR(__xludf.DUMMYFUNCTION("""COMPUTED_VALUE"""),"")</f>
        <v/>
      </c>
      <c r="U938" s="250">
        <f>IFERROR(__xludf.DUMMYFUNCTION("""COMPUTED_VALUE"""),2459.0)</f>
        <v>2459</v>
      </c>
      <c r="V938" s="250">
        <f>IFERROR(__xludf.DUMMYFUNCTION("""COMPUTED_VALUE"""),2339.0)</f>
        <v>2339</v>
      </c>
      <c r="W938" s="250">
        <f>IFERROR(__xludf.DUMMYFUNCTION("""COMPUTED_VALUE"""),2089.0)</f>
        <v>2089</v>
      </c>
      <c r="X938" t="b">
        <f t="shared" ref="X938:Z938" si="1852">ISBLANK(K938)</f>
        <v>1</v>
      </c>
      <c r="Y938" t="b">
        <f t="shared" si="1852"/>
        <v>0</v>
      </c>
      <c r="Z938" t="b">
        <f t="shared" si="1852"/>
        <v>0</v>
      </c>
      <c r="AA938">
        <f t="shared" ref="AA938:AC938" si="1853">IF(X938=FALSE,1,0)</f>
        <v>0</v>
      </c>
      <c r="AB938">
        <f t="shared" si="1853"/>
        <v>1</v>
      </c>
      <c r="AC938">
        <f t="shared" si="1853"/>
        <v>1</v>
      </c>
      <c r="AD938">
        <f t="shared" si="6"/>
        <v>2</v>
      </c>
      <c r="AE938">
        <f t="shared" si="7"/>
        <v>1</v>
      </c>
      <c r="AF938">
        <f>if(iferror(vlookup($A938,'Description Database'!$E$2:$H$951,3,0),0)=TRUE,1,0)</f>
        <v>0</v>
      </c>
      <c r="AG938">
        <f>if(iferror(vlookup($A938,'Description Database'!$E$2:$H$951,4,0),0)=TRUE,1,0)</f>
        <v>0</v>
      </c>
    </row>
    <row r="939">
      <c r="A939" t="str">
        <f>IFERROR(__xludf.DUMMYFUNCTION("""COMPUTED_VALUE"""),"NOKIA 7+ (4 GB/64 GB)")</f>
        <v>NOKIA 7+ (4 GB/64 GB)</v>
      </c>
      <c r="B939" t="str">
        <f>IFERROR(__xludf.DUMMYFUNCTION("""COMPUTED_VALUE"""),"")</f>
        <v/>
      </c>
      <c r="C939" t="str">
        <f>IFERROR(__xludf.DUMMYFUNCTION("""COMPUTED_VALUE"""),"")</f>
        <v/>
      </c>
      <c r="D939" t="str">
        <f>IFERROR(__xludf.DUMMYFUNCTION("""COMPUTED_VALUE"""),"")</f>
        <v/>
      </c>
      <c r="E939" t="str">
        <f>IFERROR(__xludf.DUMMYFUNCTION("""COMPUTED_VALUE"""),"")</f>
        <v/>
      </c>
      <c r="F939" t="str">
        <f>IFERROR(__xludf.DUMMYFUNCTION("""COMPUTED_VALUE"""),"")</f>
        <v/>
      </c>
      <c r="G939" t="str">
        <f>IFERROR(__xludf.DUMMYFUNCTION("""COMPUTED_VALUE"""),"")</f>
        <v/>
      </c>
      <c r="H939" t="str">
        <f>IFERROR(__xludf.DUMMYFUNCTION("""COMPUTED_VALUE"""),"")</f>
        <v/>
      </c>
      <c r="I939">
        <f>IFERROR(__xludf.DUMMYFUNCTION("""COMPUTED_VALUE"""),1.0)</f>
        <v>1</v>
      </c>
      <c r="J939">
        <f>IFERROR(__xludf.DUMMYFUNCTION("""COMPUTED_VALUE"""),1.0)</f>
        <v>1</v>
      </c>
      <c r="L939" s="250" t="str">
        <f>IFERROR(__xludf.DUMMYFUNCTION("""COMPUTED_VALUE"""),"")</f>
        <v/>
      </c>
      <c r="M939" s="250" t="str">
        <f>IFERROR(__xludf.DUMMYFUNCTION("""COMPUTED_VALUE"""),"")</f>
        <v/>
      </c>
      <c r="N939" s="250" t="str">
        <f>IFERROR(__xludf.DUMMYFUNCTION("""COMPUTED_VALUE"""),"")</f>
        <v/>
      </c>
      <c r="O939" s="250" t="str">
        <f>IFERROR(__xludf.DUMMYFUNCTION("""COMPUTED_VALUE"""),"")</f>
        <v/>
      </c>
      <c r="P939" s="250" t="str">
        <f>IFERROR(__xludf.DUMMYFUNCTION("""COMPUTED_VALUE"""),"")</f>
        <v/>
      </c>
      <c r="Q939" s="250" t="str">
        <f>IFERROR(__xludf.DUMMYFUNCTION("""COMPUTED_VALUE"""),"")</f>
        <v/>
      </c>
      <c r="R939" s="250" t="str">
        <f>IFERROR(__xludf.DUMMYFUNCTION("""COMPUTED_VALUE"""),"")</f>
        <v/>
      </c>
      <c r="U939" s="250" t="str">
        <f>IFERROR(__xludf.DUMMYFUNCTION("""COMPUTED_VALUE"""),"#N/A")</f>
        <v>#N/A</v>
      </c>
      <c r="V939" s="250" t="str">
        <f>IFERROR(__xludf.DUMMYFUNCTION("""COMPUTED_VALUE"""),"#N/A")</f>
        <v>#N/A</v>
      </c>
      <c r="W939" s="250" t="str">
        <f>IFERROR(__xludf.DUMMYFUNCTION("""COMPUTED_VALUE"""),"#N/A")</f>
        <v>#N/A</v>
      </c>
      <c r="X939" t="b">
        <f t="shared" ref="X939:Z939" si="1854">ISBLANK(K939)</f>
        <v>1</v>
      </c>
      <c r="Y939" t="b">
        <f t="shared" si="1854"/>
        <v>0</v>
      </c>
      <c r="Z939" t="b">
        <f t="shared" si="1854"/>
        <v>0</v>
      </c>
      <c r="AA939">
        <f t="shared" ref="AA939:AC939" si="1855">IF(X939=FALSE,1,0)</f>
        <v>0</v>
      </c>
      <c r="AB939">
        <f t="shared" si="1855"/>
        <v>1</v>
      </c>
      <c r="AC939">
        <f t="shared" si="1855"/>
        <v>1</v>
      </c>
      <c r="AD939">
        <f t="shared" si="6"/>
        <v>2</v>
      </c>
      <c r="AE939">
        <f t="shared" si="7"/>
        <v>1</v>
      </c>
      <c r="AF939">
        <f>if(iferror(vlookup($A939,'Description Database'!$E$2:$H$951,3,0),0)=TRUE,1,0)</f>
        <v>0</v>
      </c>
      <c r="AG939">
        <f>if(iferror(vlookup($A939,'Description Database'!$E$2:$H$951,4,0),0)=TRUE,1,0)</f>
        <v>0</v>
      </c>
    </row>
    <row r="940">
      <c r="A940" t="str">
        <f>IFERROR(__xludf.DUMMYFUNCTION("""COMPUTED_VALUE"""),"Oppo A71K (3 GB/16 GB)")</f>
        <v>Oppo A71K (3 GB/16 GB)</v>
      </c>
      <c r="B940" t="str">
        <f>IFERROR(__xludf.DUMMYFUNCTION("""COMPUTED_VALUE"""),"")</f>
        <v/>
      </c>
      <c r="C940" t="str">
        <f>IFERROR(__xludf.DUMMYFUNCTION("""COMPUTED_VALUE"""),"")</f>
        <v/>
      </c>
      <c r="D940" t="str">
        <f>IFERROR(__xludf.DUMMYFUNCTION("""COMPUTED_VALUE"""),"")</f>
        <v/>
      </c>
      <c r="E940" t="str">
        <f>IFERROR(__xludf.DUMMYFUNCTION("""COMPUTED_VALUE"""),"")</f>
        <v/>
      </c>
      <c r="F940" t="str">
        <f>IFERROR(__xludf.DUMMYFUNCTION("""COMPUTED_VALUE"""),"")</f>
        <v/>
      </c>
      <c r="G940" t="str">
        <f>IFERROR(__xludf.DUMMYFUNCTION("""COMPUTED_VALUE"""),"")</f>
        <v/>
      </c>
      <c r="H940" t="str">
        <f>IFERROR(__xludf.DUMMYFUNCTION("""COMPUTED_VALUE"""),"")</f>
        <v/>
      </c>
      <c r="I940">
        <f>IFERROR(__xludf.DUMMYFUNCTION("""COMPUTED_VALUE"""),2.0)</f>
        <v>2</v>
      </c>
      <c r="J940">
        <f>IFERROR(__xludf.DUMMYFUNCTION("""COMPUTED_VALUE"""),2.0)</f>
        <v>2</v>
      </c>
      <c r="L940" s="250" t="str">
        <f>IFERROR(__xludf.DUMMYFUNCTION("""COMPUTED_VALUE"""),"")</f>
        <v/>
      </c>
      <c r="M940" s="250" t="str">
        <f>IFERROR(__xludf.DUMMYFUNCTION("""COMPUTED_VALUE"""),"")</f>
        <v/>
      </c>
      <c r="N940" s="250" t="str">
        <f>IFERROR(__xludf.DUMMYFUNCTION("""COMPUTED_VALUE"""),"")</f>
        <v/>
      </c>
      <c r="O940" s="250" t="str">
        <f>IFERROR(__xludf.DUMMYFUNCTION("""COMPUTED_VALUE"""),"")</f>
        <v/>
      </c>
      <c r="P940" s="250" t="str">
        <f>IFERROR(__xludf.DUMMYFUNCTION("""COMPUTED_VALUE"""),"")</f>
        <v/>
      </c>
      <c r="Q940" s="250" t="str">
        <f>IFERROR(__xludf.DUMMYFUNCTION("""COMPUTED_VALUE"""),"")</f>
        <v/>
      </c>
      <c r="R940" s="250" t="str">
        <f>IFERROR(__xludf.DUMMYFUNCTION("""COMPUTED_VALUE"""),"")</f>
        <v/>
      </c>
      <c r="U940" s="250" t="str">
        <f>IFERROR(__xludf.DUMMYFUNCTION("""COMPUTED_VALUE"""),"#N/A")</f>
        <v>#N/A</v>
      </c>
      <c r="V940" s="250" t="str">
        <f>IFERROR(__xludf.DUMMYFUNCTION("""COMPUTED_VALUE"""),"#N/A")</f>
        <v>#N/A</v>
      </c>
      <c r="W940" s="250" t="str">
        <f>IFERROR(__xludf.DUMMYFUNCTION("""COMPUTED_VALUE"""),"#N/A")</f>
        <v>#N/A</v>
      </c>
      <c r="X940" t="b">
        <f t="shared" ref="X940:Z940" si="1856">ISBLANK(K940)</f>
        <v>1</v>
      </c>
      <c r="Y940" t="b">
        <f t="shared" si="1856"/>
        <v>0</v>
      </c>
      <c r="Z940" t="b">
        <f t="shared" si="1856"/>
        <v>0</v>
      </c>
      <c r="AA940">
        <f t="shared" ref="AA940:AC940" si="1857">IF(X940=FALSE,1,0)</f>
        <v>0</v>
      </c>
      <c r="AB940">
        <f t="shared" si="1857"/>
        <v>1</v>
      </c>
      <c r="AC940">
        <f t="shared" si="1857"/>
        <v>1</v>
      </c>
      <c r="AD940">
        <f t="shared" si="6"/>
        <v>2</v>
      </c>
      <c r="AE940">
        <f t="shared" si="7"/>
        <v>1</v>
      </c>
      <c r="AF940">
        <f>if(iferror(vlookup($A940,'Description Database'!$E$2:$H$951,3,0),0)=TRUE,1,0)</f>
        <v>0</v>
      </c>
      <c r="AG940">
        <f>if(iferror(vlookup($A940,'Description Database'!$E$2:$H$951,4,0),0)=TRUE,1,0)</f>
        <v>0</v>
      </c>
    </row>
    <row r="941">
      <c r="A941" t="str">
        <f>IFERROR(__xludf.DUMMYFUNCTION("""COMPUTED_VALUE"""),"HTC One M9 (3 GB/32 GB)")</f>
        <v>HTC One M9 (3 GB/32 GB)</v>
      </c>
      <c r="B941" t="str">
        <f>IFERROR(__xludf.DUMMYFUNCTION("""COMPUTED_VALUE"""),"")</f>
        <v/>
      </c>
      <c r="C941" t="str">
        <f>IFERROR(__xludf.DUMMYFUNCTION("""COMPUTED_VALUE"""),"")</f>
        <v/>
      </c>
      <c r="D941" t="str">
        <f>IFERROR(__xludf.DUMMYFUNCTION("""COMPUTED_VALUE"""),"")</f>
        <v/>
      </c>
      <c r="E941" t="str">
        <f>IFERROR(__xludf.DUMMYFUNCTION("""COMPUTED_VALUE"""),"")</f>
        <v/>
      </c>
      <c r="F941" t="str">
        <f>IFERROR(__xludf.DUMMYFUNCTION("""COMPUTED_VALUE"""),"")</f>
        <v/>
      </c>
      <c r="G941" t="str">
        <f>IFERROR(__xludf.DUMMYFUNCTION("""COMPUTED_VALUE"""),"")</f>
        <v/>
      </c>
      <c r="H941" t="str">
        <f>IFERROR(__xludf.DUMMYFUNCTION("""COMPUTED_VALUE"""),"")</f>
        <v/>
      </c>
      <c r="I941">
        <f>IFERROR(__xludf.DUMMYFUNCTION("""COMPUTED_VALUE"""),1.0)</f>
        <v>1</v>
      </c>
      <c r="J941">
        <f>IFERROR(__xludf.DUMMYFUNCTION("""COMPUTED_VALUE"""),1.0)</f>
        <v>1</v>
      </c>
      <c r="L941" s="250" t="str">
        <f>IFERROR(__xludf.DUMMYFUNCTION("""COMPUTED_VALUE"""),"")</f>
        <v/>
      </c>
      <c r="M941" s="250" t="str">
        <f>IFERROR(__xludf.DUMMYFUNCTION("""COMPUTED_VALUE"""),"")</f>
        <v/>
      </c>
      <c r="N941" s="250" t="str">
        <f>IFERROR(__xludf.DUMMYFUNCTION("""COMPUTED_VALUE"""),"")</f>
        <v/>
      </c>
      <c r="O941" s="250" t="str">
        <f>IFERROR(__xludf.DUMMYFUNCTION("""COMPUTED_VALUE"""),"")</f>
        <v/>
      </c>
      <c r="P941" s="250" t="str">
        <f>IFERROR(__xludf.DUMMYFUNCTION("""COMPUTED_VALUE"""),"")</f>
        <v/>
      </c>
      <c r="Q941" s="250" t="str">
        <f>IFERROR(__xludf.DUMMYFUNCTION("""COMPUTED_VALUE"""),"")</f>
        <v/>
      </c>
      <c r="R941" s="250" t="str">
        <f>IFERROR(__xludf.DUMMYFUNCTION("""COMPUTED_VALUE"""),"")</f>
        <v/>
      </c>
      <c r="U941" s="250">
        <f>IFERROR(__xludf.DUMMYFUNCTION("""COMPUTED_VALUE"""),2369.0)</f>
        <v>2369</v>
      </c>
      <c r="V941" s="250">
        <f>IFERROR(__xludf.DUMMYFUNCTION("""COMPUTED_VALUE"""),2249.0)</f>
        <v>2249</v>
      </c>
      <c r="W941" s="250">
        <f>IFERROR(__xludf.DUMMYFUNCTION("""COMPUTED_VALUE"""),2019.0)</f>
        <v>2019</v>
      </c>
      <c r="X941" t="b">
        <f t="shared" ref="X941:Z941" si="1858">ISBLANK(K941)</f>
        <v>1</v>
      </c>
      <c r="Y941" t="b">
        <f t="shared" si="1858"/>
        <v>0</v>
      </c>
      <c r="Z941" t="b">
        <f t="shared" si="1858"/>
        <v>0</v>
      </c>
      <c r="AA941">
        <f t="shared" ref="AA941:AC941" si="1859">IF(X941=FALSE,1,0)</f>
        <v>0</v>
      </c>
      <c r="AB941">
        <f t="shared" si="1859"/>
        <v>1</v>
      </c>
      <c r="AC941">
        <f t="shared" si="1859"/>
        <v>1</v>
      </c>
      <c r="AD941">
        <f t="shared" si="6"/>
        <v>2</v>
      </c>
      <c r="AE941">
        <f t="shared" si="7"/>
        <v>1</v>
      </c>
      <c r="AF941">
        <f>if(iferror(vlookup($A941,'Description Database'!$E$2:$H$951,3,0),0)=TRUE,1,0)</f>
        <v>0</v>
      </c>
      <c r="AG941">
        <f>if(iferror(vlookup($A941,'Description Database'!$E$2:$H$951,4,0),0)=TRUE,1,0)</f>
        <v>0</v>
      </c>
    </row>
    <row r="942">
      <c r="A942" t="str">
        <f>IFERROR(__xludf.DUMMYFUNCTION("""COMPUTED_VALUE"""),"Nokia LUMIA 1520 (2 GB/32 GB)")</f>
        <v>Nokia LUMIA 1520 (2 GB/32 GB)</v>
      </c>
      <c r="B942" t="str">
        <f>IFERROR(__xludf.DUMMYFUNCTION("""COMPUTED_VALUE"""),"")</f>
        <v/>
      </c>
      <c r="C942" t="str">
        <f>IFERROR(__xludf.DUMMYFUNCTION("""COMPUTED_VALUE"""),"")</f>
        <v/>
      </c>
      <c r="D942" t="str">
        <f>IFERROR(__xludf.DUMMYFUNCTION("""COMPUTED_VALUE"""),"")</f>
        <v/>
      </c>
      <c r="E942" t="str">
        <f>IFERROR(__xludf.DUMMYFUNCTION("""COMPUTED_VALUE"""),"")</f>
        <v/>
      </c>
      <c r="F942" t="str">
        <f>IFERROR(__xludf.DUMMYFUNCTION("""COMPUTED_VALUE"""),"")</f>
        <v/>
      </c>
      <c r="G942" t="str">
        <f>IFERROR(__xludf.DUMMYFUNCTION("""COMPUTED_VALUE"""),"")</f>
        <v/>
      </c>
      <c r="H942" t="str">
        <f>IFERROR(__xludf.DUMMYFUNCTION("""COMPUTED_VALUE"""),"")</f>
        <v/>
      </c>
      <c r="I942">
        <f>IFERROR(__xludf.DUMMYFUNCTION("""COMPUTED_VALUE"""),1.0)</f>
        <v>1</v>
      </c>
      <c r="J942">
        <f>IFERROR(__xludf.DUMMYFUNCTION("""COMPUTED_VALUE"""),1.0)</f>
        <v>1</v>
      </c>
      <c r="L942" s="250" t="str">
        <f>IFERROR(__xludf.DUMMYFUNCTION("""COMPUTED_VALUE"""),"")</f>
        <v/>
      </c>
      <c r="M942" s="250" t="str">
        <f>IFERROR(__xludf.DUMMYFUNCTION("""COMPUTED_VALUE"""),"")</f>
        <v/>
      </c>
      <c r="N942" s="250" t="str">
        <f>IFERROR(__xludf.DUMMYFUNCTION("""COMPUTED_VALUE"""),"")</f>
        <v/>
      </c>
      <c r="O942" s="250" t="str">
        <f>IFERROR(__xludf.DUMMYFUNCTION("""COMPUTED_VALUE"""),"")</f>
        <v/>
      </c>
      <c r="P942" s="250" t="str">
        <f>IFERROR(__xludf.DUMMYFUNCTION("""COMPUTED_VALUE"""),"")</f>
        <v/>
      </c>
      <c r="Q942" s="250" t="str">
        <f>IFERROR(__xludf.DUMMYFUNCTION("""COMPUTED_VALUE"""),"")</f>
        <v/>
      </c>
      <c r="R942" s="250" t="str">
        <f>IFERROR(__xludf.DUMMYFUNCTION("""COMPUTED_VALUE"""),"")</f>
        <v/>
      </c>
      <c r="U942" s="250" t="str">
        <f>IFERROR(__xludf.DUMMYFUNCTION("""COMPUTED_VALUE"""),"#N/A")</f>
        <v>#N/A</v>
      </c>
      <c r="V942" s="250" t="str">
        <f>IFERROR(__xludf.DUMMYFUNCTION("""COMPUTED_VALUE"""),"#N/A")</f>
        <v>#N/A</v>
      </c>
      <c r="W942" s="250" t="str">
        <f>IFERROR(__xludf.DUMMYFUNCTION("""COMPUTED_VALUE"""),"#N/A")</f>
        <v>#N/A</v>
      </c>
      <c r="X942" t="b">
        <f t="shared" ref="X942:Z942" si="1860">ISBLANK(K942)</f>
        <v>1</v>
      </c>
      <c r="Y942" t="b">
        <f t="shared" si="1860"/>
        <v>0</v>
      </c>
      <c r="Z942" t="b">
        <f t="shared" si="1860"/>
        <v>0</v>
      </c>
      <c r="AA942">
        <f t="shared" ref="AA942:AC942" si="1861">IF(X942=FALSE,1,0)</f>
        <v>0</v>
      </c>
      <c r="AB942">
        <f t="shared" si="1861"/>
        <v>1</v>
      </c>
      <c r="AC942">
        <f t="shared" si="1861"/>
        <v>1</v>
      </c>
      <c r="AD942">
        <f t="shared" si="6"/>
        <v>2</v>
      </c>
      <c r="AE942">
        <f t="shared" si="7"/>
        <v>1</v>
      </c>
      <c r="AF942">
        <f>if(iferror(vlookup($A942,'Description Database'!$E$2:$H$951,3,0),0)=TRUE,1,0)</f>
        <v>0</v>
      </c>
      <c r="AG942">
        <f>if(iferror(vlookup($A942,'Description Database'!$E$2:$H$951,4,0),0)=TRUE,1,0)</f>
        <v>0</v>
      </c>
    </row>
    <row r="943">
      <c r="A943" t="str">
        <f>IFERROR(__xludf.DUMMYFUNCTION("""COMPUTED_VALUE"""),"Sony Xperia Z3")</f>
        <v>Sony Xperia Z3</v>
      </c>
      <c r="B943" t="str">
        <f>IFERROR(__xludf.DUMMYFUNCTION("""COMPUTED_VALUE"""),"")</f>
        <v/>
      </c>
      <c r="C943" t="str">
        <f>IFERROR(__xludf.DUMMYFUNCTION("""COMPUTED_VALUE"""),"")</f>
        <v/>
      </c>
      <c r="D943" t="str">
        <f>IFERROR(__xludf.DUMMYFUNCTION("""COMPUTED_VALUE"""),"")</f>
        <v/>
      </c>
      <c r="E943" t="str">
        <f>IFERROR(__xludf.DUMMYFUNCTION("""COMPUTED_VALUE"""),"")</f>
        <v/>
      </c>
      <c r="F943" t="str">
        <f>IFERROR(__xludf.DUMMYFUNCTION("""COMPUTED_VALUE"""),"")</f>
        <v/>
      </c>
      <c r="G943" t="str">
        <f>IFERROR(__xludf.DUMMYFUNCTION("""COMPUTED_VALUE"""),"")</f>
        <v/>
      </c>
      <c r="H943" t="str">
        <f>IFERROR(__xludf.DUMMYFUNCTION("""COMPUTED_VALUE"""),"")</f>
        <v/>
      </c>
      <c r="I943" t="str">
        <f>IFERROR(__xludf.DUMMYFUNCTION("""COMPUTED_VALUE"""),"")</f>
        <v/>
      </c>
      <c r="J943">
        <f>IFERROR(__xludf.DUMMYFUNCTION("""COMPUTED_VALUE"""),0.0)</f>
        <v>0</v>
      </c>
      <c r="L943" s="250" t="str">
        <f>IFERROR(__xludf.DUMMYFUNCTION("""COMPUTED_VALUE"""),"")</f>
        <v/>
      </c>
      <c r="M943" s="250" t="str">
        <f>IFERROR(__xludf.DUMMYFUNCTION("""COMPUTED_VALUE"""),"")</f>
        <v/>
      </c>
      <c r="N943" s="250" t="str">
        <f>IFERROR(__xludf.DUMMYFUNCTION("""COMPUTED_VALUE"""),"")</f>
        <v/>
      </c>
      <c r="O943" s="250" t="str">
        <f>IFERROR(__xludf.DUMMYFUNCTION("""COMPUTED_VALUE"""),"")</f>
        <v/>
      </c>
      <c r="P943" s="250" t="str">
        <f>IFERROR(__xludf.DUMMYFUNCTION("""COMPUTED_VALUE"""),"")</f>
        <v/>
      </c>
      <c r="Q943" s="250" t="str">
        <f>IFERROR(__xludf.DUMMYFUNCTION("""COMPUTED_VALUE"""),"")</f>
        <v/>
      </c>
      <c r="R943" s="250" t="str">
        <f>IFERROR(__xludf.DUMMYFUNCTION("""COMPUTED_VALUE"""),"")</f>
        <v/>
      </c>
      <c r="U943" s="250">
        <f>IFERROR(__xludf.DUMMYFUNCTION("""COMPUTED_VALUE"""),1169.0)</f>
        <v>1169</v>
      </c>
      <c r="V943" s="250">
        <f>IFERROR(__xludf.DUMMYFUNCTION("""COMPUTED_VALUE"""),1109.0)</f>
        <v>1109</v>
      </c>
      <c r="W943" s="250">
        <f>IFERROR(__xludf.DUMMYFUNCTION("""COMPUTED_VALUE"""),999.0)</f>
        <v>999</v>
      </c>
      <c r="X943" t="b">
        <f t="shared" ref="X943:Z943" si="1862">ISBLANK(K943)</f>
        <v>1</v>
      </c>
      <c r="Y943" t="b">
        <f t="shared" si="1862"/>
        <v>0</v>
      </c>
      <c r="Z943" t="b">
        <f t="shared" si="1862"/>
        <v>0</v>
      </c>
      <c r="AA943">
        <f t="shared" ref="AA943:AC943" si="1863">IF(X943=FALSE,1,0)</f>
        <v>0</v>
      </c>
      <c r="AB943">
        <f t="shared" si="1863"/>
        <v>1</v>
      </c>
      <c r="AC943">
        <f t="shared" si="1863"/>
        <v>1</v>
      </c>
      <c r="AD943">
        <f t="shared" si="6"/>
        <v>2</v>
      </c>
      <c r="AE943">
        <f t="shared" si="7"/>
        <v>1</v>
      </c>
      <c r="AF943">
        <f>if(iferror(vlookup($A943,'Description Database'!$E$2:$H$951,3,0),0)=TRUE,1,0)</f>
        <v>0</v>
      </c>
      <c r="AG943">
        <f>if(iferror(vlookup($A943,'Description Database'!$E$2:$H$951,4,0),0)=TRUE,1,0)</f>
        <v>0</v>
      </c>
    </row>
    <row r="944">
      <c r="A944" t="str">
        <f>IFERROR(__xludf.DUMMYFUNCTION("""COMPUTED_VALUE"""),"Samsung GURU 1200")</f>
        <v>Samsung GURU 1200</v>
      </c>
      <c r="B944" t="str">
        <f>IFERROR(__xludf.DUMMYFUNCTION("""COMPUTED_VALUE"""),"")</f>
        <v/>
      </c>
      <c r="C944" t="str">
        <f>IFERROR(__xludf.DUMMYFUNCTION("""COMPUTED_VALUE"""),"")</f>
        <v/>
      </c>
      <c r="D944" t="str">
        <f>IFERROR(__xludf.DUMMYFUNCTION("""COMPUTED_VALUE"""),"")</f>
        <v/>
      </c>
      <c r="E944" t="str">
        <f>IFERROR(__xludf.DUMMYFUNCTION("""COMPUTED_VALUE"""),"")</f>
        <v/>
      </c>
      <c r="F944" t="str">
        <f>IFERROR(__xludf.DUMMYFUNCTION("""COMPUTED_VALUE"""),"")</f>
        <v/>
      </c>
      <c r="G944" t="str">
        <f>IFERROR(__xludf.DUMMYFUNCTION("""COMPUTED_VALUE"""),"")</f>
        <v/>
      </c>
      <c r="H944" t="str">
        <f>IFERROR(__xludf.DUMMYFUNCTION("""COMPUTED_VALUE"""),"")</f>
        <v/>
      </c>
      <c r="I944">
        <f>IFERROR(__xludf.DUMMYFUNCTION("""COMPUTED_VALUE"""),19.0)</f>
        <v>19</v>
      </c>
      <c r="J944">
        <f>IFERROR(__xludf.DUMMYFUNCTION("""COMPUTED_VALUE"""),19.0)</f>
        <v>19</v>
      </c>
      <c r="L944" s="250" t="str">
        <f>IFERROR(__xludf.DUMMYFUNCTION("""COMPUTED_VALUE"""),"")</f>
        <v/>
      </c>
      <c r="M944" s="250" t="str">
        <f>IFERROR(__xludf.DUMMYFUNCTION("""COMPUTED_VALUE"""),"")</f>
        <v/>
      </c>
      <c r="N944" s="250" t="str">
        <f>IFERROR(__xludf.DUMMYFUNCTION("""COMPUTED_VALUE"""),"")</f>
        <v/>
      </c>
      <c r="O944" s="250" t="str">
        <f>IFERROR(__xludf.DUMMYFUNCTION("""COMPUTED_VALUE"""),"")</f>
        <v/>
      </c>
      <c r="P944" s="250" t="str">
        <f>IFERROR(__xludf.DUMMYFUNCTION("""COMPUTED_VALUE"""),"")</f>
        <v/>
      </c>
      <c r="Q944" s="250" t="str">
        <f>IFERROR(__xludf.DUMMYFUNCTION("""COMPUTED_VALUE"""),"")</f>
        <v/>
      </c>
      <c r="R944" s="250" t="str">
        <f>IFERROR(__xludf.DUMMYFUNCTION("""COMPUTED_VALUE"""),"")</f>
        <v/>
      </c>
      <c r="U944" s="250" t="str">
        <f>IFERROR(__xludf.DUMMYFUNCTION("""COMPUTED_VALUE"""),"#N/A")</f>
        <v>#N/A</v>
      </c>
      <c r="V944" s="250" t="str">
        <f>IFERROR(__xludf.DUMMYFUNCTION("""COMPUTED_VALUE"""),"#N/A")</f>
        <v>#N/A</v>
      </c>
      <c r="W944" s="250" t="str">
        <f>IFERROR(__xludf.DUMMYFUNCTION("""COMPUTED_VALUE"""),"#N/A")</f>
        <v>#N/A</v>
      </c>
      <c r="X944" t="b">
        <f t="shared" ref="X944:Z944" si="1864">ISBLANK(K944)</f>
        <v>1</v>
      </c>
      <c r="Y944" t="b">
        <f t="shared" si="1864"/>
        <v>0</v>
      </c>
      <c r="Z944" t="b">
        <f t="shared" si="1864"/>
        <v>0</v>
      </c>
      <c r="AA944">
        <f t="shared" ref="AA944:AC944" si="1865">IF(X944=FALSE,1,0)</f>
        <v>0</v>
      </c>
      <c r="AB944">
        <f t="shared" si="1865"/>
        <v>1</v>
      </c>
      <c r="AC944">
        <f t="shared" si="1865"/>
        <v>1</v>
      </c>
      <c r="AD944">
        <f t="shared" si="6"/>
        <v>2</v>
      </c>
      <c r="AE944">
        <f t="shared" si="7"/>
        <v>1</v>
      </c>
      <c r="AF944">
        <f>if(iferror(vlookup($A944,'Description Database'!$E$2:$H$951,3,0),0)=TRUE,1,0)</f>
        <v>0</v>
      </c>
      <c r="AG944">
        <f>if(iferror(vlookup($A944,'Description Database'!$E$2:$H$951,4,0),0)=TRUE,1,0)</f>
        <v>0</v>
      </c>
    </row>
    <row r="945">
      <c r="A945" t="str">
        <f>IFERROR(__xludf.DUMMYFUNCTION("""COMPUTED_VALUE"""),"Micromax Unite 2 4GB")</f>
        <v>Micromax Unite 2 4GB</v>
      </c>
      <c r="B945" t="str">
        <f>IFERROR(__xludf.DUMMYFUNCTION("""COMPUTED_VALUE"""),"")</f>
        <v/>
      </c>
      <c r="C945" t="str">
        <f>IFERROR(__xludf.DUMMYFUNCTION("""COMPUTED_VALUE"""),"")</f>
        <v/>
      </c>
      <c r="D945" t="str">
        <f>IFERROR(__xludf.DUMMYFUNCTION("""COMPUTED_VALUE"""),"")</f>
        <v/>
      </c>
      <c r="E945" t="str">
        <f>IFERROR(__xludf.DUMMYFUNCTION("""COMPUTED_VALUE"""),"")</f>
        <v/>
      </c>
      <c r="F945" t="str">
        <f>IFERROR(__xludf.DUMMYFUNCTION("""COMPUTED_VALUE"""),"")</f>
        <v/>
      </c>
      <c r="G945" t="str">
        <f>IFERROR(__xludf.DUMMYFUNCTION("""COMPUTED_VALUE"""),"")</f>
        <v/>
      </c>
      <c r="H945" t="str">
        <f>IFERROR(__xludf.DUMMYFUNCTION("""COMPUTED_VALUE"""),"")</f>
        <v/>
      </c>
      <c r="I945">
        <f>IFERROR(__xludf.DUMMYFUNCTION("""COMPUTED_VALUE"""),1.0)</f>
        <v>1</v>
      </c>
      <c r="J945">
        <f>IFERROR(__xludf.DUMMYFUNCTION("""COMPUTED_VALUE"""),1.0)</f>
        <v>1</v>
      </c>
      <c r="L945" s="250" t="str">
        <f>IFERROR(__xludf.DUMMYFUNCTION("""COMPUTED_VALUE"""),"")</f>
        <v/>
      </c>
      <c r="M945" s="250" t="str">
        <f>IFERROR(__xludf.DUMMYFUNCTION("""COMPUTED_VALUE"""),"")</f>
        <v/>
      </c>
      <c r="N945" s="250" t="str">
        <f>IFERROR(__xludf.DUMMYFUNCTION("""COMPUTED_VALUE"""),"")</f>
        <v/>
      </c>
      <c r="O945" s="250" t="str">
        <f>IFERROR(__xludf.DUMMYFUNCTION("""COMPUTED_VALUE"""),"")</f>
        <v/>
      </c>
      <c r="P945" s="250" t="str">
        <f>IFERROR(__xludf.DUMMYFUNCTION("""COMPUTED_VALUE"""),"")</f>
        <v/>
      </c>
      <c r="Q945" s="250" t="str">
        <f>IFERROR(__xludf.DUMMYFUNCTION("""COMPUTED_VALUE"""),"")</f>
        <v/>
      </c>
      <c r="R945" s="250" t="str">
        <f>IFERROR(__xludf.DUMMYFUNCTION("""COMPUTED_VALUE"""),"")</f>
        <v/>
      </c>
      <c r="U945" s="250">
        <f>IFERROR(__xludf.DUMMYFUNCTION("""COMPUTED_VALUE"""),839.0)</f>
        <v>839</v>
      </c>
      <c r="V945" s="250">
        <f>IFERROR(__xludf.DUMMYFUNCTION("""COMPUTED_VALUE"""),799.0)</f>
        <v>799</v>
      </c>
      <c r="W945" s="250">
        <f>IFERROR(__xludf.DUMMYFUNCTION("""COMPUTED_VALUE"""),729.0)</f>
        <v>729</v>
      </c>
      <c r="X945" t="b">
        <f t="shared" ref="X945:Z945" si="1866">ISBLANK(K945)</f>
        <v>1</v>
      </c>
      <c r="Y945" t="b">
        <f t="shared" si="1866"/>
        <v>0</v>
      </c>
      <c r="Z945" t="b">
        <f t="shared" si="1866"/>
        <v>0</v>
      </c>
      <c r="AA945">
        <f t="shared" ref="AA945:AC945" si="1867">IF(X945=FALSE,1,0)</f>
        <v>0</v>
      </c>
      <c r="AB945">
        <f t="shared" si="1867"/>
        <v>1</v>
      </c>
      <c r="AC945">
        <f t="shared" si="1867"/>
        <v>1</v>
      </c>
      <c r="AD945">
        <f t="shared" si="6"/>
        <v>2</v>
      </c>
      <c r="AE945">
        <f t="shared" si="7"/>
        <v>1</v>
      </c>
      <c r="AF945">
        <f>if(iferror(vlookup($A945,'Description Database'!$E$2:$H$951,3,0),0)=TRUE,1,0)</f>
        <v>0</v>
      </c>
      <c r="AG945">
        <f>if(iferror(vlookup($A945,'Description Database'!$E$2:$H$951,4,0),0)=TRUE,1,0)</f>
        <v>0</v>
      </c>
    </row>
    <row r="946">
      <c r="A946" t="str">
        <f>IFERROR(__xludf.DUMMYFUNCTION("""COMPUTED_VALUE"""),"Gionee A1 Lite (3 GB/32 GB)")</f>
        <v>Gionee A1 Lite (3 GB/32 GB)</v>
      </c>
      <c r="B946" t="str">
        <f>IFERROR(__xludf.DUMMYFUNCTION("""COMPUTED_VALUE"""),"")</f>
        <v/>
      </c>
      <c r="C946" t="str">
        <f>IFERROR(__xludf.DUMMYFUNCTION("""COMPUTED_VALUE"""),"")</f>
        <v/>
      </c>
      <c r="D946" t="str">
        <f>IFERROR(__xludf.DUMMYFUNCTION("""COMPUTED_VALUE"""),"")</f>
        <v/>
      </c>
      <c r="E946" t="str">
        <f>IFERROR(__xludf.DUMMYFUNCTION("""COMPUTED_VALUE"""),"")</f>
        <v/>
      </c>
      <c r="F946" t="str">
        <f>IFERROR(__xludf.DUMMYFUNCTION("""COMPUTED_VALUE"""),"")</f>
        <v/>
      </c>
      <c r="G946" t="str">
        <f>IFERROR(__xludf.DUMMYFUNCTION("""COMPUTED_VALUE"""),"")</f>
        <v/>
      </c>
      <c r="H946" t="str">
        <f>IFERROR(__xludf.DUMMYFUNCTION("""COMPUTED_VALUE"""),"")</f>
        <v/>
      </c>
      <c r="I946">
        <f>IFERROR(__xludf.DUMMYFUNCTION("""COMPUTED_VALUE"""),1.0)</f>
        <v>1</v>
      </c>
      <c r="J946">
        <f>IFERROR(__xludf.DUMMYFUNCTION("""COMPUTED_VALUE"""),1.0)</f>
        <v>1</v>
      </c>
      <c r="L946" s="250" t="str">
        <f>IFERROR(__xludf.DUMMYFUNCTION("""COMPUTED_VALUE"""),"")</f>
        <v/>
      </c>
      <c r="M946" s="250" t="str">
        <f>IFERROR(__xludf.DUMMYFUNCTION("""COMPUTED_VALUE"""),"")</f>
        <v/>
      </c>
      <c r="N946" s="250" t="str">
        <f>IFERROR(__xludf.DUMMYFUNCTION("""COMPUTED_VALUE"""),"")</f>
        <v/>
      </c>
      <c r="O946" s="250" t="str">
        <f>IFERROR(__xludf.DUMMYFUNCTION("""COMPUTED_VALUE"""),"")</f>
        <v/>
      </c>
      <c r="P946" s="250" t="str">
        <f>IFERROR(__xludf.DUMMYFUNCTION("""COMPUTED_VALUE"""),"")</f>
        <v/>
      </c>
      <c r="Q946" s="250" t="str">
        <f>IFERROR(__xludf.DUMMYFUNCTION("""COMPUTED_VALUE"""),"")</f>
        <v/>
      </c>
      <c r="R946" s="250" t="str">
        <f>IFERROR(__xludf.DUMMYFUNCTION("""COMPUTED_VALUE"""),"")</f>
        <v/>
      </c>
      <c r="U946" s="250">
        <f>IFERROR(__xludf.DUMMYFUNCTION("""COMPUTED_VALUE"""),3819.0)</f>
        <v>3819</v>
      </c>
      <c r="V946" s="250">
        <f>IFERROR(__xludf.DUMMYFUNCTION("""COMPUTED_VALUE"""),3629.0)</f>
        <v>3629</v>
      </c>
      <c r="W946" s="250">
        <f>IFERROR(__xludf.DUMMYFUNCTION("""COMPUTED_VALUE"""),3259.0)</f>
        <v>3259</v>
      </c>
      <c r="X946" t="b">
        <f t="shared" ref="X946:Z946" si="1868">ISBLANK(K946)</f>
        <v>1</v>
      </c>
      <c r="Y946" t="b">
        <f t="shared" si="1868"/>
        <v>0</v>
      </c>
      <c r="Z946" t="b">
        <f t="shared" si="1868"/>
        <v>0</v>
      </c>
      <c r="AA946">
        <f t="shared" ref="AA946:AC946" si="1869">IF(X946=FALSE,1,0)</f>
        <v>0</v>
      </c>
      <c r="AB946">
        <f t="shared" si="1869"/>
        <v>1</v>
      </c>
      <c r="AC946">
        <f t="shared" si="1869"/>
        <v>1</v>
      </c>
      <c r="AD946">
        <f t="shared" si="6"/>
        <v>2</v>
      </c>
      <c r="AE946">
        <f t="shared" si="7"/>
        <v>1</v>
      </c>
      <c r="AF946">
        <f>if(iferror(vlookup($A946,'Description Database'!$E$2:$H$951,3,0),0)=TRUE,1,0)</f>
        <v>0</v>
      </c>
      <c r="AG946">
        <f>if(iferror(vlookup($A946,'Description Database'!$E$2:$H$951,4,0),0)=TRUE,1,0)</f>
        <v>0</v>
      </c>
    </row>
    <row r="947">
      <c r="A947" t="str">
        <f>IFERROR(__xludf.DUMMYFUNCTION("""COMPUTED_VALUE"""),"Panasonic P55 Novo 1 GB/8 GB")</f>
        <v>Panasonic P55 Novo 1 GB/8 GB</v>
      </c>
      <c r="B947" t="str">
        <f>IFERROR(__xludf.DUMMYFUNCTION("""COMPUTED_VALUE"""),"")</f>
        <v/>
      </c>
      <c r="C947" t="str">
        <f>IFERROR(__xludf.DUMMYFUNCTION("""COMPUTED_VALUE"""),"")</f>
        <v/>
      </c>
      <c r="D947" t="str">
        <f>IFERROR(__xludf.DUMMYFUNCTION("""COMPUTED_VALUE"""),"")</f>
        <v/>
      </c>
      <c r="E947" t="str">
        <f>IFERROR(__xludf.DUMMYFUNCTION("""COMPUTED_VALUE"""),"")</f>
        <v/>
      </c>
      <c r="F947" t="str">
        <f>IFERROR(__xludf.DUMMYFUNCTION("""COMPUTED_VALUE"""),"")</f>
        <v/>
      </c>
      <c r="G947" t="str">
        <f>IFERROR(__xludf.DUMMYFUNCTION("""COMPUTED_VALUE"""),"")</f>
        <v/>
      </c>
      <c r="H947" t="str">
        <f>IFERROR(__xludf.DUMMYFUNCTION("""COMPUTED_VALUE"""),"")</f>
        <v/>
      </c>
      <c r="I947">
        <f>IFERROR(__xludf.DUMMYFUNCTION("""COMPUTED_VALUE"""),1.0)</f>
        <v>1</v>
      </c>
      <c r="J947">
        <f>IFERROR(__xludf.DUMMYFUNCTION("""COMPUTED_VALUE"""),1.0)</f>
        <v>1</v>
      </c>
      <c r="L947" s="250" t="str">
        <f>IFERROR(__xludf.DUMMYFUNCTION("""COMPUTED_VALUE"""),"")</f>
        <v/>
      </c>
      <c r="M947" s="250" t="str">
        <f>IFERROR(__xludf.DUMMYFUNCTION("""COMPUTED_VALUE"""),"")</f>
        <v/>
      </c>
      <c r="N947" s="250" t="str">
        <f>IFERROR(__xludf.DUMMYFUNCTION("""COMPUTED_VALUE"""),"")</f>
        <v/>
      </c>
      <c r="O947" s="250" t="str">
        <f>IFERROR(__xludf.DUMMYFUNCTION("""COMPUTED_VALUE"""),"")</f>
        <v/>
      </c>
      <c r="P947" s="250" t="str">
        <f>IFERROR(__xludf.DUMMYFUNCTION("""COMPUTED_VALUE"""),"")</f>
        <v/>
      </c>
      <c r="Q947" s="250" t="str">
        <f>IFERROR(__xludf.DUMMYFUNCTION("""COMPUTED_VALUE"""),"")</f>
        <v/>
      </c>
      <c r="R947" s="250" t="str">
        <f>IFERROR(__xludf.DUMMYFUNCTION("""COMPUTED_VALUE"""),"")</f>
        <v/>
      </c>
      <c r="U947" s="250">
        <f>IFERROR(__xludf.DUMMYFUNCTION("""COMPUTED_VALUE"""),2319.0)</f>
        <v>2319</v>
      </c>
      <c r="V947" s="250">
        <f>IFERROR(__xludf.DUMMYFUNCTION("""COMPUTED_VALUE"""),2209.0)</f>
        <v>2209</v>
      </c>
      <c r="W947" s="250">
        <f>IFERROR(__xludf.DUMMYFUNCTION("""COMPUTED_VALUE"""),1989.0)</f>
        <v>1989</v>
      </c>
      <c r="X947" t="b">
        <f t="shared" ref="X947:Z947" si="1870">ISBLANK(K947)</f>
        <v>1</v>
      </c>
      <c r="Y947" t="b">
        <f t="shared" si="1870"/>
        <v>0</v>
      </c>
      <c r="Z947" t="b">
        <f t="shared" si="1870"/>
        <v>0</v>
      </c>
      <c r="AA947">
        <f t="shared" ref="AA947:AC947" si="1871">IF(X947=FALSE,1,0)</f>
        <v>0</v>
      </c>
      <c r="AB947">
        <f t="shared" si="1871"/>
        <v>1</v>
      </c>
      <c r="AC947">
        <f t="shared" si="1871"/>
        <v>1</v>
      </c>
      <c r="AD947">
        <f t="shared" si="6"/>
        <v>2</v>
      </c>
      <c r="AE947">
        <f t="shared" si="7"/>
        <v>1</v>
      </c>
      <c r="AF947">
        <f>if(iferror(vlookup($A947,'Description Database'!$E$2:$H$951,3,0),0)=TRUE,1,0)</f>
        <v>0</v>
      </c>
      <c r="AG947">
        <f>if(iferror(vlookup($A947,'Description Database'!$E$2:$H$951,4,0),0)=TRUE,1,0)</f>
        <v>0</v>
      </c>
    </row>
    <row r="948">
      <c r="A948" t="str">
        <f>IFERROR(__xludf.DUMMYFUNCTION("""COMPUTED_VALUE"""),"MICROMAX BHARAT 1")</f>
        <v>MICROMAX BHARAT 1</v>
      </c>
      <c r="B948" t="str">
        <f>IFERROR(__xludf.DUMMYFUNCTION("""COMPUTED_VALUE"""),"")</f>
        <v/>
      </c>
      <c r="C948" t="str">
        <f>IFERROR(__xludf.DUMMYFUNCTION("""COMPUTED_VALUE"""),"")</f>
        <v/>
      </c>
      <c r="D948" t="str">
        <f>IFERROR(__xludf.DUMMYFUNCTION("""COMPUTED_VALUE"""),"")</f>
        <v/>
      </c>
      <c r="E948" t="str">
        <f>IFERROR(__xludf.DUMMYFUNCTION("""COMPUTED_VALUE"""),"")</f>
        <v/>
      </c>
      <c r="F948" t="str">
        <f>IFERROR(__xludf.DUMMYFUNCTION("""COMPUTED_VALUE"""),"")</f>
        <v/>
      </c>
      <c r="G948" t="str">
        <f>IFERROR(__xludf.DUMMYFUNCTION("""COMPUTED_VALUE"""),"")</f>
        <v/>
      </c>
      <c r="H948" t="str">
        <f>IFERROR(__xludf.DUMMYFUNCTION("""COMPUTED_VALUE"""),"")</f>
        <v/>
      </c>
      <c r="I948">
        <f>IFERROR(__xludf.DUMMYFUNCTION("""COMPUTED_VALUE"""),5.0)</f>
        <v>5</v>
      </c>
      <c r="J948">
        <f>IFERROR(__xludf.DUMMYFUNCTION("""COMPUTED_VALUE"""),5.0)</f>
        <v>5</v>
      </c>
      <c r="L948" s="250" t="str">
        <f>IFERROR(__xludf.DUMMYFUNCTION("""COMPUTED_VALUE"""),"")</f>
        <v/>
      </c>
      <c r="M948" s="250" t="str">
        <f>IFERROR(__xludf.DUMMYFUNCTION("""COMPUTED_VALUE"""),"")</f>
        <v/>
      </c>
      <c r="N948" s="250" t="str">
        <f>IFERROR(__xludf.DUMMYFUNCTION("""COMPUTED_VALUE"""),"")</f>
        <v/>
      </c>
      <c r="O948" s="250" t="str">
        <f>IFERROR(__xludf.DUMMYFUNCTION("""COMPUTED_VALUE"""),"")</f>
        <v/>
      </c>
      <c r="P948" s="250" t="str">
        <f>IFERROR(__xludf.DUMMYFUNCTION("""COMPUTED_VALUE"""),"")</f>
        <v/>
      </c>
      <c r="Q948" s="250" t="str">
        <f>IFERROR(__xludf.DUMMYFUNCTION("""COMPUTED_VALUE"""),"")</f>
        <v/>
      </c>
      <c r="R948" s="250" t="str">
        <f>IFERROR(__xludf.DUMMYFUNCTION("""COMPUTED_VALUE"""),"")</f>
        <v/>
      </c>
      <c r="U948" s="250" t="str">
        <f>IFERROR(__xludf.DUMMYFUNCTION("""COMPUTED_VALUE"""),"#N/A")</f>
        <v>#N/A</v>
      </c>
      <c r="V948" s="250" t="str">
        <f>IFERROR(__xludf.DUMMYFUNCTION("""COMPUTED_VALUE"""),"#N/A")</f>
        <v>#N/A</v>
      </c>
      <c r="W948" s="250" t="str">
        <f>IFERROR(__xludf.DUMMYFUNCTION("""COMPUTED_VALUE"""),"#N/A")</f>
        <v>#N/A</v>
      </c>
      <c r="X948" t="b">
        <f t="shared" ref="X948:Z948" si="1872">ISBLANK(K948)</f>
        <v>1</v>
      </c>
      <c r="Y948" t="b">
        <f t="shared" si="1872"/>
        <v>0</v>
      </c>
      <c r="Z948" t="b">
        <f t="shared" si="1872"/>
        <v>0</v>
      </c>
      <c r="AA948">
        <f t="shared" ref="AA948:AC948" si="1873">IF(X948=FALSE,1,0)</f>
        <v>0</v>
      </c>
      <c r="AB948">
        <f t="shared" si="1873"/>
        <v>1</v>
      </c>
      <c r="AC948">
        <f t="shared" si="1873"/>
        <v>1</v>
      </c>
      <c r="AD948">
        <f t="shared" si="6"/>
        <v>2</v>
      </c>
      <c r="AE948">
        <f t="shared" si="7"/>
        <v>1</v>
      </c>
      <c r="AF948">
        <f>if(iferror(vlookup($A948,'Description Database'!$E$2:$H$951,3,0),0)=TRUE,1,0)</f>
        <v>0</v>
      </c>
      <c r="AG948">
        <f>if(iferror(vlookup($A948,'Description Database'!$E$2:$H$951,4,0),0)=TRUE,1,0)</f>
        <v>0</v>
      </c>
    </row>
    <row r="949">
      <c r="A949" t="str">
        <f>IFERROR(__xludf.DUMMYFUNCTION("""COMPUTED_VALUE"""),"Sony Xperia T3")</f>
        <v>Sony Xperia T3</v>
      </c>
      <c r="B949" t="str">
        <f>IFERROR(__xludf.DUMMYFUNCTION("""COMPUTED_VALUE"""),"")</f>
        <v/>
      </c>
      <c r="C949" t="str">
        <f>IFERROR(__xludf.DUMMYFUNCTION("""COMPUTED_VALUE"""),"")</f>
        <v/>
      </c>
      <c r="D949" t="str">
        <f>IFERROR(__xludf.DUMMYFUNCTION("""COMPUTED_VALUE"""),"")</f>
        <v/>
      </c>
      <c r="E949" t="str">
        <f>IFERROR(__xludf.DUMMYFUNCTION("""COMPUTED_VALUE"""),"")</f>
        <v/>
      </c>
      <c r="F949" t="str">
        <f>IFERROR(__xludf.DUMMYFUNCTION("""COMPUTED_VALUE"""),"")</f>
        <v/>
      </c>
      <c r="G949" t="str">
        <f>IFERROR(__xludf.DUMMYFUNCTION("""COMPUTED_VALUE"""),"")</f>
        <v/>
      </c>
      <c r="H949" t="str">
        <f>IFERROR(__xludf.DUMMYFUNCTION("""COMPUTED_VALUE"""),"")</f>
        <v/>
      </c>
      <c r="I949">
        <f>IFERROR(__xludf.DUMMYFUNCTION("""COMPUTED_VALUE"""),1.0)</f>
        <v>1</v>
      </c>
      <c r="J949">
        <f>IFERROR(__xludf.DUMMYFUNCTION("""COMPUTED_VALUE"""),1.0)</f>
        <v>1</v>
      </c>
      <c r="L949" s="250" t="str">
        <f>IFERROR(__xludf.DUMMYFUNCTION("""COMPUTED_VALUE"""),"")</f>
        <v/>
      </c>
      <c r="M949" s="250" t="str">
        <f>IFERROR(__xludf.DUMMYFUNCTION("""COMPUTED_VALUE"""),"")</f>
        <v/>
      </c>
      <c r="N949" s="250" t="str">
        <f>IFERROR(__xludf.DUMMYFUNCTION("""COMPUTED_VALUE"""),"")</f>
        <v/>
      </c>
      <c r="O949" s="250" t="str">
        <f>IFERROR(__xludf.DUMMYFUNCTION("""COMPUTED_VALUE"""),"")</f>
        <v/>
      </c>
      <c r="P949" s="250" t="str">
        <f>IFERROR(__xludf.DUMMYFUNCTION("""COMPUTED_VALUE"""),"")</f>
        <v/>
      </c>
      <c r="Q949" s="250" t="str">
        <f>IFERROR(__xludf.DUMMYFUNCTION("""COMPUTED_VALUE"""),"")</f>
        <v/>
      </c>
      <c r="R949" s="250" t="str">
        <f>IFERROR(__xludf.DUMMYFUNCTION("""COMPUTED_VALUE"""),"")</f>
        <v/>
      </c>
      <c r="U949" s="250">
        <f>IFERROR(__xludf.DUMMYFUNCTION("""COMPUTED_VALUE"""),1459.0)</f>
        <v>1459</v>
      </c>
      <c r="V949" s="250">
        <f>IFERROR(__xludf.DUMMYFUNCTION("""COMPUTED_VALUE"""),1379.0)</f>
        <v>1379</v>
      </c>
      <c r="W949" s="250">
        <f>IFERROR(__xludf.DUMMYFUNCTION("""COMPUTED_VALUE"""),1249.0)</f>
        <v>1249</v>
      </c>
      <c r="X949" t="b">
        <f t="shared" ref="X949:Z949" si="1874">ISBLANK(K949)</f>
        <v>1</v>
      </c>
      <c r="Y949" t="b">
        <f t="shared" si="1874"/>
        <v>0</v>
      </c>
      <c r="Z949" t="b">
        <f t="shared" si="1874"/>
        <v>0</v>
      </c>
      <c r="AA949">
        <f t="shared" ref="AA949:AC949" si="1875">IF(X949=FALSE,1,0)</f>
        <v>0</v>
      </c>
      <c r="AB949">
        <f t="shared" si="1875"/>
        <v>1</v>
      </c>
      <c r="AC949">
        <f t="shared" si="1875"/>
        <v>1</v>
      </c>
      <c r="AD949">
        <f t="shared" si="6"/>
        <v>2</v>
      </c>
      <c r="AE949">
        <f t="shared" si="7"/>
        <v>1</v>
      </c>
      <c r="AF949">
        <f>if(iferror(vlookup($A949,'Description Database'!$E$2:$H$951,3,0),0)=TRUE,1,0)</f>
        <v>0</v>
      </c>
      <c r="AG949">
        <f>if(iferror(vlookup($A949,'Description Database'!$E$2:$H$951,4,0),0)=TRUE,1,0)</f>
        <v>0</v>
      </c>
    </row>
    <row r="950">
      <c r="A950" t="str">
        <f>IFERROR(__xludf.DUMMYFUNCTION("""COMPUTED_VALUE"""),"Sony Xperia M5 Dual (3 GB/16 GB)")</f>
        <v>Sony Xperia M5 Dual (3 GB/16 GB)</v>
      </c>
      <c r="B950" t="str">
        <f>IFERROR(__xludf.DUMMYFUNCTION("""COMPUTED_VALUE"""),"")</f>
        <v/>
      </c>
      <c r="C950" t="str">
        <f>IFERROR(__xludf.DUMMYFUNCTION("""COMPUTED_VALUE"""),"")</f>
        <v/>
      </c>
      <c r="D950" t="str">
        <f>IFERROR(__xludf.DUMMYFUNCTION("""COMPUTED_VALUE"""),"")</f>
        <v/>
      </c>
      <c r="E950" t="str">
        <f>IFERROR(__xludf.DUMMYFUNCTION("""COMPUTED_VALUE"""),"")</f>
        <v/>
      </c>
      <c r="F950" t="str">
        <f>IFERROR(__xludf.DUMMYFUNCTION("""COMPUTED_VALUE"""),"")</f>
        <v/>
      </c>
      <c r="G950" t="str">
        <f>IFERROR(__xludf.DUMMYFUNCTION("""COMPUTED_VALUE"""),"")</f>
        <v/>
      </c>
      <c r="H950" t="str">
        <f>IFERROR(__xludf.DUMMYFUNCTION("""COMPUTED_VALUE"""),"")</f>
        <v/>
      </c>
      <c r="I950">
        <f>IFERROR(__xludf.DUMMYFUNCTION("""COMPUTED_VALUE"""),3.0)</f>
        <v>3</v>
      </c>
      <c r="J950">
        <f>IFERROR(__xludf.DUMMYFUNCTION("""COMPUTED_VALUE"""),3.0)</f>
        <v>3</v>
      </c>
      <c r="L950" s="250" t="str">
        <f>IFERROR(__xludf.DUMMYFUNCTION("""COMPUTED_VALUE"""),"")</f>
        <v/>
      </c>
      <c r="M950" s="250" t="str">
        <f>IFERROR(__xludf.DUMMYFUNCTION("""COMPUTED_VALUE"""),"")</f>
        <v/>
      </c>
      <c r="N950" s="250" t="str">
        <f>IFERROR(__xludf.DUMMYFUNCTION("""COMPUTED_VALUE"""),"")</f>
        <v/>
      </c>
      <c r="O950" s="250" t="str">
        <f>IFERROR(__xludf.DUMMYFUNCTION("""COMPUTED_VALUE"""),"")</f>
        <v/>
      </c>
      <c r="P950" s="250" t="str">
        <f>IFERROR(__xludf.DUMMYFUNCTION("""COMPUTED_VALUE"""),"")</f>
        <v/>
      </c>
      <c r="Q950" s="250" t="str">
        <f>IFERROR(__xludf.DUMMYFUNCTION("""COMPUTED_VALUE"""),"")</f>
        <v/>
      </c>
      <c r="R950" s="250" t="str">
        <f>IFERROR(__xludf.DUMMYFUNCTION("""COMPUTED_VALUE"""),"")</f>
        <v/>
      </c>
      <c r="U950" s="250">
        <f>IFERROR(__xludf.DUMMYFUNCTION("""COMPUTED_VALUE"""),2569.0)</f>
        <v>2569</v>
      </c>
      <c r="V950" s="250">
        <f>IFERROR(__xludf.DUMMYFUNCTION("""COMPUTED_VALUE"""),2449.0)</f>
        <v>2449</v>
      </c>
      <c r="W950" s="250">
        <f>IFERROR(__xludf.DUMMYFUNCTION("""COMPUTED_VALUE"""),2189.0)</f>
        <v>2189</v>
      </c>
      <c r="X950" t="b">
        <f t="shared" ref="X950:Z950" si="1876">ISBLANK(K950)</f>
        <v>1</v>
      </c>
      <c r="Y950" t="b">
        <f t="shared" si="1876"/>
        <v>0</v>
      </c>
      <c r="Z950" t="b">
        <f t="shared" si="1876"/>
        <v>0</v>
      </c>
      <c r="AA950">
        <f t="shared" ref="AA950:AC950" si="1877">IF(X950=FALSE,1,0)</f>
        <v>0</v>
      </c>
      <c r="AB950">
        <f t="shared" si="1877"/>
        <v>1</v>
      </c>
      <c r="AC950">
        <f t="shared" si="1877"/>
        <v>1</v>
      </c>
      <c r="AD950">
        <f t="shared" si="6"/>
        <v>2</v>
      </c>
      <c r="AE950">
        <f t="shared" si="7"/>
        <v>1</v>
      </c>
      <c r="AF950">
        <f>if(iferror(vlookup($A950,'Description Database'!$E$2:$H$951,3,0),0)=TRUE,1,0)</f>
        <v>0</v>
      </c>
      <c r="AG950">
        <f>if(iferror(vlookup($A950,'Description Database'!$E$2:$H$951,4,0),0)=TRUE,1,0)</f>
        <v>0</v>
      </c>
    </row>
    <row r="951">
      <c r="A951" t="str">
        <f>IFERROR(__xludf.DUMMYFUNCTION("""COMPUTED_VALUE"""),"Yu Yunique (1 GB/8 GB)")</f>
        <v>Yu Yunique (1 GB/8 GB)</v>
      </c>
      <c r="B951" t="str">
        <f>IFERROR(__xludf.DUMMYFUNCTION("""COMPUTED_VALUE"""),"")</f>
        <v/>
      </c>
      <c r="C951" t="str">
        <f>IFERROR(__xludf.DUMMYFUNCTION("""COMPUTED_VALUE"""),"")</f>
        <v/>
      </c>
      <c r="D951" t="str">
        <f>IFERROR(__xludf.DUMMYFUNCTION("""COMPUTED_VALUE"""),"")</f>
        <v/>
      </c>
      <c r="E951" t="str">
        <f>IFERROR(__xludf.DUMMYFUNCTION("""COMPUTED_VALUE"""),"")</f>
        <v/>
      </c>
      <c r="F951" t="str">
        <f>IFERROR(__xludf.DUMMYFUNCTION("""COMPUTED_VALUE"""),"")</f>
        <v/>
      </c>
      <c r="G951" t="str">
        <f>IFERROR(__xludf.DUMMYFUNCTION("""COMPUTED_VALUE"""),"")</f>
        <v/>
      </c>
      <c r="H951" t="str">
        <f>IFERROR(__xludf.DUMMYFUNCTION("""COMPUTED_VALUE"""),"")</f>
        <v/>
      </c>
      <c r="I951">
        <f>IFERROR(__xludf.DUMMYFUNCTION("""COMPUTED_VALUE"""),1.0)</f>
        <v>1</v>
      </c>
      <c r="J951">
        <f>IFERROR(__xludf.DUMMYFUNCTION("""COMPUTED_VALUE"""),1.0)</f>
        <v>1</v>
      </c>
      <c r="L951" s="250" t="str">
        <f>IFERROR(__xludf.DUMMYFUNCTION("""COMPUTED_VALUE"""),"")</f>
        <v/>
      </c>
      <c r="M951" s="250" t="str">
        <f>IFERROR(__xludf.DUMMYFUNCTION("""COMPUTED_VALUE"""),"")</f>
        <v/>
      </c>
      <c r="N951" s="250" t="str">
        <f>IFERROR(__xludf.DUMMYFUNCTION("""COMPUTED_VALUE"""),"")</f>
        <v/>
      </c>
      <c r="O951" s="250" t="str">
        <f>IFERROR(__xludf.DUMMYFUNCTION("""COMPUTED_VALUE"""),"")</f>
        <v/>
      </c>
      <c r="P951" s="250" t="str">
        <f>IFERROR(__xludf.DUMMYFUNCTION("""COMPUTED_VALUE"""),"")</f>
        <v/>
      </c>
      <c r="Q951" s="250" t="str">
        <f>IFERROR(__xludf.DUMMYFUNCTION("""COMPUTED_VALUE"""),"")</f>
        <v/>
      </c>
      <c r="R951" s="250" t="str">
        <f>IFERROR(__xludf.DUMMYFUNCTION("""COMPUTED_VALUE"""),"")</f>
        <v/>
      </c>
      <c r="U951" s="250">
        <f>IFERROR(__xludf.DUMMYFUNCTION("""COMPUTED_VALUE"""),1439.0)</f>
        <v>1439</v>
      </c>
      <c r="V951" s="250">
        <f>IFERROR(__xludf.DUMMYFUNCTION("""COMPUTED_VALUE"""),1369.0)</f>
        <v>1369</v>
      </c>
      <c r="W951" s="250">
        <f>IFERROR(__xludf.DUMMYFUNCTION("""COMPUTED_VALUE"""),1239.0)</f>
        <v>1239</v>
      </c>
      <c r="X951" t="b">
        <f t="shared" ref="X951:Z951" si="1878">ISBLANK(K951)</f>
        <v>1</v>
      </c>
      <c r="Y951" t="b">
        <f t="shared" si="1878"/>
        <v>0</v>
      </c>
      <c r="Z951" t="b">
        <f t="shared" si="1878"/>
        <v>0</v>
      </c>
      <c r="AA951">
        <f t="shared" ref="AA951:AC951" si="1879">IF(X951=FALSE,1,0)</f>
        <v>0</v>
      </c>
      <c r="AB951">
        <f t="shared" si="1879"/>
        <v>1</v>
      </c>
      <c r="AC951">
        <f t="shared" si="1879"/>
        <v>1</v>
      </c>
      <c r="AD951">
        <f t="shared" si="6"/>
        <v>2</v>
      </c>
      <c r="AE951">
        <f t="shared" si="7"/>
        <v>1</v>
      </c>
      <c r="AF951">
        <f>if(iferror(vlookup($A951,'Description Database'!$E$2:$H$951,3,0),0)=TRUE,1,0)</f>
        <v>0</v>
      </c>
      <c r="AG951">
        <f>if(iferror(vlookup($A951,'Description Database'!$E$2:$H$951,4,0),0)=TRUE,1,0)</f>
        <v>0</v>
      </c>
    </row>
    <row r="952">
      <c r="A952" t="str">
        <f>IFERROR(__xludf.DUMMYFUNCTION("""COMPUTED_VALUE"""),"Samsung Galaxy E5 (1.5 GB/16 GB)")</f>
        <v>Samsung Galaxy E5 (1.5 GB/16 GB)</v>
      </c>
      <c r="B952" t="str">
        <f>IFERROR(__xludf.DUMMYFUNCTION("""COMPUTED_VALUE"""),"")</f>
        <v/>
      </c>
      <c r="C952" t="str">
        <f>IFERROR(__xludf.DUMMYFUNCTION("""COMPUTED_VALUE"""),"")</f>
        <v/>
      </c>
      <c r="D952" t="str">
        <f>IFERROR(__xludf.DUMMYFUNCTION("""COMPUTED_VALUE"""),"")</f>
        <v/>
      </c>
      <c r="E952" t="str">
        <f>IFERROR(__xludf.DUMMYFUNCTION("""COMPUTED_VALUE"""),"")</f>
        <v/>
      </c>
      <c r="F952" t="str">
        <f>IFERROR(__xludf.DUMMYFUNCTION("""COMPUTED_VALUE"""),"")</f>
        <v/>
      </c>
      <c r="G952" t="str">
        <f>IFERROR(__xludf.DUMMYFUNCTION("""COMPUTED_VALUE"""),"")</f>
        <v/>
      </c>
      <c r="H952" t="str">
        <f>IFERROR(__xludf.DUMMYFUNCTION("""COMPUTED_VALUE"""),"")</f>
        <v/>
      </c>
      <c r="I952">
        <f>IFERROR(__xludf.DUMMYFUNCTION("""COMPUTED_VALUE"""),1.0)</f>
        <v>1</v>
      </c>
      <c r="J952">
        <f>IFERROR(__xludf.DUMMYFUNCTION("""COMPUTED_VALUE"""),1.0)</f>
        <v>1</v>
      </c>
      <c r="L952" s="250" t="str">
        <f>IFERROR(__xludf.DUMMYFUNCTION("""COMPUTED_VALUE"""),"")</f>
        <v/>
      </c>
      <c r="M952" s="250" t="str">
        <f>IFERROR(__xludf.DUMMYFUNCTION("""COMPUTED_VALUE"""),"")</f>
        <v/>
      </c>
      <c r="N952" s="250" t="str">
        <f>IFERROR(__xludf.DUMMYFUNCTION("""COMPUTED_VALUE"""),"")</f>
        <v/>
      </c>
      <c r="O952" s="250" t="str">
        <f>IFERROR(__xludf.DUMMYFUNCTION("""COMPUTED_VALUE"""),"")</f>
        <v/>
      </c>
      <c r="P952" s="250" t="str">
        <f>IFERROR(__xludf.DUMMYFUNCTION("""COMPUTED_VALUE"""),"")</f>
        <v/>
      </c>
      <c r="Q952" s="250" t="str">
        <f>IFERROR(__xludf.DUMMYFUNCTION("""COMPUTED_VALUE"""),"")</f>
        <v/>
      </c>
      <c r="R952" s="250" t="str">
        <f>IFERROR(__xludf.DUMMYFUNCTION("""COMPUTED_VALUE"""),"")</f>
        <v/>
      </c>
      <c r="U952" s="250">
        <f>IFERROR(__xludf.DUMMYFUNCTION("""COMPUTED_VALUE"""),1759.0)</f>
        <v>1759</v>
      </c>
      <c r="V952" s="250">
        <f>IFERROR(__xludf.DUMMYFUNCTION("""COMPUTED_VALUE"""),1679.0)</f>
        <v>1679</v>
      </c>
      <c r="W952" s="250">
        <f>IFERROR(__xludf.DUMMYFUNCTION("""COMPUTED_VALUE"""),1509.0)</f>
        <v>1509</v>
      </c>
      <c r="X952" t="b">
        <f t="shared" ref="X952:Z952" si="1880">ISBLANK(K952)</f>
        <v>1</v>
      </c>
      <c r="Y952" t="b">
        <f t="shared" si="1880"/>
        <v>0</v>
      </c>
      <c r="Z952" t="b">
        <f t="shared" si="1880"/>
        <v>0</v>
      </c>
      <c r="AA952">
        <f t="shared" ref="AA952:AC952" si="1881">IF(X952=FALSE,1,0)</f>
        <v>0</v>
      </c>
      <c r="AB952">
        <f t="shared" si="1881"/>
        <v>1</v>
      </c>
      <c r="AC952">
        <f t="shared" si="1881"/>
        <v>1</v>
      </c>
      <c r="AD952">
        <f t="shared" si="6"/>
        <v>2</v>
      </c>
      <c r="AE952">
        <f t="shared" si="7"/>
        <v>1</v>
      </c>
      <c r="AF952">
        <f>if(iferror(vlookup($A952,'Description Database'!$E$2:$H$951,3,0),0)=TRUE,1,0)</f>
        <v>0</v>
      </c>
      <c r="AG952">
        <f>if(iferror(vlookup($A952,'Description Database'!$E$2:$H$951,4,0),0)=TRUE,1,0)</f>
        <v>0</v>
      </c>
    </row>
    <row r="953">
      <c r="A953" t="str">
        <f>IFERROR(__xludf.DUMMYFUNCTION("""COMPUTED_VALUE"""),"MICROMAX X072")</f>
        <v>MICROMAX X072</v>
      </c>
      <c r="B953" t="str">
        <f>IFERROR(__xludf.DUMMYFUNCTION("""COMPUTED_VALUE"""),"")</f>
        <v/>
      </c>
      <c r="C953" t="str">
        <f>IFERROR(__xludf.DUMMYFUNCTION("""COMPUTED_VALUE"""),"")</f>
        <v/>
      </c>
      <c r="D953" t="str">
        <f>IFERROR(__xludf.DUMMYFUNCTION("""COMPUTED_VALUE"""),"")</f>
        <v/>
      </c>
      <c r="E953" t="str">
        <f>IFERROR(__xludf.DUMMYFUNCTION("""COMPUTED_VALUE"""),"")</f>
        <v/>
      </c>
      <c r="F953" t="str">
        <f>IFERROR(__xludf.DUMMYFUNCTION("""COMPUTED_VALUE"""),"")</f>
        <v/>
      </c>
      <c r="G953" t="str">
        <f>IFERROR(__xludf.DUMMYFUNCTION("""COMPUTED_VALUE"""),"")</f>
        <v/>
      </c>
      <c r="H953" t="str">
        <f>IFERROR(__xludf.DUMMYFUNCTION("""COMPUTED_VALUE"""),"")</f>
        <v/>
      </c>
      <c r="I953">
        <f>IFERROR(__xludf.DUMMYFUNCTION("""COMPUTED_VALUE"""),2.0)</f>
        <v>2</v>
      </c>
      <c r="J953">
        <f>IFERROR(__xludf.DUMMYFUNCTION("""COMPUTED_VALUE"""),2.0)</f>
        <v>2</v>
      </c>
      <c r="L953" s="250" t="str">
        <f>IFERROR(__xludf.DUMMYFUNCTION("""COMPUTED_VALUE"""),"")</f>
        <v/>
      </c>
      <c r="M953" s="250" t="str">
        <f>IFERROR(__xludf.DUMMYFUNCTION("""COMPUTED_VALUE"""),"")</f>
        <v/>
      </c>
      <c r="N953" s="250" t="str">
        <f>IFERROR(__xludf.DUMMYFUNCTION("""COMPUTED_VALUE"""),"")</f>
        <v/>
      </c>
      <c r="O953" s="250" t="str">
        <f>IFERROR(__xludf.DUMMYFUNCTION("""COMPUTED_VALUE"""),"")</f>
        <v/>
      </c>
      <c r="P953" s="250" t="str">
        <f>IFERROR(__xludf.DUMMYFUNCTION("""COMPUTED_VALUE"""),"")</f>
        <v/>
      </c>
      <c r="Q953" s="250" t="str">
        <f>IFERROR(__xludf.DUMMYFUNCTION("""COMPUTED_VALUE"""),"")</f>
        <v/>
      </c>
      <c r="R953" s="250" t="str">
        <f>IFERROR(__xludf.DUMMYFUNCTION("""COMPUTED_VALUE"""),"")</f>
        <v/>
      </c>
      <c r="U953" s="250" t="str">
        <f>IFERROR(__xludf.DUMMYFUNCTION("""COMPUTED_VALUE"""),"#N/A")</f>
        <v>#N/A</v>
      </c>
      <c r="V953" s="250" t="str">
        <f>IFERROR(__xludf.DUMMYFUNCTION("""COMPUTED_VALUE"""),"#N/A")</f>
        <v>#N/A</v>
      </c>
      <c r="W953" s="250" t="str">
        <f>IFERROR(__xludf.DUMMYFUNCTION("""COMPUTED_VALUE"""),"#N/A")</f>
        <v>#N/A</v>
      </c>
      <c r="X953" t="b">
        <f t="shared" ref="X953:Z953" si="1882">ISBLANK(K953)</f>
        <v>1</v>
      </c>
      <c r="Y953" t="b">
        <f t="shared" si="1882"/>
        <v>0</v>
      </c>
      <c r="Z953" t="b">
        <f t="shared" si="1882"/>
        <v>0</v>
      </c>
      <c r="AA953">
        <f t="shared" ref="AA953:AC953" si="1883">IF(X953=FALSE,1,0)</f>
        <v>0</v>
      </c>
      <c r="AB953">
        <f t="shared" si="1883"/>
        <v>1</v>
      </c>
      <c r="AC953">
        <f t="shared" si="1883"/>
        <v>1</v>
      </c>
      <c r="AD953">
        <f t="shared" si="6"/>
        <v>2</v>
      </c>
      <c r="AE953">
        <f t="shared" si="7"/>
        <v>1</v>
      </c>
      <c r="AF953">
        <f>if(iferror(vlookup($A953,'Description Database'!$E$2:$H$951,3,0),0)=TRUE,1,0)</f>
        <v>0</v>
      </c>
      <c r="AG953">
        <f>if(iferror(vlookup($A953,'Description Database'!$E$2:$H$951,4,0),0)=TRUE,1,0)</f>
        <v>0</v>
      </c>
    </row>
    <row r="954">
      <c r="A954" t="str">
        <f>IFERROR(__xludf.DUMMYFUNCTION("""COMPUTED_VALUE"""),"MICROMAX vdeo 2")</f>
        <v>MICROMAX vdeo 2</v>
      </c>
      <c r="B954" t="str">
        <f>IFERROR(__xludf.DUMMYFUNCTION("""COMPUTED_VALUE"""),"")</f>
        <v/>
      </c>
      <c r="C954" t="str">
        <f>IFERROR(__xludf.DUMMYFUNCTION("""COMPUTED_VALUE"""),"")</f>
        <v/>
      </c>
      <c r="D954" t="str">
        <f>IFERROR(__xludf.DUMMYFUNCTION("""COMPUTED_VALUE"""),"")</f>
        <v/>
      </c>
      <c r="E954" t="str">
        <f>IFERROR(__xludf.DUMMYFUNCTION("""COMPUTED_VALUE"""),"")</f>
        <v/>
      </c>
      <c r="F954" t="str">
        <f>IFERROR(__xludf.DUMMYFUNCTION("""COMPUTED_VALUE"""),"")</f>
        <v/>
      </c>
      <c r="G954" t="str">
        <f>IFERROR(__xludf.DUMMYFUNCTION("""COMPUTED_VALUE"""),"")</f>
        <v/>
      </c>
      <c r="H954" t="str">
        <f>IFERROR(__xludf.DUMMYFUNCTION("""COMPUTED_VALUE"""),"")</f>
        <v/>
      </c>
      <c r="I954">
        <f>IFERROR(__xludf.DUMMYFUNCTION("""COMPUTED_VALUE"""),1.0)</f>
        <v>1</v>
      </c>
      <c r="J954">
        <f>IFERROR(__xludf.DUMMYFUNCTION("""COMPUTED_VALUE"""),1.0)</f>
        <v>1</v>
      </c>
      <c r="L954" s="250" t="str">
        <f>IFERROR(__xludf.DUMMYFUNCTION("""COMPUTED_VALUE"""),"")</f>
        <v/>
      </c>
      <c r="M954" s="250" t="str">
        <f>IFERROR(__xludf.DUMMYFUNCTION("""COMPUTED_VALUE"""),"")</f>
        <v/>
      </c>
      <c r="N954" s="250" t="str">
        <f>IFERROR(__xludf.DUMMYFUNCTION("""COMPUTED_VALUE"""),"")</f>
        <v/>
      </c>
      <c r="O954" s="250" t="str">
        <f>IFERROR(__xludf.DUMMYFUNCTION("""COMPUTED_VALUE"""),"")</f>
        <v/>
      </c>
      <c r="P954" s="250" t="str">
        <f>IFERROR(__xludf.DUMMYFUNCTION("""COMPUTED_VALUE"""),"")</f>
        <v/>
      </c>
      <c r="Q954" s="250" t="str">
        <f>IFERROR(__xludf.DUMMYFUNCTION("""COMPUTED_VALUE"""),"")</f>
        <v/>
      </c>
      <c r="R954" s="250" t="str">
        <f>IFERROR(__xludf.DUMMYFUNCTION("""COMPUTED_VALUE"""),"")</f>
        <v/>
      </c>
      <c r="U954" s="250">
        <f>IFERROR(__xludf.DUMMYFUNCTION("""COMPUTED_VALUE"""),749.0)</f>
        <v>749</v>
      </c>
      <c r="V954" s="250">
        <f>IFERROR(__xludf.DUMMYFUNCTION("""COMPUTED_VALUE"""),709.0)</f>
        <v>709</v>
      </c>
      <c r="W954" s="250">
        <f>IFERROR(__xludf.DUMMYFUNCTION("""COMPUTED_VALUE"""),639.0)</f>
        <v>639</v>
      </c>
      <c r="X954" t="b">
        <f t="shared" ref="X954:Z954" si="1884">ISBLANK(K954)</f>
        <v>1</v>
      </c>
      <c r="Y954" t="b">
        <f t="shared" si="1884"/>
        <v>0</v>
      </c>
      <c r="Z954" t="b">
        <f t="shared" si="1884"/>
        <v>0</v>
      </c>
      <c r="AA954">
        <f t="shared" ref="AA954:AC954" si="1885">IF(X954=FALSE,1,0)</f>
        <v>0</v>
      </c>
      <c r="AB954">
        <f t="shared" si="1885"/>
        <v>1</v>
      </c>
      <c r="AC954">
        <f t="shared" si="1885"/>
        <v>1</v>
      </c>
      <c r="AD954">
        <f t="shared" si="6"/>
        <v>2</v>
      </c>
      <c r="AE954">
        <f t="shared" si="7"/>
        <v>1</v>
      </c>
      <c r="AF954">
        <f>if(iferror(vlookup($A954,'Description Database'!$E$2:$H$951,3,0),0)=TRUE,1,0)</f>
        <v>0</v>
      </c>
      <c r="AG954">
        <f>if(iferror(vlookup($A954,'Description Database'!$E$2:$H$951,4,0),0)=TRUE,1,0)</f>
        <v>0</v>
      </c>
    </row>
    <row r="955">
      <c r="A955" t="str">
        <f>IFERROR(__xludf.DUMMYFUNCTION("""COMPUTED_VALUE"""),"Motorola Moto Z2 Force (6 GB/64 GB)")</f>
        <v>Motorola Moto Z2 Force (6 GB/64 GB)</v>
      </c>
      <c r="B955" t="str">
        <f>IFERROR(__xludf.DUMMYFUNCTION("""COMPUTED_VALUE"""),"")</f>
        <v/>
      </c>
      <c r="C955" t="str">
        <f>IFERROR(__xludf.DUMMYFUNCTION("""COMPUTED_VALUE"""),"")</f>
        <v/>
      </c>
      <c r="D955" t="str">
        <f>IFERROR(__xludf.DUMMYFUNCTION("""COMPUTED_VALUE"""),"")</f>
        <v/>
      </c>
      <c r="E955" t="str">
        <f>IFERROR(__xludf.DUMMYFUNCTION("""COMPUTED_VALUE"""),"")</f>
        <v/>
      </c>
      <c r="F955" t="str">
        <f>IFERROR(__xludf.DUMMYFUNCTION("""COMPUTED_VALUE"""),"")</f>
        <v/>
      </c>
      <c r="G955" t="str">
        <f>IFERROR(__xludf.DUMMYFUNCTION("""COMPUTED_VALUE"""),"")</f>
        <v/>
      </c>
      <c r="H955" t="str">
        <f>IFERROR(__xludf.DUMMYFUNCTION("""COMPUTED_VALUE"""),"")</f>
        <v/>
      </c>
      <c r="I955">
        <f>IFERROR(__xludf.DUMMYFUNCTION("""COMPUTED_VALUE"""),10.0)</f>
        <v>10</v>
      </c>
      <c r="J955">
        <f>IFERROR(__xludf.DUMMYFUNCTION("""COMPUTED_VALUE"""),10.0)</f>
        <v>10</v>
      </c>
      <c r="L955" s="250" t="str">
        <f>IFERROR(__xludf.DUMMYFUNCTION("""COMPUTED_VALUE"""),"")</f>
        <v/>
      </c>
      <c r="M955" s="250" t="str">
        <f>IFERROR(__xludf.DUMMYFUNCTION("""COMPUTED_VALUE"""),"")</f>
        <v/>
      </c>
      <c r="N955" s="250" t="str">
        <f>IFERROR(__xludf.DUMMYFUNCTION("""COMPUTED_VALUE"""),"")</f>
        <v/>
      </c>
      <c r="O955" s="250" t="str">
        <f>IFERROR(__xludf.DUMMYFUNCTION("""COMPUTED_VALUE"""),"")</f>
        <v/>
      </c>
      <c r="P955" s="250" t="str">
        <f>IFERROR(__xludf.DUMMYFUNCTION("""COMPUTED_VALUE"""),"")</f>
        <v/>
      </c>
      <c r="Q955" s="250" t="str">
        <f>IFERROR(__xludf.DUMMYFUNCTION("""COMPUTED_VALUE"""),"")</f>
        <v/>
      </c>
      <c r="R955" s="250" t="str">
        <f>IFERROR(__xludf.DUMMYFUNCTION("""COMPUTED_VALUE"""),"")</f>
        <v/>
      </c>
      <c r="U955" s="250">
        <f>IFERROR(__xludf.DUMMYFUNCTION("""COMPUTED_VALUE"""),7339.0)</f>
        <v>7339</v>
      </c>
      <c r="V955" s="250">
        <f>IFERROR(__xludf.DUMMYFUNCTION("""COMPUTED_VALUE"""),6989.0)</f>
        <v>6989</v>
      </c>
      <c r="W955" s="250">
        <f>IFERROR(__xludf.DUMMYFUNCTION("""COMPUTED_VALUE"""),6279.0)</f>
        <v>6279</v>
      </c>
      <c r="X955" t="b">
        <f t="shared" ref="X955:Z955" si="1886">ISBLANK(K955)</f>
        <v>1</v>
      </c>
      <c r="Y955" t="b">
        <f t="shared" si="1886"/>
        <v>0</v>
      </c>
      <c r="Z955" t="b">
        <f t="shared" si="1886"/>
        <v>0</v>
      </c>
      <c r="AA955">
        <f t="shared" ref="AA955:AC955" si="1887">IF(X955=FALSE,1,0)</f>
        <v>0</v>
      </c>
      <c r="AB955">
        <f t="shared" si="1887"/>
        <v>1</v>
      </c>
      <c r="AC955">
        <f t="shared" si="1887"/>
        <v>1</v>
      </c>
      <c r="AD955">
        <f t="shared" si="6"/>
        <v>2</v>
      </c>
      <c r="AE955">
        <f t="shared" si="7"/>
        <v>1</v>
      </c>
      <c r="AF955">
        <f>if(iferror(vlookup($A955,'Description Database'!$E$2:$H$951,3,0),0)=TRUE,1,0)</f>
        <v>0</v>
      </c>
      <c r="AG955">
        <f>if(iferror(vlookup($A955,'Description Database'!$E$2:$H$951,4,0),0)=TRUE,1,0)</f>
        <v>0</v>
      </c>
    </row>
    <row r="956">
      <c r="A956" t="str">
        <f>IFERROR(__xludf.DUMMYFUNCTION("""COMPUTED_VALUE"""),"Samsung METRO 312")</f>
        <v>Samsung METRO 312</v>
      </c>
      <c r="B956" t="str">
        <f>IFERROR(__xludf.DUMMYFUNCTION("""COMPUTED_VALUE"""),"")</f>
        <v/>
      </c>
      <c r="C956" t="str">
        <f>IFERROR(__xludf.DUMMYFUNCTION("""COMPUTED_VALUE"""),"")</f>
        <v/>
      </c>
      <c r="D956" t="str">
        <f>IFERROR(__xludf.DUMMYFUNCTION("""COMPUTED_VALUE"""),"")</f>
        <v/>
      </c>
      <c r="E956" t="str">
        <f>IFERROR(__xludf.DUMMYFUNCTION("""COMPUTED_VALUE"""),"")</f>
        <v/>
      </c>
      <c r="F956" t="str">
        <f>IFERROR(__xludf.DUMMYFUNCTION("""COMPUTED_VALUE"""),"")</f>
        <v/>
      </c>
      <c r="G956" t="str">
        <f>IFERROR(__xludf.DUMMYFUNCTION("""COMPUTED_VALUE"""),"")</f>
        <v/>
      </c>
      <c r="H956" t="str">
        <f>IFERROR(__xludf.DUMMYFUNCTION("""COMPUTED_VALUE"""),"")</f>
        <v/>
      </c>
      <c r="I956">
        <f>IFERROR(__xludf.DUMMYFUNCTION("""COMPUTED_VALUE"""),3.0)</f>
        <v>3</v>
      </c>
      <c r="J956">
        <f>IFERROR(__xludf.DUMMYFUNCTION("""COMPUTED_VALUE"""),3.0)</f>
        <v>3</v>
      </c>
      <c r="L956" s="250" t="str">
        <f>IFERROR(__xludf.DUMMYFUNCTION("""COMPUTED_VALUE"""),"")</f>
        <v/>
      </c>
      <c r="M956" s="250" t="str">
        <f>IFERROR(__xludf.DUMMYFUNCTION("""COMPUTED_VALUE"""),"")</f>
        <v/>
      </c>
      <c r="N956" s="250" t="str">
        <f>IFERROR(__xludf.DUMMYFUNCTION("""COMPUTED_VALUE"""),"")</f>
        <v/>
      </c>
      <c r="O956" s="250" t="str">
        <f>IFERROR(__xludf.DUMMYFUNCTION("""COMPUTED_VALUE"""),"")</f>
        <v/>
      </c>
      <c r="P956" s="250" t="str">
        <f>IFERROR(__xludf.DUMMYFUNCTION("""COMPUTED_VALUE"""),"")</f>
        <v/>
      </c>
      <c r="Q956" s="250" t="str">
        <f>IFERROR(__xludf.DUMMYFUNCTION("""COMPUTED_VALUE"""),"")</f>
        <v/>
      </c>
      <c r="R956" s="250" t="str">
        <f>IFERROR(__xludf.DUMMYFUNCTION("""COMPUTED_VALUE"""),"")</f>
        <v/>
      </c>
      <c r="U956" s="250" t="str">
        <f>IFERROR(__xludf.DUMMYFUNCTION("""COMPUTED_VALUE"""),"#N/A")</f>
        <v>#N/A</v>
      </c>
      <c r="V956" s="250" t="str">
        <f>IFERROR(__xludf.DUMMYFUNCTION("""COMPUTED_VALUE"""),"#N/A")</f>
        <v>#N/A</v>
      </c>
      <c r="W956" s="250" t="str">
        <f>IFERROR(__xludf.DUMMYFUNCTION("""COMPUTED_VALUE"""),"#N/A")</f>
        <v>#N/A</v>
      </c>
      <c r="X956" t="b">
        <f t="shared" ref="X956:Z956" si="1888">ISBLANK(K956)</f>
        <v>1</v>
      </c>
      <c r="Y956" t="b">
        <f t="shared" si="1888"/>
        <v>0</v>
      </c>
      <c r="Z956" t="b">
        <f t="shared" si="1888"/>
        <v>0</v>
      </c>
      <c r="AA956">
        <f t="shared" ref="AA956:AC956" si="1889">IF(X956=FALSE,1,0)</f>
        <v>0</v>
      </c>
      <c r="AB956">
        <f t="shared" si="1889"/>
        <v>1</v>
      </c>
      <c r="AC956">
        <f t="shared" si="1889"/>
        <v>1</v>
      </c>
      <c r="AD956">
        <f t="shared" si="6"/>
        <v>2</v>
      </c>
      <c r="AE956">
        <f t="shared" si="7"/>
        <v>1</v>
      </c>
      <c r="AF956">
        <f>if(iferror(vlookup($A956,'Description Database'!$E$2:$H$951,3,0),0)=TRUE,1,0)</f>
        <v>0</v>
      </c>
      <c r="AG956">
        <f>if(iferror(vlookup($A956,'Description Database'!$E$2:$H$951,4,0),0)=TRUE,1,0)</f>
        <v>0</v>
      </c>
    </row>
    <row r="957">
      <c r="A957" t="str">
        <f>IFERROR(__xludf.DUMMYFUNCTION("""COMPUTED_VALUE"""),"MICROMAX X088+")</f>
        <v>MICROMAX X088+</v>
      </c>
      <c r="B957" t="str">
        <f>IFERROR(__xludf.DUMMYFUNCTION("""COMPUTED_VALUE"""),"")</f>
        <v/>
      </c>
      <c r="C957" t="str">
        <f>IFERROR(__xludf.DUMMYFUNCTION("""COMPUTED_VALUE"""),"")</f>
        <v/>
      </c>
      <c r="D957" t="str">
        <f>IFERROR(__xludf.DUMMYFUNCTION("""COMPUTED_VALUE"""),"")</f>
        <v/>
      </c>
      <c r="E957" t="str">
        <f>IFERROR(__xludf.DUMMYFUNCTION("""COMPUTED_VALUE"""),"")</f>
        <v/>
      </c>
      <c r="F957" t="str">
        <f>IFERROR(__xludf.DUMMYFUNCTION("""COMPUTED_VALUE"""),"")</f>
        <v/>
      </c>
      <c r="G957" t="str">
        <f>IFERROR(__xludf.DUMMYFUNCTION("""COMPUTED_VALUE"""),"")</f>
        <v/>
      </c>
      <c r="H957" t="str">
        <f>IFERROR(__xludf.DUMMYFUNCTION("""COMPUTED_VALUE"""),"")</f>
        <v/>
      </c>
      <c r="I957">
        <f>IFERROR(__xludf.DUMMYFUNCTION("""COMPUTED_VALUE"""),1.0)</f>
        <v>1</v>
      </c>
      <c r="J957">
        <f>IFERROR(__xludf.DUMMYFUNCTION("""COMPUTED_VALUE"""),1.0)</f>
        <v>1</v>
      </c>
      <c r="L957" s="250" t="str">
        <f>IFERROR(__xludf.DUMMYFUNCTION("""COMPUTED_VALUE"""),"")</f>
        <v/>
      </c>
      <c r="M957" s="250" t="str">
        <f>IFERROR(__xludf.DUMMYFUNCTION("""COMPUTED_VALUE"""),"")</f>
        <v/>
      </c>
      <c r="N957" s="250" t="str">
        <f>IFERROR(__xludf.DUMMYFUNCTION("""COMPUTED_VALUE"""),"")</f>
        <v/>
      </c>
      <c r="O957" s="250" t="str">
        <f>IFERROR(__xludf.DUMMYFUNCTION("""COMPUTED_VALUE"""),"")</f>
        <v/>
      </c>
      <c r="P957" s="250" t="str">
        <f>IFERROR(__xludf.DUMMYFUNCTION("""COMPUTED_VALUE"""),"")</f>
        <v/>
      </c>
      <c r="Q957" s="250" t="str">
        <f>IFERROR(__xludf.DUMMYFUNCTION("""COMPUTED_VALUE"""),"")</f>
        <v/>
      </c>
      <c r="R957" s="250" t="str">
        <f>IFERROR(__xludf.DUMMYFUNCTION("""COMPUTED_VALUE"""),"")</f>
        <v/>
      </c>
      <c r="U957" s="250" t="str">
        <f>IFERROR(__xludf.DUMMYFUNCTION("""COMPUTED_VALUE"""),"#N/A")</f>
        <v>#N/A</v>
      </c>
      <c r="V957" s="250" t="str">
        <f>IFERROR(__xludf.DUMMYFUNCTION("""COMPUTED_VALUE"""),"#N/A")</f>
        <v>#N/A</v>
      </c>
      <c r="W957" s="250" t="str">
        <f>IFERROR(__xludf.DUMMYFUNCTION("""COMPUTED_VALUE"""),"#N/A")</f>
        <v>#N/A</v>
      </c>
      <c r="X957" t="b">
        <f t="shared" ref="X957:Z957" si="1890">ISBLANK(K957)</f>
        <v>1</v>
      </c>
      <c r="Y957" t="b">
        <f t="shared" si="1890"/>
        <v>0</v>
      </c>
      <c r="Z957" t="b">
        <f t="shared" si="1890"/>
        <v>0</v>
      </c>
      <c r="AA957">
        <f t="shared" ref="AA957:AC957" si="1891">IF(X957=FALSE,1,0)</f>
        <v>0</v>
      </c>
      <c r="AB957">
        <f t="shared" si="1891"/>
        <v>1</v>
      </c>
      <c r="AC957">
        <f t="shared" si="1891"/>
        <v>1</v>
      </c>
      <c r="AD957">
        <f t="shared" si="6"/>
        <v>2</v>
      </c>
      <c r="AE957">
        <f t="shared" si="7"/>
        <v>1</v>
      </c>
      <c r="AF957">
        <f>if(iferror(vlookup($A957,'Description Database'!$E$2:$H$951,3,0),0)=TRUE,1,0)</f>
        <v>0</v>
      </c>
      <c r="AG957">
        <f>if(iferror(vlookup($A957,'Description Database'!$E$2:$H$951,4,0),0)=TRUE,1,0)</f>
        <v>0</v>
      </c>
    </row>
    <row r="958">
      <c r="A958" t="str">
        <f>IFERROR(__xludf.DUMMYFUNCTION("""COMPUTED_VALUE"""),"Coolpad Note 3s (3 GB/32 GB)")</f>
        <v>Coolpad Note 3s (3 GB/32 GB)</v>
      </c>
      <c r="B958" t="str">
        <f>IFERROR(__xludf.DUMMYFUNCTION("""COMPUTED_VALUE"""),"")</f>
        <v/>
      </c>
      <c r="C958" t="str">
        <f>IFERROR(__xludf.DUMMYFUNCTION("""COMPUTED_VALUE"""),"")</f>
        <v/>
      </c>
      <c r="D958" t="str">
        <f>IFERROR(__xludf.DUMMYFUNCTION("""COMPUTED_VALUE"""),"")</f>
        <v/>
      </c>
      <c r="E958" t="str">
        <f>IFERROR(__xludf.DUMMYFUNCTION("""COMPUTED_VALUE"""),"")</f>
        <v/>
      </c>
      <c r="F958" t="str">
        <f>IFERROR(__xludf.DUMMYFUNCTION("""COMPUTED_VALUE"""),"")</f>
        <v/>
      </c>
      <c r="G958" t="str">
        <f>IFERROR(__xludf.DUMMYFUNCTION("""COMPUTED_VALUE"""),"")</f>
        <v/>
      </c>
      <c r="H958" t="str">
        <f>IFERROR(__xludf.DUMMYFUNCTION("""COMPUTED_VALUE"""),"")</f>
        <v/>
      </c>
      <c r="I958">
        <f>IFERROR(__xludf.DUMMYFUNCTION("""COMPUTED_VALUE"""),1.0)</f>
        <v>1</v>
      </c>
      <c r="J958">
        <f>IFERROR(__xludf.DUMMYFUNCTION("""COMPUTED_VALUE"""),1.0)</f>
        <v>1</v>
      </c>
      <c r="L958" s="250" t="str">
        <f>IFERROR(__xludf.DUMMYFUNCTION("""COMPUTED_VALUE"""),"")</f>
        <v/>
      </c>
      <c r="M958" s="250" t="str">
        <f>IFERROR(__xludf.DUMMYFUNCTION("""COMPUTED_VALUE"""),"")</f>
        <v/>
      </c>
      <c r="N958" s="250" t="str">
        <f>IFERROR(__xludf.DUMMYFUNCTION("""COMPUTED_VALUE"""),"")</f>
        <v/>
      </c>
      <c r="O958" s="250" t="str">
        <f>IFERROR(__xludf.DUMMYFUNCTION("""COMPUTED_VALUE"""),"")</f>
        <v/>
      </c>
      <c r="P958" s="250" t="str">
        <f>IFERROR(__xludf.DUMMYFUNCTION("""COMPUTED_VALUE"""),"")</f>
        <v/>
      </c>
      <c r="Q958" s="250" t="str">
        <f>IFERROR(__xludf.DUMMYFUNCTION("""COMPUTED_VALUE"""),"")</f>
        <v/>
      </c>
      <c r="R958" s="250" t="str">
        <f>IFERROR(__xludf.DUMMYFUNCTION("""COMPUTED_VALUE"""),"")</f>
        <v/>
      </c>
      <c r="U958" s="250">
        <f>IFERROR(__xludf.DUMMYFUNCTION("""COMPUTED_VALUE"""),2419.0)</f>
        <v>2419</v>
      </c>
      <c r="V958" s="250">
        <f>IFERROR(__xludf.DUMMYFUNCTION("""COMPUTED_VALUE"""),2299.0)</f>
        <v>2299</v>
      </c>
      <c r="W958" s="250">
        <f>IFERROR(__xludf.DUMMYFUNCTION("""COMPUTED_VALUE"""),2059.0)</f>
        <v>2059</v>
      </c>
      <c r="X958" t="b">
        <f t="shared" ref="X958:Z958" si="1892">ISBLANK(K958)</f>
        <v>1</v>
      </c>
      <c r="Y958" t="b">
        <f t="shared" si="1892"/>
        <v>0</v>
      </c>
      <c r="Z958" t="b">
        <f t="shared" si="1892"/>
        <v>0</v>
      </c>
      <c r="AA958">
        <f t="shared" ref="AA958:AC958" si="1893">IF(X958=FALSE,1,0)</f>
        <v>0</v>
      </c>
      <c r="AB958">
        <f t="shared" si="1893"/>
        <v>1</v>
      </c>
      <c r="AC958">
        <f t="shared" si="1893"/>
        <v>1</v>
      </c>
      <c r="AD958">
        <f t="shared" si="6"/>
        <v>2</v>
      </c>
      <c r="AE958">
        <f t="shared" si="7"/>
        <v>1</v>
      </c>
      <c r="AF958">
        <f>if(iferror(vlookup($A958,'Description Database'!$E$2:$H$951,3,0),0)=TRUE,1,0)</f>
        <v>0</v>
      </c>
      <c r="AG958">
        <f>if(iferror(vlookup($A958,'Description Database'!$E$2:$H$951,4,0),0)=TRUE,1,0)</f>
        <v>0</v>
      </c>
    </row>
    <row r="959">
      <c r="A959" t="str">
        <f>IFERROR(__xludf.DUMMYFUNCTION("""COMPUTED_VALUE"""),"Coolpad Note 5 Lite")</f>
        <v>Coolpad Note 5 Lite</v>
      </c>
      <c r="B959" t="str">
        <f>IFERROR(__xludf.DUMMYFUNCTION("""COMPUTED_VALUE"""),"")</f>
        <v/>
      </c>
      <c r="C959" t="str">
        <f>IFERROR(__xludf.DUMMYFUNCTION("""COMPUTED_VALUE"""),"")</f>
        <v/>
      </c>
      <c r="D959" t="str">
        <f>IFERROR(__xludf.DUMMYFUNCTION("""COMPUTED_VALUE"""),"")</f>
        <v/>
      </c>
      <c r="E959" t="str">
        <f>IFERROR(__xludf.DUMMYFUNCTION("""COMPUTED_VALUE"""),"")</f>
        <v/>
      </c>
      <c r="F959" t="str">
        <f>IFERROR(__xludf.DUMMYFUNCTION("""COMPUTED_VALUE"""),"")</f>
        <v/>
      </c>
      <c r="G959" t="str">
        <f>IFERROR(__xludf.DUMMYFUNCTION("""COMPUTED_VALUE"""),"")</f>
        <v/>
      </c>
      <c r="H959" t="str">
        <f>IFERROR(__xludf.DUMMYFUNCTION("""COMPUTED_VALUE"""),"")</f>
        <v/>
      </c>
      <c r="I959">
        <f>IFERROR(__xludf.DUMMYFUNCTION("""COMPUTED_VALUE"""),1.0)</f>
        <v>1</v>
      </c>
      <c r="J959">
        <f>IFERROR(__xludf.DUMMYFUNCTION("""COMPUTED_VALUE"""),1.0)</f>
        <v>1</v>
      </c>
      <c r="L959" s="250" t="str">
        <f>IFERROR(__xludf.DUMMYFUNCTION("""COMPUTED_VALUE"""),"")</f>
        <v/>
      </c>
      <c r="M959" s="250" t="str">
        <f>IFERROR(__xludf.DUMMYFUNCTION("""COMPUTED_VALUE"""),"")</f>
        <v/>
      </c>
      <c r="N959" s="250" t="str">
        <f>IFERROR(__xludf.DUMMYFUNCTION("""COMPUTED_VALUE"""),"")</f>
        <v/>
      </c>
      <c r="O959" s="250" t="str">
        <f>IFERROR(__xludf.DUMMYFUNCTION("""COMPUTED_VALUE"""),"")</f>
        <v/>
      </c>
      <c r="P959" s="250" t="str">
        <f>IFERROR(__xludf.DUMMYFUNCTION("""COMPUTED_VALUE"""),"")</f>
        <v/>
      </c>
      <c r="Q959" s="250" t="str">
        <f>IFERROR(__xludf.DUMMYFUNCTION("""COMPUTED_VALUE"""),"")</f>
        <v/>
      </c>
      <c r="R959" s="250" t="str">
        <f>IFERROR(__xludf.DUMMYFUNCTION("""COMPUTED_VALUE"""),"")</f>
        <v/>
      </c>
      <c r="U959" s="250">
        <f>IFERROR(__xludf.DUMMYFUNCTION("""COMPUTED_VALUE"""),3469.0)</f>
        <v>3469</v>
      </c>
      <c r="V959" s="250">
        <f>IFERROR(__xludf.DUMMYFUNCTION("""COMPUTED_VALUE"""),3299.0)</f>
        <v>3299</v>
      </c>
      <c r="W959" s="250">
        <f>IFERROR(__xludf.DUMMYFUNCTION("""COMPUTED_VALUE"""),2969.0)</f>
        <v>2969</v>
      </c>
      <c r="X959" t="b">
        <f t="shared" ref="X959:Z959" si="1894">ISBLANK(K959)</f>
        <v>1</v>
      </c>
      <c r="Y959" t="b">
        <f t="shared" si="1894"/>
        <v>0</v>
      </c>
      <c r="Z959" t="b">
        <f t="shared" si="1894"/>
        <v>0</v>
      </c>
      <c r="AA959">
        <f t="shared" ref="AA959:AC959" si="1895">IF(X959=FALSE,1,0)</f>
        <v>0</v>
      </c>
      <c r="AB959">
        <f t="shared" si="1895"/>
        <v>1</v>
      </c>
      <c r="AC959">
        <f t="shared" si="1895"/>
        <v>1</v>
      </c>
      <c r="AD959">
        <f t="shared" si="6"/>
        <v>2</v>
      </c>
      <c r="AE959">
        <f t="shared" si="7"/>
        <v>1</v>
      </c>
      <c r="AF959">
        <f>if(iferror(vlookup($A959,'Description Database'!$E$2:$H$951,3,0),0)=TRUE,1,0)</f>
        <v>0</v>
      </c>
      <c r="AG959">
        <f>if(iferror(vlookup($A959,'Description Database'!$E$2:$H$951,4,0),0)=TRUE,1,0)</f>
        <v>0</v>
      </c>
    </row>
    <row r="960">
      <c r="A960" t="str">
        <f>IFERROR(__xludf.DUMMYFUNCTION("""COMPUTED_VALUE"""),"Lenovo K5 (3 GB/32 GB)")</f>
        <v>Lenovo K5 (3 GB/32 GB)</v>
      </c>
      <c r="B960" t="str">
        <f>IFERROR(__xludf.DUMMYFUNCTION("""COMPUTED_VALUE"""),"")</f>
        <v/>
      </c>
      <c r="C960" t="str">
        <f>IFERROR(__xludf.DUMMYFUNCTION("""COMPUTED_VALUE"""),"")</f>
        <v/>
      </c>
      <c r="D960" t="str">
        <f>IFERROR(__xludf.DUMMYFUNCTION("""COMPUTED_VALUE"""),"")</f>
        <v/>
      </c>
      <c r="E960" t="str">
        <f>IFERROR(__xludf.DUMMYFUNCTION("""COMPUTED_VALUE"""),"")</f>
        <v/>
      </c>
      <c r="F960" t="str">
        <f>IFERROR(__xludf.DUMMYFUNCTION("""COMPUTED_VALUE"""),"")</f>
        <v/>
      </c>
      <c r="G960" t="str">
        <f>IFERROR(__xludf.DUMMYFUNCTION("""COMPUTED_VALUE"""),"")</f>
        <v/>
      </c>
      <c r="H960" t="str">
        <f>IFERROR(__xludf.DUMMYFUNCTION("""COMPUTED_VALUE"""),"")</f>
        <v/>
      </c>
      <c r="I960">
        <f>IFERROR(__xludf.DUMMYFUNCTION("""COMPUTED_VALUE"""),1.0)</f>
        <v>1</v>
      </c>
      <c r="J960">
        <f>IFERROR(__xludf.DUMMYFUNCTION("""COMPUTED_VALUE"""),1.0)</f>
        <v>1</v>
      </c>
      <c r="L960" s="250" t="str">
        <f>IFERROR(__xludf.DUMMYFUNCTION("""COMPUTED_VALUE"""),"")</f>
        <v/>
      </c>
      <c r="M960" s="250" t="str">
        <f>IFERROR(__xludf.DUMMYFUNCTION("""COMPUTED_VALUE"""),"")</f>
        <v/>
      </c>
      <c r="N960" s="250" t="str">
        <f>IFERROR(__xludf.DUMMYFUNCTION("""COMPUTED_VALUE"""),"")</f>
        <v/>
      </c>
      <c r="O960" s="250" t="str">
        <f>IFERROR(__xludf.DUMMYFUNCTION("""COMPUTED_VALUE"""),"")</f>
        <v/>
      </c>
      <c r="P960" s="250" t="str">
        <f>IFERROR(__xludf.DUMMYFUNCTION("""COMPUTED_VALUE"""),"")</f>
        <v/>
      </c>
      <c r="Q960" s="250" t="str">
        <f>IFERROR(__xludf.DUMMYFUNCTION("""COMPUTED_VALUE"""),"")</f>
        <v/>
      </c>
      <c r="R960" s="250" t="str">
        <f>IFERROR(__xludf.DUMMYFUNCTION("""COMPUTED_VALUE"""),"")</f>
        <v/>
      </c>
      <c r="U960" s="250" t="str">
        <f>IFERROR(__xludf.DUMMYFUNCTION("""COMPUTED_VALUE"""),"#N/A")</f>
        <v>#N/A</v>
      </c>
      <c r="V960" s="250" t="str">
        <f>IFERROR(__xludf.DUMMYFUNCTION("""COMPUTED_VALUE"""),"#N/A")</f>
        <v>#N/A</v>
      </c>
      <c r="W960" s="250" t="str">
        <f>IFERROR(__xludf.DUMMYFUNCTION("""COMPUTED_VALUE"""),"#N/A")</f>
        <v>#N/A</v>
      </c>
      <c r="X960" t="b">
        <f t="shared" ref="X960:Z960" si="1896">ISBLANK(K960)</f>
        <v>1</v>
      </c>
      <c r="Y960" t="b">
        <f t="shared" si="1896"/>
        <v>0</v>
      </c>
      <c r="Z960" t="b">
        <f t="shared" si="1896"/>
        <v>0</v>
      </c>
      <c r="AA960">
        <f t="shared" ref="AA960:AC960" si="1897">IF(X960=FALSE,1,0)</f>
        <v>0</v>
      </c>
      <c r="AB960">
        <f t="shared" si="1897"/>
        <v>1</v>
      </c>
      <c r="AC960">
        <f t="shared" si="1897"/>
        <v>1</v>
      </c>
      <c r="AD960">
        <f t="shared" si="6"/>
        <v>2</v>
      </c>
      <c r="AE960">
        <f t="shared" si="7"/>
        <v>1</v>
      </c>
      <c r="AF960">
        <f>if(iferror(vlookup($A960,'Description Database'!$E$2:$H$951,3,0),0)=TRUE,1,0)</f>
        <v>0</v>
      </c>
      <c r="AG960">
        <f>if(iferror(vlookup($A960,'Description Database'!$E$2:$H$951,4,0),0)=TRUE,1,0)</f>
        <v>0</v>
      </c>
    </row>
    <row r="961">
      <c r="A961" t="str">
        <f>IFERROR(__xludf.DUMMYFUNCTION("""COMPUTED_VALUE"""),"Apple iPhone 6 Plus (1 GB/128 GB)")</f>
        <v>Apple iPhone 6 Plus (1 GB/128 GB)</v>
      </c>
      <c r="B961" t="str">
        <f>IFERROR(__xludf.DUMMYFUNCTION("""COMPUTED_VALUE"""),"")</f>
        <v/>
      </c>
      <c r="C961" t="str">
        <f>IFERROR(__xludf.DUMMYFUNCTION("""COMPUTED_VALUE"""),"")</f>
        <v/>
      </c>
      <c r="D961" t="str">
        <f>IFERROR(__xludf.DUMMYFUNCTION("""COMPUTED_VALUE"""),"")</f>
        <v/>
      </c>
      <c r="E961" t="str">
        <f>IFERROR(__xludf.DUMMYFUNCTION("""COMPUTED_VALUE"""),"")</f>
        <v/>
      </c>
      <c r="F961" t="str">
        <f>IFERROR(__xludf.DUMMYFUNCTION("""COMPUTED_VALUE"""),"")</f>
        <v/>
      </c>
      <c r="G961" t="str">
        <f>IFERROR(__xludf.DUMMYFUNCTION("""COMPUTED_VALUE"""),"")</f>
        <v/>
      </c>
      <c r="H961" t="str">
        <f>IFERROR(__xludf.DUMMYFUNCTION("""COMPUTED_VALUE"""),"")</f>
        <v/>
      </c>
      <c r="I961">
        <f>IFERROR(__xludf.DUMMYFUNCTION("""COMPUTED_VALUE"""),1.0)</f>
        <v>1</v>
      </c>
      <c r="J961">
        <f>IFERROR(__xludf.DUMMYFUNCTION("""COMPUTED_VALUE"""),1.0)</f>
        <v>1</v>
      </c>
      <c r="L961" s="250" t="str">
        <f>IFERROR(__xludf.DUMMYFUNCTION("""COMPUTED_VALUE"""),"")</f>
        <v/>
      </c>
      <c r="M961" s="250" t="str">
        <f>IFERROR(__xludf.DUMMYFUNCTION("""COMPUTED_VALUE"""),"")</f>
        <v/>
      </c>
      <c r="N961" s="250" t="str">
        <f>IFERROR(__xludf.DUMMYFUNCTION("""COMPUTED_VALUE"""),"")</f>
        <v/>
      </c>
      <c r="O961" s="250" t="str">
        <f>IFERROR(__xludf.DUMMYFUNCTION("""COMPUTED_VALUE"""),"")</f>
        <v/>
      </c>
      <c r="P961" s="250" t="str">
        <f>IFERROR(__xludf.DUMMYFUNCTION("""COMPUTED_VALUE"""),"")</f>
        <v/>
      </c>
      <c r="Q961" s="250" t="str">
        <f>IFERROR(__xludf.DUMMYFUNCTION("""COMPUTED_VALUE"""),"")</f>
        <v/>
      </c>
      <c r="R961" s="250" t="str">
        <f>IFERROR(__xludf.DUMMYFUNCTION("""COMPUTED_VALUE"""),"")</f>
        <v/>
      </c>
      <c r="U961" s="250">
        <f>IFERROR(__xludf.DUMMYFUNCTION("""COMPUTED_VALUE"""),11429.0)</f>
        <v>11429</v>
      </c>
      <c r="V961" s="250">
        <f>IFERROR(__xludf.DUMMYFUNCTION("""COMPUTED_VALUE"""),10879.0)</f>
        <v>10879</v>
      </c>
      <c r="W961" s="250">
        <f>IFERROR(__xludf.DUMMYFUNCTION("""COMPUTED_VALUE"""),9789.0)</f>
        <v>9789</v>
      </c>
      <c r="X961" t="b">
        <f t="shared" ref="X961:Z961" si="1898">ISBLANK(K961)</f>
        <v>1</v>
      </c>
      <c r="Y961" t="b">
        <f t="shared" si="1898"/>
        <v>0</v>
      </c>
      <c r="Z961" t="b">
        <f t="shared" si="1898"/>
        <v>0</v>
      </c>
      <c r="AA961">
        <f t="shared" ref="AA961:AC961" si="1899">IF(X961=FALSE,1,0)</f>
        <v>0</v>
      </c>
      <c r="AB961">
        <f t="shared" si="1899"/>
        <v>1</v>
      </c>
      <c r="AC961">
        <f t="shared" si="1899"/>
        <v>1</v>
      </c>
      <c r="AD961">
        <f t="shared" si="6"/>
        <v>2</v>
      </c>
      <c r="AE961">
        <f t="shared" si="7"/>
        <v>1</v>
      </c>
      <c r="AF961">
        <f>if(iferror(vlookup($A961,'Description Database'!$E$2:$H$951,3,0),0)=TRUE,1,0)</f>
        <v>0</v>
      </c>
      <c r="AG961">
        <f>if(iferror(vlookup($A961,'Description Database'!$E$2:$H$951,4,0),0)=TRUE,1,0)</f>
        <v>0</v>
      </c>
    </row>
    <row r="962">
      <c r="A962" t="str">
        <f>IFERROR(__xludf.DUMMYFUNCTION("""COMPUTED_VALUE"""),"MICROMAX X424")</f>
        <v>MICROMAX X424</v>
      </c>
      <c r="B962" t="str">
        <f>IFERROR(__xludf.DUMMYFUNCTION("""COMPUTED_VALUE"""),"")</f>
        <v/>
      </c>
      <c r="C962" t="str">
        <f>IFERROR(__xludf.DUMMYFUNCTION("""COMPUTED_VALUE"""),"")</f>
        <v/>
      </c>
      <c r="D962" t="str">
        <f>IFERROR(__xludf.DUMMYFUNCTION("""COMPUTED_VALUE"""),"")</f>
        <v/>
      </c>
      <c r="E962" t="str">
        <f>IFERROR(__xludf.DUMMYFUNCTION("""COMPUTED_VALUE"""),"")</f>
        <v/>
      </c>
      <c r="F962" t="str">
        <f>IFERROR(__xludf.DUMMYFUNCTION("""COMPUTED_VALUE"""),"")</f>
        <v/>
      </c>
      <c r="G962" t="str">
        <f>IFERROR(__xludf.DUMMYFUNCTION("""COMPUTED_VALUE"""),"")</f>
        <v/>
      </c>
      <c r="H962" t="str">
        <f>IFERROR(__xludf.DUMMYFUNCTION("""COMPUTED_VALUE"""),"")</f>
        <v/>
      </c>
      <c r="I962">
        <f>IFERROR(__xludf.DUMMYFUNCTION("""COMPUTED_VALUE"""),1.0)</f>
        <v>1</v>
      </c>
      <c r="J962">
        <f>IFERROR(__xludf.DUMMYFUNCTION("""COMPUTED_VALUE"""),1.0)</f>
        <v>1</v>
      </c>
      <c r="L962" s="250" t="str">
        <f>IFERROR(__xludf.DUMMYFUNCTION("""COMPUTED_VALUE"""),"")</f>
        <v/>
      </c>
      <c r="M962" s="250" t="str">
        <f>IFERROR(__xludf.DUMMYFUNCTION("""COMPUTED_VALUE"""),"")</f>
        <v/>
      </c>
      <c r="N962" s="250" t="str">
        <f>IFERROR(__xludf.DUMMYFUNCTION("""COMPUTED_VALUE"""),"")</f>
        <v/>
      </c>
      <c r="O962" s="250" t="str">
        <f>IFERROR(__xludf.DUMMYFUNCTION("""COMPUTED_VALUE"""),"")</f>
        <v/>
      </c>
      <c r="P962" s="250" t="str">
        <f>IFERROR(__xludf.DUMMYFUNCTION("""COMPUTED_VALUE"""),"")</f>
        <v/>
      </c>
      <c r="Q962" s="250" t="str">
        <f>IFERROR(__xludf.DUMMYFUNCTION("""COMPUTED_VALUE"""),"")</f>
        <v/>
      </c>
      <c r="R962" s="250" t="str">
        <f>IFERROR(__xludf.DUMMYFUNCTION("""COMPUTED_VALUE"""),"")</f>
        <v/>
      </c>
      <c r="U962" s="250" t="str">
        <f>IFERROR(__xludf.DUMMYFUNCTION("""COMPUTED_VALUE"""),"#N/A")</f>
        <v>#N/A</v>
      </c>
      <c r="V962" s="250" t="str">
        <f>IFERROR(__xludf.DUMMYFUNCTION("""COMPUTED_VALUE"""),"#N/A")</f>
        <v>#N/A</v>
      </c>
      <c r="W962" s="250" t="str">
        <f>IFERROR(__xludf.DUMMYFUNCTION("""COMPUTED_VALUE"""),"#N/A")</f>
        <v>#N/A</v>
      </c>
      <c r="X962" t="b">
        <f t="shared" ref="X962:Z962" si="1900">ISBLANK(K962)</f>
        <v>1</v>
      </c>
      <c r="Y962" t="b">
        <f t="shared" si="1900"/>
        <v>0</v>
      </c>
      <c r="Z962" t="b">
        <f t="shared" si="1900"/>
        <v>0</v>
      </c>
      <c r="AA962">
        <f t="shared" ref="AA962:AC962" si="1901">IF(X962=FALSE,1,0)</f>
        <v>0</v>
      </c>
      <c r="AB962">
        <f t="shared" si="1901"/>
        <v>1</v>
      </c>
      <c r="AC962">
        <f t="shared" si="1901"/>
        <v>1</v>
      </c>
      <c r="AD962">
        <f t="shared" si="6"/>
        <v>2</v>
      </c>
      <c r="AE962">
        <f t="shared" si="7"/>
        <v>1</v>
      </c>
      <c r="AF962">
        <f>if(iferror(vlookup($A962,'Description Database'!$E$2:$H$951,3,0),0)=TRUE,1,0)</f>
        <v>0</v>
      </c>
      <c r="AG962">
        <f>if(iferror(vlookup($A962,'Description Database'!$E$2:$H$951,4,0),0)=TRUE,1,0)</f>
        <v>0</v>
      </c>
    </row>
    <row r="963">
      <c r="A963" t="str">
        <f>IFERROR(__xludf.DUMMYFUNCTION("""COMPUTED_VALUE"""),"Micromax Unite 4 Pro (2 GB/16 GB)")</f>
        <v>Micromax Unite 4 Pro (2 GB/16 GB)</v>
      </c>
      <c r="B963" t="str">
        <f>IFERROR(__xludf.DUMMYFUNCTION("""COMPUTED_VALUE"""),"")</f>
        <v/>
      </c>
      <c r="C963" t="str">
        <f>IFERROR(__xludf.DUMMYFUNCTION("""COMPUTED_VALUE"""),"")</f>
        <v/>
      </c>
      <c r="D963" t="str">
        <f>IFERROR(__xludf.DUMMYFUNCTION("""COMPUTED_VALUE"""),"")</f>
        <v/>
      </c>
      <c r="E963" t="str">
        <f>IFERROR(__xludf.DUMMYFUNCTION("""COMPUTED_VALUE"""),"")</f>
        <v/>
      </c>
      <c r="F963" t="str">
        <f>IFERROR(__xludf.DUMMYFUNCTION("""COMPUTED_VALUE"""),"")</f>
        <v/>
      </c>
      <c r="G963" t="str">
        <f>IFERROR(__xludf.DUMMYFUNCTION("""COMPUTED_VALUE"""),"")</f>
        <v/>
      </c>
      <c r="H963" t="str">
        <f>IFERROR(__xludf.DUMMYFUNCTION("""COMPUTED_VALUE"""),"")</f>
        <v/>
      </c>
      <c r="I963">
        <f>IFERROR(__xludf.DUMMYFUNCTION("""COMPUTED_VALUE"""),2.0)</f>
        <v>2</v>
      </c>
      <c r="J963">
        <f>IFERROR(__xludf.DUMMYFUNCTION("""COMPUTED_VALUE"""),2.0)</f>
        <v>2</v>
      </c>
      <c r="L963" s="250" t="str">
        <f>IFERROR(__xludf.DUMMYFUNCTION("""COMPUTED_VALUE"""),"")</f>
        <v/>
      </c>
      <c r="M963" s="250" t="str">
        <f>IFERROR(__xludf.DUMMYFUNCTION("""COMPUTED_VALUE"""),"")</f>
        <v/>
      </c>
      <c r="N963" s="250" t="str">
        <f>IFERROR(__xludf.DUMMYFUNCTION("""COMPUTED_VALUE"""),"")</f>
        <v/>
      </c>
      <c r="O963" s="250" t="str">
        <f>IFERROR(__xludf.DUMMYFUNCTION("""COMPUTED_VALUE"""),"")</f>
        <v/>
      </c>
      <c r="P963" s="250" t="str">
        <f>IFERROR(__xludf.DUMMYFUNCTION("""COMPUTED_VALUE"""),"")</f>
        <v/>
      </c>
      <c r="Q963" s="250" t="str">
        <f>IFERROR(__xludf.DUMMYFUNCTION("""COMPUTED_VALUE"""),"")</f>
        <v/>
      </c>
      <c r="R963" s="250" t="str">
        <f>IFERROR(__xludf.DUMMYFUNCTION("""COMPUTED_VALUE"""),"")</f>
        <v/>
      </c>
      <c r="U963" s="250">
        <f>IFERROR(__xludf.DUMMYFUNCTION("""COMPUTED_VALUE"""),2469.0)</f>
        <v>2469</v>
      </c>
      <c r="V963" s="250">
        <f>IFERROR(__xludf.DUMMYFUNCTION("""COMPUTED_VALUE"""),2349.0)</f>
        <v>2349</v>
      </c>
      <c r="W963" s="250">
        <f>IFERROR(__xludf.DUMMYFUNCTION("""COMPUTED_VALUE"""),2099.0)</f>
        <v>2099</v>
      </c>
      <c r="X963" t="b">
        <f t="shared" ref="X963:Z963" si="1902">ISBLANK(K963)</f>
        <v>1</v>
      </c>
      <c r="Y963" t="b">
        <f t="shared" si="1902"/>
        <v>0</v>
      </c>
      <c r="Z963" t="b">
        <f t="shared" si="1902"/>
        <v>0</v>
      </c>
      <c r="AA963">
        <f t="shared" ref="AA963:AC963" si="1903">IF(X963=FALSE,1,0)</f>
        <v>0</v>
      </c>
      <c r="AB963">
        <f t="shared" si="1903"/>
        <v>1</v>
      </c>
      <c r="AC963">
        <f t="shared" si="1903"/>
        <v>1</v>
      </c>
      <c r="AD963">
        <f t="shared" si="6"/>
        <v>2</v>
      </c>
      <c r="AE963">
        <f t="shared" si="7"/>
        <v>1</v>
      </c>
      <c r="AF963">
        <f>if(iferror(vlookup($A963,'Description Database'!$E$2:$H$951,3,0),0)=TRUE,1,0)</f>
        <v>0</v>
      </c>
      <c r="AG963">
        <f>if(iferror(vlookup($A963,'Description Database'!$E$2:$H$951,4,0),0)=TRUE,1,0)</f>
        <v>0</v>
      </c>
    </row>
    <row r="964">
      <c r="A964" t="str">
        <f>IFERROR(__xludf.DUMMYFUNCTION("""COMPUTED_VALUE"""),"Sony Xperia C Dual sim")</f>
        <v>Sony Xperia C Dual sim</v>
      </c>
      <c r="B964" t="str">
        <f>IFERROR(__xludf.DUMMYFUNCTION("""COMPUTED_VALUE"""),"")</f>
        <v/>
      </c>
      <c r="C964" t="str">
        <f>IFERROR(__xludf.DUMMYFUNCTION("""COMPUTED_VALUE"""),"")</f>
        <v/>
      </c>
      <c r="D964" t="str">
        <f>IFERROR(__xludf.DUMMYFUNCTION("""COMPUTED_VALUE"""),"")</f>
        <v/>
      </c>
      <c r="E964" t="str">
        <f>IFERROR(__xludf.DUMMYFUNCTION("""COMPUTED_VALUE"""),"")</f>
        <v/>
      </c>
      <c r="F964" t="str">
        <f>IFERROR(__xludf.DUMMYFUNCTION("""COMPUTED_VALUE"""),"")</f>
        <v/>
      </c>
      <c r="G964" t="str">
        <f>IFERROR(__xludf.DUMMYFUNCTION("""COMPUTED_VALUE"""),"")</f>
        <v/>
      </c>
      <c r="H964" t="str">
        <f>IFERROR(__xludf.DUMMYFUNCTION("""COMPUTED_VALUE"""),"")</f>
        <v/>
      </c>
      <c r="I964">
        <f>IFERROR(__xludf.DUMMYFUNCTION("""COMPUTED_VALUE"""),1.0)</f>
        <v>1</v>
      </c>
      <c r="J964">
        <f>IFERROR(__xludf.DUMMYFUNCTION("""COMPUTED_VALUE"""),1.0)</f>
        <v>1</v>
      </c>
      <c r="L964" s="250" t="str">
        <f>IFERROR(__xludf.DUMMYFUNCTION("""COMPUTED_VALUE"""),"")</f>
        <v/>
      </c>
      <c r="M964" s="250" t="str">
        <f>IFERROR(__xludf.DUMMYFUNCTION("""COMPUTED_VALUE"""),"")</f>
        <v/>
      </c>
      <c r="N964" s="250" t="str">
        <f>IFERROR(__xludf.DUMMYFUNCTION("""COMPUTED_VALUE"""),"")</f>
        <v/>
      </c>
      <c r="O964" s="250" t="str">
        <f>IFERROR(__xludf.DUMMYFUNCTION("""COMPUTED_VALUE"""),"")</f>
        <v/>
      </c>
      <c r="P964" s="250" t="str">
        <f>IFERROR(__xludf.DUMMYFUNCTION("""COMPUTED_VALUE"""),"")</f>
        <v/>
      </c>
      <c r="Q964" s="250" t="str">
        <f>IFERROR(__xludf.DUMMYFUNCTION("""COMPUTED_VALUE"""),"")</f>
        <v/>
      </c>
      <c r="R964" s="250" t="str">
        <f>IFERROR(__xludf.DUMMYFUNCTION("""COMPUTED_VALUE"""),"")</f>
        <v/>
      </c>
      <c r="U964" s="250">
        <f>IFERROR(__xludf.DUMMYFUNCTION("""COMPUTED_VALUE"""),869.0)</f>
        <v>869</v>
      </c>
      <c r="V964" s="250">
        <f>IFERROR(__xludf.DUMMYFUNCTION("""COMPUTED_VALUE"""),829.0)</f>
        <v>829</v>
      </c>
      <c r="W964" s="250">
        <f>IFERROR(__xludf.DUMMYFUNCTION("""COMPUTED_VALUE"""),749.0)</f>
        <v>749</v>
      </c>
      <c r="X964" t="b">
        <f t="shared" ref="X964:Z964" si="1904">ISBLANK(K964)</f>
        <v>1</v>
      </c>
      <c r="Y964" t="b">
        <f t="shared" si="1904"/>
        <v>0</v>
      </c>
      <c r="Z964" t="b">
        <f t="shared" si="1904"/>
        <v>0</v>
      </c>
      <c r="AA964">
        <f t="shared" ref="AA964:AC964" si="1905">IF(X964=FALSE,1,0)</f>
        <v>0</v>
      </c>
      <c r="AB964">
        <f t="shared" si="1905"/>
        <v>1</v>
      </c>
      <c r="AC964">
        <f t="shared" si="1905"/>
        <v>1</v>
      </c>
      <c r="AD964">
        <f t="shared" si="6"/>
        <v>2</v>
      </c>
      <c r="AE964">
        <f t="shared" si="7"/>
        <v>1</v>
      </c>
      <c r="AF964">
        <f>if(iferror(vlookup($A964,'Description Database'!$E$2:$H$951,3,0),0)=TRUE,1,0)</f>
        <v>0</v>
      </c>
      <c r="AG964">
        <f>if(iferror(vlookup($A964,'Description Database'!$E$2:$H$951,4,0),0)=TRUE,1,0)</f>
        <v>0</v>
      </c>
    </row>
    <row r="965">
      <c r="A965" t="str">
        <f>IFERROR(__xludf.DUMMYFUNCTION("""COMPUTED_VALUE"""),"Sony Xperia ZL")</f>
        <v>Sony Xperia ZL</v>
      </c>
      <c r="B965" t="str">
        <f>IFERROR(__xludf.DUMMYFUNCTION("""COMPUTED_VALUE"""),"")</f>
        <v/>
      </c>
      <c r="C965" t="str">
        <f>IFERROR(__xludf.DUMMYFUNCTION("""COMPUTED_VALUE"""),"")</f>
        <v/>
      </c>
      <c r="D965" t="str">
        <f>IFERROR(__xludf.DUMMYFUNCTION("""COMPUTED_VALUE"""),"")</f>
        <v/>
      </c>
      <c r="E965" t="str">
        <f>IFERROR(__xludf.DUMMYFUNCTION("""COMPUTED_VALUE"""),"")</f>
        <v/>
      </c>
      <c r="F965" t="str">
        <f>IFERROR(__xludf.DUMMYFUNCTION("""COMPUTED_VALUE"""),"")</f>
        <v/>
      </c>
      <c r="G965" t="str">
        <f>IFERROR(__xludf.DUMMYFUNCTION("""COMPUTED_VALUE"""),"")</f>
        <v/>
      </c>
      <c r="H965" t="str">
        <f>IFERROR(__xludf.DUMMYFUNCTION("""COMPUTED_VALUE"""),"")</f>
        <v/>
      </c>
      <c r="I965">
        <f>IFERROR(__xludf.DUMMYFUNCTION("""COMPUTED_VALUE"""),1.0)</f>
        <v>1</v>
      </c>
      <c r="J965">
        <f>IFERROR(__xludf.DUMMYFUNCTION("""COMPUTED_VALUE"""),1.0)</f>
        <v>1</v>
      </c>
      <c r="L965" s="250" t="str">
        <f>IFERROR(__xludf.DUMMYFUNCTION("""COMPUTED_VALUE"""),"")</f>
        <v/>
      </c>
      <c r="M965" s="250" t="str">
        <f>IFERROR(__xludf.DUMMYFUNCTION("""COMPUTED_VALUE"""),"")</f>
        <v/>
      </c>
      <c r="N965" s="250" t="str">
        <f>IFERROR(__xludf.DUMMYFUNCTION("""COMPUTED_VALUE"""),"")</f>
        <v/>
      </c>
      <c r="O965" s="250" t="str">
        <f>IFERROR(__xludf.DUMMYFUNCTION("""COMPUTED_VALUE"""),"")</f>
        <v/>
      </c>
      <c r="P965" s="250" t="str">
        <f>IFERROR(__xludf.DUMMYFUNCTION("""COMPUTED_VALUE"""),"")</f>
        <v/>
      </c>
      <c r="Q965" s="250" t="str">
        <f>IFERROR(__xludf.DUMMYFUNCTION("""COMPUTED_VALUE"""),"")</f>
        <v/>
      </c>
      <c r="R965" s="250" t="str">
        <f>IFERROR(__xludf.DUMMYFUNCTION("""COMPUTED_VALUE"""),"")</f>
        <v/>
      </c>
      <c r="U965" s="250">
        <f>IFERROR(__xludf.DUMMYFUNCTION("""COMPUTED_VALUE"""),1109.0)</f>
        <v>1109</v>
      </c>
      <c r="V965" s="250">
        <f>IFERROR(__xludf.DUMMYFUNCTION("""COMPUTED_VALUE"""),1059.0)</f>
        <v>1059</v>
      </c>
      <c r="W965" s="250">
        <f>IFERROR(__xludf.DUMMYFUNCTION("""COMPUTED_VALUE"""),959.0)</f>
        <v>959</v>
      </c>
      <c r="X965" t="b">
        <f t="shared" ref="X965:Z965" si="1906">ISBLANK(K965)</f>
        <v>1</v>
      </c>
      <c r="Y965" t="b">
        <f t="shared" si="1906"/>
        <v>0</v>
      </c>
      <c r="Z965" t="b">
        <f t="shared" si="1906"/>
        <v>0</v>
      </c>
      <c r="AA965">
        <f t="shared" ref="AA965:AC965" si="1907">IF(X965=FALSE,1,0)</f>
        <v>0</v>
      </c>
      <c r="AB965">
        <f t="shared" si="1907"/>
        <v>1</v>
      </c>
      <c r="AC965">
        <f t="shared" si="1907"/>
        <v>1</v>
      </c>
      <c r="AD965">
        <f t="shared" si="6"/>
        <v>2</v>
      </c>
      <c r="AE965">
        <f t="shared" si="7"/>
        <v>1</v>
      </c>
      <c r="AF965">
        <f>if(iferror(vlookup($A965,'Description Database'!$E$2:$H$951,3,0),0)=TRUE,1,0)</f>
        <v>0</v>
      </c>
      <c r="AG965">
        <f>if(iferror(vlookup($A965,'Description Database'!$E$2:$H$951,4,0),0)=TRUE,1,0)</f>
        <v>0</v>
      </c>
    </row>
    <row r="966">
      <c r="A966" t="str">
        <f>IFERROR(__xludf.DUMMYFUNCTION("""COMPUTED_VALUE"""),"HTC Desire 728 Dual Sim (2 GB/16 GB)")</f>
        <v>HTC Desire 728 Dual Sim (2 GB/16 GB)</v>
      </c>
      <c r="B966" t="str">
        <f>IFERROR(__xludf.DUMMYFUNCTION("""COMPUTED_VALUE"""),"")</f>
        <v/>
      </c>
      <c r="C966" t="str">
        <f>IFERROR(__xludf.DUMMYFUNCTION("""COMPUTED_VALUE"""),"")</f>
        <v/>
      </c>
      <c r="D966" t="str">
        <f>IFERROR(__xludf.DUMMYFUNCTION("""COMPUTED_VALUE"""),"")</f>
        <v/>
      </c>
      <c r="E966" t="str">
        <f>IFERROR(__xludf.DUMMYFUNCTION("""COMPUTED_VALUE"""),"")</f>
        <v/>
      </c>
      <c r="F966" t="str">
        <f>IFERROR(__xludf.DUMMYFUNCTION("""COMPUTED_VALUE"""),"")</f>
        <v/>
      </c>
      <c r="G966" t="str">
        <f>IFERROR(__xludf.DUMMYFUNCTION("""COMPUTED_VALUE"""),"")</f>
        <v/>
      </c>
      <c r="H966" t="str">
        <f>IFERROR(__xludf.DUMMYFUNCTION("""COMPUTED_VALUE"""),"")</f>
        <v/>
      </c>
      <c r="I966">
        <f>IFERROR(__xludf.DUMMYFUNCTION("""COMPUTED_VALUE"""),1.0)</f>
        <v>1</v>
      </c>
      <c r="J966">
        <f>IFERROR(__xludf.DUMMYFUNCTION("""COMPUTED_VALUE"""),1.0)</f>
        <v>1</v>
      </c>
      <c r="L966" s="250" t="str">
        <f>IFERROR(__xludf.DUMMYFUNCTION("""COMPUTED_VALUE"""),"")</f>
        <v/>
      </c>
      <c r="M966" s="250" t="str">
        <f>IFERROR(__xludf.DUMMYFUNCTION("""COMPUTED_VALUE"""),"")</f>
        <v/>
      </c>
      <c r="N966" s="250" t="str">
        <f>IFERROR(__xludf.DUMMYFUNCTION("""COMPUTED_VALUE"""),"")</f>
        <v/>
      </c>
      <c r="O966" s="250" t="str">
        <f>IFERROR(__xludf.DUMMYFUNCTION("""COMPUTED_VALUE"""),"")</f>
        <v/>
      </c>
      <c r="P966" s="250" t="str">
        <f>IFERROR(__xludf.DUMMYFUNCTION("""COMPUTED_VALUE"""),"")</f>
        <v/>
      </c>
      <c r="Q966" s="250" t="str">
        <f>IFERROR(__xludf.DUMMYFUNCTION("""COMPUTED_VALUE"""),"")</f>
        <v/>
      </c>
      <c r="R966" s="250" t="str">
        <f>IFERROR(__xludf.DUMMYFUNCTION("""COMPUTED_VALUE"""),"")</f>
        <v/>
      </c>
      <c r="U966" s="250">
        <f>IFERROR(__xludf.DUMMYFUNCTION("""COMPUTED_VALUE"""),1599.0)</f>
        <v>1599</v>
      </c>
      <c r="V966" s="250">
        <f>IFERROR(__xludf.DUMMYFUNCTION("""COMPUTED_VALUE"""),1519.0)</f>
        <v>1519</v>
      </c>
      <c r="W966" s="250">
        <f>IFERROR(__xludf.DUMMYFUNCTION("""COMPUTED_VALUE"""),1369.0)</f>
        <v>1369</v>
      </c>
      <c r="X966" t="b">
        <f t="shared" ref="X966:Z966" si="1908">ISBLANK(K966)</f>
        <v>1</v>
      </c>
      <c r="Y966" t="b">
        <f t="shared" si="1908"/>
        <v>0</v>
      </c>
      <c r="Z966" t="b">
        <f t="shared" si="1908"/>
        <v>0</v>
      </c>
      <c r="AA966">
        <f t="shared" ref="AA966:AC966" si="1909">IF(X966=FALSE,1,0)</f>
        <v>0</v>
      </c>
      <c r="AB966">
        <f t="shared" si="1909"/>
        <v>1</v>
      </c>
      <c r="AC966">
        <f t="shared" si="1909"/>
        <v>1</v>
      </c>
      <c r="AD966">
        <f t="shared" si="6"/>
        <v>2</v>
      </c>
      <c r="AE966">
        <f t="shared" si="7"/>
        <v>1</v>
      </c>
      <c r="AF966">
        <f>if(iferror(vlookup($A966,'Description Database'!$E$2:$H$951,3,0),0)=TRUE,1,0)</f>
        <v>0</v>
      </c>
      <c r="AG966">
        <f>if(iferror(vlookup($A966,'Description Database'!$E$2:$H$951,4,0),0)=TRUE,1,0)</f>
        <v>0</v>
      </c>
    </row>
    <row r="967">
      <c r="A967" t="str">
        <f>IFERROR(__xludf.DUMMYFUNCTION("""COMPUTED_VALUE"""),"LeEco Le Max 2 (4 GB/32 GB)")</f>
        <v>LeEco Le Max 2 (4 GB/32 GB)</v>
      </c>
      <c r="B967" t="str">
        <f>IFERROR(__xludf.DUMMYFUNCTION("""COMPUTED_VALUE"""),"")</f>
        <v/>
      </c>
      <c r="C967" t="str">
        <f>IFERROR(__xludf.DUMMYFUNCTION("""COMPUTED_VALUE"""),"")</f>
        <v/>
      </c>
      <c r="D967" t="str">
        <f>IFERROR(__xludf.DUMMYFUNCTION("""COMPUTED_VALUE"""),"")</f>
        <v/>
      </c>
      <c r="E967" t="str">
        <f>IFERROR(__xludf.DUMMYFUNCTION("""COMPUTED_VALUE"""),"")</f>
        <v/>
      </c>
      <c r="F967" t="str">
        <f>IFERROR(__xludf.DUMMYFUNCTION("""COMPUTED_VALUE"""),"")</f>
        <v/>
      </c>
      <c r="G967" t="str">
        <f>IFERROR(__xludf.DUMMYFUNCTION("""COMPUTED_VALUE"""),"")</f>
        <v/>
      </c>
      <c r="H967" t="str">
        <f>IFERROR(__xludf.DUMMYFUNCTION("""COMPUTED_VALUE"""),"")</f>
        <v/>
      </c>
      <c r="I967">
        <f>IFERROR(__xludf.DUMMYFUNCTION("""COMPUTED_VALUE"""),1.0)</f>
        <v>1</v>
      </c>
      <c r="J967">
        <f>IFERROR(__xludf.DUMMYFUNCTION("""COMPUTED_VALUE"""),1.0)</f>
        <v>1</v>
      </c>
      <c r="L967" s="250" t="str">
        <f>IFERROR(__xludf.DUMMYFUNCTION("""COMPUTED_VALUE"""),"")</f>
        <v/>
      </c>
      <c r="M967" s="250" t="str">
        <f>IFERROR(__xludf.DUMMYFUNCTION("""COMPUTED_VALUE"""),"")</f>
        <v/>
      </c>
      <c r="N967" s="250" t="str">
        <f>IFERROR(__xludf.DUMMYFUNCTION("""COMPUTED_VALUE"""),"")</f>
        <v/>
      </c>
      <c r="O967" s="250" t="str">
        <f>IFERROR(__xludf.DUMMYFUNCTION("""COMPUTED_VALUE"""),"")</f>
        <v/>
      </c>
      <c r="P967" s="250" t="str">
        <f>IFERROR(__xludf.DUMMYFUNCTION("""COMPUTED_VALUE"""),"")</f>
        <v/>
      </c>
      <c r="Q967" s="250" t="str">
        <f>IFERROR(__xludf.DUMMYFUNCTION("""COMPUTED_VALUE"""),"")</f>
        <v/>
      </c>
      <c r="R967" s="250" t="str">
        <f>IFERROR(__xludf.DUMMYFUNCTION("""COMPUTED_VALUE"""),"")</f>
        <v/>
      </c>
      <c r="U967" s="250">
        <f>IFERROR(__xludf.DUMMYFUNCTION("""COMPUTED_VALUE"""),3799.0)</f>
        <v>3799</v>
      </c>
      <c r="V967" s="250">
        <f>IFERROR(__xludf.DUMMYFUNCTION("""COMPUTED_VALUE"""),3609.0)</f>
        <v>3609</v>
      </c>
      <c r="W967" s="250">
        <f>IFERROR(__xludf.DUMMYFUNCTION("""COMPUTED_VALUE"""),3249.0)</f>
        <v>3249</v>
      </c>
      <c r="X967" t="b">
        <f t="shared" ref="X967:Z967" si="1910">ISBLANK(K967)</f>
        <v>1</v>
      </c>
      <c r="Y967" t="b">
        <f t="shared" si="1910"/>
        <v>0</v>
      </c>
      <c r="Z967" t="b">
        <f t="shared" si="1910"/>
        <v>0</v>
      </c>
      <c r="AA967">
        <f t="shared" ref="AA967:AC967" si="1911">IF(X967=FALSE,1,0)</f>
        <v>0</v>
      </c>
      <c r="AB967">
        <f t="shared" si="1911"/>
        <v>1</v>
      </c>
      <c r="AC967">
        <f t="shared" si="1911"/>
        <v>1</v>
      </c>
      <c r="AD967">
        <f t="shared" si="6"/>
        <v>2</v>
      </c>
      <c r="AE967">
        <f t="shared" si="7"/>
        <v>1</v>
      </c>
      <c r="AF967">
        <f>if(iferror(vlookup($A967,'Description Database'!$E$2:$H$951,3,0),0)=TRUE,1,0)</f>
        <v>0</v>
      </c>
      <c r="AG967">
        <f>if(iferror(vlookup($A967,'Description Database'!$E$2:$H$951,4,0),0)=TRUE,1,0)</f>
        <v>0</v>
      </c>
    </row>
    <row r="968">
      <c r="A968" t="str">
        <f>IFERROR(__xludf.DUMMYFUNCTION("""COMPUTED_VALUE"""),"Asus Zenfone Go (2 GB/8 GB)")</f>
        <v>Asus Zenfone Go (2 GB/8 GB)</v>
      </c>
      <c r="B968" t="str">
        <f>IFERROR(__xludf.DUMMYFUNCTION("""COMPUTED_VALUE"""),"")</f>
        <v/>
      </c>
      <c r="C968" t="str">
        <f>IFERROR(__xludf.DUMMYFUNCTION("""COMPUTED_VALUE"""),"")</f>
        <v/>
      </c>
      <c r="D968" t="str">
        <f>IFERROR(__xludf.DUMMYFUNCTION("""COMPUTED_VALUE"""),"")</f>
        <v/>
      </c>
      <c r="E968" t="str">
        <f>IFERROR(__xludf.DUMMYFUNCTION("""COMPUTED_VALUE"""),"")</f>
        <v/>
      </c>
      <c r="F968" t="str">
        <f>IFERROR(__xludf.DUMMYFUNCTION("""COMPUTED_VALUE"""),"")</f>
        <v/>
      </c>
      <c r="G968" t="str">
        <f>IFERROR(__xludf.DUMMYFUNCTION("""COMPUTED_VALUE"""),"")</f>
        <v/>
      </c>
      <c r="H968" t="str">
        <f>IFERROR(__xludf.DUMMYFUNCTION("""COMPUTED_VALUE"""),"")</f>
        <v/>
      </c>
      <c r="I968">
        <f>IFERROR(__xludf.DUMMYFUNCTION("""COMPUTED_VALUE"""),1.0)</f>
        <v>1</v>
      </c>
      <c r="J968">
        <f>IFERROR(__xludf.DUMMYFUNCTION("""COMPUTED_VALUE"""),1.0)</f>
        <v>1</v>
      </c>
      <c r="L968" s="250" t="str">
        <f>IFERROR(__xludf.DUMMYFUNCTION("""COMPUTED_VALUE"""),"")</f>
        <v/>
      </c>
      <c r="M968" s="250" t="str">
        <f>IFERROR(__xludf.DUMMYFUNCTION("""COMPUTED_VALUE"""),"")</f>
        <v/>
      </c>
      <c r="N968" s="250" t="str">
        <f>IFERROR(__xludf.DUMMYFUNCTION("""COMPUTED_VALUE"""),"")</f>
        <v/>
      </c>
      <c r="O968" s="250" t="str">
        <f>IFERROR(__xludf.DUMMYFUNCTION("""COMPUTED_VALUE"""),"")</f>
        <v/>
      </c>
      <c r="P968" s="250" t="str">
        <f>IFERROR(__xludf.DUMMYFUNCTION("""COMPUTED_VALUE"""),"")</f>
        <v/>
      </c>
      <c r="Q968" s="250" t="str">
        <f>IFERROR(__xludf.DUMMYFUNCTION("""COMPUTED_VALUE"""),"")</f>
        <v/>
      </c>
      <c r="R968" s="250" t="str">
        <f>IFERROR(__xludf.DUMMYFUNCTION("""COMPUTED_VALUE"""),"")</f>
        <v/>
      </c>
      <c r="U968" s="250">
        <f>IFERROR(__xludf.DUMMYFUNCTION("""COMPUTED_VALUE"""),1359.0)</f>
        <v>1359</v>
      </c>
      <c r="V968" s="250">
        <f>IFERROR(__xludf.DUMMYFUNCTION("""COMPUTED_VALUE"""),1289.0)</f>
        <v>1289</v>
      </c>
      <c r="W968" s="250">
        <f>IFERROR(__xludf.DUMMYFUNCTION("""COMPUTED_VALUE"""),1169.0)</f>
        <v>1169</v>
      </c>
      <c r="X968" t="b">
        <f t="shared" ref="X968:Z968" si="1912">ISBLANK(K968)</f>
        <v>1</v>
      </c>
      <c r="Y968" t="b">
        <f t="shared" si="1912"/>
        <v>0</v>
      </c>
      <c r="Z968" t="b">
        <f t="shared" si="1912"/>
        <v>0</v>
      </c>
      <c r="AA968">
        <f t="shared" ref="AA968:AC968" si="1913">IF(X968=FALSE,1,0)</f>
        <v>0</v>
      </c>
      <c r="AB968">
        <f t="shared" si="1913"/>
        <v>1</v>
      </c>
      <c r="AC968">
        <f t="shared" si="1913"/>
        <v>1</v>
      </c>
      <c r="AD968">
        <f t="shared" si="6"/>
        <v>2</v>
      </c>
      <c r="AE968">
        <f t="shared" si="7"/>
        <v>1</v>
      </c>
      <c r="AF968">
        <f>if(iferror(vlookup($A968,'Description Database'!$E$2:$H$951,3,0),0)=TRUE,1,0)</f>
        <v>0</v>
      </c>
      <c r="AG968">
        <f>if(iferror(vlookup($A968,'Description Database'!$E$2:$H$951,4,0),0)=TRUE,1,0)</f>
        <v>0</v>
      </c>
    </row>
    <row r="969">
      <c r="A969" t="str">
        <f>IFERROR(__xludf.DUMMYFUNCTION("""COMPUTED_VALUE"""),"Lenovo Vibe X3 (3 GB/32 GB)")</f>
        <v>Lenovo Vibe X3 (3 GB/32 GB)</v>
      </c>
      <c r="B969" t="str">
        <f>IFERROR(__xludf.DUMMYFUNCTION("""COMPUTED_VALUE"""),"")</f>
        <v/>
      </c>
      <c r="C969" t="str">
        <f>IFERROR(__xludf.DUMMYFUNCTION("""COMPUTED_VALUE"""),"")</f>
        <v/>
      </c>
      <c r="D969" t="str">
        <f>IFERROR(__xludf.DUMMYFUNCTION("""COMPUTED_VALUE"""),"")</f>
        <v/>
      </c>
      <c r="E969" t="str">
        <f>IFERROR(__xludf.DUMMYFUNCTION("""COMPUTED_VALUE"""),"")</f>
        <v/>
      </c>
      <c r="F969" t="str">
        <f>IFERROR(__xludf.DUMMYFUNCTION("""COMPUTED_VALUE"""),"")</f>
        <v/>
      </c>
      <c r="G969" t="str">
        <f>IFERROR(__xludf.DUMMYFUNCTION("""COMPUTED_VALUE"""),"")</f>
        <v/>
      </c>
      <c r="H969" t="str">
        <f>IFERROR(__xludf.DUMMYFUNCTION("""COMPUTED_VALUE"""),"")</f>
        <v/>
      </c>
      <c r="I969" t="str">
        <f>IFERROR(__xludf.DUMMYFUNCTION("""COMPUTED_VALUE"""),"")</f>
        <v/>
      </c>
      <c r="J969">
        <f>IFERROR(__xludf.DUMMYFUNCTION("""COMPUTED_VALUE"""),0.0)</f>
        <v>0</v>
      </c>
      <c r="L969" s="250" t="str">
        <f>IFERROR(__xludf.DUMMYFUNCTION("""COMPUTED_VALUE"""),"")</f>
        <v/>
      </c>
      <c r="M969" s="250" t="str">
        <f>IFERROR(__xludf.DUMMYFUNCTION("""COMPUTED_VALUE"""),"")</f>
        <v/>
      </c>
      <c r="N969" s="250" t="str">
        <f>IFERROR(__xludf.DUMMYFUNCTION("""COMPUTED_VALUE"""),"")</f>
        <v/>
      </c>
      <c r="O969" s="250" t="str">
        <f>IFERROR(__xludf.DUMMYFUNCTION("""COMPUTED_VALUE"""),"")</f>
        <v/>
      </c>
      <c r="P969" s="250" t="str">
        <f>IFERROR(__xludf.DUMMYFUNCTION("""COMPUTED_VALUE"""),"")</f>
        <v/>
      </c>
      <c r="Q969" s="250" t="str">
        <f>IFERROR(__xludf.DUMMYFUNCTION("""COMPUTED_VALUE"""),"")</f>
        <v/>
      </c>
      <c r="R969" s="250" t="str">
        <f>IFERROR(__xludf.DUMMYFUNCTION("""COMPUTED_VALUE"""),"")</f>
        <v/>
      </c>
      <c r="U969" s="250">
        <f>IFERROR(__xludf.DUMMYFUNCTION("""COMPUTED_VALUE"""),3779.0)</f>
        <v>3779</v>
      </c>
      <c r="V969" s="250">
        <f>IFERROR(__xludf.DUMMYFUNCTION("""COMPUTED_VALUE"""),3589.0)</f>
        <v>3589</v>
      </c>
      <c r="W969" s="250">
        <f>IFERROR(__xludf.DUMMYFUNCTION("""COMPUTED_VALUE"""),3229.0)</f>
        <v>3229</v>
      </c>
      <c r="X969" t="b">
        <f t="shared" ref="X969:Z969" si="1914">ISBLANK(K969)</f>
        <v>1</v>
      </c>
      <c r="Y969" t="b">
        <f t="shared" si="1914"/>
        <v>0</v>
      </c>
      <c r="Z969" t="b">
        <f t="shared" si="1914"/>
        <v>0</v>
      </c>
      <c r="AA969">
        <f t="shared" ref="AA969:AC969" si="1915">IF(X969=FALSE,1,0)</f>
        <v>0</v>
      </c>
      <c r="AB969">
        <f t="shared" si="1915"/>
        <v>1</v>
      </c>
      <c r="AC969">
        <f t="shared" si="1915"/>
        <v>1</v>
      </c>
      <c r="AD969">
        <f t="shared" si="6"/>
        <v>2</v>
      </c>
      <c r="AE969">
        <f t="shared" si="7"/>
        <v>1</v>
      </c>
      <c r="AF969">
        <f>if(iferror(vlookup($A969,'Description Database'!$E$2:$H$951,3,0),0)=TRUE,1,0)</f>
        <v>0</v>
      </c>
      <c r="AG969">
        <f>if(iferror(vlookup($A969,'Description Database'!$E$2:$H$951,4,0),0)=TRUE,1,0)</f>
        <v>0</v>
      </c>
    </row>
    <row r="970">
      <c r="B970" t="str">
        <f>IFERROR(__xludf.DUMMYFUNCTION("""COMPUTED_VALUE"""),"")</f>
        <v/>
      </c>
      <c r="C970" t="str">
        <f>IFERROR(__xludf.DUMMYFUNCTION("""COMPUTED_VALUE"""),"")</f>
        <v/>
      </c>
      <c r="D970" t="str">
        <f>IFERROR(__xludf.DUMMYFUNCTION("""COMPUTED_VALUE"""),"")</f>
        <v/>
      </c>
      <c r="E970" t="str">
        <f>IFERROR(__xludf.DUMMYFUNCTION("""COMPUTED_VALUE"""),"")</f>
        <v/>
      </c>
      <c r="F970" t="str">
        <f>IFERROR(__xludf.DUMMYFUNCTION("""COMPUTED_VALUE"""),"")</f>
        <v/>
      </c>
      <c r="G970" t="str">
        <f>IFERROR(__xludf.DUMMYFUNCTION("""COMPUTED_VALUE"""),"")</f>
        <v/>
      </c>
      <c r="H970" t="str">
        <f>IFERROR(__xludf.DUMMYFUNCTION("""COMPUTED_VALUE"""),"")</f>
        <v/>
      </c>
      <c r="I970" t="str">
        <f>IFERROR(__xludf.DUMMYFUNCTION("""COMPUTED_VALUE"""),"")</f>
        <v/>
      </c>
      <c r="J970">
        <f>IFERROR(__xludf.DUMMYFUNCTION("""COMPUTED_VALUE"""),0.0)</f>
        <v>0</v>
      </c>
      <c r="L970" s="250" t="str">
        <f>IFERROR(__xludf.DUMMYFUNCTION("""COMPUTED_VALUE"""),"")</f>
        <v/>
      </c>
      <c r="M970" s="250" t="str">
        <f>IFERROR(__xludf.DUMMYFUNCTION("""COMPUTED_VALUE"""),"")</f>
        <v/>
      </c>
      <c r="N970" s="250" t="str">
        <f>IFERROR(__xludf.DUMMYFUNCTION("""COMPUTED_VALUE"""),"")</f>
        <v/>
      </c>
      <c r="O970" s="250" t="str">
        <f>IFERROR(__xludf.DUMMYFUNCTION("""COMPUTED_VALUE"""),"")</f>
        <v/>
      </c>
      <c r="P970" s="250" t="str">
        <f>IFERROR(__xludf.DUMMYFUNCTION("""COMPUTED_VALUE"""),"")</f>
        <v/>
      </c>
      <c r="Q970" s="250" t="str">
        <f>IFERROR(__xludf.DUMMYFUNCTION("""COMPUTED_VALUE"""),"")</f>
        <v/>
      </c>
      <c r="R970" s="250" t="str">
        <f>IFERROR(__xludf.DUMMYFUNCTION("""COMPUTED_VALUE"""),"")</f>
        <v/>
      </c>
      <c r="U970" s="250" t="str">
        <f>IFERROR(__xludf.DUMMYFUNCTION("""COMPUTED_VALUE"""),"#N/A")</f>
        <v>#N/A</v>
      </c>
      <c r="V970" s="250" t="str">
        <f>IFERROR(__xludf.DUMMYFUNCTION("""COMPUTED_VALUE"""),"#N/A")</f>
        <v>#N/A</v>
      </c>
      <c r="W970" s="250" t="str">
        <f>IFERROR(__xludf.DUMMYFUNCTION("""COMPUTED_VALUE"""),"#N/A")</f>
        <v>#N/A</v>
      </c>
      <c r="X970" t="b">
        <f t="shared" ref="X970:Z970" si="1916">ISBLANK(K970)</f>
        <v>1</v>
      </c>
      <c r="Y970" t="b">
        <f t="shared" si="1916"/>
        <v>0</v>
      </c>
      <c r="Z970" t="b">
        <f t="shared" si="1916"/>
        <v>0</v>
      </c>
      <c r="AA970">
        <f t="shared" ref="AA970:AC970" si="1917">IF(X970=FALSE,1,0)</f>
        <v>0</v>
      </c>
      <c r="AB970">
        <f t="shared" si="1917"/>
        <v>1</v>
      </c>
      <c r="AC970">
        <f t="shared" si="1917"/>
        <v>1</v>
      </c>
      <c r="AD970">
        <f t="shared" si="6"/>
        <v>2</v>
      </c>
      <c r="AE970">
        <f t="shared" si="7"/>
        <v>1</v>
      </c>
      <c r="AF970">
        <f>if(iferror(vlookup($A970,'Description Database'!$E$2:$H$951,3,0),0)=TRUE,1,0)</f>
        <v>0</v>
      </c>
      <c r="AG970">
        <f>if(iferror(vlookup($A970,'Description Database'!$E$2:$H$951,4,0),0)=TRUE,1,0)</f>
        <v>0</v>
      </c>
    </row>
    <row r="971">
      <c r="B971" t="str">
        <f>IFERROR(__xludf.DUMMYFUNCTION("""COMPUTED_VALUE"""),"")</f>
        <v/>
      </c>
      <c r="C971" t="str">
        <f>IFERROR(__xludf.DUMMYFUNCTION("""COMPUTED_VALUE"""),"")</f>
        <v/>
      </c>
      <c r="D971" t="str">
        <f>IFERROR(__xludf.DUMMYFUNCTION("""COMPUTED_VALUE"""),"")</f>
        <v/>
      </c>
      <c r="E971" t="str">
        <f>IFERROR(__xludf.DUMMYFUNCTION("""COMPUTED_VALUE"""),"")</f>
        <v/>
      </c>
      <c r="F971" t="str">
        <f>IFERROR(__xludf.DUMMYFUNCTION("""COMPUTED_VALUE"""),"")</f>
        <v/>
      </c>
      <c r="G971" t="str">
        <f>IFERROR(__xludf.DUMMYFUNCTION("""COMPUTED_VALUE"""),"")</f>
        <v/>
      </c>
      <c r="H971" t="str">
        <f>IFERROR(__xludf.DUMMYFUNCTION("""COMPUTED_VALUE"""),"")</f>
        <v/>
      </c>
      <c r="I971" t="str">
        <f>IFERROR(__xludf.DUMMYFUNCTION("""COMPUTED_VALUE"""),"")</f>
        <v/>
      </c>
      <c r="J971">
        <f>IFERROR(__xludf.DUMMYFUNCTION("""COMPUTED_VALUE"""),0.0)</f>
        <v>0</v>
      </c>
      <c r="L971" s="250" t="str">
        <f>IFERROR(__xludf.DUMMYFUNCTION("""COMPUTED_VALUE"""),"")</f>
        <v/>
      </c>
      <c r="M971" s="250" t="str">
        <f>IFERROR(__xludf.DUMMYFUNCTION("""COMPUTED_VALUE"""),"")</f>
        <v/>
      </c>
      <c r="N971" s="250" t="str">
        <f>IFERROR(__xludf.DUMMYFUNCTION("""COMPUTED_VALUE"""),"")</f>
        <v/>
      </c>
      <c r="O971" s="250" t="str">
        <f>IFERROR(__xludf.DUMMYFUNCTION("""COMPUTED_VALUE"""),"")</f>
        <v/>
      </c>
      <c r="P971" s="250" t="str">
        <f>IFERROR(__xludf.DUMMYFUNCTION("""COMPUTED_VALUE"""),"")</f>
        <v/>
      </c>
      <c r="Q971" s="250" t="str">
        <f>IFERROR(__xludf.DUMMYFUNCTION("""COMPUTED_VALUE"""),"")</f>
        <v/>
      </c>
      <c r="R971" s="250" t="str">
        <f>IFERROR(__xludf.DUMMYFUNCTION("""COMPUTED_VALUE"""),"")</f>
        <v/>
      </c>
      <c r="U971" s="250" t="str">
        <f>IFERROR(__xludf.DUMMYFUNCTION("""COMPUTED_VALUE"""),"#N/A")</f>
        <v>#N/A</v>
      </c>
      <c r="V971" s="250" t="str">
        <f>IFERROR(__xludf.DUMMYFUNCTION("""COMPUTED_VALUE"""),"#N/A")</f>
        <v>#N/A</v>
      </c>
      <c r="W971" s="250" t="str">
        <f>IFERROR(__xludf.DUMMYFUNCTION("""COMPUTED_VALUE"""),"#N/A")</f>
        <v>#N/A</v>
      </c>
      <c r="X971" t="b">
        <f t="shared" ref="X971:Z971" si="1918">ISBLANK(K971)</f>
        <v>1</v>
      </c>
      <c r="Y971" t="b">
        <f t="shared" si="1918"/>
        <v>0</v>
      </c>
      <c r="Z971" t="b">
        <f t="shared" si="1918"/>
        <v>0</v>
      </c>
      <c r="AA971">
        <f t="shared" ref="AA971:AC971" si="1919">IF(X971=FALSE,1,0)</f>
        <v>0</v>
      </c>
      <c r="AB971">
        <f t="shared" si="1919"/>
        <v>1</v>
      </c>
      <c r="AC971">
        <f t="shared" si="1919"/>
        <v>1</v>
      </c>
      <c r="AD971">
        <f t="shared" si="6"/>
        <v>2</v>
      </c>
      <c r="AE971">
        <f t="shared" si="7"/>
        <v>1</v>
      </c>
      <c r="AF971">
        <f>if(iferror(vlookup($A971,'Description Database'!$E$2:$H$951,3,0),0)=TRUE,1,0)</f>
        <v>0</v>
      </c>
      <c r="AG971">
        <f>if(iferror(vlookup($A971,'Description Database'!$E$2:$H$951,4,0),0)=TRUE,1,0)</f>
        <v>0</v>
      </c>
    </row>
    <row r="972">
      <c r="B972" t="str">
        <f>IFERROR(__xludf.DUMMYFUNCTION("""COMPUTED_VALUE"""),"")</f>
        <v/>
      </c>
      <c r="C972" t="str">
        <f>IFERROR(__xludf.DUMMYFUNCTION("""COMPUTED_VALUE"""),"")</f>
        <v/>
      </c>
      <c r="D972" t="str">
        <f>IFERROR(__xludf.DUMMYFUNCTION("""COMPUTED_VALUE"""),"")</f>
        <v/>
      </c>
      <c r="E972" t="str">
        <f>IFERROR(__xludf.DUMMYFUNCTION("""COMPUTED_VALUE"""),"")</f>
        <v/>
      </c>
      <c r="F972" t="str">
        <f>IFERROR(__xludf.DUMMYFUNCTION("""COMPUTED_VALUE"""),"")</f>
        <v/>
      </c>
      <c r="G972" t="str">
        <f>IFERROR(__xludf.DUMMYFUNCTION("""COMPUTED_VALUE"""),"")</f>
        <v/>
      </c>
      <c r="H972" t="str">
        <f>IFERROR(__xludf.DUMMYFUNCTION("""COMPUTED_VALUE"""),"")</f>
        <v/>
      </c>
      <c r="I972" t="str">
        <f>IFERROR(__xludf.DUMMYFUNCTION("""COMPUTED_VALUE"""),"")</f>
        <v/>
      </c>
      <c r="J972">
        <f>IFERROR(__xludf.DUMMYFUNCTION("""COMPUTED_VALUE"""),0.0)</f>
        <v>0</v>
      </c>
      <c r="L972" s="250" t="str">
        <f>IFERROR(__xludf.DUMMYFUNCTION("""COMPUTED_VALUE"""),"")</f>
        <v/>
      </c>
      <c r="M972" s="250" t="str">
        <f>IFERROR(__xludf.DUMMYFUNCTION("""COMPUTED_VALUE"""),"")</f>
        <v/>
      </c>
      <c r="N972" s="250" t="str">
        <f>IFERROR(__xludf.DUMMYFUNCTION("""COMPUTED_VALUE"""),"")</f>
        <v/>
      </c>
      <c r="O972" s="250" t="str">
        <f>IFERROR(__xludf.DUMMYFUNCTION("""COMPUTED_VALUE"""),"")</f>
        <v/>
      </c>
      <c r="P972" s="250" t="str">
        <f>IFERROR(__xludf.DUMMYFUNCTION("""COMPUTED_VALUE"""),"")</f>
        <v/>
      </c>
      <c r="Q972" s="250" t="str">
        <f>IFERROR(__xludf.DUMMYFUNCTION("""COMPUTED_VALUE"""),"")</f>
        <v/>
      </c>
      <c r="R972" s="250" t="str">
        <f>IFERROR(__xludf.DUMMYFUNCTION("""COMPUTED_VALUE"""),"")</f>
        <v/>
      </c>
      <c r="U972" s="250" t="str">
        <f>IFERROR(__xludf.DUMMYFUNCTION("""COMPUTED_VALUE"""),"#N/A")</f>
        <v>#N/A</v>
      </c>
      <c r="V972" s="250" t="str">
        <f>IFERROR(__xludf.DUMMYFUNCTION("""COMPUTED_VALUE"""),"#N/A")</f>
        <v>#N/A</v>
      </c>
      <c r="W972" s="250" t="str">
        <f>IFERROR(__xludf.DUMMYFUNCTION("""COMPUTED_VALUE"""),"#N/A")</f>
        <v>#N/A</v>
      </c>
      <c r="X972" t="b">
        <f t="shared" ref="X972:Z972" si="1920">ISBLANK(K972)</f>
        <v>1</v>
      </c>
      <c r="Y972" t="b">
        <f t="shared" si="1920"/>
        <v>0</v>
      </c>
      <c r="Z972" t="b">
        <f t="shared" si="1920"/>
        <v>0</v>
      </c>
      <c r="AA972">
        <f t="shared" ref="AA972:AC972" si="1921">IF(X972=FALSE,1,0)</f>
        <v>0</v>
      </c>
      <c r="AB972">
        <f t="shared" si="1921"/>
        <v>1</v>
      </c>
      <c r="AC972">
        <f t="shared" si="1921"/>
        <v>1</v>
      </c>
      <c r="AD972">
        <f t="shared" si="6"/>
        <v>2</v>
      </c>
      <c r="AE972">
        <f t="shared" si="7"/>
        <v>1</v>
      </c>
      <c r="AF972">
        <f>if(iferror(vlookup($A972,'Description Database'!$E$2:$H$951,3,0),0)=TRUE,1,0)</f>
        <v>0</v>
      </c>
      <c r="AG972">
        <f>if(iferror(vlookup($A972,'Description Database'!$E$2:$H$951,4,0),0)=TRUE,1,0)</f>
        <v>0</v>
      </c>
    </row>
    <row r="973">
      <c r="B973" t="str">
        <f>IFERROR(__xludf.DUMMYFUNCTION("""COMPUTED_VALUE"""),"")</f>
        <v/>
      </c>
      <c r="C973" t="str">
        <f>IFERROR(__xludf.DUMMYFUNCTION("""COMPUTED_VALUE"""),"")</f>
        <v/>
      </c>
      <c r="D973" t="str">
        <f>IFERROR(__xludf.DUMMYFUNCTION("""COMPUTED_VALUE"""),"")</f>
        <v/>
      </c>
      <c r="E973" t="str">
        <f>IFERROR(__xludf.DUMMYFUNCTION("""COMPUTED_VALUE"""),"")</f>
        <v/>
      </c>
      <c r="F973" t="str">
        <f>IFERROR(__xludf.DUMMYFUNCTION("""COMPUTED_VALUE"""),"")</f>
        <v/>
      </c>
      <c r="G973" t="str">
        <f>IFERROR(__xludf.DUMMYFUNCTION("""COMPUTED_VALUE"""),"")</f>
        <v/>
      </c>
      <c r="H973" t="str">
        <f>IFERROR(__xludf.DUMMYFUNCTION("""COMPUTED_VALUE"""),"")</f>
        <v/>
      </c>
      <c r="I973" t="str">
        <f>IFERROR(__xludf.DUMMYFUNCTION("""COMPUTED_VALUE"""),"")</f>
        <v/>
      </c>
      <c r="J973">
        <f>IFERROR(__xludf.DUMMYFUNCTION("""COMPUTED_VALUE"""),0.0)</f>
        <v>0</v>
      </c>
      <c r="L973" s="250" t="str">
        <f>IFERROR(__xludf.DUMMYFUNCTION("""COMPUTED_VALUE"""),"")</f>
        <v/>
      </c>
      <c r="M973" s="250" t="str">
        <f>IFERROR(__xludf.DUMMYFUNCTION("""COMPUTED_VALUE"""),"")</f>
        <v/>
      </c>
      <c r="N973" s="250" t="str">
        <f>IFERROR(__xludf.DUMMYFUNCTION("""COMPUTED_VALUE"""),"")</f>
        <v/>
      </c>
      <c r="O973" s="250" t="str">
        <f>IFERROR(__xludf.DUMMYFUNCTION("""COMPUTED_VALUE"""),"")</f>
        <v/>
      </c>
      <c r="P973" s="250" t="str">
        <f>IFERROR(__xludf.DUMMYFUNCTION("""COMPUTED_VALUE"""),"")</f>
        <v/>
      </c>
      <c r="Q973" s="250" t="str">
        <f>IFERROR(__xludf.DUMMYFUNCTION("""COMPUTED_VALUE"""),"")</f>
        <v/>
      </c>
      <c r="R973" s="250" t="str">
        <f>IFERROR(__xludf.DUMMYFUNCTION("""COMPUTED_VALUE"""),"")</f>
        <v/>
      </c>
      <c r="U973" s="250" t="str">
        <f>IFERROR(__xludf.DUMMYFUNCTION("""COMPUTED_VALUE"""),"#N/A")</f>
        <v>#N/A</v>
      </c>
      <c r="V973" s="250" t="str">
        <f>IFERROR(__xludf.DUMMYFUNCTION("""COMPUTED_VALUE"""),"#N/A")</f>
        <v>#N/A</v>
      </c>
      <c r="W973" s="250" t="str">
        <f>IFERROR(__xludf.DUMMYFUNCTION("""COMPUTED_VALUE"""),"#N/A")</f>
        <v>#N/A</v>
      </c>
      <c r="X973" t="b">
        <f t="shared" ref="X973:Z973" si="1922">ISBLANK(K973)</f>
        <v>1</v>
      </c>
      <c r="Y973" t="b">
        <f t="shared" si="1922"/>
        <v>0</v>
      </c>
      <c r="Z973" t="b">
        <f t="shared" si="1922"/>
        <v>0</v>
      </c>
      <c r="AA973">
        <f t="shared" ref="AA973:AC973" si="1923">IF(X973=FALSE,1,0)</f>
        <v>0</v>
      </c>
      <c r="AB973">
        <f t="shared" si="1923"/>
        <v>1</v>
      </c>
      <c r="AC973">
        <f t="shared" si="1923"/>
        <v>1</v>
      </c>
      <c r="AD973">
        <f t="shared" si="6"/>
        <v>2</v>
      </c>
      <c r="AE973">
        <f t="shared" si="7"/>
        <v>1</v>
      </c>
      <c r="AF973">
        <f>if(iferror(vlookup($A973,'Description Database'!$E$2:$H$951,3,0),0)=TRUE,1,0)</f>
        <v>0</v>
      </c>
      <c r="AG973">
        <f>if(iferror(vlookup($A973,'Description Database'!$E$2:$H$951,4,0),0)=TRUE,1,0)</f>
        <v>0</v>
      </c>
    </row>
    <row r="974">
      <c r="B974" t="str">
        <f>IFERROR(__xludf.DUMMYFUNCTION("""COMPUTED_VALUE"""),"")</f>
        <v/>
      </c>
      <c r="C974" t="str">
        <f>IFERROR(__xludf.DUMMYFUNCTION("""COMPUTED_VALUE"""),"")</f>
        <v/>
      </c>
      <c r="D974" t="str">
        <f>IFERROR(__xludf.DUMMYFUNCTION("""COMPUTED_VALUE"""),"")</f>
        <v/>
      </c>
      <c r="E974" t="str">
        <f>IFERROR(__xludf.DUMMYFUNCTION("""COMPUTED_VALUE"""),"")</f>
        <v/>
      </c>
      <c r="F974" t="str">
        <f>IFERROR(__xludf.DUMMYFUNCTION("""COMPUTED_VALUE"""),"")</f>
        <v/>
      </c>
      <c r="G974" t="str">
        <f>IFERROR(__xludf.DUMMYFUNCTION("""COMPUTED_VALUE"""),"")</f>
        <v/>
      </c>
      <c r="H974" t="str">
        <f>IFERROR(__xludf.DUMMYFUNCTION("""COMPUTED_VALUE"""),"")</f>
        <v/>
      </c>
      <c r="I974" t="str">
        <f>IFERROR(__xludf.DUMMYFUNCTION("""COMPUTED_VALUE"""),"")</f>
        <v/>
      </c>
      <c r="J974">
        <f>IFERROR(__xludf.DUMMYFUNCTION("""COMPUTED_VALUE"""),0.0)</f>
        <v>0</v>
      </c>
      <c r="L974" s="250" t="str">
        <f>IFERROR(__xludf.DUMMYFUNCTION("""COMPUTED_VALUE"""),"")</f>
        <v/>
      </c>
      <c r="M974" s="250" t="str">
        <f>IFERROR(__xludf.DUMMYFUNCTION("""COMPUTED_VALUE"""),"")</f>
        <v/>
      </c>
      <c r="N974" s="250" t="str">
        <f>IFERROR(__xludf.DUMMYFUNCTION("""COMPUTED_VALUE"""),"")</f>
        <v/>
      </c>
      <c r="O974" s="250" t="str">
        <f>IFERROR(__xludf.DUMMYFUNCTION("""COMPUTED_VALUE"""),"")</f>
        <v/>
      </c>
      <c r="P974" s="250" t="str">
        <f>IFERROR(__xludf.DUMMYFUNCTION("""COMPUTED_VALUE"""),"")</f>
        <v/>
      </c>
      <c r="Q974" s="250" t="str">
        <f>IFERROR(__xludf.DUMMYFUNCTION("""COMPUTED_VALUE"""),"")</f>
        <v/>
      </c>
      <c r="R974" s="250" t="str">
        <f>IFERROR(__xludf.DUMMYFUNCTION("""COMPUTED_VALUE"""),"")</f>
        <v/>
      </c>
      <c r="U974" s="250" t="str">
        <f>IFERROR(__xludf.DUMMYFUNCTION("""COMPUTED_VALUE"""),"#N/A")</f>
        <v>#N/A</v>
      </c>
      <c r="V974" s="250" t="str">
        <f>IFERROR(__xludf.DUMMYFUNCTION("""COMPUTED_VALUE"""),"#N/A")</f>
        <v>#N/A</v>
      </c>
      <c r="W974" s="250" t="str">
        <f>IFERROR(__xludf.DUMMYFUNCTION("""COMPUTED_VALUE"""),"#N/A")</f>
        <v>#N/A</v>
      </c>
      <c r="X974" t="b">
        <f t="shared" ref="X974:Z974" si="1924">ISBLANK(K974)</f>
        <v>1</v>
      </c>
      <c r="Y974" t="b">
        <f t="shared" si="1924"/>
        <v>0</v>
      </c>
      <c r="Z974" t="b">
        <f t="shared" si="1924"/>
        <v>0</v>
      </c>
      <c r="AA974">
        <f t="shared" ref="AA974:AC974" si="1925">IF(X974=FALSE,1,0)</f>
        <v>0</v>
      </c>
      <c r="AB974">
        <f t="shared" si="1925"/>
        <v>1</v>
      </c>
      <c r="AC974">
        <f t="shared" si="1925"/>
        <v>1</v>
      </c>
      <c r="AD974">
        <f t="shared" si="6"/>
        <v>2</v>
      </c>
      <c r="AE974">
        <f t="shared" si="7"/>
        <v>1</v>
      </c>
      <c r="AF974">
        <f>if(iferror(vlookup($A974,'Description Database'!$E$2:$H$951,3,0),0)=TRUE,1,0)</f>
        <v>0</v>
      </c>
      <c r="AG974">
        <f>if(iferror(vlookup($A974,'Description Database'!$E$2:$H$951,4,0),0)=TRUE,1,0)</f>
        <v>0</v>
      </c>
    </row>
    <row r="975">
      <c r="B975" t="str">
        <f>IFERROR(__xludf.DUMMYFUNCTION("""COMPUTED_VALUE"""),"")</f>
        <v/>
      </c>
      <c r="C975" t="str">
        <f>IFERROR(__xludf.DUMMYFUNCTION("""COMPUTED_VALUE"""),"")</f>
        <v/>
      </c>
      <c r="D975" t="str">
        <f>IFERROR(__xludf.DUMMYFUNCTION("""COMPUTED_VALUE"""),"")</f>
        <v/>
      </c>
      <c r="E975" t="str">
        <f>IFERROR(__xludf.DUMMYFUNCTION("""COMPUTED_VALUE"""),"")</f>
        <v/>
      </c>
      <c r="F975" t="str">
        <f>IFERROR(__xludf.DUMMYFUNCTION("""COMPUTED_VALUE"""),"")</f>
        <v/>
      </c>
      <c r="G975" t="str">
        <f>IFERROR(__xludf.DUMMYFUNCTION("""COMPUTED_VALUE"""),"")</f>
        <v/>
      </c>
      <c r="H975" t="str">
        <f>IFERROR(__xludf.DUMMYFUNCTION("""COMPUTED_VALUE"""),"")</f>
        <v/>
      </c>
      <c r="I975" t="str">
        <f>IFERROR(__xludf.DUMMYFUNCTION("""COMPUTED_VALUE"""),"")</f>
        <v/>
      </c>
      <c r="J975">
        <f>IFERROR(__xludf.DUMMYFUNCTION("""COMPUTED_VALUE"""),0.0)</f>
        <v>0</v>
      </c>
      <c r="L975" s="250" t="str">
        <f>IFERROR(__xludf.DUMMYFUNCTION("""COMPUTED_VALUE"""),"")</f>
        <v/>
      </c>
      <c r="M975" s="250" t="str">
        <f>IFERROR(__xludf.DUMMYFUNCTION("""COMPUTED_VALUE"""),"")</f>
        <v/>
      </c>
      <c r="N975" s="250" t="str">
        <f>IFERROR(__xludf.DUMMYFUNCTION("""COMPUTED_VALUE"""),"")</f>
        <v/>
      </c>
      <c r="O975" s="250" t="str">
        <f>IFERROR(__xludf.DUMMYFUNCTION("""COMPUTED_VALUE"""),"")</f>
        <v/>
      </c>
      <c r="P975" s="250" t="str">
        <f>IFERROR(__xludf.DUMMYFUNCTION("""COMPUTED_VALUE"""),"")</f>
        <v/>
      </c>
      <c r="Q975" s="250" t="str">
        <f>IFERROR(__xludf.DUMMYFUNCTION("""COMPUTED_VALUE"""),"")</f>
        <v/>
      </c>
      <c r="R975" s="250" t="str">
        <f>IFERROR(__xludf.DUMMYFUNCTION("""COMPUTED_VALUE"""),"")</f>
        <v/>
      </c>
      <c r="U975" s="250" t="str">
        <f>IFERROR(__xludf.DUMMYFUNCTION("""COMPUTED_VALUE"""),"#N/A")</f>
        <v>#N/A</v>
      </c>
      <c r="V975" s="250" t="str">
        <f>IFERROR(__xludf.DUMMYFUNCTION("""COMPUTED_VALUE"""),"#N/A")</f>
        <v>#N/A</v>
      </c>
      <c r="W975" s="250" t="str">
        <f>IFERROR(__xludf.DUMMYFUNCTION("""COMPUTED_VALUE"""),"#N/A")</f>
        <v>#N/A</v>
      </c>
      <c r="X975" t="b">
        <f t="shared" ref="X975:Z975" si="1926">ISBLANK(K975)</f>
        <v>1</v>
      </c>
      <c r="Y975" t="b">
        <f t="shared" si="1926"/>
        <v>0</v>
      </c>
      <c r="Z975" t="b">
        <f t="shared" si="1926"/>
        <v>0</v>
      </c>
      <c r="AA975">
        <f t="shared" ref="AA975:AC975" si="1927">IF(X975=FALSE,1,0)</f>
        <v>0</v>
      </c>
      <c r="AB975">
        <f t="shared" si="1927"/>
        <v>1</v>
      </c>
      <c r="AC975">
        <f t="shared" si="1927"/>
        <v>1</v>
      </c>
      <c r="AD975">
        <f t="shared" si="6"/>
        <v>2</v>
      </c>
      <c r="AE975">
        <f t="shared" si="7"/>
        <v>1</v>
      </c>
      <c r="AF975">
        <f>if(iferror(vlookup($A975,'Description Database'!$E$2:$H$951,3,0),0)=TRUE,1,0)</f>
        <v>0</v>
      </c>
      <c r="AG975">
        <f>if(iferror(vlookup($A975,'Description Database'!$E$2:$H$951,4,0),0)=TRUE,1,0)</f>
        <v>0</v>
      </c>
    </row>
    <row r="976">
      <c r="B976" t="str">
        <f>IFERROR(__xludf.DUMMYFUNCTION("""COMPUTED_VALUE"""),"")</f>
        <v/>
      </c>
      <c r="C976" t="str">
        <f>IFERROR(__xludf.DUMMYFUNCTION("""COMPUTED_VALUE"""),"")</f>
        <v/>
      </c>
      <c r="D976" t="str">
        <f>IFERROR(__xludf.DUMMYFUNCTION("""COMPUTED_VALUE"""),"")</f>
        <v/>
      </c>
      <c r="E976" t="str">
        <f>IFERROR(__xludf.DUMMYFUNCTION("""COMPUTED_VALUE"""),"")</f>
        <v/>
      </c>
      <c r="F976" t="str">
        <f>IFERROR(__xludf.DUMMYFUNCTION("""COMPUTED_VALUE"""),"")</f>
        <v/>
      </c>
      <c r="G976" t="str">
        <f>IFERROR(__xludf.DUMMYFUNCTION("""COMPUTED_VALUE"""),"")</f>
        <v/>
      </c>
      <c r="H976" t="str">
        <f>IFERROR(__xludf.DUMMYFUNCTION("""COMPUTED_VALUE"""),"")</f>
        <v/>
      </c>
      <c r="I976" t="str">
        <f>IFERROR(__xludf.DUMMYFUNCTION("""COMPUTED_VALUE"""),"")</f>
        <v/>
      </c>
      <c r="J976">
        <f>IFERROR(__xludf.DUMMYFUNCTION("""COMPUTED_VALUE"""),0.0)</f>
        <v>0</v>
      </c>
      <c r="L976" s="250" t="str">
        <f>IFERROR(__xludf.DUMMYFUNCTION("""COMPUTED_VALUE"""),"")</f>
        <v/>
      </c>
      <c r="M976" s="250" t="str">
        <f>IFERROR(__xludf.DUMMYFUNCTION("""COMPUTED_VALUE"""),"")</f>
        <v/>
      </c>
      <c r="N976" s="250" t="str">
        <f>IFERROR(__xludf.DUMMYFUNCTION("""COMPUTED_VALUE"""),"")</f>
        <v/>
      </c>
      <c r="O976" s="250" t="str">
        <f>IFERROR(__xludf.DUMMYFUNCTION("""COMPUTED_VALUE"""),"")</f>
        <v/>
      </c>
      <c r="P976" s="250" t="str">
        <f>IFERROR(__xludf.DUMMYFUNCTION("""COMPUTED_VALUE"""),"")</f>
        <v/>
      </c>
      <c r="Q976" s="250" t="str">
        <f>IFERROR(__xludf.DUMMYFUNCTION("""COMPUTED_VALUE"""),"")</f>
        <v/>
      </c>
      <c r="R976" s="250" t="str">
        <f>IFERROR(__xludf.DUMMYFUNCTION("""COMPUTED_VALUE"""),"")</f>
        <v/>
      </c>
      <c r="U976" s="250" t="str">
        <f>IFERROR(__xludf.DUMMYFUNCTION("""COMPUTED_VALUE"""),"#N/A")</f>
        <v>#N/A</v>
      </c>
      <c r="V976" s="250" t="str">
        <f>IFERROR(__xludf.DUMMYFUNCTION("""COMPUTED_VALUE"""),"#N/A")</f>
        <v>#N/A</v>
      </c>
      <c r="W976" s="250" t="str">
        <f>IFERROR(__xludf.DUMMYFUNCTION("""COMPUTED_VALUE"""),"#N/A")</f>
        <v>#N/A</v>
      </c>
      <c r="X976" t="b">
        <f t="shared" ref="X976:Z976" si="1928">ISBLANK(K976)</f>
        <v>1</v>
      </c>
      <c r="Y976" t="b">
        <f t="shared" si="1928"/>
        <v>0</v>
      </c>
      <c r="Z976" t="b">
        <f t="shared" si="1928"/>
        <v>0</v>
      </c>
      <c r="AA976">
        <f t="shared" ref="AA976:AC976" si="1929">IF(X976=FALSE,1,0)</f>
        <v>0</v>
      </c>
      <c r="AB976">
        <f t="shared" si="1929"/>
        <v>1</v>
      </c>
      <c r="AC976">
        <f t="shared" si="1929"/>
        <v>1</v>
      </c>
      <c r="AD976">
        <f t="shared" si="6"/>
        <v>2</v>
      </c>
      <c r="AE976">
        <f t="shared" si="7"/>
        <v>1</v>
      </c>
      <c r="AF976">
        <f>if(iferror(vlookup($A976,'Description Database'!$E$2:$H$951,3,0),0)=TRUE,1,0)</f>
        <v>0</v>
      </c>
      <c r="AG976">
        <f>if(iferror(vlookup($A976,'Description Database'!$E$2:$H$951,4,0),0)=TRUE,1,0)</f>
        <v>0</v>
      </c>
    </row>
    <row r="977">
      <c r="B977" t="str">
        <f>IFERROR(__xludf.DUMMYFUNCTION("""COMPUTED_VALUE"""),"")</f>
        <v/>
      </c>
      <c r="C977" t="str">
        <f>IFERROR(__xludf.DUMMYFUNCTION("""COMPUTED_VALUE"""),"")</f>
        <v/>
      </c>
      <c r="D977" t="str">
        <f>IFERROR(__xludf.DUMMYFUNCTION("""COMPUTED_VALUE"""),"")</f>
        <v/>
      </c>
      <c r="E977" t="str">
        <f>IFERROR(__xludf.DUMMYFUNCTION("""COMPUTED_VALUE"""),"")</f>
        <v/>
      </c>
      <c r="F977" t="str">
        <f>IFERROR(__xludf.DUMMYFUNCTION("""COMPUTED_VALUE"""),"")</f>
        <v/>
      </c>
      <c r="G977" t="str">
        <f>IFERROR(__xludf.DUMMYFUNCTION("""COMPUTED_VALUE"""),"")</f>
        <v/>
      </c>
      <c r="H977" t="str">
        <f>IFERROR(__xludf.DUMMYFUNCTION("""COMPUTED_VALUE"""),"")</f>
        <v/>
      </c>
      <c r="I977" t="str">
        <f>IFERROR(__xludf.DUMMYFUNCTION("""COMPUTED_VALUE"""),"")</f>
        <v/>
      </c>
      <c r="J977">
        <f>IFERROR(__xludf.DUMMYFUNCTION("""COMPUTED_VALUE"""),0.0)</f>
        <v>0</v>
      </c>
      <c r="L977" s="250" t="str">
        <f>IFERROR(__xludf.DUMMYFUNCTION("""COMPUTED_VALUE"""),"")</f>
        <v/>
      </c>
      <c r="M977" s="250" t="str">
        <f>IFERROR(__xludf.DUMMYFUNCTION("""COMPUTED_VALUE"""),"")</f>
        <v/>
      </c>
      <c r="N977" s="250" t="str">
        <f>IFERROR(__xludf.DUMMYFUNCTION("""COMPUTED_VALUE"""),"")</f>
        <v/>
      </c>
      <c r="O977" s="250" t="str">
        <f>IFERROR(__xludf.DUMMYFUNCTION("""COMPUTED_VALUE"""),"")</f>
        <v/>
      </c>
      <c r="P977" s="250" t="str">
        <f>IFERROR(__xludf.DUMMYFUNCTION("""COMPUTED_VALUE"""),"")</f>
        <v/>
      </c>
      <c r="Q977" s="250" t="str">
        <f>IFERROR(__xludf.DUMMYFUNCTION("""COMPUTED_VALUE"""),"")</f>
        <v/>
      </c>
      <c r="R977" s="250" t="str">
        <f>IFERROR(__xludf.DUMMYFUNCTION("""COMPUTED_VALUE"""),"")</f>
        <v/>
      </c>
      <c r="U977" s="250" t="str">
        <f>IFERROR(__xludf.DUMMYFUNCTION("""COMPUTED_VALUE"""),"#N/A")</f>
        <v>#N/A</v>
      </c>
      <c r="V977" s="250" t="str">
        <f>IFERROR(__xludf.DUMMYFUNCTION("""COMPUTED_VALUE"""),"#N/A")</f>
        <v>#N/A</v>
      </c>
      <c r="W977" s="250" t="str">
        <f>IFERROR(__xludf.DUMMYFUNCTION("""COMPUTED_VALUE"""),"#N/A")</f>
        <v>#N/A</v>
      </c>
      <c r="X977" t="b">
        <f t="shared" ref="X977:Z977" si="1930">ISBLANK(K977)</f>
        <v>1</v>
      </c>
      <c r="Y977" t="b">
        <f t="shared" si="1930"/>
        <v>0</v>
      </c>
      <c r="Z977" t="b">
        <f t="shared" si="1930"/>
        <v>0</v>
      </c>
      <c r="AA977">
        <f t="shared" ref="AA977:AC977" si="1931">IF(X977=FALSE,1,0)</f>
        <v>0</v>
      </c>
      <c r="AB977">
        <f t="shared" si="1931"/>
        <v>1</v>
      </c>
      <c r="AC977">
        <f t="shared" si="1931"/>
        <v>1</v>
      </c>
      <c r="AD977">
        <f t="shared" si="6"/>
        <v>2</v>
      </c>
      <c r="AE977">
        <f t="shared" si="7"/>
        <v>1</v>
      </c>
      <c r="AF977">
        <f>if(iferror(vlookup($A977,'Description Database'!$E$2:$H$951,3,0),0)=TRUE,1,0)</f>
        <v>0</v>
      </c>
      <c r="AG977">
        <f>if(iferror(vlookup($A977,'Description Database'!$E$2:$H$951,4,0),0)=TRUE,1,0)</f>
        <v>0</v>
      </c>
    </row>
    <row r="978">
      <c r="B978" t="str">
        <f>IFERROR(__xludf.DUMMYFUNCTION("""COMPUTED_VALUE"""),"")</f>
        <v/>
      </c>
      <c r="C978" t="str">
        <f>IFERROR(__xludf.DUMMYFUNCTION("""COMPUTED_VALUE"""),"")</f>
        <v/>
      </c>
      <c r="D978" t="str">
        <f>IFERROR(__xludf.DUMMYFUNCTION("""COMPUTED_VALUE"""),"")</f>
        <v/>
      </c>
      <c r="E978" t="str">
        <f>IFERROR(__xludf.DUMMYFUNCTION("""COMPUTED_VALUE"""),"")</f>
        <v/>
      </c>
      <c r="F978" t="str">
        <f>IFERROR(__xludf.DUMMYFUNCTION("""COMPUTED_VALUE"""),"")</f>
        <v/>
      </c>
      <c r="G978" t="str">
        <f>IFERROR(__xludf.DUMMYFUNCTION("""COMPUTED_VALUE"""),"")</f>
        <v/>
      </c>
      <c r="H978" t="str">
        <f>IFERROR(__xludf.DUMMYFUNCTION("""COMPUTED_VALUE"""),"")</f>
        <v/>
      </c>
      <c r="I978" t="str">
        <f>IFERROR(__xludf.DUMMYFUNCTION("""COMPUTED_VALUE"""),"")</f>
        <v/>
      </c>
      <c r="J978">
        <f>IFERROR(__xludf.DUMMYFUNCTION("""COMPUTED_VALUE"""),0.0)</f>
        <v>0</v>
      </c>
      <c r="L978" s="250" t="str">
        <f>IFERROR(__xludf.DUMMYFUNCTION("""COMPUTED_VALUE"""),"")</f>
        <v/>
      </c>
      <c r="M978" s="250" t="str">
        <f>IFERROR(__xludf.DUMMYFUNCTION("""COMPUTED_VALUE"""),"")</f>
        <v/>
      </c>
      <c r="N978" s="250" t="str">
        <f>IFERROR(__xludf.DUMMYFUNCTION("""COMPUTED_VALUE"""),"")</f>
        <v/>
      </c>
      <c r="O978" s="250" t="str">
        <f>IFERROR(__xludf.DUMMYFUNCTION("""COMPUTED_VALUE"""),"")</f>
        <v/>
      </c>
      <c r="P978" s="250" t="str">
        <f>IFERROR(__xludf.DUMMYFUNCTION("""COMPUTED_VALUE"""),"")</f>
        <v/>
      </c>
      <c r="Q978" s="250" t="str">
        <f>IFERROR(__xludf.DUMMYFUNCTION("""COMPUTED_VALUE"""),"")</f>
        <v/>
      </c>
      <c r="R978" s="250" t="str">
        <f>IFERROR(__xludf.DUMMYFUNCTION("""COMPUTED_VALUE"""),"")</f>
        <v/>
      </c>
      <c r="U978" s="250" t="str">
        <f>IFERROR(__xludf.DUMMYFUNCTION("""COMPUTED_VALUE"""),"#N/A")</f>
        <v>#N/A</v>
      </c>
      <c r="V978" s="250" t="str">
        <f>IFERROR(__xludf.DUMMYFUNCTION("""COMPUTED_VALUE"""),"#N/A")</f>
        <v>#N/A</v>
      </c>
      <c r="W978" s="250" t="str">
        <f>IFERROR(__xludf.DUMMYFUNCTION("""COMPUTED_VALUE"""),"#N/A")</f>
        <v>#N/A</v>
      </c>
      <c r="X978" t="b">
        <f t="shared" ref="X978:Z978" si="1932">ISBLANK(K978)</f>
        <v>1</v>
      </c>
      <c r="Y978" t="b">
        <f t="shared" si="1932"/>
        <v>0</v>
      </c>
      <c r="Z978" t="b">
        <f t="shared" si="1932"/>
        <v>0</v>
      </c>
      <c r="AA978">
        <f t="shared" ref="AA978:AC978" si="1933">IF(X978=FALSE,1,0)</f>
        <v>0</v>
      </c>
      <c r="AB978">
        <f t="shared" si="1933"/>
        <v>1</v>
      </c>
      <c r="AC978">
        <f t="shared" si="1933"/>
        <v>1</v>
      </c>
      <c r="AD978">
        <f t="shared" si="6"/>
        <v>2</v>
      </c>
      <c r="AE978">
        <f t="shared" si="7"/>
        <v>1</v>
      </c>
      <c r="AF978">
        <f>if(iferror(vlookup($A978,'Description Database'!$E$2:$H$951,3,0),0)=TRUE,1,0)</f>
        <v>0</v>
      </c>
      <c r="AG978">
        <f>if(iferror(vlookup($A978,'Description Database'!$E$2:$H$951,4,0),0)=TRUE,1,0)</f>
        <v>0</v>
      </c>
    </row>
    <row r="979">
      <c r="B979" t="str">
        <f>IFERROR(__xludf.DUMMYFUNCTION("""COMPUTED_VALUE"""),"")</f>
        <v/>
      </c>
      <c r="C979" t="str">
        <f>IFERROR(__xludf.DUMMYFUNCTION("""COMPUTED_VALUE"""),"")</f>
        <v/>
      </c>
      <c r="D979" t="str">
        <f>IFERROR(__xludf.DUMMYFUNCTION("""COMPUTED_VALUE"""),"")</f>
        <v/>
      </c>
      <c r="E979" t="str">
        <f>IFERROR(__xludf.DUMMYFUNCTION("""COMPUTED_VALUE"""),"")</f>
        <v/>
      </c>
      <c r="F979" t="str">
        <f>IFERROR(__xludf.DUMMYFUNCTION("""COMPUTED_VALUE"""),"")</f>
        <v/>
      </c>
      <c r="G979" t="str">
        <f>IFERROR(__xludf.DUMMYFUNCTION("""COMPUTED_VALUE"""),"")</f>
        <v/>
      </c>
      <c r="H979" t="str">
        <f>IFERROR(__xludf.DUMMYFUNCTION("""COMPUTED_VALUE"""),"")</f>
        <v/>
      </c>
      <c r="I979" t="str">
        <f>IFERROR(__xludf.DUMMYFUNCTION("""COMPUTED_VALUE"""),"")</f>
        <v/>
      </c>
      <c r="J979">
        <f>IFERROR(__xludf.DUMMYFUNCTION("""COMPUTED_VALUE"""),0.0)</f>
        <v>0</v>
      </c>
      <c r="L979" s="250" t="str">
        <f>IFERROR(__xludf.DUMMYFUNCTION("""COMPUTED_VALUE"""),"")</f>
        <v/>
      </c>
      <c r="M979" s="250" t="str">
        <f>IFERROR(__xludf.DUMMYFUNCTION("""COMPUTED_VALUE"""),"")</f>
        <v/>
      </c>
      <c r="N979" s="250" t="str">
        <f>IFERROR(__xludf.DUMMYFUNCTION("""COMPUTED_VALUE"""),"")</f>
        <v/>
      </c>
      <c r="O979" s="250" t="str">
        <f>IFERROR(__xludf.DUMMYFUNCTION("""COMPUTED_VALUE"""),"")</f>
        <v/>
      </c>
      <c r="P979" s="250" t="str">
        <f>IFERROR(__xludf.DUMMYFUNCTION("""COMPUTED_VALUE"""),"")</f>
        <v/>
      </c>
      <c r="Q979" s="250" t="str">
        <f>IFERROR(__xludf.DUMMYFUNCTION("""COMPUTED_VALUE"""),"")</f>
        <v/>
      </c>
      <c r="R979" s="250" t="str">
        <f>IFERROR(__xludf.DUMMYFUNCTION("""COMPUTED_VALUE"""),"")</f>
        <v/>
      </c>
      <c r="U979" s="250" t="str">
        <f>IFERROR(__xludf.DUMMYFUNCTION("""COMPUTED_VALUE"""),"#N/A")</f>
        <v>#N/A</v>
      </c>
      <c r="V979" s="250" t="str">
        <f>IFERROR(__xludf.DUMMYFUNCTION("""COMPUTED_VALUE"""),"#N/A")</f>
        <v>#N/A</v>
      </c>
      <c r="W979" s="250" t="str">
        <f>IFERROR(__xludf.DUMMYFUNCTION("""COMPUTED_VALUE"""),"#N/A")</f>
        <v>#N/A</v>
      </c>
      <c r="X979" t="b">
        <f t="shared" ref="X979:Z979" si="1934">ISBLANK(K979)</f>
        <v>1</v>
      </c>
      <c r="Y979" t="b">
        <f t="shared" si="1934"/>
        <v>0</v>
      </c>
      <c r="Z979" t="b">
        <f t="shared" si="1934"/>
        <v>0</v>
      </c>
      <c r="AA979">
        <f t="shared" ref="AA979:AC979" si="1935">IF(X979=FALSE,1,0)</f>
        <v>0</v>
      </c>
      <c r="AB979">
        <f t="shared" si="1935"/>
        <v>1</v>
      </c>
      <c r="AC979">
        <f t="shared" si="1935"/>
        <v>1</v>
      </c>
      <c r="AD979">
        <f t="shared" si="6"/>
        <v>2</v>
      </c>
      <c r="AE979">
        <f t="shared" si="7"/>
        <v>1</v>
      </c>
      <c r="AF979">
        <f>if(iferror(vlookup($A979,'Description Database'!$E$2:$H$951,3,0),0)=TRUE,1,0)</f>
        <v>0</v>
      </c>
      <c r="AG979">
        <f>if(iferror(vlookup($A979,'Description Database'!$E$2:$H$951,4,0),0)=TRUE,1,0)</f>
        <v>0</v>
      </c>
    </row>
    <row r="980">
      <c r="B980" t="str">
        <f>IFERROR(__xludf.DUMMYFUNCTION("""COMPUTED_VALUE"""),"")</f>
        <v/>
      </c>
      <c r="C980" t="str">
        <f>IFERROR(__xludf.DUMMYFUNCTION("""COMPUTED_VALUE"""),"")</f>
        <v/>
      </c>
      <c r="D980" t="str">
        <f>IFERROR(__xludf.DUMMYFUNCTION("""COMPUTED_VALUE"""),"")</f>
        <v/>
      </c>
      <c r="E980" t="str">
        <f>IFERROR(__xludf.DUMMYFUNCTION("""COMPUTED_VALUE"""),"")</f>
        <v/>
      </c>
      <c r="F980" t="str">
        <f>IFERROR(__xludf.DUMMYFUNCTION("""COMPUTED_VALUE"""),"")</f>
        <v/>
      </c>
      <c r="G980" t="str">
        <f>IFERROR(__xludf.DUMMYFUNCTION("""COMPUTED_VALUE"""),"")</f>
        <v/>
      </c>
      <c r="H980" t="str">
        <f>IFERROR(__xludf.DUMMYFUNCTION("""COMPUTED_VALUE"""),"")</f>
        <v/>
      </c>
      <c r="I980" t="str">
        <f>IFERROR(__xludf.DUMMYFUNCTION("""COMPUTED_VALUE"""),"")</f>
        <v/>
      </c>
      <c r="J980">
        <f>IFERROR(__xludf.DUMMYFUNCTION("""COMPUTED_VALUE"""),0.0)</f>
        <v>0</v>
      </c>
      <c r="L980" s="250" t="str">
        <f>IFERROR(__xludf.DUMMYFUNCTION("""COMPUTED_VALUE"""),"")</f>
        <v/>
      </c>
      <c r="M980" s="250" t="str">
        <f>IFERROR(__xludf.DUMMYFUNCTION("""COMPUTED_VALUE"""),"")</f>
        <v/>
      </c>
      <c r="N980" s="250" t="str">
        <f>IFERROR(__xludf.DUMMYFUNCTION("""COMPUTED_VALUE"""),"")</f>
        <v/>
      </c>
      <c r="O980" s="250" t="str">
        <f>IFERROR(__xludf.DUMMYFUNCTION("""COMPUTED_VALUE"""),"")</f>
        <v/>
      </c>
      <c r="P980" s="250" t="str">
        <f>IFERROR(__xludf.DUMMYFUNCTION("""COMPUTED_VALUE"""),"")</f>
        <v/>
      </c>
      <c r="Q980" s="250" t="str">
        <f>IFERROR(__xludf.DUMMYFUNCTION("""COMPUTED_VALUE"""),"")</f>
        <v/>
      </c>
      <c r="R980" s="250" t="str">
        <f>IFERROR(__xludf.DUMMYFUNCTION("""COMPUTED_VALUE"""),"")</f>
        <v/>
      </c>
      <c r="U980" s="250" t="str">
        <f>IFERROR(__xludf.DUMMYFUNCTION("""COMPUTED_VALUE"""),"#N/A")</f>
        <v>#N/A</v>
      </c>
      <c r="V980" s="250" t="str">
        <f>IFERROR(__xludf.DUMMYFUNCTION("""COMPUTED_VALUE"""),"#N/A")</f>
        <v>#N/A</v>
      </c>
      <c r="W980" s="250" t="str">
        <f>IFERROR(__xludf.DUMMYFUNCTION("""COMPUTED_VALUE"""),"#N/A")</f>
        <v>#N/A</v>
      </c>
      <c r="X980" t="b">
        <f t="shared" ref="X980:Z980" si="1936">ISBLANK(K980)</f>
        <v>1</v>
      </c>
      <c r="Y980" t="b">
        <f t="shared" si="1936"/>
        <v>0</v>
      </c>
      <c r="Z980" t="b">
        <f t="shared" si="1936"/>
        <v>0</v>
      </c>
      <c r="AA980">
        <f t="shared" ref="AA980:AC980" si="1937">IF(X980=FALSE,1,0)</f>
        <v>0</v>
      </c>
      <c r="AB980">
        <f t="shared" si="1937"/>
        <v>1</v>
      </c>
      <c r="AC980">
        <f t="shared" si="1937"/>
        <v>1</v>
      </c>
      <c r="AD980">
        <f t="shared" si="6"/>
        <v>2</v>
      </c>
      <c r="AE980">
        <f t="shared" si="7"/>
        <v>1</v>
      </c>
      <c r="AF980">
        <f>if(iferror(vlookup($A980,'Description Database'!$E$2:$H$951,3,0),0)=TRUE,1,0)</f>
        <v>0</v>
      </c>
      <c r="AG980">
        <f>if(iferror(vlookup($A980,'Description Database'!$E$2:$H$951,4,0),0)=TRUE,1,0)</f>
        <v>0</v>
      </c>
    </row>
    <row r="981">
      <c r="B981" t="str">
        <f>IFERROR(__xludf.DUMMYFUNCTION("""COMPUTED_VALUE"""),"")</f>
        <v/>
      </c>
      <c r="C981" t="str">
        <f>IFERROR(__xludf.DUMMYFUNCTION("""COMPUTED_VALUE"""),"")</f>
        <v/>
      </c>
      <c r="D981" t="str">
        <f>IFERROR(__xludf.DUMMYFUNCTION("""COMPUTED_VALUE"""),"")</f>
        <v/>
      </c>
      <c r="E981" t="str">
        <f>IFERROR(__xludf.DUMMYFUNCTION("""COMPUTED_VALUE"""),"")</f>
        <v/>
      </c>
      <c r="F981" t="str">
        <f>IFERROR(__xludf.DUMMYFUNCTION("""COMPUTED_VALUE"""),"")</f>
        <v/>
      </c>
      <c r="G981" t="str">
        <f>IFERROR(__xludf.DUMMYFUNCTION("""COMPUTED_VALUE"""),"")</f>
        <v/>
      </c>
      <c r="H981" t="str">
        <f>IFERROR(__xludf.DUMMYFUNCTION("""COMPUTED_VALUE"""),"")</f>
        <v/>
      </c>
      <c r="I981" t="str">
        <f>IFERROR(__xludf.DUMMYFUNCTION("""COMPUTED_VALUE"""),"")</f>
        <v/>
      </c>
      <c r="J981">
        <f>IFERROR(__xludf.DUMMYFUNCTION("""COMPUTED_VALUE"""),0.0)</f>
        <v>0</v>
      </c>
      <c r="L981" s="250" t="str">
        <f>IFERROR(__xludf.DUMMYFUNCTION("""COMPUTED_VALUE"""),"")</f>
        <v/>
      </c>
      <c r="M981" s="250" t="str">
        <f>IFERROR(__xludf.DUMMYFUNCTION("""COMPUTED_VALUE"""),"")</f>
        <v/>
      </c>
      <c r="N981" s="250" t="str">
        <f>IFERROR(__xludf.DUMMYFUNCTION("""COMPUTED_VALUE"""),"")</f>
        <v/>
      </c>
      <c r="O981" s="250" t="str">
        <f>IFERROR(__xludf.DUMMYFUNCTION("""COMPUTED_VALUE"""),"")</f>
        <v/>
      </c>
      <c r="P981" s="250" t="str">
        <f>IFERROR(__xludf.DUMMYFUNCTION("""COMPUTED_VALUE"""),"")</f>
        <v/>
      </c>
      <c r="Q981" s="250" t="str">
        <f>IFERROR(__xludf.DUMMYFUNCTION("""COMPUTED_VALUE"""),"")</f>
        <v/>
      </c>
      <c r="R981" s="250" t="str">
        <f>IFERROR(__xludf.DUMMYFUNCTION("""COMPUTED_VALUE"""),"")</f>
        <v/>
      </c>
      <c r="U981" s="250" t="str">
        <f>IFERROR(__xludf.DUMMYFUNCTION("""COMPUTED_VALUE"""),"#N/A")</f>
        <v>#N/A</v>
      </c>
      <c r="V981" s="250" t="str">
        <f>IFERROR(__xludf.DUMMYFUNCTION("""COMPUTED_VALUE"""),"#N/A")</f>
        <v>#N/A</v>
      </c>
      <c r="W981" s="250" t="str">
        <f>IFERROR(__xludf.DUMMYFUNCTION("""COMPUTED_VALUE"""),"#N/A")</f>
        <v>#N/A</v>
      </c>
      <c r="X981" t="b">
        <f t="shared" ref="X981:Z981" si="1938">ISBLANK(K981)</f>
        <v>1</v>
      </c>
      <c r="Y981" t="b">
        <f t="shared" si="1938"/>
        <v>0</v>
      </c>
      <c r="Z981" t="b">
        <f t="shared" si="1938"/>
        <v>0</v>
      </c>
      <c r="AA981">
        <f t="shared" ref="AA981:AC981" si="1939">IF(X981=FALSE,1,0)</f>
        <v>0</v>
      </c>
      <c r="AB981">
        <f t="shared" si="1939"/>
        <v>1</v>
      </c>
      <c r="AC981">
        <f t="shared" si="1939"/>
        <v>1</v>
      </c>
      <c r="AD981">
        <f t="shared" si="6"/>
        <v>2</v>
      </c>
      <c r="AE981">
        <f t="shared" si="7"/>
        <v>1</v>
      </c>
      <c r="AF981">
        <f>if(iferror(vlookup($A981,'Description Database'!$E$2:$H$951,3,0),0)=TRUE,1,0)</f>
        <v>0</v>
      </c>
      <c r="AG981">
        <f>if(iferror(vlookup($A981,'Description Database'!$E$2:$H$951,4,0),0)=TRUE,1,0)</f>
        <v>0</v>
      </c>
    </row>
    <row r="982">
      <c r="B982" t="str">
        <f>IFERROR(__xludf.DUMMYFUNCTION("""COMPUTED_VALUE"""),"")</f>
        <v/>
      </c>
      <c r="C982" t="str">
        <f>IFERROR(__xludf.DUMMYFUNCTION("""COMPUTED_VALUE"""),"")</f>
        <v/>
      </c>
      <c r="D982" t="str">
        <f>IFERROR(__xludf.DUMMYFUNCTION("""COMPUTED_VALUE"""),"")</f>
        <v/>
      </c>
      <c r="E982" t="str">
        <f>IFERROR(__xludf.DUMMYFUNCTION("""COMPUTED_VALUE"""),"")</f>
        <v/>
      </c>
      <c r="F982" t="str">
        <f>IFERROR(__xludf.DUMMYFUNCTION("""COMPUTED_VALUE"""),"")</f>
        <v/>
      </c>
      <c r="G982" t="str">
        <f>IFERROR(__xludf.DUMMYFUNCTION("""COMPUTED_VALUE"""),"")</f>
        <v/>
      </c>
      <c r="H982" t="str">
        <f>IFERROR(__xludf.DUMMYFUNCTION("""COMPUTED_VALUE"""),"")</f>
        <v/>
      </c>
      <c r="I982" t="str">
        <f>IFERROR(__xludf.DUMMYFUNCTION("""COMPUTED_VALUE"""),"")</f>
        <v/>
      </c>
      <c r="J982">
        <f>IFERROR(__xludf.DUMMYFUNCTION("""COMPUTED_VALUE"""),0.0)</f>
        <v>0</v>
      </c>
      <c r="L982" s="250" t="str">
        <f>IFERROR(__xludf.DUMMYFUNCTION("""COMPUTED_VALUE"""),"")</f>
        <v/>
      </c>
      <c r="M982" s="250" t="str">
        <f>IFERROR(__xludf.DUMMYFUNCTION("""COMPUTED_VALUE"""),"")</f>
        <v/>
      </c>
      <c r="N982" s="250" t="str">
        <f>IFERROR(__xludf.DUMMYFUNCTION("""COMPUTED_VALUE"""),"")</f>
        <v/>
      </c>
      <c r="O982" s="250" t="str">
        <f>IFERROR(__xludf.DUMMYFUNCTION("""COMPUTED_VALUE"""),"")</f>
        <v/>
      </c>
      <c r="P982" s="250" t="str">
        <f>IFERROR(__xludf.DUMMYFUNCTION("""COMPUTED_VALUE"""),"")</f>
        <v/>
      </c>
      <c r="Q982" s="250" t="str">
        <f>IFERROR(__xludf.DUMMYFUNCTION("""COMPUTED_VALUE"""),"")</f>
        <v/>
      </c>
      <c r="R982" s="250" t="str">
        <f>IFERROR(__xludf.DUMMYFUNCTION("""COMPUTED_VALUE"""),"")</f>
        <v/>
      </c>
      <c r="U982" s="250" t="str">
        <f>IFERROR(__xludf.DUMMYFUNCTION("""COMPUTED_VALUE"""),"#N/A")</f>
        <v>#N/A</v>
      </c>
      <c r="V982" s="250" t="str">
        <f>IFERROR(__xludf.DUMMYFUNCTION("""COMPUTED_VALUE"""),"#N/A")</f>
        <v>#N/A</v>
      </c>
      <c r="W982" s="250" t="str">
        <f>IFERROR(__xludf.DUMMYFUNCTION("""COMPUTED_VALUE"""),"#N/A")</f>
        <v>#N/A</v>
      </c>
      <c r="X982" t="b">
        <f t="shared" ref="X982:Z982" si="1940">ISBLANK(K982)</f>
        <v>1</v>
      </c>
      <c r="Y982" t="b">
        <f t="shared" si="1940"/>
        <v>0</v>
      </c>
      <c r="Z982" t="b">
        <f t="shared" si="1940"/>
        <v>0</v>
      </c>
      <c r="AA982">
        <f t="shared" ref="AA982:AC982" si="1941">IF(X982=FALSE,1,0)</f>
        <v>0</v>
      </c>
      <c r="AB982">
        <f t="shared" si="1941"/>
        <v>1</v>
      </c>
      <c r="AC982">
        <f t="shared" si="1941"/>
        <v>1</v>
      </c>
      <c r="AD982">
        <f t="shared" si="6"/>
        <v>2</v>
      </c>
      <c r="AE982">
        <f t="shared" si="7"/>
        <v>1</v>
      </c>
      <c r="AF982">
        <f>if(iferror(vlookup($A982,'Description Database'!$E$2:$H$951,3,0),0)=TRUE,1,0)</f>
        <v>0</v>
      </c>
      <c r="AG982">
        <f>if(iferror(vlookup($A982,'Description Database'!$E$2:$H$951,4,0),0)=TRUE,1,0)</f>
        <v>0</v>
      </c>
    </row>
    <row r="983">
      <c r="B983" t="str">
        <f>IFERROR(__xludf.DUMMYFUNCTION("""COMPUTED_VALUE"""),"")</f>
        <v/>
      </c>
      <c r="C983" t="str">
        <f>IFERROR(__xludf.DUMMYFUNCTION("""COMPUTED_VALUE"""),"")</f>
        <v/>
      </c>
      <c r="D983" t="str">
        <f>IFERROR(__xludf.DUMMYFUNCTION("""COMPUTED_VALUE"""),"")</f>
        <v/>
      </c>
      <c r="E983" t="str">
        <f>IFERROR(__xludf.DUMMYFUNCTION("""COMPUTED_VALUE"""),"")</f>
        <v/>
      </c>
      <c r="F983" t="str">
        <f>IFERROR(__xludf.DUMMYFUNCTION("""COMPUTED_VALUE"""),"")</f>
        <v/>
      </c>
      <c r="G983" t="str">
        <f>IFERROR(__xludf.DUMMYFUNCTION("""COMPUTED_VALUE"""),"")</f>
        <v/>
      </c>
      <c r="H983" t="str">
        <f>IFERROR(__xludf.DUMMYFUNCTION("""COMPUTED_VALUE"""),"")</f>
        <v/>
      </c>
      <c r="I983" t="str">
        <f>IFERROR(__xludf.DUMMYFUNCTION("""COMPUTED_VALUE"""),"")</f>
        <v/>
      </c>
      <c r="J983">
        <f>IFERROR(__xludf.DUMMYFUNCTION("""COMPUTED_VALUE"""),0.0)</f>
        <v>0</v>
      </c>
      <c r="L983" s="250" t="str">
        <f>IFERROR(__xludf.DUMMYFUNCTION("""COMPUTED_VALUE"""),"")</f>
        <v/>
      </c>
      <c r="M983" s="250" t="str">
        <f>IFERROR(__xludf.DUMMYFUNCTION("""COMPUTED_VALUE"""),"")</f>
        <v/>
      </c>
      <c r="N983" s="250" t="str">
        <f>IFERROR(__xludf.DUMMYFUNCTION("""COMPUTED_VALUE"""),"")</f>
        <v/>
      </c>
      <c r="O983" s="250" t="str">
        <f>IFERROR(__xludf.DUMMYFUNCTION("""COMPUTED_VALUE"""),"")</f>
        <v/>
      </c>
      <c r="P983" s="250" t="str">
        <f>IFERROR(__xludf.DUMMYFUNCTION("""COMPUTED_VALUE"""),"")</f>
        <v/>
      </c>
      <c r="Q983" s="250" t="str">
        <f>IFERROR(__xludf.DUMMYFUNCTION("""COMPUTED_VALUE"""),"")</f>
        <v/>
      </c>
      <c r="R983" s="250" t="str">
        <f>IFERROR(__xludf.DUMMYFUNCTION("""COMPUTED_VALUE"""),"")</f>
        <v/>
      </c>
      <c r="U983" s="250" t="str">
        <f>IFERROR(__xludf.DUMMYFUNCTION("""COMPUTED_VALUE"""),"#N/A")</f>
        <v>#N/A</v>
      </c>
      <c r="V983" s="250" t="str">
        <f>IFERROR(__xludf.DUMMYFUNCTION("""COMPUTED_VALUE"""),"#N/A")</f>
        <v>#N/A</v>
      </c>
      <c r="W983" s="250" t="str">
        <f>IFERROR(__xludf.DUMMYFUNCTION("""COMPUTED_VALUE"""),"#N/A")</f>
        <v>#N/A</v>
      </c>
      <c r="X983" t="b">
        <f t="shared" ref="X983:Z983" si="1942">ISBLANK(K983)</f>
        <v>1</v>
      </c>
      <c r="Y983" t="b">
        <f t="shared" si="1942"/>
        <v>0</v>
      </c>
      <c r="Z983" t="b">
        <f t="shared" si="1942"/>
        <v>0</v>
      </c>
      <c r="AA983">
        <f t="shared" ref="AA983:AC983" si="1943">IF(X983=FALSE,1,0)</f>
        <v>0</v>
      </c>
      <c r="AB983">
        <f t="shared" si="1943"/>
        <v>1</v>
      </c>
      <c r="AC983">
        <f t="shared" si="1943"/>
        <v>1</v>
      </c>
      <c r="AD983">
        <f t="shared" si="6"/>
        <v>2</v>
      </c>
      <c r="AE983">
        <f t="shared" si="7"/>
        <v>1</v>
      </c>
      <c r="AF983">
        <f>if(iferror(vlookup($A983,'Description Database'!$E$2:$H$951,3,0),0)=TRUE,1,0)</f>
        <v>0</v>
      </c>
      <c r="AG983">
        <f>if(iferror(vlookup($A983,'Description Database'!$E$2:$H$951,4,0),0)=TRUE,1,0)</f>
        <v>0</v>
      </c>
    </row>
    <row r="984">
      <c r="B984" t="str">
        <f>IFERROR(__xludf.DUMMYFUNCTION("""COMPUTED_VALUE"""),"")</f>
        <v/>
      </c>
      <c r="C984" t="str">
        <f>IFERROR(__xludf.DUMMYFUNCTION("""COMPUTED_VALUE"""),"")</f>
        <v/>
      </c>
      <c r="D984" t="str">
        <f>IFERROR(__xludf.DUMMYFUNCTION("""COMPUTED_VALUE"""),"")</f>
        <v/>
      </c>
      <c r="E984" t="str">
        <f>IFERROR(__xludf.DUMMYFUNCTION("""COMPUTED_VALUE"""),"")</f>
        <v/>
      </c>
      <c r="F984" t="str">
        <f>IFERROR(__xludf.DUMMYFUNCTION("""COMPUTED_VALUE"""),"")</f>
        <v/>
      </c>
      <c r="G984" t="str">
        <f>IFERROR(__xludf.DUMMYFUNCTION("""COMPUTED_VALUE"""),"")</f>
        <v/>
      </c>
      <c r="H984" t="str">
        <f>IFERROR(__xludf.DUMMYFUNCTION("""COMPUTED_VALUE"""),"")</f>
        <v/>
      </c>
      <c r="I984" t="str">
        <f>IFERROR(__xludf.DUMMYFUNCTION("""COMPUTED_VALUE"""),"")</f>
        <v/>
      </c>
      <c r="J984">
        <f>IFERROR(__xludf.DUMMYFUNCTION("""COMPUTED_VALUE"""),0.0)</f>
        <v>0</v>
      </c>
      <c r="L984" s="250" t="str">
        <f>IFERROR(__xludf.DUMMYFUNCTION("""COMPUTED_VALUE"""),"")</f>
        <v/>
      </c>
      <c r="M984" s="250" t="str">
        <f>IFERROR(__xludf.DUMMYFUNCTION("""COMPUTED_VALUE"""),"")</f>
        <v/>
      </c>
      <c r="N984" s="250" t="str">
        <f>IFERROR(__xludf.DUMMYFUNCTION("""COMPUTED_VALUE"""),"")</f>
        <v/>
      </c>
      <c r="O984" s="250" t="str">
        <f>IFERROR(__xludf.DUMMYFUNCTION("""COMPUTED_VALUE"""),"")</f>
        <v/>
      </c>
      <c r="P984" s="250" t="str">
        <f>IFERROR(__xludf.DUMMYFUNCTION("""COMPUTED_VALUE"""),"")</f>
        <v/>
      </c>
      <c r="Q984" s="250" t="str">
        <f>IFERROR(__xludf.DUMMYFUNCTION("""COMPUTED_VALUE"""),"")</f>
        <v/>
      </c>
      <c r="R984" s="250" t="str">
        <f>IFERROR(__xludf.DUMMYFUNCTION("""COMPUTED_VALUE"""),"")</f>
        <v/>
      </c>
      <c r="U984" s="250" t="str">
        <f>IFERROR(__xludf.DUMMYFUNCTION("""COMPUTED_VALUE"""),"#N/A")</f>
        <v>#N/A</v>
      </c>
      <c r="V984" s="250" t="str">
        <f>IFERROR(__xludf.DUMMYFUNCTION("""COMPUTED_VALUE"""),"#N/A")</f>
        <v>#N/A</v>
      </c>
      <c r="W984" s="250" t="str">
        <f>IFERROR(__xludf.DUMMYFUNCTION("""COMPUTED_VALUE"""),"#N/A")</f>
        <v>#N/A</v>
      </c>
      <c r="X984" t="b">
        <f t="shared" ref="X984:Z984" si="1944">ISBLANK(K984)</f>
        <v>1</v>
      </c>
      <c r="Y984" t="b">
        <f t="shared" si="1944"/>
        <v>0</v>
      </c>
      <c r="Z984" t="b">
        <f t="shared" si="1944"/>
        <v>0</v>
      </c>
      <c r="AA984">
        <f t="shared" ref="AA984:AC984" si="1945">IF(X984=FALSE,1,0)</f>
        <v>0</v>
      </c>
      <c r="AB984">
        <f t="shared" si="1945"/>
        <v>1</v>
      </c>
      <c r="AC984">
        <f t="shared" si="1945"/>
        <v>1</v>
      </c>
      <c r="AD984">
        <f t="shared" si="6"/>
        <v>2</v>
      </c>
      <c r="AE984">
        <f t="shared" si="7"/>
        <v>1</v>
      </c>
      <c r="AF984">
        <f>if(iferror(vlookup($A984,'Description Database'!$E$2:$H$951,3,0),0)=TRUE,1,0)</f>
        <v>0</v>
      </c>
      <c r="AG984">
        <f>if(iferror(vlookup($A984,'Description Database'!$E$2:$H$951,4,0),0)=TRUE,1,0)</f>
        <v>0</v>
      </c>
    </row>
    <row r="985">
      <c r="B985" t="str">
        <f>IFERROR(__xludf.DUMMYFUNCTION("""COMPUTED_VALUE"""),"")</f>
        <v/>
      </c>
      <c r="C985" t="str">
        <f>IFERROR(__xludf.DUMMYFUNCTION("""COMPUTED_VALUE"""),"")</f>
        <v/>
      </c>
      <c r="D985" t="str">
        <f>IFERROR(__xludf.DUMMYFUNCTION("""COMPUTED_VALUE"""),"")</f>
        <v/>
      </c>
      <c r="E985" t="str">
        <f>IFERROR(__xludf.DUMMYFUNCTION("""COMPUTED_VALUE"""),"")</f>
        <v/>
      </c>
      <c r="F985" t="str">
        <f>IFERROR(__xludf.DUMMYFUNCTION("""COMPUTED_VALUE"""),"")</f>
        <v/>
      </c>
      <c r="G985" t="str">
        <f>IFERROR(__xludf.DUMMYFUNCTION("""COMPUTED_VALUE"""),"")</f>
        <v/>
      </c>
      <c r="H985" t="str">
        <f>IFERROR(__xludf.DUMMYFUNCTION("""COMPUTED_VALUE"""),"")</f>
        <v/>
      </c>
      <c r="I985" t="str">
        <f>IFERROR(__xludf.DUMMYFUNCTION("""COMPUTED_VALUE"""),"")</f>
        <v/>
      </c>
      <c r="J985">
        <f>IFERROR(__xludf.DUMMYFUNCTION("""COMPUTED_VALUE"""),0.0)</f>
        <v>0</v>
      </c>
      <c r="L985" s="250" t="str">
        <f>IFERROR(__xludf.DUMMYFUNCTION("""COMPUTED_VALUE"""),"")</f>
        <v/>
      </c>
      <c r="M985" s="250" t="str">
        <f>IFERROR(__xludf.DUMMYFUNCTION("""COMPUTED_VALUE"""),"")</f>
        <v/>
      </c>
      <c r="N985" s="250" t="str">
        <f>IFERROR(__xludf.DUMMYFUNCTION("""COMPUTED_VALUE"""),"")</f>
        <v/>
      </c>
      <c r="O985" s="250" t="str">
        <f>IFERROR(__xludf.DUMMYFUNCTION("""COMPUTED_VALUE"""),"")</f>
        <v/>
      </c>
      <c r="P985" s="250" t="str">
        <f>IFERROR(__xludf.DUMMYFUNCTION("""COMPUTED_VALUE"""),"")</f>
        <v/>
      </c>
      <c r="Q985" s="250" t="str">
        <f>IFERROR(__xludf.DUMMYFUNCTION("""COMPUTED_VALUE"""),"")</f>
        <v/>
      </c>
      <c r="R985" s="250" t="str">
        <f>IFERROR(__xludf.DUMMYFUNCTION("""COMPUTED_VALUE"""),"")</f>
        <v/>
      </c>
      <c r="U985" s="250" t="str">
        <f>IFERROR(__xludf.DUMMYFUNCTION("""COMPUTED_VALUE"""),"#N/A")</f>
        <v>#N/A</v>
      </c>
      <c r="V985" s="250" t="str">
        <f>IFERROR(__xludf.DUMMYFUNCTION("""COMPUTED_VALUE"""),"#N/A")</f>
        <v>#N/A</v>
      </c>
      <c r="W985" s="250" t="str">
        <f>IFERROR(__xludf.DUMMYFUNCTION("""COMPUTED_VALUE"""),"#N/A")</f>
        <v>#N/A</v>
      </c>
      <c r="X985" t="b">
        <f t="shared" ref="X985:Z985" si="1946">ISBLANK(K985)</f>
        <v>1</v>
      </c>
      <c r="Y985" t="b">
        <f t="shared" si="1946"/>
        <v>0</v>
      </c>
      <c r="Z985" t="b">
        <f t="shared" si="1946"/>
        <v>0</v>
      </c>
      <c r="AA985">
        <f t="shared" ref="AA985:AC985" si="1947">IF(X985=FALSE,1,0)</f>
        <v>0</v>
      </c>
      <c r="AB985">
        <f t="shared" si="1947"/>
        <v>1</v>
      </c>
      <c r="AC985">
        <f t="shared" si="1947"/>
        <v>1</v>
      </c>
      <c r="AD985">
        <f t="shared" si="6"/>
        <v>2</v>
      </c>
      <c r="AE985">
        <f t="shared" si="7"/>
        <v>1</v>
      </c>
      <c r="AF985">
        <f>if(iferror(vlookup($A985,'Description Database'!$E$2:$H$951,3,0),0)=TRUE,1,0)</f>
        <v>0</v>
      </c>
      <c r="AG985">
        <f>if(iferror(vlookup($A985,'Description Database'!$E$2:$H$951,4,0),0)=TRUE,1,0)</f>
        <v>0</v>
      </c>
    </row>
    <row r="986">
      <c r="B986" t="str">
        <f>IFERROR(__xludf.DUMMYFUNCTION("""COMPUTED_VALUE"""),"")</f>
        <v/>
      </c>
      <c r="C986" t="str">
        <f>IFERROR(__xludf.DUMMYFUNCTION("""COMPUTED_VALUE"""),"")</f>
        <v/>
      </c>
      <c r="D986" t="str">
        <f>IFERROR(__xludf.DUMMYFUNCTION("""COMPUTED_VALUE"""),"")</f>
        <v/>
      </c>
      <c r="E986" t="str">
        <f>IFERROR(__xludf.DUMMYFUNCTION("""COMPUTED_VALUE"""),"")</f>
        <v/>
      </c>
      <c r="F986" t="str">
        <f>IFERROR(__xludf.DUMMYFUNCTION("""COMPUTED_VALUE"""),"")</f>
        <v/>
      </c>
      <c r="G986" t="str">
        <f>IFERROR(__xludf.DUMMYFUNCTION("""COMPUTED_VALUE"""),"")</f>
        <v/>
      </c>
      <c r="H986" t="str">
        <f>IFERROR(__xludf.DUMMYFUNCTION("""COMPUTED_VALUE"""),"")</f>
        <v/>
      </c>
      <c r="I986" t="str">
        <f>IFERROR(__xludf.DUMMYFUNCTION("""COMPUTED_VALUE"""),"")</f>
        <v/>
      </c>
      <c r="J986">
        <f>IFERROR(__xludf.DUMMYFUNCTION("""COMPUTED_VALUE"""),0.0)</f>
        <v>0</v>
      </c>
      <c r="L986" s="250" t="str">
        <f>IFERROR(__xludf.DUMMYFUNCTION("""COMPUTED_VALUE"""),"")</f>
        <v/>
      </c>
      <c r="M986" s="250" t="str">
        <f>IFERROR(__xludf.DUMMYFUNCTION("""COMPUTED_VALUE"""),"")</f>
        <v/>
      </c>
      <c r="N986" s="250" t="str">
        <f>IFERROR(__xludf.DUMMYFUNCTION("""COMPUTED_VALUE"""),"")</f>
        <v/>
      </c>
      <c r="O986" s="250" t="str">
        <f>IFERROR(__xludf.DUMMYFUNCTION("""COMPUTED_VALUE"""),"")</f>
        <v/>
      </c>
      <c r="P986" s="250" t="str">
        <f>IFERROR(__xludf.DUMMYFUNCTION("""COMPUTED_VALUE"""),"")</f>
        <v/>
      </c>
      <c r="Q986" s="250" t="str">
        <f>IFERROR(__xludf.DUMMYFUNCTION("""COMPUTED_VALUE"""),"")</f>
        <v/>
      </c>
      <c r="R986" s="250" t="str">
        <f>IFERROR(__xludf.DUMMYFUNCTION("""COMPUTED_VALUE"""),"")</f>
        <v/>
      </c>
      <c r="U986" s="250" t="str">
        <f>IFERROR(__xludf.DUMMYFUNCTION("""COMPUTED_VALUE"""),"#N/A")</f>
        <v>#N/A</v>
      </c>
      <c r="V986" s="250" t="str">
        <f>IFERROR(__xludf.DUMMYFUNCTION("""COMPUTED_VALUE"""),"#N/A")</f>
        <v>#N/A</v>
      </c>
      <c r="W986" s="250" t="str">
        <f>IFERROR(__xludf.DUMMYFUNCTION("""COMPUTED_VALUE"""),"#N/A")</f>
        <v>#N/A</v>
      </c>
      <c r="X986" t="b">
        <f t="shared" ref="X986:Z986" si="1948">ISBLANK(K986)</f>
        <v>1</v>
      </c>
      <c r="Y986" t="b">
        <f t="shared" si="1948"/>
        <v>0</v>
      </c>
      <c r="Z986" t="b">
        <f t="shared" si="1948"/>
        <v>0</v>
      </c>
      <c r="AA986">
        <f t="shared" ref="AA986:AC986" si="1949">IF(X986=FALSE,1,0)</f>
        <v>0</v>
      </c>
      <c r="AB986">
        <f t="shared" si="1949"/>
        <v>1</v>
      </c>
      <c r="AC986">
        <f t="shared" si="1949"/>
        <v>1</v>
      </c>
      <c r="AD986">
        <f t="shared" si="6"/>
        <v>2</v>
      </c>
      <c r="AE986">
        <f t="shared" si="7"/>
        <v>1</v>
      </c>
      <c r="AF986">
        <f>if(iferror(vlookup($A986,'Description Database'!$E$2:$H$951,3,0),0)=TRUE,1,0)</f>
        <v>0</v>
      </c>
      <c r="AG986">
        <f>if(iferror(vlookup($A986,'Description Database'!$E$2:$H$951,4,0),0)=TRUE,1,0)</f>
        <v>0</v>
      </c>
    </row>
    <row r="987">
      <c r="B987" t="str">
        <f>IFERROR(__xludf.DUMMYFUNCTION("""COMPUTED_VALUE"""),"")</f>
        <v/>
      </c>
      <c r="C987" t="str">
        <f>IFERROR(__xludf.DUMMYFUNCTION("""COMPUTED_VALUE"""),"")</f>
        <v/>
      </c>
      <c r="D987" t="str">
        <f>IFERROR(__xludf.DUMMYFUNCTION("""COMPUTED_VALUE"""),"")</f>
        <v/>
      </c>
      <c r="E987" t="str">
        <f>IFERROR(__xludf.DUMMYFUNCTION("""COMPUTED_VALUE"""),"")</f>
        <v/>
      </c>
      <c r="F987" t="str">
        <f>IFERROR(__xludf.DUMMYFUNCTION("""COMPUTED_VALUE"""),"")</f>
        <v/>
      </c>
      <c r="G987" t="str">
        <f>IFERROR(__xludf.DUMMYFUNCTION("""COMPUTED_VALUE"""),"")</f>
        <v/>
      </c>
      <c r="H987" t="str">
        <f>IFERROR(__xludf.DUMMYFUNCTION("""COMPUTED_VALUE"""),"")</f>
        <v/>
      </c>
      <c r="I987" t="str">
        <f>IFERROR(__xludf.DUMMYFUNCTION("""COMPUTED_VALUE"""),"")</f>
        <v/>
      </c>
      <c r="J987">
        <f>IFERROR(__xludf.DUMMYFUNCTION("""COMPUTED_VALUE"""),0.0)</f>
        <v>0</v>
      </c>
      <c r="L987" s="250" t="str">
        <f>IFERROR(__xludf.DUMMYFUNCTION("""COMPUTED_VALUE"""),"")</f>
        <v/>
      </c>
      <c r="M987" s="250" t="str">
        <f>IFERROR(__xludf.DUMMYFUNCTION("""COMPUTED_VALUE"""),"")</f>
        <v/>
      </c>
      <c r="N987" s="250" t="str">
        <f>IFERROR(__xludf.DUMMYFUNCTION("""COMPUTED_VALUE"""),"")</f>
        <v/>
      </c>
      <c r="O987" s="250" t="str">
        <f>IFERROR(__xludf.DUMMYFUNCTION("""COMPUTED_VALUE"""),"")</f>
        <v/>
      </c>
      <c r="P987" s="250" t="str">
        <f>IFERROR(__xludf.DUMMYFUNCTION("""COMPUTED_VALUE"""),"")</f>
        <v/>
      </c>
      <c r="Q987" s="250" t="str">
        <f>IFERROR(__xludf.DUMMYFUNCTION("""COMPUTED_VALUE"""),"")</f>
        <v/>
      </c>
      <c r="R987" s="250" t="str">
        <f>IFERROR(__xludf.DUMMYFUNCTION("""COMPUTED_VALUE"""),"")</f>
        <v/>
      </c>
      <c r="U987" s="250" t="str">
        <f>IFERROR(__xludf.DUMMYFUNCTION("""COMPUTED_VALUE"""),"#N/A")</f>
        <v>#N/A</v>
      </c>
      <c r="V987" s="250" t="str">
        <f>IFERROR(__xludf.DUMMYFUNCTION("""COMPUTED_VALUE"""),"#N/A")</f>
        <v>#N/A</v>
      </c>
      <c r="W987" s="250" t="str">
        <f>IFERROR(__xludf.DUMMYFUNCTION("""COMPUTED_VALUE"""),"#N/A")</f>
        <v>#N/A</v>
      </c>
      <c r="X987" t="b">
        <f t="shared" ref="X987:Z987" si="1950">ISBLANK(K987)</f>
        <v>1</v>
      </c>
      <c r="Y987" t="b">
        <f t="shared" si="1950"/>
        <v>0</v>
      </c>
      <c r="Z987" t="b">
        <f t="shared" si="1950"/>
        <v>0</v>
      </c>
      <c r="AA987">
        <f t="shared" ref="AA987:AC987" si="1951">IF(X987=FALSE,1,0)</f>
        <v>0</v>
      </c>
      <c r="AB987">
        <f t="shared" si="1951"/>
        <v>1</v>
      </c>
      <c r="AC987">
        <f t="shared" si="1951"/>
        <v>1</v>
      </c>
      <c r="AD987">
        <f t="shared" si="6"/>
        <v>2</v>
      </c>
      <c r="AE987">
        <f t="shared" si="7"/>
        <v>1</v>
      </c>
      <c r="AF987">
        <f>if(iferror(vlookup($A987,'Description Database'!$E$2:$H$951,3,0),0)=TRUE,1,0)</f>
        <v>0</v>
      </c>
      <c r="AG987">
        <f>if(iferror(vlookup($A987,'Description Database'!$E$2:$H$951,4,0),0)=TRUE,1,0)</f>
        <v>0</v>
      </c>
    </row>
    <row r="988">
      <c r="B988" t="str">
        <f>IFERROR(__xludf.DUMMYFUNCTION("""COMPUTED_VALUE"""),"")</f>
        <v/>
      </c>
      <c r="C988" t="str">
        <f>IFERROR(__xludf.DUMMYFUNCTION("""COMPUTED_VALUE"""),"")</f>
        <v/>
      </c>
      <c r="D988" t="str">
        <f>IFERROR(__xludf.DUMMYFUNCTION("""COMPUTED_VALUE"""),"")</f>
        <v/>
      </c>
      <c r="E988" t="str">
        <f>IFERROR(__xludf.DUMMYFUNCTION("""COMPUTED_VALUE"""),"")</f>
        <v/>
      </c>
      <c r="F988" t="str">
        <f>IFERROR(__xludf.DUMMYFUNCTION("""COMPUTED_VALUE"""),"")</f>
        <v/>
      </c>
      <c r="G988" t="str">
        <f>IFERROR(__xludf.DUMMYFUNCTION("""COMPUTED_VALUE"""),"")</f>
        <v/>
      </c>
      <c r="H988" t="str">
        <f>IFERROR(__xludf.DUMMYFUNCTION("""COMPUTED_VALUE"""),"")</f>
        <v/>
      </c>
      <c r="I988" t="str">
        <f>IFERROR(__xludf.DUMMYFUNCTION("""COMPUTED_VALUE"""),"")</f>
        <v/>
      </c>
      <c r="J988">
        <f>IFERROR(__xludf.DUMMYFUNCTION("""COMPUTED_VALUE"""),0.0)</f>
        <v>0</v>
      </c>
      <c r="L988" s="250" t="str">
        <f>IFERROR(__xludf.DUMMYFUNCTION("""COMPUTED_VALUE"""),"")</f>
        <v/>
      </c>
      <c r="M988" s="250" t="str">
        <f>IFERROR(__xludf.DUMMYFUNCTION("""COMPUTED_VALUE"""),"")</f>
        <v/>
      </c>
      <c r="N988" s="250" t="str">
        <f>IFERROR(__xludf.DUMMYFUNCTION("""COMPUTED_VALUE"""),"")</f>
        <v/>
      </c>
      <c r="O988" s="250" t="str">
        <f>IFERROR(__xludf.DUMMYFUNCTION("""COMPUTED_VALUE"""),"")</f>
        <v/>
      </c>
      <c r="P988" s="250" t="str">
        <f>IFERROR(__xludf.DUMMYFUNCTION("""COMPUTED_VALUE"""),"")</f>
        <v/>
      </c>
      <c r="Q988" s="250" t="str">
        <f>IFERROR(__xludf.DUMMYFUNCTION("""COMPUTED_VALUE"""),"")</f>
        <v/>
      </c>
      <c r="R988" s="250" t="str">
        <f>IFERROR(__xludf.DUMMYFUNCTION("""COMPUTED_VALUE"""),"")</f>
        <v/>
      </c>
      <c r="U988" s="250" t="str">
        <f>IFERROR(__xludf.DUMMYFUNCTION("""COMPUTED_VALUE"""),"#N/A")</f>
        <v>#N/A</v>
      </c>
      <c r="V988" s="250" t="str">
        <f>IFERROR(__xludf.DUMMYFUNCTION("""COMPUTED_VALUE"""),"#N/A")</f>
        <v>#N/A</v>
      </c>
      <c r="W988" s="250" t="str">
        <f>IFERROR(__xludf.DUMMYFUNCTION("""COMPUTED_VALUE"""),"#N/A")</f>
        <v>#N/A</v>
      </c>
      <c r="X988" t="b">
        <f t="shared" ref="X988:Z988" si="1952">ISBLANK(K988)</f>
        <v>1</v>
      </c>
      <c r="Y988" t="b">
        <f t="shared" si="1952"/>
        <v>0</v>
      </c>
      <c r="Z988" t="b">
        <f t="shared" si="1952"/>
        <v>0</v>
      </c>
      <c r="AA988">
        <f t="shared" ref="AA988:AC988" si="1953">IF(X988=FALSE,1,0)</f>
        <v>0</v>
      </c>
      <c r="AB988">
        <f t="shared" si="1953"/>
        <v>1</v>
      </c>
      <c r="AC988">
        <f t="shared" si="1953"/>
        <v>1</v>
      </c>
      <c r="AD988">
        <f t="shared" si="6"/>
        <v>2</v>
      </c>
      <c r="AE988">
        <f t="shared" si="7"/>
        <v>1</v>
      </c>
      <c r="AF988">
        <f>if(iferror(vlookup($A988,'Description Database'!$E$2:$H$951,3,0),0)=TRUE,1,0)</f>
        <v>0</v>
      </c>
      <c r="AG988">
        <f>if(iferror(vlookup($A988,'Description Database'!$E$2:$H$951,4,0),0)=TRUE,1,0)</f>
        <v>0</v>
      </c>
    </row>
    <row r="989">
      <c r="B989" t="str">
        <f>IFERROR(__xludf.DUMMYFUNCTION("""COMPUTED_VALUE"""),"")</f>
        <v/>
      </c>
      <c r="C989" t="str">
        <f>IFERROR(__xludf.DUMMYFUNCTION("""COMPUTED_VALUE"""),"")</f>
        <v/>
      </c>
      <c r="D989" t="str">
        <f>IFERROR(__xludf.DUMMYFUNCTION("""COMPUTED_VALUE"""),"")</f>
        <v/>
      </c>
      <c r="E989" t="str">
        <f>IFERROR(__xludf.DUMMYFUNCTION("""COMPUTED_VALUE"""),"")</f>
        <v/>
      </c>
      <c r="F989" t="str">
        <f>IFERROR(__xludf.DUMMYFUNCTION("""COMPUTED_VALUE"""),"")</f>
        <v/>
      </c>
      <c r="G989" t="str">
        <f>IFERROR(__xludf.DUMMYFUNCTION("""COMPUTED_VALUE"""),"")</f>
        <v/>
      </c>
      <c r="H989" t="str">
        <f>IFERROR(__xludf.DUMMYFUNCTION("""COMPUTED_VALUE"""),"")</f>
        <v/>
      </c>
      <c r="I989" t="str">
        <f>IFERROR(__xludf.DUMMYFUNCTION("""COMPUTED_VALUE"""),"")</f>
        <v/>
      </c>
      <c r="J989">
        <f>IFERROR(__xludf.DUMMYFUNCTION("""COMPUTED_VALUE"""),0.0)</f>
        <v>0</v>
      </c>
      <c r="L989" s="250" t="str">
        <f>IFERROR(__xludf.DUMMYFUNCTION("""COMPUTED_VALUE"""),"")</f>
        <v/>
      </c>
      <c r="M989" s="250" t="str">
        <f>IFERROR(__xludf.DUMMYFUNCTION("""COMPUTED_VALUE"""),"")</f>
        <v/>
      </c>
      <c r="N989" s="250" t="str">
        <f>IFERROR(__xludf.DUMMYFUNCTION("""COMPUTED_VALUE"""),"")</f>
        <v/>
      </c>
      <c r="O989" s="250" t="str">
        <f>IFERROR(__xludf.DUMMYFUNCTION("""COMPUTED_VALUE"""),"")</f>
        <v/>
      </c>
      <c r="P989" s="250" t="str">
        <f>IFERROR(__xludf.DUMMYFUNCTION("""COMPUTED_VALUE"""),"")</f>
        <v/>
      </c>
      <c r="Q989" s="250" t="str">
        <f>IFERROR(__xludf.DUMMYFUNCTION("""COMPUTED_VALUE"""),"")</f>
        <v/>
      </c>
      <c r="R989" s="250" t="str">
        <f>IFERROR(__xludf.DUMMYFUNCTION("""COMPUTED_VALUE"""),"")</f>
        <v/>
      </c>
      <c r="U989" s="250" t="str">
        <f>IFERROR(__xludf.DUMMYFUNCTION("""COMPUTED_VALUE"""),"#N/A")</f>
        <v>#N/A</v>
      </c>
      <c r="V989" s="250" t="str">
        <f>IFERROR(__xludf.DUMMYFUNCTION("""COMPUTED_VALUE"""),"#N/A")</f>
        <v>#N/A</v>
      </c>
      <c r="W989" s="250" t="str">
        <f>IFERROR(__xludf.DUMMYFUNCTION("""COMPUTED_VALUE"""),"#N/A")</f>
        <v>#N/A</v>
      </c>
      <c r="X989" t="b">
        <f t="shared" ref="X989:Z989" si="1954">ISBLANK(K989)</f>
        <v>1</v>
      </c>
      <c r="Y989" t="b">
        <f t="shared" si="1954"/>
        <v>0</v>
      </c>
      <c r="Z989" t="b">
        <f t="shared" si="1954"/>
        <v>0</v>
      </c>
      <c r="AA989">
        <f t="shared" ref="AA989:AC989" si="1955">IF(X989=FALSE,1,0)</f>
        <v>0</v>
      </c>
      <c r="AB989">
        <f t="shared" si="1955"/>
        <v>1</v>
      </c>
      <c r="AC989">
        <f t="shared" si="1955"/>
        <v>1</v>
      </c>
      <c r="AD989">
        <f t="shared" si="6"/>
        <v>2</v>
      </c>
      <c r="AE989">
        <f t="shared" si="7"/>
        <v>1</v>
      </c>
      <c r="AF989">
        <f>if(iferror(vlookup($A989,'Description Database'!$E$2:$H$951,3,0),0)=TRUE,1,0)</f>
        <v>0</v>
      </c>
      <c r="AG989">
        <f>if(iferror(vlookup($A989,'Description Database'!$E$2:$H$951,4,0),0)=TRUE,1,0)</f>
        <v>0</v>
      </c>
    </row>
    <row r="990">
      <c r="B990" t="str">
        <f>IFERROR(__xludf.DUMMYFUNCTION("""COMPUTED_VALUE"""),"")</f>
        <v/>
      </c>
      <c r="C990" t="str">
        <f>IFERROR(__xludf.DUMMYFUNCTION("""COMPUTED_VALUE"""),"")</f>
        <v/>
      </c>
      <c r="D990" t="str">
        <f>IFERROR(__xludf.DUMMYFUNCTION("""COMPUTED_VALUE"""),"")</f>
        <v/>
      </c>
      <c r="E990" t="str">
        <f>IFERROR(__xludf.DUMMYFUNCTION("""COMPUTED_VALUE"""),"")</f>
        <v/>
      </c>
      <c r="F990" t="str">
        <f>IFERROR(__xludf.DUMMYFUNCTION("""COMPUTED_VALUE"""),"")</f>
        <v/>
      </c>
      <c r="G990" t="str">
        <f>IFERROR(__xludf.DUMMYFUNCTION("""COMPUTED_VALUE"""),"")</f>
        <v/>
      </c>
      <c r="H990" t="str">
        <f>IFERROR(__xludf.DUMMYFUNCTION("""COMPUTED_VALUE"""),"")</f>
        <v/>
      </c>
      <c r="I990" t="str">
        <f>IFERROR(__xludf.DUMMYFUNCTION("""COMPUTED_VALUE"""),"")</f>
        <v/>
      </c>
      <c r="J990">
        <f>IFERROR(__xludf.DUMMYFUNCTION("""COMPUTED_VALUE"""),0.0)</f>
        <v>0</v>
      </c>
      <c r="L990" s="250" t="str">
        <f>IFERROR(__xludf.DUMMYFUNCTION("""COMPUTED_VALUE"""),"")</f>
        <v/>
      </c>
      <c r="M990" s="250" t="str">
        <f>IFERROR(__xludf.DUMMYFUNCTION("""COMPUTED_VALUE"""),"")</f>
        <v/>
      </c>
      <c r="N990" s="250" t="str">
        <f>IFERROR(__xludf.DUMMYFUNCTION("""COMPUTED_VALUE"""),"")</f>
        <v/>
      </c>
      <c r="O990" s="250" t="str">
        <f>IFERROR(__xludf.DUMMYFUNCTION("""COMPUTED_VALUE"""),"")</f>
        <v/>
      </c>
      <c r="P990" s="250" t="str">
        <f>IFERROR(__xludf.DUMMYFUNCTION("""COMPUTED_VALUE"""),"")</f>
        <v/>
      </c>
      <c r="Q990" s="250" t="str">
        <f>IFERROR(__xludf.DUMMYFUNCTION("""COMPUTED_VALUE"""),"")</f>
        <v/>
      </c>
      <c r="R990" s="250" t="str">
        <f>IFERROR(__xludf.DUMMYFUNCTION("""COMPUTED_VALUE"""),"")</f>
        <v/>
      </c>
      <c r="U990" s="250" t="str">
        <f>IFERROR(__xludf.DUMMYFUNCTION("""COMPUTED_VALUE"""),"#N/A")</f>
        <v>#N/A</v>
      </c>
      <c r="V990" s="250" t="str">
        <f>IFERROR(__xludf.DUMMYFUNCTION("""COMPUTED_VALUE"""),"#N/A")</f>
        <v>#N/A</v>
      </c>
      <c r="W990" s="250" t="str">
        <f>IFERROR(__xludf.DUMMYFUNCTION("""COMPUTED_VALUE"""),"#N/A")</f>
        <v>#N/A</v>
      </c>
      <c r="X990" t="b">
        <f t="shared" ref="X990:Z990" si="1956">ISBLANK(K990)</f>
        <v>1</v>
      </c>
      <c r="Y990" t="b">
        <f t="shared" si="1956"/>
        <v>0</v>
      </c>
      <c r="Z990" t="b">
        <f t="shared" si="1956"/>
        <v>0</v>
      </c>
      <c r="AA990">
        <f t="shared" ref="AA990:AC990" si="1957">IF(X990=FALSE,1,0)</f>
        <v>0</v>
      </c>
      <c r="AB990">
        <f t="shared" si="1957"/>
        <v>1</v>
      </c>
      <c r="AC990">
        <f t="shared" si="1957"/>
        <v>1</v>
      </c>
      <c r="AD990">
        <f t="shared" si="6"/>
        <v>2</v>
      </c>
      <c r="AE990">
        <f t="shared" si="7"/>
        <v>1</v>
      </c>
      <c r="AF990">
        <f>if(iferror(vlookup($A990,'Description Database'!$E$2:$H$951,3,0),0)=TRUE,1,0)</f>
        <v>0</v>
      </c>
      <c r="AG990">
        <f>if(iferror(vlookup($A990,'Description Database'!$E$2:$H$951,4,0),0)=TRUE,1,0)</f>
        <v>0</v>
      </c>
    </row>
    <row r="991">
      <c r="B991" t="str">
        <f>IFERROR(__xludf.DUMMYFUNCTION("""COMPUTED_VALUE"""),"")</f>
        <v/>
      </c>
      <c r="C991" t="str">
        <f>IFERROR(__xludf.DUMMYFUNCTION("""COMPUTED_VALUE"""),"")</f>
        <v/>
      </c>
      <c r="D991" t="str">
        <f>IFERROR(__xludf.DUMMYFUNCTION("""COMPUTED_VALUE"""),"")</f>
        <v/>
      </c>
      <c r="E991" t="str">
        <f>IFERROR(__xludf.DUMMYFUNCTION("""COMPUTED_VALUE"""),"")</f>
        <v/>
      </c>
      <c r="F991" t="str">
        <f>IFERROR(__xludf.DUMMYFUNCTION("""COMPUTED_VALUE"""),"")</f>
        <v/>
      </c>
      <c r="G991" t="str">
        <f>IFERROR(__xludf.DUMMYFUNCTION("""COMPUTED_VALUE"""),"")</f>
        <v/>
      </c>
      <c r="H991" t="str">
        <f>IFERROR(__xludf.DUMMYFUNCTION("""COMPUTED_VALUE"""),"")</f>
        <v/>
      </c>
      <c r="I991" t="str">
        <f>IFERROR(__xludf.DUMMYFUNCTION("""COMPUTED_VALUE"""),"")</f>
        <v/>
      </c>
      <c r="J991">
        <f>IFERROR(__xludf.DUMMYFUNCTION("""COMPUTED_VALUE"""),0.0)</f>
        <v>0</v>
      </c>
      <c r="L991" s="250" t="str">
        <f>IFERROR(__xludf.DUMMYFUNCTION("""COMPUTED_VALUE"""),"")</f>
        <v/>
      </c>
      <c r="M991" s="250" t="str">
        <f>IFERROR(__xludf.DUMMYFUNCTION("""COMPUTED_VALUE"""),"")</f>
        <v/>
      </c>
      <c r="N991" s="250" t="str">
        <f>IFERROR(__xludf.DUMMYFUNCTION("""COMPUTED_VALUE"""),"")</f>
        <v/>
      </c>
      <c r="O991" s="250" t="str">
        <f>IFERROR(__xludf.DUMMYFUNCTION("""COMPUTED_VALUE"""),"")</f>
        <v/>
      </c>
      <c r="P991" s="250" t="str">
        <f>IFERROR(__xludf.DUMMYFUNCTION("""COMPUTED_VALUE"""),"")</f>
        <v/>
      </c>
      <c r="Q991" s="250" t="str">
        <f>IFERROR(__xludf.DUMMYFUNCTION("""COMPUTED_VALUE"""),"")</f>
        <v/>
      </c>
      <c r="R991" s="250" t="str">
        <f>IFERROR(__xludf.DUMMYFUNCTION("""COMPUTED_VALUE"""),"")</f>
        <v/>
      </c>
      <c r="U991" s="250" t="str">
        <f>IFERROR(__xludf.DUMMYFUNCTION("""COMPUTED_VALUE"""),"#N/A")</f>
        <v>#N/A</v>
      </c>
      <c r="V991" s="250" t="str">
        <f>IFERROR(__xludf.DUMMYFUNCTION("""COMPUTED_VALUE"""),"#N/A")</f>
        <v>#N/A</v>
      </c>
      <c r="W991" s="250" t="str">
        <f>IFERROR(__xludf.DUMMYFUNCTION("""COMPUTED_VALUE"""),"#N/A")</f>
        <v>#N/A</v>
      </c>
      <c r="X991" t="b">
        <f t="shared" ref="X991:Z991" si="1958">ISBLANK(K991)</f>
        <v>1</v>
      </c>
      <c r="Y991" t="b">
        <f t="shared" si="1958"/>
        <v>0</v>
      </c>
      <c r="Z991" t="b">
        <f t="shared" si="1958"/>
        <v>0</v>
      </c>
      <c r="AA991">
        <f t="shared" ref="AA991:AC991" si="1959">IF(X991=FALSE,1,0)</f>
        <v>0</v>
      </c>
      <c r="AB991">
        <f t="shared" si="1959"/>
        <v>1</v>
      </c>
      <c r="AC991">
        <f t="shared" si="1959"/>
        <v>1</v>
      </c>
      <c r="AD991">
        <f t="shared" si="6"/>
        <v>2</v>
      </c>
      <c r="AE991">
        <f t="shared" si="7"/>
        <v>1</v>
      </c>
      <c r="AF991">
        <f>if(iferror(vlookup($A991,'Description Database'!$E$2:$H$951,3,0),0)=TRUE,1,0)</f>
        <v>0</v>
      </c>
      <c r="AG991">
        <f>if(iferror(vlookup($A991,'Description Database'!$E$2:$H$951,4,0),0)=TRUE,1,0)</f>
        <v>0</v>
      </c>
    </row>
    <row r="992">
      <c r="B992" t="str">
        <f>IFERROR(__xludf.DUMMYFUNCTION("""COMPUTED_VALUE"""),"")</f>
        <v/>
      </c>
      <c r="C992" t="str">
        <f>IFERROR(__xludf.DUMMYFUNCTION("""COMPUTED_VALUE"""),"")</f>
        <v/>
      </c>
      <c r="D992" t="str">
        <f>IFERROR(__xludf.DUMMYFUNCTION("""COMPUTED_VALUE"""),"")</f>
        <v/>
      </c>
      <c r="E992" t="str">
        <f>IFERROR(__xludf.DUMMYFUNCTION("""COMPUTED_VALUE"""),"")</f>
        <v/>
      </c>
      <c r="F992" t="str">
        <f>IFERROR(__xludf.DUMMYFUNCTION("""COMPUTED_VALUE"""),"")</f>
        <v/>
      </c>
      <c r="G992" t="str">
        <f>IFERROR(__xludf.DUMMYFUNCTION("""COMPUTED_VALUE"""),"")</f>
        <v/>
      </c>
      <c r="H992" t="str">
        <f>IFERROR(__xludf.DUMMYFUNCTION("""COMPUTED_VALUE"""),"")</f>
        <v/>
      </c>
      <c r="I992" t="str">
        <f>IFERROR(__xludf.DUMMYFUNCTION("""COMPUTED_VALUE"""),"")</f>
        <v/>
      </c>
      <c r="J992">
        <f>IFERROR(__xludf.DUMMYFUNCTION("""COMPUTED_VALUE"""),0.0)</f>
        <v>0</v>
      </c>
      <c r="L992" s="250" t="str">
        <f>IFERROR(__xludf.DUMMYFUNCTION("""COMPUTED_VALUE"""),"")</f>
        <v/>
      </c>
      <c r="M992" s="250" t="str">
        <f>IFERROR(__xludf.DUMMYFUNCTION("""COMPUTED_VALUE"""),"")</f>
        <v/>
      </c>
      <c r="N992" s="250" t="str">
        <f>IFERROR(__xludf.DUMMYFUNCTION("""COMPUTED_VALUE"""),"")</f>
        <v/>
      </c>
      <c r="O992" s="250" t="str">
        <f>IFERROR(__xludf.DUMMYFUNCTION("""COMPUTED_VALUE"""),"")</f>
        <v/>
      </c>
      <c r="P992" s="250" t="str">
        <f>IFERROR(__xludf.DUMMYFUNCTION("""COMPUTED_VALUE"""),"")</f>
        <v/>
      </c>
      <c r="Q992" s="250" t="str">
        <f>IFERROR(__xludf.DUMMYFUNCTION("""COMPUTED_VALUE"""),"")</f>
        <v/>
      </c>
      <c r="R992" s="250" t="str">
        <f>IFERROR(__xludf.DUMMYFUNCTION("""COMPUTED_VALUE"""),"")</f>
        <v/>
      </c>
      <c r="U992" s="250" t="str">
        <f>IFERROR(__xludf.DUMMYFUNCTION("""COMPUTED_VALUE"""),"#N/A")</f>
        <v>#N/A</v>
      </c>
      <c r="V992" s="250" t="str">
        <f>IFERROR(__xludf.DUMMYFUNCTION("""COMPUTED_VALUE"""),"#N/A")</f>
        <v>#N/A</v>
      </c>
      <c r="W992" s="250" t="str">
        <f>IFERROR(__xludf.DUMMYFUNCTION("""COMPUTED_VALUE"""),"#N/A")</f>
        <v>#N/A</v>
      </c>
      <c r="X992" t="b">
        <f t="shared" ref="X992:Z992" si="1960">ISBLANK(K992)</f>
        <v>1</v>
      </c>
      <c r="Y992" t="b">
        <f t="shared" si="1960"/>
        <v>0</v>
      </c>
      <c r="Z992" t="b">
        <f t="shared" si="1960"/>
        <v>0</v>
      </c>
      <c r="AA992">
        <f t="shared" ref="AA992:AC992" si="1961">IF(X992=FALSE,1,0)</f>
        <v>0</v>
      </c>
      <c r="AB992">
        <f t="shared" si="1961"/>
        <v>1</v>
      </c>
      <c r="AC992">
        <f t="shared" si="1961"/>
        <v>1</v>
      </c>
      <c r="AD992">
        <f t="shared" si="6"/>
        <v>2</v>
      </c>
      <c r="AE992">
        <f t="shared" si="7"/>
        <v>1</v>
      </c>
      <c r="AF992">
        <f>if(iferror(vlookup($A992,'Description Database'!$E$2:$H$951,3,0),0)=TRUE,1,0)</f>
        <v>0</v>
      </c>
      <c r="AG992">
        <f>if(iferror(vlookup($A992,'Description Database'!$E$2:$H$951,4,0),0)=TRUE,1,0)</f>
        <v>0</v>
      </c>
    </row>
    <row r="993">
      <c r="B993" t="str">
        <f>IFERROR(__xludf.DUMMYFUNCTION("""COMPUTED_VALUE"""),"")</f>
        <v/>
      </c>
      <c r="C993" t="str">
        <f>IFERROR(__xludf.DUMMYFUNCTION("""COMPUTED_VALUE"""),"")</f>
        <v/>
      </c>
      <c r="D993" t="str">
        <f>IFERROR(__xludf.DUMMYFUNCTION("""COMPUTED_VALUE"""),"")</f>
        <v/>
      </c>
      <c r="E993" t="str">
        <f>IFERROR(__xludf.DUMMYFUNCTION("""COMPUTED_VALUE"""),"")</f>
        <v/>
      </c>
      <c r="F993" t="str">
        <f>IFERROR(__xludf.DUMMYFUNCTION("""COMPUTED_VALUE"""),"")</f>
        <v/>
      </c>
      <c r="G993" t="str">
        <f>IFERROR(__xludf.DUMMYFUNCTION("""COMPUTED_VALUE"""),"")</f>
        <v/>
      </c>
      <c r="H993" t="str">
        <f>IFERROR(__xludf.DUMMYFUNCTION("""COMPUTED_VALUE"""),"")</f>
        <v/>
      </c>
      <c r="I993" t="str">
        <f>IFERROR(__xludf.DUMMYFUNCTION("""COMPUTED_VALUE"""),"")</f>
        <v/>
      </c>
      <c r="J993">
        <f>IFERROR(__xludf.DUMMYFUNCTION("""COMPUTED_VALUE"""),0.0)</f>
        <v>0</v>
      </c>
      <c r="L993" s="250" t="str">
        <f>IFERROR(__xludf.DUMMYFUNCTION("""COMPUTED_VALUE"""),"")</f>
        <v/>
      </c>
      <c r="M993" s="250" t="str">
        <f>IFERROR(__xludf.DUMMYFUNCTION("""COMPUTED_VALUE"""),"")</f>
        <v/>
      </c>
      <c r="N993" s="250" t="str">
        <f>IFERROR(__xludf.DUMMYFUNCTION("""COMPUTED_VALUE"""),"")</f>
        <v/>
      </c>
      <c r="O993" s="250" t="str">
        <f>IFERROR(__xludf.DUMMYFUNCTION("""COMPUTED_VALUE"""),"")</f>
        <v/>
      </c>
      <c r="P993" s="250" t="str">
        <f>IFERROR(__xludf.DUMMYFUNCTION("""COMPUTED_VALUE"""),"")</f>
        <v/>
      </c>
      <c r="Q993" s="250" t="str">
        <f>IFERROR(__xludf.DUMMYFUNCTION("""COMPUTED_VALUE"""),"")</f>
        <v/>
      </c>
      <c r="R993" s="250" t="str">
        <f>IFERROR(__xludf.DUMMYFUNCTION("""COMPUTED_VALUE"""),"")</f>
        <v/>
      </c>
      <c r="U993" s="250" t="str">
        <f>IFERROR(__xludf.DUMMYFUNCTION("""COMPUTED_VALUE"""),"#N/A")</f>
        <v>#N/A</v>
      </c>
      <c r="V993" s="250" t="str">
        <f>IFERROR(__xludf.DUMMYFUNCTION("""COMPUTED_VALUE"""),"#N/A")</f>
        <v>#N/A</v>
      </c>
      <c r="W993" s="250" t="str">
        <f>IFERROR(__xludf.DUMMYFUNCTION("""COMPUTED_VALUE"""),"#N/A")</f>
        <v>#N/A</v>
      </c>
      <c r="X993" t="b">
        <f t="shared" ref="X993:Z993" si="1962">ISBLANK(K993)</f>
        <v>1</v>
      </c>
      <c r="Y993" t="b">
        <f t="shared" si="1962"/>
        <v>0</v>
      </c>
      <c r="Z993" t="b">
        <f t="shared" si="1962"/>
        <v>0</v>
      </c>
      <c r="AA993">
        <f t="shared" ref="AA993:AC993" si="1963">IF(X993=FALSE,1,0)</f>
        <v>0</v>
      </c>
      <c r="AB993">
        <f t="shared" si="1963"/>
        <v>1</v>
      </c>
      <c r="AC993">
        <f t="shared" si="1963"/>
        <v>1</v>
      </c>
      <c r="AD993">
        <f t="shared" si="6"/>
        <v>2</v>
      </c>
      <c r="AE993">
        <f t="shared" si="7"/>
        <v>1</v>
      </c>
      <c r="AF993">
        <f>if(iferror(vlookup($A993,'Description Database'!$E$2:$H$951,3,0),0)=TRUE,1,0)</f>
        <v>0</v>
      </c>
      <c r="AG993">
        <f>if(iferror(vlookup($A993,'Description Database'!$E$2:$H$951,4,0),0)=TRUE,1,0)</f>
        <v>0</v>
      </c>
    </row>
    <row r="994">
      <c r="B994" t="str">
        <f>IFERROR(__xludf.DUMMYFUNCTION("""COMPUTED_VALUE"""),"")</f>
        <v/>
      </c>
      <c r="C994" t="str">
        <f>IFERROR(__xludf.DUMMYFUNCTION("""COMPUTED_VALUE"""),"")</f>
        <v/>
      </c>
      <c r="D994" t="str">
        <f>IFERROR(__xludf.DUMMYFUNCTION("""COMPUTED_VALUE"""),"")</f>
        <v/>
      </c>
      <c r="E994" t="str">
        <f>IFERROR(__xludf.DUMMYFUNCTION("""COMPUTED_VALUE"""),"")</f>
        <v/>
      </c>
      <c r="F994" t="str">
        <f>IFERROR(__xludf.DUMMYFUNCTION("""COMPUTED_VALUE"""),"")</f>
        <v/>
      </c>
      <c r="G994" t="str">
        <f>IFERROR(__xludf.DUMMYFUNCTION("""COMPUTED_VALUE"""),"")</f>
        <v/>
      </c>
      <c r="H994" t="str">
        <f>IFERROR(__xludf.DUMMYFUNCTION("""COMPUTED_VALUE"""),"")</f>
        <v/>
      </c>
      <c r="I994" t="str">
        <f>IFERROR(__xludf.DUMMYFUNCTION("""COMPUTED_VALUE"""),"")</f>
        <v/>
      </c>
      <c r="J994">
        <f>IFERROR(__xludf.DUMMYFUNCTION("""COMPUTED_VALUE"""),0.0)</f>
        <v>0</v>
      </c>
      <c r="L994" s="250" t="str">
        <f>IFERROR(__xludf.DUMMYFUNCTION("""COMPUTED_VALUE"""),"")</f>
        <v/>
      </c>
      <c r="M994" s="250" t="str">
        <f>IFERROR(__xludf.DUMMYFUNCTION("""COMPUTED_VALUE"""),"")</f>
        <v/>
      </c>
      <c r="N994" s="250" t="str">
        <f>IFERROR(__xludf.DUMMYFUNCTION("""COMPUTED_VALUE"""),"")</f>
        <v/>
      </c>
      <c r="O994" s="250" t="str">
        <f>IFERROR(__xludf.DUMMYFUNCTION("""COMPUTED_VALUE"""),"")</f>
        <v/>
      </c>
      <c r="P994" s="250" t="str">
        <f>IFERROR(__xludf.DUMMYFUNCTION("""COMPUTED_VALUE"""),"")</f>
        <v/>
      </c>
      <c r="Q994" s="250" t="str">
        <f>IFERROR(__xludf.DUMMYFUNCTION("""COMPUTED_VALUE"""),"")</f>
        <v/>
      </c>
      <c r="R994" s="250" t="str">
        <f>IFERROR(__xludf.DUMMYFUNCTION("""COMPUTED_VALUE"""),"")</f>
        <v/>
      </c>
      <c r="U994" s="250" t="str">
        <f>IFERROR(__xludf.DUMMYFUNCTION("""COMPUTED_VALUE"""),"#N/A")</f>
        <v>#N/A</v>
      </c>
      <c r="V994" s="250" t="str">
        <f>IFERROR(__xludf.DUMMYFUNCTION("""COMPUTED_VALUE"""),"#N/A")</f>
        <v>#N/A</v>
      </c>
      <c r="W994" s="250" t="str">
        <f>IFERROR(__xludf.DUMMYFUNCTION("""COMPUTED_VALUE"""),"#N/A")</f>
        <v>#N/A</v>
      </c>
      <c r="X994" t="b">
        <f t="shared" ref="X994:Z994" si="1964">ISBLANK(K994)</f>
        <v>1</v>
      </c>
      <c r="Y994" t="b">
        <f t="shared" si="1964"/>
        <v>0</v>
      </c>
      <c r="Z994" t="b">
        <f t="shared" si="1964"/>
        <v>0</v>
      </c>
      <c r="AA994">
        <f t="shared" ref="AA994:AC994" si="1965">IF(X994=FALSE,1,0)</f>
        <v>0</v>
      </c>
      <c r="AB994">
        <f t="shared" si="1965"/>
        <v>1</v>
      </c>
      <c r="AC994">
        <f t="shared" si="1965"/>
        <v>1</v>
      </c>
      <c r="AD994">
        <f t="shared" si="6"/>
        <v>2</v>
      </c>
      <c r="AE994">
        <f t="shared" si="7"/>
        <v>1</v>
      </c>
      <c r="AF994">
        <f>if(iferror(vlookup($A994,'Description Database'!$E$2:$H$951,3,0),0)=TRUE,1,0)</f>
        <v>0</v>
      </c>
      <c r="AG994">
        <f>if(iferror(vlookup($A994,'Description Database'!$E$2:$H$951,4,0),0)=TRUE,1,0)</f>
        <v>0</v>
      </c>
    </row>
    <row r="995">
      <c r="B995" t="str">
        <f>IFERROR(__xludf.DUMMYFUNCTION("""COMPUTED_VALUE"""),"")</f>
        <v/>
      </c>
      <c r="C995" t="str">
        <f>IFERROR(__xludf.DUMMYFUNCTION("""COMPUTED_VALUE"""),"")</f>
        <v/>
      </c>
      <c r="D995" t="str">
        <f>IFERROR(__xludf.DUMMYFUNCTION("""COMPUTED_VALUE"""),"")</f>
        <v/>
      </c>
      <c r="E995" t="str">
        <f>IFERROR(__xludf.DUMMYFUNCTION("""COMPUTED_VALUE"""),"")</f>
        <v/>
      </c>
      <c r="F995" t="str">
        <f>IFERROR(__xludf.DUMMYFUNCTION("""COMPUTED_VALUE"""),"")</f>
        <v/>
      </c>
      <c r="G995" t="str">
        <f>IFERROR(__xludf.DUMMYFUNCTION("""COMPUTED_VALUE"""),"")</f>
        <v/>
      </c>
      <c r="H995" t="str">
        <f>IFERROR(__xludf.DUMMYFUNCTION("""COMPUTED_VALUE"""),"")</f>
        <v/>
      </c>
      <c r="I995" t="str">
        <f>IFERROR(__xludf.DUMMYFUNCTION("""COMPUTED_VALUE"""),"")</f>
        <v/>
      </c>
      <c r="J995">
        <f>IFERROR(__xludf.DUMMYFUNCTION("""COMPUTED_VALUE"""),0.0)</f>
        <v>0</v>
      </c>
      <c r="L995" s="250" t="str">
        <f>IFERROR(__xludf.DUMMYFUNCTION("""COMPUTED_VALUE"""),"")</f>
        <v/>
      </c>
      <c r="M995" s="250" t="str">
        <f>IFERROR(__xludf.DUMMYFUNCTION("""COMPUTED_VALUE"""),"")</f>
        <v/>
      </c>
      <c r="N995" s="250" t="str">
        <f>IFERROR(__xludf.DUMMYFUNCTION("""COMPUTED_VALUE"""),"")</f>
        <v/>
      </c>
      <c r="O995" s="250" t="str">
        <f>IFERROR(__xludf.DUMMYFUNCTION("""COMPUTED_VALUE"""),"")</f>
        <v/>
      </c>
      <c r="P995" s="250" t="str">
        <f>IFERROR(__xludf.DUMMYFUNCTION("""COMPUTED_VALUE"""),"")</f>
        <v/>
      </c>
      <c r="Q995" s="250" t="str">
        <f>IFERROR(__xludf.DUMMYFUNCTION("""COMPUTED_VALUE"""),"")</f>
        <v/>
      </c>
      <c r="R995" s="250" t="str">
        <f>IFERROR(__xludf.DUMMYFUNCTION("""COMPUTED_VALUE"""),"")</f>
        <v/>
      </c>
      <c r="U995" s="250" t="str">
        <f>IFERROR(__xludf.DUMMYFUNCTION("""COMPUTED_VALUE"""),"#N/A")</f>
        <v>#N/A</v>
      </c>
      <c r="V995" s="250" t="str">
        <f>IFERROR(__xludf.DUMMYFUNCTION("""COMPUTED_VALUE"""),"#N/A")</f>
        <v>#N/A</v>
      </c>
      <c r="W995" s="250" t="str">
        <f>IFERROR(__xludf.DUMMYFUNCTION("""COMPUTED_VALUE"""),"#N/A")</f>
        <v>#N/A</v>
      </c>
      <c r="X995" t="b">
        <f t="shared" ref="X995:Z995" si="1966">ISBLANK(K995)</f>
        <v>1</v>
      </c>
      <c r="Y995" t="b">
        <f t="shared" si="1966"/>
        <v>0</v>
      </c>
      <c r="Z995" t="b">
        <f t="shared" si="1966"/>
        <v>0</v>
      </c>
      <c r="AA995">
        <f t="shared" ref="AA995:AC995" si="1967">IF(X995=FALSE,1,0)</f>
        <v>0</v>
      </c>
      <c r="AB995">
        <f t="shared" si="1967"/>
        <v>1</v>
      </c>
      <c r="AC995">
        <f t="shared" si="1967"/>
        <v>1</v>
      </c>
      <c r="AD995">
        <f t="shared" si="6"/>
        <v>2</v>
      </c>
      <c r="AE995">
        <f t="shared" si="7"/>
        <v>1</v>
      </c>
      <c r="AF995">
        <f>if(iferror(vlookup($A995,'Description Database'!$E$2:$H$951,3,0),0)=TRUE,1,0)</f>
        <v>0</v>
      </c>
      <c r="AG995">
        <f>if(iferror(vlookup($A995,'Description Database'!$E$2:$H$951,4,0),0)=TRUE,1,0)</f>
        <v>0</v>
      </c>
    </row>
    <row r="996">
      <c r="B996" t="str">
        <f>IFERROR(__xludf.DUMMYFUNCTION("""COMPUTED_VALUE"""),"")</f>
        <v/>
      </c>
      <c r="C996" t="str">
        <f>IFERROR(__xludf.DUMMYFUNCTION("""COMPUTED_VALUE"""),"")</f>
        <v/>
      </c>
      <c r="D996" t="str">
        <f>IFERROR(__xludf.DUMMYFUNCTION("""COMPUTED_VALUE"""),"")</f>
        <v/>
      </c>
      <c r="E996" t="str">
        <f>IFERROR(__xludf.DUMMYFUNCTION("""COMPUTED_VALUE"""),"")</f>
        <v/>
      </c>
      <c r="F996" t="str">
        <f>IFERROR(__xludf.DUMMYFUNCTION("""COMPUTED_VALUE"""),"")</f>
        <v/>
      </c>
      <c r="G996" t="str">
        <f>IFERROR(__xludf.DUMMYFUNCTION("""COMPUTED_VALUE"""),"")</f>
        <v/>
      </c>
      <c r="H996" t="str">
        <f>IFERROR(__xludf.DUMMYFUNCTION("""COMPUTED_VALUE"""),"")</f>
        <v/>
      </c>
      <c r="I996" t="str">
        <f>IFERROR(__xludf.DUMMYFUNCTION("""COMPUTED_VALUE"""),"")</f>
        <v/>
      </c>
      <c r="J996">
        <f>IFERROR(__xludf.DUMMYFUNCTION("""COMPUTED_VALUE"""),0.0)</f>
        <v>0</v>
      </c>
      <c r="L996" s="250" t="str">
        <f>IFERROR(__xludf.DUMMYFUNCTION("""COMPUTED_VALUE"""),"")</f>
        <v/>
      </c>
      <c r="M996" s="250" t="str">
        <f>IFERROR(__xludf.DUMMYFUNCTION("""COMPUTED_VALUE"""),"")</f>
        <v/>
      </c>
      <c r="N996" s="250" t="str">
        <f>IFERROR(__xludf.DUMMYFUNCTION("""COMPUTED_VALUE"""),"")</f>
        <v/>
      </c>
      <c r="O996" s="250" t="str">
        <f>IFERROR(__xludf.DUMMYFUNCTION("""COMPUTED_VALUE"""),"")</f>
        <v/>
      </c>
      <c r="P996" s="250" t="str">
        <f>IFERROR(__xludf.DUMMYFUNCTION("""COMPUTED_VALUE"""),"")</f>
        <v/>
      </c>
      <c r="Q996" s="250" t="str">
        <f>IFERROR(__xludf.DUMMYFUNCTION("""COMPUTED_VALUE"""),"")</f>
        <v/>
      </c>
      <c r="R996" s="250" t="str">
        <f>IFERROR(__xludf.DUMMYFUNCTION("""COMPUTED_VALUE"""),"")</f>
        <v/>
      </c>
      <c r="U996" s="250" t="str">
        <f>IFERROR(__xludf.DUMMYFUNCTION("""COMPUTED_VALUE"""),"#N/A")</f>
        <v>#N/A</v>
      </c>
      <c r="V996" s="250" t="str">
        <f>IFERROR(__xludf.DUMMYFUNCTION("""COMPUTED_VALUE"""),"#N/A")</f>
        <v>#N/A</v>
      </c>
      <c r="W996" s="250" t="str">
        <f>IFERROR(__xludf.DUMMYFUNCTION("""COMPUTED_VALUE"""),"#N/A")</f>
        <v>#N/A</v>
      </c>
      <c r="X996" t="b">
        <f t="shared" ref="X996:Z996" si="1968">ISBLANK(K996)</f>
        <v>1</v>
      </c>
      <c r="Y996" t="b">
        <f t="shared" si="1968"/>
        <v>0</v>
      </c>
      <c r="Z996" t="b">
        <f t="shared" si="1968"/>
        <v>0</v>
      </c>
      <c r="AA996">
        <f t="shared" ref="AA996:AC996" si="1969">IF(X996=FALSE,1,0)</f>
        <v>0</v>
      </c>
      <c r="AB996">
        <f t="shared" si="1969"/>
        <v>1</v>
      </c>
      <c r="AC996">
        <f t="shared" si="1969"/>
        <v>1</v>
      </c>
      <c r="AD996">
        <f t="shared" si="6"/>
        <v>2</v>
      </c>
      <c r="AE996">
        <f t="shared" si="7"/>
        <v>1</v>
      </c>
      <c r="AF996">
        <f>if(iferror(vlookup($A996,'Description Database'!$E$2:$H$951,3,0),0)=TRUE,1,0)</f>
        <v>0</v>
      </c>
      <c r="AG996">
        <f>if(iferror(vlookup($A996,'Description Database'!$E$2:$H$951,4,0),0)=TRUE,1,0)</f>
        <v>0</v>
      </c>
    </row>
    <row r="997">
      <c r="B997" t="str">
        <f>IFERROR(__xludf.DUMMYFUNCTION("""COMPUTED_VALUE"""),"")</f>
        <v/>
      </c>
      <c r="C997" t="str">
        <f>IFERROR(__xludf.DUMMYFUNCTION("""COMPUTED_VALUE"""),"")</f>
        <v/>
      </c>
      <c r="D997" t="str">
        <f>IFERROR(__xludf.DUMMYFUNCTION("""COMPUTED_VALUE"""),"")</f>
        <v/>
      </c>
      <c r="E997" t="str">
        <f>IFERROR(__xludf.DUMMYFUNCTION("""COMPUTED_VALUE"""),"")</f>
        <v/>
      </c>
      <c r="F997" t="str">
        <f>IFERROR(__xludf.DUMMYFUNCTION("""COMPUTED_VALUE"""),"")</f>
        <v/>
      </c>
      <c r="G997" t="str">
        <f>IFERROR(__xludf.DUMMYFUNCTION("""COMPUTED_VALUE"""),"")</f>
        <v/>
      </c>
      <c r="H997" t="str">
        <f>IFERROR(__xludf.DUMMYFUNCTION("""COMPUTED_VALUE"""),"")</f>
        <v/>
      </c>
      <c r="I997" t="str">
        <f>IFERROR(__xludf.DUMMYFUNCTION("""COMPUTED_VALUE"""),"")</f>
        <v/>
      </c>
      <c r="J997">
        <f>IFERROR(__xludf.DUMMYFUNCTION("""COMPUTED_VALUE"""),0.0)</f>
        <v>0</v>
      </c>
      <c r="L997" s="250" t="str">
        <f>IFERROR(__xludf.DUMMYFUNCTION("""COMPUTED_VALUE"""),"")</f>
        <v/>
      </c>
      <c r="M997" s="250" t="str">
        <f>IFERROR(__xludf.DUMMYFUNCTION("""COMPUTED_VALUE"""),"")</f>
        <v/>
      </c>
      <c r="N997" s="250" t="str">
        <f>IFERROR(__xludf.DUMMYFUNCTION("""COMPUTED_VALUE"""),"")</f>
        <v/>
      </c>
      <c r="O997" s="250" t="str">
        <f>IFERROR(__xludf.DUMMYFUNCTION("""COMPUTED_VALUE"""),"")</f>
        <v/>
      </c>
      <c r="P997" s="250" t="str">
        <f>IFERROR(__xludf.DUMMYFUNCTION("""COMPUTED_VALUE"""),"")</f>
        <v/>
      </c>
      <c r="Q997" s="250" t="str">
        <f>IFERROR(__xludf.DUMMYFUNCTION("""COMPUTED_VALUE"""),"")</f>
        <v/>
      </c>
      <c r="R997" s="250" t="str">
        <f>IFERROR(__xludf.DUMMYFUNCTION("""COMPUTED_VALUE"""),"")</f>
        <v/>
      </c>
      <c r="U997" s="250" t="str">
        <f>IFERROR(__xludf.DUMMYFUNCTION("""COMPUTED_VALUE"""),"#N/A")</f>
        <v>#N/A</v>
      </c>
      <c r="V997" s="250" t="str">
        <f>IFERROR(__xludf.DUMMYFUNCTION("""COMPUTED_VALUE"""),"#N/A")</f>
        <v>#N/A</v>
      </c>
      <c r="W997" s="250" t="str">
        <f>IFERROR(__xludf.DUMMYFUNCTION("""COMPUTED_VALUE"""),"#N/A")</f>
        <v>#N/A</v>
      </c>
      <c r="X997" t="b">
        <f t="shared" ref="X997:Z997" si="1970">ISBLANK(K997)</f>
        <v>1</v>
      </c>
      <c r="Y997" t="b">
        <f t="shared" si="1970"/>
        <v>0</v>
      </c>
      <c r="Z997" t="b">
        <f t="shared" si="1970"/>
        <v>0</v>
      </c>
      <c r="AA997">
        <f t="shared" ref="AA997:AC997" si="1971">IF(X997=FALSE,1,0)</f>
        <v>0</v>
      </c>
      <c r="AB997">
        <f t="shared" si="1971"/>
        <v>1</v>
      </c>
      <c r="AC997">
        <f t="shared" si="1971"/>
        <v>1</v>
      </c>
      <c r="AD997">
        <f t="shared" si="6"/>
        <v>2</v>
      </c>
      <c r="AE997">
        <f t="shared" si="7"/>
        <v>1</v>
      </c>
      <c r="AF997">
        <f>if(iferror(vlookup($A997,'Description Database'!$E$2:$H$951,3,0),0)=TRUE,1,0)</f>
        <v>0</v>
      </c>
      <c r="AG997">
        <f>if(iferror(vlookup($A997,'Description Database'!$E$2:$H$951,4,0),0)=TRUE,1,0)</f>
        <v>0</v>
      </c>
    </row>
    <row r="998">
      <c r="B998" t="str">
        <f>IFERROR(__xludf.DUMMYFUNCTION("""COMPUTED_VALUE"""),"")</f>
        <v/>
      </c>
      <c r="C998" t="str">
        <f>IFERROR(__xludf.DUMMYFUNCTION("""COMPUTED_VALUE"""),"")</f>
        <v/>
      </c>
      <c r="D998" t="str">
        <f>IFERROR(__xludf.DUMMYFUNCTION("""COMPUTED_VALUE"""),"")</f>
        <v/>
      </c>
      <c r="E998" t="str">
        <f>IFERROR(__xludf.DUMMYFUNCTION("""COMPUTED_VALUE"""),"")</f>
        <v/>
      </c>
      <c r="F998" t="str">
        <f>IFERROR(__xludf.DUMMYFUNCTION("""COMPUTED_VALUE"""),"")</f>
        <v/>
      </c>
      <c r="G998" t="str">
        <f>IFERROR(__xludf.DUMMYFUNCTION("""COMPUTED_VALUE"""),"")</f>
        <v/>
      </c>
      <c r="H998" t="str">
        <f>IFERROR(__xludf.DUMMYFUNCTION("""COMPUTED_VALUE"""),"")</f>
        <v/>
      </c>
      <c r="I998" t="str">
        <f>IFERROR(__xludf.DUMMYFUNCTION("""COMPUTED_VALUE"""),"")</f>
        <v/>
      </c>
      <c r="J998">
        <f>IFERROR(__xludf.DUMMYFUNCTION("""COMPUTED_VALUE"""),0.0)</f>
        <v>0</v>
      </c>
      <c r="L998" s="250" t="str">
        <f>IFERROR(__xludf.DUMMYFUNCTION("""COMPUTED_VALUE"""),"")</f>
        <v/>
      </c>
      <c r="M998" s="250" t="str">
        <f>IFERROR(__xludf.DUMMYFUNCTION("""COMPUTED_VALUE"""),"")</f>
        <v/>
      </c>
      <c r="N998" s="250" t="str">
        <f>IFERROR(__xludf.DUMMYFUNCTION("""COMPUTED_VALUE"""),"")</f>
        <v/>
      </c>
      <c r="O998" s="250" t="str">
        <f>IFERROR(__xludf.DUMMYFUNCTION("""COMPUTED_VALUE"""),"")</f>
        <v/>
      </c>
      <c r="P998" s="250" t="str">
        <f>IFERROR(__xludf.DUMMYFUNCTION("""COMPUTED_VALUE"""),"")</f>
        <v/>
      </c>
      <c r="Q998" s="250" t="str">
        <f>IFERROR(__xludf.DUMMYFUNCTION("""COMPUTED_VALUE"""),"")</f>
        <v/>
      </c>
      <c r="R998" s="250" t="str">
        <f>IFERROR(__xludf.DUMMYFUNCTION("""COMPUTED_VALUE"""),"")</f>
        <v/>
      </c>
      <c r="U998" s="250" t="str">
        <f>IFERROR(__xludf.DUMMYFUNCTION("""COMPUTED_VALUE"""),"#N/A")</f>
        <v>#N/A</v>
      </c>
      <c r="V998" s="250" t="str">
        <f>IFERROR(__xludf.DUMMYFUNCTION("""COMPUTED_VALUE"""),"#N/A")</f>
        <v>#N/A</v>
      </c>
      <c r="W998" s="250" t="str">
        <f>IFERROR(__xludf.DUMMYFUNCTION("""COMPUTED_VALUE"""),"#N/A")</f>
        <v>#N/A</v>
      </c>
      <c r="X998" t="b">
        <f t="shared" ref="X998:Z998" si="1972">ISBLANK(K998)</f>
        <v>1</v>
      </c>
      <c r="Y998" t="b">
        <f t="shared" si="1972"/>
        <v>0</v>
      </c>
      <c r="Z998" t="b">
        <f t="shared" si="1972"/>
        <v>0</v>
      </c>
      <c r="AA998">
        <f t="shared" ref="AA998:AC998" si="1973">IF(X998=FALSE,1,0)</f>
        <v>0</v>
      </c>
      <c r="AB998">
        <f t="shared" si="1973"/>
        <v>1</v>
      </c>
      <c r="AC998">
        <f t="shared" si="1973"/>
        <v>1</v>
      </c>
      <c r="AD998">
        <f t="shared" si="6"/>
        <v>2</v>
      </c>
      <c r="AE998">
        <f t="shared" si="7"/>
        <v>1</v>
      </c>
      <c r="AF998">
        <f>if(iferror(vlookup($A998,'Description Database'!$E$2:$H$951,3,0),0)=TRUE,1,0)</f>
        <v>0</v>
      </c>
      <c r="AG998">
        <f>if(iferror(vlookup($A998,'Description Database'!$E$2:$H$951,4,0),0)=TRUE,1,0)</f>
        <v>0</v>
      </c>
    </row>
    <row r="999">
      <c r="B999" t="str">
        <f>IFERROR(__xludf.DUMMYFUNCTION("""COMPUTED_VALUE"""),"")</f>
        <v/>
      </c>
      <c r="C999" t="str">
        <f>IFERROR(__xludf.DUMMYFUNCTION("""COMPUTED_VALUE"""),"")</f>
        <v/>
      </c>
      <c r="D999" t="str">
        <f>IFERROR(__xludf.DUMMYFUNCTION("""COMPUTED_VALUE"""),"")</f>
        <v/>
      </c>
      <c r="E999" t="str">
        <f>IFERROR(__xludf.DUMMYFUNCTION("""COMPUTED_VALUE"""),"")</f>
        <v/>
      </c>
      <c r="F999" t="str">
        <f>IFERROR(__xludf.DUMMYFUNCTION("""COMPUTED_VALUE"""),"")</f>
        <v/>
      </c>
      <c r="G999" t="str">
        <f>IFERROR(__xludf.DUMMYFUNCTION("""COMPUTED_VALUE"""),"")</f>
        <v/>
      </c>
      <c r="H999" t="str">
        <f>IFERROR(__xludf.DUMMYFUNCTION("""COMPUTED_VALUE"""),"")</f>
        <v/>
      </c>
      <c r="I999" t="str">
        <f>IFERROR(__xludf.DUMMYFUNCTION("""COMPUTED_VALUE"""),"")</f>
        <v/>
      </c>
      <c r="J999">
        <f>IFERROR(__xludf.DUMMYFUNCTION("""COMPUTED_VALUE"""),0.0)</f>
        <v>0</v>
      </c>
      <c r="L999" s="250" t="str">
        <f>IFERROR(__xludf.DUMMYFUNCTION("""COMPUTED_VALUE"""),"")</f>
        <v/>
      </c>
      <c r="M999" s="250" t="str">
        <f>IFERROR(__xludf.DUMMYFUNCTION("""COMPUTED_VALUE"""),"")</f>
        <v/>
      </c>
      <c r="N999" s="250" t="str">
        <f>IFERROR(__xludf.DUMMYFUNCTION("""COMPUTED_VALUE"""),"")</f>
        <v/>
      </c>
      <c r="O999" s="250" t="str">
        <f>IFERROR(__xludf.DUMMYFUNCTION("""COMPUTED_VALUE"""),"")</f>
        <v/>
      </c>
      <c r="P999" s="250" t="str">
        <f>IFERROR(__xludf.DUMMYFUNCTION("""COMPUTED_VALUE"""),"")</f>
        <v/>
      </c>
      <c r="Q999" s="250" t="str">
        <f>IFERROR(__xludf.DUMMYFUNCTION("""COMPUTED_VALUE"""),"")</f>
        <v/>
      </c>
      <c r="R999" s="250" t="str">
        <f>IFERROR(__xludf.DUMMYFUNCTION("""COMPUTED_VALUE"""),"")</f>
        <v/>
      </c>
      <c r="U999" s="250" t="str">
        <f>IFERROR(__xludf.DUMMYFUNCTION("""COMPUTED_VALUE"""),"#N/A")</f>
        <v>#N/A</v>
      </c>
      <c r="V999" s="250" t="str">
        <f>IFERROR(__xludf.DUMMYFUNCTION("""COMPUTED_VALUE"""),"#N/A")</f>
        <v>#N/A</v>
      </c>
      <c r="W999" s="250" t="str">
        <f>IFERROR(__xludf.DUMMYFUNCTION("""COMPUTED_VALUE"""),"#N/A")</f>
        <v>#N/A</v>
      </c>
      <c r="X999" t="b">
        <f t="shared" ref="X999:Z999" si="1974">ISBLANK(K999)</f>
        <v>1</v>
      </c>
      <c r="Y999" t="b">
        <f t="shared" si="1974"/>
        <v>0</v>
      </c>
      <c r="Z999" t="b">
        <f t="shared" si="1974"/>
        <v>0</v>
      </c>
      <c r="AA999">
        <f t="shared" ref="AA999:AC999" si="1975">IF(X999=FALSE,1,0)</f>
        <v>0</v>
      </c>
      <c r="AB999">
        <f t="shared" si="1975"/>
        <v>1</v>
      </c>
      <c r="AC999">
        <f t="shared" si="1975"/>
        <v>1</v>
      </c>
      <c r="AD999">
        <f t="shared" si="6"/>
        <v>2</v>
      </c>
      <c r="AE999">
        <f t="shared" si="7"/>
        <v>1</v>
      </c>
      <c r="AF999">
        <f>if(iferror(vlookup($A999,'Description Database'!$E$2:$H$951,3,0),0)=TRUE,1,0)</f>
        <v>0</v>
      </c>
      <c r="AG999">
        <f>if(iferror(vlookup($A999,'Description Database'!$E$2:$H$951,4,0),0)=TRUE,1,0)</f>
        <v>0</v>
      </c>
    </row>
    <row r="1000">
      <c r="B1000" t="str">
        <f>IFERROR(__xludf.DUMMYFUNCTION("""COMPUTED_VALUE"""),"")</f>
        <v/>
      </c>
      <c r="C1000" t="str">
        <f>IFERROR(__xludf.DUMMYFUNCTION("""COMPUTED_VALUE"""),"")</f>
        <v/>
      </c>
      <c r="D1000" t="str">
        <f>IFERROR(__xludf.DUMMYFUNCTION("""COMPUTED_VALUE"""),"")</f>
        <v/>
      </c>
      <c r="E1000" t="str">
        <f>IFERROR(__xludf.DUMMYFUNCTION("""COMPUTED_VALUE"""),"")</f>
        <v/>
      </c>
      <c r="F1000" t="str">
        <f>IFERROR(__xludf.DUMMYFUNCTION("""COMPUTED_VALUE"""),"")</f>
        <v/>
      </c>
      <c r="G1000" t="str">
        <f>IFERROR(__xludf.DUMMYFUNCTION("""COMPUTED_VALUE"""),"")</f>
        <v/>
      </c>
      <c r="H1000" t="str">
        <f>IFERROR(__xludf.DUMMYFUNCTION("""COMPUTED_VALUE"""),"")</f>
        <v/>
      </c>
      <c r="I1000" t="str">
        <f>IFERROR(__xludf.DUMMYFUNCTION("""COMPUTED_VALUE"""),"")</f>
        <v/>
      </c>
      <c r="J1000">
        <f>IFERROR(__xludf.DUMMYFUNCTION("""COMPUTED_VALUE"""),0.0)</f>
        <v>0</v>
      </c>
      <c r="L1000" s="250" t="str">
        <f>IFERROR(__xludf.DUMMYFUNCTION("""COMPUTED_VALUE"""),"")</f>
        <v/>
      </c>
      <c r="M1000" s="250" t="str">
        <f>IFERROR(__xludf.DUMMYFUNCTION("""COMPUTED_VALUE"""),"")</f>
        <v/>
      </c>
      <c r="N1000" s="250" t="str">
        <f>IFERROR(__xludf.DUMMYFUNCTION("""COMPUTED_VALUE"""),"")</f>
        <v/>
      </c>
      <c r="O1000" s="250" t="str">
        <f>IFERROR(__xludf.DUMMYFUNCTION("""COMPUTED_VALUE"""),"")</f>
        <v/>
      </c>
      <c r="P1000" s="250" t="str">
        <f>IFERROR(__xludf.DUMMYFUNCTION("""COMPUTED_VALUE"""),"")</f>
        <v/>
      </c>
      <c r="Q1000" s="250" t="str">
        <f>IFERROR(__xludf.DUMMYFUNCTION("""COMPUTED_VALUE"""),"")</f>
        <v/>
      </c>
      <c r="R1000" s="250" t="str">
        <f>IFERROR(__xludf.DUMMYFUNCTION("""COMPUTED_VALUE"""),"")</f>
        <v/>
      </c>
      <c r="U1000" s="250" t="str">
        <f>IFERROR(__xludf.DUMMYFUNCTION("""COMPUTED_VALUE"""),"#N/A")</f>
        <v>#N/A</v>
      </c>
      <c r="V1000" s="250" t="str">
        <f>IFERROR(__xludf.DUMMYFUNCTION("""COMPUTED_VALUE"""),"#N/A")</f>
        <v>#N/A</v>
      </c>
      <c r="W1000" s="250" t="str">
        <f>IFERROR(__xludf.DUMMYFUNCTION("""COMPUTED_VALUE"""),"#N/A")</f>
        <v>#N/A</v>
      </c>
      <c r="X1000" t="b">
        <f t="shared" ref="X1000:Z1000" si="1976">ISBLANK(K1000)</f>
        <v>1</v>
      </c>
      <c r="Y1000" t="b">
        <f t="shared" si="1976"/>
        <v>0</v>
      </c>
      <c r="Z1000" t="b">
        <f t="shared" si="1976"/>
        <v>0</v>
      </c>
      <c r="AA1000">
        <f t="shared" ref="AA1000:AC1000" si="1977">IF(X1000=FALSE,1,0)</f>
        <v>0</v>
      </c>
      <c r="AB1000">
        <f t="shared" si="1977"/>
        <v>1</v>
      </c>
      <c r="AC1000">
        <f t="shared" si="1977"/>
        <v>1</v>
      </c>
      <c r="AD1000">
        <f t="shared" si="6"/>
        <v>2</v>
      </c>
      <c r="AE1000">
        <f t="shared" si="7"/>
        <v>1</v>
      </c>
      <c r="AF1000">
        <f>if(iferror(vlookup($A1000,'Description Database'!$E$2:$H$951,3,0),0)=TRUE,1,0)</f>
        <v>0</v>
      </c>
      <c r="AG1000">
        <f>if(iferror(vlookup($A1000,'Description Database'!$E$2:$H$951,4,0),0)=TRUE,1,0)</f>
        <v>0</v>
      </c>
    </row>
    <row r="1001">
      <c r="B1001" t="str">
        <f>IFERROR(__xludf.DUMMYFUNCTION("""COMPUTED_VALUE"""),"")</f>
        <v/>
      </c>
      <c r="C1001" t="str">
        <f>IFERROR(__xludf.DUMMYFUNCTION("""COMPUTED_VALUE"""),"")</f>
        <v/>
      </c>
      <c r="D1001" t="str">
        <f>IFERROR(__xludf.DUMMYFUNCTION("""COMPUTED_VALUE"""),"")</f>
        <v/>
      </c>
      <c r="E1001" t="str">
        <f>IFERROR(__xludf.DUMMYFUNCTION("""COMPUTED_VALUE"""),"")</f>
        <v/>
      </c>
      <c r="F1001" t="str">
        <f>IFERROR(__xludf.DUMMYFUNCTION("""COMPUTED_VALUE"""),"")</f>
        <v/>
      </c>
      <c r="G1001" t="str">
        <f>IFERROR(__xludf.DUMMYFUNCTION("""COMPUTED_VALUE"""),"")</f>
        <v/>
      </c>
      <c r="H1001" t="str">
        <f>IFERROR(__xludf.DUMMYFUNCTION("""COMPUTED_VALUE"""),"")</f>
        <v/>
      </c>
      <c r="I1001" t="str">
        <f>IFERROR(__xludf.DUMMYFUNCTION("""COMPUTED_VALUE"""),"")</f>
        <v/>
      </c>
      <c r="J1001">
        <f>IFERROR(__xludf.DUMMYFUNCTION("""COMPUTED_VALUE"""),0.0)</f>
        <v>0</v>
      </c>
      <c r="L1001" s="250" t="str">
        <f>IFERROR(__xludf.DUMMYFUNCTION("""COMPUTED_VALUE"""),"")</f>
        <v/>
      </c>
      <c r="M1001" s="250" t="str">
        <f>IFERROR(__xludf.DUMMYFUNCTION("""COMPUTED_VALUE"""),"")</f>
        <v/>
      </c>
      <c r="N1001" s="250" t="str">
        <f>IFERROR(__xludf.DUMMYFUNCTION("""COMPUTED_VALUE"""),"")</f>
        <v/>
      </c>
      <c r="O1001" s="250" t="str">
        <f>IFERROR(__xludf.DUMMYFUNCTION("""COMPUTED_VALUE"""),"")</f>
        <v/>
      </c>
      <c r="P1001" s="250" t="str">
        <f>IFERROR(__xludf.DUMMYFUNCTION("""COMPUTED_VALUE"""),"")</f>
        <v/>
      </c>
      <c r="Q1001" s="250" t="str">
        <f>IFERROR(__xludf.DUMMYFUNCTION("""COMPUTED_VALUE"""),"")</f>
        <v/>
      </c>
      <c r="R1001" s="250" t="str">
        <f>IFERROR(__xludf.DUMMYFUNCTION("""COMPUTED_VALUE"""),"")</f>
        <v/>
      </c>
      <c r="U1001" s="250" t="str">
        <f>IFERROR(__xludf.DUMMYFUNCTION("""COMPUTED_VALUE"""),"#N/A")</f>
        <v>#N/A</v>
      </c>
      <c r="V1001" s="250" t="str">
        <f>IFERROR(__xludf.DUMMYFUNCTION("""COMPUTED_VALUE"""),"#N/A")</f>
        <v>#N/A</v>
      </c>
      <c r="W1001" s="250" t="str">
        <f>IFERROR(__xludf.DUMMYFUNCTION("""COMPUTED_VALUE"""),"#N/A")</f>
        <v>#N/A</v>
      </c>
      <c r="X1001" t="b">
        <f t="shared" ref="X1001:Z1001" si="1978">ISBLANK(K1001)</f>
        <v>1</v>
      </c>
      <c r="Y1001" t="b">
        <f t="shared" si="1978"/>
        <v>0</v>
      </c>
      <c r="Z1001" t="b">
        <f t="shared" si="1978"/>
        <v>0</v>
      </c>
      <c r="AA1001">
        <f t="shared" ref="AA1001:AC1001" si="1979">IF(X1001=FALSE,1,0)</f>
        <v>0</v>
      </c>
      <c r="AB1001">
        <f t="shared" si="1979"/>
        <v>1</v>
      </c>
      <c r="AC1001">
        <f t="shared" si="1979"/>
        <v>1</v>
      </c>
      <c r="AD1001">
        <f t="shared" si="6"/>
        <v>2</v>
      </c>
      <c r="AE1001">
        <f t="shared" si="7"/>
        <v>1</v>
      </c>
      <c r="AF1001">
        <f>if(iferror(vlookup($A1001,'Description Database'!$E$2:$H$951,3,0),0)=TRUE,1,0)</f>
        <v>0</v>
      </c>
      <c r="AG1001">
        <f>if(iferror(vlookup($A1001,'Description Database'!$E$2:$H$951,4,0),0)=TRUE,1,0)</f>
        <v>0</v>
      </c>
    </row>
    <row r="1002">
      <c r="B1002" t="str">
        <f>IFERROR(__xludf.DUMMYFUNCTION("""COMPUTED_VALUE"""),"")</f>
        <v/>
      </c>
      <c r="C1002" t="str">
        <f>IFERROR(__xludf.DUMMYFUNCTION("""COMPUTED_VALUE"""),"")</f>
        <v/>
      </c>
      <c r="D1002" t="str">
        <f>IFERROR(__xludf.DUMMYFUNCTION("""COMPUTED_VALUE"""),"")</f>
        <v/>
      </c>
      <c r="E1002" t="str">
        <f>IFERROR(__xludf.DUMMYFUNCTION("""COMPUTED_VALUE"""),"")</f>
        <v/>
      </c>
      <c r="F1002" t="str">
        <f>IFERROR(__xludf.DUMMYFUNCTION("""COMPUTED_VALUE"""),"")</f>
        <v/>
      </c>
      <c r="G1002" t="str">
        <f>IFERROR(__xludf.DUMMYFUNCTION("""COMPUTED_VALUE"""),"")</f>
        <v/>
      </c>
      <c r="H1002" t="str">
        <f>IFERROR(__xludf.DUMMYFUNCTION("""COMPUTED_VALUE"""),"")</f>
        <v/>
      </c>
      <c r="I1002" t="str">
        <f>IFERROR(__xludf.DUMMYFUNCTION("""COMPUTED_VALUE"""),"")</f>
        <v/>
      </c>
      <c r="J1002">
        <f>IFERROR(__xludf.DUMMYFUNCTION("""COMPUTED_VALUE"""),0.0)</f>
        <v>0</v>
      </c>
      <c r="L1002" s="250" t="str">
        <f>IFERROR(__xludf.DUMMYFUNCTION("""COMPUTED_VALUE"""),"")</f>
        <v/>
      </c>
      <c r="M1002" s="250" t="str">
        <f>IFERROR(__xludf.DUMMYFUNCTION("""COMPUTED_VALUE"""),"")</f>
        <v/>
      </c>
      <c r="N1002" s="250" t="str">
        <f>IFERROR(__xludf.DUMMYFUNCTION("""COMPUTED_VALUE"""),"")</f>
        <v/>
      </c>
      <c r="O1002" s="250" t="str">
        <f>IFERROR(__xludf.DUMMYFUNCTION("""COMPUTED_VALUE"""),"")</f>
        <v/>
      </c>
      <c r="P1002" s="250" t="str">
        <f>IFERROR(__xludf.DUMMYFUNCTION("""COMPUTED_VALUE"""),"")</f>
        <v/>
      </c>
      <c r="Q1002" s="250" t="str">
        <f>IFERROR(__xludf.DUMMYFUNCTION("""COMPUTED_VALUE"""),"")</f>
        <v/>
      </c>
      <c r="R1002" s="250" t="str">
        <f>IFERROR(__xludf.DUMMYFUNCTION("""COMPUTED_VALUE"""),"")</f>
        <v/>
      </c>
      <c r="U1002" s="250" t="str">
        <f>IFERROR(__xludf.DUMMYFUNCTION("""COMPUTED_VALUE"""),"#N/A")</f>
        <v>#N/A</v>
      </c>
      <c r="V1002" s="250" t="str">
        <f>IFERROR(__xludf.DUMMYFUNCTION("""COMPUTED_VALUE"""),"#N/A")</f>
        <v>#N/A</v>
      </c>
      <c r="W1002" s="250" t="str">
        <f>IFERROR(__xludf.DUMMYFUNCTION("""COMPUTED_VALUE"""),"#N/A")</f>
        <v>#N/A</v>
      </c>
      <c r="X1002" t="b">
        <f t="shared" ref="X1002:Z1002" si="1980">ISBLANK(K1002)</f>
        <v>1</v>
      </c>
      <c r="Y1002" t="b">
        <f t="shared" si="1980"/>
        <v>0</v>
      </c>
      <c r="Z1002" t="b">
        <f t="shared" si="1980"/>
        <v>0</v>
      </c>
      <c r="AA1002">
        <f t="shared" ref="AA1002:AC1002" si="1981">IF(X1002=FALSE,1,0)</f>
        <v>0</v>
      </c>
      <c r="AB1002">
        <f t="shared" si="1981"/>
        <v>1</v>
      </c>
      <c r="AC1002">
        <f t="shared" si="1981"/>
        <v>1</v>
      </c>
      <c r="AD1002">
        <f t="shared" si="6"/>
        <v>2</v>
      </c>
      <c r="AE1002">
        <f t="shared" si="7"/>
        <v>1</v>
      </c>
    </row>
    <row r="1003">
      <c r="B1003" t="str">
        <f>IFERROR(__xludf.DUMMYFUNCTION("""COMPUTED_VALUE"""),"")</f>
        <v/>
      </c>
      <c r="C1003" t="str">
        <f>IFERROR(__xludf.DUMMYFUNCTION("""COMPUTED_VALUE"""),"")</f>
        <v/>
      </c>
      <c r="D1003" t="str">
        <f>IFERROR(__xludf.DUMMYFUNCTION("""COMPUTED_VALUE"""),"")</f>
        <v/>
      </c>
      <c r="E1003" t="str">
        <f>IFERROR(__xludf.DUMMYFUNCTION("""COMPUTED_VALUE"""),"")</f>
        <v/>
      </c>
      <c r="F1003" t="str">
        <f>IFERROR(__xludf.DUMMYFUNCTION("""COMPUTED_VALUE"""),"")</f>
        <v/>
      </c>
      <c r="G1003" t="str">
        <f>IFERROR(__xludf.DUMMYFUNCTION("""COMPUTED_VALUE"""),"")</f>
        <v/>
      </c>
      <c r="H1003" t="str">
        <f>IFERROR(__xludf.DUMMYFUNCTION("""COMPUTED_VALUE"""),"")</f>
        <v/>
      </c>
      <c r="I1003" t="str">
        <f>IFERROR(__xludf.DUMMYFUNCTION("""COMPUTED_VALUE"""),"")</f>
        <v/>
      </c>
      <c r="J1003">
        <f>IFERROR(__xludf.DUMMYFUNCTION("""COMPUTED_VALUE"""),0.0)</f>
        <v>0</v>
      </c>
      <c r="L1003" s="250" t="str">
        <f>IFERROR(__xludf.DUMMYFUNCTION("""COMPUTED_VALUE"""),"")</f>
        <v/>
      </c>
      <c r="M1003" s="250" t="str">
        <f>IFERROR(__xludf.DUMMYFUNCTION("""COMPUTED_VALUE"""),"")</f>
        <v/>
      </c>
      <c r="N1003" s="250" t="str">
        <f>IFERROR(__xludf.DUMMYFUNCTION("""COMPUTED_VALUE"""),"")</f>
        <v/>
      </c>
      <c r="O1003" s="250" t="str">
        <f>IFERROR(__xludf.DUMMYFUNCTION("""COMPUTED_VALUE"""),"")</f>
        <v/>
      </c>
      <c r="P1003" s="250" t="str">
        <f>IFERROR(__xludf.DUMMYFUNCTION("""COMPUTED_VALUE"""),"")</f>
        <v/>
      </c>
      <c r="Q1003" s="250" t="str">
        <f>IFERROR(__xludf.DUMMYFUNCTION("""COMPUTED_VALUE"""),"")</f>
        <v/>
      </c>
      <c r="R1003" s="250" t="str">
        <f>IFERROR(__xludf.DUMMYFUNCTION("""COMPUTED_VALUE"""),"")</f>
        <v/>
      </c>
      <c r="U1003" s="250" t="str">
        <f>IFERROR(__xludf.DUMMYFUNCTION("""COMPUTED_VALUE"""),"#N/A")</f>
        <v>#N/A</v>
      </c>
      <c r="V1003" s="250" t="str">
        <f>IFERROR(__xludf.DUMMYFUNCTION("""COMPUTED_VALUE"""),"#N/A")</f>
        <v>#N/A</v>
      </c>
      <c r="W1003" s="250" t="str">
        <f>IFERROR(__xludf.DUMMYFUNCTION("""COMPUTED_VALUE"""),"#N/A")</f>
        <v>#N/A</v>
      </c>
      <c r="X1003" t="b">
        <f t="shared" ref="X1003:Z1003" si="1982">ISBLANK(K1003)</f>
        <v>1</v>
      </c>
      <c r="Y1003" t="b">
        <f t="shared" si="1982"/>
        <v>0</v>
      </c>
      <c r="Z1003" t="b">
        <f t="shared" si="1982"/>
        <v>0</v>
      </c>
      <c r="AA1003">
        <f t="shared" ref="AA1003:AC1003" si="1983">IF(X1003=FALSE,1,0)</f>
        <v>0</v>
      </c>
      <c r="AB1003">
        <f t="shared" si="1983"/>
        <v>1</v>
      </c>
      <c r="AC1003">
        <f t="shared" si="1983"/>
        <v>1</v>
      </c>
      <c r="AD1003">
        <f t="shared" si="6"/>
        <v>2</v>
      </c>
      <c r="AE1003">
        <f t="shared" si="7"/>
        <v>1</v>
      </c>
    </row>
    <row r="1004">
      <c r="B1004" t="str">
        <f>IFERROR(__xludf.DUMMYFUNCTION("""COMPUTED_VALUE"""),"")</f>
        <v/>
      </c>
      <c r="C1004" t="str">
        <f>IFERROR(__xludf.DUMMYFUNCTION("""COMPUTED_VALUE"""),"")</f>
        <v/>
      </c>
      <c r="D1004" t="str">
        <f>IFERROR(__xludf.DUMMYFUNCTION("""COMPUTED_VALUE"""),"")</f>
        <v/>
      </c>
      <c r="E1004" t="str">
        <f>IFERROR(__xludf.DUMMYFUNCTION("""COMPUTED_VALUE"""),"")</f>
        <v/>
      </c>
      <c r="F1004" t="str">
        <f>IFERROR(__xludf.DUMMYFUNCTION("""COMPUTED_VALUE"""),"")</f>
        <v/>
      </c>
      <c r="G1004" t="str">
        <f>IFERROR(__xludf.DUMMYFUNCTION("""COMPUTED_VALUE"""),"")</f>
        <v/>
      </c>
      <c r="H1004" t="str">
        <f>IFERROR(__xludf.DUMMYFUNCTION("""COMPUTED_VALUE"""),"")</f>
        <v/>
      </c>
      <c r="I1004" t="str">
        <f>IFERROR(__xludf.DUMMYFUNCTION("""COMPUTED_VALUE"""),"")</f>
        <v/>
      </c>
      <c r="J1004">
        <f>IFERROR(__xludf.DUMMYFUNCTION("""COMPUTED_VALUE"""),0.0)</f>
        <v>0</v>
      </c>
      <c r="L1004" s="250" t="str">
        <f>IFERROR(__xludf.DUMMYFUNCTION("""COMPUTED_VALUE"""),"")</f>
        <v/>
      </c>
      <c r="M1004" s="250" t="str">
        <f>IFERROR(__xludf.DUMMYFUNCTION("""COMPUTED_VALUE"""),"")</f>
        <v/>
      </c>
      <c r="N1004" s="250" t="str">
        <f>IFERROR(__xludf.DUMMYFUNCTION("""COMPUTED_VALUE"""),"")</f>
        <v/>
      </c>
      <c r="O1004" s="250" t="str">
        <f>IFERROR(__xludf.DUMMYFUNCTION("""COMPUTED_VALUE"""),"")</f>
        <v/>
      </c>
      <c r="P1004" s="250" t="str">
        <f>IFERROR(__xludf.DUMMYFUNCTION("""COMPUTED_VALUE"""),"")</f>
        <v/>
      </c>
      <c r="Q1004" s="250" t="str">
        <f>IFERROR(__xludf.DUMMYFUNCTION("""COMPUTED_VALUE"""),"")</f>
        <v/>
      </c>
      <c r="R1004" s="250" t="str">
        <f>IFERROR(__xludf.DUMMYFUNCTION("""COMPUTED_VALUE"""),"")</f>
        <v/>
      </c>
      <c r="U1004" s="250" t="str">
        <f>IFERROR(__xludf.DUMMYFUNCTION("""COMPUTED_VALUE"""),"#N/A")</f>
        <v>#N/A</v>
      </c>
      <c r="V1004" s="250" t="str">
        <f>IFERROR(__xludf.DUMMYFUNCTION("""COMPUTED_VALUE"""),"#N/A")</f>
        <v>#N/A</v>
      </c>
      <c r="W1004" s="250" t="str">
        <f>IFERROR(__xludf.DUMMYFUNCTION("""COMPUTED_VALUE"""),"#N/A")</f>
        <v>#N/A</v>
      </c>
      <c r="X1004" t="b">
        <f t="shared" ref="X1004:Z1004" si="1984">ISBLANK(K1004)</f>
        <v>1</v>
      </c>
      <c r="Y1004" t="b">
        <f t="shared" si="1984"/>
        <v>0</v>
      </c>
      <c r="Z1004" t="b">
        <f t="shared" si="1984"/>
        <v>0</v>
      </c>
      <c r="AA1004">
        <f t="shared" ref="AA1004:AC1004" si="1985">IF(X1004=FALSE,1,0)</f>
        <v>0</v>
      </c>
      <c r="AB1004">
        <f t="shared" si="1985"/>
        <v>1</v>
      </c>
      <c r="AC1004">
        <f t="shared" si="1985"/>
        <v>1</v>
      </c>
      <c r="AD1004">
        <f t="shared" si="6"/>
        <v>2</v>
      </c>
      <c r="AE1004">
        <f t="shared" si="7"/>
        <v>1</v>
      </c>
    </row>
    <row r="1005">
      <c r="B1005" t="str">
        <f>IFERROR(__xludf.DUMMYFUNCTION("""COMPUTED_VALUE"""),"")</f>
        <v/>
      </c>
      <c r="C1005" t="str">
        <f>IFERROR(__xludf.DUMMYFUNCTION("""COMPUTED_VALUE"""),"")</f>
        <v/>
      </c>
      <c r="D1005" t="str">
        <f>IFERROR(__xludf.DUMMYFUNCTION("""COMPUTED_VALUE"""),"")</f>
        <v/>
      </c>
      <c r="E1005" t="str">
        <f>IFERROR(__xludf.DUMMYFUNCTION("""COMPUTED_VALUE"""),"")</f>
        <v/>
      </c>
      <c r="F1005" t="str">
        <f>IFERROR(__xludf.DUMMYFUNCTION("""COMPUTED_VALUE"""),"")</f>
        <v/>
      </c>
      <c r="G1005" t="str">
        <f>IFERROR(__xludf.DUMMYFUNCTION("""COMPUTED_VALUE"""),"")</f>
        <v/>
      </c>
      <c r="H1005" t="str">
        <f>IFERROR(__xludf.DUMMYFUNCTION("""COMPUTED_VALUE"""),"")</f>
        <v/>
      </c>
      <c r="I1005" t="str">
        <f>IFERROR(__xludf.DUMMYFUNCTION("""COMPUTED_VALUE"""),"")</f>
        <v/>
      </c>
      <c r="J1005">
        <f>IFERROR(__xludf.DUMMYFUNCTION("""COMPUTED_VALUE"""),0.0)</f>
        <v>0</v>
      </c>
      <c r="L1005" s="250" t="str">
        <f>IFERROR(__xludf.DUMMYFUNCTION("""COMPUTED_VALUE"""),"")</f>
        <v/>
      </c>
      <c r="M1005" s="250" t="str">
        <f>IFERROR(__xludf.DUMMYFUNCTION("""COMPUTED_VALUE"""),"")</f>
        <v/>
      </c>
      <c r="N1005" s="250" t="str">
        <f>IFERROR(__xludf.DUMMYFUNCTION("""COMPUTED_VALUE"""),"")</f>
        <v/>
      </c>
      <c r="O1005" s="250" t="str">
        <f>IFERROR(__xludf.DUMMYFUNCTION("""COMPUTED_VALUE"""),"")</f>
        <v/>
      </c>
      <c r="P1005" s="250" t="str">
        <f>IFERROR(__xludf.DUMMYFUNCTION("""COMPUTED_VALUE"""),"")</f>
        <v/>
      </c>
      <c r="Q1005" s="250" t="str">
        <f>IFERROR(__xludf.DUMMYFUNCTION("""COMPUTED_VALUE"""),"")</f>
        <v/>
      </c>
      <c r="R1005" s="250" t="str">
        <f>IFERROR(__xludf.DUMMYFUNCTION("""COMPUTED_VALUE"""),"")</f>
        <v/>
      </c>
      <c r="U1005" s="250" t="str">
        <f>IFERROR(__xludf.DUMMYFUNCTION("""COMPUTED_VALUE"""),"#N/A")</f>
        <v>#N/A</v>
      </c>
      <c r="V1005" s="250" t="str">
        <f>IFERROR(__xludf.DUMMYFUNCTION("""COMPUTED_VALUE"""),"#N/A")</f>
        <v>#N/A</v>
      </c>
      <c r="W1005" s="250" t="str">
        <f>IFERROR(__xludf.DUMMYFUNCTION("""COMPUTED_VALUE"""),"#N/A")</f>
        <v>#N/A</v>
      </c>
      <c r="X1005" t="b">
        <f t="shared" ref="X1005:Z1005" si="1986">ISBLANK(K1005)</f>
        <v>1</v>
      </c>
      <c r="Y1005" t="b">
        <f t="shared" si="1986"/>
        <v>0</v>
      </c>
      <c r="Z1005" t="b">
        <f t="shared" si="1986"/>
        <v>0</v>
      </c>
      <c r="AA1005">
        <f t="shared" ref="AA1005:AC1005" si="1987">IF(X1005=FALSE,1,0)</f>
        <v>0</v>
      </c>
      <c r="AB1005">
        <f t="shared" si="1987"/>
        <v>1</v>
      </c>
      <c r="AC1005">
        <f t="shared" si="1987"/>
        <v>1</v>
      </c>
      <c r="AD1005">
        <f t="shared" si="6"/>
        <v>2</v>
      </c>
      <c r="AE1005">
        <f t="shared" si="7"/>
        <v>1</v>
      </c>
    </row>
    <row r="1006">
      <c r="B1006" t="str">
        <f>IFERROR(__xludf.DUMMYFUNCTION("""COMPUTED_VALUE"""),"")</f>
        <v/>
      </c>
      <c r="C1006" t="str">
        <f>IFERROR(__xludf.DUMMYFUNCTION("""COMPUTED_VALUE"""),"")</f>
        <v/>
      </c>
      <c r="D1006" t="str">
        <f>IFERROR(__xludf.DUMMYFUNCTION("""COMPUTED_VALUE"""),"")</f>
        <v/>
      </c>
      <c r="E1006" t="str">
        <f>IFERROR(__xludf.DUMMYFUNCTION("""COMPUTED_VALUE"""),"")</f>
        <v/>
      </c>
      <c r="F1006" t="str">
        <f>IFERROR(__xludf.DUMMYFUNCTION("""COMPUTED_VALUE"""),"")</f>
        <v/>
      </c>
      <c r="G1006" t="str">
        <f>IFERROR(__xludf.DUMMYFUNCTION("""COMPUTED_VALUE"""),"")</f>
        <v/>
      </c>
      <c r="H1006" t="str">
        <f>IFERROR(__xludf.DUMMYFUNCTION("""COMPUTED_VALUE"""),"")</f>
        <v/>
      </c>
      <c r="I1006" t="str">
        <f>IFERROR(__xludf.DUMMYFUNCTION("""COMPUTED_VALUE"""),"")</f>
        <v/>
      </c>
      <c r="J1006">
        <f>IFERROR(__xludf.DUMMYFUNCTION("""COMPUTED_VALUE"""),0.0)</f>
        <v>0</v>
      </c>
      <c r="L1006" s="250" t="str">
        <f>IFERROR(__xludf.DUMMYFUNCTION("""COMPUTED_VALUE"""),"")</f>
        <v/>
      </c>
      <c r="M1006" s="250" t="str">
        <f>IFERROR(__xludf.DUMMYFUNCTION("""COMPUTED_VALUE"""),"")</f>
        <v/>
      </c>
      <c r="N1006" s="250" t="str">
        <f>IFERROR(__xludf.DUMMYFUNCTION("""COMPUTED_VALUE"""),"")</f>
        <v/>
      </c>
      <c r="O1006" s="250" t="str">
        <f>IFERROR(__xludf.DUMMYFUNCTION("""COMPUTED_VALUE"""),"")</f>
        <v/>
      </c>
      <c r="P1006" s="250" t="str">
        <f>IFERROR(__xludf.DUMMYFUNCTION("""COMPUTED_VALUE"""),"")</f>
        <v/>
      </c>
      <c r="Q1006" s="250" t="str">
        <f>IFERROR(__xludf.DUMMYFUNCTION("""COMPUTED_VALUE"""),"")</f>
        <v/>
      </c>
      <c r="R1006" s="250" t="str">
        <f>IFERROR(__xludf.DUMMYFUNCTION("""COMPUTED_VALUE"""),"")</f>
        <v/>
      </c>
      <c r="U1006" s="250" t="str">
        <f>IFERROR(__xludf.DUMMYFUNCTION("""COMPUTED_VALUE"""),"#N/A")</f>
        <v>#N/A</v>
      </c>
      <c r="V1006" s="250" t="str">
        <f>IFERROR(__xludf.DUMMYFUNCTION("""COMPUTED_VALUE"""),"#N/A")</f>
        <v>#N/A</v>
      </c>
      <c r="W1006" s="250" t="str">
        <f>IFERROR(__xludf.DUMMYFUNCTION("""COMPUTED_VALUE"""),"#N/A")</f>
        <v>#N/A</v>
      </c>
      <c r="X1006" t="b">
        <f t="shared" ref="X1006:Z1006" si="1988">ISBLANK(K1006)</f>
        <v>1</v>
      </c>
      <c r="Y1006" t="b">
        <f t="shared" si="1988"/>
        <v>0</v>
      </c>
      <c r="Z1006" t="b">
        <f t="shared" si="1988"/>
        <v>0</v>
      </c>
      <c r="AA1006">
        <f t="shared" ref="AA1006:AC1006" si="1989">IF(X1006=FALSE,1,0)</f>
        <v>0</v>
      </c>
      <c r="AB1006">
        <f t="shared" si="1989"/>
        <v>1</v>
      </c>
      <c r="AC1006">
        <f t="shared" si="1989"/>
        <v>1</v>
      </c>
      <c r="AD1006">
        <f t="shared" si="6"/>
        <v>2</v>
      </c>
      <c r="AE1006">
        <f t="shared" si="7"/>
        <v>1</v>
      </c>
    </row>
    <row r="1007">
      <c r="B1007" t="str">
        <f>IFERROR(__xludf.DUMMYFUNCTION("""COMPUTED_VALUE"""),"")</f>
        <v/>
      </c>
      <c r="C1007" t="str">
        <f>IFERROR(__xludf.DUMMYFUNCTION("""COMPUTED_VALUE"""),"")</f>
        <v/>
      </c>
      <c r="D1007" t="str">
        <f>IFERROR(__xludf.DUMMYFUNCTION("""COMPUTED_VALUE"""),"")</f>
        <v/>
      </c>
      <c r="E1007" t="str">
        <f>IFERROR(__xludf.DUMMYFUNCTION("""COMPUTED_VALUE"""),"")</f>
        <v/>
      </c>
      <c r="F1007" t="str">
        <f>IFERROR(__xludf.DUMMYFUNCTION("""COMPUTED_VALUE"""),"")</f>
        <v/>
      </c>
      <c r="G1007" t="str">
        <f>IFERROR(__xludf.DUMMYFUNCTION("""COMPUTED_VALUE"""),"")</f>
        <v/>
      </c>
      <c r="H1007" t="str">
        <f>IFERROR(__xludf.DUMMYFUNCTION("""COMPUTED_VALUE"""),"")</f>
        <v/>
      </c>
      <c r="I1007" t="str">
        <f>IFERROR(__xludf.DUMMYFUNCTION("""COMPUTED_VALUE"""),"")</f>
        <v/>
      </c>
      <c r="J1007">
        <f>IFERROR(__xludf.DUMMYFUNCTION("""COMPUTED_VALUE"""),0.0)</f>
        <v>0</v>
      </c>
      <c r="L1007" s="250" t="str">
        <f>IFERROR(__xludf.DUMMYFUNCTION("""COMPUTED_VALUE"""),"")</f>
        <v/>
      </c>
      <c r="M1007" s="250" t="str">
        <f>IFERROR(__xludf.DUMMYFUNCTION("""COMPUTED_VALUE"""),"")</f>
        <v/>
      </c>
      <c r="N1007" s="250" t="str">
        <f>IFERROR(__xludf.DUMMYFUNCTION("""COMPUTED_VALUE"""),"")</f>
        <v/>
      </c>
      <c r="O1007" s="250" t="str">
        <f>IFERROR(__xludf.DUMMYFUNCTION("""COMPUTED_VALUE"""),"")</f>
        <v/>
      </c>
      <c r="P1007" s="250" t="str">
        <f>IFERROR(__xludf.DUMMYFUNCTION("""COMPUTED_VALUE"""),"")</f>
        <v/>
      </c>
      <c r="Q1007" s="250" t="str">
        <f>IFERROR(__xludf.DUMMYFUNCTION("""COMPUTED_VALUE"""),"")</f>
        <v/>
      </c>
      <c r="R1007" s="250" t="str">
        <f>IFERROR(__xludf.DUMMYFUNCTION("""COMPUTED_VALUE"""),"")</f>
        <v/>
      </c>
      <c r="U1007" s="250" t="str">
        <f>IFERROR(__xludf.DUMMYFUNCTION("""COMPUTED_VALUE"""),"#N/A")</f>
        <v>#N/A</v>
      </c>
      <c r="V1007" s="250" t="str">
        <f>IFERROR(__xludf.DUMMYFUNCTION("""COMPUTED_VALUE"""),"#N/A")</f>
        <v>#N/A</v>
      </c>
      <c r="W1007" s="250" t="str">
        <f>IFERROR(__xludf.DUMMYFUNCTION("""COMPUTED_VALUE"""),"#N/A")</f>
        <v>#N/A</v>
      </c>
      <c r="X1007" t="b">
        <f t="shared" ref="X1007:Z1007" si="1990">ISBLANK(K1007)</f>
        <v>1</v>
      </c>
      <c r="Y1007" t="b">
        <f t="shared" si="1990"/>
        <v>0</v>
      </c>
      <c r="Z1007" t="b">
        <f t="shared" si="1990"/>
        <v>0</v>
      </c>
      <c r="AA1007">
        <f t="shared" ref="AA1007:AC1007" si="1991">IF(X1007=FALSE,1,0)</f>
        <v>0</v>
      </c>
      <c r="AB1007">
        <f t="shared" si="1991"/>
        <v>1</v>
      </c>
      <c r="AC1007">
        <f t="shared" si="1991"/>
        <v>1</v>
      </c>
      <c r="AD1007">
        <f t="shared" si="6"/>
        <v>2</v>
      </c>
      <c r="AE1007">
        <f t="shared" si="7"/>
        <v>1</v>
      </c>
    </row>
    <row r="1008">
      <c r="B1008" t="str">
        <f>IFERROR(__xludf.DUMMYFUNCTION("""COMPUTED_VALUE"""),"")</f>
        <v/>
      </c>
      <c r="C1008" t="str">
        <f>IFERROR(__xludf.DUMMYFUNCTION("""COMPUTED_VALUE"""),"")</f>
        <v/>
      </c>
      <c r="D1008" t="str">
        <f>IFERROR(__xludf.DUMMYFUNCTION("""COMPUTED_VALUE"""),"")</f>
        <v/>
      </c>
      <c r="E1008" t="str">
        <f>IFERROR(__xludf.DUMMYFUNCTION("""COMPUTED_VALUE"""),"")</f>
        <v/>
      </c>
      <c r="F1008" t="str">
        <f>IFERROR(__xludf.DUMMYFUNCTION("""COMPUTED_VALUE"""),"")</f>
        <v/>
      </c>
      <c r="G1008" t="str">
        <f>IFERROR(__xludf.DUMMYFUNCTION("""COMPUTED_VALUE"""),"")</f>
        <v/>
      </c>
      <c r="H1008" t="str">
        <f>IFERROR(__xludf.DUMMYFUNCTION("""COMPUTED_VALUE"""),"")</f>
        <v/>
      </c>
      <c r="I1008" t="str">
        <f>IFERROR(__xludf.DUMMYFUNCTION("""COMPUTED_VALUE"""),"")</f>
        <v/>
      </c>
      <c r="J1008">
        <f>IFERROR(__xludf.DUMMYFUNCTION("""COMPUTED_VALUE"""),0.0)</f>
        <v>0</v>
      </c>
      <c r="L1008" s="250" t="str">
        <f>IFERROR(__xludf.DUMMYFUNCTION("""COMPUTED_VALUE"""),"")</f>
        <v/>
      </c>
      <c r="M1008" s="250" t="str">
        <f>IFERROR(__xludf.DUMMYFUNCTION("""COMPUTED_VALUE"""),"")</f>
        <v/>
      </c>
      <c r="N1008" s="250" t="str">
        <f>IFERROR(__xludf.DUMMYFUNCTION("""COMPUTED_VALUE"""),"")</f>
        <v/>
      </c>
      <c r="O1008" s="250" t="str">
        <f>IFERROR(__xludf.DUMMYFUNCTION("""COMPUTED_VALUE"""),"")</f>
        <v/>
      </c>
      <c r="P1008" s="250" t="str">
        <f>IFERROR(__xludf.DUMMYFUNCTION("""COMPUTED_VALUE"""),"")</f>
        <v/>
      </c>
      <c r="Q1008" s="250" t="str">
        <f>IFERROR(__xludf.DUMMYFUNCTION("""COMPUTED_VALUE"""),"")</f>
        <v/>
      </c>
      <c r="R1008" s="250" t="str">
        <f>IFERROR(__xludf.DUMMYFUNCTION("""COMPUTED_VALUE"""),"")</f>
        <v/>
      </c>
      <c r="U1008" s="250" t="str">
        <f>IFERROR(__xludf.DUMMYFUNCTION("""COMPUTED_VALUE"""),"#N/A")</f>
        <v>#N/A</v>
      </c>
      <c r="V1008" s="250" t="str">
        <f>IFERROR(__xludf.DUMMYFUNCTION("""COMPUTED_VALUE"""),"#N/A")</f>
        <v>#N/A</v>
      </c>
      <c r="W1008" s="250" t="str">
        <f>IFERROR(__xludf.DUMMYFUNCTION("""COMPUTED_VALUE"""),"#N/A")</f>
        <v>#N/A</v>
      </c>
      <c r="X1008" t="b">
        <f t="shared" ref="X1008:Z1008" si="1992">ISBLANK(K1008)</f>
        <v>1</v>
      </c>
      <c r="Y1008" t="b">
        <f t="shared" si="1992"/>
        <v>0</v>
      </c>
      <c r="Z1008" t="b">
        <f t="shared" si="1992"/>
        <v>0</v>
      </c>
      <c r="AA1008">
        <f t="shared" ref="AA1008:AC1008" si="1993">IF(X1008=FALSE,1,0)</f>
        <v>0</v>
      </c>
      <c r="AB1008">
        <f t="shared" si="1993"/>
        <v>1</v>
      </c>
      <c r="AC1008">
        <f t="shared" si="1993"/>
        <v>1</v>
      </c>
      <c r="AD1008">
        <f t="shared" si="6"/>
        <v>2</v>
      </c>
      <c r="AE1008">
        <f t="shared" si="7"/>
        <v>1</v>
      </c>
    </row>
    <row r="1009">
      <c r="B1009" t="str">
        <f>IFERROR(__xludf.DUMMYFUNCTION("""COMPUTED_VALUE"""),"")</f>
        <v/>
      </c>
      <c r="C1009" t="str">
        <f>IFERROR(__xludf.DUMMYFUNCTION("""COMPUTED_VALUE"""),"")</f>
        <v/>
      </c>
      <c r="D1009" t="str">
        <f>IFERROR(__xludf.DUMMYFUNCTION("""COMPUTED_VALUE"""),"")</f>
        <v/>
      </c>
      <c r="E1009" t="str">
        <f>IFERROR(__xludf.DUMMYFUNCTION("""COMPUTED_VALUE"""),"")</f>
        <v/>
      </c>
      <c r="F1009" t="str">
        <f>IFERROR(__xludf.DUMMYFUNCTION("""COMPUTED_VALUE"""),"")</f>
        <v/>
      </c>
      <c r="G1009" t="str">
        <f>IFERROR(__xludf.DUMMYFUNCTION("""COMPUTED_VALUE"""),"")</f>
        <v/>
      </c>
      <c r="H1009" t="str">
        <f>IFERROR(__xludf.DUMMYFUNCTION("""COMPUTED_VALUE"""),"")</f>
        <v/>
      </c>
      <c r="I1009" t="str">
        <f>IFERROR(__xludf.DUMMYFUNCTION("""COMPUTED_VALUE"""),"")</f>
        <v/>
      </c>
      <c r="J1009">
        <f>IFERROR(__xludf.DUMMYFUNCTION("""COMPUTED_VALUE"""),0.0)</f>
        <v>0</v>
      </c>
      <c r="L1009" s="250" t="str">
        <f>IFERROR(__xludf.DUMMYFUNCTION("""COMPUTED_VALUE"""),"")</f>
        <v/>
      </c>
      <c r="M1009" s="250" t="str">
        <f>IFERROR(__xludf.DUMMYFUNCTION("""COMPUTED_VALUE"""),"")</f>
        <v/>
      </c>
      <c r="N1009" s="250" t="str">
        <f>IFERROR(__xludf.DUMMYFUNCTION("""COMPUTED_VALUE"""),"")</f>
        <v/>
      </c>
      <c r="O1009" s="250" t="str">
        <f>IFERROR(__xludf.DUMMYFUNCTION("""COMPUTED_VALUE"""),"")</f>
        <v/>
      </c>
      <c r="P1009" s="250" t="str">
        <f>IFERROR(__xludf.DUMMYFUNCTION("""COMPUTED_VALUE"""),"")</f>
        <v/>
      </c>
      <c r="Q1009" s="250" t="str">
        <f>IFERROR(__xludf.DUMMYFUNCTION("""COMPUTED_VALUE"""),"")</f>
        <v/>
      </c>
      <c r="R1009" s="250" t="str">
        <f>IFERROR(__xludf.DUMMYFUNCTION("""COMPUTED_VALUE"""),"")</f>
        <v/>
      </c>
      <c r="U1009" s="250" t="str">
        <f>IFERROR(__xludf.DUMMYFUNCTION("""COMPUTED_VALUE"""),"#N/A")</f>
        <v>#N/A</v>
      </c>
      <c r="V1009" s="250" t="str">
        <f>IFERROR(__xludf.DUMMYFUNCTION("""COMPUTED_VALUE"""),"#N/A")</f>
        <v>#N/A</v>
      </c>
      <c r="W1009" s="250" t="str">
        <f>IFERROR(__xludf.DUMMYFUNCTION("""COMPUTED_VALUE"""),"#N/A")</f>
        <v>#N/A</v>
      </c>
      <c r="X1009" t="b">
        <f t="shared" ref="X1009:Z1009" si="1994">ISBLANK(K1009)</f>
        <v>1</v>
      </c>
      <c r="Y1009" t="b">
        <f t="shared" si="1994"/>
        <v>0</v>
      </c>
      <c r="Z1009" t="b">
        <f t="shared" si="1994"/>
        <v>0</v>
      </c>
      <c r="AA1009">
        <f t="shared" ref="AA1009:AC1009" si="1995">IF(X1009=FALSE,1,0)</f>
        <v>0</v>
      </c>
      <c r="AB1009">
        <f t="shared" si="1995"/>
        <v>1</v>
      </c>
      <c r="AC1009">
        <f t="shared" si="1995"/>
        <v>1</v>
      </c>
      <c r="AD1009">
        <f t="shared" si="6"/>
        <v>2</v>
      </c>
      <c r="AE1009">
        <f t="shared" si="7"/>
        <v>1</v>
      </c>
    </row>
    <row r="1010">
      <c r="B1010" t="str">
        <f>IFERROR(__xludf.DUMMYFUNCTION("""COMPUTED_VALUE"""),"")</f>
        <v/>
      </c>
      <c r="C1010" t="str">
        <f>IFERROR(__xludf.DUMMYFUNCTION("""COMPUTED_VALUE"""),"")</f>
        <v/>
      </c>
      <c r="D1010" t="str">
        <f>IFERROR(__xludf.DUMMYFUNCTION("""COMPUTED_VALUE"""),"")</f>
        <v/>
      </c>
      <c r="E1010" t="str">
        <f>IFERROR(__xludf.DUMMYFUNCTION("""COMPUTED_VALUE"""),"")</f>
        <v/>
      </c>
      <c r="F1010" t="str">
        <f>IFERROR(__xludf.DUMMYFUNCTION("""COMPUTED_VALUE"""),"")</f>
        <v/>
      </c>
      <c r="G1010" t="str">
        <f>IFERROR(__xludf.DUMMYFUNCTION("""COMPUTED_VALUE"""),"")</f>
        <v/>
      </c>
      <c r="H1010" t="str">
        <f>IFERROR(__xludf.DUMMYFUNCTION("""COMPUTED_VALUE"""),"")</f>
        <v/>
      </c>
      <c r="I1010" t="str">
        <f>IFERROR(__xludf.DUMMYFUNCTION("""COMPUTED_VALUE"""),"")</f>
        <v/>
      </c>
      <c r="J1010">
        <f>IFERROR(__xludf.DUMMYFUNCTION("""COMPUTED_VALUE"""),0.0)</f>
        <v>0</v>
      </c>
      <c r="L1010" s="250" t="str">
        <f>IFERROR(__xludf.DUMMYFUNCTION("""COMPUTED_VALUE"""),"")</f>
        <v/>
      </c>
      <c r="M1010" s="250" t="str">
        <f>IFERROR(__xludf.DUMMYFUNCTION("""COMPUTED_VALUE"""),"")</f>
        <v/>
      </c>
      <c r="N1010" s="250" t="str">
        <f>IFERROR(__xludf.DUMMYFUNCTION("""COMPUTED_VALUE"""),"")</f>
        <v/>
      </c>
      <c r="O1010" s="250" t="str">
        <f>IFERROR(__xludf.DUMMYFUNCTION("""COMPUTED_VALUE"""),"")</f>
        <v/>
      </c>
      <c r="P1010" s="250" t="str">
        <f>IFERROR(__xludf.DUMMYFUNCTION("""COMPUTED_VALUE"""),"")</f>
        <v/>
      </c>
      <c r="Q1010" s="250" t="str">
        <f>IFERROR(__xludf.DUMMYFUNCTION("""COMPUTED_VALUE"""),"")</f>
        <v/>
      </c>
      <c r="R1010" s="250" t="str">
        <f>IFERROR(__xludf.DUMMYFUNCTION("""COMPUTED_VALUE"""),"")</f>
        <v/>
      </c>
      <c r="U1010" s="250" t="str">
        <f>IFERROR(__xludf.DUMMYFUNCTION("""COMPUTED_VALUE"""),"#N/A")</f>
        <v>#N/A</v>
      </c>
      <c r="V1010" s="250" t="str">
        <f>IFERROR(__xludf.DUMMYFUNCTION("""COMPUTED_VALUE"""),"#N/A")</f>
        <v>#N/A</v>
      </c>
      <c r="W1010" s="250" t="str">
        <f>IFERROR(__xludf.DUMMYFUNCTION("""COMPUTED_VALUE"""),"#N/A")</f>
        <v>#N/A</v>
      </c>
      <c r="X1010" t="b">
        <f t="shared" ref="X1010:Z1010" si="1996">ISBLANK(K1010)</f>
        <v>1</v>
      </c>
      <c r="Y1010" t="b">
        <f t="shared" si="1996"/>
        <v>0</v>
      </c>
      <c r="Z1010" t="b">
        <f t="shared" si="1996"/>
        <v>0</v>
      </c>
      <c r="AA1010">
        <f t="shared" ref="AA1010:AC1010" si="1997">IF(X1010=FALSE,1,0)</f>
        <v>0</v>
      </c>
      <c r="AB1010">
        <f t="shared" si="1997"/>
        <v>1</v>
      </c>
      <c r="AC1010">
        <f t="shared" si="1997"/>
        <v>1</v>
      </c>
      <c r="AD1010">
        <f t="shared" si="6"/>
        <v>2</v>
      </c>
      <c r="AE1010">
        <f t="shared" si="7"/>
        <v>1</v>
      </c>
    </row>
    <row r="1011">
      <c r="B1011" t="str">
        <f>IFERROR(__xludf.DUMMYFUNCTION("""COMPUTED_VALUE"""),"")</f>
        <v/>
      </c>
      <c r="C1011" t="str">
        <f>IFERROR(__xludf.DUMMYFUNCTION("""COMPUTED_VALUE"""),"")</f>
        <v/>
      </c>
      <c r="D1011" t="str">
        <f>IFERROR(__xludf.DUMMYFUNCTION("""COMPUTED_VALUE"""),"")</f>
        <v/>
      </c>
      <c r="E1011" t="str">
        <f>IFERROR(__xludf.DUMMYFUNCTION("""COMPUTED_VALUE"""),"")</f>
        <v/>
      </c>
      <c r="F1011" t="str">
        <f>IFERROR(__xludf.DUMMYFUNCTION("""COMPUTED_VALUE"""),"")</f>
        <v/>
      </c>
      <c r="G1011" t="str">
        <f>IFERROR(__xludf.DUMMYFUNCTION("""COMPUTED_VALUE"""),"")</f>
        <v/>
      </c>
      <c r="H1011" t="str">
        <f>IFERROR(__xludf.DUMMYFUNCTION("""COMPUTED_VALUE"""),"")</f>
        <v/>
      </c>
      <c r="I1011" t="str">
        <f>IFERROR(__xludf.DUMMYFUNCTION("""COMPUTED_VALUE"""),"")</f>
        <v/>
      </c>
      <c r="J1011">
        <f>IFERROR(__xludf.DUMMYFUNCTION("""COMPUTED_VALUE"""),0.0)</f>
        <v>0</v>
      </c>
      <c r="L1011" s="250" t="str">
        <f>IFERROR(__xludf.DUMMYFUNCTION("""COMPUTED_VALUE"""),"")</f>
        <v/>
      </c>
      <c r="M1011" s="250" t="str">
        <f>IFERROR(__xludf.DUMMYFUNCTION("""COMPUTED_VALUE"""),"")</f>
        <v/>
      </c>
      <c r="N1011" s="250" t="str">
        <f>IFERROR(__xludf.DUMMYFUNCTION("""COMPUTED_VALUE"""),"")</f>
        <v/>
      </c>
      <c r="O1011" s="250" t="str">
        <f>IFERROR(__xludf.DUMMYFUNCTION("""COMPUTED_VALUE"""),"")</f>
        <v/>
      </c>
      <c r="P1011" s="250" t="str">
        <f>IFERROR(__xludf.DUMMYFUNCTION("""COMPUTED_VALUE"""),"")</f>
        <v/>
      </c>
      <c r="Q1011" s="250" t="str">
        <f>IFERROR(__xludf.DUMMYFUNCTION("""COMPUTED_VALUE"""),"")</f>
        <v/>
      </c>
      <c r="R1011" s="250" t="str">
        <f>IFERROR(__xludf.DUMMYFUNCTION("""COMPUTED_VALUE"""),"")</f>
        <v/>
      </c>
      <c r="U1011" s="250" t="str">
        <f>IFERROR(__xludf.DUMMYFUNCTION("""COMPUTED_VALUE"""),"#N/A")</f>
        <v>#N/A</v>
      </c>
      <c r="V1011" s="250" t="str">
        <f>IFERROR(__xludf.DUMMYFUNCTION("""COMPUTED_VALUE"""),"#N/A")</f>
        <v>#N/A</v>
      </c>
      <c r="W1011" s="250" t="str">
        <f>IFERROR(__xludf.DUMMYFUNCTION("""COMPUTED_VALUE"""),"#N/A")</f>
        <v>#N/A</v>
      </c>
      <c r="X1011" t="b">
        <f t="shared" ref="X1011:Z1011" si="1998">ISBLANK(K1011)</f>
        <v>1</v>
      </c>
      <c r="Y1011" t="b">
        <f t="shared" si="1998"/>
        <v>0</v>
      </c>
      <c r="Z1011" t="b">
        <f t="shared" si="1998"/>
        <v>0</v>
      </c>
      <c r="AA1011">
        <f t="shared" ref="AA1011:AC1011" si="1999">IF(X1011=FALSE,1,0)</f>
        <v>0</v>
      </c>
      <c r="AB1011">
        <f t="shared" si="1999"/>
        <v>1</v>
      </c>
      <c r="AC1011">
        <f t="shared" si="1999"/>
        <v>1</v>
      </c>
      <c r="AD1011">
        <f t="shared" si="6"/>
        <v>2</v>
      </c>
      <c r="AE1011">
        <f t="shared" si="7"/>
        <v>1</v>
      </c>
    </row>
    <row r="1012">
      <c r="B1012" t="str">
        <f>IFERROR(__xludf.DUMMYFUNCTION("""COMPUTED_VALUE"""),"")</f>
        <v/>
      </c>
      <c r="C1012" t="str">
        <f>IFERROR(__xludf.DUMMYFUNCTION("""COMPUTED_VALUE"""),"")</f>
        <v/>
      </c>
      <c r="D1012" t="str">
        <f>IFERROR(__xludf.DUMMYFUNCTION("""COMPUTED_VALUE"""),"")</f>
        <v/>
      </c>
      <c r="E1012" t="str">
        <f>IFERROR(__xludf.DUMMYFUNCTION("""COMPUTED_VALUE"""),"")</f>
        <v/>
      </c>
      <c r="F1012" t="str">
        <f>IFERROR(__xludf.DUMMYFUNCTION("""COMPUTED_VALUE"""),"")</f>
        <v/>
      </c>
      <c r="G1012" t="str">
        <f>IFERROR(__xludf.DUMMYFUNCTION("""COMPUTED_VALUE"""),"")</f>
        <v/>
      </c>
      <c r="H1012" t="str">
        <f>IFERROR(__xludf.DUMMYFUNCTION("""COMPUTED_VALUE"""),"")</f>
        <v/>
      </c>
      <c r="I1012" t="str">
        <f>IFERROR(__xludf.DUMMYFUNCTION("""COMPUTED_VALUE"""),"")</f>
        <v/>
      </c>
      <c r="J1012">
        <f>IFERROR(__xludf.DUMMYFUNCTION("""COMPUTED_VALUE"""),0.0)</f>
        <v>0</v>
      </c>
      <c r="L1012" s="250" t="str">
        <f>IFERROR(__xludf.DUMMYFUNCTION("""COMPUTED_VALUE"""),"")</f>
        <v/>
      </c>
      <c r="M1012" s="250" t="str">
        <f>IFERROR(__xludf.DUMMYFUNCTION("""COMPUTED_VALUE"""),"")</f>
        <v/>
      </c>
      <c r="N1012" s="250" t="str">
        <f>IFERROR(__xludf.DUMMYFUNCTION("""COMPUTED_VALUE"""),"")</f>
        <v/>
      </c>
      <c r="O1012" s="250" t="str">
        <f>IFERROR(__xludf.DUMMYFUNCTION("""COMPUTED_VALUE"""),"")</f>
        <v/>
      </c>
      <c r="P1012" s="250" t="str">
        <f>IFERROR(__xludf.DUMMYFUNCTION("""COMPUTED_VALUE"""),"")</f>
        <v/>
      </c>
      <c r="Q1012" s="250" t="str">
        <f>IFERROR(__xludf.DUMMYFUNCTION("""COMPUTED_VALUE"""),"")</f>
        <v/>
      </c>
      <c r="R1012" s="250" t="str">
        <f>IFERROR(__xludf.DUMMYFUNCTION("""COMPUTED_VALUE"""),"")</f>
        <v/>
      </c>
      <c r="U1012" s="250" t="str">
        <f>IFERROR(__xludf.DUMMYFUNCTION("""COMPUTED_VALUE"""),"#N/A")</f>
        <v>#N/A</v>
      </c>
      <c r="V1012" s="250" t="str">
        <f>IFERROR(__xludf.DUMMYFUNCTION("""COMPUTED_VALUE"""),"#N/A")</f>
        <v>#N/A</v>
      </c>
      <c r="W1012" s="250" t="str">
        <f>IFERROR(__xludf.DUMMYFUNCTION("""COMPUTED_VALUE"""),"#N/A")</f>
        <v>#N/A</v>
      </c>
      <c r="X1012" t="b">
        <f t="shared" ref="X1012:Z1012" si="2000">ISBLANK(K1012)</f>
        <v>1</v>
      </c>
      <c r="Y1012" t="b">
        <f t="shared" si="2000"/>
        <v>0</v>
      </c>
      <c r="Z1012" t="b">
        <f t="shared" si="2000"/>
        <v>0</v>
      </c>
      <c r="AA1012">
        <f t="shared" ref="AA1012:AC1012" si="2001">IF(X1012=FALSE,1,0)</f>
        <v>0</v>
      </c>
      <c r="AB1012">
        <f t="shared" si="2001"/>
        <v>1</v>
      </c>
      <c r="AC1012">
        <f t="shared" si="2001"/>
        <v>1</v>
      </c>
      <c r="AD1012">
        <f t="shared" si="6"/>
        <v>2</v>
      </c>
      <c r="AE1012">
        <f t="shared" si="7"/>
        <v>1</v>
      </c>
    </row>
    <row r="1013">
      <c r="B1013" t="str">
        <f>IFERROR(__xludf.DUMMYFUNCTION("""COMPUTED_VALUE"""),"")</f>
        <v/>
      </c>
      <c r="C1013" t="str">
        <f>IFERROR(__xludf.DUMMYFUNCTION("""COMPUTED_VALUE"""),"")</f>
        <v/>
      </c>
      <c r="D1013" t="str">
        <f>IFERROR(__xludf.DUMMYFUNCTION("""COMPUTED_VALUE"""),"")</f>
        <v/>
      </c>
      <c r="E1013" t="str">
        <f>IFERROR(__xludf.DUMMYFUNCTION("""COMPUTED_VALUE"""),"")</f>
        <v/>
      </c>
      <c r="F1013" t="str">
        <f>IFERROR(__xludf.DUMMYFUNCTION("""COMPUTED_VALUE"""),"")</f>
        <v/>
      </c>
      <c r="G1013" t="str">
        <f>IFERROR(__xludf.DUMMYFUNCTION("""COMPUTED_VALUE"""),"")</f>
        <v/>
      </c>
      <c r="H1013" t="str">
        <f>IFERROR(__xludf.DUMMYFUNCTION("""COMPUTED_VALUE"""),"")</f>
        <v/>
      </c>
      <c r="I1013" t="str">
        <f>IFERROR(__xludf.DUMMYFUNCTION("""COMPUTED_VALUE"""),"")</f>
        <v/>
      </c>
      <c r="J1013">
        <f>IFERROR(__xludf.DUMMYFUNCTION("""COMPUTED_VALUE"""),0.0)</f>
        <v>0</v>
      </c>
      <c r="L1013" s="250" t="str">
        <f>IFERROR(__xludf.DUMMYFUNCTION("""COMPUTED_VALUE"""),"")</f>
        <v/>
      </c>
      <c r="M1013" s="250" t="str">
        <f>IFERROR(__xludf.DUMMYFUNCTION("""COMPUTED_VALUE"""),"")</f>
        <v/>
      </c>
      <c r="N1013" s="250" t="str">
        <f>IFERROR(__xludf.DUMMYFUNCTION("""COMPUTED_VALUE"""),"")</f>
        <v/>
      </c>
      <c r="O1013" s="250" t="str">
        <f>IFERROR(__xludf.DUMMYFUNCTION("""COMPUTED_VALUE"""),"")</f>
        <v/>
      </c>
      <c r="P1013" s="250" t="str">
        <f>IFERROR(__xludf.DUMMYFUNCTION("""COMPUTED_VALUE"""),"")</f>
        <v/>
      </c>
      <c r="Q1013" s="250" t="str">
        <f>IFERROR(__xludf.DUMMYFUNCTION("""COMPUTED_VALUE"""),"")</f>
        <v/>
      </c>
      <c r="R1013" s="250" t="str">
        <f>IFERROR(__xludf.DUMMYFUNCTION("""COMPUTED_VALUE"""),"")</f>
        <v/>
      </c>
      <c r="U1013" s="250" t="str">
        <f>IFERROR(__xludf.DUMMYFUNCTION("""COMPUTED_VALUE"""),"#N/A")</f>
        <v>#N/A</v>
      </c>
      <c r="V1013" s="250" t="str">
        <f>IFERROR(__xludf.DUMMYFUNCTION("""COMPUTED_VALUE"""),"#N/A")</f>
        <v>#N/A</v>
      </c>
      <c r="W1013" s="250" t="str">
        <f>IFERROR(__xludf.DUMMYFUNCTION("""COMPUTED_VALUE"""),"#N/A")</f>
        <v>#N/A</v>
      </c>
      <c r="X1013" t="b">
        <f t="shared" ref="X1013:Z1013" si="2002">ISBLANK(K1013)</f>
        <v>1</v>
      </c>
      <c r="Y1013" t="b">
        <f t="shared" si="2002"/>
        <v>0</v>
      </c>
      <c r="Z1013" t="b">
        <f t="shared" si="2002"/>
        <v>0</v>
      </c>
      <c r="AA1013">
        <f t="shared" ref="AA1013:AC1013" si="2003">IF(X1013=FALSE,1,0)</f>
        <v>0</v>
      </c>
      <c r="AB1013">
        <f t="shared" si="2003"/>
        <v>1</v>
      </c>
      <c r="AC1013">
        <f t="shared" si="2003"/>
        <v>1</v>
      </c>
      <c r="AD1013">
        <f t="shared" si="6"/>
        <v>2</v>
      </c>
      <c r="AE1013">
        <f t="shared" si="7"/>
        <v>1</v>
      </c>
    </row>
    <row r="1014">
      <c r="B1014" t="str">
        <f>IFERROR(__xludf.DUMMYFUNCTION("""COMPUTED_VALUE"""),"")</f>
        <v/>
      </c>
      <c r="C1014" t="str">
        <f>IFERROR(__xludf.DUMMYFUNCTION("""COMPUTED_VALUE"""),"")</f>
        <v/>
      </c>
      <c r="D1014" t="str">
        <f>IFERROR(__xludf.DUMMYFUNCTION("""COMPUTED_VALUE"""),"")</f>
        <v/>
      </c>
      <c r="E1014" t="str">
        <f>IFERROR(__xludf.DUMMYFUNCTION("""COMPUTED_VALUE"""),"")</f>
        <v/>
      </c>
      <c r="F1014" t="str">
        <f>IFERROR(__xludf.DUMMYFUNCTION("""COMPUTED_VALUE"""),"")</f>
        <v/>
      </c>
      <c r="G1014" t="str">
        <f>IFERROR(__xludf.DUMMYFUNCTION("""COMPUTED_VALUE"""),"")</f>
        <v/>
      </c>
      <c r="H1014" t="str">
        <f>IFERROR(__xludf.DUMMYFUNCTION("""COMPUTED_VALUE"""),"")</f>
        <v/>
      </c>
      <c r="I1014" t="str">
        <f>IFERROR(__xludf.DUMMYFUNCTION("""COMPUTED_VALUE"""),"")</f>
        <v/>
      </c>
      <c r="J1014">
        <f>IFERROR(__xludf.DUMMYFUNCTION("""COMPUTED_VALUE"""),0.0)</f>
        <v>0</v>
      </c>
      <c r="L1014" s="250" t="str">
        <f>IFERROR(__xludf.DUMMYFUNCTION("""COMPUTED_VALUE"""),"")</f>
        <v/>
      </c>
      <c r="M1014" s="250" t="str">
        <f>IFERROR(__xludf.DUMMYFUNCTION("""COMPUTED_VALUE"""),"")</f>
        <v/>
      </c>
      <c r="N1014" s="250" t="str">
        <f>IFERROR(__xludf.DUMMYFUNCTION("""COMPUTED_VALUE"""),"")</f>
        <v/>
      </c>
      <c r="O1014" s="250" t="str">
        <f>IFERROR(__xludf.DUMMYFUNCTION("""COMPUTED_VALUE"""),"")</f>
        <v/>
      </c>
      <c r="P1014" s="250" t="str">
        <f>IFERROR(__xludf.DUMMYFUNCTION("""COMPUTED_VALUE"""),"")</f>
        <v/>
      </c>
      <c r="Q1014" s="250" t="str">
        <f>IFERROR(__xludf.DUMMYFUNCTION("""COMPUTED_VALUE"""),"")</f>
        <v/>
      </c>
      <c r="R1014" s="250" t="str">
        <f>IFERROR(__xludf.DUMMYFUNCTION("""COMPUTED_VALUE"""),"")</f>
        <v/>
      </c>
      <c r="U1014" s="250" t="str">
        <f>IFERROR(__xludf.DUMMYFUNCTION("""COMPUTED_VALUE"""),"#N/A")</f>
        <v>#N/A</v>
      </c>
      <c r="V1014" s="250" t="str">
        <f>IFERROR(__xludf.DUMMYFUNCTION("""COMPUTED_VALUE"""),"#N/A")</f>
        <v>#N/A</v>
      </c>
      <c r="W1014" s="250" t="str">
        <f>IFERROR(__xludf.DUMMYFUNCTION("""COMPUTED_VALUE"""),"#N/A")</f>
        <v>#N/A</v>
      </c>
      <c r="X1014" t="b">
        <f t="shared" ref="X1014:Z1014" si="2004">ISBLANK(K1014)</f>
        <v>1</v>
      </c>
      <c r="Y1014" t="b">
        <f t="shared" si="2004"/>
        <v>0</v>
      </c>
      <c r="Z1014" t="b">
        <f t="shared" si="2004"/>
        <v>0</v>
      </c>
      <c r="AA1014">
        <f t="shared" ref="AA1014:AC1014" si="2005">IF(X1014=FALSE,1,0)</f>
        <v>0</v>
      </c>
      <c r="AB1014">
        <f t="shared" si="2005"/>
        <v>1</v>
      </c>
      <c r="AC1014">
        <f t="shared" si="2005"/>
        <v>1</v>
      </c>
      <c r="AD1014">
        <f t="shared" si="6"/>
        <v>2</v>
      </c>
      <c r="AE1014">
        <f t="shared" si="7"/>
        <v>1</v>
      </c>
    </row>
    <row r="1015">
      <c r="B1015" t="str">
        <f>IFERROR(__xludf.DUMMYFUNCTION("""COMPUTED_VALUE"""),"")</f>
        <v/>
      </c>
      <c r="C1015" t="str">
        <f>IFERROR(__xludf.DUMMYFUNCTION("""COMPUTED_VALUE"""),"")</f>
        <v/>
      </c>
      <c r="D1015" t="str">
        <f>IFERROR(__xludf.DUMMYFUNCTION("""COMPUTED_VALUE"""),"")</f>
        <v/>
      </c>
      <c r="E1015" t="str">
        <f>IFERROR(__xludf.DUMMYFUNCTION("""COMPUTED_VALUE"""),"")</f>
        <v/>
      </c>
      <c r="F1015" t="str">
        <f>IFERROR(__xludf.DUMMYFUNCTION("""COMPUTED_VALUE"""),"")</f>
        <v/>
      </c>
      <c r="G1015" t="str">
        <f>IFERROR(__xludf.DUMMYFUNCTION("""COMPUTED_VALUE"""),"")</f>
        <v/>
      </c>
      <c r="H1015" t="str">
        <f>IFERROR(__xludf.DUMMYFUNCTION("""COMPUTED_VALUE"""),"")</f>
        <v/>
      </c>
      <c r="I1015" t="str">
        <f>IFERROR(__xludf.DUMMYFUNCTION("""COMPUTED_VALUE"""),"")</f>
        <v/>
      </c>
      <c r="J1015">
        <f>IFERROR(__xludf.DUMMYFUNCTION("""COMPUTED_VALUE"""),0.0)</f>
        <v>0</v>
      </c>
      <c r="L1015" s="250" t="str">
        <f>IFERROR(__xludf.DUMMYFUNCTION("""COMPUTED_VALUE"""),"")</f>
        <v/>
      </c>
      <c r="M1015" s="250" t="str">
        <f>IFERROR(__xludf.DUMMYFUNCTION("""COMPUTED_VALUE"""),"")</f>
        <v/>
      </c>
      <c r="N1015" s="250" t="str">
        <f>IFERROR(__xludf.DUMMYFUNCTION("""COMPUTED_VALUE"""),"")</f>
        <v/>
      </c>
      <c r="O1015" s="250" t="str">
        <f>IFERROR(__xludf.DUMMYFUNCTION("""COMPUTED_VALUE"""),"")</f>
        <v/>
      </c>
      <c r="P1015" s="250" t="str">
        <f>IFERROR(__xludf.DUMMYFUNCTION("""COMPUTED_VALUE"""),"")</f>
        <v/>
      </c>
      <c r="Q1015" s="250" t="str">
        <f>IFERROR(__xludf.DUMMYFUNCTION("""COMPUTED_VALUE"""),"")</f>
        <v/>
      </c>
      <c r="R1015" s="250" t="str">
        <f>IFERROR(__xludf.DUMMYFUNCTION("""COMPUTED_VALUE"""),"")</f>
        <v/>
      </c>
      <c r="U1015" s="250" t="str">
        <f>IFERROR(__xludf.DUMMYFUNCTION("""COMPUTED_VALUE"""),"#N/A")</f>
        <v>#N/A</v>
      </c>
      <c r="V1015" s="250" t="str">
        <f>IFERROR(__xludf.DUMMYFUNCTION("""COMPUTED_VALUE"""),"#N/A")</f>
        <v>#N/A</v>
      </c>
      <c r="W1015" s="250" t="str">
        <f>IFERROR(__xludf.DUMMYFUNCTION("""COMPUTED_VALUE"""),"#N/A")</f>
        <v>#N/A</v>
      </c>
      <c r="X1015" t="b">
        <f t="shared" ref="X1015:Z1015" si="2006">ISBLANK(K1015)</f>
        <v>1</v>
      </c>
      <c r="Y1015" t="b">
        <f t="shared" si="2006"/>
        <v>0</v>
      </c>
      <c r="Z1015" t="b">
        <f t="shared" si="2006"/>
        <v>0</v>
      </c>
      <c r="AA1015">
        <f t="shared" ref="AA1015:AC1015" si="2007">IF(X1015=FALSE,1,0)</f>
        <v>0</v>
      </c>
      <c r="AB1015">
        <f t="shared" si="2007"/>
        <v>1</v>
      </c>
      <c r="AC1015">
        <f t="shared" si="2007"/>
        <v>1</v>
      </c>
      <c r="AD1015">
        <f t="shared" si="6"/>
        <v>2</v>
      </c>
      <c r="AE1015">
        <f t="shared" si="7"/>
        <v>1</v>
      </c>
    </row>
    <row r="1016">
      <c r="B1016" t="str">
        <f>IFERROR(__xludf.DUMMYFUNCTION("""COMPUTED_VALUE"""),"")</f>
        <v/>
      </c>
      <c r="C1016" t="str">
        <f>IFERROR(__xludf.DUMMYFUNCTION("""COMPUTED_VALUE"""),"")</f>
        <v/>
      </c>
      <c r="D1016" t="str">
        <f>IFERROR(__xludf.DUMMYFUNCTION("""COMPUTED_VALUE"""),"")</f>
        <v/>
      </c>
      <c r="E1016" t="str">
        <f>IFERROR(__xludf.DUMMYFUNCTION("""COMPUTED_VALUE"""),"")</f>
        <v/>
      </c>
      <c r="F1016" t="str">
        <f>IFERROR(__xludf.DUMMYFUNCTION("""COMPUTED_VALUE"""),"")</f>
        <v/>
      </c>
      <c r="G1016" t="str">
        <f>IFERROR(__xludf.DUMMYFUNCTION("""COMPUTED_VALUE"""),"")</f>
        <v/>
      </c>
      <c r="H1016" t="str">
        <f>IFERROR(__xludf.DUMMYFUNCTION("""COMPUTED_VALUE"""),"")</f>
        <v/>
      </c>
      <c r="I1016" t="str">
        <f>IFERROR(__xludf.DUMMYFUNCTION("""COMPUTED_VALUE"""),"")</f>
        <v/>
      </c>
      <c r="J1016">
        <f>IFERROR(__xludf.DUMMYFUNCTION("""COMPUTED_VALUE"""),0.0)</f>
        <v>0</v>
      </c>
      <c r="L1016" s="250" t="str">
        <f>IFERROR(__xludf.DUMMYFUNCTION("""COMPUTED_VALUE"""),"")</f>
        <v/>
      </c>
      <c r="M1016" s="250" t="str">
        <f>IFERROR(__xludf.DUMMYFUNCTION("""COMPUTED_VALUE"""),"")</f>
        <v/>
      </c>
      <c r="N1016" s="250" t="str">
        <f>IFERROR(__xludf.DUMMYFUNCTION("""COMPUTED_VALUE"""),"")</f>
        <v/>
      </c>
      <c r="O1016" s="250" t="str">
        <f>IFERROR(__xludf.DUMMYFUNCTION("""COMPUTED_VALUE"""),"")</f>
        <v/>
      </c>
      <c r="P1016" s="250" t="str">
        <f>IFERROR(__xludf.DUMMYFUNCTION("""COMPUTED_VALUE"""),"")</f>
        <v/>
      </c>
      <c r="Q1016" s="250" t="str">
        <f>IFERROR(__xludf.DUMMYFUNCTION("""COMPUTED_VALUE"""),"")</f>
        <v/>
      </c>
      <c r="R1016" s="250" t="str">
        <f>IFERROR(__xludf.DUMMYFUNCTION("""COMPUTED_VALUE"""),"")</f>
        <v/>
      </c>
      <c r="U1016" s="250" t="str">
        <f>IFERROR(__xludf.DUMMYFUNCTION("""COMPUTED_VALUE"""),"#N/A")</f>
        <v>#N/A</v>
      </c>
      <c r="V1016" s="250" t="str">
        <f>IFERROR(__xludf.DUMMYFUNCTION("""COMPUTED_VALUE"""),"#N/A")</f>
        <v>#N/A</v>
      </c>
      <c r="W1016" s="250" t="str">
        <f>IFERROR(__xludf.DUMMYFUNCTION("""COMPUTED_VALUE"""),"#N/A")</f>
        <v>#N/A</v>
      </c>
      <c r="X1016" t="b">
        <f t="shared" ref="X1016:Z1016" si="2008">ISBLANK(K1016)</f>
        <v>1</v>
      </c>
      <c r="Y1016" t="b">
        <f t="shared" si="2008"/>
        <v>0</v>
      </c>
      <c r="Z1016" t="b">
        <f t="shared" si="2008"/>
        <v>0</v>
      </c>
      <c r="AA1016">
        <f t="shared" ref="AA1016:AC1016" si="2009">IF(X1016=FALSE,1,0)</f>
        <v>0</v>
      </c>
      <c r="AB1016">
        <f t="shared" si="2009"/>
        <v>1</v>
      </c>
      <c r="AC1016">
        <f t="shared" si="2009"/>
        <v>1</v>
      </c>
      <c r="AD1016">
        <f t="shared" si="6"/>
        <v>2</v>
      </c>
      <c r="AE1016">
        <f t="shared" si="7"/>
        <v>1</v>
      </c>
    </row>
    <row r="1017">
      <c r="B1017" t="str">
        <f>IFERROR(__xludf.DUMMYFUNCTION("""COMPUTED_VALUE"""),"")</f>
        <v/>
      </c>
      <c r="C1017" t="str">
        <f>IFERROR(__xludf.DUMMYFUNCTION("""COMPUTED_VALUE"""),"")</f>
        <v/>
      </c>
      <c r="D1017" t="str">
        <f>IFERROR(__xludf.DUMMYFUNCTION("""COMPUTED_VALUE"""),"")</f>
        <v/>
      </c>
      <c r="E1017" t="str">
        <f>IFERROR(__xludf.DUMMYFUNCTION("""COMPUTED_VALUE"""),"")</f>
        <v/>
      </c>
      <c r="F1017" t="str">
        <f>IFERROR(__xludf.DUMMYFUNCTION("""COMPUTED_VALUE"""),"")</f>
        <v/>
      </c>
      <c r="G1017" t="str">
        <f>IFERROR(__xludf.DUMMYFUNCTION("""COMPUTED_VALUE"""),"")</f>
        <v/>
      </c>
      <c r="H1017" t="str">
        <f>IFERROR(__xludf.DUMMYFUNCTION("""COMPUTED_VALUE"""),"")</f>
        <v/>
      </c>
      <c r="I1017" t="str">
        <f>IFERROR(__xludf.DUMMYFUNCTION("""COMPUTED_VALUE"""),"")</f>
        <v/>
      </c>
      <c r="J1017">
        <f>IFERROR(__xludf.DUMMYFUNCTION("""COMPUTED_VALUE"""),0.0)</f>
        <v>0</v>
      </c>
      <c r="L1017" s="250" t="str">
        <f>IFERROR(__xludf.DUMMYFUNCTION("""COMPUTED_VALUE"""),"")</f>
        <v/>
      </c>
      <c r="M1017" s="250" t="str">
        <f>IFERROR(__xludf.DUMMYFUNCTION("""COMPUTED_VALUE"""),"")</f>
        <v/>
      </c>
      <c r="N1017" s="250" t="str">
        <f>IFERROR(__xludf.DUMMYFUNCTION("""COMPUTED_VALUE"""),"")</f>
        <v/>
      </c>
      <c r="O1017" s="250" t="str">
        <f>IFERROR(__xludf.DUMMYFUNCTION("""COMPUTED_VALUE"""),"")</f>
        <v/>
      </c>
      <c r="P1017" s="250" t="str">
        <f>IFERROR(__xludf.DUMMYFUNCTION("""COMPUTED_VALUE"""),"")</f>
        <v/>
      </c>
      <c r="Q1017" s="250" t="str">
        <f>IFERROR(__xludf.DUMMYFUNCTION("""COMPUTED_VALUE"""),"")</f>
        <v/>
      </c>
      <c r="R1017" s="250" t="str">
        <f>IFERROR(__xludf.DUMMYFUNCTION("""COMPUTED_VALUE"""),"")</f>
        <v/>
      </c>
      <c r="U1017" s="250" t="str">
        <f>IFERROR(__xludf.DUMMYFUNCTION("""COMPUTED_VALUE"""),"#N/A")</f>
        <v>#N/A</v>
      </c>
      <c r="V1017" s="250" t="str">
        <f>IFERROR(__xludf.DUMMYFUNCTION("""COMPUTED_VALUE"""),"#N/A")</f>
        <v>#N/A</v>
      </c>
      <c r="W1017" s="250" t="str">
        <f>IFERROR(__xludf.DUMMYFUNCTION("""COMPUTED_VALUE"""),"#N/A")</f>
        <v>#N/A</v>
      </c>
      <c r="X1017" t="b">
        <f t="shared" ref="X1017:Z1017" si="2010">ISBLANK(K1017)</f>
        <v>1</v>
      </c>
      <c r="Y1017" t="b">
        <f t="shared" si="2010"/>
        <v>0</v>
      </c>
      <c r="Z1017" t="b">
        <f t="shared" si="2010"/>
        <v>0</v>
      </c>
      <c r="AA1017">
        <f t="shared" ref="AA1017:AC1017" si="2011">IF(X1017=FALSE,1,0)</f>
        <v>0</v>
      </c>
      <c r="AB1017">
        <f t="shared" si="2011"/>
        <v>1</v>
      </c>
      <c r="AC1017">
        <f t="shared" si="2011"/>
        <v>1</v>
      </c>
      <c r="AD1017">
        <f t="shared" si="6"/>
        <v>2</v>
      </c>
      <c r="AE1017">
        <f t="shared" si="7"/>
        <v>1</v>
      </c>
    </row>
    <row r="1018">
      <c r="B1018" t="str">
        <f>IFERROR(__xludf.DUMMYFUNCTION("""COMPUTED_VALUE"""),"")</f>
        <v/>
      </c>
      <c r="C1018" t="str">
        <f>IFERROR(__xludf.DUMMYFUNCTION("""COMPUTED_VALUE"""),"")</f>
        <v/>
      </c>
      <c r="D1018" t="str">
        <f>IFERROR(__xludf.DUMMYFUNCTION("""COMPUTED_VALUE"""),"")</f>
        <v/>
      </c>
      <c r="E1018" t="str">
        <f>IFERROR(__xludf.DUMMYFUNCTION("""COMPUTED_VALUE"""),"")</f>
        <v/>
      </c>
      <c r="F1018" t="str">
        <f>IFERROR(__xludf.DUMMYFUNCTION("""COMPUTED_VALUE"""),"")</f>
        <v/>
      </c>
      <c r="G1018" t="str">
        <f>IFERROR(__xludf.DUMMYFUNCTION("""COMPUTED_VALUE"""),"")</f>
        <v/>
      </c>
      <c r="H1018" t="str">
        <f>IFERROR(__xludf.DUMMYFUNCTION("""COMPUTED_VALUE"""),"")</f>
        <v/>
      </c>
      <c r="I1018" t="str">
        <f>IFERROR(__xludf.DUMMYFUNCTION("""COMPUTED_VALUE"""),"")</f>
        <v/>
      </c>
      <c r="J1018">
        <f>IFERROR(__xludf.DUMMYFUNCTION("""COMPUTED_VALUE"""),0.0)</f>
        <v>0</v>
      </c>
      <c r="L1018" s="250" t="str">
        <f>IFERROR(__xludf.DUMMYFUNCTION("""COMPUTED_VALUE"""),"")</f>
        <v/>
      </c>
      <c r="M1018" s="250" t="str">
        <f>IFERROR(__xludf.DUMMYFUNCTION("""COMPUTED_VALUE"""),"")</f>
        <v/>
      </c>
      <c r="N1018" s="250" t="str">
        <f>IFERROR(__xludf.DUMMYFUNCTION("""COMPUTED_VALUE"""),"")</f>
        <v/>
      </c>
      <c r="O1018" s="250" t="str">
        <f>IFERROR(__xludf.DUMMYFUNCTION("""COMPUTED_VALUE"""),"")</f>
        <v/>
      </c>
      <c r="P1018" s="250" t="str">
        <f>IFERROR(__xludf.DUMMYFUNCTION("""COMPUTED_VALUE"""),"")</f>
        <v/>
      </c>
      <c r="Q1018" s="250" t="str">
        <f>IFERROR(__xludf.DUMMYFUNCTION("""COMPUTED_VALUE"""),"")</f>
        <v/>
      </c>
      <c r="R1018" s="250" t="str">
        <f>IFERROR(__xludf.DUMMYFUNCTION("""COMPUTED_VALUE"""),"")</f>
        <v/>
      </c>
      <c r="U1018" s="250" t="str">
        <f>IFERROR(__xludf.DUMMYFUNCTION("""COMPUTED_VALUE"""),"#N/A")</f>
        <v>#N/A</v>
      </c>
      <c r="V1018" s="250" t="str">
        <f>IFERROR(__xludf.DUMMYFUNCTION("""COMPUTED_VALUE"""),"#N/A")</f>
        <v>#N/A</v>
      </c>
      <c r="W1018" s="250" t="str">
        <f>IFERROR(__xludf.DUMMYFUNCTION("""COMPUTED_VALUE"""),"#N/A")</f>
        <v>#N/A</v>
      </c>
      <c r="X1018" t="b">
        <f t="shared" ref="X1018:Z1018" si="2012">ISBLANK(K1018)</f>
        <v>1</v>
      </c>
      <c r="Y1018" t="b">
        <f t="shared" si="2012"/>
        <v>0</v>
      </c>
      <c r="Z1018" t="b">
        <f t="shared" si="2012"/>
        <v>0</v>
      </c>
      <c r="AA1018">
        <f t="shared" ref="AA1018:AC1018" si="2013">IF(X1018=FALSE,1,0)</f>
        <v>0</v>
      </c>
      <c r="AB1018">
        <f t="shared" si="2013"/>
        <v>1</v>
      </c>
      <c r="AC1018">
        <f t="shared" si="2013"/>
        <v>1</v>
      </c>
      <c r="AD1018">
        <f t="shared" si="6"/>
        <v>2</v>
      </c>
      <c r="AE1018">
        <f t="shared" si="7"/>
        <v>1</v>
      </c>
    </row>
    <row r="1019">
      <c r="B1019" t="str">
        <f>IFERROR(__xludf.DUMMYFUNCTION("""COMPUTED_VALUE"""),"")</f>
        <v/>
      </c>
      <c r="C1019" t="str">
        <f>IFERROR(__xludf.DUMMYFUNCTION("""COMPUTED_VALUE"""),"")</f>
        <v/>
      </c>
      <c r="D1019" t="str">
        <f>IFERROR(__xludf.DUMMYFUNCTION("""COMPUTED_VALUE"""),"")</f>
        <v/>
      </c>
      <c r="E1019" t="str">
        <f>IFERROR(__xludf.DUMMYFUNCTION("""COMPUTED_VALUE"""),"")</f>
        <v/>
      </c>
      <c r="F1019" t="str">
        <f>IFERROR(__xludf.DUMMYFUNCTION("""COMPUTED_VALUE"""),"")</f>
        <v/>
      </c>
      <c r="G1019" t="str">
        <f>IFERROR(__xludf.DUMMYFUNCTION("""COMPUTED_VALUE"""),"")</f>
        <v/>
      </c>
      <c r="H1019" t="str">
        <f>IFERROR(__xludf.DUMMYFUNCTION("""COMPUTED_VALUE"""),"")</f>
        <v/>
      </c>
      <c r="I1019" t="str">
        <f>IFERROR(__xludf.DUMMYFUNCTION("""COMPUTED_VALUE"""),"")</f>
        <v/>
      </c>
      <c r="J1019">
        <f>IFERROR(__xludf.DUMMYFUNCTION("""COMPUTED_VALUE"""),0.0)</f>
        <v>0</v>
      </c>
      <c r="L1019" s="250" t="str">
        <f>IFERROR(__xludf.DUMMYFUNCTION("""COMPUTED_VALUE"""),"")</f>
        <v/>
      </c>
      <c r="M1019" s="250" t="str">
        <f>IFERROR(__xludf.DUMMYFUNCTION("""COMPUTED_VALUE"""),"")</f>
        <v/>
      </c>
      <c r="N1019" s="250" t="str">
        <f>IFERROR(__xludf.DUMMYFUNCTION("""COMPUTED_VALUE"""),"")</f>
        <v/>
      </c>
      <c r="O1019" s="250" t="str">
        <f>IFERROR(__xludf.DUMMYFUNCTION("""COMPUTED_VALUE"""),"")</f>
        <v/>
      </c>
      <c r="P1019" s="250" t="str">
        <f>IFERROR(__xludf.DUMMYFUNCTION("""COMPUTED_VALUE"""),"")</f>
        <v/>
      </c>
      <c r="Q1019" s="250" t="str">
        <f>IFERROR(__xludf.DUMMYFUNCTION("""COMPUTED_VALUE"""),"")</f>
        <v/>
      </c>
      <c r="R1019" s="250" t="str">
        <f>IFERROR(__xludf.DUMMYFUNCTION("""COMPUTED_VALUE"""),"")</f>
        <v/>
      </c>
      <c r="U1019" s="250" t="str">
        <f>IFERROR(__xludf.DUMMYFUNCTION("""COMPUTED_VALUE"""),"#N/A")</f>
        <v>#N/A</v>
      </c>
      <c r="V1019" s="250" t="str">
        <f>IFERROR(__xludf.DUMMYFUNCTION("""COMPUTED_VALUE"""),"#N/A")</f>
        <v>#N/A</v>
      </c>
      <c r="W1019" s="250" t="str">
        <f>IFERROR(__xludf.DUMMYFUNCTION("""COMPUTED_VALUE"""),"#N/A")</f>
        <v>#N/A</v>
      </c>
      <c r="X1019" t="b">
        <f t="shared" ref="X1019:Z1019" si="2014">ISBLANK(K1019)</f>
        <v>1</v>
      </c>
      <c r="Y1019" t="b">
        <f t="shared" si="2014"/>
        <v>0</v>
      </c>
      <c r="Z1019" t="b">
        <f t="shared" si="2014"/>
        <v>0</v>
      </c>
      <c r="AA1019">
        <f t="shared" ref="AA1019:AC1019" si="2015">IF(X1019=FALSE,1,0)</f>
        <v>0</v>
      </c>
      <c r="AB1019">
        <f t="shared" si="2015"/>
        <v>1</v>
      </c>
      <c r="AC1019">
        <f t="shared" si="2015"/>
        <v>1</v>
      </c>
      <c r="AD1019">
        <f t="shared" si="6"/>
        <v>2</v>
      </c>
      <c r="AE1019">
        <f t="shared" si="7"/>
        <v>1</v>
      </c>
    </row>
    <row r="1020">
      <c r="B1020" t="str">
        <f>IFERROR(__xludf.DUMMYFUNCTION("""COMPUTED_VALUE"""),"")</f>
        <v/>
      </c>
      <c r="C1020" t="str">
        <f>IFERROR(__xludf.DUMMYFUNCTION("""COMPUTED_VALUE"""),"")</f>
        <v/>
      </c>
      <c r="D1020" t="str">
        <f>IFERROR(__xludf.DUMMYFUNCTION("""COMPUTED_VALUE"""),"")</f>
        <v/>
      </c>
      <c r="E1020" t="str">
        <f>IFERROR(__xludf.DUMMYFUNCTION("""COMPUTED_VALUE"""),"")</f>
        <v/>
      </c>
      <c r="F1020" t="str">
        <f>IFERROR(__xludf.DUMMYFUNCTION("""COMPUTED_VALUE"""),"")</f>
        <v/>
      </c>
      <c r="G1020" t="str">
        <f>IFERROR(__xludf.DUMMYFUNCTION("""COMPUTED_VALUE"""),"")</f>
        <v/>
      </c>
      <c r="H1020" t="str">
        <f>IFERROR(__xludf.DUMMYFUNCTION("""COMPUTED_VALUE"""),"")</f>
        <v/>
      </c>
      <c r="I1020" t="str">
        <f>IFERROR(__xludf.DUMMYFUNCTION("""COMPUTED_VALUE"""),"")</f>
        <v/>
      </c>
      <c r="J1020">
        <f>IFERROR(__xludf.DUMMYFUNCTION("""COMPUTED_VALUE"""),0.0)</f>
        <v>0</v>
      </c>
      <c r="L1020" s="250" t="str">
        <f>IFERROR(__xludf.DUMMYFUNCTION("""COMPUTED_VALUE"""),"")</f>
        <v/>
      </c>
      <c r="M1020" s="250" t="str">
        <f>IFERROR(__xludf.DUMMYFUNCTION("""COMPUTED_VALUE"""),"")</f>
        <v/>
      </c>
      <c r="N1020" s="250" t="str">
        <f>IFERROR(__xludf.DUMMYFUNCTION("""COMPUTED_VALUE"""),"")</f>
        <v/>
      </c>
      <c r="O1020" s="250" t="str">
        <f>IFERROR(__xludf.DUMMYFUNCTION("""COMPUTED_VALUE"""),"")</f>
        <v/>
      </c>
      <c r="P1020" s="250" t="str">
        <f>IFERROR(__xludf.DUMMYFUNCTION("""COMPUTED_VALUE"""),"")</f>
        <v/>
      </c>
      <c r="Q1020" s="250" t="str">
        <f>IFERROR(__xludf.DUMMYFUNCTION("""COMPUTED_VALUE"""),"")</f>
        <v/>
      </c>
      <c r="R1020" s="250" t="str">
        <f>IFERROR(__xludf.DUMMYFUNCTION("""COMPUTED_VALUE"""),"")</f>
        <v/>
      </c>
      <c r="U1020" s="250" t="str">
        <f>IFERROR(__xludf.DUMMYFUNCTION("""COMPUTED_VALUE"""),"#N/A")</f>
        <v>#N/A</v>
      </c>
      <c r="V1020" s="250" t="str">
        <f>IFERROR(__xludf.DUMMYFUNCTION("""COMPUTED_VALUE"""),"#N/A")</f>
        <v>#N/A</v>
      </c>
      <c r="W1020" s="250" t="str">
        <f>IFERROR(__xludf.DUMMYFUNCTION("""COMPUTED_VALUE"""),"#N/A")</f>
        <v>#N/A</v>
      </c>
      <c r="X1020" t="b">
        <f t="shared" ref="X1020:Z1020" si="2016">ISBLANK(K1020)</f>
        <v>1</v>
      </c>
      <c r="Y1020" t="b">
        <f t="shared" si="2016"/>
        <v>0</v>
      </c>
      <c r="Z1020" t="b">
        <f t="shared" si="2016"/>
        <v>0</v>
      </c>
      <c r="AA1020">
        <f t="shared" ref="AA1020:AC1020" si="2017">IF(X1020=FALSE,1,0)</f>
        <v>0</v>
      </c>
      <c r="AB1020">
        <f t="shared" si="2017"/>
        <v>1</v>
      </c>
      <c r="AC1020">
        <f t="shared" si="2017"/>
        <v>1</v>
      </c>
      <c r="AD1020">
        <f t="shared" si="6"/>
        <v>2</v>
      </c>
      <c r="AE1020">
        <f t="shared" si="7"/>
        <v>1</v>
      </c>
    </row>
    <row r="1021">
      <c r="B1021" t="str">
        <f>IFERROR(__xludf.DUMMYFUNCTION("""COMPUTED_VALUE"""),"")</f>
        <v/>
      </c>
      <c r="C1021" t="str">
        <f>IFERROR(__xludf.DUMMYFUNCTION("""COMPUTED_VALUE"""),"")</f>
        <v/>
      </c>
      <c r="D1021" t="str">
        <f>IFERROR(__xludf.DUMMYFUNCTION("""COMPUTED_VALUE"""),"")</f>
        <v/>
      </c>
      <c r="E1021" t="str">
        <f>IFERROR(__xludf.DUMMYFUNCTION("""COMPUTED_VALUE"""),"")</f>
        <v/>
      </c>
      <c r="F1021" t="str">
        <f>IFERROR(__xludf.DUMMYFUNCTION("""COMPUTED_VALUE"""),"")</f>
        <v/>
      </c>
      <c r="G1021" t="str">
        <f>IFERROR(__xludf.DUMMYFUNCTION("""COMPUTED_VALUE"""),"")</f>
        <v/>
      </c>
      <c r="H1021" t="str">
        <f>IFERROR(__xludf.DUMMYFUNCTION("""COMPUTED_VALUE"""),"")</f>
        <v/>
      </c>
      <c r="I1021" t="str">
        <f>IFERROR(__xludf.DUMMYFUNCTION("""COMPUTED_VALUE"""),"")</f>
        <v/>
      </c>
      <c r="J1021">
        <f>IFERROR(__xludf.DUMMYFUNCTION("""COMPUTED_VALUE"""),0.0)</f>
        <v>0</v>
      </c>
      <c r="L1021" s="250" t="str">
        <f>IFERROR(__xludf.DUMMYFUNCTION("""COMPUTED_VALUE"""),"")</f>
        <v/>
      </c>
      <c r="M1021" s="250" t="str">
        <f>IFERROR(__xludf.DUMMYFUNCTION("""COMPUTED_VALUE"""),"")</f>
        <v/>
      </c>
      <c r="N1021" s="250" t="str">
        <f>IFERROR(__xludf.DUMMYFUNCTION("""COMPUTED_VALUE"""),"")</f>
        <v/>
      </c>
      <c r="O1021" s="250" t="str">
        <f>IFERROR(__xludf.DUMMYFUNCTION("""COMPUTED_VALUE"""),"")</f>
        <v/>
      </c>
      <c r="P1021" s="250" t="str">
        <f>IFERROR(__xludf.DUMMYFUNCTION("""COMPUTED_VALUE"""),"")</f>
        <v/>
      </c>
      <c r="Q1021" s="250" t="str">
        <f>IFERROR(__xludf.DUMMYFUNCTION("""COMPUTED_VALUE"""),"")</f>
        <v/>
      </c>
      <c r="R1021" s="250" t="str">
        <f>IFERROR(__xludf.DUMMYFUNCTION("""COMPUTED_VALUE"""),"")</f>
        <v/>
      </c>
      <c r="U1021" s="250" t="str">
        <f>IFERROR(__xludf.DUMMYFUNCTION("""COMPUTED_VALUE"""),"#N/A")</f>
        <v>#N/A</v>
      </c>
      <c r="V1021" s="250" t="str">
        <f>IFERROR(__xludf.DUMMYFUNCTION("""COMPUTED_VALUE"""),"#N/A")</f>
        <v>#N/A</v>
      </c>
      <c r="W1021" s="250" t="str">
        <f>IFERROR(__xludf.DUMMYFUNCTION("""COMPUTED_VALUE"""),"#N/A")</f>
        <v>#N/A</v>
      </c>
      <c r="X1021" t="b">
        <f t="shared" ref="X1021:Z1021" si="2018">ISBLANK(K1021)</f>
        <v>1</v>
      </c>
      <c r="Y1021" t="b">
        <f t="shared" si="2018"/>
        <v>0</v>
      </c>
      <c r="Z1021" t="b">
        <f t="shared" si="2018"/>
        <v>0</v>
      </c>
      <c r="AA1021">
        <f t="shared" ref="AA1021:AC1021" si="2019">IF(X1021=FALSE,1,0)</f>
        <v>0</v>
      </c>
      <c r="AB1021">
        <f t="shared" si="2019"/>
        <v>1</v>
      </c>
      <c r="AC1021">
        <f t="shared" si="2019"/>
        <v>1</v>
      </c>
      <c r="AD1021">
        <f t="shared" si="6"/>
        <v>2</v>
      </c>
      <c r="AE1021">
        <f t="shared" si="7"/>
        <v>1</v>
      </c>
    </row>
    <row r="1022">
      <c r="B1022" t="str">
        <f>IFERROR(__xludf.DUMMYFUNCTION("""COMPUTED_VALUE"""),"")</f>
        <v/>
      </c>
      <c r="C1022" t="str">
        <f>IFERROR(__xludf.DUMMYFUNCTION("""COMPUTED_VALUE"""),"")</f>
        <v/>
      </c>
      <c r="D1022" t="str">
        <f>IFERROR(__xludf.DUMMYFUNCTION("""COMPUTED_VALUE"""),"")</f>
        <v/>
      </c>
      <c r="E1022" t="str">
        <f>IFERROR(__xludf.DUMMYFUNCTION("""COMPUTED_VALUE"""),"")</f>
        <v/>
      </c>
      <c r="F1022" t="str">
        <f>IFERROR(__xludf.DUMMYFUNCTION("""COMPUTED_VALUE"""),"")</f>
        <v/>
      </c>
      <c r="G1022" t="str">
        <f>IFERROR(__xludf.DUMMYFUNCTION("""COMPUTED_VALUE"""),"")</f>
        <v/>
      </c>
      <c r="H1022" t="str">
        <f>IFERROR(__xludf.DUMMYFUNCTION("""COMPUTED_VALUE"""),"")</f>
        <v/>
      </c>
      <c r="I1022" t="str">
        <f>IFERROR(__xludf.DUMMYFUNCTION("""COMPUTED_VALUE"""),"")</f>
        <v/>
      </c>
      <c r="J1022">
        <f>IFERROR(__xludf.DUMMYFUNCTION("""COMPUTED_VALUE"""),0.0)</f>
        <v>0</v>
      </c>
      <c r="L1022" s="250" t="str">
        <f>IFERROR(__xludf.DUMMYFUNCTION("""COMPUTED_VALUE"""),"")</f>
        <v/>
      </c>
      <c r="M1022" s="250" t="str">
        <f>IFERROR(__xludf.DUMMYFUNCTION("""COMPUTED_VALUE"""),"")</f>
        <v/>
      </c>
      <c r="N1022" s="250" t="str">
        <f>IFERROR(__xludf.DUMMYFUNCTION("""COMPUTED_VALUE"""),"")</f>
        <v/>
      </c>
      <c r="O1022" s="250" t="str">
        <f>IFERROR(__xludf.DUMMYFUNCTION("""COMPUTED_VALUE"""),"")</f>
        <v/>
      </c>
      <c r="P1022" s="250" t="str">
        <f>IFERROR(__xludf.DUMMYFUNCTION("""COMPUTED_VALUE"""),"")</f>
        <v/>
      </c>
      <c r="Q1022" s="250" t="str">
        <f>IFERROR(__xludf.DUMMYFUNCTION("""COMPUTED_VALUE"""),"")</f>
        <v/>
      </c>
      <c r="R1022" s="250" t="str">
        <f>IFERROR(__xludf.DUMMYFUNCTION("""COMPUTED_VALUE"""),"")</f>
        <v/>
      </c>
      <c r="U1022" s="250" t="str">
        <f>IFERROR(__xludf.DUMMYFUNCTION("""COMPUTED_VALUE"""),"#N/A")</f>
        <v>#N/A</v>
      </c>
      <c r="V1022" s="250" t="str">
        <f>IFERROR(__xludf.DUMMYFUNCTION("""COMPUTED_VALUE"""),"#N/A")</f>
        <v>#N/A</v>
      </c>
      <c r="W1022" s="250" t="str">
        <f>IFERROR(__xludf.DUMMYFUNCTION("""COMPUTED_VALUE"""),"#N/A")</f>
        <v>#N/A</v>
      </c>
      <c r="X1022" t="b">
        <f t="shared" ref="X1022:Z1022" si="2020">ISBLANK(K1022)</f>
        <v>1</v>
      </c>
      <c r="Y1022" t="b">
        <f t="shared" si="2020"/>
        <v>0</v>
      </c>
      <c r="Z1022" t="b">
        <f t="shared" si="2020"/>
        <v>0</v>
      </c>
      <c r="AA1022">
        <f t="shared" ref="AA1022:AC1022" si="2021">IF(X1022=FALSE,1,0)</f>
        <v>0</v>
      </c>
      <c r="AB1022">
        <f t="shared" si="2021"/>
        <v>1</v>
      </c>
      <c r="AC1022">
        <f t="shared" si="2021"/>
        <v>1</v>
      </c>
      <c r="AD1022">
        <f t="shared" si="6"/>
        <v>2</v>
      </c>
      <c r="AE1022">
        <f t="shared" si="7"/>
        <v>1</v>
      </c>
    </row>
    <row r="1023">
      <c r="B1023" t="str">
        <f>IFERROR(__xludf.DUMMYFUNCTION("""COMPUTED_VALUE"""),"")</f>
        <v/>
      </c>
      <c r="C1023" t="str">
        <f>IFERROR(__xludf.DUMMYFUNCTION("""COMPUTED_VALUE"""),"")</f>
        <v/>
      </c>
      <c r="D1023" t="str">
        <f>IFERROR(__xludf.DUMMYFUNCTION("""COMPUTED_VALUE"""),"")</f>
        <v/>
      </c>
      <c r="E1023" t="str">
        <f>IFERROR(__xludf.DUMMYFUNCTION("""COMPUTED_VALUE"""),"")</f>
        <v/>
      </c>
      <c r="F1023" t="str">
        <f>IFERROR(__xludf.DUMMYFUNCTION("""COMPUTED_VALUE"""),"")</f>
        <v/>
      </c>
      <c r="G1023" t="str">
        <f>IFERROR(__xludf.DUMMYFUNCTION("""COMPUTED_VALUE"""),"")</f>
        <v/>
      </c>
      <c r="H1023" t="str">
        <f>IFERROR(__xludf.DUMMYFUNCTION("""COMPUTED_VALUE"""),"")</f>
        <v/>
      </c>
      <c r="I1023" t="str">
        <f>IFERROR(__xludf.DUMMYFUNCTION("""COMPUTED_VALUE"""),"")</f>
        <v/>
      </c>
      <c r="J1023">
        <f>IFERROR(__xludf.DUMMYFUNCTION("""COMPUTED_VALUE"""),0.0)</f>
        <v>0</v>
      </c>
      <c r="L1023" s="250" t="str">
        <f>IFERROR(__xludf.DUMMYFUNCTION("""COMPUTED_VALUE"""),"")</f>
        <v/>
      </c>
      <c r="M1023" s="250" t="str">
        <f>IFERROR(__xludf.DUMMYFUNCTION("""COMPUTED_VALUE"""),"")</f>
        <v/>
      </c>
      <c r="N1023" s="250" t="str">
        <f>IFERROR(__xludf.DUMMYFUNCTION("""COMPUTED_VALUE"""),"")</f>
        <v/>
      </c>
      <c r="O1023" s="250" t="str">
        <f>IFERROR(__xludf.DUMMYFUNCTION("""COMPUTED_VALUE"""),"")</f>
        <v/>
      </c>
      <c r="P1023" s="250" t="str">
        <f>IFERROR(__xludf.DUMMYFUNCTION("""COMPUTED_VALUE"""),"")</f>
        <v/>
      </c>
      <c r="Q1023" s="250" t="str">
        <f>IFERROR(__xludf.DUMMYFUNCTION("""COMPUTED_VALUE"""),"")</f>
        <v/>
      </c>
      <c r="R1023" s="250" t="str">
        <f>IFERROR(__xludf.DUMMYFUNCTION("""COMPUTED_VALUE"""),"")</f>
        <v/>
      </c>
      <c r="U1023" s="250" t="str">
        <f>IFERROR(__xludf.DUMMYFUNCTION("""COMPUTED_VALUE"""),"#N/A")</f>
        <v>#N/A</v>
      </c>
      <c r="V1023" s="250" t="str">
        <f>IFERROR(__xludf.DUMMYFUNCTION("""COMPUTED_VALUE"""),"#N/A")</f>
        <v>#N/A</v>
      </c>
      <c r="W1023" s="250" t="str">
        <f>IFERROR(__xludf.DUMMYFUNCTION("""COMPUTED_VALUE"""),"#N/A")</f>
        <v>#N/A</v>
      </c>
      <c r="X1023" t="b">
        <f t="shared" ref="X1023:Z1023" si="2022">ISBLANK(K1023)</f>
        <v>1</v>
      </c>
      <c r="Y1023" t="b">
        <f t="shared" si="2022"/>
        <v>0</v>
      </c>
      <c r="Z1023" t="b">
        <f t="shared" si="2022"/>
        <v>0</v>
      </c>
      <c r="AA1023">
        <f t="shared" ref="AA1023:AC1023" si="2023">IF(X1023=FALSE,1,0)</f>
        <v>0</v>
      </c>
      <c r="AB1023">
        <f t="shared" si="2023"/>
        <v>1</v>
      </c>
      <c r="AC1023">
        <f t="shared" si="2023"/>
        <v>1</v>
      </c>
      <c r="AD1023">
        <f t="shared" si="6"/>
        <v>2</v>
      </c>
      <c r="AE1023">
        <f t="shared" si="7"/>
        <v>1</v>
      </c>
    </row>
    <row r="1024">
      <c r="B1024" t="str">
        <f>IFERROR(__xludf.DUMMYFUNCTION("""COMPUTED_VALUE"""),"")</f>
        <v/>
      </c>
      <c r="C1024" t="str">
        <f>IFERROR(__xludf.DUMMYFUNCTION("""COMPUTED_VALUE"""),"")</f>
        <v/>
      </c>
      <c r="D1024" t="str">
        <f>IFERROR(__xludf.DUMMYFUNCTION("""COMPUTED_VALUE"""),"")</f>
        <v/>
      </c>
      <c r="E1024" t="str">
        <f>IFERROR(__xludf.DUMMYFUNCTION("""COMPUTED_VALUE"""),"")</f>
        <v/>
      </c>
      <c r="F1024" t="str">
        <f>IFERROR(__xludf.DUMMYFUNCTION("""COMPUTED_VALUE"""),"")</f>
        <v/>
      </c>
      <c r="G1024" t="str">
        <f>IFERROR(__xludf.DUMMYFUNCTION("""COMPUTED_VALUE"""),"")</f>
        <v/>
      </c>
      <c r="H1024" t="str">
        <f>IFERROR(__xludf.DUMMYFUNCTION("""COMPUTED_VALUE"""),"")</f>
        <v/>
      </c>
      <c r="I1024" t="str">
        <f>IFERROR(__xludf.DUMMYFUNCTION("""COMPUTED_VALUE"""),"")</f>
        <v/>
      </c>
      <c r="J1024">
        <f>IFERROR(__xludf.DUMMYFUNCTION("""COMPUTED_VALUE"""),0.0)</f>
        <v>0</v>
      </c>
      <c r="L1024" s="250" t="str">
        <f>IFERROR(__xludf.DUMMYFUNCTION("""COMPUTED_VALUE"""),"")</f>
        <v/>
      </c>
      <c r="M1024" s="250" t="str">
        <f>IFERROR(__xludf.DUMMYFUNCTION("""COMPUTED_VALUE"""),"")</f>
        <v/>
      </c>
      <c r="N1024" s="250" t="str">
        <f>IFERROR(__xludf.DUMMYFUNCTION("""COMPUTED_VALUE"""),"")</f>
        <v/>
      </c>
      <c r="O1024" s="250" t="str">
        <f>IFERROR(__xludf.DUMMYFUNCTION("""COMPUTED_VALUE"""),"")</f>
        <v/>
      </c>
      <c r="P1024" s="250" t="str">
        <f>IFERROR(__xludf.DUMMYFUNCTION("""COMPUTED_VALUE"""),"")</f>
        <v/>
      </c>
      <c r="Q1024" s="250" t="str">
        <f>IFERROR(__xludf.DUMMYFUNCTION("""COMPUTED_VALUE"""),"")</f>
        <v/>
      </c>
      <c r="R1024" s="250" t="str">
        <f>IFERROR(__xludf.DUMMYFUNCTION("""COMPUTED_VALUE"""),"")</f>
        <v/>
      </c>
      <c r="U1024" s="250" t="str">
        <f>IFERROR(__xludf.DUMMYFUNCTION("""COMPUTED_VALUE"""),"#N/A")</f>
        <v>#N/A</v>
      </c>
      <c r="V1024" s="250" t="str">
        <f>IFERROR(__xludf.DUMMYFUNCTION("""COMPUTED_VALUE"""),"#N/A")</f>
        <v>#N/A</v>
      </c>
      <c r="W1024" s="250" t="str">
        <f>IFERROR(__xludf.DUMMYFUNCTION("""COMPUTED_VALUE"""),"#N/A")</f>
        <v>#N/A</v>
      </c>
      <c r="X1024" t="b">
        <f t="shared" ref="X1024:Z1024" si="2024">ISBLANK(K1024)</f>
        <v>1</v>
      </c>
      <c r="Y1024" t="b">
        <f t="shared" si="2024"/>
        <v>0</v>
      </c>
      <c r="Z1024" t="b">
        <f t="shared" si="2024"/>
        <v>0</v>
      </c>
      <c r="AA1024">
        <f t="shared" ref="AA1024:AC1024" si="2025">IF(X1024=FALSE,1,0)</f>
        <v>0</v>
      </c>
      <c r="AB1024">
        <f t="shared" si="2025"/>
        <v>1</v>
      </c>
      <c r="AC1024">
        <f t="shared" si="2025"/>
        <v>1</v>
      </c>
      <c r="AD1024">
        <f t="shared" si="6"/>
        <v>2</v>
      </c>
      <c r="AE1024">
        <f t="shared" si="7"/>
        <v>1</v>
      </c>
    </row>
    <row r="1025">
      <c r="B1025" t="str">
        <f>IFERROR(__xludf.DUMMYFUNCTION("""COMPUTED_VALUE"""),"")</f>
        <v/>
      </c>
      <c r="C1025" t="str">
        <f>IFERROR(__xludf.DUMMYFUNCTION("""COMPUTED_VALUE"""),"")</f>
        <v/>
      </c>
      <c r="D1025" t="str">
        <f>IFERROR(__xludf.DUMMYFUNCTION("""COMPUTED_VALUE"""),"")</f>
        <v/>
      </c>
      <c r="E1025" t="str">
        <f>IFERROR(__xludf.DUMMYFUNCTION("""COMPUTED_VALUE"""),"")</f>
        <v/>
      </c>
      <c r="F1025" t="str">
        <f>IFERROR(__xludf.DUMMYFUNCTION("""COMPUTED_VALUE"""),"")</f>
        <v/>
      </c>
      <c r="G1025" t="str">
        <f>IFERROR(__xludf.DUMMYFUNCTION("""COMPUTED_VALUE"""),"")</f>
        <v/>
      </c>
      <c r="H1025" t="str">
        <f>IFERROR(__xludf.DUMMYFUNCTION("""COMPUTED_VALUE"""),"")</f>
        <v/>
      </c>
      <c r="I1025" t="str">
        <f>IFERROR(__xludf.DUMMYFUNCTION("""COMPUTED_VALUE"""),"")</f>
        <v/>
      </c>
      <c r="J1025">
        <f>IFERROR(__xludf.DUMMYFUNCTION("""COMPUTED_VALUE"""),0.0)</f>
        <v>0</v>
      </c>
      <c r="L1025" s="250" t="str">
        <f>IFERROR(__xludf.DUMMYFUNCTION("""COMPUTED_VALUE"""),"")</f>
        <v/>
      </c>
      <c r="M1025" s="250" t="str">
        <f>IFERROR(__xludf.DUMMYFUNCTION("""COMPUTED_VALUE"""),"")</f>
        <v/>
      </c>
      <c r="N1025" s="250" t="str">
        <f>IFERROR(__xludf.DUMMYFUNCTION("""COMPUTED_VALUE"""),"")</f>
        <v/>
      </c>
      <c r="O1025" s="250" t="str">
        <f>IFERROR(__xludf.DUMMYFUNCTION("""COMPUTED_VALUE"""),"")</f>
        <v/>
      </c>
      <c r="P1025" s="250" t="str">
        <f>IFERROR(__xludf.DUMMYFUNCTION("""COMPUTED_VALUE"""),"")</f>
        <v/>
      </c>
      <c r="Q1025" s="250" t="str">
        <f>IFERROR(__xludf.DUMMYFUNCTION("""COMPUTED_VALUE"""),"")</f>
        <v/>
      </c>
      <c r="R1025" s="250" t="str">
        <f>IFERROR(__xludf.DUMMYFUNCTION("""COMPUTED_VALUE"""),"")</f>
        <v/>
      </c>
      <c r="U1025" s="250" t="str">
        <f>IFERROR(__xludf.DUMMYFUNCTION("""COMPUTED_VALUE"""),"#N/A")</f>
        <v>#N/A</v>
      </c>
      <c r="V1025" s="250" t="str">
        <f>IFERROR(__xludf.DUMMYFUNCTION("""COMPUTED_VALUE"""),"#N/A")</f>
        <v>#N/A</v>
      </c>
      <c r="W1025" s="250" t="str">
        <f>IFERROR(__xludf.DUMMYFUNCTION("""COMPUTED_VALUE"""),"#N/A")</f>
        <v>#N/A</v>
      </c>
      <c r="X1025" t="b">
        <f t="shared" ref="X1025:Z1025" si="2026">ISBLANK(K1025)</f>
        <v>1</v>
      </c>
      <c r="Y1025" t="b">
        <f t="shared" si="2026"/>
        <v>0</v>
      </c>
      <c r="Z1025" t="b">
        <f t="shared" si="2026"/>
        <v>0</v>
      </c>
      <c r="AA1025">
        <f t="shared" ref="AA1025:AC1025" si="2027">IF(X1025=FALSE,1,0)</f>
        <v>0</v>
      </c>
      <c r="AB1025">
        <f t="shared" si="2027"/>
        <v>1</v>
      </c>
      <c r="AC1025">
        <f t="shared" si="2027"/>
        <v>1</v>
      </c>
      <c r="AD1025">
        <f t="shared" si="6"/>
        <v>2</v>
      </c>
      <c r="AE1025">
        <f t="shared" si="7"/>
        <v>1</v>
      </c>
    </row>
    <row r="1026">
      <c r="B1026" t="str">
        <f>IFERROR(__xludf.DUMMYFUNCTION("""COMPUTED_VALUE"""),"")</f>
        <v/>
      </c>
      <c r="C1026" t="str">
        <f>IFERROR(__xludf.DUMMYFUNCTION("""COMPUTED_VALUE"""),"")</f>
        <v/>
      </c>
      <c r="D1026" t="str">
        <f>IFERROR(__xludf.DUMMYFUNCTION("""COMPUTED_VALUE"""),"")</f>
        <v/>
      </c>
      <c r="E1026" t="str">
        <f>IFERROR(__xludf.DUMMYFUNCTION("""COMPUTED_VALUE"""),"")</f>
        <v/>
      </c>
      <c r="F1026" t="str">
        <f>IFERROR(__xludf.DUMMYFUNCTION("""COMPUTED_VALUE"""),"")</f>
        <v/>
      </c>
      <c r="G1026" t="str">
        <f>IFERROR(__xludf.DUMMYFUNCTION("""COMPUTED_VALUE"""),"")</f>
        <v/>
      </c>
      <c r="H1026" t="str">
        <f>IFERROR(__xludf.DUMMYFUNCTION("""COMPUTED_VALUE"""),"")</f>
        <v/>
      </c>
      <c r="I1026" t="str">
        <f>IFERROR(__xludf.DUMMYFUNCTION("""COMPUTED_VALUE"""),"")</f>
        <v/>
      </c>
      <c r="J1026">
        <f>IFERROR(__xludf.DUMMYFUNCTION("""COMPUTED_VALUE"""),0.0)</f>
        <v>0</v>
      </c>
      <c r="L1026" s="250" t="str">
        <f>IFERROR(__xludf.DUMMYFUNCTION("""COMPUTED_VALUE"""),"")</f>
        <v/>
      </c>
      <c r="M1026" s="250" t="str">
        <f>IFERROR(__xludf.DUMMYFUNCTION("""COMPUTED_VALUE"""),"")</f>
        <v/>
      </c>
      <c r="N1026" s="250" t="str">
        <f>IFERROR(__xludf.DUMMYFUNCTION("""COMPUTED_VALUE"""),"")</f>
        <v/>
      </c>
      <c r="O1026" s="250" t="str">
        <f>IFERROR(__xludf.DUMMYFUNCTION("""COMPUTED_VALUE"""),"")</f>
        <v/>
      </c>
      <c r="P1026" s="250" t="str">
        <f>IFERROR(__xludf.DUMMYFUNCTION("""COMPUTED_VALUE"""),"")</f>
        <v/>
      </c>
      <c r="Q1026" s="250" t="str">
        <f>IFERROR(__xludf.DUMMYFUNCTION("""COMPUTED_VALUE"""),"")</f>
        <v/>
      </c>
      <c r="R1026" s="250" t="str">
        <f>IFERROR(__xludf.DUMMYFUNCTION("""COMPUTED_VALUE"""),"")</f>
        <v/>
      </c>
      <c r="U1026" s="250" t="str">
        <f>IFERROR(__xludf.DUMMYFUNCTION("""COMPUTED_VALUE"""),"#N/A")</f>
        <v>#N/A</v>
      </c>
      <c r="V1026" s="250" t="str">
        <f>IFERROR(__xludf.DUMMYFUNCTION("""COMPUTED_VALUE"""),"#N/A")</f>
        <v>#N/A</v>
      </c>
      <c r="W1026" s="250" t="str">
        <f>IFERROR(__xludf.DUMMYFUNCTION("""COMPUTED_VALUE"""),"#N/A")</f>
        <v>#N/A</v>
      </c>
      <c r="X1026" t="b">
        <f t="shared" ref="X1026:Z1026" si="2028">ISBLANK(K1026)</f>
        <v>1</v>
      </c>
      <c r="Y1026" t="b">
        <f t="shared" si="2028"/>
        <v>0</v>
      </c>
      <c r="Z1026" t="b">
        <f t="shared" si="2028"/>
        <v>0</v>
      </c>
      <c r="AA1026">
        <f t="shared" ref="AA1026:AC1026" si="2029">IF(X1026=FALSE,1,0)</f>
        <v>0</v>
      </c>
      <c r="AB1026">
        <f t="shared" si="2029"/>
        <v>1</v>
      </c>
      <c r="AC1026">
        <f t="shared" si="2029"/>
        <v>1</v>
      </c>
      <c r="AD1026">
        <f t="shared" si="6"/>
        <v>2</v>
      </c>
      <c r="AE1026">
        <f t="shared" si="7"/>
        <v>1</v>
      </c>
    </row>
    <row r="1027">
      <c r="B1027" t="str">
        <f>IFERROR(__xludf.DUMMYFUNCTION("""COMPUTED_VALUE"""),"")</f>
        <v/>
      </c>
      <c r="C1027" t="str">
        <f>IFERROR(__xludf.DUMMYFUNCTION("""COMPUTED_VALUE"""),"")</f>
        <v/>
      </c>
      <c r="D1027" t="str">
        <f>IFERROR(__xludf.DUMMYFUNCTION("""COMPUTED_VALUE"""),"")</f>
        <v/>
      </c>
      <c r="E1027" t="str">
        <f>IFERROR(__xludf.DUMMYFUNCTION("""COMPUTED_VALUE"""),"")</f>
        <v/>
      </c>
      <c r="F1027" t="str">
        <f>IFERROR(__xludf.DUMMYFUNCTION("""COMPUTED_VALUE"""),"")</f>
        <v/>
      </c>
      <c r="G1027" t="str">
        <f>IFERROR(__xludf.DUMMYFUNCTION("""COMPUTED_VALUE"""),"")</f>
        <v/>
      </c>
      <c r="H1027" t="str">
        <f>IFERROR(__xludf.DUMMYFUNCTION("""COMPUTED_VALUE"""),"")</f>
        <v/>
      </c>
      <c r="I1027" t="str">
        <f>IFERROR(__xludf.DUMMYFUNCTION("""COMPUTED_VALUE"""),"")</f>
        <v/>
      </c>
      <c r="J1027">
        <f>IFERROR(__xludf.DUMMYFUNCTION("""COMPUTED_VALUE"""),0.0)</f>
        <v>0</v>
      </c>
      <c r="L1027" s="250" t="str">
        <f>IFERROR(__xludf.DUMMYFUNCTION("""COMPUTED_VALUE"""),"")</f>
        <v/>
      </c>
      <c r="M1027" s="250" t="str">
        <f>IFERROR(__xludf.DUMMYFUNCTION("""COMPUTED_VALUE"""),"")</f>
        <v/>
      </c>
      <c r="N1027" s="250" t="str">
        <f>IFERROR(__xludf.DUMMYFUNCTION("""COMPUTED_VALUE"""),"")</f>
        <v/>
      </c>
      <c r="O1027" s="250" t="str">
        <f>IFERROR(__xludf.DUMMYFUNCTION("""COMPUTED_VALUE"""),"")</f>
        <v/>
      </c>
      <c r="P1027" s="250" t="str">
        <f>IFERROR(__xludf.DUMMYFUNCTION("""COMPUTED_VALUE"""),"")</f>
        <v/>
      </c>
      <c r="Q1027" s="250" t="str">
        <f>IFERROR(__xludf.DUMMYFUNCTION("""COMPUTED_VALUE"""),"")</f>
        <v/>
      </c>
      <c r="R1027" s="250" t="str">
        <f>IFERROR(__xludf.DUMMYFUNCTION("""COMPUTED_VALUE"""),"")</f>
        <v/>
      </c>
      <c r="U1027" s="250" t="str">
        <f>IFERROR(__xludf.DUMMYFUNCTION("""COMPUTED_VALUE"""),"#N/A")</f>
        <v>#N/A</v>
      </c>
      <c r="V1027" s="250" t="str">
        <f>IFERROR(__xludf.DUMMYFUNCTION("""COMPUTED_VALUE"""),"#N/A")</f>
        <v>#N/A</v>
      </c>
      <c r="W1027" s="250" t="str">
        <f>IFERROR(__xludf.DUMMYFUNCTION("""COMPUTED_VALUE"""),"#N/A")</f>
        <v>#N/A</v>
      </c>
      <c r="X1027" t="b">
        <f t="shared" ref="X1027:Z1027" si="2030">ISBLANK(K1027)</f>
        <v>1</v>
      </c>
      <c r="Y1027" t="b">
        <f t="shared" si="2030"/>
        <v>0</v>
      </c>
      <c r="Z1027" t="b">
        <f t="shared" si="2030"/>
        <v>0</v>
      </c>
      <c r="AA1027">
        <f t="shared" ref="AA1027:AC1027" si="2031">IF(X1027=FALSE,1,0)</f>
        <v>0</v>
      </c>
      <c r="AB1027">
        <f t="shared" si="2031"/>
        <v>1</v>
      </c>
      <c r="AC1027">
        <f t="shared" si="2031"/>
        <v>1</v>
      </c>
      <c r="AD1027">
        <f t="shared" si="6"/>
        <v>2</v>
      </c>
      <c r="AE1027">
        <f t="shared" si="7"/>
        <v>1</v>
      </c>
    </row>
    <row r="1028">
      <c r="B1028" t="str">
        <f>IFERROR(__xludf.DUMMYFUNCTION("""COMPUTED_VALUE"""),"")</f>
        <v/>
      </c>
      <c r="C1028" t="str">
        <f>IFERROR(__xludf.DUMMYFUNCTION("""COMPUTED_VALUE"""),"")</f>
        <v/>
      </c>
      <c r="D1028" t="str">
        <f>IFERROR(__xludf.DUMMYFUNCTION("""COMPUTED_VALUE"""),"")</f>
        <v/>
      </c>
      <c r="E1028" t="str">
        <f>IFERROR(__xludf.DUMMYFUNCTION("""COMPUTED_VALUE"""),"")</f>
        <v/>
      </c>
      <c r="F1028" t="str">
        <f>IFERROR(__xludf.DUMMYFUNCTION("""COMPUTED_VALUE"""),"")</f>
        <v/>
      </c>
      <c r="G1028" t="str">
        <f>IFERROR(__xludf.DUMMYFUNCTION("""COMPUTED_VALUE"""),"")</f>
        <v/>
      </c>
      <c r="H1028" t="str">
        <f>IFERROR(__xludf.DUMMYFUNCTION("""COMPUTED_VALUE"""),"")</f>
        <v/>
      </c>
      <c r="I1028" t="str">
        <f>IFERROR(__xludf.DUMMYFUNCTION("""COMPUTED_VALUE"""),"")</f>
        <v/>
      </c>
      <c r="J1028">
        <f>IFERROR(__xludf.DUMMYFUNCTION("""COMPUTED_VALUE"""),0.0)</f>
        <v>0</v>
      </c>
      <c r="L1028" s="250" t="str">
        <f>IFERROR(__xludf.DUMMYFUNCTION("""COMPUTED_VALUE"""),"")</f>
        <v/>
      </c>
      <c r="M1028" s="250" t="str">
        <f>IFERROR(__xludf.DUMMYFUNCTION("""COMPUTED_VALUE"""),"")</f>
        <v/>
      </c>
      <c r="N1028" s="250" t="str">
        <f>IFERROR(__xludf.DUMMYFUNCTION("""COMPUTED_VALUE"""),"")</f>
        <v/>
      </c>
      <c r="O1028" s="250" t="str">
        <f>IFERROR(__xludf.DUMMYFUNCTION("""COMPUTED_VALUE"""),"")</f>
        <v/>
      </c>
      <c r="P1028" s="250" t="str">
        <f>IFERROR(__xludf.DUMMYFUNCTION("""COMPUTED_VALUE"""),"")</f>
        <v/>
      </c>
      <c r="Q1028" s="250" t="str">
        <f>IFERROR(__xludf.DUMMYFUNCTION("""COMPUTED_VALUE"""),"")</f>
        <v/>
      </c>
      <c r="R1028" s="250" t="str">
        <f>IFERROR(__xludf.DUMMYFUNCTION("""COMPUTED_VALUE"""),"")</f>
        <v/>
      </c>
      <c r="U1028" s="250" t="str">
        <f>IFERROR(__xludf.DUMMYFUNCTION("""COMPUTED_VALUE"""),"#N/A")</f>
        <v>#N/A</v>
      </c>
      <c r="V1028" s="250" t="str">
        <f>IFERROR(__xludf.DUMMYFUNCTION("""COMPUTED_VALUE"""),"#N/A")</f>
        <v>#N/A</v>
      </c>
      <c r="W1028" s="250" t="str">
        <f>IFERROR(__xludf.DUMMYFUNCTION("""COMPUTED_VALUE"""),"#N/A")</f>
        <v>#N/A</v>
      </c>
      <c r="X1028" t="b">
        <f t="shared" ref="X1028:Z1028" si="2032">ISBLANK(K1028)</f>
        <v>1</v>
      </c>
      <c r="Y1028" t="b">
        <f t="shared" si="2032"/>
        <v>0</v>
      </c>
      <c r="Z1028" t="b">
        <f t="shared" si="2032"/>
        <v>0</v>
      </c>
      <c r="AA1028">
        <f t="shared" ref="AA1028:AC1028" si="2033">IF(X1028=FALSE,1,0)</f>
        <v>0</v>
      </c>
      <c r="AB1028">
        <f t="shared" si="2033"/>
        <v>1</v>
      </c>
      <c r="AC1028">
        <f t="shared" si="2033"/>
        <v>1</v>
      </c>
      <c r="AD1028">
        <f t="shared" si="6"/>
        <v>2</v>
      </c>
      <c r="AE1028">
        <f t="shared" si="7"/>
        <v>1</v>
      </c>
    </row>
    <row r="1029">
      <c r="B1029" t="str">
        <f>IFERROR(__xludf.DUMMYFUNCTION("""COMPUTED_VALUE"""),"")</f>
        <v/>
      </c>
      <c r="C1029" t="str">
        <f>IFERROR(__xludf.DUMMYFUNCTION("""COMPUTED_VALUE"""),"")</f>
        <v/>
      </c>
      <c r="D1029" t="str">
        <f>IFERROR(__xludf.DUMMYFUNCTION("""COMPUTED_VALUE"""),"")</f>
        <v/>
      </c>
      <c r="E1029" t="str">
        <f>IFERROR(__xludf.DUMMYFUNCTION("""COMPUTED_VALUE"""),"")</f>
        <v/>
      </c>
      <c r="F1029" t="str">
        <f>IFERROR(__xludf.DUMMYFUNCTION("""COMPUTED_VALUE"""),"")</f>
        <v/>
      </c>
      <c r="G1029" t="str">
        <f>IFERROR(__xludf.DUMMYFUNCTION("""COMPUTED_VALUE"""),"")</f>
        <v/>
      </c>
      <c r="H1029" t="str">
        <f>IFERROR(__xludf.DUMMYFUNCTION("""COMPUTED_VALUE"""),"")</f>
        <v/>
      </c>
      <c r="I1029" t="str">
        <f>IFERROR(__xludf.DUMMYFUNCTION("""COMPUTED_VALUE"""),"")</f>
        <v/>
      </c>
      <c r="J1029">
        <f>IFERROR(__xludf.DUMMYFUNCTION("""COMPUTED_VALUE"""),0.0)</f>
        <v>0</v>
      </c>
      <c r="L1029" s="250" t="str">
        <f>IFERROR(__xludf.DUMMYFUNCTION("""COMPUTED_VALUE"""),"")</f>
        <v/>
      </c>
      <c r="M1029" s="250" t="str">
        <f>IFERROR(__xludf.DUMMYFUNCTION("""COMPUTED_VALUE"""),"")</f>
        <v/>
      </c>
      <c r="N1029" s="250" t="str">
        <f>IFERROR(__xludf.DUMMYFUNCTION("""COMPUTED_VALUE"""),"")</f>
        <v/>
      </c>
      <c r="O1029" s="250" t="str">
        <f>IFERROR(__xludf.DUMMYFUNCTION("""COMPUTED_VALUE"""),"")</f>
        <v/>
      </c>
      <c r="P1029" s="250" t="str">
        <f>IFERROR(__xludf.DUMMYFUNCTION("""COMPUTED_VALUE"""),"")</f>
        <v/>
      </c>
      <c r="Q1029" s="250" t="str">
        <f>IFERROR(__xludf.DUMMYFUNCTION("""COMPUTED_VALUE"""),"")</f>
        <v/>
      </c>
      <c r="R1029" s="250" t="str">
        <f>IFERROR(__xludf.DUMMYFUNCTION("""COMPUTED_VALUE"""),"")</f>
        <v/>
      </c>
      <c r="U1029" s="250" t="str">
        <f>IFERROR(__xludf.DUMMYFUNCTION("""COMPUTED_VALUE"""),"#N/A")</f>
        <v>#N/A</v>
      </c>
      <c r="V1029" s="250" t="str">
        <f>IFERROR(__xludf.DUMMYFUNCTION("""COMPUTED_VALUE"""),"#N/A")</f>
        <v>#N/A</v>
      </c>
      <c r="W1029" s="250" t="str">
        <f>IFERROR(__xludf.DUMMYFUNCTION("""COMPUTED_VALUE"""),"#N/A")</f>
        <v>#N/A</v>
      </c>
      <c r="X1029" t="b">
        <f t="shared" ref="X1029:Z1029" si="2034">ISBLANK(K1029)</f>
        <v>1</v>
      </c>
      <c r="Y1029" t="b">
        <f t="shared" si="2034"/>
        <v>0</v>
      </c>
      <c r="Z1029" t="b">
        <f t="shared" si="2034"/>
        <v>0</v>
      </c>
      <c r="AA1029">
        <f t="shared" ref="AA1029:AC1029" si="2035">IF(X1029=FALSE,1,0)</f>
        <v>0</v>
      </c>
      <c r="AB1029">
        <f t="shared" si="2035"/>
        <v>1</v>
      </c>
      <c r="AC1029">
        <f t="shared" si="2035"/>
        <v>1</v>
      </c>
      <c r="AD1029">
        <f t="shared" si="6"/>
        <v>2</v>
      </c>
      <c r="AE1029">
        <f t="shared" si="7"/>
        <v>1</v>
      </c>
    </row>
    <row r="1030">
      <c r="B1030" t="str">
        <f>IFERROR(__xludf.DUMMYFUNCTION("""COMPUTED_VALUE"""),"")</f>
        <v/>
      </c>
      <c r="C1030" t="str">
        <f>IFERROR(__xludf.DUMMYFUNCTION("""COMPUTED_VALUE"""),"")</f>
        <v/>
      </c>
      <c r="D1030" t="str">
        <f>IFERROR(__xludf.DUMMYFUNCTION("""COMPUTED_VALUE"""),"")</f>
        <v/>
      </c>
      <c r="E1030" t="str">
        <f>IFERROR(__xludf.DUMMYFUNCTION("""COMPUTED_VALUE"""),"")</f>
        <v/>
      </c>
      <c r="F1030" t="str">
        <f>IFERROR(__xludf.DUMMYFUNCTION("""COMPUTED_VALUE"""),"")</f>
        <v/>
      </c>
      <c r="G1030" t="str">
        <f>IFERROR(__xludf.DUMMYFUNCTION("""COMPUTED_VALUE"""),"")</f>
        <v/>
      </c>
      <c r="H1030" t="str">
        <f>IFERROR(__xludf.DUMMYFUNCTION("""COMPUTED_VALUE"""),"")</f>
        <v/>
      </c>
      <c r="I1030" t="str">
        <f>IFERROR(__xludf.DUMMYFUNCTION("""COMPUTED_VALUE"""),"")</f>
        <v/>
      </c>
      <c r="J1030">
        <f>IFERROR(__xludf.DUMMYFUNCTION("""COMPUTED_VALUE"""),0.0)</f>
        <v>0</v>
      </c>
      <c r="L1030" s="250" t="str">
        <f>IFERROR(__xludf.DUMMYFUNCTION("""COMPUTED_VALUE"""),"")</f>
        <v/>
      </c>
      <c r="M1030" s="250" t="str">
        <f>IFERROR(__xludf.DUMMYFUNCTION("""COMPUTED_VALUE"""),"")</f>
        <v/>
      </c>
      <c r="N1030" s="250" t="str">
        <f>IFERROR(__xludf.DUMMYFUNCTION("""COMPUTED_VALUE"""),"")</f>
        <v/>
      </c>
      <c r="O1030" s="250" t="str">
        <f>IFERROR(__xludf.DUMMYFUNCTION("""COMPUTED_VALUE"""),"")</f>
        <v/>
      </c>
      <c r="P1030" s="250" t="str">
        <f>IFERROR(__xludf.DUMMYFUNCTION("""COMPUTED_VALUE"""),"")</f>
        <v/>
      </c>
      <c r="Q1030" s="250" t="str">
        <f>IFERROR(__xludf.DUMMYFUNCTION("""COMPUTED_VALUE"""),"")</f>
        <v/>
      </c>
      <c r="R1030" s="250" t="str">
        <f>IFERROR(__xludf.DUMMYFUNCTION("""COMPUTED_VALUE"""),"")</f>
        <v/>
      </c>
      <c r="U1030" s="250" t="str">
        <f>IFERROR(__xludf.DUMMYFUNCTION("""COMPUTED_VALUE"""),"#N/A")</f>
        <v>#N/A</v>
      </c>
      <c r="V1030" s="250" t="str">
        <f>IFERROR(__xludf.DUMMYFUNCTION("""COMPUTED_VALUE"""),"#N/A")</f>
        <v>#N/A</v>
      </c>
      <c r="W1030" s="250" t="str">
        <f>IFERROR(__xludf.DUMMYFUNCTION("""COMPUTED_VALUE"""),"#N/A")</f>
        <v>#N/A</v>
      </c>
      <c r="X1030" t="b">
        <f t="shared" ref="X1030:Z1030" si="2036">ISBLANK(K1030)</f>
        <v>1</v>
      </c>
      <c r="Y1030" t="b">
        <f t="shared" si="2036"/>
        <v>0</v>
      </c>
      <c r="Z1030" t="b">
        <f t="shared" si="2036"/>
        <v>0</v>
      </c>
      <c r="AA1030">
        <f t="shared" ref="AA1030:AC1030" si="2037">IF(X1030=FALSE,1,0)</f>
        <v>0</v>
      </c>
      <c r="AB1030">
        <f t="shared" si="2037"/>
        <v>1</v>
      </c>
      <c r="AC1030">
        <f t="shared" si="2037"/>
        <v>1</v>
      </c>
      <c r="AD1030">
        <f t="shared" si="6"/>
        <v>2</v>
      </c>
      <c r="AE1030">
        <f t="shared" si="7"/>
        <v>1</v>
      </c>
    </row>
    <row r="1031">
      <c r="B1031" t="str">
        <f>IFERROR(__xludf.DUMMYFUNCTION("""COMPUTED_VALUE"""),"")</f>
        <v/>
      </c>
      <c r="C1031" t="str">
        <f>IFERROR(__xludf.DUMMYFUNCTION("""COMPUTED_VALUE"""),"")</f>
        <v/>
      </c>
      <c r="D1031" t="str">
        <f>IFERROR(__xludf.DUMMYFUNCTION("""COMPUTED_VALUE"""),"")</f>
        <v/>
      </c>
      <c r="E1031" t="str">
        <f>IFERROR(__xludf.DUMMYFUNCTION("""COMPUTED_VALUE"""),"")</f>
        <v/>
      </c>
      <c r="F1031" t="str">
        <f>IFERROR(__xludf.DUMMYFUNCTION("""COMPUTED_VALUE"""),"")</f>
        <v/>
      </c>
      <c r="G1031" t="str">
        <f>IFERROR(__xludf.DUMMYFUNCTION("""COMPUTED_VALUE"""),"")</f>
        <v/>
      </c>
      <c r="H1031" t="str">
        <f>IFERROR(__xludf.DUMMYFUNCTION("""COMPUTED_VALUE"""),"")</f>
        <v/>
      </c>
      <c r="I1031" t="str">
        <f>IFERROR(__xludf.DUMMYFUNCTION("""COMPUTED_VALUE"""),"")</f>
        <v/>
      </c>
      <c r="J1031">
        <f>IFERROR(__xludf.DUMMYFUNCTION("""COMPUTED_VALUE"""),0.0)</f>
        <v>0</v>
      </c>
      <c r="L1031" s="250" t="str">
        <f>IFERROR(__xludf.DUMMYFUNCTION("""COMPUTED_VALUE"""),"")</f>
        <v/>
      </c>
      <c r="M1031" s="250" t="str">
        <f>IFERROR(__xludf.DUMMYFUNCTION("""COMPUTED_VALUE"""),"")</f>
        <v/>
      </c>
      <c r="N1031" s="250" t="str">
        <f>IFERROR(__xludf.DUMMYFUNCTION("""COMPUTED_VALUE"""),"")</f>
        <v/>
      </c>
      <c r="O1031" s="250" t="str">
        <f>IFERROR(__xludf.DUMMYFUNCTION("""COMPUTED_VALUE"""),"")</f>
        <v/>
      </c>
      <c r="P1031" s="250" t="str">
        <f>IFERROR(__xludf.DUMMYFUNCTION("""COMPUTED_VALUE"""),"")</f>
        <v/>
      </c>
      <c r="Q1031" s="250" t="str">
        <f>IFERROR(__xludf.DUMMYFUNCTION("""COMPUTED_VALUE"""),"")</f>
        <v/>
      </c>
      <c r="R1031" s="250" t="str">
        <f>IFERROR(__xludf.DUMMYFUNCTION("""COMPUTED_VALUE"""),"")</f>
        <v/>
      </c>
      <c r="U1031" s="250" t="str">
        <f>IFERROR(__xludf.DUMMYFUNCTION("""COMPUTED_VALUE"""),"#N/A")</f>
        <v>#N/A</v>
      </c>
      <c r="V1031" s="250" t="str">
        <f>IFERROR(__xludf.DUMMYFUNCTION("""COMPUTED_VALUE"""),"#N/A")</f>
        <v>#N/A</v>
      </c>
      <c r="W1031" s="250" t="str">
        <f>IFERROR(__xludf.DUMMYFUNCTION("""COMPUTED_VALUE"""),"#N/A")</f>
        <v>#N/A</v>
      </c>
      <c r="X1031" t="b">
        <f t="shared" ref="X1031:Z1031" si="2038">ISBLANK(K1031)</f>
        <v>1</v>
      </c>
      <c r="Y1031" t="b">
        <f t="shared" si="2038"/>
        <v>0</v>
      </c>
      <c r="Z1031" t="b">
        <f t="shared" si="2038"/>
        <v>0</v>
      </c>
      <c r="AA1031">
        <f t="shared" ref="AA1031:AC1031" si="2039">IF(X1031=FALSE,1,0)</f>
        <v>0</v>
      </c>
      <c r="AB1031">
        <f t="shared" si="2039"/>
        <v>1</v>
      </c>
      <c r="AC1031">
        <f t="shared" si="2039"/>
        <v>1</v>
      </c>
      <c r="AD1031">
        <f t="shared" si="6"/>
        <v>2</v>
      </c>
      <c r="AE1031">
        <f t="shared" si="7"/>
        <v>1</v>
      </c>
    </row>
    <row r="1032">
      <c r="B1032" t="str">
        <f>IFERROR(__xludf.DUMMYFUNCTION("""COMPUTED_VALUE"""),"")</f>
        <v/>
      </c>
      <c r="C1032" t="str">
        <f>IFERROR(__xludf.DUMMYFUNCTION("""COMPUTED_VALUE"""),"")</f>
        <v/>
      </c>
      <c r="D1032" t="str">
        <f>IFERROR(__xludf.DUMMYFUNCTION("""COMPUTED_VALUE"""),"")</f>
        <v/>
      </c>
      <c r="E1032" t="str">
        <f>IFERROR(__xludf.DUMMYFUNCTION("""COMPUTED_VALUE"""),"")</f>
        <v/>
      </c>
      <c r="F1032" t="str">
        <f>IFERROR(__xludf.DUMMYFUNCTION("""COMPUTED_VALUE"""),"")</f>
        <v/>
      </c>
      <c r="G1032" t="str">
        <f>IFERROR(__xludf.DUMMYFUNCTION("""COMPUTED_VALUE"""),"")</f>
        <v/>
      </c>
      <c r="H1032" t="str">
        <f>IFERROR(__xludf.DUMMYFUNCTION("""COMPUTED_VALUE"""),"")</f>
        <v/>
      </c>
      <c r="I1032" t="str">
        <f>IFERROR(__xludf.DUMMYFUNCTION("""COMPUTED_VALUE"""),"")</f>
        <v/>
      </c>
      <c r="J1032">
        <f>IFERROR(__xludf.DUMMYFUNCTION("""COMPUTED_VALUE"""),0.0)</f>
        <v>0</v>
      </c>
      <c r="L1032" s="250" t="str">
        <f>IFERROR(__xludf.DUMMYFUNCTION("""COMPUTED_VALUE"""),"")</f>
        <v/>
      </c>
      <c r="M1032" s="250" t="str">
        <f>IFERROR(__xludf.DUMMYFUNCTION("""COMPUTED_VALUE"""),"")</f>
        <v/>
      </c>
      <c r="N1032" s="250" t="str">
        <f>IFERROR(__xludf.DUMMYFUNCTION("""COMPUTED_VALUE"""),"")</f>
        <v/>
      </c>
      <c r="O1032" s="250" t="str">
        <f>IFERROR(__xludf.DUMMYFUNCTION("""COMPUTED_VALUE"""),"")</f>
        <v/>
      </c>
      <c r="P1032" s="250" t="str">
        <f>IFERROR(__xludf.DUMMYFUNCTION("""COMPUTED_VALUE"""),"")</f>
        <v/>
      </c>
      <c r="Q1032" s="250" t="str">
        <f>IFERROR(__xludf.DUMMYFUNCTION("""COMPUTED_VALUE"""),"")</f>
        <v/>
      </c>
      <c r="R1032" s="250" t="str">
        <f>IFERROR(__xludf.DUMMYFUNCTION("""COMPUTED_VALUE"""),"")</f>
        <v/>
      </c>
      <c r="U1032" s="250" t="str">
        <f>IFERROR(__xludf.DUMMYFUNCTION("""COMPUTED_VALUE"""),"#N/A")</f>
        <v>#N/A</v>
      </c>
      <c r="V1032" s="250" t="str">
        <f>IFERROR(__xludf.DUMMYFUNCTION("""COMPUTED_VALUE"""),"#N/A")</f>
        <v>#N/A</v>
      </c>
      <c r="W1032" s="250" t="str">
        <f>IFERROR(__xludf.DUMMYFUNCTION("""COMPUTED_VALUE"""),"#N/A")</f>
        <v>#N/A</v>
      </c>
      <c r="X1032" t="b">
        <f t="shared" ref="X1032:Z1032" si="2040">ISBLANK(K1032)</f>
        <v>1</v>
      </c>
      <c r="Y1032" t="b">
        <f t="shared" si="2040"/>
        <v>0</v>
      </c>
      <c r="Z1032" t="b">
        <f t="shared" si="2040"/>
        <v>0</v>
      </c>
      <c r="AA1032">
        <f t="shared" ref="AA1032:AC1032" si="2041">IF(X1032=FALSE,1,0)</f>
        <v>0</v>
      </c>
      <c r="AB1032">
        <f t="shared" si="2041"/>
        <v>1</v>
      </c>
      <c r="AC1032">
        <f t="shared" si="2041"/>
        <v>1</v>
      </c>
      <c r="AD1032">
        <f t="shared" si="6"/>
        <v>2</v>
      </c>
      <c r="AE1032">
        <f t="shared" si="7"/>
        <v>1</v>
      </c>
    </row>
    <row r="1033">
      <c r="B1033" t="str">
        <f>IFERROR(__xludf.DUMMYFUNCTION("""COMPUTED_VALUE"""),"")</f>
        <v/>
      </c>
      <c r="C1033" t="str">
        <f>IFERROR(__xludf.DUMMYFUNCTION("""COMPUTED_VALUE"""),"")</f>
        <v/>
      </c>
      <c r="D1033" t="str">
        <f>IFERROR(__xludf.DUMMYFUNCTION("""COMPUTED_VALUE"""),"")</f>
        <v/>
      </c>
      <c r="E1033" t="str">
        <f>IFERROR(__xludf.DUMMYFUNCTION("""COMPUTED_VALUE"""),"")</f>
        <v/>
      </c>
      <c r="F1033" t="str">
        <f>IFERROR(__xludf.DUMMYFUNCTION("""COMPUTED_VALUE"""),"")</f>
        <v/>
      </c>
      <c r="G1033" t="str">
        <f>IFERROR(__xludf.DUMMYFUNCTION("""COMPUTED_VALUE"""),"")</f>
        <v/>
      </c>
      <c r="H1033" t="str">
        <f>IFERROR(__xludf.DUMMYFUNCTION("""COMPUTED_VALUE"""),"")</f>
        <v/>
      </c>
      <c r="I1033" t="str">
        <f>IFERROR(__xludf.DUMMYFUNCTION("""COMPUTED_VALUE"""),"")</f>
        <v/>
      </c>
      <c r="J1033">
        <f>IFERROR(__xludf.DUMMYFUNCTION("""COMPUTED_VALUE"""),0.0)</f>
        <v>0</v>
      </c>
      <c r="L1033" s="250" t="str">
        <f>IFERROR(__xludf.DUMMYFUNCTION("""COMPUTED_VALUE"""),"")</f>
        <v/>
      </c>
      <c r="M1033" s="250" t="str">
        <f>IFERROR(__xludf.DUMMYFUNCTION("""COMPUTED_VALUE"""),"")</f>
        <v/>
      </c>
      <c r="N1033" s="250" t="str">
        <f>IFERROR(__xludf.DUMMYFUNCTION("""COMPUTED_VALUE"""),"")</f>
        <v/>
      </c>
      <c r="O1033" s="250" t="str">
        <f>IFERROR(__xludf.DUMMYFUNCTION("""COMPUTED_VALUE"""),"")</f>
        <v/>
      </c>
      <c r="P1033" s="250" t="str">
        <f>IFERROR(__xludf.DUMMYFUNCTION("""COMPUTED_VALUE"""),"")</f>
        <v/>
      </c>
      <c r="Q1033" s="250" t="str">
        <f>IFERROR(__xludf.DUMMYFUNCTION("""COMPUTED_VALUE"""),"")</f>
        <v/>
      </c>
      <c r="R1033" s="250" t="str">
        <f>IFERROR(__xludf.DUMMYFUNCTION("""COMPUTED_VALUE"""),"")</f>
        <v/>
      </c>
      <c r="U1033" s="250" t="str">
        <f>IFERROR(__xludf.DUMMYFUNCTION("""COMPUTED_VALUE"""),"#N/A")</f>
        <v>#N/A</v>
      </c>
      <c r="V1033" s="250" t="str">
        <f>IFERROR(__xludf.DUMMYFUNCTION("""COMPUTED_VALUE"""),"#N/A")</f>
        <v>#N/A</v>
      </c>
      <c r="W1033" s="250" t="str">
        <f>IFERROR(__xludf.DUMMYFUNCTION("""COMPUTED_VALUE"""),"#N/A")</f>
        <v>#N/A</v>
      </c>
      <c r="X1033" t="b">
        <f t="shared" ref="X1033:Z1033" si="2042">ISBLANK(K1033)</f>
        <v>1</v>
      </c>
      <c r="Y1033" t="b">
        <f t="shared" si="2042"/>
        <v>0</v>
      </c>
      <c r="Z1033" t="b">
        <f t="shared" si="2042"/>
        <v>0</v>
      </c>
      <c r="AA1033">
        <f t="shared" ref="AA1033:AC1033" si="2043">IF(X1033=FALSE,1,0)</f>
        <v>0</v>
      </c>
      <c r="AB1033">
        <f t="shared" si="2043"/>
        <v>1</v>
      </c>
      <c r="AC1033">
        <f t="shared" si="2043"/>
        <v>1</v>
      </c>
      <c r="AD1033">
        <f t="shared" si="6"/>
        <v>2</v>
      </c>
      <c r="AE1033">
        <f t="shared" si="7"/>
        <v>1</v>
      </c>
    </row>
    <row r="1034">
      <c r="B1034" t="str">
        <f>IFERROR(__xludf.DUMMYFUNCTION("""COMPUTED_VALUE"""),"")</f>
        <v/>
      </c>
      <c r="C1034" t="str">
        <f>IFERROR(__xludf.DUMMYFUNCTION("""COMPUTED_VALUE"""),"")</f>
        <v/>
      </c>
      <c r="D1034" t="str">
        <f>IFERROR(__xludf.DUMMYFUNCTION("""COMPUTED_VALUE"""),"")</f>
        <v/>
      </c>
      <c r="E1034" t="str">
        <f>IFERROR(__xludf.DUMMYFUNCTION("""COMPUTED_VALUE"""),"")</f>
        <v/>
      </c>
      <c r="F1034" t="str">
        <f>IFERROR(__xludf.DUMMYFUNCTION("""COMPUTED_VALUE"""),"")</f>
        <v/>
      </c>
      <c r="G1034" t="str">
        <f>IFERROR(__xludf.DUMMYFUNCTION("""COMPUTED_VALUE"""),"")</f>
        <v/>
      </c>
      <c r="H1034" t="str">
        <f>IFERROR(__xludf.DUMMYFUNCTION("""COMPUTED_VALUE"""),"")</f>
        <v/>
      </c>
      <c r="I1034" t="str">
        <f>IFERROR(__xludf.DUMMYFUNCTION("""COMPUTED_VALUE"""),"")</f>
        <v/>
      </c>
      <c r="J1034">
        <f>IFERROR(__xludf.DUMMYFUNCTION("""COMPUTED_VALUE"""),0.0)</f>
        <v>0</v>
      </c>
      <c r="L1034" s="250" t="str">
        <f>IFERROR(__xludf.DUMMYFUNCTION("""COMPUTED_VALUE"""),"")</f>
        <v/>
      </c>
      <c r="M1034" s="250" t="str">
        <f>IFERROR(__xludf.DUMMYFUNCTION("""COMPUTED_VALUE"""),"")</f>
        <v/>
      </c>
      <c r="N1034" s="250" t="str">
        <f>IFERROR(__xludf.DUMMYFUNCTION("""COMPUTED_VALUE"""),"")</f>
        <v/>
      </c>
      <c r="O1034" s="250" t="str">
        <f>IFERROR(__xludf.DUMMYFUNCTION("""COMPUTED_VALUE"""),"")</f>
        <v/>
      </c>
      <c r="P1034" s="250" t="str">
        <f>IFERROR(__xludf.DUMMYFUNCTION("""COMPUTED_VALUE"""),"")</f>
        <v/>
      </c>
      <c r="Q1034" s="250" t="str">
        <f>IFERROR(__xludf.DUMMYFUNCTION("""COMPUTED_VALUE"""),"")</f>
        <v/>
      </c>
      <c r="R1034" s="250" t="str">
        <f>IFERROR(__xludf.DUMMYFUNCTION("""COMPUTED_VALUE"""),"")</f>
        <v/>
      </c>
      <c r="U1034" s="250" t="str">
        <f>IFERROR(__xludf.DUMMYFUNCTION("""COMPUTED_VALUE"""),"#N/A")</f>
        <v>#N/A</v>
      </c>
      <c r="V1034" s="250" t="str">
        <f>IFERROR(__xludf.DUMMYFUNCTION("""COMPUTED_VALUE"""),"#N/A")</f>
        <v>#N/A</v>
      </c>
      <c r="W1034" s="250" t="str">
        <f>IFERROR(__xludf.DUMMYFUNCTION("""COMPUTED_VALUE"""),"#N/A")</f>
        <v>#N/A</v>
      </c>
      <c r="X1034" t="b">
        <f t="shared" ref="X1034:Z1034" si="2044">ISBLANK(K1034)</f>
        <v>1</v>
      </c>
      <c r="Y1034" t="b">
        <f t="shared" si="2044"/>
        <v>0</v>
      </c>
      <c r="Z1034" t="b">
        <f t="shared" si="2044"/>
        <v>0</v>
      </c>
      <c r="AA1034">
        <f t="shared" ref="AA1034:AC1034" si="2045">IF(X1034=FALSE,1,0)</f>
        <v>0</v>
      </c>
      <c r="AB1034">
        <f t="shared" si="2045"/>
        <v>1</v>
      </c>
      <c r="AC1034">
        <f t="shared" si="2045"/>
        <v>1</v>
      </c>
      <c r="AD1034">
        <f t="shared" si="6"/>
        <v>2</v>
      </c>
      <c r="AE1034">
        <f t="shared" si="7"/>
        <v>1</v>
      </c>
    </row>
    <row r="1035">
      <c r="B1035" t="str">
        <f>IFERROR(__xludf.DUMMYFUNCTION("""COMPUTED_VALUE"""),"")</f>
        <v/>
      </c>
      <c r="C1035" t="str">
        <f>IFERROR(__xludf.DUMMYFUNCTION("""COMPUTED_VALUE"""),"")</f>
        <v/>
      </c>
      <c r="D1035" t="str">
        <f>IFERROR(__xludf.DUMMYFUNCTION("""COMPUTED_VALUE"""),"")</f>
        <v/>
      </c>
      <c r="E1035" t="str">
        <f>IFERROR(__xludf.DUMMYFUNCTION("""COMPUTED_VALUE"""),"")</f>
        <v/>
      </c>
      <c r="F1035" t="str">
        <f>IFERROR(__xludf.DUMMYFUNCTION("""COMPUTED_VALUE"""),"")</f>
        <v/>
      </c>
      <c r="G1035" t="str">
        <f>IFERROR(__xludf.DUMMYFUNCTION("""COMPUTED_VALUE"""),"")</f>
        <v/>
      </c>
      <c r="H1035" t="str">
        <f>IFERROR(__xludf.DUMMYFUNCTION("""COMPUTED_VALUE"""),"")</f>
        <v/>
      </c>
      <c r="I1035" t="str">
        <f>IFERROR(__xludf.DUMMYFUNCTION("""COMPUTED_VALUE"""),"")</f>
        <v/>
      </c>
      <c r="J1035">
        <f>IFERROR(__xludf.DUMMYFUNCTION("""COMPUTED_VALUE"""),0.0)</f>
        <v>0</v>
      </c>
      <c r="L1035" s="250" t="str">
        <f>IFERROR(__xludf.DUMMYFUNCTION("""COMPUTED_VALUE"""),"")</f>
        <v/>
      </c>
      <c r="M1035" s="250" t="str">
        <f>IFERROR(__xludf.DUMMYFUNCTION("""COMPUTED_VALUE"""),"")</f>
        <v/>
      </c>
      <c r="N1035" s="250" t="str">
        <f>IFERROR(__xludf.DUMMYFUNCTION("""COMPUTED_VALUE"""),"")</f>
        <v/>
      </c>
      <c r="O1035" s="250" t="str">
        <f>IFERROR(__xludf.DUMMYFUNCTION("""COMPUTED_VALUE"""),"")</f>
        <v/>
      </c>
      <c r="P1035" s="250" t="str">
        <f>IFERROR(__xludf.DUMMYFUNCTION("""COMPUTED_VALUE"""),"")</f>
        <v/>
      </c>
      <c r="Q1035" s="250" t="str">
        <f>IFERROR(__xludf.DUMMYFUNCTION("""COMPUTED_VALUE"""),"")</f>
        <v/>
      </c>
      <c r="R1035" s="250" t="str">
        <f>IFERROR(__xludf.DUMMYFUNCTION("""COMPUTED_VALUE"""),"")</f>
        <v/>
      </c>
      <c r="U1035" s="250" t="str">
        <f>IFERROR(__xludf.DUMMYFUNCTION("""COMPUTED_VALUE"""),"#N/A")</f>
        <v>#N/A</v>
      </c>
      <c r="V1035" s="250" t="str">
        <f>IFERROR(__xludf.DUMMYFUNCTION("""COMPUTED_VALUE"""),"#N/A")</f>
        <v>#N/A</v>
      </c>
      <c r="W1035" s="250" t="str">
        <f>IFERROR(__xludf.DUMMYFUNCTION("""COMPUTED_VALUE"""),"#N/A")</f>
        <v>#N/A</v>
      </c>
      <c r="X1035" t="b">
        <f t="shared" ref="X1035:Z1035" si="2046">ISBLANK(K1035)</f>
        <v>1</v>
      </c>
      <c r="Y1035" t="b">
        <f t="shared" si="2046"/>
        <v>0</v>
      </c>
      <c r="Z1035" t="b">
        <f t="shared" si="2046"/>
        <v>0</v>
      </c>
      <c r="AA1035">
        <f t="shared" ref="AA1035:AC1035" si="2047">IF(X1035=FALSE,1,0)</f>
        <v>0</v>
      </c>
      <c r="AB1035">
        <f t="shared" si="2047"/>
        <v>1</v>
      </c>
      <c r="AC1035">
        <f t="shared" si="2047"/>
        <v>1</v>
      </c>
      <c r="AD1035">
        <f t="shared" si="6"/>
        <v>2</v>
      </c>
      <c r="AE1035">
        <f t="shared" si="7"/>
        <v>1</v>
      </c>
    </row>
    <row r="1036">
      <c r="B1036" t="str">
        <f>IFERROR(__xludf.DUMMYFUNCTION("""COMPUTED_VALUE"""),"")</f>
        <v/>
      </c>
      <c r="C1036" t="str">
        <f>IFERROR(__xludf.DUMMYFUNCTION("""COMPUTED_VALUE"""),"")</f>
        <v/>
      </c>
      <c r="D1036" t="str">
        <f>IFERROR(__xludf.DUMMYFUNCTION("""COMPUTED_VALUE"""),"")</f>
        <v/>
      </c>
      <c r="E1036" t="str">
        <f>IFERROR(__xludf.DUMMYFUNCTION("""COMPUTED_VALUE"""),"")</f>
        <v/>
      </c>
      <c r="F1036" t="str">
        <f>IFERROR(__xludf.DUMMYFUNCTION("""COMPUTED_VALUE"""),"")</f>
        <v/>
      </c>
      <c r="G1036" t="str">
        <f>IFERROR(__xludf.DUMMYFUNCTION("""COMPUTED_VALUE"""),"")</f>
        <v/>
      </c>
      <c r="H1036" t="str">
        <f>IFERROR(__xludf.DUMMYFUNCTION("""COMPUTED_VALUE"""),"")</f>
        <v/>
      </c>
      <c r="I1036" t="str">
        <f>IFERROR(__xludf.DUMMYFUNCTION("""COMPUTED_VALUE"""),"")</f>
        <v/>
      </c>
      <c r="J1036">
        <f>IFERROR(__xludf.DUMMYFUNCTION("""COMPUTED_VALUE"""),0.0)</f>
        <v>0</v>
      </c>
      <c r="L1036" s="250" t="str">
        <f>IFERROR(__xludf.DUMMYFUNCTION("""COMPUTED_VALUE"""),"")</f>
        <v/>
      </c>
      <c r="M1036" s="250" t="str">
        <f>IFERROR(__xludf.DUMMYFUNCTION("""COMPUTED_VALUE"""),"")</f>
        <v/>
      </c>
      <c r="N1036" s="250" t="str">
        <f>IFERROR(__xludf.DUMMYFUNCTION("""COMPUTED_VALUE"""),"")</f>
        <v/>
      </c>
      <c r="O1036" s="250" t="str">
        <f>IFERROR(__xludf.DUMMYFUNCTION("""COMPUTED_VALUE"""),"")</f>
        <v/>
      </c>
      <c r="P1036" s="250" t="str">
        <f>IFERROR(__xludf.DUMMYFUNCTION("""COMPUTED_VALUE"""),"")</f>
        <v/>
      </c>
      <c r="Q1036" s="250" t="str">
        <f>IFERROR(__xludf.DUMMYFUNCTION("""COMPUTED_VALUE"""),"")</f>
        <v/>
      </c>
      <c r="R1036" s="250" t="str">
        <f>IFERROR(__xludf.DUMMYFUNCTION("""COMPUTED_VALUE"""),"")</f>
        <v/>
      </c>
      <c r="U1036" s="250" t="str">
        <f>IFERROR(__xludf.DUMMYFUNCTION("""COMPUTED_VALUE"""),"#N/A")</f>
        <v>#N/A</v>
      </c>
      <c r="V1036" s="250" t="str">
        <f>IFERROR(__xludf.DUMMYFUNCTION("""COMPUTED_VALUE"""),"#N/A")</f>
        <v>#N/A</v>
      </c>
      <c r="W1036" s="250" t="str">
        <f>IFERROR(__xludf.DUMMYFUNCTION("""COMPUTED_VALUE"""),"#N/A")</f>
        <v>#N/A</v>
      </c>
      <c r="X1036" t="b">
        <f t="shared" ref="X1036:Z1036" si="2048">ISBLANK(K1036)</f>
        <v>1</v>
      </c>
      <c r="Y1036" t="b">
        <f t="shared" si="2048"/>
        <v>0</v>
      </c>
      <c r="Z1036" t="b">
        <f t="shared" si="2048"/>
        <v>0</v>
      </c>
      <c r="AA1036">
        <f t="shared" ref="AA1036:AC1036" si="2049">IF(X1036=FALSE,1,0)</f>
        <v>0</v>
      </c>
      <c r="AB1036">
        <f t="shared" si="2049"/>
        <v>1</v>
      </c>
      <c r="AC1036">
        <f t="shared" si="2049"/>
        <v>1</v>
      </c>
      <c r="AD1036">
        <f t="shared" si="6"/>
        <v>2</v>
      </c>
      <c r="AE1036">
        <f t="shared" si="7"/>
        <v>1</v>
      </c>
    </row>
    <row r="1037">
      <c r="B1037" t="str">
        <f>IFERROR(__xludf.DUMMYFUNCTION("""COMPUTED_VALUE"""),"")</f>
        <v/>
      </c>
      <c r="C1037" t="str">
        <f>IFERROR(__xludf.DUMMYFUNCTION("""COMPUTED_VALUE"""),"")</f>
        <v/>
      </c>
      <c r="D1037" t="str">
        <f>IFERROR(__xludf.DUMMYFUNCTION("""COMPUTED_VALUE"""),"")</f>
        <v/>
      </c>
      <c r="E1037" t="str">
        <f>IFERROR(__xludf.DUMMYFUNCTION("""COMPUTED_VALUE"""),"")</f>
        <v/>
      </c>
      <c r="F1037" t="str">
        <f>IFERROR(__xludf.DUMMYFUNCTION("""COMPUTED_VALUE"""),"")</f>
        <v/>
      </c>
      <c r="G1037" t="str">
        <f>IFERROR(__xludf.DUMMYFUNCTION("""COMPUTED_VALUE"""),"")</f>
        <v/>
      </c>
      <c r="H1037" t="str">
        <f>IFERROR(__xludf.DUMMYFUNCTION("""COMPUTED_VALUE"""),"")</f>
        <v/>
      </c>
      <c r="I1037" t="str">
        <f>IFERROR(__xludf.DUMMYFUNCTION("""COMPUTED_VALUE"""),"")</f>
        <v/>
      </c>
      <c r="J1037">
        <f>IFERROR(__xludf.DUMMYFUNCTION("""COMPUTED_VALUE"""),0.0)</f>
        <v>0</v>
      </c>
      <c r="L1037" s="250" t="str">
        <f>IFERROR(__xludf.DUMMYFUNCTION("""COMPUTED_VALUE"""),"")</f>
        <v/>
      </c>
      <c r="M1037" s="250" t="str">
        <f>IFERROR(__xludf.DUMMYFUNCTION("""COMPUTED_VALUE"""),"")</f>
        <v/>
      </c>
      <c r="N1037" s="250" t="str">
        <f>IFERROR(__xludf.DUMMYFUNCTION("""COMPUTED_VALUE"""),"")</f>
        <v/>
      </c>
      <c r="O1037" s="250" t="str">
        <f>IFERROR(__xludf.DUMMYFUNCTION("""COMPUTED_VALUE"""),"")</f>
        <v/>
      </c>
      <c r="P1037" s="250" t="str">
        <f>IFERROR(__xludf.DUMMYFUNCTION("""COMPUTED_VALUE"""),"")</f>
        <v/>
      </c>
      <c r="Q1037" s="250" t="str">
        <f>IFERROR(__xludf.DUMMYFUNCTION("""COMPUTED_VALUE"""),"")</f>
        <v/>
      </c>
      <c r="R1037" s="250" t="str">
        <f>IFERROR(__xludf.DUMMYFUNCTION("""COMPUTED_VALUE"""),"")</f>
        <v/>
      </c>
      <c r="U1037" s="250" t="str">
        <f>IFERROR(__xludf.DUMMYFUNCTION("""COMPUTED_VALUE"""),"#N/A")</f>
        <v>#N/A</v>
      </c>
      <c r="V1037" s="250" t="str">
        <f>IFERROR(__xludf.DUMMYFUNCTION("""COMPUTED_VALUE"""),"#N/A")</f>
        <v>#N/A</v>
      </c>
      <c r="W1037" s="250" t="str">
        <f>IFERROR(__xludf.DUMMYFUNCTION("""COMPUTED_VALUE"""),"#N/A")</f>
        <v>#N/A</v>
      </c>
      <c r="X1037" t="b">
        <f t="shared" ref="X1037:Z1037" si="2050">ISBLANK(K1037)</f>
        <v>1</v>
      </c>
      <c r="Y1037" t="b">
        <f t="shared" si="2050"/>
        <v>0</v>
      </c>
      <c r="Z1037" t="b">
        <f t="shared" si="2050"/>
        <v>0</v>
      </c>
      <c r="AA1037">
        <f t="shared" ref="AA1037:AC1037" si="2051">IF(X1037=FALSE,1,0)</f>
        <v>0</v>
      </c>
      <c r="AB1037">
        <f t="shared" si="2051"/>
        <v>1</v>
      </c>
      <c r="AC1037">
        <f t="shared" si="2051"/>
        <v>1</v>
      </c>
      <c r="AD1037">
        <f t="shared" si="6"/>
        <v>2</v>
      </c>
      <c r="AE1037">
        <f t="shared" si="7"/>
        <v>1</v>
      </c>
    </row>
    <row r="1038">
      <c r="B1038" t="str">
        <f>IFERROR(__xludf.DUMMYFUNCTION("""COMPUTED_VALUE"""),"")</f>
        <v/>
      </c>
      <c r="C1038" t="str">
        <f>IFERROR(__xludf.DUMMYFUNCTION("""COMPUTED_VALUE"""),"")</f>
        <v/>
      </c>
      <c r="D1038" t="str">
        <f>IFERROR(__xludf.DUMMYFUNCTION("""COMPUTED_VALUE"""),"")</f>
        <v/>
      </c>
      <c r="E1038" t="str">
        <f>IFERROR(__xludf.DUMMYFUNCTION("""COMPUTED_VALUE"""),"")</f>
        <v/>
      </c>
      <c r="F1038" t="str">
        <f>IFERROR(__xludf.DUMMYFUNCTION("""COMPUTED_VALUE"""),"")</f>
        <v/>
      </c>
      <c r="G1038" t="str">
        <f>IFERROR(__xludf.DUMMYFUNCTION("""COMPUTED_VALUE"""),"")</f>
        <v/>
      </c>
      <c r="H1038" t="str">
        <f>IFERROR(__xludf.DUMMYFUNCTION("""COMPUTED_VALUE"""),"")</f>
        <v/>
      </c>
      <c r="I1038" t="str">
        <f>IFERROR(__xludf.DUMMYFUNCTION("""COMPUTED_VALUE"""),"")</f>
        <v/>
      </c>
      <c r="J1038">
        <f>IFERROR(__xludf.DUMMYFUNCTION("""COMPUTED_VALUE"""),0.0)</f>
        <v>0</v>
      </c>
      <c r="L1038" s="250" t="str">
        <f>IFERROR(__xludf.DUMMYFUNCTION("""COMPUTED_VALUE"""),"")</f>
        <v/>
      </c>
      <c r="M1038" s="250" t="str">
        <f>IFERROR(__xludf.DUMMYFUNCTION("""COMPUTED_VALUE"""),"")</f>
        <v/>
      </c>
      <c r="N1038" s="250" t="str">
        <f>IFERROR(__xludf.DUMMYFUNCTION("""COMPUTED_VALUE"""),"")</f>
        <v/>
      </c>
      <c r="O1038" s="250" t="str">
        <f>IFERROR(__xludf.DUMMYFUNCTION("""COMPUTED_VALUE"""),"")</f>
        <v/>
      </c>
      <c r="P1038" s="250" t="str">
        <f>IFERROR(__xludf.DUMMYFUNCTION("""COMPUTED_VALUE"""),"")</f>
        <v/>
      </c>
      <c r="Q1038" s="250" t="str">
        <f>IFERROR(__xludf.DUMMYFUNCTION("""COMPUTED_VALUE"""),"")</f>
        <v/>
      </c>
      <c r="R1038" s="250" t="str">
        <f>IFERROR(__xludf.DUMMYFUNCTION("""COMPUTED_VALUE"""),"")</f>
        <v/>
      </c>
      <c r="U1038" s="250" t="str">
        <f>IFERROR(__xludf.DUMMYFUNCTION("""COMPUTED_VALUE"""),"#N/A")</f>
        <v>#N/A</v>
      </c>
      <c r="V1038" s="250" t="str">
        <f>IFERROR(__xludf.DUMMYFUNCTION("""COMPUTED_VALUE"""),"#N/A")</f>
        <v>#N/A</v>
      </c>
      <c r="W1038" s="250" t="str">
        <f>IFERROR(__xludf.DUMMYFUNCTION("""COMPUTED_VALUE"""),"#N/A")</f>
        <v>#N/A</v>
      </c>
      <c r="X1038" t="b">
        <f t="shared" ref="X1038:Z1038" si="2052">ISBLANK(K1038)</f>
        <v>1</v>
      </c>
      <c r="Y1038" t="b">
        <f t="shared" si="2052"/>
        <v>0</v>
      </c>
      <c r="Z1038" t="b">
        <f t="shared" si="2052"/>
        <v>0</v>
      </c>
      <c r="AA1038">
        <f t="shared" ref="AA1038:AC1038" si="2053">IF(X1038=FALSE,1,0)</f>
        <v>0</v>
      </c>
      <c r="AB1038">
        <f t="shared" si="2053"/>
        <v>1</v>
      </c>
      <c r="AC1038">
        <f t="shared" si="2053"/>
        <v>1</v>
      </c>
      <c r="AD1038">
        <f t="shared" si="6"/>
        <v>2</v>
      </c>
      <c r="AE1038">
        <f t="shared" si="7"/>
        <v>1</v>
      </c>
    </row>
    <row r="1039">
      <c r="B1039" t="str">
        <f>IFERROR(__xludf.DUMMYFUNCTION("""COMPUTED_VALUE"""),"")</f>
        <v/>
      </c>
      <c r="C1039" t="str">
        <f>IFERROR(__xludf.DUMMYFUNCTION("""COMPUTED_VALUE"""),"")</f>
        <v/>
      </c>
      <c r="D1039" t="str">
        <f>IFERROR(__xludf.DUMMYFUNCTION("""COMPUTED_VALUE"""),"")</f>
        <v/>
      </c>
      <c r="E1039" t="str">
        <f>IFERROR(__xludf.DUMMYFUNCTION("""COMPUTED_VALUE"""),"")</f>
        <v/>
      </c>
      <c r="F1039" t="str">
        <f>IFERROR(__xludf.DUMMYFUNCTION("""COMPUTED_VALUE"""),"")</f>
        <v/>
      </c>
      <c r="G1039" t="str">
        <f>IFERROR(__xludf.DUMMYFUNCTION("""COMPUTED_VALUE"""),"")</f>
        <v/>
      </c>
      <c r="H1039" t="str">
        <f>IFERROR(__xludf.DUMMYFUNCTION("""COMPUTED_VALUE"""),"")</f>
        <v/>
      </c>
      <c r="I1039" t="str">
        <f>IFERROR(__xludf.DUMMYFUNCTION("""COMPUTED_VALUE"""),"")</f>
        <v/>
      </c>
      <c r="J1039">
        <f>IFERROR(__xludf.DUMMYFUNCTION("""COMPUTED_VALUE"""),0.0)</f>
        <v>0</v>
      </c>
      <c r="L1039" s="250" t="str">
        <f>IFERROR(__xludf.DUMMYFUNCTION("""COMPUTED_VALUE"""),"")</f>
        <v/>
      </c>
      <c r="M1039" s="250" t="str">
        <f>IFERROR(__xludf.DUMMYFUNCTION("""COMPUTED_VALUE"""),"")</f>
        <v/>
      </c>
      <c r="N1039" s="250" t="str">
        <f>IFERROR(__xludf.DUMMYFUNCTION("""COMPUTED_VALUE"""),"")</f>
        <v/>
      </c>
      <c r="O1039" s="250" t="str">
        <f>IFERROR(__xludf.DUMMYFUNCTION("""COMPUTED_VALUE"""),"")</f>
        <v/>
      </c>
      <c r="P1039" s="250" t="str">
        <f>IFERROR(__xludf.DUMMYFUNCTION("""COMPUTED_VALUE"""),"")</f>
        <v/>
      </c>
      <c r="Q1039" s="250" t="str">
        <f>IFERROR(__xludf.DUMMYFUNCTION("""COMPUTED_VALUE"""),"")</f>
        <v/>
      </c>
      <c r="R1039" s="250" t="str">
        <f>IFERROR(__xludf.DUMMYFUNCTION("""COMPUTED_VALUE"""),"")</f>
        <v/>
      </c>
      <c r="U1039" s="250" t="str">
        <f>IFERROR(__xludf.DUMMYFUNCTION("""COMPUTED_VALUE"""),"#N/A")</f>
        <v>#N/A</v>
      </c>
      <c r="V1039" s="250" t="str">
        <f>IFERROR(__xludf.DUMMYFUNCTION("""COMPUTED_VALUE"""),"#N/A")</f>
        <v>#N/A</v>
      </c>
      <c r="W1039" s="250" t="str">
        <f>IFERROR(__xludf.DUMMYFUNCTION("""COMPUTED_VALUE"""),"#N/A")</f>
        <v>#N/A</v>
      </c>
      <c r="X1039" t="b">
        <f t="shared" ref="X1039:Z1039" si="2054">ISBLANK(K1039)</f>
        <v>1</v>
      </c>
      <c r="Y1039" t="b">
        <f t="shared" si="2054"/>
        <v>0</v>
      </c>
      <c r="Z1039" t="b">
        <f t="shared" si="2054"/>
        <v>0</v>
      </c>
      <c r="AA1039">
        <f t="shared" ref="AA1039:AC1039" si="2055">IF(X1039=FALSE,1,0)</f>
        <v>0</v>
      </c>
      <c r="AB1039">
        <f t="shared" si="2055"/>
        <v>1</v>
      </c>
      <c r="AC1039">
        <f t="shared" si="2055"/>
        <v>1</v>
      </c>
      <c r="AD1039">
        <f t="shared" si="6"/>
        <v>2</v>
      </c>
      <c r="AE1039">
        <f t="shared" si="7"/>
        <v>1</v>
      </c>
    </row>
    <row r="1040">
      <c r="B1040" t="str">
        <f>IFERROR(__xludf.DUMMYFUNCTION("""COMPUTED_VALUE"""),"")</f>
        <v/>
      </c>
      <c r="C1040" t="str">
        <f>IFERROR(__xludf.DUMMYFUNCTION("""COMPUTED_VALUE"""),"")</f>
        <v/>
      </c>
      <c r="D1040" t="str">
        <f>IFERROR(__xludf.DUMMYFUNCTION("""COMPUTED_VALUE"""),"")</f>
        <v/>
      </c>
      <c r="E1040" t="str">
        <f>IFERROR(__xludf.DUMMYFUNCTION("""COMPUTED_VALUE"""),"")</f>
        <v/>
      </c>
      <c r="F1040" t="str">
        <f>IFERROR(__xludf.DUMMYFUNCTION("""COMPUTED_VALUE"""),"")</f>
        <v/>
      </c>
      <c r="G1040" t="str">
        <f>IFERROR(__xludf.DUMMYFUNCTION("""COMPUTED_VALUE"""),"")</f>
        <v/>
      </c>
      <c r="H1040" t="str">
        <f>IFERROR(__xludf.DUMMYFUNCTION("""COMPUTED_VALUE"""),"")</f>
        <v/>
      </c>
      <c r="I1040" t="str">
        <f>IFERROR(__xludf.DUMMYFUNCTION("""COMPUTED_VALUE"""),"")</f>
        <v/>
      </c>
      <c r="J1040">
        <f>IFERROR(__xludf.DUMMYFUNCTION("""COMPUTED_VALUE"""),0.0)</f>
        <v>0</v>
      </c>
      <c r="L1040" s="250" t="str">
        <f>IFERROR(__xludf.DUMMYFUNCTION("""COMPUTED_VALUE"""),"")</f>
        <v/>
      </c>
      <c r="M1040" s="250" t="str">
        <f>IFERROR(__xludf.DUMMYFUNCTION("""COMPUTED_VALUE"""),"")</f>
        <v/>
      </c>
      <c r="N1040" s="250" t="str">
        <f>IFERROR(__xludf.DUMMYFUNCTION("""COMPUTED_VALUE"""),"")</f>
        <v/>
      </c>
      <c r="O1040" s="250" t="str">
        <f>IFERROR(__xludf.DUMMYFUNCTION("""COMPUTED_VALUE"""),"")</f>
        <v/>
      </c>
      <c r="P1040" s="250" t="str">
        <f>IFERROR(__xludf.DUMMYFUNCTION("""COMPUTED_VALUE"""),"")</f>
        <v/>
      </c>
      <c r="Q1040" s="250" t="str">
        <f>IFERROR(__xludf.DUMMYFUNCTION("""COMPUTED_VALUE"""),"")</f>
        <v/>
      </c>
      <c r="R1040" s="250" t="str">
        <f>IFERROR(__xludf.DUMMYFUNCTION("""COMPUTED_VALUE"""),"")</f>
        <v/>
      </c>
      <c r="U1040" s="250" t="str">
        <f>IFERROR(__xludf.DUMMYFUNCTION("""COMPUTED_VALUE"""),"#N/A")</f>
        <v>#N/A</v>
      </c>
      <c r="V1040" s="250" t="str">
        <f>IFERROR(__xludf.DUMMYFUNCTION("""COMPUTED_VALUE"""),"#N/A")</f>
        <v>#N/A</v>
      </c>
      <c r="W1040" s="250" t="str">
        <f>IFERROR(__xludf.DUMMYFUNCTION("""COMPUTED_VALUE"""),"#N/A")</f>
        <v>#N/A</v>
      </c>
      <c r="X1040" t="b">
        <f t="shared" ref="X1040:Z1040" si="2056">ISBLANK(K1040)</f>
        <v>1</v>
      </c>
      <c r="Y1040" t="b">
        <f t="shared" si="2056"/>
        <v>0</v>
      </c>
      <c r="Z1040" t="b">
        <f t="shared" si="2056"/>
        <v>0</v>
      </c>
      <c r="AA1040">
        <f t="shared" ref="AA1040:AC1040" si="2057">IF(X1040=FALSE,1,0)</f>
        <v>0</v>
      </c>
      <c r="AB1040">
        <f t="shared" si="2057"/>
        <v>1</v>
      </c>
      <c r="AC1040">
        <f t="shared" si="2057"/>
        <v>1</v>
      </c>
      <c r="AD1040">
        <f t="shared" si="6"/>
        <v>2</v>
      </c>
      <c r="AE1040">
        <f t="shared" si="7"/>
        <v>1</v>
      </c>
    </row>
    <row r="1041">
      <c r="B1041" t="str">
        <f>IFERROR(__xludf.DUMMYFUNCTION("""COMPUTED_VALUE"""),"")</f>
        <v/>
      </c>
      <c r="C1041" t="str">
        <f>IFERROR(__xludf.DUMMYFUNCTION("""COMPUTED_VALUE"""),"")</f>
        <v/>
      </c>
      <c r="D1041" t="str">
        <f>IFERROR(__xludf.DUMMYFUNCTION("""COMPUTED_VALUE"""),"")</f>
        <v/>
      </c>
      <c r="E1041" t="str">
        <f>IFERROR(__xludf.DUMMYFUNCTION("""COMPUTED_VALUE"""),"")</f>
        <v/>
      </c>
      <c r="F1041" t="str">
        <f>IFERROR(__xludf.DUMMYFUNCTION("""COMPUTED_VALUE"""),"")</f>
        <v/>
      </c>
      <c r="G1041" t="str">
        <f>IFERROR(__xludf.DUMMYFUNCTION("""COMPUTED_VALUE"""),"")</f>
        <v/>
      </c>
      <c r="H1041" t="str">
        <f>IFERROR(__xludf.DUMMYFUNCTION("""COMPUTED_VALUE"""),"")</f>
        <v/>
      </c>
      <c r="I1041" t="str">
        <f>IFERROR(__xludf.DUMMYFUNCTION("""COMPUTED_VALUE"""),"")</f>
        <v/>
      </c>
      <c r="J1041">
        <f>IFERROR(__xludf.DUMMYFUNCTION("""COMPUTED_VALUE"""),0.0)</f>
        <v>0</v>
      </c>
      <c r="L1041" s="250" t="str">
        <f>IFERROR(__xludf.DUMMYFUNCTION("""COMPUTED_VALUE"""),"")</f>
        <v/>
      </c>
      <c r="M1041" s="250" t="str">
        <f>IFERROR(__xludf.DUMMYFUNCTION("""COMPUTED_VALUE"""),"")</f>
        <v/>
      </c>
      <c r="N1041" s="250" t="str">
        <f>IFERROR(__xludf.DUMMYFUNCTION("""COMPUTED_VALUE"""),"")</f>
        <v/>
      </c>
      <c r="O1041" s="250" t="str">
        <f>IFERROR(__xludf.DUMMYFUNCTION("""COMPUTED_VALUE"""),"")</f>
        <v/>
      </c>
      <c r="P1041" s="250" t="str">
        <f>IFERROR(__xludf.DUMMYFUNCTION("""COMPUTED_VALUE"""),"")</f>
        <v/>
      </c>
      <c r="Q1041" s="250" t="str">
        <f>IFERROR(__xludf.DUMMYFUNCTION("""COMPUTED_VALUE"""),"")</f>
        <v/>
      </c>
      <c r="R1041" s="250" t="str">
        <f>IFERROR(__xludf.DUMMYFUNCTION("""COMPUTED_VALUE"""),"")</f>
        <v/>
      </c>
      <c r="U1041" s="250" t="str">
        <f>IFERROR(__xludf.DUMMYFUNCTION("""COMPUTED_VALUE"""),"#N/A")</f>
        <v>#N/A</v>
      </c>
      <c r="V1041" s="250" t="str">
        <f>IFERROR(__xludf.DUMMYFUNCTION("""COMPUTED_VALUE"""),"#N/A")</f>
        <v>#N/A</v>
      </c>
      <c r="W1041" s="250" t="str">
        <f>IFERROR(__xludf.DUMMYFUNCTION("""COMPUTED_VALUE"""),"#N/A")</f>
        <v>#N/A</v>
      </c>
      <c r="X1041" t="b">
        <f t="shared" ref="X1041:Z1041" si="2058">ISBLANK(K1041)</f>
        <v>1</v>
      </c>
      <c r="Y1041" t="b">
        <f t="shared" si="2058"/>
        <v>0</v>
      </c>
      <c r="Z1041" t="b">
        <f t="shared" si="2058"/>
        <v>0</v>
      </c>
      <c r="AA1041">
        <f t="shared" ref="AA1041:AC1041" si="2059">IF(X1041=FALSE,1,0)</f>
        <v>0</v>
      </c>
      <c r="AB1041">
        <f t="shared" si="2059"/>
        <v>1</v>
      </c>
      <c r="AC1041">
        <f t="shared" si="2059"/>
        <v>1</v>
      </c>
      <c r="AD1041">
        <f t="shared" si="6"/>
        <v>2</v>
      </c>
      <c r="AE1041">
        <f t="shared" si="7"/>
        <v>1</v>
      </c>
    </row>
    <row r="1042">
      <c r="B1042" t="str">
        <f>IFERROR(__xludf.DUMMYFUNCTION("""COMPUTED_VALUE"""),"")</f>
        <v/>
      </c>
      <c r="C1042" t="str">
        <f>IFERROR(__xludf.DUMMYFUNCTION("""COMPUTED_VALUE"""),"")</f>
        <v/>
      </c>
      <c r="D1042" t="str">
        <f>IFERROR(__xludf.DUMMYFUNCTION("""COMPUTED_VALUE"""),"")</f>
        <v/>
      </c>
      <c r="E1042" t="str">
        <f>IFERROR(__xludf.DUMMYFUNCTION("""COMPUTED_VALUE"""),"")</f>
        <v/>
      </c>
      <c r="F1042" t="str">
        <f>IFERROR(__xludf.DUMMYFUNCTION("""COMPUTED_VALUE"""),"")</f>
        <v/>
      </c>
      <c r="G1042" t="str">
        <f>IFERROR(__xludf.DUMMYFUNCTION("""COMPUTED_VALUE"""),"")</f>
        <v/>
      </c>
      <c r="H1042" t="str">
        <f>IFERROR(__xludf.DUMMYFUNCTION("""COMPUTED_VALUE"""),"")</f>
        <v/>
      </c>
      <c r="I1042" t="str">
        <f>IFERROR(__xludf.DUMMYFUNCTION("""COMPUTED_VALUE"""),"")</f>
        <v/>
      </c>
      <c r="J1042">
        <f>IFERROR(__xludf.DUMMYFUNCTION("""COMPUTED_VALUE"""),0.0)</f>
        <v>0</v>
      </c>
      <c r="L1042" s="250" t="str">
        <f>IFERROR(__xludf.DUMMYFUNCTION("""COMPUTED_VALUE"""),"")</f>
        <v/>
      </c>
      <c r="M1042" s="250" t="str">
        <f>IFERROR(__xludf.DUMMYFUNCTION("""COMPUTED_VALUE"""),"")</f>
        <v/>
      </c>
      <c r="N1042" s="250" t="str">
        <f>IFERROR(__xludf.DUMMYFUNCTION("""COMPUTED_VALUE"""),"")</f>
        <v/>
      </c>
      <c r="O1042" s="250" t="str">
        <f>IFERROR(__xludf.DUMMYFUNCTION("""COMPUTED_VALUE"""),"")</f>
        <v/>
      </c>
      <c r="P1042" s="250" t="str">
        <f>IFERROR(__xludf.DUMMYFUNCTION("""COMPUTED_VALUE"""),"")</f>
        <v/>
      </c>
      <c r="Q1042" s="250" t="str">
        <f>IFERROR(__xludf.DUMMYFUNCTION("""COMPUTED_VALUE"""),"")</f>
        <v/>
      </c>
      <c r="R1042" s="250" t="str">
        <f>IFERROR(__xludf.DUMMYFUNCTION("""COMPUTED_VALUE"""),"")</f>
        <v/>
      </c>
      <c r="U1042" s="250" t="str">
        <f>IFERROR(__xludf.DUMMYFUNCTION("""COMPUTED_VALUE"""),"#N/A")</f>
        <v>#N/A</v>
      </c>
      <c r="V1042" s="250" t="str">
        <f>IFERROR(__xludf.DUMMYFUNCTION("""COMPUTED_VALUE"""),"#N/A")</f>
        <v>#N/A</v>
      </c>
      <c r="W1042" s="250" t="str">
        <f>IFERROR(__xludf.DUMMYFUNCTION("""COMPUTED_VALUE"""),"#N/A")</f>
        <v>#N/A</v>
      </c>
      <c r="X1042" t="b">
        <f t="shared" ref="X1042:Z1042" si="2060">ISBLANK(K1042)</f>
        <v>1</v>
      </c>
      <c r="Y1042" t="b">
        <f t="shared" si="2060"/>
        <v>0</v>
      </c>
      <c r="Z1042" t="b">
        <f t="shared" si="2060"/>
        <v>0</v>
      </c>
      <c r="AA1042">
        <f t="shared" ref="AA1042:AC1042" si="2061">IF(X1042=FALSE,1,0)</f>
        <v>0</v>
      </c>
      <c r="AB1042">
        <f t="shared" si="2061"/>
        <v>1</v>
      </c>
      <c r="AC1042">
        <f t="shared" si="2061"/>
        <v>1</v>
      </c>
      <c r="AD1042">
        <f t="shared" si="6"/>
        <v>2</v>
      </c>
      <c r="AE1042">
        <f t="shared" si="7"/>
        <v>1</v>
      </c>
    </row>
    <row r="1043">
      <c r="B1043" t="str">
        <f>IFERROR(__xludf.DUMMYFUNCTION("""COMPUTED_VALUE"""),"")</f>
        <v/>
      </c>
      <c r="C1043" t="str">
        <f>IFERROR(__xludf.DUMMYFUNCTION("""COMPUTED_VALUE"""),"")</f>
        <v/>
      </c>
      <c r="D1043" t="str">
        <f>IFERROR(__xludf.DUMMYFUNCTION("""COMPUTED_VALUE"""),"")</f>
        <v/>
      </c>
      <c r="E1043" t="str">
        <f>IFERROR(__xludf.DUMMYFUNCTION("""COMPUTED_VALUE"""),"")</f>
        <v/>
      </c>
      <c r="F1043" t="str">
        <f>IFERROR(__xludf.DUMMYFUNCTION("""COMPUTED_VALUE"""),"")</f>
        <v/>
      </c>
      <c r="G1043" t="str">
        <f>IFERROR(__xludf.DUMMYFUNCTION("""COMPUTED_VALUE"""),"")</f>
        <v/>
      </c>
      <c r="H1043" t="str">
        <f>IFERROR(__xludf.DUMMYFUNCTION("""COMPUTED_VALUE"""),"")</f>
        <v/>
      </c>
      <c r="I1043" t="str">
        <f>IFERROR(__xludf.DUMMYFUNCTION("""COMPUTED_VALUE"""),"")</f>
        <v/>
      </c>
      <c r="J1043">
        <f>IFERROR(__xludf.DUMMYFUNCTION("""COMPUTED_VALUE"""),0.0)</f>
        <v>0</v>
      </c>
      <c r="L1043" s="250" t="str">
        <f>IFERROR(__xludf.DUMMYFUNCTION("""COMPUTED_VALUE"""),"")</f>
        <v/>
      </c>
      <c r="M1043" s="250" t="str">
        <f>IFERROR(__xludf.DUMMYFUNCTION("""COMPUTED_VALUE"""),"")</f>
        <v/>
      </c>
      <c r="N1043" s="250" t="str">
        <f>IFERROR(__xludf.DUMMYFUNCTION("""COMPUTED_VALUE"""),"")</f>
        <v/>
      </c>
      <c r="O1043" s="250" t="str">
        <f>IFERROR(__xludf.DUMMYFUNCTION("""COMPUTED_VALUE"""),"")</f>
        <v/>
      </c>
      <c r="P1043" s="250" t="str">
        <f>IFERROR(__xludf.DUMMYFUNCTION("""COMPUTED_VALUE"""),"")</f>
        <v/>
      </c>
      <c r="Q1043" s="250" t="str">
        <f>IFERROR(__xludf.DUMMYFUNCTION("""COMPUTED_VALUE"""),"")</f>
        <v/>
      </c>
      <c r="R1043" s="250" t="str">
        <f>IFERROR(__xludf.DUMMYFUNCTION("""COMPUTED_VALUE"""),"")</f>
        <v/>
      </c>
      <c r="U1043" s="250" t="str">
        <f>IFERROR(__xludf.DUMMYFUNCTION("""COMPUTED_VALUE"""),"#N/A")</f>
        <v>#N/A</v>
      </c>
      <c r="V1043" s="250" t="str">
        <f>IFERROR(__xludf.DUMMYFUNCTION("""COMPUTED_VALUE"""),"#N/A")</f>
        <v>#N/A</v>
      </c>
      <c r="W1043" s="250" t="str">
        <f>IFERROR(__xludf.DUMMYFUNCTION("""COMPUTED_VALUE"""),"#N/A")</f>
        <v>#N/A</v>
      </c>
      <c r="X1043" t="b">
        <f t="shared" ref="X1043:Z1043" si="2062">ISBLANK(K1043)</f>
        <v>1</v>
      </c>
      <c r="Y1043" t="b">
        <f t="shared" si="2062"/>
        <v>0</v>
      </c>
      <c r="Z1043" t="b">
        <f t="shared" si="2062"/>
        <v>0</v>
      </c>
      <c r="AA1043">
        <f t="shared" ref="AA1043:AC1043" si="2063">IF(X1043=FALSE,1,0)</f>
        <v>0</v>
      </c>
      <c r="AB1043">
        <f t="shared" si="2063"/>
        <v>1</v>
      </c>
      <c r="AC1043">
        <f t="shared" si="2063"/>
        <v>1</v>
      </c>
      <c r="AD1043">
        <f t="shared" si="6"/>
        <v>2</v>
      </c>
      <c r="AE1043">
        <f t="shared" si="7"/>
        <v>1</v>
      </c>
    </row>
    <row r="1044">
      <c r="B1044" t="str">
        <f>IFERROR(__xludf.DUMMYFUNCTION("""COMPUTED_VALUE"""),"")</f>
        <v/>
      </c>
      <c r="C1044" t="str">
        <f>IFERROR(__xludf.DUMMYFUNCTION("""COMPUTED_VALUE"""),"")</f>
        <v/>
      </c>
      <c r="D1044" t="str">
        <f>IFERROR(__xludf.DUMMYFUNCTION("""COMPUTED_VALUE"""),"")</f>
        <v/>
      </c>
      <c r="E1044" t="str">
        <f>IFERROR(__xludf.DUMMYFUNCTION("""COMPUTED_VALUE"""),"")</f>
        <v/>
      </c>
      <c r="F1044" t="str">
        <f>IFERROR(__xludf.DUMMYFUNCTION("""COMPUTED_VALUE"""),"")</f>
        <v/>
      </c>
      <c r="G1044" t="str">
        <f>IFERROR(__xludf.DUMMYFUNCTION("""COMPUTED_VALUE"""),"")</f>
        <v/>
      </c>
      <c r="H1044" t="str">
        <f>IFERROR(__xludf.DUMMYFUNCTION("""COMPUTED_VALUE"""),"")</f>
        <v/>
      </c>
      <c r="I1044" t="str">
        <f>IFERROR(__xludf.DUMMYFUNCTION("""COMPUTED_VALUE"""),"")</f>
        <v/>
      </c>
      <c r="J1044">
        <f>IFERROR(__xludf.DUMMYFUNCTION("""COMPUTED_VALUE"""),0.0)</f>
        <v>0</v>
      </c>
      <c r="L1044" s="250" t="str">
        <f>IFERROR(__xludf.DUMMYFUNCTION("""COMPUTED_VALUE"""),"")</f>
        <v/>
      </c>
      <c r="M1044" s="250" t="str">
        <f>IFERROR(__xludf.DUMMYFUNCTION("""COMPUTED_VALUE"""),"")</f>
        <v/>
      </c>
      <c r="N1044" s="250" t="str">
        <f>IFERROR(__xludf.DUMMYFUNCTION("""COMPUTED_VALUE"""),"")</f>
        <v/>
      </c>
      <c r="O1044" s="250" t="str">
        <f>IFERROR(__xludf.DUMMYFUNCTION("""COMPUTED_VALUE"""),"")</f>
        <v/>
      </c>
      <c r="P1044" s="250" t="str">
        <f>IFERROR(__xludf.DUMMYFUNCTION("""COMPUTED_VALUE"""),"")</f>
        <v/>
      </c>
      <c r="Q1044" s="250" t="str">
        <f>IFERROR(__xludf.DUMMYFUNCTION("""COMPUTED_VALUE"""),"")</f>
        <v/>
      </c>
      <c r="R1044" s="250" t="str">
        <f>IFERROR(__xludf.DUMMYFUNCTION("""COMPUTED_VALUE"""),"")</f>
        <v/>
      </c>
      <c r="U1044" s="250" t="str">
        <f>IFERROR(__xludf.DUMMYFUNCTION("""COMPUTED_VALUE"""),"#N/A")</f>
        <v>#N/A</v>
      </c>
      <c r="V1044" s="250" t="str">
        <f>IFERROR(__xludf.DUMMYFUNCTION("""COMPUTED_VALUE"""),"#N/A")</f>
        <v>#N/A</v>
      </c>
      <c r="W1044" s="250" t="str">
        <f>IFERROR(__xludf.DUMMYFUNCTION("""COMPUTED_VALUE"""),"#N/A")</f>
        <v>#N/A</v>
      </c>
      <c r="X1044" t="b">
        <f t="shared" ref="X1044:Z1044" si="2064">ISBLANK(K1044)</f>
        <v>1</v>
      </c>
      <c r="Y1044" t="b">
        <f t="shared" si="2064"/>
        <v>0</v>
      </c>
      <c r="Z1044" t="b">
        <f t="shared" si="2064"/>
        <v>0</v>
      </c>
      <c r="AA1044">
        <f t="shared" ref="AA1044:AC1044" si="2065">IF(X1044=FALSE,1,0)</f>
        <v>0</v>
      </c>
      <c r="AB1044">
        <f t="shared" si="2065"/>
        <v>1</v>
      </c>
      <c r="AC1044">
        <f t="shared" si="2065"/>
        <v>1</v>
      </c>
      <c r="AD1044">
        <f t="shared" si="6"/>
        <v>2</v>
      </c>
      <c r="AE1044">
        <f t="shared" si="7"/>
        <v>1</v>
      </c>
    </row>
    <row r="1045">
      <c r="B1045" t="str">
        <f>IFERROR(__xludf.DUMMYFUNCTION("""COMPUTED_VALUE"""),"")</f>
        <v/>
      </c>
      <c r="C1045" t="str">
        <f>IFERROR(__xludf.DUMMYFUNCTION("""COMPUTED_VALUE"""),"")</f>
        <v/>
      </c>
      <c r="D1045" t="str">
        <f>IFERROR(__xludf.DUMMYFUNCTION("""COMPUTED_VALUE"""),"")</f>
        <v/>
      </c>
      <c r="E1045" t="str">
        <f>IFERROR(__xludf.DUMMYFUNCTION("""COMPUTED_VALUE"""),"")</f>
        <v/>
      </c>
      <c r="F1045" t="str">
        <f>IFERROR(__xludf.DUMMYFUNCTION("""COMPUTED_VALUE"""),"")</f>
        <v/>
      </c>
      <c r="G1045" t="str">
        <f>IFERROR(__xludf.DUMMYFUNCTION("""COMPUTED_VALUE"""),"")</f>
        <v/>
      </c>
      <c r="H1045" t="str">
        <f>IFERROR(__xludf.DUMMYFUNCTION("""COMPUTED_VALUE"""),"")</f>
        <v/>
      </c>
      <c r="I1045" t="str">
        <f>IFERROR(__xludf.DUMMYFUNCTION("""COMPUTED_VALUE"""),"")</f>
        <v/>
      </c>
      <c r="J1045">
        <f>IFERROR(__xludf.DUMMYFUNCTION("""COMPUTED_VALUE"""),0.0)</f>
        <v>0</v>
      </c>
      <c r="L1045" s="250" t="str">
        <f>IFERROR(__xludf.DUMMYFUNCTION("""COMPUTED_VALUE"""),"")</f>
        <v/>
      </c>
      <c r="M1045" s="250" t="str">
        <f>IFERROR(__xludf.DUMMYFUNCTION("""COMPUTED_VALUE"""),"")</f>
        <v/>
      </c>
      <c r="N1045" s="250" t="str">
        <f>IFERROR(__xludf.DUMMYFUNCTION("""COMPUTED_VALUE"""),"")</f>
        <v/>
      </c>
      <c r="O1045" s="250" t="str">
        <f>IFERROR(__xludf.DUMMYFUNCTION("""COMPUTED_VALUE"""),"")</f>
        <v/>
      </c>
      <c r="P1045" s="250" t="str">
        <f>IFERROR(__xludf.DUMMYFUNCTION("""COMPUTED_VALUE"""),"")</f>
        <v/>
      </c>
      <c r="Q1045" s="250" t="str">
        <f>IFERROR(__xludf.DUMMYFUNCTION("""COMPUTED_VALUE"""),"")</f>
        <v/>
      </c>
      <c r="R1045" s="250" t="str">
        <f>IFERROR(__xludf.DUMMYFUNCTION("""COMPUTED_VALUE"""),"")</f>
        <v/>
      </c>
      <c r="U1045" s="250" t="str">
        <f>IFERROR(__xludf.DUMMYFUNCTION("""COMPUTED_VALUE"""),"#N/A")</f>
        <v>#N/A</v>
      </c>
      <c r="V1045" s="250" t="str">
        <f>IFERROR(__xludf.DUMMYFUNCTION("""COMPUTED_VALUE"""),"#N/A")</f>
        <v>#N/A</v>
      </c>
      <c r="W1045" s="250" t="str">
        <f>IFERROR(__xludf.DUMMYFUNCTION("""COMPUTED_VALUE"""),"#N/A")</f>
        <v>#N/A</v>
      </c>
      <c r="X1045" t="b">
        <f t="shared" ref="X1045:Z1045" si="2066">ISBLANK(K1045)</f>
        <v>1</v>
      </c>
      <c r="Y1045" t="b">
        <f t="shared" si="2066"/>
        <v>0</v>
      </c>
      <c r="Z1045" t="b">
        <f t="shared" si="2066"/>
        <v>0</v>
      </c>
      <c r="AA1045">
        <f t="shared" ref="AA1045:AC1045" si="2067">IF(X1045=FALSE,1,0)</f>
        <v>0</v>
      </c>
      <c r="AB1045">
        <f t="shared" si="2067"/>
        <v>1</v>
      </c>
      <c r="AC1045">
        <f t="shared" si="2067"/>
        <v>1</v>
      </c>
      <c r="AD1045">
        <f t="shared" si="6"/>
        <v>2</v>
      </c>
      <c r="AE1045">
        <f t="shared" si="7"/>
        <v>1</v>
      </c>
    </row>
    <row r="1046">
      <c r="B1046" t="str">
        <f>IFERROR(__xludf.DUMMYFUNCTION("""COMPUTED_VALUE"""),"")</f>
        <v/>
      </c>
      <c r="C1046" t="str">
        <f>IFERROR(__xludf.DUMMYFUNCTION("""COMPUTED_VALUE"""),"")</f>
        <v/>
      </c>
      <c r="D1046" t="str">
        <f>IFERROR(__xludf.DUMMYFUNCTION("""COMPUTED_VALUE"""),"")</f>
        <v/>
      </c>
      <c r="E1046" t="str">
        <f>IFERROR(__xludf.DUMMYFUNCTION("""COMPUTED_VALUE"""),"")</f>
        <v/>
      </c>
      <c r="F1046" t="str">
        <f>IFERROR(__xludf.DUMMYFUNCTION("""COMPUTED_VALUE"""),"")</f>
        <v/>
      </c>
      <c r="G1046" t="str">
        <f>IFERROR(__xludf.DUMMYFUNCTION("""COMPUTED_VALUE"""),"")</f>
        <v/>
      </c>
      <c r="H1046" t="str">
        <f>IFERROR(__xludf.DUMMYFUNCTION("""COMPUTED_VALUE"""),"")</f>
        <v/>
      </c>
      <c r="I1046" t="str">
        <f>IFERROR(__xludf.DUMMYFUNCTION("""COMPUTED_VALUE"""),"")</f>
        <v/>
      </c>
      <c r="J1046">
        <f>IFERROR(__xludf.DUMMYFUNCTION("""COMPUTED_VALUE"""),0.0)</f>
        <v>0</v>
      </c>
      <c r="L1046" s="250" t="str">
        <f>IFERROR(__xludf.DUMMYFUNCTION("""COMPUTED_VALUE"""),"")</f>
        <v/>
      </c>
      <c r="M1046" s="250" t="str">
        <f>IFERROR(__xludf.DUMMYFUNCTION("""COMPUTED_VALUE"""),"")</f>
        <v/>
      </c>
      <c r="N1046" s="250" t="str">
        <f>IFERROR(__xludf.DUMMYFUNCTION("""COMPUTED_VALUE"""),"")</f>
        <v/>
      </c>
      <c r="O1046" s="250" t="str">
        <f>IFERROR(__xludf.DUMMYFUNCTION("""COMPUTED_VALUE"""),"")</f>
        <v/>
      </c>
      <c r="P1046" s="250" t="str">
        <f>IFERROR(__xludf.DUMMYFUNCTION("""COMPUTED_VALUE"""),"")</f>
        <v/>
      </c>
      <c r="Q1046" s="250" t="str">
        <f>IFERROR(__xludf.DUMMYFUNCTION("""COMPUTED_VALUE"""),"")</f>
        <v/>
      </c>
      <c r="R1046" s="250" t="str">
        <f>IFERROR(__xludf.DUMMYFUNCTION("""COMPUTED_VALUE"""),"")</f>
        <v/>
      </c>
      <c r="U1046" s="250" t="str">
        <f>IFERROR(__xludf.DUMMYFUNCTION("""COMPUTED_VALUE"""),"#N/A")</f>
        <v>#N/A</v>
      </c>
      <c r="V1046" s="250" t="str">
        <f>IFERROR(__xludf.DUMMYFUNCTION("""COMPUTED_VALUE"""),"#N/A")</f>
        <v>#N/A</v>
      </c>
      <c r="W1046" s="250" t="str">
        <f>IFERROR(__xludf.DUMMYFUNCTION("""COMPUTED_VALUE"""),"#N/A")</f>
        <v>#N/A</v>
      </c>
      <c r="X1046" t="b">
        <f t="shared" ref="X1046:Z1046" si="2068">ISBLANK(K1046)</f>
        <v>1</v>
      </c>
      <c r="Y1046" t="b">
        <f t="shared" si="2068"/>
        <v>0</v>
      </c>
      <c r="Z1046" t="b">
        <f t="shared" si="2068"/>
        <v>0</v>
      </c>
      <c r="AA1046">
        <f t="shared" ref="AA1046:AC1046" si="2069">IF(X1046=FALSE,1,0)</f>
        <v>0</v>
      </c>
      <c r="AB1046">
        <f t="shared" si="2069"/>
        <v>1</v>
      </c>
      <c r="AC1046">
        <f t="shared" si="2069"/>
        <v>1</v>
      </c>
      <c r="AD1046">
        <f t="shared" si="6"/>
        <v>2</v>
      </c>
      <c r="AE1046">
        <f t="shared" si="7"/>
        <v>1</v>
      </c>
    </row>
    <row r="1047">
      <c r="B1047" t="str">
        <f>IFERROR(__xludf.DUMMYFUNCTION("""COMPUTED_VALUE"""),"")</f>
        <v/>
      </c>
      <c r="C1047" t="str">
        <f>IFERROR(__xludf.DUMMYFUNCTION("""COMPUTED_VALUE"""),"")</f>
        <v/>
      </c>
      <c r="D1047" t="str">
        <f>IFERROR(__xludf.DUMMYFUNCTION("""COMPUTED_VALUE"""),"")</f>
        <v/>
      </c>
      <c r="E1047" t="str">
        <f>IFERROR(__xludf.DUMMYFUNCTION("""COMPUTED_VALUE"""),"")</f>
        <v/>
      </c>
      <c r="F1047" t="str">
        <f>IFERROR(__xludf.DUMMYFUNCTION("""COMPUTED_VALUE"""),"")</f>
        <v/>
      </c>
      <c r="G1047" t="str">
        <f>IFERROR(__xludf.DUMMYFUNCTION("""COMPUTED_VALUE"""),"")</f>
        <v/>
      </c>
      <c r="H1047" t="str">
        <f>IFERROR(__xludf.DUMMYFUNCTION("""COMPUTED_VALUE"""),"")</f>
        <v/>
      </c>
      <c r="I1047" t="str">
        <f>IFERROR(__xludf.DUMMYFUNCTION("""COMPUTED_VALUE"""),"")</f>
        <v/>
      </c>
      <c r="J1047">
        <f>IFERROR(__xludf.DUMMYFUNCTION("""COMPUTED_VALUE"""),0.0)</f>
        <v>0</v>
      </c>
      <c r="L1047" s="250" t="str">
        <f>IFERROR(__xludf.DUMMYFUNCTION("""COMPUTED_VALUE"""),"")</f>
        <v/>
      </c>
      <c r="M1047" s="250" t="str">
        <f>IFERROR(__xludf.DUMMYFUNCTION("""COMPUTED_VALUE"""),"")</f>
        <v/>
      </c>
      <c r="N1047" s="250" t="str">
        <f>IFERROR(__xludf.DUMMYFUNCTION("""COMPUTED_VALUE"""),"")</f>
        <v/>
      </c>
      <c r="O1047" s="250" t="str">
        <f>IFERROR(__xludf.DUMMYFUNCTION("""COMPUTED_VALUE"""),"")</f>
        <v/>
      </c>
      <c r="P1047" s="250" t="str">
        <f>IFERROR(__xludf.DUMMYFUNCTION("""COMPUTED_VALUE"""),"")</f>
        <v/>
      </c>
      <c r="Q1047" s="250" t="str">
        <f>IFERROR(__xludf.DUMMYFUNCTION("""COMPUTED_VALUE"""),"")</f>
        <v/>
      </c>
      <c r="R1047" s="250" t="str">
        <f>IFERROR(__xludf.DUMMYFUNCTION("""COMPUTED_VALUE"""),"")</f>
        <v/>
      </c>
      <c r="U1047" s="250" t="str">
        <f>IFERROR(__xludf.DUMMYFUNCTION("""COMPUTED_VALUE"""),"#N/A")</f>
        <v>#N/A</v>
      </c>
      <c r="V1047" s="250" t="str">
        <f>IFERROR(__xludf.DUMMYFUNCTION("""COMPUTED_VALUE"""),"#N/A")</f>
        <v>#N/A</v>
      </c>
      <c r="W1047" s="250" t="str">
        <f>IFERROR(__xludf.DUMMYFUNCTION("""COMPUTED_VALUE"""),"#N/A")</f>
        <v>#N/A</v>
      </c>
      <c r="X1047" t="b">
        <f t="shared" ref="X1047:Z1047" si="2070">ISBLANK(K1047)</f>
        <v>1</v>
      </c>
      <c r="Y1047" t="b">
        <f t="shared" si="2070"/>
        <v>0</v>
      </c>
      <c r="Z1047" t="b">
        <f t="shared" si="2070"/>
        <v>0</v>
      </c>
      <c r="AA1047">
        <f t="shared" ref="AA1047:AC1047" si="2071">IF(X1047=FALSE,1,0)</f>
        <v>0</v>
      </c>
      <c r="AB1047">
        <f t="shared" si="2071"/>
        <v>1</v>
      </c>
      <c r="AC1047">
        <f t="shared" si="2071"/>
        <v>1</v>
      </c>
      <c r="AD1047">
        <f t="shared" si="6"/>
        <v>2</v>
      </c>
      <c r="AE1047">
        <f t="shared" si="7"/>
        <v>1</v>
      </c>
    </row>
    <row r="1048">
      <c r="B1048" t="str">
        <f>IFERROR(__xludf.DUMMYFUNCTION("""COMPUTED_VALUE"""),"")</f>
        <v/>
      </c>
      <c r="C1048" t="str">
        <f>IFERROR(__xludf.DUMMYFUNCTION("""COMPUTED_VALUE"""),"")</f>
        <v/>
      </c>
      <c r="D1048" t="str">
        <f>IFERROR(__xludf.DUMMYFUNCTION("""COMPUTED_VALUE"""),"")</f>
        <v/>
      </c>
      <c r="E1048" t="str">
        <f>IFERROR(__xludf.DUMMYFUNCTION("""COMPUTED_VALUE"""),"")</f>
        <v/>
      </c>
      <c r="F1048" t="str">
        <f>IFERROR(__xludf.DUMMYFUNCTION("""COMPUTED_VALUE"""),"")</f>
        <v/>
      </c>
      <c r="G1048" t="str">
        <f>IFERROR(__xludf.DUMMYFUNCTION("""COMPUTED_VALUE"""),"")</f>
        <v/>
      </c>
      <c r="H1048" t="str">
        <f>IFERROR(__xludf.DUMMYFUNCTION("""COMPUTED_VALUE"""),"")</f>
        <v/>
      </c>
      <c r="I1048" t="str">
        <f>IFERROR(__xludf.DUMMYFUNCTION("""COMPUTED_VALUE"""),"")</f>
        <v/>
      </c>
      <c r="J1048">
        <f>IFERROR(__xludf.DUMMYFUNCTION("""COMPUTED_VALUE"""),0.0)</f>
        <v>0</v>
      </c>
      <c r="L1048" s="250" t="str">
        <f>IFERROR(__xludf.DUMMYFUNCTION("""COMPUTED_VALUE"""),"")</f>
        <v/>
      </c>
      <c r="M1048" s="250" t="str">
        <f>IFERROR(__xludf.DUMMYFUNCTION("""COMPUTED_VALUE"""),"")</f>
        <v/>
      </c>
      <c r="N1048" s="250" t="str">
        <f>IFERROR(__xludf.DUMMYFUNCTION("""COMPUTED_VALUE"""),"")</f>
        <v/>
      </c>
      <c r="O1048" s="250" t="str">
        <f>IFERROR(__xludf.DUMMYFUNCTION("""COMPUTED_VALUE"""),"")</f>
        <v/>
      </c>
      <c r="P1048" s="250" t="str">
        <f>IFERROR(__xludf.DUMMYFUNCTION("""COMPUTED_VALUE"""),"")</f>
        <v/>
      </c>
      <c r="Q1048" s="250" t="str">
        <f>IFERROR(__xludf.DUMMYFUNCTION("""COMPUTED_VALUE"""),"")</f>
        <v/>
      </c>
      <c r="R1048" s="250" t="str">
        <f>IFERROR(__xludf.DUMMYFUNCTION("""COMPUTED_VALUE"""),"")</f>
        <v/>
      </c>
      <c r="U1048" s="250" t="str">
        <f>IFERROR(__xludf.DUMMYFUNCTION("""COMPUTED_VALUE"""),"#N/A")</f>
        <v>#N/A</v>
      </c>
      <c r="V1048" s="250" t="str">
        <f>IFERROR(__xludf.DUMMYFUNCTION("""COMPUTED_VALUE"""),"#N/A")</f>
        <v>#N/A</v>
      </c>
      <c r="W1048" s="250" t="str">
        <f>IFERROR(__xludf.DUMMYFUNCTION("""COMPUTED_VALUE"""),"#N/A")</f>
        <v>#N/A</v>
      </c>
      <c r="X1048" t="b">
        <f t="shared" ref="X1048:Z1048" si="2072">ISBLANK(K1048)</f>
        <v>1</v>
      </c>
      <c r="Y1048" t="b">
        <f t="shared" si="2072"/>
        <v>0</v>
      </c>
      <c r="Z1048" t="b">
        <f t="shared" si="2072"/>
        <v>0</v>
      </c>
      <c r="AA1048">
        <f t="shared" ref="AA1048:AC1048" si="2073">IF(X1048=FALSE,1,0)</f>
        <v>0</v>
      </c>
      <c r="AB1048">
        <f t="shared" si="2073"/>
        <v>1</v>
      </c>
      <c r="AC1048">
        <f t="shared" si="2073"/>
        <v>1</v>
      </c>
      <c r="AD1048">
        <f t="shared" si="6"/>
        <v>2</v>
      </c>
      <c r="AE1048">
        <f t="shared" si="7"/>
        <v>1</v>
      </c>
    </row>
    <row r="1049">
      <c r="B1049" t="str">
        <f>IFERROR(__xludf.DUMMYFUNCTION("""COMPUTED_VALUE"""),"")</f>
        <v/>
      </c>
      <c r="C1049" t="str">
        <f>IFERROR(__xludf.DUMMYFUNCTION("""COMPUTED_VALUE"""),"")</f>
        <v/>
      </c>
      <c r="D1049" t="str">
        <f>IFERROR(__xludf.DUMMYFUNCTION("""COMPUTED_VALUE"""),"")</f>
        <v/>
      </c>
      <c r="E1049" t="str">
        <f>IFERROR(__xludf.DUMMYFUNCTION("""COMPUTED_VALUE"""),"")</f>
        <v/>
      </c>
      <c r="F1049" t="str">
        <f>IFERROR(__xludf.DUMMYFUNCTION("""COMPUTED_VALUE"""),"")</f>
        <v/>
      </c>
      <c r="G1049" t="str">
        <f>IFERROR(__xludf.DUMMYFUNCTION("""COMPUTED_VALUE"""),"")</f>
        <v/>
      </c>
      <c r="H1049" t="str">
        <f>IFERROR(__xludf.DUMMYFUNCTION("""COMPUTED_VALUE"""),"")</f>
        <v/>
      </c>
      <c r="I1049" t="str">
        <f>IFERROR(__xludf.DUMMYFUNCTION("""COMPUTED_VALUE"""),"")</f>
        <v/>
      </c>
      <c r="J1049">
        <f>IFERROR(__xludf.DUMMYFUNCTION("""COMPUTED_VALUE"""),0.0)</f>
        <v>0</v>
      </c>
      <c r="L1049" s="250" t="str">
        <f>IFERROR(__xludf.DUMMYFUNCTION("""COMPUTED_VALUE"""),"")</f>
        <v/>
      </c>
      <c r="M1049" s="250" t="str">
        <f>IFERROR(__xludf.DUMMYFUNCTION("""COMPUTED_VALUE"""),"")</f>
        <v/>
      </c>
      <c r="N1049" s="250" t="str">
        <f>IFERROR(__xludf.DUMMYFUNCTION("""COMPUTED_VALUE"""),"")</f>
        <v/>
      </c>
      <c r="O1049" s="250" t="str">
        <f>IFERROR(__xludf.DUMMYFUNCTION("""COMPUTED_VALUE"""),"")</f>
        <v/>
      </c>
      <c r="P1049" s="250" t="str">
        <f>IFERROR(__xludf.DUMMYFUNCTION("""COMPUTED_VALUE"""),"")</f>
        <v/>
      </c>
      <c r="Q1049" s="250" t="str">
        <f>IFERROR(__xludf.DUMMYFUNCTION("""COMPUTED_VALUE"""),"")</f>
        <v/>
      </c>
      <c r="R1049" s="250" t="str">
        <f>IFERROR(__xludf.DUMMYFUNCTION("""COMPUTED_VALUE"""),"")</f>
        <v/>
      </c>
      <c r="U1049" s="250" t="str">
        <f>IFERROR(__xludf.DUMMYFUNCTION("""COMPUTED_VALUE"""),"#N/A")</f>
        <v>#N/A</v>
      </c>
      <c r="V1049" s="250" t="str">
        <f>IFERROR(__xludf.DUMMYFUNCTION("""COMPUTED_VALUE"""),"#N/A")</f>
        <v>#N/A</v>
      </c>
      <c r="W1049" s="250" t="str">
        <f>IFERROR(__xludf.DUMMYFUNCTION("""COMPUTED_VALUE"""),"#N/A")</f>
        <v>#N/A</v>
      </c>
      <c r="X1049" t="b">
        <f t="shared" ref="X1049:Z1049" si="2074">ISBLANK(K1049)</f>
        <v>1</v>
      </c>
      <c r="Y1049" t="b">
        <f t="shared" si="2074"/>
        <v>0</v>
      </c>
      <c r="Z1049" t="b">
        <f t="shared" si="2074"/>
        <v>0</v>
      </c>
      <c r="AA1049">
        <f t="shared" ref="AA1049:AC1049" si="2075">IF(X1049=FALSE,1,0)</f>
        <v>0</v>
      </c>
      <c r="AB1049">
        <f t="shared" si="2075"/>
        <v>1</v>
      </c>
      <c r="AC1049">
        <f t="shared" si="2075"/>
        <v>1</v>
      </c>
      <c r="AD1049">
        <f t="shared" si="6"/>
        <v>2</v>
      </c>
      <c r="AE1049">
        <f t="shared" si="7"/>
        <v>1</v>
      </c>
    </row>
    <row r="1050">
      <c r="B1050" t="str">
        <f>IFERROR(__xludf.DUMMYFUNCTION("""COMPUTED_VALUE"""),"")</f>
        <v/>
      </c>
      <c r="C1050" t="str">
        <f>IFERROR(__xludf.DUMMYFUNCTION("""COMPUTED_VALUE"""),"")</f>
        <v/>
      </c>
      <c r="D1050" t="str">
        <f>IFERROR(__xludf.DUMMYFUNCTION("""COMPUTED_VALUE"""),"")</f>
        <v/>
      </c>
      <c r="E1050" t="str">
        <f>IFERROR(__xludf.DUMMYFUNCTION("""COMPUTED_VALUE"""),"")</f>
        <v/>
      </c>
      <c r="F1050" t="str">
        <f>IFERROR(__xludf.DUMMYFUNCTION("""COMPUTED_VALUE"""),"")</f>
        <v/>
      </c>
      <c r="G1050" t="str">
        <f>IFERROR(__xludf.DUMMYFUNCTION("""COMPUTED_VALUE"""),"")</f>
        <v/>
      </c>
      <c r="H1050" t="str">
        <f>IFERROR(__xludf.DUMMYFUNCTION("""COMPUTED_VALUE"""),"")</f>
        <v/>
      </c>
      <c r="I1050" t="str">
        <f>IFERROR(__xludf.DUMMYFUNCTION("""COMPUTED_VALUE"""),"")</f>
        <v/>
      </c>
      <c r="J1050">
        <f>IFERROR(__xludf.DUMMYFUNCTION("""COMPUTED_VALUE"""),0.0)</f>
        <v>0</v>
      </c>
      <c r="L1050" s="250" t="str">
        <f>IFERROR(__xludf.DUMMYFUNCTION("""COMPUTED_VALUE"""),"")</f>
        <v/>
      </c>
      <c r="M1050" s="250" t="str">
        <f>IFERROR(__xludf.DUMMYFUNCTION("""COMPUTED_VALUE"""),"")</f>
        <v/>
      </c>
      <c r="N1050" s="250" t="str">
        <f>IFERROR(__xludf.DUMMYFUNCTION("""COMPUTED_VALUE"""),"")</f>
        <v/>
      </c>
      <c r="O1050" s="250" t="str">
        <f>IFERROR(__xludf.DUMMYFUNCTION("""COMPUTED_VALUE"""),"")</f>
        <v/>
      </c>
      <c r="P1050" s="250" t="str">
        <f>IFERROR(__xludf.DUMMYFUNCTION("""COMPUTED_VALUE"""),"")</f>
        <v/>
      </c>
      <c r="Q1050" s="250" t="str">
        <f>IFERROR(__xludf.DUMMYFUNCTION("""COMPUTED_VALUE"""),"")</f>
        <v/>
      </c>
      <c r="R1050" s="250" t="str">
        <f>IFERROR(__xludf.DUMMYFUNCTION("""COMPUTED_VALUE"""),"")</f>
        <v/>
      </c>
      <c r="U1050" s="250" t="str">
        <f>IFERROR(__xludf.DUMMYFUNCTION("""COMPUTED_VALUE"""),"#N/A")</f>
        <v>#N/A</v>
      </c>
      <c r="V1050" s="250" t="str">
        <f>IFERROR(__xludf.DUMMYFUNCTION("""COMPUTED_VALUE"""),"#N/A")</f>
        <v>#N/A</v>
      </c>
      <c r="W1050" s="250" t="str">
        <f>IFERROR(__xludf.DUMMYFUNCTION("""COMPUTED_VALUE"""),"#N/A")</f>
        <v>#N/A</v>
      </c>
      <c r="X1050" t="b">
        <f t="shared" ref="X1050:Z1050" si="2076">ISBLANK(K1050)</f>
        <v>1</v>
      </c>
      <c r="Y1050" t="b">
        <f t="shared" si="2076"/>
        <v>0</v>
      </c>
      <c r="Z1050" t="b">
        <f t="shared" si="2076"/>
        <v>0</v>
      </c>
      <c r="AA1050">
        <f t="shared" ref="AA1050:AC1050" si="2077">IF(X1050=FALSE,1,0)</f>
        <v>0</v>
      </c>
      <c r="AB1050">
        <f t="shared" si="2077"/>
        <v>1</v>
      </c>
      <c r="AC1050">
        <f t="shared" si="2077"/>
        <v>1</v>
      </c>
      <c r="AD1050">
        <f t="shared" si="6"/>
        <v>2</v>
      </c>
      <c r="AE1050">
        <f t="shared" si="7"/>
        <v>1</v>
      </c>
    </row>
    <row r="1051">
      <c r="B1051" t="str">
        <f>IFERROR(__xludf.DUMMYFUNCTION("""COMPUTED_VALUE"""),"")</f>
        <v/>
      </c>
      <c r="C1051" t="str">
        <f>IFERROR(__xludf.DUMMYFUNCTION("""COMPUTED_VALUE"""),"")</f>
        <v/>
      </c>
      <c r="D1051" t="str">
        <f>IFERROR(__xludf.DUMMYFUNCTION("""COMPUTED_VALUE"""),"")</f>
        <v/>
      </c>
      <c r="E1051" t="str">
        <f>IFERROR(__xludf.DUMMYFUNCTION("""COMPUTED_VALUE"""),"")</f>
        <v/>
      </c>
      <c r="F1051" t="str">
        <f>IFERROR(__xludf.DUMMYFUNCTION("""COMPUTED_VALUE"""),"")</f>
        <v/>
      </c>
      <c r="G1051" t="str">
        <f>IFERROR(__xludf.DUMMYFUNCTION("""COMPUTED_VALUE"""),"")</f>
        <v/>
      </c>
      <c r="H1051" t="str">
        <f>IFERROR(__xludf.DUMMYFUNCTION("""COMPUTED_VALUE"""),"")</f>
        <v/>
      </c>
      <c r="I1051" t="str">
        <f>IFERROR(__xludf.DUMMYFUNCTION("""COMPUTED_VALUE"""),"")</f>
        <v/>
      </c>
      <c r="J1051">
        <f>IFERROR(__xludf.DUMMYFUNCTION("""COMPUTED_VALUE"""),0.0)</f>
        <v>0</v>
      </c>
      <c r="L1051" s="250" t="str">
        <f>IFERROR(__xludf.DUMMYFUNCTION("""COMPUTED_VALUE"""),"")</f>
        <v/>
      </c>
      <c r="M1051" s="250" t="str">
        <f>IFERROR(__xludf.DUMMYFUNCTION("""COMPUTED_VALUE"""),"")</f>
        <v/>
      </c>
      <c r="N1051" s="250" t="str">
        <f>IFERROR(__xludf.DUMMYFUNCTION("""COMPUTED_VALUE"""),"")</f>
        <v/>
      </c>
      <c r="O1051" s="250" t="str">
        <f>IFERROR(__xludf.DUMMYFUNCTION("""COMPUTED_VALUE"""),"")</f>
        <v/>
      </c>
      <c r="P1051" s="250" t="str">
        <f>IFERROR(__xludf.DUMMYFUNCTION("""COMPUTED_VALUE"""),"")</f>
        <v/>
      </c>
      <c r="Q1051" s="250" t="str">
        <f>IFERROR(__xludf.DUMMYFUNCTION("""COMPUTED_VALUE"""),"")</f>
        <v/>
      </c>
      <c r="R1051" s="250" t="str">
        <f>IFERROR(__xludf.DUMMYFUNCTION("""COMPUTED_VALUE"""),"")</f>
        <v/>
      </c>
      <c r="U1051" s="250" t="str">
        <f>IFERROR(__xludf.DUMMYFUNCTION("""COMPUTED_VALUE"""),"#N/A")</f>
        <v>#N/A</v>
      </c>
      <c r="V1051" s="250" t="str">
        <f>IFERROR(__xludf.DUMMYFUNCTION("""COMPUTED_VALUE"""),"#N/A")</f>
        <v>#N/A</v>
      </c>
      <c r="W1051" s="250" t="str">
        <f>IFERROR(__xludf.DUMMYFUNCTION("""COMPUTED_VALUE"""),"#N/A")</f>
        <v>#N/A</v>
      </c>
      <c r="X1051" t="b">
        <f t="shared" ref="X1051:Z1051" si="2078">ISBLANK(K1051)</f>
        <v>1</v>
      </c>
      <c r="Y1051" t="b">
        <f t="shared" si="2078"/>
        <v>0</v>
      </c>
      <c r="Z1051" t="b">
        <f t="shared" si="2078"/>
        <v>0</v>
      </c>
      <c r="AA1051">
        <f t="shared" ref="AA1051:AC1051" si="2079">IF(X1051=FALSE,1,0)</f>
        <v>0</v>
      </c>
      <c r="AB1051">
        <f t="shared" si="2079"/>
        <v>1</v>
      </c>
      <c r="AC1051">
        <f t="shared" si="2079"/>
        <v>1</v>
      </c>
      <c r="AD1051">
        <f t="shared" si="6"/>
        <v>2</v>
      </c>
      <c r="AE1051">
        <f t="shared" si="7"/>
        <v>1</v>
      </c>
    </row>
    <row r="1052">
      <c r="B1052" t="str">
        <f>IFERROR(__xludf.DUMMYFUNCTION("""COMPUTED_VALUE"""),"")</f>
        <v/>
      </c>
      <c r="C1052" t="str">
        <f>IFERROR(__xludf.DUMMYFUNCTION("""COMPUTED_VALUE"""),"")</f>
        <v/>
      </c>
      <c r="D1052" t="str">
        <f>IFERROR(__xludf.DUMMYFUNCTION("""COMPUTED_VALUE"""),"")</f>
        <v/>
      </c>
      <c r="E1052" t="str">
        <f>IFERROR(__xludf.DUMMYFUNCTION("""COMPUTED_VALUE"""),"")</f>
        <v/>
      </c>
      <c r="F1052" t="str">
        <f>IFERROR(__xludf.DUMMYFUNCTION("""COMPUTED_VALUE"""),"")</f>
        <v/>
      </c>
      <c r="G1052" t="str">
        <f>IFERROR(__xludf.DUMMYFUNCTION("""COMPUTED_VALUE"""),"")</f>
        <v/>
      </c>
      <c r="H1052" t="str">
        <f>IFERROR(__xludf.DUMMYFUNCTION("""COMPUTED_VALUE"""),"")</f>
        <v/>
      </c>
      <c r="I1052" t="str">
        <f>IFERROR(__xludf.DUMMYFUNCTION("""COMPUTED_VALUE"""),"")</f>
        <v/>
      </c>
      <c r="J1052">
        <f>IFERROR(__xludf.DUMMYFUNCTION("""COMPUTED_VALUE"""),0.0)</f>
        <v>0</v>
      </c>
      <c r="L1052" s="250" t="str">
        <f>IFERROR(__xludf.DUMMYFUNCTION("""COMPUTED_VALUE"""),"")</f>
        <v/>
      </c>
      <c r="M1052" s="250" t="str">
        <f>IFERROR(__xludf.DUMMYFUNCTION("""COMPUTED_VALUE"""),"")</f>
        <v/>
      </c>
      <c r="N1052" s="250" t="str">
        <f>IFERROR(__xludf.DUMMYFUNCTION("""COMPUTED_VALUE"""),"")</f>
        <v/>
      </c>
      <c r="O1052" s="250" t="str">
        <f>IFERROR(__xludf.DUMMYFUNCTION("""COMPUTED_VALUE"""),"")</f>
        <v/>
      </c>
      <c r="P1052" s="250" t="str">
        <f>IFERROR(__xludf.DUMMYFUNCTION("""COMPUTED_VALUE"""),"")</f>
        <v/>
      </c>
      <c r="Q1052" s="250" t="str">
        <f>IFERROR(__xludf.DUMMYFUNCTION("""COMPUTED_VALUE"""),"")</f>
        <v/>
      </c>
      <c r="R1052" s="250" t="str">
        <f>IFERROR(__xludf.DUMMYFUNCTION("""COMPUTED_VALUE"""),"")</f>
        <v/>
      </c>
      <c r="U1052" s="250" t="str">
        <f>IFERROR(__xludf.DUMMYFUNCTION("""COMPUTED_VALUE"""),"#N/A")</f>
        <v>#N/A</v>
      </c>
      <c r="V1052" s="250" t="str">
        <f>IFERROR(__xludf.DUMMYFUNCTION("""COMPUTED_VALUE"""),"#N/A")</f>
        <v>#N/A</v>
      </c>
      <c r="W1052" s="250" t="str">
        <f>IFERROR(__xludf.DUMMYFUNCTION("""COMPUTED_VALUE"""),"#N/A")</f>
        <v>#N/A</v>
      </c>
      <c r="X1052" t="b">
        <f t="shared" ref="X1052:Z1052" si="2080">ISBLANK(K1052)</f>
        <v>1</v>
      </c>
      <c r="Y1052" t="b">
        <f t="shared" si="2080"/>
        <v>0</v>
      </c>
      <c r="Z1052" t="b">
        <f t="shared" si="2080"/>
        <v>0</v>
      </c>
      <c r="AA1052">
        <f t="shared" ref="AA1052:AC1052" si="2081">IF(X1052=FALSE,1,0)</f>
        <v>0</v>
      </c>
      <c r="AB1052">
        <f t="shared" si="2081"/>
        <v>1</v>
      </c>
      <c r="AC1052">
        <f t="shared" si="2081"/>
        <v>1</v>
      </c>
      <c r="AD1052">
        <f t="shared" si="6"/>
        <v>2</v>
      </c>
      <c r="AE1052">
        <f t="shared" si="7"/>
        <v>1</v>
      </c>
    </row>
    <row r="1053">
      <c r="B1053" t="str">
        <f>IFERROR(__xludf.DUMMYFUNCTION("""COMPUTED_VALUE"""),"")</f>
        <v/>
      </c>
      <c r="C1053" t="str">
        <f>IFERROR(__xludf.DUMMYFUNCTION("""COMPUTED_VALUE"""),"")</f>
        <v/>
      </c>
      <c r="D1053" t="str">
        <f>IFERROR(__xludf.DUMMYFUNCTION("""COMPUTED_VALUE"""),"")</f>
        <v/>
      </c>
      <c r="E1053" t="str">
        <f>IFERROR(__xludf.DUMMYFUNCTION("""COMPUTED_VALUE"""),"")</f>
        <v/>
      </c>
      <c r="F1053" t="str">
        <f>IFERROR(__xludf.DUMMYFUNCTION("""COMPUTED_VALUE"""),"")</f>
        <v/>
      </c>
      <c r="G1053" t="str">
        <f>IFERROR(__xludf.DUMMYFUNCTION("""COMPUTED_VALUE"""),"")</f>
        <v/>
      </c>
      <c r="H1053" t="str">
        <f>IFERROR(__xludf.DUMMYFUNCTION("""COMPUTED_VALUE"""),"")</f>
        <v/>
      </c>
      <c r="I1053" t="str">
        <f>IFERROR(__xludf.DUMMYFUNCTION("""COMPUTED_VALUE"""),"")</f>
        <v/>
      </c>
      <c r="J1053">
        <f>IFERROR(__xludf.DUMMYFUNCTION("""COMPUTED_VALUE"""),0.0)</f>
        <v>0</v>
      </c>
      <c r="L1053" s="250" t="str">
        <f>IFERROR(__xludf.DUMMYFUNCTION("""COMPUTED_VALUE"""),"")</f>
        <v/>
      </c>
      <c r="M1053" s="250" t="str">
        <f>IFERROR(__xludf.DUMMYFUNCTION("""COMPUTED_VALUE"""),"")</f>
        <v/>
      </c>
      <c r="N1053" s="250" t="str">
        <f>IFERROR(__xludf.DUMMYFUNCTION("""COMPUTED_VALUE"""),"")</f>
        <v/>
      </c>
      <c r="O1053" s="250" t="str">
        <f>IFERROR(__xludf.DUMMYFUNCTION("""COMPUTED_VALUE"""),"")</f>
        <v/>
      </c>
      <c r="P1053" s="250" t="str">
        <f>IFERROR(__xludf.DUMMYFUNCTION("""COMPUTED_VALUE"""),"")</f>
        <v/>
      </c>
      <c r="Q1053" s="250" t="str">
        <f>IFERROR(__xludf.DUMMYFUNCTION("""COMPUTED_VALUE"""),"")</f>
        <v/>
      </c>
      <c r="R1053" s="250" t="str">
        <f>IFERROR(__xludf.DUMMYFUNCTION("""COMPUTED_VALUE"""),"")</f>
        <v/>
      </c>
      <c r="U1053" s="250" t="str">
        <f>IFERROR(__xludf.DUMMYFUNCTION("""COMPUTED_VALUE"""),"#N/A")</f>
        <v>#N/A</v>
      </c>
      <c r="V1053" s="250" t="str">
        <f>IFERROR(__xludf.DUMMYFUNCTION("""COMPUTED_VALUE"""),"#N/A")</f>
        <v>#N/A</v>
      </c>
      <c r="W1053" s="250" t="str">
        <f>IFERROR(__xludf.DUMMYFUNCTION("""COMPUTED_VALUE"""),"#N/A")</f>
        <v>#N/A</v>
      </c>
      <c r="X1053" t="b">
        <f t="shared" ref="X1053:Z1053" si="2082">ISBLANK(K1053)</f>
        <v>1</v>
      </c>
      <c r="Y1053" t="b">
        <f t="shared" si="2082"/>
        <v>0</v>
      </c>
      <c r="Z1053" t="b">
        <f t="shared" si="2082"/>
        <v>0</v>
      </c>
      <c r="AA1053">
        <f t="shared" ref="AA1053:AC1053" si="2083">IF(X1053=FALSE,1,0)</f>
        <v>0</v>
      </c>
      <c r="AB1053">
        <f t="shared" si="2083"/>
        <v>1</v>
      </c>
      <c r="AC1053">
        <f t="shared" si="2083"/>
        <v>1</v>
      </c>
      <c r="AD1053">
        <f t="shared" si="6"/>
        <v>2</v>
      </c>
      <c r="AE1053">
        <f t="shared" si="7"/>
        <v>1</v>
      </c>
    </row>
    <row r="1054">
      <c r="B1054" t="str">
        <f>IFERROR(__xludf.DUMMYFUNCTION("""COMPUTED_VALUE"""),"")</f>
        <v/>
      </c>
      <c r="C1054" t="str">
        <f>IFERROR(__xludf.DUMMYFUNCTION("""COMPUTED_VALUE"""),"")</f>
        <v/>
      </c>
      <c r="D1054" t="str">
        <f>IFERROR(__xludf.DUMMYFUNCTION("""COMPUTED_VALUE"""),"")</f>
        <v/>
      </c>
      <c r="E1054" t="str">
        <f>IFERROR(__xludf.DUMMYFUNCTION("""COMPUTED_VALUE"""),"")</f>
        <v/>
      </c>
      <c r="F1054" t="str">
        <f>IFERROR(__xludf.DUMMYFUNCTION("""COMPUTED_VALUE"""),"")</f>
        <v/>
      </c>
      <c r="G1054" t="str">
        <f>IFERROR(__xludf.DUMMYFUNCTION("""COMPUTED_VALUE"""),"")</f>
        <v/>
      </c>
      <c r="H1054" t="str">
        <f>IFERROR(__xludf.DUMMYFUNCTION("""COMPUTED_VALUE"""),"")</f>
        <v/>
      </c>
      <c r="I1054" t="str">
        <f>IFERROR(__xludf.DUMMYFUNCTION("""COMPUTED_VALUE"""),"")</f>
        <v/>
      </c>
      <c r="J1054">
        <f>IFERROR(__xludf.DUMMYFUNCTION("""COMPUTED_VALUE"""),0.0)</f>
        <v>0</v>
      </c>
      <c r="L1054" s="250" t="str">
        <f>IFERROR(__xludf.DUMMYFUNCTION("""COMPUTED_VALUE"""),"")</f>
        <v/>
      </c>
      <c r="M1054" s="250" t="str">
        <f>IFERROR(__xludf.DUMMYFUNCTION("""COMPUTED_VALUE"""),"")</f>
        <v/>
      </c>
      <c r="N1054" s="250" t="str">
        <f>IFERROR(__xludf.DUMMYFUNCTION("""COMPUTED_VALUE"""),"")</f>
        <v/>
      </c>
      <c r="O1054" s="250" t="str">
        <f>IFERROR(__xludf.DUMMYFUNCTION("""COMPUTED_VALUE"""),"")</f>
        <v/>
      </c>
      <c r="P1054" s="250" t="str">
        <f>IFERROR(__xludf.DUMMYFUNCTION("""COMPUTED_VALUE"""),"")</f>
        <v/>
      </c>
      <c r="Q1054" s="250" t="str">
        <f>IFERROR(__xludf.DUMMYFUNCTION("""COMPUTED_VALUE"""),"")</f>
        <v/>
      </c>
      <c r="R1054" s="250" t="str">
        <f>IFERROR(__xludf.DUMMYFUNCTION("""COMPUTED_VALUE"""),"")</f>
        <v/>
      </c>
      <c r="U1054" s="250" t="str">
        <f>IFERROR(__xludf.DUMMYFUNCTION("""COMPUTED_VALUE"""),"#N/A")</f>
        <v>#N/A</v>
      </c>
      <c r="V1054" s="250" t="str">
        <f>IFERROR(__xludf.DUMMYFUNCTION("""COMPUTED_VALUE"""),"#N/A")</f>
        <v>#N/A</v>
      </c>
      <c r="W1054" s="250" t="str">
        <f>IFERROR(__xludf.DUMMYFUNCTION("""COMPUTED_VALUE"""),"#N/A")</f>
        <v>#N/A</v>
      </c>
      <c r="X1054" t="b">
        <f t="shared" ref="X1054:Z1054" si="2084">ISBLANK(K1054)</f>
        <v>1</v>
      </c>
      <c r="Y1054" t="b">
        <f t="shared" si="2084"/>
        <v>0</v>
      </c>
      <c r="Z1054" t="b">
        <f t="shared" si="2084"/>
        <v>0</v>
      </c>
      <c r="AA1054">
        <f t="shared" ref="AA1054:AC1054" si="2085">IF(X1054=FALSE,1,0)</f>
        <v>0</v>
      </c>
      <c r="AB1054">
        <f t="shared" si="2085"/>
        <v>1</v>
      </c>
      <c r="AC1054">
        <f t="shared" si="2085"/>
        <v>1</v>
      </c>
      <c r="AD1054">
        <f t="shared" si="6"/>
        <v>2</v>
      </c>
      <c r="AE1054">
        <f t="shared" si="7"/>
        <v>1</v>
      </c>
    </row>
    <row r="1055">
      <c r="B1055" t="str">
        <f>IFERROR(__xludf.DUMMYFUNCTION("""COMPUTED_VALUE"""),"")</f>
        <v/>
      </c>
      <c r="C1055" t="str">
        <f>IFERROR(__xludf.DUMMYFUNCTION("""COMPUTED_VALUE"""),"")</f>
        <v/>
      </c>
      <c r="D1055" t="str">
        <f>IFERROR(__xludf.DUMMYFUNCTION("""COMPUTED_VALUE"""),"")</f>
        <v/>
      </c>
      <c r="E1055" t="str">
        <f>IFERROR(__xludf.DUMMYFUNCTION("""COMPUTED_VALUE"""),"")</f>
        <v/>
      </c>
      <c r="F1055" t="str">
        <f>IFERROR(__xludf.DUMMYFUNCTION("""COMPUTED_VALUE"""),"")</f>
        <v/>
      </c>
      <c r="G1055" t="str">
        <f>IFERROR(__xludf.DUMMYFUNCTION("""COMPUTED_VALUE"""),"")</f>
        <v/>
      </c>
      <c r="H1055" t="str">
        <f>IFERROR(__xludf.DUMMYFUNCTION("""COMPUTED_VALUE"""),"")</f>
        <v/>
      </c>
      <c r="I1055" t="str">
        <f>IFERROR(__xludf.DUMMYFUNCTION("""COMPUTED_VALUE"""),"")</f>
        <v/>
      </c>
      <c r="J1055">
        <f>IFERROR(__xludf.DUMMYFUNCTION("""COMPUTED_VALUE"""),0.0)</f>
        <v>0</v>
      </c>
      <c r="L1055" s="250" t="str">
        <f>IFERROR(__xludf.DUMMYFUNCTION("""COMPUTED_VALUE"""),"")</f>
        <v/>
      </c>
      <c r="M1055" s="250" t="str">
        <f>IFERROR(__xludf.DUMMYFUNCTION("""COMPUTED_VALUE"""),"")</f>
        <v/>
      </c>
      <c r="N1055" s="250" t="str">
        <f>IFERROR(__xludf.DUMMYFUNCTION("""COMPUTED_VALUE"""),"")</f>
        <v/>
      </c>
      <c r="O1055" s="250" t="str">
        <f>IFERROR(__xludf.DUMMYFUNCTION("""COMPUTED_VALUE"""),"")</f>
        <v/>
      </c>
      <c r="P1055" s="250" t="str">
        <f>IFERROR(__xludf.DUMMYFUNCTION("""COMPUTED_VALUE"""),"")</f>
        <v/>
      </c>
      <c r="Q1055" s="250" t="str">
        <f>IFERROR(__xludf.DUMMYFUNCTION("""COMPUTED_VALUE"""),"")</f>
        <v/>
      </c>
      <c r="R1055" s="250" t="str">
        <f>IFERROR(__xludf.DUMMYFUNCTION("""COMPUTED_VALUE"""),"")</f>
        <v/>
      </c>
      <c r="U1055" s="250" t="str">
        <f>IFERROR(__xludf.DUMMYFUNCTION("""COMPUTED_VALUE"""),"#N/A")</f>
        <v>#N/A</v>
      </c>
      <c r="V1055" s="250" t="str">
        <f>IFERROR(__xludf.DUMMYFUNCTION("""COMPUTED_VALUE"""),"#N/A")</f>
        <v>#N/A</v>
      </c>
      <c r="W1055" s="250" t="str">
        <f>IFERROR(__xludf.DUMMYFUNCTION("""COMPUTED_VALUE"""),"#N/A")</f>
        <v>#N/A</v>
      </c>
      <c r="X1055" t="b">
        <f t="shared" ref="X1055:Z1055" si="2086">ISBLANK(K1055)</f>
        <v>1</v>
      </c>
      <c r="Y1055" t="b">
        <f t="shared" si="2086"/>
        <v>0</v>
      </c>
      <c r="Z1055" t="b">
        <f t="shared" si="2086"/>
        <v>0</v>
      </c>
      <c r="AA1055">
        <f t="shared" ref="AA1055:AC1055" si="2087">IF(X1055=FALSE,1,0)</f>
        <v>0</v>
      </c>
      <c r="AB1055">
        <f t="shared" si="2087"/>
        <v>1</v>
      </c>
      <c r="AC1055">
        <f t="shared" si="2087"/>
        <v>1</v>
      </c>
      <c r="AD1055">
        <f t="shared" si="6"/>
        <v>2</v>
      </c>
      <c r="AE1055">
        <f t="shared" si="7"/>
        <v>1</v>
      </c>
    </row>
    <row r="1056">
      <c r="B1056" t="str">
        <f>IFERROR(__xludf.DUMMYFUNCTION("""COMPUTED_VALUE"""),"")</f>
        <v/>
      </c>
      <c r="C1056" t="str">
        <f>IFERROR(__xludf.DUMMYFUNCTION("""COMPUTED_VALUE"""),"")</f>
        <v/>
      </c>
      <c r="D1056" t="str">
        <f>IFERROR(__xludf.DUMMYFUNCTION("""COMPUTED_VALUE"""),"")</f>
        <v/>
      </c>
      <c r="E1056" t="str">
        <f>IFERROR(__xludf.DUMMYFUNCTION("""COMPUTED_VALUE"""),"")</f>
        <v/>
      </c>
      <c r="F1056" t="str">
        <f>IFERROR(__xludf.DUMMYFUNCTION("""COMPUTED_VALUE"""),"")</f>
        <v/>
      </c>
      <c r="G1056" t="str">
        <f>IFERROR(__xludf.DUMMYFUNCTION("""COMPUTED_VALUE"""),"")</f>
        <v/>
      </c>
      <c r="H1056" t="str">
        <f>IFERROR(__xludf.DUMMYFUNCTION("""COMPUTED_VALUE"""),"")</f>
        <v/>
      </c>
      <c r="I1056" t="str">
        <f>IFERROR(__xludf.DUMMYFUNCTION("""COMPUTED_VALUE"""),"")</f>
        <v/>
      </c>
      <c r="J1056">
        <f>IFERROR(__xludf.DUMMYFUNCTION("""COMPUTED_VALUE"""),0.0)</f>
        <v>0</v>
      </c>
      <c r="L1056" s="250" t="str">
        <f>IFERROR(__xludf.DUMMYFUNCTION("""COMPUTED_VALUE"""),"")</f>
        <v/>
      </c>
      <c r="M1056" s="250" t="str">
        <f>IFERROR(__xludf.DUMMYFUNCTION("""COMPUTED_VALUE"""),"")</f>
        <v/>
      </c>
      <c r="N1056" s="250" t="str">
        <f>IFERROR(__xludf.DUMMYFUNCTION("""COMPUTED_VALUE"""),"")</f>
        <v/>
      </c>
      <c r="O1056" s="250" t="str">
        <f>IFERROR(__xludf.DUMMYFUNCTION("""COMPUTED_VALUE"""),"")</f>
        <v/>
      </c>
      <c r="P1056" s="250" t="str">
        <f>IFERROR(__xludf.DUMMYFUNCTION("""COMPUTED_VALUE"""),"")</f>
        <v/>
      </c>
      <c r="Q1056" s="250" t="str">
        <f>IFERROR(__xludf.DUMMYFUNCTION("""COMPUTED_VALUE"""),"")</f>
        <v/>
      </c>
      <c r="R1056" s="250" t="str">
        <f>IFERROR(__xludf.DUMMYFUNCTION("""COMPUTED_VALUE"""),"")</f>
        <v/>
      </c>
      <c r="U1056" s="250" t="str">
        <f>IFERROR(__xludf.DUMMYFUNCTION("""COMPUTED_VALUE"""),"#N/A")</f>
        <v>#N/A</v>
      </c>
      <c r="V1056" s="250" t="str">
        <f>IFERROR(__xludf.DUMMYFUNCTION("""COMPUTED_VALUE"""),"#N/A")</f>
        <v>#N/A</v>
      </c>
      <c r="W1056" s="250" t="str">
        <f>IFERROR(__xludf.DUMMYFUNCTION("""COMPUTED_VALUE"""),"#N/A")</f>
        <v>#N/A</v>
      </c>
      <c r="X1056" t="b">
        <f t="shared" ref="X1056:Z1056" si="2088">ISBLANK(K1056)</f>
        <v>1</v>
      </c>
      <c r="Y1056" t="b">
        <f t="shared" si="2088"/>
        <v>0</v>
      </c>
      <c r="Z1056" t="b">
        <f t="shared" si="2088"/>
        <v>0</v>
      </c>
      <c r="AA1056">
        <f t="shared" ref="AA1056:AC1056" si="2089">IF(X1056=FALSE,1,0)</f>
        <v>0</v>
      </c>
      <c r="AB1056">
        <f t="shared" si="2089"/>
        <v>1</v>
      </c>
      <c r="AC1056">
        <f t="shared" si="2089"/>
        <v>1</v>
      </c>
      <c r="AD1056">
        <f t="shared" si="6"/>
        <v>2</v>
      </c>
      <c r="AE1056">
        <f t="shared" si="7"/>
        <v>1</v>
      </c>
    </row>
    <row r="1057">
      <c r="B1057" t="str">
        <f>IFERROR(__xludf.DUMMYFUNCTION("""COMPUTED_VALUE"""),"")</f>
        <v/>
      </c>
      <c r="C1057" t="str">
        <f>IFERROR(__xludf.DUMMYFUNCTION("""COMPUTED_VALUE"""),"")</f>
        <v/>
      </c>
      <c r="D1057" t="str">
        <f>IFERROR(__xludf.DUMMYFUNCTION("""COMPUTED_VALUE"""),"")</f>
        <v/>
      </c>
      <c r="E1057" t="str">
        <f>IFERROR(__xludf.DUMMYFUNCTION("""COMPUTED_VALUE"""),"")</f>
        <v/>
      </c>
      <c r="F1057" t="str">
        <f>IFERROR(__xludf.DUMMYFUNCTION("""COMPUTED_VALUE"""),"")</f>
        <v/>
      </c>
      <c r="G1057" t="str">
        <f>IFERROR(__xludf.DUMMYFUNCTION("""COMPUTED_VALUE"""),"")</f>
        <v/>
      </c>
      <c r="H1057" t="str">
        <f>IFERROR(__xludf.DUMMYFUNCTION("""COMPUTED_VALUE"""),"")</f>
        <v/>
      </c>
      <c r="I1057" t="str">
        <f>IFERROR(__xludf.DUMMYFUNCTION("""COMPUTED_VALUE"""),"")</f>
        <v/>
      </c>
      <c r="J1057">
        <f>IFERROR(__xludf.DUMMYFUNCTION("""COMPUTED_VALUE"""),0.0)</f>
        <v>0</v>
      </c>
      <c r="L1057" s="250" t="str">
        <f>IFERROR(__xludf.DUMMYFUNCTION("""COMPUTED_VALUE"""),"")</f>
        <v/>
      </c>
      <c r="M1057" s="250" t="str">
        <f>IFERROR(__xludf.DUMMYFUNCTION("""COMPUTED_VALUE"""),"")</f>
        <v/>
      </c>
      <c r="N1057" s="250" t="str">
        <f>IFERROR(__xludf.DUMMYFUNCTION("""COMPUTED_VALUE"""),"")</f>
        <v/>
      </c>
      <c r="O1057" s="250" t="str">
        <f>IFERROR(__xludf.DUMMYFUNCTION("""COMPUTED_VALUE"""),"")</f>
        <v/>
      </c>
      <c r="P1057" s="250" t="str">
        <f>IFERROR(__xludf.DUMMYFUNCTION("""COMPUTED_VALUE"""),"")</f>
        <v/>
      </c>
      <c r="Q1057" s="250" t="str">
        <f>IFERROR(__xludf.DUMMYFUNCTION("""COMPUTED_VALUE"""),"")</f>
        <v/>
      </c>
      <c r="R1057" s="250" t="str">
        <f>IFERROR(__xludf.DUMMYFUNCTION("""COMPUTED_VALUE"""),"")</f>
        <v/>
      </c>
      <c r="U1057" s="250" t="str">
        <f>IFERROR(__xludf.DUMMYFUNCTION("""COMPUTED_VALUE"""),"#N/A")</f>
        <v>#N/A</v>
      </c>
      <c r="V1057" s="250" t="str">
        <f>IFERROR(__xludf.DUMMYFUNCTION("""COMPUTED_VALUE"""),"#N/A")</f>
        <v>#N/A</v>
      </c>
      <c r="W1057" s="250" t="str">
        <f>IFERROR(__xludf.DUMMYFUNCTION("""COMPUTED_VALUE"""),"#N/A")</f>
        <v>#N/A</v>
      </c>
      <c r="X1057" t="b">
        <f t="shared" ref="X1057:Z1057" si="2090">ISBLANK(K1057)</f>
        <v>1</v>
      </c>
      <c r="Y1057" t="b">
        <f t="shared" si="2090"/>
        <v>0</v>
      </c>
      <c r="Z1057" t="b">
        <f t="shared" si="2090"/>
        <v>0</v>
      </c>
      <c r="AA1057">
        <f t="shared" ref="AA1057:AC1057" si="2091">IF(X1057=FALSE,1,0)</f>
        <v>0</v>
      </c>
      <c r="AB1057">
        <f t="shared" si="2091"/>
        <v>1</v>
      </c>
      <c r="AC1057">
        <f t="shared" si="2091"/>
        <v>1</v>
      </c>
      <c r="AD1057">
        <f t="shared" si="6"/>
        <v>2</v>
      </c>
      <c r="AE1057">
        <f t="shared" si="7"/>
        <v>1</v>
      </c>
    </row>
    <row r="1058">
      <c r="B1058" t="str">
        <f>IFERROR(__xludf.DUMMYFUNCTION("""COMPUTED_VALUE"""),"")</f>
        <v/>
      </c>
      <c r="C1058" t="str">
        <f>IFERROR(__xludf.DUMMYFUNCTION("""COMPUTED_VALUE"""),"")</f>
        <v/>
      </c>
      <c r="D1058" t="str">
        <f>IFERROR(__xludf.DUMMYFUNCTION("""COMPUTED_VALUE"""),"")</f>
        <v/>
      </c>
      <c r="E1058" t="str">
        <f>IFERROR(__xludf.DUMMYFUNCTION("""COMPUTED_VALUE"""),"")</f>
        <v/>
      </c>
      <c r="F1058" t="str">
        <f>IFERROR(__xludf.DUMMYFUNCTION("""COMPUTED_VALUE"""),"")</f>
        <v/>
      </c>
      <c r="G1058" t="str">
        <f>IFERROR(__xludf.DUMMYFUNCTION("""COMPUTED_VALUE"""),"")</f>
        <v/>
      </c>
      <c r="H1058" t="str">
        <f>IFERROR(__xludf.DUMMYFUNCTION("""COMPUTED_VALUE"""),"")</f>
        <v/>
      </c>
      <c r="I1058" t="str">
        <f>IFERROR(__xludf.DUMMYFUNCTION("""COMPUTED_VALUE"""),"")</f>
        <v/>
      </c>
      <c r="J1058">
        <f>IFERROR(__xludf.DUMMYFUNCTION("""COMPUTED_VALUE"""),0.0)</f>
        <v>0</v>
      </c>
      <c r="L1058" s="250" t="str">
        <f>IFERROR(__xludf.DUMMYFUNCTION("""COMPUTED_VALUE"""),"")</f>
        <v/>
      </c>
      <c r="M1058" s="250" t="str">
        <f>IFERROR(__xludf.DUMMYFUNCTION("""COMPUTED_VALUE"""),"")</f>
        <v/>
      </c>
      <c r="N1058" s="250" t="str">
        <f>IFERROR(__xludf.DUMMYFUNCTION("""COMPUTED_VALUE"""),"")</f>
        <v/>
      </c>
      <c r="O1058" s="250" t="str">
        <f>IFERROR(__xludf.DUMMYFUNCTION("""COMPUTED_VALUE"""),"")</f>
        <v/>
      </c>
      <c r="P1058" s="250" t="str">
        <f>IFERROR(__xludf.DUMMYFUNCTION("""COMPUTED_VALUE"""),"")</f>
        <v/>
      </c>
      <c r="Q1058" s="250" t="str">
        <f>IFERROR(__xludf.DUMMYFUNCTION("""COMPUTED_VALUE"""),"")</f>
        <v/>
      </c>
      <c r="R1058" s="250" t="str">
        <f>IFERROR(__xludf.DUMMYFUNCTION("""COMPUTED_VALUE"""),"")</f>
        <v/>
      </c>
      <c r="U1058" s="250" t="str">
        <f>IFERROR(__xludf.DUMMYFUNCTION("""COMPUTED_VALUE"""),"#N/A")</f>
        <v>#N/A</v>
      </c>
      <c r="V1058" s="250" t="str">
        <f>IFERROR(__xludf.DUMMYFUNCTION("""COMPUTED_VALUE"""),"#N/A")</f>
        <v>#N/A</v>
      </c>
      <c r="W1058" s="250" t="str">
        <f>IFERROR(__xludf.DUMMYFUNCTION("""COMPUTED_VALUE"""),"#N/A")</f>
        <v>#N/A</v>
      </c>
      <c r="X1058" t="b">
        <f t="shared" ref="X1058:Z1058" si="2092">ISBLANK(K1058)</f>
        <v>1</v>
      </c>
      <c r="Y1058" t="b">
        <f t="shared" si="2092"/>
        <v>0</v>
      </c>
      <c r="Z1058" t="b">
        <f t="shared" si="2092"/>
        <v>0</v>
      </c>
      <c r="AA1058">
        <f t="shared" ref="AA1058:AC1058" si="2093">IF(X1058=FALSE,1,0)</f>
        <v>0</v>
      </c>
      <c r="AB1058">
        <f t="shared" si="2093"/>
        <v>1</v>
      </c>
      <c r="AC1058">
        <f t="shared" si="2093"/>
        <v>1</v>
      </c>
      <c r="AD1058">
        <f t="shared" si="6"/>
        <v>2</v>
      </c>
      <c r="AE1058">
        <f t="shared" si="7"/>
        <v>1</v>
      </c>
    </row>
    <row r="1059">
      <c r="B1059" t="str">
        <f>IFERROR(__xludf.DUMMYFUNCTION("""COMPUTED_VALUE"""),"")</f>
        <v/>
      </c>
      <c r="C1059" t="str">
        <f>IFERROR(__xludf.DUMMYFUNCTION("""COMPUTED_VALUE"""),"")</f>
        <v/>
      </c>
      <c r="D1059" t="str">
        <f>IFERROR(__xludf.DUMMYFUNCTION("""COMPUTED_VALUE"""),"")</f>
        <v/>
      </c>
      <c r="E1059" t="str">
        <f>IFERROR(__xludf.DUMMYFUNCTION("""COMPUTED_VALUE"""),"")</f>
        <v/>
      </c>
      <c r="F1059" t="str">
        <f>IFERROR(__xludf.DUMMYFUNCTION("""COMPUTED_VALUE"""),"")</f>
        <v/>
      </c>
      <c r="G1059" t="str">
        <f>IFERROR(__xludf.DUMMYFUNCTION("""COMPUTED_VALUE"""),"")</f>
        <v/>
      </c>
      <c r="H1059" t="str">
        <f>IFERROR(__xludf.DUMMYFUNCTION("""COMPUTED_VALUE"""),"")</f>
        <v/>
      </c>
      <c r="I1059" t="str">
        <f>IFERROR(__xludf.DUMMYFUNCTION("""COMPUTED_VALUE"""),"")</f>
        <v/>
      </c>
      <c r="J1059">
        <f>IFERROR(__xludf.DUMMYFUNCTION("""COMPUTED_VALUE"""),0.0)</f>
        <v>0</v>
      </c>
      <c r="L1059" s="250" t="str">
        <f>IFERROR(__xludf.DUMMYFUNCTION("""COMPUTED_VALUE"""),"")</f>
        <v/>
      </c>
      <c r="M1059" s="250" t="str">
        <f>IFERROR(__xludf.DUMMYFUNCTION("""COMPUTED_VALUE"""),"")</f>
        <v/>
      </c>
      <c r="N1059" s="250" t="str">
        <f>IFERROR(__xludf.DUMMYFUNCTION("""COMPUTED_VALUE"""),"")</f>
        <v/>
      </c>
      <c r="O1059" s="250" t="str">
        <f>IFERROR(__xludf.DUMMYFUNCTION("""COMPUTED_VALUE"""),"")</f>
        <v/>
      </c>
      <c r="P1059" s="250" t="str">
        <f>IFERROR(__xludf.DUMMYFUNCTION("""COMPUTED_VALUE"""),"")</f>
        <v/>
      </c>
      <c r="Q1059" s="250" t="str">
        <f>IFERROR(__xludf.DUMMYFUNCTION("""COMPUTED_VALUE"""),"")</f>
        <v/>
      </c>
      <c r="R1059" s="250" t="str">
        <f>IFERROR(__xludf.DUMMYFUNCTION("""COMPUTED_VALUE"""),"")</f>
        <v/>
      </c>
      <c r="U1059" s="250" t="str">
        <f>IFERROR(__xludf.DUMMYFUNCTION("""COMPUTED_VALUE"""),"#N/A")</f>
        <v>#N/A</v>
      </c>
      <c r="V1059" s="250" t="str">
        <f>IFERROR(__xludf.DUMMYFUNCTION("""COMPUTED_VALUE"""),"#N/A")</f>
        <v>#N/A</v>
      </c>
      <c r="W1059" s="250" t="str">
        <f>IFERROR(__xludf.DUMMYFUNCTION("""COMPUTED_VALUE"""),"#N/A")</f>
        <v>#N/A</v>
      </c>
      <c r="X1059" t="b">
        <f t="shared" ref="X1059:Z1059" si="2094">ISBLANK(K1059)</f>
        <v>1</v>
      </c>
      <c r="Y1059" t="b">
        <f t="shared" si="2094"/>
        <v>0</v>
      </c>
      <c r="Z1059" t="b">
        <f t="shared" si="2094"/>
        <v>0</v>
      </c>
      <c r="AA1059">
        <f t="shared" ref="AA1059:AC1059" si="2095">IF(X1059=FALSE,1,0)</f>
        <v>0</v>
      </c>
      <c r="AB1059">
        <f t="shared" si="2095"/>
        <v>1</v>
      </c>
      <c r="AC1059">
        <f t="shared" si="2095"/>
        <v>1</v>
      </c>
      <c r="AD1059">
        <f t="shared" si="6"/>
        <v>2</v>
      </c>
      <c r="AE1059">
        <f t="shared" si="7"/>
        <v>1</v>
      </c>
    </row>
    <row r="1060">
      <c r="B1060" t="str">
        <f>IFERROR(__xludf.DUMMYFUNCTION("""COMPUTED_VALUE"""),"")</f>
        <v/>
      </c>
      <c r="C1060" t="str">
        <f>IFERROR(__xludf.DUMMYFUNCTION("""COMPUTED_VALUE"""),"")</f>
        <v/>
      </c>
      <c r="D1060" t="str">
        <f>IFERROR(__xludf.DUMMYFUNCTION("""COMPUTED_VALUE"""),"")</f>
        <v/>
      </c>
      <c r="E1060" t="str">
        <f>IFERROR(__xludf.DUMMYFUNCTION("""COMPUTED_VALUE"""),"")</f>
        <v/>
      </c>
      <c r="F1060" t="str">
        <f>IFERROR(__xludf.DUMMYFUNCTION("""COMPUTED_VALUE"""),"")</f>
        <v/>
      </c>
      <c r="G1060" t="str">
        <f>IFERROR(__xludf.DUMMYFUNCTION("""COMPUTED_VALUE"""),"")</f>
        <v/>
      </c>
      <c r="H1060" t="str">
        <f>IFERROR(__xludf.DUMMYFUNCTION("""COMPUTED_VALUE"""),"")</f>
        <v/>
      </c>
      <c r="I1060" t="str">
        <f>IFERROR(__xludf.DUMMYFUNCTION("""COMPUTED_VALUE"""),"")</f>
        <v/>
      </c>
      <c r="J1060">
        <f>IFERROR(__xludf.DUMMYFUNCTION("""COMPUTED_VALUE"""),0.0)</f>
        <v>0</v>
      </c>
      <c r="L1060" s="250" t="str">
        <f>IFERROR(__xludf.DUMMYFUNCTION("""COMPUTED_VALUE"""),"")</f>
        <v/>
      </c>
      <c r="M1060" s="250" t="str">
        <f>IFERROR(__xludf.DUMMYFUNCTION("""COMPUTED_VALUE"""),"")</f>
        <v/>
      </c>
      <c r="N1060" s="250" t="str">
        <f>IFERROR(__xludf.DUMMYFUNCTION("""COMPUTED_VALUE"""),"")</f>
        <v/>
      </c>
      <c r="O1060" s="250" t="str">
        <f>IFERROR(__xludf.DUMMYFUNCTION("""COMPUTED_VALUE"""),"")</f>
        <v/>
      </c>
      <c r="P1060" s="250" t="str">
        <f>IFERROR(__xludf.DUMMYFUNCTION("""COMPUTED_VALUE"""),"")</f>
        <v/>
      </c>
      <c r="Q1060" s="250" t="str">
        <f>IFERROR(__xludf.DUMMYFUNCTION("""COMPUTED_VALUE"""),"")</f>
        <v/>
      </c>
      <c r="R1060" s="250" t="str">
        <f>IFERROR(__xludf.DUMMYFUNCTION("""COMPUTED_VALUE"""),"")</f>
        <v/>
      </c>
      <c r="U1060" s="250" t="str">
        <f>IFERROR(__xludf.DUMMYFUNCTION("""COMPUTED_VALUE"""),"#N/A")</f>
        <v>#N/A</v>
      </c>
      <c r="V1060" s="250" t="str">
        <f>IFERROR(__xludf.DUMMYFUNCTION("""COMPUTED_VALUE"""),"#N/A")</f>
        <v>#N/A</v>
      </c>
      <c r="W1060" s="250" t="str">
        <f>IFERROR(__xludf.DUMMYFUNCTION("""COMPUTED_VALUE"""),"#N/A")</f>
        <v>#N/A</v>
      </c>
      <c r="X1060" t="b">
        <f t="shared" ref="X1060:Z1060" si="2096">ISBLANK(K1060)</f>
        <v>1</v>
      </c>
      <c r="Y1060" t="b">
        <f t="shared" si="2096"/>
        <v>0</v>
      </c>
      <c r="Z1060" t="b">
        <f t="shared" si="2096"/>
        <v>0</v>
      </c>
      <c r="AA1060">
        <f t="shared" ref="AA1060:AC1060" si="2097">IF(X1060=FALSE,1,0)</f>
        <v>0</v>
      </c>
      <c r="AB1060">
        <f t="shared" si="2097"/>
        <v>1</v>
      </c>
      <c r="AC1060">
        <f t="shared" si="2097"/>
        <v>1</v>
      </c>
      <c r="AD1060">
        <f t="shared" si="6"/>
        <v>2</v>
      </c>
      <c r="AE1060">
        <f t="shared" si="7"/>
        <v>1</v>
      </c>
    </row>
    <row r="1061">
      <c r="B1061" t="str">
        <f>IFERROR(__xludf.DUMMYFUNCTION("""COMPUTED_VALUE"""),"")</f>
        <v/>
      </c>
      <c r="C1061" t="str">
        <f>IFERROR(__xludf.DUMMYFUNCTION("""COMPUTED_VALUE"""),"")</f>
        <v/>
      </c>
      <c r="D1061" t="str">
        <f>IFERROR(__xludf.DUMMYFUNCTION("""COMPUTED_VALUE"""),"")</f>
        <v/>
      </c>
      <c r="E1061" t="str">
        <f>IFERROR(__xludf.DUMMYFUNCTION("""COMPUTED_VALUE"""),"")</f>
        <v/>
      </c>
      <c r="F1061" t="str">
        <f>IFERROR(__xludf.DUMMYFUNCTION("""COMPUTED_VALUE"""),"")</f>
        <v/>
      </c>
      <c r="G1061" t="str">
        <f>IFERROR(__xludf.DUMMYFUNCTION("""COMPUTED_VALUE"""),"")</f>
        <v/>
      </c>
      <c r="H1061" t="str">
        <f>IFERROR(__xludf.DUMMYFUNCTION("""COMPUTED_VALUE"""),"")</f>
        <v/>
      </c>
      <c r="I1061" t="str">
        <f>IFERROR(__xludf.DUMMYFUNCTION("""COMPUTED_VALUE"""),"")</f>
        <v/>
      </c>
      <c r="J1061">
        <f>IFERROR(__xludf.DUMMYFUNCTION("""COMPUTED_VALUE"""),0.0)</f>
        <v>0</v>
      </c>
      <c r="L1061" s="250" t="str">
        <f>IFERROR(__xludf.DUMMYFUNCTION("""COMPUTED_VALUE"""),"")</f>
        <v/>
      </c>
      <c r="M1061" s="250" t="str">
        <f>IFERROR(__xludf.DUMMYFUNCTION("""COMPUTED_VALUE"""),"")</f>
        <v/>
      </c>
      <c r="N1061" s="250" t="str">
        <f>IFERROR(__xludf.DUMMYFUNCTION("""COMPUTED_VALUE"""),"")</f>
        <v/>
      </c>
      <c r="O1061" s="250" t="str">
        <f>IFERROR(__xludf.DUMMYFUNCTION("""COMPUTED_VALUE"""),"")</f>
        <v/>
      </c>
      <c r="P1061" s="250" t="str">
        <f>IFERROR(__xludf.DUMMYFUNCTION("""COMPUTED_VALUE"""),"")</f>
        <v/>
      </c>
      <c r="Q1061" s="250" t="str">
        <f>IFERROR(__xludf.DUMMYFUNCTION("""COMPUTED_VALUE"""),"")</f>
        <v/>
      </c>
      <c r="R1061" s="250" t="str">
        <f>IFERROR(__xludf.DUMMYFUNCTION("""COMPUTED_VALUE"""),"")</f>
        <v/>
      </c>
      <c r="U1061" s="250" t="str">
        <f>IFERROR(__xludf.DUMMYFUNCTION("""COMPUTED_VALUE"""),"#N/A")</f>
        <v>#N/A</v>
      </c>
      <c r="V1061" s="250" t="str">
        <f>IFERROR(__xludf.DUMMYFUNCTION("""COMPUTED_VALUE"""),"#N/A")</f>
        <v>#N/A</v>
      </c>
      <c r="W1061" s="250" t="str">
        <f>IFERROR(__xludf.DUMMYFUNCTION("""COMPUTED_VALUE"""),"#N/A")</f>
        <v>#N/A</v>
      </c>
      <c r="X1061" t="b">
        <f t="shared" ref="X1061:Z1061" si="2098">ISBLANK(K1061)</f>
        <v>1</v>
      </c>
      <c r="Y1061" t="b">
        <f t="shared" si="2098"/>
        <v>0</v>
      </c>
      <c r="Z1061" t="b">
        <f t="shared" si="2098"/>
        <v>0</v>
      </c>
      <c r="AA1061">
        <f t="shared" ref="AA1061:AC1061" si="2099">IF(X1061=FALSE,1,0)</f>
        <v>0</v>
      </c>
      <c r="AB1061">
        <f t="shared" si="2099"/>
        <v>1</v>
      </c>
      <c r="AC1061">
        <f t="shared" si="2099"/>
        <v>1</v>
      </c>
      <c r="AD1061">
        <f t="shared" si="6"/>
        <v>2</v>
      </c>
      <c r="AE1061">
        <f t="shared" si="7"/>
        <v>1</v>
      </c>
    </row>
    <row r="1062">
      <c r="B1062" t="str">
        <f>IFERROR(__xludf.DUMMYFUNCTION("""COMPUTED_VALUE"""),"")</f>
        <v/>
      </c>
      <c r="C1062" t="str">
        <f>IFERROR(__xludf.DUMMYFUNCTION("""COMPUTED_VALUE"""),"")</f>
        <v/>
      </c>
      <c r="D1062" t="str">
        <f>IFERROR(__xludf.DUMMYFUNCTION("""COMPUTED_VALUE"""),"")</f>
        <v/>
      </c>
      <c r="E1062" t="str">
        <f>IFERROR(__xludf.DUMMYFUNCTION("""COMPUTED_VALUE"""),"")</f>
        <v/>
      </c>
      <c r="F1062" t="str">
        <f>IFERROR(__xludf.DUMMYFUNCTION("""COMPUTED_VALUE"""),"")</f>
        <v/>
      </c>
      <c r="G1062" t="str">
        <f>IFERROR(__xludf.DUMMYFUNCTION("""COMPUTED_VALUE"""),"")</f>
        <v/>
      </c>
      <c r="H1062" t="str">
        <f>IFERROR(__xludf.DUMMYFUNCTION("""COMPUTED_VALUE"""),"")</f>
        <v/>
      </c>
      <c r="I1062" t="str">
        <f>IFERROR(__xludf.DUMMYFUNCTION("""COMPUTED_VALUE"""),"")</f>
        <v/>
      </c>
      <c r="J1062">
        <f>IFERROR(__xludf.DUMMYFUNCTION("""COMPUTED_VALUE"""),0.0)</f>
        <v>0</v>
      </c>
      <c r="L1062" s="250" t="str">
        <f>IFERROR(__xludf.DUMMYFUNCTION("""COMPUTED_VALUE"""),"")</f>
        <v/>
      </c>
      <c r="M1062" s="250" t="str">
        <f>IFERROR(__xludf.DUMMYFUNCTION("""COMPUTED_VALUE"""),"")</f>
        <v/>
      </c>
      <c r="N1062" s="250" t="str">
        <f>IFERROR(__xludf.DUMMYFUNCTION("""COMPUTED_VALUE"""),"")</f>
        <v/>
      </c>
      <c r="O1062" s="250" t="str">
        <f>IFERROR(__xludf.DUMMYFUNCTION("""COMPUTED_VALUE"""),"")</f>
        <v/>
      </c>
      <c r="P1062" s="250" t="str">
        <f>IFERROR(__xludf.DUMMYFUNCTION("""COMPUTED_VALUE"""),"")</f>
        <v/>
      </c>
      <c r="Q1062" s="250" t="str">
        <f>IFERROR(__xludf.DUMMYFUNCTION("""COMPUTED_VALUE"""),"")</f>
        <v/>
      </c>
      <c r="R1062" s="250" t="str">
        <f>IFERROR(__xludf.DUMMYFUNCTION("""COMPUTED_VALUE"""),"")</f>
        <v/>
      </c>
      <c r="U1062" s="250" t="str">
        <f>IFERROR(__xludf.DUMMYFUNCTION("""COMPUTED_VALUE"""),"#N/A")</f>
        <v>#N/A</v>
      </c>
      <c r="V1062" s="250" t="str">
        <f>IFERROR(__xludf.DUMMYFUNCTION("""COMPUTED_VALUE"""),"#N/A")</f>
        <v>#N/A</v>
      </c>
      <c r="W1062" s="250" t="str">
        <f>IFERROR(__xludf.DUMMYFUNCTION("""COMPUTED_VALUE"""),"#N/A")</f>
        <v>#N/A</v>
      </c>
      <c r="X1062" t="b">
        <f t="shared" ref="X1062:Z1062" si="2100">ISBLANK(K1062)</f>
        <v>1</v>
      </c>
      <c r="Y1062" t="b">
        <f t="shared" si="2100"/>
        <v>0</v>
      </c>
      <c r="Z1062" t="b">
        <f t="shared" si="2100"/>
        <v>0</v>
      </c>
      <c r="AA1062">
        <f t="shared" ref="AA1062:AC1062" si="2101">IF(X1062=FALSE,1,0)</f>
        <v>0</v>
      </c>
      <c r="AB1062">
        <f t="shared" si="2101"/>
        <v>1</v>
      </c>
      <c r="AC1062">
        <f t="shared" si="2101"/>
        <v>1</v>
      </c>
      <c r="AD1062">
        <f t="shared" si="6"/>
        <v>2</v>
      </c>
      <c r="AE1062">
        <f t="shared" si="7"/>
        <v>1</v>
      </c>
    </row>
    <row r="1063">
      <c r="B1063" t="str">
        <f>IFERROR(__xludf.DUMMYFUNCTION("""COMPUTED_VALUE"""),"")</f>
        <v/>
      </c>
      <c r="C1063" t="str">
        <f>IFERROR(__xludf.DUMMYFUNCTION("""COMPUTED_VALUE"""),"")</f>
        <v/>
      </c>
      <c r="D1063" t="str">
        <f>IFERROR(__xludf.DUMMYFUNCTION("""COMPUTED_VALUE"""),"")</f>
        <v/>
      </c>
      <c r="E1063" t="str">
        <f>IFERROR(__xludf.DUMMYFUNCTION("""COMPUTED_VALUE"""),"")</f>
        <v/>
      </c>
      <c r="F1063" t="str">
        <f>IFERROR(__xludf.DUMMYFUNCTION("""COMPUTED_VALUE"""),"")</f>
        <v/>
      </c>
      <c r="G1063" t="str">
        <f>IFERROR(__xludf.DUMMYFUNCTION("""COMPUTED_VALUE"""),"")</f>
        <v/>
      </c>
      <c r="H1063" t="str">
        <f>IFERROR(__xludf.DUMMYFUNCTION("""COMPUTED_VALUE"""),"")</f>
        <v/>
      </c>
      <c r="I1063" t="str">
        <f>IFERROR(__xludf.DUMMYFUNCTION("""COMPUTED_VALUE"""),"")</f>
        <v/>
      </c>
      <c r="J1063">
        <f>IFERROR(__xludf.DUMMYFUNCTION("""COMPUTED_VALUE"""),0.0)</f>
        <v>0</v>
      </c>
      <c r="L1063" s="250" t="str">
        <f>IFERROR(__xludf.DUMMYFUNCTION("""COMPUTED_VALUE"""),"")</f>
        <v/>
      </c>
      <c r="M1063" s="250" t="str">
        <f>IFERROR(__xludf.DUMMYFUNCTION("""COMPUTED_VALUE"""),"")</f>
        <v/>
      </c>
      <c r="N1063" s="250" t="str">
        <f>IFERROR(__xludf.DUMMYFUNCTION("""COMPUTED_VALUE"""),"")</f>
        <v/>
      </c>
      <c r="O1063" s="250" t="str">
        <f>IFERROR(__xludf.DUMMYFUNCTION("""COMPUTED_VALUE"""),"")</f>
        <v/>
      </c>
      <c r="P1063" s="250" t="str">
        <f>IFERROR(__xludf.DUMMYFUNCTION("""COMPUTED_VALUE"""),"")</f>
        <v/>
      </c>
      <c r="Q1063" s="250" t="str">
        <f>IFERROR(__xludf.DUMMYFUNCTION("""COMPUTED_VALUE"""),"")</f>
        <v/>
      </c>
      <c r="R1063" s="250" t="str">
        <f>IFERROR(__xludf.DUMMYFUNCTION("""COMPUTED_VALUE"""),"")</f>
        <v/>
      </c>
      <c r="U1063" s="250" t="str">
        <f>IFERROR(__xludf.DUMMYFUNCTION("""COMPUTED_VALUE"""),"#N/A")</f>
        <v>#N/A</v>
      </c>
      <c r="V1063" s="250" t="str">
        <f>IFERROR(__xludf.DUMMYFUNCTION("""COMPUTED_VALUE"""),"#N/A")</f>
        <v>#N/A</v>
      </c>
      <c r="W1063" s="250" t="str">
        <f>IFERROR(__xludf.DUMMYFUNCTION("""COMPUTED_VALUE"""),"#N/A")</f>
        <v>#N/A</v>
      </c>
      <c r="X1063" t="b">
        <f t="shared" ref="X1063:Z1063" si="2102">ISBLANK(K1063)</f>
        <v>1</v>
      </c>
      <c r="Y1063" t="b">
        <f t="shared" si="2102"/>
        <v>0</v>
      </c>
      <c r="Z1063" t="b">
        <f t="shared" si="2102"/>
        <v>0</v>
      </c>
      <c r="AA1063">
        <f t="shared" ref="AA1063:AC1063" si="2103">IF(X1063=FALSE,1,0)</f>
        <v>0</v>
      </c>
      <c r="AB1063">
        <f t="shared" si="2103"/>
        <v>1</v>
      </c>
      <c r="AC1063">
        <f t="shared" si="2103"/>
        <v>1</v>
      </c>
      <c r="AD1063">
        <f t="shared" si="6"/>
        <v>2</v>
      </c>
      <c r="AE1063">
        <f t="shared" si="7"/>
        <v>1</v>
      </c>
    </row>
    <row r="1064">
      <c r="B1064" t="str">
        <f>IFERROR(__xludf.DUMMYFUNCTION("""COMPUTED_VALUE"""),"")</f>
        <v/>
      </c>
      <c r="C1064" t="str">
        <f>IFERROR(__xludf.DUMMYFUNCTION("""COMPUTED_VALUE"""),"")</f>
        <v/>
      </c>
      <c r="D1064" t="str">
        <f>IFERROR(__xludf.DUMMYFUNCTION("""COMPUTED_VALUE"""),"")</f>
        <v/>
      </c>
      <c r="E1064" t="str">
        <f>IFERROR(__xludf.DUMMYFUNCTION("""COMPUTED_VALUE"""),"")</f>
        <v/>
      </c>
      <c r="F1064" t="str">
        <f>IFERROR(__xludf.DUMMYFUNCTION("""COMPUTED_VALUE"""),"")</f>
        <v/>
      </c>
      <c r="G1064" t="str">
        <f>IFERROR(__xludf.DUMMYFUNCTION("""COMPUTED_VALUE"""),"")</f>
        <v/>
      </c>
      <c r="H1064" t="str">
        <f>IFERROR(__xludf.DUMMYFUNCTION("""COMPUTED_VALUE"""),"")</f>
        <v/>
      </c>
      <c r="I1064" t="str">
        <f>IFERROR(__xludf.DUMMYFUNCTION("""COMPUTED_VALUE"""),"")</f>
        <v/>
      </c>
      <c r="J1064">
        <f>IFERROR(__xludf.DUMMYFUNCTION("""COMPUTED_VALUE"""),0.0)</f>
        <v>0</v>
      </c>
      <c r="L1064" s="250" t="str">
        <f>IFERROR(__xludf.DUMMYFUNCTION("""COMPUTED_VALUE"""),"")</f>
        <v/>
      </c>
      <c r="M1064" s="250" t="str">
        <f>IFERROR(__xludf.DUMMYFUNCTION("""COMPUTED_VALUE"""),"")</f>
        <v/>
      </c>
      <c r="N1064" s="250" t="str">
        <f>IFERROR(__xludf.DUMMYFUNCTION("""COMPUTED_VALUE"""),"")</f>
        <v/>
      </c>
      <c r="O1064" s="250" t="str">
        <f>IFERROR(__xludf.DUMMYFUNCTION("""COMPUTED_VALUE"""),"")</f>
        <v/>
      </c>
      <c r="P1064" s="250" t="str">
        <f>IFERROR(__xludf.DUMMYFUNCTION("""COMPUTED_VALUE"""),"")</f>
        <v/>
      </c>
      <c r="Q1064" s="250" t="str">
        <f>IFERROR(__xludf.DUMMYFUNCTION("""COMPUTED_VALUE"""),"")</f>
        <v/>
      </c>
      <c r="R1064" s="250" t="str">
        <f>IFERROR(__xludf.DUMMYFUNCTION("""COMPUTED_VALUE"""),"")</f>
        <v/>
      </c>
      <c r="U1064" s="250" t="str">
        <f>IFERROR(__xludf.DUMMYFUNCTION("""COMPUTED_VALUE"""),"#N/A")</f>
        <v>#N/A</v>
      </c>
      <c r="V1064" s="250" t="str">
        <f>IFERROR(__xludf.DUMMYFUNCTION("""COMPUTED_VALUE"""),"#N/A")</f>
        <v>#N/A</v>
      </c>
      <c r="W1064" s="250" t="str">
        <f>IFERROR(__xludf.DUMMYFUNCTION("""COMPUTED_VALUE"""),"#N/A")</f>
        <v>#N/A</v>
      </c>
      <c r="X1064" t="b">
        <f t="shared" ref="X1064:Z1064" si="2104">ISBLANK(K1064)</f>
        <v>1</v>
      </c>
      <c r="Y1064" t="b">
        <f t="shared" si="2104"/>
        <v>0</v>
      </c>
      <c r="Z1064" t="b">
        <f t="shared" si="2104"/>
        <v>0</v>
      </c>
      <c r="AA1064">
        <f t="shared" ref="AA1064:AC1064" si="2105">IF(X1064=FALSE,1,0)</f>
        <v>0</v>
      </c>
      <c r="AB1064">
        <f t="shared" si="2105"/>
        <v>1</v>
      </c>
      <c r="AC1064">
        <f t="shared" si="2105"/>
        <v>1</v>
      </c>
      <c r="AD1064">
        <f t="shared" si="6"/>
        <v>2</v>
      </c>
      <c r="AE1064">
        <f t="shared" si="7"/>
        <v>1</v>
      </c>
    </row>
    <row r="1065">
      <c r="B1065" t="str">
        <f>IFERROR(__xludf.DUMMYFUNCTION("""COMPUTED_VALUE"""),"")</f>
        <v/>
      </c>
      <c r="C1065" t="str">
        <f>IFERROR(__xludf.DUMMYFUNCTION("""COMPUTED_VALUE"""),"")</f>
        <v/>
      </c>
      <c r="D1065" t="str">
        <f>IFERROR(__xludf.DUMMYFUNCTION("""COMPUTED_VALUE"""),"")</f>
        <v/>
      </c>
      <c r="E1065" t="str">
        <f>IFERROR(__xludf.DUMMYFUNCTION("""COMPUTED_VALUE"""),"")</f>
        <v/>
      </c>
      <c r="F1065" t="str">
        <f>IFERROR(__xludf.DUMMYFUNCTION("""COMPUTED_VALUE"""),"")</f>
        <v/>
      </c>
      <c r="G1065" t="str">
        <f>IFERROR(__xludf.DUMMYFUNCTION("""COMPUTED_VALUE"""),"")</f>
        <v/>
      </c>
      <c r="H1065" t="str">
        <f>IFERROR(__xludf.DUMMYFUNCTION("""COMPUTED_VALUE"""),"")</f>
        <v/>
      </c>
      <c r="I1065" t="str">
        <f>IFERROR(__xludf.DUMMYFUNCTION("""COMPUTED_VALUE"""),"")</f>
        <v/>
      </c>
      <c r="J1065">
        <f>IFERROR(__xludf.DUMMYFUNCTION("""COMPUTED_VALUE"""),0.0)</f>
        <v>0</v>
      </c>
      <c r="L1065" s="250" t="str">
        <f>IFERROR(__xludf.DUMMYFUNCTION("""COMPUTED_VALUE"""),"")</f>
        <v/>
      </c>
      <c r="M1065" s="250" t="str">
        <f>IFERROR(__xludf.DUMMYFUNCTION("""COMPUTED_VALUE"""),"")</f>
        <v/>
      </c>
      <c r="N1065" s="250" t="str">
        <f>IFERROR(__xludf.DUMMYFUNCTION("""COMPUTED_VALUE"""),"")</f>
        <v/>
      </c>
      <c r="O1065" s="250" t="str">
        <f>IFERROR(__xludf.DUMMYFUNCTION("""COMPUTED_VALUE"""),"")</f>
        <v/>
      </c>
      <c r="P1065" s="250" t="str">
        <f>IFERROR(__xludf.DUMMYFUNCTION("""COMPUTED_VALUE"""),"")</f>
        <v/>
      </c>
      <c r="Q1065" s="250" t="str">
        <f>IFERROR(__xludf.DUMMYFUNCTION("""COMPUTED_VALUE"""),"")</f>
        <v/>
      </c>
      <c r="R1065" s="250" t="str">
        <f>IFERROR(__xludf.DUMMYFUNCTION("""COMPUTED_VALUE"""),"")</f>
        <v/>
      </c>
      <c r="U1065" s="250" t="str">
        <f>IFERROR(__xludf.DUMMYFUNCTION("""COMPUTED_VALUE"""),"#N/A")</f>
        <v>#N/A</v>
      </c>
      <c r="V1065" s="250" t="str">
        <f>IFERROR(__xludf.DUMMYFUNCTION("""COMPUTED_VALUE"""),"#N/A")</f>
        <v>#N/A</v>
      </c>
      <c r="W1065" s="250" t="str">
        <f>IFERROR(__xludf.DUMMYFUNCTION("""COMPUTED_VALUE"""),"#N/A")</f>
        <v>#N/A</v>
      </c>
      <c r="X1065" t="b">
        <f t="shared" ref="X1065:Z1065" si="2106">ISBLANK(K1065)</f>
        <v>1</v>
      </c>
      <c r="Y1065" t="b">
        <f t="shared" si="2106"/>
        <v>0</v>
      </c>
      <c r="Z1065" t="b">
        <f t="shared" si="2106"/>
        <v>0</v>
      </c>
      <c r="AA1065">
        <f t="shared" ref="AA1065:AC1065" si="2107">IF(X1065=FALSE,1,0)</f>
        <v>0</v>
      </c>
      <c r="AB1065">
        <f t="shared" si="2107"/>
        <v>1</v>
      </c>
      <c r="AC1065">
        <f t="shared" si="2107"/>
        <v>1</v>
      </c>
      <c r="AD1065">
        <f t="shared" si="6"/>
        <v>2</v>
      </c>
      <c r="AE1065">
        <f t="shared" si="7"/>
        <v>1</v>
      </c>
    </row>
    <row r="1066">
      <c r="B1066" t="str">
        <f>IFERROR(__xludf.DUMMYFUNCTION("""COMPUTED_VALUE"""),"")</f>
        <v/>
      </c>
      <c r="C1066" t="str">
        <f>IFERROR(__xludf.DUMMYFUNCTION("""COMPUTED_VALUE"""),"")</f>
        <v/>
      </c>
      <c r="D1066" t="str">
        <f>IFERROR(__xludf.DUMMYFUNCTION("""COMPUTED_VALUE"""),"")</f>
        <v/>
      </c>
      <c r="E1066" t="str">
        <f>IFERROR(__xludf.DUMMYFUNCTION("""COMPUTED_VALUE"""),"")</f>
        <v/>
      </c>
      <c r="F1066" t="str">
        <f>IFERROR(__xludf.DUMMYFUNCTION("""COMPUTED_VALUE"""),"")</f>
        <v/>
      </c>
      <c r="G1066" t="str">
        <f>IFERROR(__xludf.DUMMYFUNCTION("""COMPUTED_VALUE"""),"")</f>
        <v/>
      </c>
      <c r="H1066" t="str">
        <f>IFERROR(__xludf.DUMMYFUNCTION("""COMPUTED_VALUE"""),"")</f>
        <v/>
      </c>
      <c r="I1066" t="str">
        <f>IFERROR(__xludf.DUMMYFUNCTION("""COMPUTED_VALUE"""),"")</f>
        <v/>
      </c>
      <c r="J1066">
        <f>IFERROR(__xludf.DUMMYFUNCTION("""COMPUTED_VALUE"""),0.0)</f>
        <v>0</v>
      </c>
      <c r="L1066" s="250" t="str">
        <f>IFERROR(__xludf.DUMMYFUNCTION("""COMPUTED_VALUE"""),"")</f>
        <v/>
      </c>
      <c r="M1066" s="250" t="str">
        <f>IFERROR(__xludf.DUMMYFUNCTION("""COMPUTED_VALUE"""),"")</f>
        <v/>
      </c>
      <c r="N1066" s="250" t="str">
        <f>IFERROR(__xludf.DUMMYFUNCTION("""COMPUTED_VALUE"""),"")</f>
        <v/>
      </c>
      <c r="O1066" s="250" t="str">
        <f>IFERROR(__xludf.DUMMYFUNCTION("""COMPUTED_VALUE"""),"")</f>
        <v/>
      </c>
      <c r="P1066" s="250" t="str">
        <f>IFERROR(__xludf.DUMMYFUNCTION("""COMPUTED_VALUE"""),"")</f>
        <v/>
      </c>
      <c r="Q1066" s="250" t="str">
        <f>IFERROR(__xludf.DUMMYFUNCTION("""COMPUTED_VALUE"""),"")</f>
        <v/>
      </c>
      <c r="R1066" s="250" t="str">
        <f>IFERROR(__xludf.DUMMYFUNCTION("""COMPUTED_VALUE"""),"")</f>
        <v/>
      </c>
      <c r="U1066" s="250" t="str">
        <f>IFERROR(__xludf.DUMMYFUNCTION("""COMPUTED_VALUE"""),"#N/A")</f>
        <v>#N/A</v>
      </c>
      <c r="V1066" s="250" t="str">
        <f>IFERROR(__xludf.DUMMYFUNCTION("""COMPUTED_VALUE"""),"#N/A")</f>
        <v>#N/A</v>
      </c>
      <c r="W1066" s="250" t="str">
        <f>IFERROR(__xludf.DUMMYFUNCTION("""COMPUTED_VALUE"""),"#N/A")</f>
        <v>#N/A</v>
      </c>
      <c r="X1066" t="b">
        <f t="shared" ref="X1066:Z1066" si="2108">ISBLANK(K1066)</f>
        <v>1</v>
      </c>
      <c r="Y1066" t="b">
        <f t="shared" si="2108"/>
        <v>0</v>
      </c>
      <c r="Z1066" t="b">
        <f t="shared" si="2108"/>
        <v>0</v>
      </c>
      <c r="AA1066">
        <f t="shared" ref="AA1066:AC1066" si="2109">IF(X1066=FALSE,1,0)</f>
        <v>0</v>
      </c>
      <c r="AB1066">
        <f t="shared" si="2109"/>
        <v>1</v>
      </c>
      <c r="AC1066">
        <f t="shared" si="2109"/>
        <v>1</v>
      </c>
      <c r="AD1066">
        <f t="shared" si="6"/>
        <v>2</v>
      </c>
      <c r="AE1066">
        <f t="shared" si="7"/>
        <v>1</v>
      </c>
    </row>
    <row r="1067">
      <c r="B1067" t="str">
        <f>IFERROR(__xludf.DUMMYFUNCTION("""COMPUTED_VALUE"""),"")</f>
        <v/>
      </c>
      <c r="C1067" t="str">
        <f>IFERROR(__xludf.DUMMYFUNCTION("""COMPUTED_VALUE"""),"")</f>
        <v/>
      </c>
      <c r="D1067" t="str">
        <f>IFERROR(__xludf.DUMMYFUNCTION("""COMPUTED_VALUE"""),"")</f>
        <v/>
      </c>
      <c r="E1067" t="str">
        <f>IFERROR(__xludf.DUMMYFUNCTION("""COMPUTED_VALUE"""),"")</f>
        <v/>
      </c>
      <c r="F1067" t="str">
        <f>IFERROR(__xludf.DUMMYFUNCTION("""COMPUTED_VALUE"""),"")</f>
        <v/>
      </c>
      <c r="G1067" t="str">
        <f>IFERROR(__xludf.DUMMYFUNCTION("""COMPUTED_VALUE"""),"")</f>
        <v/>
      </c>
      <c r="H1067" t="str">
        <f>IFERROR(__xludf.DUMMYFUNCTION("""COMPUTED_VALUE"""),"")</f>
        <v/>
      </c>
      <c r="I1067" t="str">
        <f>IFERROR(__xludf.DUMMYFUNCTION("""COMPUTED_VALUE"""),"")</f>
        <v/>
      </c>
      <c r="J1067">
        <f>IFERROR(__xludf.DUMMYFUNCTION("""COMPUTED_VALUE"""),0.0)</f>
        <v>0</v>
      </c>
      <c r="L1067" s="250" t="str">
        <f>IFERROR(__xludf.DUMMYFUNCTION("""COMPUTED_VALUE"""),"")</f>
        <v/>
      </c>
      <c r="M1067" s="250" t="str">
        <f>IFERROR(__xludf.DUMMYFUNCTION("""COMPUTED_VALUE"""),"")</f>
        <v/>
      </c>
      <c r="N1067" s="250" t="str">
        <f>IFERROR(__xludf.DUMMYFUNCTION("""COMPUTED_VALUE"""),"")</f>
        <v/>
      </c>
      <c r="O1067" s="250" t="str">
        <f>IFERROR(__xludf.DUMMYFUNCTION("""COMPUTED_VALUE"""),"")</f>
        <v/>
      </c>
      <c r="P1067" s="250" t="str">
        <f>IFERROR(__xludf.DUMMYFUNCTION("""COMPUTED_VALUE"""),"")</f>
        <v/>
      </c>
      <c r="Q1067" s="250" t="str">
        <f>IFERROR(__xludf.DUMMYFUNCTION("""COMPUTED_VALUE"""),"")</f>
        <v/>
      </c>
      <c r="R1067" s="250" t="str">
        <f>IFERROR(__xludf.DUMMYFUNCTION("""COMPUTED_VALUE"""),"")</f>
        <v/>
      </c>
      <c r="U1067" s="250" t="str">
        <f>IFERROR(__xludf.DUMMYFUNCTION("""COMPUTED_VALUE"""),"#N/A")</f>
        <v>#N/A</v>
      </c>
      <c r="V1067" s="250" t="str">
        <f>IFERROR(__xludf.DUMMYFUNCTION("""COMPUTED_VALUE"""),"#N/A")</f>
        <v>#N/A</v>
      </c>
      <c r="W1067" s="250" t="str">
        <f>IFERROR(__xludf.DUMMYFUNCTION("""COMPUTED_VALUE"""),"#N/A")</f>
        <v>#N/A</v>
      </c>
      <c r="X1067" t="b">
        <f t="shared" ref="X1067:Z1067" si="2110">ISBLANK(K1067)</f>
        <v>1</v>
      </c>
      <c r="Y1067" t="b">
        <f t="shared" si="2110"/>
        <v>0</v>
      </c>
      <c r="Z1067" t="b">
        <f t="shared" si="2110"/>
        <v>0</v>
      </c>
      <c r="AA1067">
        <f t="shared" ref="AA1067:AC1067" si="2111">IF(X1067=FALSE,1,0)</f>
        <v>0</v>
      </c>
      <c r="AB1067">
        <f t="shared" si="2111"/>
        <v>1</v>
      </c>
      <c r="AC1067">
        <f t="shared" si="2111"/>
        <v>1</v>
      </c>
      <c r="AD1067">
        <f t="shared" si="6"/>
        <v>2</v>
      </c>
      <c r="AE1067">
        <f t="shared" si="7"/>
        <v>1</v>
      </c>
    </row>
    <row r="1068">
      <c r="B1068" t="str">
        <f>IFERROR(__xludf.DUMMYFUNCTION("""COMPUTED_VALUE"""),"")</f>
        <v/>
      </c>
      <c r="C1068" t="str">
        <f>IFERROR(__xludf.DUMMYFUNCTION("""COMPUTED_VALUE"""),"")</f>
        <v/>
      </c>
      <c r="D1068" t="str">
        <f>IFERROR(__xludf.DUMMYFUNCTION("""COMPUTED_VALUE"""),"")</f>
        <v/>
      </c>
      <c r="E1068" t="str">
        <f>IFERROR(__xludf.DUMMYFUNCTION("""COMPUTED_VALUE"""),"")</f>
        <v/>
      </c>
      <c r="F1068" t="str">
        <f>IFERROR(__xludf.DUMMYFUNCTION("""COMPUTED_VALUE"""),"")</f>
        <v/>
      </c>
      <c r="G1068" t="str">
        <f>IFERROR(__xludf.DUMMYFUNCTION("""COMPUTED_VALUE"""),"")</f>
        <v/>
      </c>
      <c r="H1068" t="str">
        <f>IFERROR(__xludf.DUMMYFUNCTION("""COMPUTED_VALUE"""),"")</f>
        <v/>
      </c>
      <c r="I1068" t="str">
        <f>IFERROR(__xludf.DUMMYFUNCTION("""COMPUTED_VALUE"""),"")</f>
        <v/>
      </c>
      <c r="J1068">
        <f>IFERROR(__xludf.DUMMYFUNCTION("""COMPUTED_VALUE"""),0.0)</f>
        <v>0</v>
      </c>
      <c r="L1068" s="250" t="str">
        <f>IFERROR(__xludf.DUMMYFUNCTION("""COMPUTED_VALUE"""),"")</f>
        <v/>
      </c>
      <c r="M1068" s="250" t="str">
        <f>IFERROR(__xludf.DUMMYFUNCTION("""COMPUTED_VALUE"""),"")</f>
        <v/>
      </c>
      <c r="N1068" s="250" t="str">
        <f>IFERROR(__xludf.DUMMYFUNCTION("""COMPUTED_VALUE"""),"")</f>
        <v/>
      </c>
      <c r="O1068" s="250" t="str">
        <f>IFERROR(__xludf.DUMMYFUNCTION("""COMPUTED_VALUE"""),"")</f>
        <v/>
      </c>
      <c r="P1068" s="250" t="str">
        <f>IFERROR(__xludf.DUMMYFUNCTION("""COMPUTED_VALUE"""),"")</f>
        <v/>
      </c>
      <c r="Q1068" s="250" t="str">
        <f>IFERROR(__xludf.DUMMYFUNCTION("""COMPUTED_VALUE"""),"")</f>
        <v/>
      </c>
      <c r="R1068" s="250" t="str">
        <f>IFERROR(__xludf.DUMMYFUNCTION("""COMPUTED_VALUE"""),"")</f>
        <v/>
      </c>
      <c r="U1068" s="250" t="str">
        <f>IFERROR(__xludf.DUMMYFUNCTION("""COMPUTED_VALUE"""),"#N/A")</f>
        <v>#N/A</v>
      </c>
      <c r="V1068" s="250" t="str">
        <f>IFERROR(__xludf.DUMMYFUNCTION("""COMPUTED_VALUE"""),"#N/A")</f>
        <v>#N/A</v>
      </c>
      <c r="W1068" s="250" t="str">
        <f>IFERROR(__xludf.DUMMYFUNCTION("""COMPUTED_VALUE"""),"#N/A")</f>
        <v>#N/A</v>
      </c>
      <c r="X1068" t="b">
        <f t="shared" ref="X1068:Z1068" si="2112">ISBLANK(K1068)</f>
        <v>1</v>
      </c>
      <c r="Y1068" t="b">
        <f t="shared" si="2112"/>
        <v>0</v>
      </c>
      <c r="Z1068" t="b">
        <f t="shared" si="2112"/>
        <v>0</v>
      </c>
      <c r="AA1068">
        <f t="shared" ref="AA1068:AC1068" si="2113">IF(X1068=FALSE,1,0)</f>
        <v>0</v>
      </c>
      <c r="AB1068">
        <f t="shared" si="2113"/>
        <v>1</v>
      </c>
      <c r="AC1068">
        <f t="shared" si="2113"/>
        <v>1</v>
      </c>
      <c r="AD1068">
        <f t="shared" si="6"/>
        <v>2</v>
      </c>
      <c r="AE1068">
        <f t="shared" si="7"/>
        <v>1</v>
      </c>
    </row>
    <row r="1069">
      <c r="B1069" t="str">
        <f>IFERROR(__xludf.DUMMYFUNCTION("""COMPUTED_VALUE"""),"")</f>
        <v/>
      </c>
      <c r="C1069" t="str">
        <f>IFERROR(__xludf.DUMMYFUNCTION("""COMPUTED_VALUE"""),"")</f>
        <v/>
      </c>
      <c r="D1069" t="str">
        <f>IFERROR(__xludf.DUMMYFUNCTION("""COMPUTED_VALUE"""),"")</f>
        <v/>
      </c>
      <c r="E1069" t="str">
        <f>IFERROR(__xludf.DUMMYFUNCTION("""COMPUTED_VALUE"""),"")</f>
        <v/>
      </c>
      <c r="F1069" t="str">
        <f>IFERROR(__xludf.DUMMYFUNCTION("""COMPUTED_VALUE"""),"")</f>
        <v/>
      </c>
      <c r="G1069" t="str">
        <f>IFERROR(__xludf.DUMMYFUNCTION("""COMPUTED_VALUE"""),"")</f>
        <v/>
      </c>
      <c r="H1069" t="str">
        <f>IFERROR(__xludf.DUMMYFUNCTION("""COMPUTED_VALUE"""),"")</f>
        <v/>
      </c>
      <c r="I1069" t="str">
        <f>IFERROR(__xludf.DUMMYFUNCTION("""COMPUTED_VALUE"""),"")</f>
        <v/>
      </c>
      <c r="J1069">
        <f>IFERROR(__xludf.DUMMYFUNCTION("""COMPUTED_VALUE"""),0.0)</f>
        <v>0</v>
      </c>
      <c r="L1069" s="250" t="str">
        <f>IFERROR(__xludf.DUMMYFUNCTION("""COMPUTED_VALUE"""),"")</f>
        <v/>
      </c>
      <c r="M1069" s="250" t="str">
        <f>IFERROR(__xludf.DUMMYFUNCTION("""COMPUTED_VALUE"""),"")</f>
        <v/>
      </c>
      <c r="N1069" s="250" t="str">
        <f>IFERROR(__xludf.DUMMYFUNCTION("""COMPUTED_VALUE"""),"")</f>
        <v/>
      </c>
      <c r="O1069" s="250" t="str">
        <f>IFERROR(__xludf.DUMMYFUNCTION("""COMPUTED_VALUE"""),"")</f>
        <v/>
      </c>
      <c r="P1069" s="250" t="str">
        <f>IFERROR(__xludf.DUMMYFUNCTION("""COMPUTED_VALUE"""),"")</f>
        <v/>
      </c>
      <c r="Q1069" s="250" t="str">
        <f>IFERROR(__xludf.DUMMYFUNCTION("""COMPUTED_VALUE"""),"")</f>
        <v/>
      </c>
      <c r="R1069" s="250" t="str">
        <f>IFERROR(__xludf.DUMMYFUNCTION("""COMPUTED_VALUE"""),"")</f>
        <v/>
      </c>
      <c r="U1069" s="250" t="str">
        <f>IFERROR(__xludf.DUMMYFUNCTION("""COMPUTED_VALUE"""),"#N/A")</f>
        <v>#N/A</v>
      </c>
      <c r="V1069" s="250" t="str">
        <f>IFERROR(__xludf.DUMMYFUNCTION("""COMPUTED_VALUE"""),"#N/A")</f>
        <v>#N/A</v>
      </c>
      <c r="W1069" s="250" t="str">
        <f>IFERROR(__xludf.DUMMYFUNCTION("""COMPUTED_VALUE"""),"#N/A")</f>
        <v>#N/A</v>
      </c>
      <c r="X1069" t="b">
        <f t="shared" ref="X1069:Z1069" si="2114">ISBLANK(K1069)</f>
        <v>1</v>
      </c>
      <c r="Y1069" t="b">
        <f t="shared" si="2114"/>
        <v>0</v>
      </c>
      <c r="Z1069" t="b">
        <f t="shared" si="2114"/>
        <v>0</v>
      </c>
      <c r="AA1069">
        <f t="shared" ref="AA1069:AC1069" si="2115">IF(X1069=FALSE,1,0)</f>
        <v>0</v>
      </c>
      <c r="AB1069">
        <f t="shared" si="2115"/>
        <v>1</v>
      </c>
      <c r="AC1069">
        <f t="shared" si="2115"/>
        <v>1</v>
      </c>
      <c r="AD1069">
        <f t="shared" si="6"/>
        <v>2</v>
      </c>
      <c r="AE1069">
        <f t="shared" si="7"/>
        <v>1</v>
      </c>
    </row>
    <row r="1070">
      <c r="B1070" t="str">
        <f>IFERROR(__xludf.DUMMYFUNCTION("""COMPUTED_VALUE"""),"")</f>
        <v/>
      </c>
      <c r="C1070" t="str">
        <f>IFERROR(__xludf.DUMMYFUNCTION("""COMPUTED_VALUE"""),"")</f>
        <v/>
      </c>
      <c r="D1070" t="str">
        <f>IFERROR(__xludf.DUMMYFUNCTION("""COMPUTED_VALUE"""),"")</f>
        <v/>
      </c>
      <c r="E1070" t="str">
        <f>IFERROR(__xludf.DUMMYFUNCTION("""COMPUTED_VALUE"""),"")</f>
        <v/>
      </c>
      <c r="F1070" t="str">
        <f>IFERROR(__xludf.DUMMYFUNCTION("""COMPUTED_VALUE"""),"")</f>
        <v/>
      </c>
      <c r="G1070" t="str">
        <f>IFERROR(__xludf.DUMMYFUNCTION("""COMPUTED_VALUE"""),"")</f>
        <v/>
      </c>
      <c r="H1070" t="str">
        <f>IFERROR(__xludf.DUMMYFUNCTION("""COMPUTED_VALUE"""),"")</f>
        <v/>
      </c>
      <c r="I1070" t="str">
        <f>IFERROR(__xludf.DUMMYFUNCTION("""COMPUTED_VALUE"""),"")</f>
        <v/>
      </c>
      <c r="J1070">
        <f>IFERROR(__xludf.DUMMYFUNCTION("""COMPUTED_VALUE"""),0.0)</f>
        <v>0</v>
      </c>
      <c r="L1070" s="250" t="str">
        <f>IFERROR(__xludf.DUMMYFUNCTION("""COMPUTED_VALUE"""),"")</f>
        <v/>
      </c>
      <c r="M1070" s="250" t="str">
        <f>IFERROR(__xludf.DUMMYFUNCTION("""COMPUTED_VALUE"""),"")</f>
        <v/>
      </c>
      <c r="N1070" s="250" t="str">
        <f>IFERROR(__xludf.DUMMYFUNCTION("""COMPUTED_VALUE"""),"")</f>
        <v/>
      </c>
      <c r="O1070" s="250" t="str">
        <f>IFERROR(__xludf.DUMMYFUNCTION("""COMPUTED_VALUE"""),"")</f>
        <v/>
      </c>
      <c r="P1070" s="250" t="str">
        <f>IFERROR(__xludf.DUMMYFUNCTION("""COMPUTED_VALUE"""),"")</f>
        <v/>
      </c>
      <c r="Q1070" s="250" t="str">
        <f>IFERROR(__xludf.DUMMYFUNCTION("""COMPUTED_VALUE"""),"")</f>
        <v/>
      </c>
      <c r="R1070" s="250" t="str">
        <f>IFERROR(__xludf.DUMMYFUNCTION("""COMPUTED_VALUE"""),"")</f>
        <v/>
      </c>
      <c r="U1070" s="250" t="str">
        <f>IFERROR(__xludf.DUMMYFUNCTION("""COMPUTED_VALUE"""),"#N/A")</f>
        <v>#N/A</v>
      </c>
      <c r="V1070" s="250" t="str">
        <f>IFERROR(__xludf.DUMMYFUNCTION("""COMPUTED_VALUE"""),"#N/A")</f>
        <v>#N/A</v>
      </c>
      <c r="W1070" s="250" t="str">
        <f>IFERROR(__xludf.DUMMYFUNCTION("""COMPUTED_VALUE"""),"#N/A")</f>
        <v>#N/A</v>
      </c>
      <c r="X1070" t="b">
        <f t="shared" ref="X1070:Z1070" si="2116">ISBLANK(K1070)</f>
        <v>1</v>
      </c>
      <c r="Y1070" t="b">
        <f t="shared" si="2116"/>
        <v>0</v>
      </c>
      <c r="Z1070" t="b">
        <f t="shared" si="2116"/>
        <v>0</v>
      </c>
      <c r="AA1070">
        <f t="shared" ref="AA1070:AC1070" si="2117">IF(X1070=FALSE,1,0)</f>
        <v>0</v>
      </c>
      <c r="AB1070">
        <f t="shared" si="2117"/>
        <v>1</v>
      </c>
      <c r="AC1070">
        <f t="shared" si="2117"/>
        <v>1</v>
      </c>
      <c r="AD1070">
        <f t="shared" si="6"/>
        <v>2</v>
      </c>
      <c r="AE1070">
        <f t="shared" si="7"/>
        <v>1</v>
      </c>
    </row>
    <row r="1071">
      <c r="B1071" t="str">
        <f>IFERROR(__xludf.DUMMYFUNCTION("""COMPUTED_VALUE"""),"")</f>
        <v/>
      </c>
      <c r="C1071" t="str">
        <f>IFERROR(__xludf.DUMMYFUNCTION("""COMPUTED_VALUE"""),"")</f>
        <v/>
      </c>
      <c r="D1071" t="str">
        <f>IFERROR(__xludf.DUMMYFUNCTION("""COMPUTED_VALUE"""),"")</f>
        <v/>
      </c>
      <c r="E1071" t="str">
        <f>IFERROR(__xludf.DUMMYFUNCTION("""COMPUTED_VALUE"""),"")</f>
        <v/>
      </c>
      <c r="F1071" t="str">
        <f>IFERROR(__xludf.DUMMYFUNCTION("""COMPUTED_VALUE"""),"")</f>
        <v/>
      </c>
      <c r="G1071" t="str">
        <f>IFERROR(__xludf.DUMMYFUNCTION("""COMPUTED_VALUE"""),"")</f>
        <v/>
      </c>
      <c r="H1071" t="str">
        <f>IFERROR(__xludf.DUMMYFUNCTION("""COMPUTED_VALUE"""),"")</f>
        <v/>
      </c>
      <c r="I1071" t="str">
        <f>IFERROR(__xludf.DUMMYFUNCTION("""COMPUTED_VALUE"""),"")</f>
        <v/>
      </c>
      <c r="J1071">
        <f>IFERROR(__xludf.DUMMYFUNCTION("""COMPUTED_VALUE"""),0.0)</f>
        <v>0</v>
      </c>
      <c r="L1071" s="250" t="str">
        <f>IFERROR(__xludf.DUMMYFUNCTION("""COMPUTED_VALUE"""),"")</f>
        <v/>
      </c>
      <c r="M1071" s="250" t="str">
        <f>IFERROR(__xludf.DUMMYFUNCTION("""COMPUTED_VALUE"""),"")</f>
        <v/>
      </c>
      <c r="N1071" s="250" t="str">
        <f>IFERROR(__xludf.DUMMYFUNCTION("""COMPUTED_VALUE"""),"")</f>
        <v/>
      </c>
      <c r="O1071" s="250" t="str">
        <f>IFERROR(__xludf.DUMMYFUNCTION("""COMPUTED_VALUE"""),"")</f>
        <v/>
      </c>
      <c r="P1071" s="250" t="str">
        <f>IFERROR(__xludf.DUMMYFUNCTION("""COMPUTED_VALUE"""),"")</f>
        <v/>
      </c>
      <c r="Q1071" s="250" t="str">
        <f>IFERROR(__xludf.DUMMYFUNCTION("""COMPUTED_VALUE"""),"")</f>
        <v/>
      </c>
      <c r="R1071" s="250" t="str">
        <f>IFERROR(__xludf.DUMMYFUNCTION("""COMPUTED_VALUE"""),"")</f>
        <v/>
      </c>
      <c r="U1071" s="250" t="str">
        <f>IFERROR(__xludf.DUMMYFUNCTION("""COMPUTED_VALUE"""),"#N/A")</f>
        <v>#N/A</v>
      </c>
      <c r="V1071" s="250" t="str">
        <f>IFERROR(__xludf.DUMMYFUNCTION("""COMPUTED_VALUE"""),"#N/A")</f>
        <v>#N/A</v>
      </c>
      <c r="W1071" s="250" t="str">
        <f>IFERROR(__xludf.DUMMYFUNCTION("""COMPUTED_VALUE"""),"#N/A")</f>
        <v>#N/A</v>
      </c>
      <c r="X1071" t="b">
        <f t="shared" ref="X1071:Z1071" si="2118">ISBLANK(K1071)</f>
        <v>1</v>
      </c>
      <c r="Y1071" t="b">
        <f t="shared" si="2118"/>
        <v>0</v>
      </c>
      <c r="Z1071" t="b">
        <f t="shared" si="2118"/>
        <v>0</v>
      </c>
      <c r="AA1071">
        <f t="shared" ref="AA1071:AC1071" si="2119">IF(X1071=FALSE,1,0)</f>
        <v>0</v>
      </c>
      <c r="AB1071">
        <f t="shared" si="2119"/>
        <v>1</v>
      </c>
      <c r="AC1071">
        <f t="shared" si="2119"/>
        <v>1</v>
      </c>
      <c r="AD1071">
        <f t="shared" si="6"/>
        <v>2</v>
      </c>
      <c r="AE1071">
        <f t="shared" si="7"/>
        <v>1</v>
      </c>
    </row>
    <row r="1072">
      <c r="B1072" t="str">
        <f>IFERROR(__xludf.DUMMYFUNCTION("""COMPUTED_VALUE"""),"")</f>
        <v/>
      </c>
      <c r="C1072" t="str">
        <f>IFERROR(__xludf.DUMMYFUNCTION("""COMPUTED_VALUE"""),"")</f>
        <v/>
      </c>
      <c r="D1072" t="str">
        <f>IFERROR(__xludf.DUMMYFUNCTION("""COMPUTED_VALUE"""),"")</f>
        <v/>
      </c>
      <c r="E1072" t="str">
        <f>IFERROR(__xludf.DUMMYFUNCTION("""COMPUTED_VALUE"""),"")</f>
        <v/>
      </c>
      <c r="F1072" t="str">
        <f>IFERROR(__xludf.DUMMYFUNCTION("""COMPUTED_VALUE"""),"")</f>
        <v/>
      </c>
      <c r="G1072" t="str">
        <f>IFERROR(__xludf.DUMMYFUNCTION("""COMPUTED_VALUE"""),"")</f>
        <v/>
      </c>
      <c r="H1072" t="str">
        <f>IFERROR(__xludf.DUMMYFUNCTION("""COMPUTED_VALUE"""),"")</f>
        <v/>
      </c>
      <c r="I1072" t="str">
        <f>IFERROR(__xludf.DUMMYFUNCTION("""COMPUTED_VALUE"""),"")</f>
        <v/>
      </c>
      <c r="J1072">
        <f>IFERROR(__xludf.DUMMYFUNCTION("""COMPUTED_VALUE"""),0.0)</f>
        <v>0</v>
      </c>
      <c r="L1072" s="250" t="str">
        <f>IFERROR(__xludf.DUMMYFUNCTION("""COMPUTED_VALUE"""),"")</f>
        <v/>
      </c>
      <c r="M1072" s="250" t="str">
        <f>IFERROR(__xludf.DUMMYFUNCTION("""COMPUTED_VALUE"""),"")</f>
        <v/>
      </c>
      <c r="N1072" s="250" t="str">
        <f>IFERROR(__xludf.DUMMYFUNCTION("""COMPUTED_VALUE"""),"")</f>
        <v/>
      </c>
      <c r="O1072" s="250" t="str">
        <f>IFERROR(__xludf.DUMMYFUNCTION("""COMPUTED_VALUE"""),"")</f>
        <v/>
      </c>
      <c r="P1072" s="250" t="str">
        <f>IFERROR(__xludf.DUMMYFUNCTION("""COMPUTED_VALUE"""),"")</f>
        <v/>
      </c>
      <c r="Q1072" s="250" t="str">
        <f>IFERROR(__xludf.DUMMYFUNCTION("""COMPUTED_VALUE"""),"")</f>
        <v/>
      </c>
      <c r="R1072" s="250" t="str">
        <f>IFERROR(__xludf.DUMMYFUNCTION("""COMPUTED_VALUE"""),"")</f>
        <v/>
      </c>
      <c r="U1072" s="250" t="str">
        <f>IFERROR(__xludf.DUMMYFUNCTION("""COMPUTED_VALUE"""),"#N/A")</f>
        <v>#N/A</v>
      </c>
      <c r="V1072" s="250" t="str">
        <f>IFERROR(__xludf.DUMMYFUNCTION("""COMPUTED_VALUE"""),"#N/A")</f>
        <v>#N/A</v>
      </c>
      <c r="W1072" s="250" t="str">
        <f>IFERROR(__xludf.DUMMYFUNCTION("""COMPUTED_VALUE"""),"#N/A")</f>
        <v>#N/A</v>
      </c>
      <c r="X1072" t="b">
        <f t="shared" ref="X1072:Z1072" si="2120">ISBLANK(K1072)</f>
        <v>1</v>
      </c>
      <c r="Y1072" t="b">
        <f t="shared" si="2120"/>
        <v>0</v>
      </c>
      <c r="Z1072" t="b">
        <f t="shared" si="2120"/>
        <v>0</v>
      </c>
      <c r="AA1072">
        <f t="shared" ref="AA1072:AC1072" si="2121">IF(X1072=FALSE,1,0)</f>
        <v>0</v>
      </c>
      <c r="AB1072">
        <f t="shared" si="2121"/>
        <v>1</v>
      </c>
      <c r="AC1072">
        <f t="shared" si="2121"/>
        <v>1</v>
      </c>
      <c r="AD1072">
        <f t="shared" si="6"/>
        <v>2</v>
      </c>
      <c r="AE1072">
        <f t="shared" si="7"/>
        <v>1</v>
      </c>
    </row>
    <row r="1073">
      <c r="B1073" t="str">
        <f>IFERROR(__xludf.DUMMYFUNCTION("""COMPUTED_VALUE"""),"")</f>
        <v/>
      </c>
      <c r="C1073" t="str">
        <f>IFERROR(__xludf.DUMMYFUNCTION("""COMPUTED_VALUE"""),"")</f>
        <v/>
      </c>
      <c r="D1073" t="str">
        <f>IFERROR(__xludf.DUMMYFUNCTION("""COMPUTED_VALUE"""),"")</f>
        <v/>
      </c>
      <c r="E1073" t="str">
        <f>IFERROR(__xludf.DUMMYFUNCTION("""COMPUTED_VALUE"""),"")</f>
        <v/>
      </c>
      <c r="F1073" t="str">
        <f>IFERROR(__xludf.DUMMYFUNCTION("""COMPUTED_VALUE"""),"")</f>
        <v/>
      </c>
      <c r="G1073" t="str">
        <f>IFERROR(__xludf.DUMMYFUNCTION("""COMPUTED_VALUE"""),"")</f>
        <v/>
      </c>
      <c r="H1073" t="str">
        <f>IFERROR(__xludf.DUMMYFUNCTION("""COMPUTED_VALUE"""),"")</f>
        <v/>
      </c>
      <c r="I1073" t="str">
        <f>IFERROR(__xludf.DUMMYFUNCTION("""COMPUTED_VALUE"""),"")</f>
        <v/>
      </c>
      <c r="J1073">
        <f>IFERROR(__xludf.DUMMYFUNCTION("""COMPUTED_VALUE"""),0.0)</f>
        <v>0</v>
      </c>
      <c r="L1073" s="250" t="str">
        <f>IFERROR(__xludf.DUMMYFUNCTION("""COMPUTED_VALUE"""),"")</f>
        <v/>
      </c>
      <c r="M1073" s="250" t="str">
        <f>IFERROR(__xludf.DUMMYFUNCTION("""COMPUTED_VALUE"""),"")</f>
        <v/>
      </c>
      <c r="N1073" s="250" t="str">
        <f>IFERROR(__xludf.DUMMYFUNCTION("""COMPUTED_VALUE"""),"")</f>
        <v/>
      </c>
      <c r="O1073" s="250" t="str">
        <f>IFERROR(__xludf.DUMMYFUNCTION("""COMPUTED_VALUE"""),"")</f>
        <v/>
      </c>
      <c r="P1073" s="250" t="str">
        <f>IFERROR(__xludf.DUMMYFUNCTION("""COMPUTED_VALUE"""),"")</f>
        <v/>
      </c>
      <c r="Q1073" s="250" t="str">
        <f>IFERROR(__xludf.DUMMYFUNCTION("""COMPUTED_VALUE"""),"")</f>
        <v/>
      </c>
      <c r="R1073" s="250" t="str">
        <f>IFERROR(__xludf.DUMMYFUNCTION("""COMPUTED_VALUE"""),"")</f>
        <v/>
      </c>
      <c r="U1073" s="250" t="str">
        <f>IFERROR(__xludf.DUMMYFUNCTION("""COMPUTED_VALUE"""),"#N/A")</f>
        <v>#N/A</v>
      </c>
      <c r="V1073" s="250" t="str">
        <f>IFERROR(__xludf.DUMMYFUNCTION("""COMPUTED_VALUE"""),"#N/A")</f>
        <v>#N/A</v>
      </c>
      <c r="W1073" s="250" t="str">
        <f>IFERROR(__xludf.DUMMYFUNCTION("""COMPUTED_VALUE"""),"#N/A")</f>
        <v>#N/A</v>
      </c>
      <c r="X1073" t="b">
        <f t="shared" ref="X1073:Z1073" si="2122">ISBLANK(K1073)</f>
        <v>1</v>
      </c>
      <c r="Y1073" t="b">
        <f t="shared" si="2122"/>
        <v>0</v>
      </c>
      <c r="Z1073" t="b">
        <f t="shared" si="2122"/>
        <v>0</v>
      </c>
      <c r="AA1073">
        <f t="shared" ref="AA1073:AC1073" si="2123">IF(X1073=FALSE,1,0)</f>
        <v>0</v>
      </c>
      <c r="AB1073">
        <f t="shared" si="2123"/>
        <v>1</v>
      </c>
      <c r="AC1073">
        <f t="shared" si="2123"/>
        <v>1</v>
      </c>
      <c r="AD1073">
        <f t="shared" si="6"/>
        <v>2</v>
      </c>
      <c r="AE1073">
        <f t="shared" si="7"/>
        <v>1</v>
      </c>
    </row>
    <row r="1074">
      <c r="B1074" t="str">
        <f>IFERROR(__xludf.DUMMYFUNCTION("""COMPUTED_VALUE"""),"")</f>
        <v/>
      </c>
      <c r="C1074" t="str">
        <f>IFERROR(__xludf.DUMMYFUNCTION("""COMPUTED_VALUE"""),"")</f>
        <v/>
      </c>
      <c r="D1074" t="str">
        <f>IFERROR(__xludf.DUMMYFUNCTION("""COMPUTED_VALUE"""),"")</f>
        <v/>
      </c>
      <c r="E1074" t="str">
        <f>IFERROR(__xludf.DUMMYFUNCTION("""COMPUTED_VALUE"""),"")</f>
        <v/>
      </c>
      <c r="F1074" t="str">
        <f>IFERROR(__xludf.DUMMYFUNCTION("""COMPUTED_VALUE"""),"")</f>
        <v/>
      </c>
      <c r="G1074" t="str">
        <f>IFERROR(__xludf.DUMMYFUNCTION("""COMPUTED_VALUE"""),"")</f>
        <v/>
      </c>
      <c r="H1074" t="str">
        <f>IFERROR(__xludf.DUMMYFUNCTION("""COMPUTED_VALUE"""),"")</f>
        <v/>
      </c>
      <c r="I1074" t="str">
        <f>IFERROR(__xludf.DUMMYFUNCTION("""COMPUTED_VALUE"""),"")</f>
        <v/>
      </c>
      <c r="J1074">
        <f>IFERROR(__xludf.DUMMYFUNCTION("""COMPUTED_VALUE"""),0.0)</f>
        <v>0</v>
      </c>
      <c r="L1074" s="250" t="str">
        <f>IFERROR(__xludf.DUMMYFUNCTION("""COMPUTED_VALUE"""),"")</f>
        <v/>
      </c>
      <c r="M1074" s="250" t="str">
        <f>IFERROR(__xludf.DUMMYFUNCTION("""COMPUTED_VALUE"""),"")</f>
        <v/>
      </c>
      <c r="N1074" s="250" t="str">
        <f>IFERROR(__xludf.DUMMYFUNCTION("""COMPUTED_VALUE"""),"")</f>
        <v/>
      </c>
      <c r="O1074" s="250" t="str">
        <f>IFERROR(__xludf.DUMMYFUNCTION("""COMPUTED_VALUE"""),"")</f>
        <v/>
      </c>
      <c r="P1074" s="250" t="str">
        <f>IFERROR(__xludf.DUMMYFUNCTION("""COMPUTED_VALUE"""),"")</f>
        <v/>
      </c>
      <c r="Q1074" s="250" t="str">
        <f>IFERROR(__xludf.DUMMYFUNCTION("""COMPUTED_VALUE"""),"")</f>
        <v/>
      </c>
      <c r="R1074" s="250" t="str">
        <f>IFERROR(__xludf.DUMMYFUNCTION("""COMPUTED_VALUE"""),"")</f>
        <v/>
      </c>
      <c r="U1074" s="250" t="str">
        <f>IFERROR(__xludf.DUMMYFUNCTION("""COMPUTED_VALUE"""),"#N/A")</f>
        <v>#N/A</v>
      </c>
      <c r="V1074" s="250" t="str">
        <f>IFERROR(__xludf.DUMMYFUNCTION("""COMPUTED_VALUE"""),"#N/A")</f>
        <v>#N/A</v>
      </c>
      <c r="W1074" s="250" t="str">
        <f>IFERROR(__xludf.DUMMYFUNCTION("""COMPUTED_VALUE"""),"#N/A")</f>
        <v>#N/A</v>
      </c>
      <c r="X1074" t="b">
        <f t="shared" ref="X1074:Z1074" si="2124">ISBLANK(K1074)</f>
        <v>1</v>
      </c>
      <c r="Y1074" t="b">
        <f t="shared" si="2124"/>
        <v>0</v>
      </c>
      <c r="Z1074" t="b">
        <f t="shared" si="2124"/>
        <v>0</v>
      </c>
      <c r="AA1074">
        <f t="shared" ref="AA1074:AC1074" si="2125">IF(X1074=FALSE,1,0)</f>
        <v>0</v>
      </c>
      <c r="AB1074">
        <f t="shared" si="2125"/>
        <v>1</v>
      </c>
      <c r="AC1074">
        <f t="shared" si="2125"/>
        <v>1</v>
      </c>
      <c r="AD1074">
        <f t="shared" si="6"/>
        <v>2</v>
      </c>
      <c r="AE1074">
        <f t="shared" si="7"/>
        <v>1</v>
      </c>
    </row>
    <row r="1075">
      <c r="B1075" t="str">
        <f>IFERROR(__xludf.DUMMYFUNCTION("""COMPUTED_VALUE"""),"")</f>
        <v/>
      </c>
      <c r="C1075" t="str">
        <f>IFERROR(__xludf.DUMMYFUNCTION("""COMPUTED_VALUE"""),"")</f>
        <v/>
      </c>
      <c r="D1075" t="str">
        <f>IFERROR(__xludf.DUMMYFUNCTION("""COMPUTED_VALUE"""),"")</f>
        <v/>
      </c>
      <c r="E1075" t="str">
        <f>IFERROR(__xludf.DUMMYFUNCTION("""COMPUTED_VALUE"""),"")</f>
        <v/>
      </c>
      <c r="F1075" t="str">
        <f>IFERROR(__xludf.DUMMYFUNCTION("""COMPUTED_VALUE"""),"")</f>
        <v/>
      </c>
      <c r="G1075" t="str">
        <f>IFERROR(__xludf.DUMMYFUNCTION("""COMPUTED_VALUE"""),"")</f>
        <v/>
      </c>
      <c r="H1075" t="str">
        <f>IFERROR(__xludf.DUMMYFUNCTION("""COMPUTED_VALUE"""),"")</f>
        <v/>
      </c>
      <c r="I1075" t="str">
        <f>IFERROR(__xludf.DUMMYFUNCTION("""COMPUTED_VALUE"""),"")</f>
        <v/>
      </c>
      <c r="J1075">
        <f>IFERROR(__xludf.DUMMYFUNCTION("""COMPUTED_VALUE"""),0.0)</f>
        <v>0</v>
      </c>
      <c r="L1075" s="250" t="str">
        <f>IFERROR(__xludf.DUMMYFUNCTION("""COMPUTED_VALUE"""),"")</f>
        <v/>
      </c>
      <c r="M1075" s="250" t="str">
        <f>IFERROR(__xludf.DUMMYFUNCTION("""COMPUTED_VALUE"""),"")</f>
        <v/>
      </c>
      <c r="N1075" s="250" t="str">
        <f>IFERROR(__xludf.DUMMYFUNCTION("""COMPUTED_VALUE"""),"")</f>
        <v/>
      </c>
      <c r="O1075" s="250" t="str">
        <f>IFERROR(__xludf.DUMMYFUNCTION("""COMPUTED_VALUE"""),"")</f>
        <v/>
      </c>
      <c r="P1075" s="250" t="str">
        <f>IFERROR(__xludf.DUMMYFUNCTION("""COMPUTED_VALUE"""),"")</f>
        <v/>
      </c>
      <c r="Q1075" s="250" t="str">
        <f>IFERROR(__xludf.DUMMYFUNCTION("""COMPUTED_VALUE"""),"")</f>
        <v/>
      </c>
      <c r="R1075" s="250" t="str">
        <f>IFERROR(__xludf.DUMMYFUNCTION("""COMPUTED_VALUE"""),"")</f>
        <v/>
      </c>
      <c r="U1075" s="250" t="str">
        <f>IFERROR(__xludf.DUMMYFUNCTION("""COMPUTED_VALUE"""),"#N/A")</f>
        <v>#N/A</v>
      </c>
      <c r="V1075" s="250" t="str">
        <f>IFERROR(__xludf.DUMMYFUNCTION("""COMPUTED_VALUE"""),"#N/A")</f>
        <v>#N/A</v>
      </c>
      <c r="W1075" s="250" t="str">
        <f>IFERROR(__xludf.DUMMYFUNCTION("""COMPUTED_VALUE"""),"#N/A")</f>
        <v>#N/A</v>
      </c>
      <c r="X1075" t="b">
        <f t="shared" ref="X1075:Z1075" si="2126">ISBLANK(K1075)</f>
        <v>1</v>
      </c>
      <c r="Y1075" t="b">
        <f t="shared" si="2126"/>
        <v>0</v>
      </c>
      <c r="Z1075" t="b">
        <f t="shared" si="2126"/>
        <v>0</v>
      </c>
      <c r="AA1075">
        <f t="shared" ref="AA1075:AC1075" si="2127">IF(X1075=FALSE,1,0)</f>
        <v>0</v>
      </c>
      <c r="AB1075">
        <f t="shared" si="2127"/>
        <v>1</v>
      </c>
      <c r="AC1075">
        <f t="shared" si="2127"/>
        <v>1</v>
      </c>
      <c r="AD1075">
        <f t="shared" si="6"/>
        <v>2</v>
      </c>
      <c r="AE1075">
        <f t="shared" si="7"/>
        <v>1</v>
      </c>
    </row>
    <row r="1076">
      <c r="B1076" t="str">
        <f>IFERROR(__xludf.DUMMYFUNCTION("""COMPUTED_VALUE"""),"")</f>
        <v/>
      </c>
      <c r="C1076" t="str">
        <f>IFERROR(__xludf.DUMMYFUNCTION("""COMPUTED_VALUE"""),"")</f>
        <v/>
      </c>
      <c r="D1076" t="str">
        <f>IFERROR(__xludf.DUMMYFUNCTION("""COMPUTED_VALUE"""),"")</f>
        <v/>
      </c>
      <c r="E1076" t="str">
        <f>IFERROR(__xludf.DUMMYFUNCTION("""COMPUTED_VALUE"""),"")</f>
        <v/>
      </c>
      <c r="F1076" t="str">
        <f>IFERROR(__xludf.DUMMYFUNCTION("""COMPUTED_VALUE"""),"")</f>
        <v/>
      </c>
      <c r="G1076" t="str">
        <f>IFERROR(__xludf.DUMMYFUNCTION("""COMPUTED_VALUE"""),"")</f>
        <v/>
      </c>
      <c r="H1076" t="str">
        <f>IFERROR(__xludf.DUMMYFUNCTION("""COMPUTED_VALUE"""),"")</f>
        <v/>
      </c>
      <c r="I1076" t="str">
        <f>IFERROR(__xludf.DUMMYFUNCTION("""COMPUTED_VALUE"""),"")</f>
        <v/>
      </c>
      <c r="J1076">
        <f>IFERROR(__xludf.DUMMYFUNCTION("""COMPUTED_VALUE"""),0.0)</f>
        <v>0</v>
      </c>
      <c r="L1076" s="250" t="str">
        <f>IFERROR(__xludf.DUMMYFUNCTION("""COMPUTED_VALUE"""),"")</f>
        <v/>
      </c>
      <c r="M1076" s="250" t="str">
        <f>IFERROR(__xludf.DUMMYFUNCTION("""COMPUTED_VALUE"""),"")</f>
        <v/>
      </c>
      <c r="N1076" s="250" t="str">
        <f>IFERROR(__xludf.DUMMYFUNCTION("""COMPUTED_VALUE"""),"")</f>
        <v/>
      </c>
      <c r="O1076" s="250" t="str">
        <f>IFERROR(__xludf.DUMMYFUNCTION("""COMPUTED_VALUE"""),"")</f>
        <v/>
      </c>
      <c r="P1076" s="250" t="str">
        <f>IFERROR(__xludf.DUMMYFUNCTION("""COMPUTED_VALUE"""),"")</f>
        <v/>
      </c>
      <c r="Q1076" s="250" t="str">
        <f>IFERROR(__xludf.DUMMYFUNCTION("""COMPUTED_VALUE"""),"")</f>
        <v/>
      </c>
      <c r="R1076" s="250" t="str">
        <f>IFERROR(__xludf.DUMMYFUNCTION("""COMPUTED_VALUE"""),"")</f>
        <v/>
      </c>
      <c r="U1076" s="250" t="str">
        <f>IFERROR(__xludf.DUMMYFUNCTION("""COMPUTED_VALUE"""),"#N/A")</f>
        <v>#N/A</v>
      </c>
      <c r="V1076" s="250" t="str">
        <f>IFERROR(__xludf.DUMMYFUNCTION("""COMPUTED_VALUE"""),"#N/A")</f>
        <v>#N/A</v>
      </c>
      <c r="W1076" s="250" t="str">
        <f>IFERROR(__xludf.DUMMYFUNCTION("""COMPUTED_VALUE"""),"#N/A")</f>
        <v>#N/A</v>
      </c>
      <c r="X1076" t="b">
        <f t="shared" ref="X1076:Z1076" si="2128">ISBLANK(K1076)</f>
        <v>1</v>
      </c>
      <c r="Y1076" t="b">
        <f t="shared" si="2128"/>
        <v>0</v>
      </c>
      <c r="Z1076" t="b">
        <f t="shared" si="2128"/>
        <v>0</v>
      </c>
      <c r="AA1076">
        <f t="shared" ref="AA1076:AC1076" si="2129">IF(X1076=FALSE,1,0)</f>
        <v>0</v>
      </c>
      <c r="AB1076">
        <f t="shared" si="2129"/>
        <v>1</v>
      </c>
      <c r="AC1076">
        <f t="shared" si="2129"/>
        <v>1</v>
      </c>
      <c r="AD1076">
        <f t="shared" si="6"/>
        <v>2</v>
      </c>
      <c r="AE1076">
        <f t="shared" si="7"/>
        <v>1</v>
      </c>
    </row>
    <row r="1077">
      <c r="B1077" t="str">
        <f>IFERROR(__xludf.DUMMYFUNCTION("""COMPUTED_VALUE"""),"")</f>
        <v/>
      </c>
      <c r="C1077" t="str">
        <f>IFERROR(__xludf.DUMMYFUNCTION("""COMPUTED_VALUE"""),"")</f>
        <v/>
      </c>
      <c r="D1077" t="str">
        <f>IFERROR(__xludf.DUMMYFUNCTION("""COMPUTED_VALUE"""),"")</f>
        <v/>
      </c>
      <c r="E1077" t="str">
        <f>IFERROR(__xludf.DUMMYFUNCTION("""COMPUTED_VALUE"""),"")</f>
        <v/>
      </c>
      <c r="F1077" t="str">
        <f>IFERROR(__xludf.DUMMYFUNCTION("""COMPUTED_VALUE"""),"")</f>
        <v/>
      </c>
      <c r="G1077" t="str">
        <f>IFERROR(__xludf.DUMMYFUNCTION("""COMPUTED_VALUE"""),"")</f>
        <v/>
      </c>
      <c r="H1077" t="str">
        <f>IFERROR(__xludf.DUMMYFUNCTION("""COMPUTED_VALUE"""),"")</f>
        <v/>
      </c>
      <c r="I1077" t="str">
        <f>IFERROR(__xludf.DUMMYFUNCTION("""COMPUTED_VALUE"""),"")</f>
        <v/>
      </c>
      <c r="J1077">
        <f>IFERROR(__xludf.DUMMYFUNCTION("""COMPUTED_VALUE"""),0.0)</f>
        <v>0</v>
      </c>
      <c r="L1077" s="250" t="str">
        <f>IFERROR(__xludf.DUMMYFUNCTION("""COMPUTED_VALUE"""),"")</f>
        <v/>
      </c>
      <c r="M1077" s="250" t="str">
        <f>IFERROR(__xludf.DUMMYFUNCTION("""COMPUTED_VALUE"""),"")</f>
        <v/>
      </c>
      <c r="N1077" s="250" t="str">
        <f>IFERROR(__xludf.DUMMYFUNCTION("""COMPUTED_VALUE"""),"")</f>
        <v/>
      </c>
      <c r="O1077" s="250" t="str">
        <f>IFERROR(__xludf.DUMMYFUNCTION("""COMPUTED_VALUE"""),"")</f>
        <v/>
      </c>
      <c r="P1077" s="250" t="str">
        <f>IFERROR(__xludf.DUMMYFUNCTION("""COMPUTED_VALUE"""),"")</f>
        <v/>
      </c>
      <c r="Q1077" s="250" t="str">
        <f>IFERROR(__xludf.DUMMYFUNCTION("""COMPUTED_VALUE"""),"")</f>
        <v/>
      </c>
      <c r="R1077" s="250" t="str">
        <f>IFERROR(__xludf.DUMMYFUNCTION("""COMPUTED_VALUE"""),"")</f>
        <v/>
      </c>
      <c r="U1077" s="250" t="str">
        <f>IFERROR(__xludf.DUMMYFUNCTION("""COMPUTED_VALUE"""),"#N/A")</f>
        <v>#N/A</v>
      </c>
      <c r="V1077" s="250" t="str">
        <f>IFERROR(__xludf.DUMMYFUNCTION("""COMPUTED_VALUE"""),"#N/A")</f>
        <v>#N/A</v>
      </c>
      <c r="W1077" s="250" t="str">
        <f>IFERROR(__xludf.DUMMYFUNCTION("""COMPUTED_VALUE"""),"#N/A")</f>
        <v>#N/A</v>
      </c>
      <c r="X1077" t="b">
        <f t="shared" ref="X1077:Z1077" si="2130">ISBLANK(K1077)</f>
        <v>1</v>
      </c>
      <c r="Y1077" t="b">
        <f t="shared" si="2130"/>
        <v>0</v>
      </c>
      <c r="Z1077" t="b">
        <f t="shared" si="2130"/>
        <v>0</v>
      </c>
      <c r="AA1077">
        <f t="shared" ref="AA1077:AC1077" si="2131">IF(X1077=FALSE,1,0)</f>
        <v>0</v>
      </c>
      <c r="AB1077">
        <f t="shared" si="2131"/>
        <v>1</v>
      </c>
      <c r="AC1077">
        <f t="shared" si="2131"/>
        <v>1</v>
      </c>
      <c r="AD1077">
        <f t="shared" si="6"/>
        <v>2</v>
      </c>
      <c r="AE1077">
        <f t="shared" si="7"/>
        <v>1</v>
      </c>
    </row>
    <row r="1078">
      <c r="B1078" t="str">
        <f>IFERROR(__xludf.DUMMYFUNCTION("""COMPUTED_VALUE"""),"")</f>
        <v/>
      </c>
      <c r="C1078" t="str">
        <f>IFERROR(__xludf.DUMMYFUNCTION("""COMPUTED_VALUE"""),"")</f>
        <v/>
      </c>
      <c r="D1078" t="str">
        <f>IFERROR(__xludf.DUMMYFUNCTION("""COMPUTED_VALUE"""),"")</f>
        <v/>
      </c>
      <c r="E1078" t="str">
        <f>IFERROR(__xludf.DUMMYFUNCTION("""COMPUTED_VALUE"""),"")</f>
        <v/>
      </c>
      <c r="F1078" t="str">
        <f>IFERROR(__xludf.DUMMYFUNCTION("""COMPUTED_VALUE"""),"")</f>
        <v/>
      </c>
      <c r="G1078" t="str">
        <f>IFERROR(__xludf.DUMMYFUNCTION("""COMPUTED_VALUE"""),"")</f>
        <v/>
      </c>
      <c r="H1078" t="str">
        <f>IFERROR(__xludf.DUMMYFUNCTION("""COMPUTED_VALUE"""),"")</f>
        <v/>
      </c>
      <c r="I1078" t="str">
        <f>IFERROR(__xludf.DUMMYFUNCTION("""COMPUTED_VALUE"""),"")</f>
        <v/>
      </c>
      <c r="J1078">
        <f>IFERROR(__xludf.DUMMYFUNCTION("""COMPUTED_VALUE"""),0.0)</f>
        <v>0</v>
      </c>
      <c r="L1078" s="250" t="str">
        <f>IFERROR(__xludf.DUMMYFUNCTION("""COMPUTED_VALUE"""),"")</f>
        <v/>
      </c>
      <c r="M1078" s="250" t="str">
        <f>IFERROR(__xludf.DUMMYFUNCTION("""COMPUTED_VALUE"""),"")</f>
        <v/>
      </c>
      <c r="N1078" s="250" t="str">
        <f>IFERROR(__xludf.DUMMYFUNCTION("""COMPUTED_VALUE"""),"")</f>
        <v/>
      </c>
      <c r="O1078" s="250" t="str">
        <f>IFERROR(__xludf.DUMMYFUNCTION("""COMPUTED_VALUE"""),"")</f>
        <v/>
      </c>
      <c r="P1078" s="250" t="str">
        <f>IFERROR(__xludf.DUMMYFUNCTION("""COMPUTED_VALUE"""),"")</f>
        <v/>
      </c>
      <c r="Q1078" s="250" t="str">
        <f>IFERROR(__xludf.DUMMYFUNCTION("""COMPUTED_VALUE"""),"")</f>
        <v/>
      </c>
      <c r="R1078" s="250" t="str">
        <f>IFERROR(__xludf.DUMMYFUNCTION("""COMPUTED_VALUE"""),"")</f>
        <v/>
      </c>
      <c r="U1078" s="250" t="str">
        <f>IFERROR(__xludf.DUMMYFUNCTION("""COMPUTED_VALUE"""),"#N/A")</f>
        <v>#N/A</v>
      </c>
      <c r="V1078" s="250" t="str">
        <f>IFERROR(__xludf.DUMMYFUNCTION("""COMPUTED_VALUE"""),"#N/A")</f>
        <v>#N/A</v>
      </c>
      <c r="W1078" s="250" t="str">
        <f>IFERROR(__xludf.DUMMYFUNCTION("""COMPUTED_VALUE"""),"#N/A")</f>
        <v>#N/A</v>
      </c>
      <c r="X1078" t="b">
        <f t="shared" ref="X1078:Z1078" si="2132">ISBLANK(K1078)</f>
        <v>1</v>
      </c>
      <c r="Y1078" t="b">
        <f t="shared" si="2132"/>
        <v>0</v>
      </c>
      <c r="Z1078" t="b">
        <f t="shared" si="2132"/>
        <v>0</v>
      </c>
      <c r="AA1078">
        <f t="shared" ref="AA1078:AC1078" si="2133">IF(X1078=FALSE,1,0)</f>
        <v>0</v>
      </c>
      <c r="AB1078">
        <f t="shared" si="2133"/>
        <v>1</v>
      </c>
      <c r="AC1078">
        <f t="shared" si="2133"/>
        <v>1</v>
      </c>
      <c r="AD1078">
        <f t="shared" si="6"/>
        <v>2</v>
      </c>
      <c r="AE1078">
        <f t="shared" si="7"/>
        <v>1</v>
      </c>
    </row>
    <row r="1079">
      <c r="B1079" t="str">
        <f>IFERROR(__xludf.DUMMYFUNCTION("""COMPUTED_VALUE"""),"")</f>
        <v/>
      </c>
      <c r="C1079" t="str">
        <f>IFERROR(__xludf.DUMMYFUNCTION("""COMPUTED_VALUE"""),"")</f>
        <v/>
      </c>
      <c r="D1079" t="str">
        <f>IFERROR(__xludf.DUMMYFUNCTION("""COMPUTED_VALUE"""),"")</f>
        <v/>
      </c>
      <c r="E1079" t="str">
        <f>IFERROR(__xludf.DUMMYFUNCTION("""COMPUTED_VALUE"""),"")</f>
        <v/>
      </c>
      <c r="F1079" t="str">
        <f>IFERROR(__xludf.DUMMYFUNCTION("""COMPUTED_VALUE"""),"")</f>
        <v/>
      </c>
      <c r="G1079" t="str">
        <f>IFERROR(__xludf.DUMMYFUNCTION("""COMPUTED_VALUE"""),"")</f>
        <v/>
      </c>
      <c r="H1079" t="str">
        <f>IFERROR(__xludf.DUMMYFUNCTION("""COMPUTED_VALUE"""),"")</f>
        <v/>
      </c>
      <c r="I1079" t="str">
        <f>IFERROR(__xludf.DUMMYFUNCTION("""COMPUTED_VALUE"""),"")</f>
        <v/>
      </c>
      <c r="J1079">
        <f>IFERROR(__xludf.DUMMYFUNCTION("""COMPUTED_VALUE"""),0.0)</f>
        <v>0</v>
      </c>
      <c r="L1079" s="250" t="str">
        <f>IFERROR(__xludf.DUMMYFUNCTION("""COMPUTED_VALUE"""),"")</f>
        <v/>
      </c>
      <c r="M1079" s="250" t="str">
        <f>IFERROR(__xludf.DUMMYFUNCTION("""COMPUTED_VALUE"""),"")</f>
        <v/>
      </c>
      <c r="N1079" s="250" t="str">
        <f>IFERROR(__xludf.DUMMYFUNCTION("""COMPUTED_VALUE"""),"")</f>
        <v/>
      </c>
      <c r="O1079" s="250" t="str">
        <f>IFERROR(__xludf.DUMMYFUNCTION("""COMPUTED_VALUE"""),"")</f>
        <v/>
      </c>
      <c r="P1079" s="250" t="str">
        <f>IFERROR(__xludf.DUMMYFUNCTION("""COMPUTED_VALUE"""),"")</f>
        <v/>
      </c>
      <c r="Q1079" s="250" t="str">
        <f>IFERROR(__xludf.DUMMYFUNCTION("""COMPUTED_VALUE"""),"")</f>
        <v/>
      </c>
      <c r="R1079" s="250" t="str">
        <f>IFERROR(__xludf.DUMMYFUNCTION("""COMPUTED_VALUE"""),"")</f>
        <v/>
      </c>
      <c r="U1079" s="250" t="str">
        <f>IFERROR(__xludf.DUMMYFUNCTION("""COMPUTED_VALUE"""),"#N/A")</f>
        <v>#N/A</v>
      </c>
      <c r="V1079" s="250" t="str">
        <f>IFERROR(__xludf.DUMMYFUNCTION("""COMPUTED_VALUE"""),"#N/A")</f>
        <v>#N/A</v>
      </c>
      <c r="W1079" s="250" t="str">
        <f>IFERROR(__xludf.DUMMYFUNCTION("""COMPUTED_VALUE"""),"#N/A")</f>
        <v>#N/A</v>
      </c>
      <c r="X1079" t="b">
        <f t="shared" ref="X1079:Z1079" si="2134">ISBLANK(K1079)</f>
        <v>1</v>
      </c>
      <c r="Y1079" t="b">
        <f t="shared" si="2134"/>
        <v>0</v>
      </c>
      <c r="Z1079" t="b">
        <f t="shared" si="2134"/>
        <v>0</v>
      </c>
      <c r="AA1079">
        <f t="shared" ref="AA1079:AC1079" si="2135">IF(X1079=FALSE,1,0)</f>
        <v>0</v>
      </c>
      <c r="AB1079">
        <f t="shared" si="2135"/>
        <v>1</v>
      </c>
      <c r="AC1079">
        <f t="shared" si="2135"/>
        <v>1</v>
      </c>
      <c r="AD1079">
        <f t="shared" si="6"/>
        <v>2</v>
      </c>
      <c r="AE1079">
        <f t="shared" si="7"/>
        <v>1</v>
      </c>
    </row>
    <row r="1080">
      <c r="B1080" t="str">
        <f>IFERROR(__xludf.DUMMYFUNCTION("""COMPUTED_VALUE"""),"")</f>
        <v/>
      </c>
      <c r="C1080" t="str">
        <f>IFERROR(__xludf.DUMMYFUNCTION("""COMPUTED_VALUE"""),"")</f>
        <v/>
      </c>
      <c r="D1080" t="str">
        <f>IFERROR(__xludf.DUMMYFUNCTION("""COMPUTED_VALUE"""),"")</f>
        <v/>
      </c>
      <c r="E1080" t="str">
        <f>IFERROR(__xludf.DUMMYFUNCTION("""COMPUTED_VALUE"""),"")</f>
        <v/>
      </c>
      <c r="F1080" t="str">
        <f>IFERROR(__xludf.DUMMYFUNCTION("""COMPUTED_VALUE"""),"")</f>
        <v/>
      </c>
      <c r="G1080" t="str">
        <f>IFERROR(__xludf.DUMMYFUNCTION("""COMPUTED_VALUE"""),"")</f>
        <v/>
      </c>
      <c r="H1080" t="str">
        <f>IFERROR(__xludf.DUMMYFUNCTION("""COMPUTED_VALUE"""),"")</f>
        <v/>
      </c>
      <c r="I1080" t="str">
        <f>IFERROR(__xludf.DUMMYFUNCTION("""COMPUTED_VALUE"""),"")</f>
        <v/>
      </c>
      <c r="J1080">
        <f>IFERROR(__xludf.DUMMYFUNCTION("""COMPUTED_VALUE"""),0.0)</f>
        <v>0</v>
      </c>
      <c r="L1080" s="250" t="str">
        <f>IFERROR(__xludf.DUMMYFUNCTION("""COMPUTED_VALUE"""),"")</f>
        <v/>
      </c>
      <c r="M1080" s="250" t="str">
        <f>IFERROR(__xludf.DUMMYFUNCTION("""COMPUTED_VALUE"""),"")</f>
        <v/>
      </c>
      <c r="N1080" s="250" t="str">
        <f>IFERROR(__xludf.DUMMYFUNCTION("""COMPUTED_VALUE"""),"")</f>
        <v/>
      </c>
      <c r="O1080" s="250" t="str">
        <f>IFERROR(__xludf.DUMMYFUNCTION("""COMPUTED_VALUE"""),"")</f>
        <v/>
      </c>
      <c r="P1080" s="250" t="str">
        <f>IFERROR(__xludf.DUMMYFUNCTION("""COMPUTED_VALUE"""),"")</f>
        <v/>
      </c>
      <c r="Q1080" s="250" t="str">
        <f>IFERROR(__xludf.DUMMYFUNCTION("""COMPUTED_VALUE"""),"")</f>
        <v/>
      </c>
      <c r="R1080" s="250" t="str">
        <f>IFERROR(__xludf.DUMMYFUNCTION("""COMPUTED_VALUE"""),"")</f>
        <v/>
      </c>
      <c r="U1080" s="250" t="str">
        <f>IFERROR(__xludf.DUMMYFUNCTION("""COMPUTED_VALUE"""),"#N/A")</f>
        <v>#N/A</v>
      </c>
      <c r="V1080" s="250" t="str">
        <f>IFERROR(__xludf.DUMMYFUNCTION("""COMPUTED_VALUE"""),"#N/A")</f>
        <v>#N/A</v>
      </c>
      <c r="W1080" s="250" t="str">
        <f>IFERROR(__xludf.DUMMYFUNCTION("""COMPUTED_VALUE"""),"#N/A")</f>
        <v>#N/A</v>
      </c>
      <c r="X1080" t="b">
        <f t="shared" ref="X1080:Z1080" si="2136">ISBLANK(K1080)</f>
        <v>1</v>
      </c>
      <c r="Y1080" t="b">
        <f t="shared" si="2136"/>
        <v>0</v>
      </c>
      <c r="Z1080" t="b">
        <f t="shared" si="2136"/>
        <v>0</v>
      </c>
      <c r="AA1080">
        <f t="shared" ref="AA1080:AC1080" si="2137">IF(X1080=FALSE,1,0)</f>
        <v>0</v>
      </c>
      <c r="AB1080">
        <f t="shared" si="2137"/>
        <v>1</v>
      </c>
      <c r="AC1080">
        <f t="shared" si="2137"/>
        <v>1</v>
      </c>
      <c r="AD1080">
        <f t="shared" si="6"/>
        <v>2</v>
      </c>
      <c r="AE1080">
        <f t="shared" si="7"/>
        <v>1</v>
      </c>
    </row>
    <row r="1081">
      <c r="B1081" t="str">
        <f>IFERROR(__xludf.DUMMYFUNCTION("""COMPUTED_VALUE"""),"")</f>
        <v/>
      </c>
      <c r="C1081" t="str">
        <f>IFERROR(__xludf.DUMMYFUNCTION("""COMPUTED_VALUE"""),"")</f>
        <v/>
      </c>
      <c r="D1081" t="str">
        <f>IFERROR(__xludf.DUMMYFUNCTION("""COMPUTED_VALUE"""),"")</f>
        <v/>
      </c>
      <c r="E1081" t="str">
        <f>IFERROR(__xludf.DUMMYFUNCTION("""COMPUTED_VALUE"""),"")</f>
        <v/>
      </c>
      <c r="F1081" t="str">
        <f>IFERROR(__xludf.DUMMYFUNCTION("""COMPUTED_VALUE"""),"")</f>
        <v/>
      </c>
      <c r="G1081" t="str">
        <f>IFERROR(__xludf.DUMMYFUNCTION("""COMPUTED_VALUE"""),"")</f>
        <v/>
      </c>
      <c r="H1081" t="str">
        <f>IFERROR(__xludf.DUMMYFUNCTION("""COMPUTED_VALUE"""),"")</f>
        <v/>
      </c>
      <c r="I1081" t="str">
        <f>IFERROR(__xludf.DUMMYFUNCTION("""COMPUTED_VALUE"""),"")</f>
        <v/>
      </c>
      <c r="J1081">
        <f>IFERROR(__xludf.DUMMYFUNCTION("""COMPUTED_VALUE"""),0.0)</f>
        <v>0</v>
      </c>
      <c r="L1081" s="250" t="str">
        <f>IFERROR(__xludf.DUMMYFUNCTION("""COMPUTED_VALUE"""),"")</f>
        <v/>
      </c>
      <c r="M1081" s="250" t="str">
        <f>IFERROR(__xludf.DUMMYFUNCTION("""COMPUTED_VALUE"""),"")</f>
        <v/>
      </c>
      <c r="N1081" s="250" t="str">
        <f>IFERROR(__xludf.DUMMYFUNCTION("""COMPUTED_VALUE"""),"")</f>
        <v/>
      </c>
      <c r="O1081" s="250" t="str">
        <f>IFERROR(__xludf.DUMMYFUNCTION("""COMPUTED_VALUE"""),"")</f>
        <v/>
      </c>
      <c r="P1081" s="250" t="str">
        <f>IFERROR(__xludf.DUMMYFUNCTION("""COMPUTED_VALUE"""),"")</f>
        <v/>
      </c>
      <c r="Q1081" s="250" t="str">
        <f>IFERROR(__xludf.DUMMYFUNCTION("""COMPUTED_VALUE"""),"")</f>
        <v/>
      </c>
      <c r="R1081" s="250" t="str">
        <f>IFERROR(__xludf.DUMMYFUNCTION("""COMPUTED_VALUE"""),"")</f>
        <v/>
      </c>
      <c r="U1081" s="250" t="str">
        <f>IFERROR(__xludf.DUMMYFUNCTION("""COMPUTED_VALUE"""),"#N/A")</f>
        <v>#N/A</v>
      </c>
      <c r="V1081" s="250" t="str">
        <f>IFERROR(__xludf.DUMMYFUNCTION("""COMPUTED_VALUE"""),"#N/A")</f>
        <v>#N/A</v>
      </c>
      <c r="W1081" s="250" t="str">
        <f>IFERROR(__xludf.DUMMYFUNCTION("""COMPUTED_VALUE"""),"#N/A")</f>
        <v>#N/A</v>
      </c>
      <c r="X1081" t="b">
        <f t="shared" ref="X1081:Z1081" si="2138">ISBLANK(K1081)</f>
        <v>1</v>
      </c>
      <c r="Y1081" t="b">
        <f t="shared" si="2138"/>
        <v>0</v>
      </c>
      <c r="Z1081" t="b">
        <f t="shared" si="2138"/>
        <v>0</v>
      </c>
      <c r="AA1081">
        <f t="shared" ref="AA1081:AC1081" si="2139">IF(X1081=FALSE,1,0)</f>
        <v>0</v>
      </c>
      <c r="AB1081">
        <f t="shared" si="2139"/>
        <v>1</v>
      </c>
      <c r="AC1081">
        <f t="shared" si="2139"/>
        <v>1</v>
      </c>
      <c r="AD1081">
        <f t="shared" si="6"/>
        <v>2</v>
      </c>
      <c r="AE1081">
        <f t="shared" si="7"/>
        <v>1</v>
      </c>
    </row>
    <row r="1082">
      <c r="B1082" t="str">
        <f>IFERROR(__xludf.DUMMYFUNCTION("""COMPUTED_VALUE"""),"")</f>
        <v/>
      </c>
      <c r="C1082" t="str">
        <f>IFERROR(__xludf.DUMMYFUNCTION("""COMPUTED_VALUE"""),"")</f>
        <v/>
      </c>
      <c r="D1082" t="str">
        <f>IFERROR(__xludf.DUMMYFUNCTION("""COMPUTED_VALUE"""),"")</f>
        <v/>
      </c>
      <c r="E1082" t="str">
        <f>IFERROR(__xludf.DUMMYFUNCTION("""COMPUTED_VALUE"""),"")</f>
        <v/>
      </c>
      <c r="F1082" t="str">
        <f>IFERROR(__xludf.DUMMYFUNCTION("""COMPUTED_VALUE"""),"")</f>
        <v/>
      </c>
      <c r="G1082" t="str">
        <f>IFERROR(__xludf.DUMMYFUNCTION("""COMPUTED_VALUE"""),"")</f>
        <v/>
      </c>
      <c r="H1082" t="str">
        <f>IFERROR(__xludf.DUMMYFUNCTION("""COMPUTED_VALUE"""),"")</f>
        <v/>
      </c>
      <c r="I1082" t="str">
        <f>IFERROR(__xludf.DUMMYFUNCTION("""COMPUTED_VALUE"""),"")</f>
        <v/>
      </c>
      <c r="J1082">
        <f>IFERROR(__xludf.DUMMYFUNCTION("""COMPUTED_VALUE"""),0.0)</f>
        <v>0</v>
      </c>
      <c r="L1082" s="250" t="str">
        <f>IFERROR(__xludf.DUMMYFUNCTION("""COMPUTED_VALUE"""),"")</f>
        <v/>
      </c>
      <c r="M1082" s="250" t="str">
        <f>IFERROR(__xludf.DUMMYFUNCTION("""COMPUTED_VALUE"""),"")</f>
        <v/>
      </c>
      <c r="N1082" s="250" t="str">
        <f>IFERROR(__xludf.DUMMYFUNCTION("""COMPUTED_VALUE"""),"")</f>
        <v/>
      </c>
      <c r="O1082" s="250" t="str">
        <f>IFERROR(__xludf.DUMMYFUNCTION("""COMPUTED_VALUE"""),"")</f>
        <v/>
      </c>
      <c r="P1082" s="250" t="str">
        <f>IFERROR(__xludf.DUMMYFUNCTION("""COMPUTED_VALUE"""),"")</f>
        <v/>
      </c>
      <c r="Q1082" s="250" t="str">
        <f>IFERROR(__xludf.DUMMYFUNCTION("""COMPUTED_VALUE"""),"")</f>
        <v/>
      </c>
      <c r="R1082" s="250" t="str">
        <f>IFERROR(__xludf.DUMMYFUNCTION("""COMPUTED_VALUE"""),"")</f>
        <v/>
      </c>
      <c r="U1082" s="250" t="str">
        <f>IFERROR(__xludf.DUMMYFUNCTION("""COMPUTED_VALUE"""),"#N/A")</f>
        <v>#N/A</v>
      </c>
      <c r="V1082" s="250" t="str">
        <f>IFERROR(__xludf.DUMMYFUNCTION("""COMPUTED_VALUE"""),"#N/A")</f>
        <v>#N/A</v>
      </c>
      <c r="W1082" s="250" t="str">
        <f>IFERROR(__xludf.DUMMYFUNCTION("""COMPUTED_VALUE"""),"#N/A")</f>
        <v>#N/A</v>
      </c>
      <c r="X1082" t="b">
        <f t="shared" ref="X1082:Z1082" si="2140">ISBLANK(K1082)</f>
        <v>1</v>
      </c>
      <c r="Y1082" t="b">
        <f t="shared" si="2140"/>
        <v>0</v>
      </c>
      <c r="Z1082" t="b">
        <f t="shared" si="2140"/>
        <v>0</v>
      </c>
      <c r="AA1082">
        <f t="shared" ref="AA1082:AC1082" si="2141">IF(X1082=FALSE,1,0)</f>
        <v>0</v>
      </c>
      <c r="AB1082">
        <f t="shared" si="2141"/>
        <v>1</v>
      </c>
      <c r="AC1082">
        <f t="shared" si="2141"/>
        <v>1</v>
      </c>
      <c r="AD1082">
        <f t="shared" si="6"/>
        <v>2</v>
      </c>
      <c r="AE1082">
        <f t="shared" si="7"/>
        <v>1</v>
      </c>
    </row>
    <row r="1083">
      <c r="B1083" t="str">
        <f>IFERROR(__xludf.DUMMYFUNCTION("""COMPUTED_VALUE"""),"")</f>
        <v/>
      </c>
      <c r="C1083" t="str">
        <f>IFERROR(__xludf.DUMMYFUNCTION("""COMPUTED_VALUE"""),"")</f>
        <v/>
      </c>
      <c r="D1083" t="str">
        <f>IFERROR(__xludf.DUMMYFUNCTION("""COMPUTED_VALUE"""),"")</f>
        <v/>
      </c>
      <c r="E1083" t="str">
        <f>IFERROR(__xludf.DUMMYFUNCTION("""COMPUTED_VALUE"""),"")</f>
        <v/>
      </c>
      <c r="F1083" t="str">
        <f>IFERROR(__xludf.DUMMYFUNCTION("""COMPUTED_VALUE"""),"")</f>
        <v/>
      </c>
      <c r="G1083" t="str">
        <f>IFERROR(__xludf.DUMMYFUNCTION("""COMPUTED_VALUE"""),"")</f>
        <v/>
      </c>
      <c r="H1083" t="str">
        <f>IFERROR(__xludf.DUMMYFUNCTION("""COMPUTED_VALUE"""),"")</f>
        <v/>
      </c>
      <c r="I1083" t="str">
        <f>IFERROR(__xludf.DUMMYFUNCTION("""COMPUTED_VALUE"""),"")</f>
        <v/>
      </c>
      <c r="J1083">
        <f>IFERROR(__xludf.DUMMYFUNCTION("""COMPUTED_VALUE"""),0.0)</f>
        <v>0</v>
      </c>
      <c r="L1083" s="250" t="str">
        <f>IFERROR(__xludf.DUMMYFUNCTION("""COMPUTED_VALUE"""),"")</f>
        <v/>
      </c>
      <c r="M1083" s="250" t="str">
        <f>IFERROR(__xludf.DUMMYFUNCTION("""COMPUTED_VALUE"""),"")</f>
        <v/>
      </c>
      <c r="N1083" s="250" t="str">
        <f>IFERROR(__xludf.DUMMYFUNCTION("""COMPUTED_VALUE"""),"")</f>
        <v/>
      </c>
      <c r="O1083" s="250" t="str">
        <f>IFERROR(__xludf.DUMMYFUNCTION("""COMPUTED_VALUE"""),"")</f>
        <v/>
      </c>
      <c r="P1083" s="250" t="str">
        <f>IFERROR(__xludf.DUMMYFUNCTION("""COMPUTED_VALUE"""),"")</f>
        <v/>
      </c>
      <c r="Q1083" s="250" t="str">
        <f>IFERROR(__xludf.DUMMYFUNCTION("""COMPUTED_VALUE"""),"")</f>
        <v/>
      </c>
      <c r="R1083" s="250" t="str">
        <f>IFERROR(__xludf.DUMMYFUNCTION("""COMPUTED_VALUE"""),"")</f>
        <v/>
      </c>
      <c r="U1083" s="250" t="str">
        <f>IFERROR(__xludf.DUMMYFUNCTION("""COMPUTED_VALUE"""),"#N/A")</f>
        <v>#N/A</v>
      </c>
      <c r="V1083" s="250" t="str">
        <f>IFERROR(__xludf.DUMMYFUNCTION("""COMPUTED_VALUE"""),"#N/A")</f>
        <v>#N/A</v>
      </c>
      <c r="W1083" s="250" t="str">
        <f>IFERROR(__xludf.DUMMYFUNCTION("""COMPUTED_VALUE"""),"#N/A")</f>
        <v>#N/A</v>
      </c>
      <c r="X1083" t="b">
        <f t="shared" ref="X1083:Z1083" si="2142">ISBLANK(K1083)</f>
        <v>1</v>
      </c>
      <c r="Y1083" t="b">
        <f t="shared" si="2142"/>
        <v>0</v>
      </c>
      <c r="Z1083" t="b">
        <f t="shared" si="2142"/>
        <v>0</v>
      </c>
      <c r="AA1083">
        <f t="shared" ref="AA1083:AC1083" si="2143">IF(X1083=FALSE,1,0)</f>
        <v>0</v>
      </c>
      <c r="AB1083">
        <f t="shared" si="2143"/>
        <v>1</v>
      </c>
      <c r="AC1083">
        <f t="shared" si="2143"/>
        <v>1</v>
      </c>
      <c r="AD1083">
        <f t="shared" si="6"/>
        <v>2</v>
      </c>
      <c r="AE1083">
        <f t="shared" si="7"/>
        <v>1</v>
      </c>
    </row>
    <row r="1084">
      <c r="B1084" t="str">
        <f>IFERROR(__xludf.DUMMYFUNCTION("""COMPUTED_VALUE"""),"")</f>
        <v/>
      </c>
      <c r="C1084" t="str">
        <f>IFERROR(__xludf.DUMMYFUNCTION("""COMPUTED_VALUE"""),"")</f>
        <v/>
      </c>
      <c r="D1084" t="str">
        <f>IFERROR(__xludf.DUMMYFUNCTION("""COMPUTED_VALUE"""),"")</f>
        <v/>
      </c>
      <c r="E1084" t="str">
        <f>IFERROR(__xludf.DUMMYFUNCTION("""COMPUTED_VALUE"""),"")</f>
        <v/>
      </c>
      <c r="F1084" t="str">
        <f>IFERROR(__xludf.DUMMYFUNCTION("""COMPUTED_VALUE"""),"")</f>
        <v/>
      </c>
      <c r="G1084" t="str">
        <f>IFERROR(__xludf.DUMMYFUNCTION("""COMPUTED_VALUE"""),"")</f>
        <v/>
      </c>
      <c r="H1084" t="str">
        <f>IFERROR(__xludf.DUMMYFUNCTION("""COMPUTED_VALUE"""),"")</f>
        <v/>
      </c>
      <c r="I1084" t="str">
        <f>IFERROR(__xludf.DUMMYFUNCTION("""COMPUTED_VALUE"""),"")</f>
        <v/>
      </c>
      <c r="J1084">
        <f>IFERROR(__xludf.DUMMYFUNCTION("""COMPUTED_VALUE"""),0.0)</f>
        <v>0</v>
      </c>
      <c r="L1084" s="250" t="str">
        <f>IFERROR(__xludf.DUMMYFUNCTION("""COMPUTED_VALUE"""),"")</f>
        <v/>
      </c>
      <c r="M1084" s="250" t="str">
        <f>IFERROR(__xludf.DUMMYFUNCTION("""COMPUTED_VALUE"""),"")</f>
        <v/>
      </c>
      <c r="N1084" s="250" t="str">
        <f>IFERROR(__xludf.DUMMYFUNCTION("""COMPUTED_VALUE"""),"")</f>
        <v/>
      </c>
      <c r="O1084" s="250" t="str">
        <f>IFERROR(__xludf.DUMMYFUNCTION("""COMPUTED_VALUE"""),"")</f>
        <v/>
      </c>
      <c r="P1084" s="250" t="str">
        <f>IFERROR(__xludf.DUMMYFUNCTION("""COMPUTED_VALUE"""),"")</f>
        <v/>
      </c>
      <c r="Q1084" s="250" t="str">
        <f>IFERROR(__xludf.DUMMYFUNCTION("""COMPUTED_VALUE"""),"")</f>
        <v/>
      </c>
      <c r="R1084" s="250" t="str">
        <f>IFERROR(__xludf.DUMMYFUNCTION("""COMPUTED_VALUE"""),"")</f>
        <v/>
      </c>
      <c r="U1084" s="250" t="str">
        <f>IFERROR(__xludf.DUMMYFUNCTION("""COMPUTED_VALUE"""),"#N/A")</f>
        <v>#N/A</v>
      </c>
      <c r="V1084" s="250" t="str">
        <f>IFERROR(__xludf.DUMMYFUNCTION("""COMPUTED_VALUE"""),"#N/A")</f>
        <v>#N/A</v>
      </c>
      <c r="W1084" s="250" t="str">
        <f>IFERROR(__xludf.DUMMYFUNCTION("""COMPUTED_VALUE"""),"#N/A")</f>
        <v>#N/A</v>
      </c>
      <c r="X1084" t="b">
        <f t="shared" ref="X1084:Z1084" si="2144">ISBLANK(K1084)</f>
        <v>1</v>
      </c>
      <c r="Y1084" t="b">
        <f t="shared" si="2144"/>
        <v>0</v>
      </c>
      <c r="Z1084" t="b">
        <f t="shared" si="2144"/>
        <v>0</v>
      </c>
      <c r="AA1084">
        <f t="shared" ref="AA1084:AC1084" si="2145">IF(X1084=FALSE,1,0)</f>
        <v>0</v>
      </c>
      <c r="AB1084">
        <f t="shared" si="2145"/>
        <v>1</v>
      </c>
      <c r="AC1084">
        <f t="shared" si="2145"/>
        <v>1</v>
      </c>
      <c r="AD1084">
        <f t="shared" si="6"/>
        <v>2</v>
      </c>
      <c r="AE1084">
        <f t="shared" si="7"/>
        <v>1</v>
      </c>
    </row>
    <row r="1085">
      <c r="B1085" t="str">
        <f>IFERROR(__xludf.DUMMYFUNCTION("""COMPUTED_VALUE"""),"")</f>
        <v/>
      </c>
      <c r="C1085" t="str">
        <f>IFERROR(__xludf.DUMMYFUNCTION("""COMPUTED_VALUE"""),"")</f>
        <v/>
      </c>
      <c r="D1085" t="str">
        <f>IFERROR(__xludf.DUMMYFUNCTION("""COMPUTED_VALUE"""),"")</f>
        <v/>
      </c>
      <c r="E1085" t="str">
        <f>IFERROR(__xludf.DUMMYFUNCTION("""COMPUTED_VALUE"""),"")</f>
        <v/>
      </c>
      <c r="F1085" t="str">
        <f>IFERROR(__xludf.DUMMYFUNCTION("""COMPUTED_VALUE"""),"")</f>
        <v/>
      </c>
      <c r="G1085" t="str">
        <f>IFERROR(__xludf.DUMMYFUNCTION("""COMPUTED_VALUE"""),"")</f>
        <v/>
      </c>
      <c r="H1085" t="str">
        <f>IFERROR(__xludf.DUMMYFUNCTION("""COMPUTED_VALUE"""),"")</f>
        <v/>
      </c>
      <c r="I1085" t="str">
        <f>IFERROR(__xludf.DUMMYFUNCTION("""COMPUTED_VALUE"""),"")</f>
        <v/>
      </c>
      <c r="J1085">
        <f>IFERROR(__xludf.DUMMYFUNCTION("""COMPUTED_VALUE"""),0.0)</f>
        <v>0</v>
      </c>
      <c r="L1085" s="250" t="str">
        <f>IFERROR(__xludf.DUMMYFUNCTION("""COMPUTED_VALUE"""),"")</f>
        <v/>
      </c>
      <c r="M1085" s="250" t="str">
        <f>IFERROR(__xludf.DUMMYFUNCTION("""COMPUTED_VALUE"""),"")</f>
        <v/>
      </c>
      <c r="N1085" s="250" t="str">
        <f>IFERROR(__xludf.DUMMYFUNCTION("""COMPUTED_VALUE"""),"")</f>
        <v/>
      </c>
      <c r="O1085" s="250" t="str">
        <f>IFERROR(__xludf.DUMMYFUNCTION("""COMPUTED_VALUE"""),"")</f>
        <v/>
      </c>
      <c r="P1085" s="250" t="str">
        <f>IFERROR(__xludf.DUMMYFUNCTION("""COMPUTED_VALUE"""),"")</f>
        <v/>
      </c>
      <c r="Q1085" s="250" t="str">
        <f>IFERROR(__xludf.DUMMYFUNCTION("""COMPUTED_VALUE"""),"")</f>
        <v/>
      </c>
      <c r="R1085" s="250" t="str">
        <f>IFERROR(__xludf.DUMMYFUNCTION("""COMPUTED_VALUE"""),"")</f>
        <v/>
      </c>
      <c r="U1085" s="250" t="str">
        <f>IFERROR(__xludf.DUMMYFUNCTION("""COMPUTED_VALUE"""),"#N/A")</f>
        <v>#N/A</v>
      </c>
      <c r="V1085" s="250" t="str">
        <f>IFERROR(__xludf.DUMMYFUNCTION("""COMPUTED_VALUE"""),"#N/A")</f>
        <v>#N/A</v>
      </c>
      <c r="W1085" s="250" t="str">
        <f>IFERROR(__xludf.DUMMYFUNCTION("""COMPUTED_VALUE"""),"#N/A")</f>
        <v>#N/A</v>
      </c>
      <c r="X1085" t="b">
        <f t="shared" ref="X1085:Z1085" si="2146">ISBLANK(K1085)</f>
        <v>1</v>
      </c>
      <c r="Y1085" t="b">
        <f t="shared" si="2146"/>
        <v>0</v>
      </c>
      <c r="Z1085" t="b">
        <f t="shared" si="2146"/>
        <v>0</v>
      </c>
      <c r="AA1085">
        <f t="shared" ref="AA1085:AC1085" si="2147">IF(X1085=FALSE,1,0)</f>
        <v>0</v>
      </c>
      <c r="AB1085">
        <f t="shared" si="2147"/>
        <v>1</v>
      </c>
      <c r="AC1085">
        <f t="shared" si="2147"/>
        <v>1</v>
      </c>
      <c r="AD1085">
        <f t="shared" si="6"/>
        <v>2</v>
      </c>
      <c r="AE1085">
        <f t="shared" si="7"/>
        <v>1</v>
      </c>
    </row>
    <row r="1086">
      <c r="B1086" t="str">
        <f>IFERROR(__xludf.DUMMYFUNCTION("""COMPUTED_VALUE"""),"")</f>
        <v/>
      </c>
      <c r="C1086" t="str">
        <f>IFERROR(__xludf.DUMMYFUNCTION("""COMPUTED_VALUE"""),"")</f>
        <v/>
      </c>
      <c r="D1086" t="str">
        <f>IFERROR(__xludf.DUMMYFUNCTION("""COMPUTED_VALUE"""),"")</f>
        <v/>
      </c>
      <c r="E1086" t="str">
        <f>IFERROR(__xludf.DUMMYFUNCTION("""COMPUTED_VALUE"""),"")</f>
        <v/>
      </c>
      <c r="F1086" t="str">
        <f>IFERROR(__xludf.DUMMYFUNCTION("""COMPUTED_VALUE"""),"")</f>
        <v/>
      </c>
      <c r="G1086" t="str">
        <f>IFERROR(__xludf.DUMMYFUNCTION("""COMPUTED_VALUE"""),"")</f>
        <v/>
      </c>
      <c r="H1086" t="str">
        <f>IFERROR(__xludf.DUMMYFUNCTION("""COMPUTED_VALUE"""),"")</f>
        <v/>
      </c>
      <c r="I1086" t="str">
        <f>IFERROR(__xludf.DUMMYFUNCTION("""COMPUTED_VALUE"""),"")</f>
        <v/>
      </c>
      <c r="J1086">
        <f>IFERROR(__xludf.DUMMYFUNCTION("""COMPUTED_VALUE"""),0.0)</f>
        <v>0</v>
      </c>
      <c r="L1086" s="250" t="str">
        <f>IFERROR(__xludf.DUMMYFUNCTION("""COMPUTED_VALUE"""),"")</f>
        <v/>
      </c>
      <c r="M1086" s="250" t="str">
        <f>IFERROR(__xludf.DUMMYFUNCTION("""COMPUTED_VALUE"""),"")</f>
        <v/>
      </c>
      <c r="N1086" s="250" t="str">
        <f>IFERROR(__xludf.DUMMYFUNCTION("""COMPUTED_VALUE"""),"")</f>
        <v/>
      </c>
      <c r="O1086" s="250" t="str">
        <f>IFERROR(__xludf.DUMMYFUNCTION("""COMPUTED_VALUE"""),"")</f>
        <v/>
      </c>
      <c r="P1086" s="250" t="str">
        <f>IFERROR(__xludf.DUMMYFUNCTION("""COMPUTED_VALUE"""),"")</f>
        <v/>
      </c>
      <c r="Q1086" s="250" t="str">
        <f>IFERROR(__xludf.DUMMYFUNCTION("""COMPUTED_VALUE"""),"")</f>
        <v/>
      </c>
      <c r="R1086" s="250" t="str">
        <f>IFERROR(__xludf.DUMMYFUNCTION("""COMPUTED_VALUE"""),"")</f>
        <v/>
      </c>
      <c r="U1086" s="250" t="str">
        <f>IFERROR(__xludf.DUMMYFUNCTION("""COMPUTED_VALUE"""),"#N/A")</f>
        <v>#N/A</v>
      </c>
      <c r="V1086" s="250" t="str">
        <f>IFERROR(__xludf.DUMMYFUNCTION("""COMPUTED_VALUE"""),"#N/A")</f>
        <v>#N/A</v>
      </c>
      <c r="W1086" s="250" t="str">
        <f>IFERROR(__xludf.DUMMYFUNCTION("""COMPUTED_VALUE"""),"#N/A")</f>
        <v>#N/A</v>
      </c>
      <c r="X1086" t="b">
        <f t="shared" ref="X1086:Z1086" si="2148">ISBLANK(K1086)</f>
        <v>1</v>
      </c>
      <c r="Y1086" t="b">
        <f t="shared" si="2148"/>
        <v>0</v>
      </c>
      <c r="Z1086" t="b">
        <f t="shared" si="2148"/>
        <v>0</v>
      </c>
      <c r="AA1086">
        <f t="shared" ref="AA1086:AC1086" si="2149">IF(X1086=FALSE,1,0)</f>
        <v>0</v>
      </c>
      <c r="AB1086">
        <f t="shared" si="2149"/>
        <v>1</v>
      </c>
      <c r="AC1086">
        <f t="shared" si="2149"/>
        <v>1</v>
      </c>
      <c r="AD1086">
        <f t="shared" si="6"/>
        <v>2</v>
      </c>
      <c r="AE1086">
        <f t="shared" si="7"/>
        <v>1</v>
      </c>
    </row>
    <row r="1087">
      <c r="B1087" t="str">
        <f>IFERROR(__xludf.DUMMYFUNCTION("""COMPUTED_VALUE"""),"")</f>
        <v/>
      </c>
      <c r="C1087" t="str">
        <f>IFERROR(__xludf.DUMMYFUNCTION("""COMPUTED_VALUE"""),"")</f>
        <v/>
      </c>
      <c r="D1087" t="str">
        <f>IFERROR(__xludf.DUMMYFUNCTION("""COMPUTED_VALUE"""),"")</f>
        <v/>
      </c>
      <c r="E1087" t="str">
        <f>IFERROR(__xludf.DUMMYFUNCTION("""COMPUTED_VALUE"""),"")</f>
        <v/>
      </c>
      <c r="F1087" t="str">
        <f>IFERROR(__xludf.DUMMYFUNCTION("""COMPUTED_VALUE"""),"")</f>
        <v/>
      </c>
      <c r="G1087" t="str">
        <f>IFERROR(__xludf.DUMMYFUNCTION("""COMPUTED_VALUE"""),"")</f>
        <v/>
      </c>
      <c r="H1087" t="str">
        <f>IFERROR(__xludf.DUMMYFUNCTION("""COMPUTED_VALUE"""),"")</f>
        <v/>
      </c>
      <c r="I1087" t="str">
        <f>IFERROR(__xludf.DUMMYFUNCTION("""COMPUTED_VALUE"""),"")</f>
        <v/>
      </c>
      <c r="J1087">
        <f>IFERROR(__xludf.DUMMYFUNCTION("""COMPUTED_VALUE"""),0.0)</f>
        <v>0</v>
      </c>
      <c r="L1087" s="250" t="str">
        <f>IFERROR(__xludf.DUMMYFUNCTION("""COMPUTED_VALUE"""),"")</f>
        <v/>
      </c>
      <c r="M1087" s="250" t="str">
        <f>IFERROR(__xludf.DUMMYFUNCTION("""COMPUTED_VALUE"""),"")</f>
        <v/>
      </c>
      <c r="N1087" s="250" t="str">
        <f>IFERROR(__xludf.DUMMYFUNCTION("""COMPUTED_VALUE"""),"")</f>
        <v/>
      </c>
      <c r="O1087" s="250" t="str">
        <f>IFERROR(__xludf.DUMMYFUNCTION("""COMPUTED_VALUE"""),"")</f>
        <v/>
      </c>
      <c r="P1087" s="250" t="str">
        <f>IFERROR(__xludf.DUMMYFUNCTION("""COMPUTED_VALUE"""),"")</f>
        <v/>
      </c>
      <c r="Q1087" s="250" t="str">
        <f>IFERROR(__xludf.DUMMYFUNCTION("""COMPUTED_VALUE"""),"")</f>
        <v/>
      </c>
      <c r="R1087" s="250" t="str">
        <f>IFERROR(__xludf.DUMMYFUNCTION("""COMPUTED_VALUE"""),"")</f>
        <v/>
      </c>
      <c r="U1087" s="250" t="str">
        <f>IFERROR(__xludf.DUMMYFUNCTION("""COMPUTED_VALUE"""),"#N/A")</f>
        <v>#N/A</v>
      </c>
      <c r="V1087" s="250" t="str">
        <f>IFERROR(__xludf.DUMMYFUNCTION("""COMPUTED_VALUE"""),"#N/A")</f>
        <v>#N/A</v>
      </c>
      <c r="W1087" s="250" t="str">
        <f>IFERROR(__xludf.DUMMYFUNCTION("""COMPUTED_VALUE"""),"#N/A")</f>
        <v>#N/A</v>
      </c>
      <c r="X1087" t="b">
        <f t="shared" ref="X1087:Z1087" si="2150">ISBLANK(K1087)</f>
        <v>1</v>
      </c>
      <c r="Y1087" t="b">
        <f t="shared" si="2150"/>
        <v>0</v>
      </c>
      <c r="Z1087" t="b">
        <f t="shared" si="2150"/>
        <v>0</v>
      </c>
      <c r="AA1087">
        <f t="shared" ref="AA1087:AC1087" si="2151">IF(X1087=FALSE,1,0)</f>
        <v>0</v>
      </c>
      <c r="AB1087">
        <f t="shared" si="2151"/>
        <v>1</v>
      </c>
      <c r="AC1087">
        <f t="shared" si="2151"/>
        <v>1</v>
      </c>
      <c r="AD1087">
        <f t="shared" si="6"/>
        <v>2</v>
      </c>
      <c r="AE1087">
        <f t="shared" si="7"/>
        <v>1</v>
      </c>
    </row>
    <row r="1088">
      <c r="B1088" t="str">
        <f>IFERROR(__xludf.DUMMYFUNCTION("""COMPUTED_VALUE"""),"")</f>
        <v/>
      </c>
      <c r="C1088" t="str">
        <f>IFERROR(__xludf.DUMMYFUNCTION("""COMPUTED_VALUE"""),"")</f>
        <v/>
      </c>
      <c r="D1088" t="str">
        <f>IFERROR(__xludf.DUMMYFUNCTION("""COMPUTED_VALUE"""),"")</f>
        <v/>
      </c>
      <c r="E1088" t="str">
        <f>IFERROR(__xludf.DUMMYFUNCTION("""COMPUTED_VALUE"""),"")</f>
        <v/>
      </c>
      <c r="F1088" t="str">
        <f>IFERROR(__xludf.DUMMYFUNCTION("""COMPUTED_VALUE"""),"")</f>
        <v/>
      </c>
      <c r="G1088" t="str">
        <f>IFERROR(__xludf.DUMMYFUNCTION("""COMPUTED_VALUE"""),"")</f>
        <v/>
      </c>
      <c r="H1088" t="str">
        <f>IFERROR(__xludf.DUMMYFUNCTION("""COMPUTED_VALUE"""),"")</f>
        <v/>
      </c>
      <c r="I1088" t="str">
        <f>IFERROR(__xludf.DUMMYFUNCTION("""COMPUTED_VALUE"""),"")</f>
        <v/>
      </c>
      <c r="J1088">
        <f>IFERROR(__xludf.DUMMYFUNCTION("""COMPUTED_VALUE"""),0.0)</f>
        <v>0</v>
      </c>
      <c r="L1088" s="250" t="str">
        <f>IFERROR(__xludf.DUMMYFUNCTION("""COMPUTED_VALUE"""),"")</f>
        <v/>
      </c>
      <c r="M1088" s="250" t="str">
        <f>IFERROR(__xludf.DUMMYFUNCTION("""COMPUTED_VALUE"""),"")</f>
        <v/>
      </c>
      <c r="N1088" s="250" t="str">
        <f>IFERROR(__xludf.DUMMYFUNCTION("""COMPUTED_VALUE"""),"")</f>
        <v/>
      </c>
      <c r="O1088" s="250" t="str">
        <f>IFERROR(__xludf.DUMMYFUNCTION("""COMPUTED_VALUE"""),"")</f>
        <v/>
      </c>
      <c r="P1088" s="250" t="str">
        <f>IFERROR(__xludf.DUMMYFUNCTION("""COMPUTED_VALUE"""),"")</f>
        <v/>
      </c>
      <c r="Q1088" s="250" t="str">
        <f>IFERROR(__xludf.DUMMYFUNCTION("""COMPUTED_VALUE"""),"")</f>
        <v/>
      </c>
      <c r="R1088" s="250" t="str">
        <f>IFERROR(__xludf.DUMMYFUNCTION("""COMPUTED_VALUE"""),"")</f>
        <v/>
      </c>
      <c r="U1088" s="250" t="str">
        <f>IFERROR(__xludf.DUMMYFUNCTION("""COMPUTED_VALUE"""),"#N/A")</f>
        <v>#N/A</v>
      </c>
      <c r="V1088" s="250" t="str">
        <f>IFERROR(__xludf.DUMMYFUNCTION("""COMPUTED_VALUE"""),"#N/A")</f>
        <v>#N/A</v>
      </c>
      <c r="W1088" s="250" t="str">
        <f>IFERROR(__xludf.DUMMYFUNCTION("""COMPUTED_VALUE"""),"#N/A")</f>
        <v>#N/A</v>
      </c>
      <c r="X1088" t="b">
        <f t="shared" ref="X1088:Z1088" si="2152">ISBLANK(K1088)</f>
        <v>1</v>
      </c>
      <c r="Y1088" t="b">
        <f t="shared" si="2152"/>
        <v>0</v>
      </c>
      <c r="Z1088" t="b">
        <f t="shared" si="2152"/>
        <v>0</v>
      </c>
      <c r="AA1088">
        <f t="shared" ref="AA1088:AC1088" si="2153">IF(X1088=FALSE,1,0)</f>
        <v>0</v>
      </c>
      <c r="AB1088">
        <f t="shared" si="2153"/>
        <v>1</v>
      </c>
      <c r="AC1088">
        <f t="shared" si="2153"/>
        <v>1</v>
      </c>
      <c r="AD1088">
        <f t="shared" si="6"/>
        <v>2</v>
      </c>
      <c r="AE1088">
        <f t="shared" si="7"/>
        <v>1</v>
      </c>
    </row>
    <row r="1089">
      <c r="B1089" t="str">
        <f>IFERROR(__xludf.DUMMYFUNCTION("""COMPUTED_VALUE"""),"")</f>
        <v/>
      </c>
      <c r="C1089" t="str">
        <f>IFERROR(__xludf.DUMMYFUNCTION("""COMPUTED_VALUE"""),"")</f>
        <v/>
      </c>
      <c r="D1089" t="str">
        <f>IFERROR(__xludf.DUMMYFUNCTION("""COMPUTED_VALUE"""),"")</f>
        <v/>
      </c>
      <c r="E1089" t="str">
        <f>IFERROR(__xludf.DUMMYFUNCTION("""COMPUTED_VALUE"""),"")</f>
        <v/>
      </c>
      <c r="F1089" t="str">
        <f>IFERROR(__xludf.DUMMYFUNCTION("""COMPUTED_VALUE"""),"")</f>
        <v/>
      </c>
      <c r="G1089" t="str">
        <f>IFERROR(__xludf.DUMMYFUNCTION("""COMPUTED_VALUE"""),"")</f>
        <v/>
      </c>
      <c r="H1089" t="str">
        <f>IFERROR(__xludf.DUMMYFUNCTION("""COMPUTED_VALUE"""),"")</f>
        <v/>
      </c>
      <c r="I1089" t="str">
        <f>IFERROR(__xludf.DUMMYFUNCTION("""COMPUTED_VALUE"""),"")</f>
        <v/>
      </c>
      <c r="J1089">
        <f>IFERROR(__xludf.DUMMYFUNCTION("""COMPUTED_VALUE"""),0.0)</f>
        <v>0</v>
      </c>
      <c r="L1089" s="250" t="str">
        <f>IFERROR(__xludf.DUMMYFUNCTION("""COMPUTED_VALUE"""),"")</f>
        <v/>
      </c>
      <c r="M1089" s="250" t="str">
        <f>IFERROR(__xludf.DUMMYFUNCTION("""COMPUTED_VALUE"""),"")</f>
        <v/>
      </c>
      <c r="N1089" s="250" t="str">
        <f>IFERROR(__xludf.DUMMYFUNCTION("""COMPUTED_VALUE"""),"")</f>
        <v/>
      </c>
      <c r="O1089" s="250" t="str">
        <f>IFERROR(__xludf.DUMMYFUNCTION("""COMPUTED_VALUE"""),"")</f>
        <v/>
      </c>
      <c r="P1089" s="250" t="str">
        <f>IFERROR(__xludf.DUMMYFUNCTION("""COMPUTED_VALUE"""),"")</f>
        <v/>
      </c>
      <c r="Q1089" s="250" t="str">
        <f>IFERROR(__xludf.DUMMYFUNCTION("""COMPUTED_VALUE"""),"")</f>
        <v/>
      </c>
      <c r="R1089" s="250" t="str">
        <f>IFERROR(__xludf.DUMMYFUNCTION("""COMPUTED_VALUE"""),"")</f>
        <v/>
      </c>
      <c r="U1089" s="250" t="str">
        <f>IFERROR(__xludf.DUMMYFUNCTION("""COMPUTED_VALUE"""),"#N/A")</f>
        <v>#N/A</v>
      </c>
      <c r="V1089" s="250" t="str">
        <f>IFERROR(__xludf.DUMMYFUNCTION("""COMPUTED_VALUE"""),"#N/A")</f>
        <v>#N/A</v>
      </c>
      <c r="W1089" s="250" t="str">
        <f>IFERROR(__xludf.DUMMYFUNCTION("""COMPUTED_VALUE"""),"#N/A")</f>
        <v>#N/A</v>
      </c>
      <c r="X1089" t="b">
        <f t="shared" ref="X1089:Z1089" si="2154">ISBLANK(K1089)</f>
        <v>1</v>
      </c>
      <c r="Y1089" t="b">
        <f t="shared" si="2154"/>
        <v>0</v>
      </c>
      <c r="Z1089" t="b">
        <f t="shared" si="2154"/>
        <v>0</v>
      </c>
      <c r="AA1089">
        <f t="shared" ref="AA1089:AC1089" si="2155">IF(X1089=FALSE,1,0)</f>
        <v>0</v>
      </c>
      <c r="AB1089">
        <f t="shared" si="2155"/>
        <v>1</v>
      </c>
      <c r="AC1089">
        <f t="shared" si="2155"/>
        <v>1</v>
      </c>
      <c r="AD1089">
        <f t="shared" si="6"/>
        <v>2</v>
      </c>
      <c r="AE1089">
        <f t="shared" si="7"/>
        <v>1</v>
      </c>
    </row>
    <row r="1090">
      <c r="B1090" t="str">
        <f>IFERROR(__xludf.DUMMYFUNCTION("""COMPUTED_VALUE"""),"")</f>
        <v/>
      </c>
      <c r="C1090" t="str">
        <f>IFERROR(__xludf.DUMMYFUNCTION("""COMPUTED_VALUE"""),"")</f>
        <v/>
      </c>
      <c r="D1090" t="str">
        <f>IFERROR(__xludf.DUMMYFUNCTION("""COMPUTED_VALUE"""),"")</f>
        <v/>
      </c>
      <c r="E1090" t="str">
        <f>IFERROR(__xludf.DUMMYFUNCTION("""COMPUTED_VALUE"""),"")</f>
        <v/>
      </c>
      <c r="F1090" t="str">
        <f>IFERROR(__xludf.DUMMYFUNCTION("""COMPUTED_VALUE"""),"")</f>
        <v/>
      </c>
      <c r="G1090" t="str">
        <f>IFERROR(__xludf.DUMMYFUNCTION("""COMPUTED_VALUE"""),"")</f>
        <v/>
      </c>
      <c r="H1090" t="str">
        <f>IFERROR(__xludf.DUMMYFUNCTION("""COMPUTED_VALUE"""),"")</f>
        <v/>
      </c>
      <c r="I1090" t="str">
        <f>IFERROR(__xludf.DUMMYFUNCTION("""COMPUTED_VALUE"""),"")</f>
        <v/>
      </c>
      <c r="J1090">
        <f>IFERROR(__xludf.DUMMYFUNCTION("""COMPUTED_VALUE"""),0.0)</f>
        <v>0</v>
      </c>
      <c r="L1090" s="250" t="str">
        <f>IFERROR(__xludf.DUMMYFUNCTION("""COMPUTED_VALUE"""),"")</f>
        <v/>
      </c>
      <c r="M1090" s="250" t="str">
        <f>IFERROR(__xludf.DUMMYFUNCTION("""COMPUTED_VALUE"""),"")</f>
        <v/>
      </c>
      <c r="N1090" s="250" t="str">
        <f>IFERROR(__xludf.DUMMYFUNCTION("""COMPUTED_VALUE"""),"")</f>
        <v/>
      </c>
      <c r="O1090" s="250" t="str">
        <f>IFERROR(__xludf.DUMMYFUNCTION("""COMPUTED_VALUE"""),"")</f>
        <v/>
      </c>
      <c r="P1090" s="250" t="str">
        <f>IFERROR(__xludf.DUMMYFUNCTION("""COMPUTED_VALUE"""),"")</f>
        <v/>
      </c>
      <c r="Q1090" s="250" t="str">
        <f>IFERROR(__xludf.DUMMYFUNCTION("""COMPUTED_VALUE"""),"")</f>
        <v/>
      </c>
      <c r="R1090" s="250" t="str">
        <f>IFERROR(__xludf.DUMMYFUNCTION("""COMPUTED_VALUE"""),"")</f>
        <v/>
      </c>
      <c r="U1090" s="250" t="str">
        <f>IFERROR(__xludf.DUMMYFUNCTION("""COMPUTED_VALUE"""),"#N/A")</f>
        <v>#N/A</v>
      </c>
      <c r="V1090" s="250" t="str">
        <f>IFERROR(__xludf.DUMMYFUNCTION("""COMPUTED_VALUE"""),"#N/A")</f>
        <v>#N/A</v>
      </c>
      <c r="W1090" s="250" t="str">
        <f>IFERROR(__xludf.DUMMYFUNCTION("""COMPUTED_VALUE"""),"#N/A")</f>
        <v>#N/A</v>
      </c>
      <c r="X1090" t="b">
        <f t="shared" ref="X1090:Z1090" si="2156">ISBLANK(K1090)</f>
        <v>1</v>
      </c>
      <c r="Y1090" t="b">
        <f t="shared" si="2156"/>
        <v>0</v>
      </c>
      <c r="Z1090" t="b">
        <f t="shared" si="2156"/>
        <v>0</v>
      </c>
      <c r="AA1090">
        <f t="shared" ref="AA1090:AC1090" si="2157">IF(X1090=FALSE,1,0)</f>
        <v>0</v>
      </c>
      <c r="AB1090">
        <f t="shared" si="2157"/>
        <v>1</v>
      </c>
      <c r="AC1090">
        <f t="shared" si="2157"/>
        <v>1</v>
      </c>
      <c r="AD1090">
        <f t="shared" si="6"/>
        <v>2</v>
      </c>
      <c r="AE1090">
        <f t="shared" si="7"/>
        <v>1</v>
      </c>
    </row>
    <row r="1091">
      <c r="B1091" t="str">
        <f>IFERROR(__xludf.DUMMYFUNCTION("""COMPUTED_VALUE"""),"")</f>
        <v/>
      </c>
      <c r="C1091" t="str">
        <f>IFERROR(__xludf.DUMMYFUNCTION("""COMPUTED_VALUE"""),"")</f>
        <v/>
      </c>
      <c r="D1091" t="str">
        <f>IFERROR(__xludf.DUMMYFUNCTION("""COMPUTED_VALUE"""),"")</f>
        <v/>
      </c>
      <c r="E1091" t="str">
        <f>IFERROR(__xludf.DUMMYFUNCTION("""COMPUTED_VALUE"""),"")</f>
        <v/>
      </c>
      <c r="F1091" t="str">
        <f>IFERROR(__xludf.DUMMYFUNCTION("""COMPUTED_VALUE"""),"")</f>
        <v/>
      </c>
      <c r="G1091" t="str">
        <f>IFERROR(__xludf.DUMMYFUNCTION("""COMPUTED_VALUE"""),"")</f>
        <v/>
      </c>
      <c r="H1091" t="str">
        <f>IFERROR(__xludf.DUMMYFUNCTION("""COMPUTED_VALUE"""),"")</f>
        <v/>
      </c>
      <c r="I1091" t="str">
        <f>IFERROR(__xludf.DUMMYFUNCTION("""COMPUTED_VALUE"""),"")</f>
        <v/>
      </c>
      <c r="J1091">
        <f>IFERROR(__xludf.DUMMYFUNCTION("""COMPUTED_VALUE"""),0.0)</f>
        <v>0</v>
      </c>
      <c r="L1091" s="250" t="str">
        <f>IFERROR(__xludf.DUMMYFUNCTION("""COMPUTED_VALUE"""),"")</f>
        <v/>
      </c>
      <c r="M1091" s="250" t="str">
        <f>IFERROR(__xludf.DUMMYFUNCTION("""COMPUTED_VALUE"""),"")</f>
        <v/>
      </c>
      <c r="N1091" s="250" t="str">
        <f>IFERROR(__xludf.DUMMYFUNCTION("""COMPUTED_VALUE"""),"")</f>
        <v/>
      </c>
      <c r="O1091" s="250" t="str">
        <f>IFERROR(__xludf.DUMMYFUNCTION("""COMPUTED_VALUE"""),"")</f>
        <v/>
      </c>
      <c r="P1091" s="250" t="str">
        <f>IFERROR(__xludf.DUMMYFUNCTION("""COMPUTED_VALUE"""),"")</f>
        <v/>
      </c>
      <c r="Q1091" s="250" t="str">
        <f>IFERROR(__xludf.DUMMYFUNCTION("""COMPUTED_VALUE"""),"")</f>
        <v/>
      </c>
      <c r="R1091" s="250" t="str">
        <f>IFERROR(__xludf.DUMMYFUNCTION("""COMPUTED_VALUE"""),"")</f>
        <v/>
      </c>
      <c r="U1091" s="250" t="str">
        <f>IFERROR(__xludf.DUMMYFUNCTION("""COMPUTED_VALUE"""),"#N/A")</f>
        <v>#N/A</v>
      </c>
      <c r="V1091" s="250" t="str">
        <f>IFERROR(__xludf.DUMMYFUNCTION("""COMPUTED_VALUE"""),"#N/A")</f>
        <v>#N/A</v>
      </c>
      <c r="W1091" s="250" t="str">
        <f>IFERROR(__xludf.DUMMYFUNCTION("""COMPUTED_VALUE"""),"#N/A")</f>
        <v>#N/A</v>
      </c>
      <c r="X1091" t="b">
        <f t="shared" ref="X1091:Z1091" si="2158">ISBLANK(K1091)</f>
        <v>1</v>
      </c>
      <c r="Y1091" t="b">
        <f t="shared" si="2158"/>
        <v>0</v>
      </c>
      <c r="Z1091" t="b">
        <f t="shared" si="2158"/>
        <v>0</v>
      </c>
      <c r="AA1091">
        <f t="shared" ref="AA1091:AC1091" si="2159">IF(X1091=FALSE,1,0)</f>
        <v>0</v>
      </c>
      <c r="AB1091">
        <f t="shared" si="2159"/>
        <v>1</v>
      </c>
      <c r="AC1091">
        <f t="shared" si="2159"/>
        <v>1</v>
      </c>
      <c r="AD1091">
        <f t="shared" si="6"/>
        <v>2</v>
      </c>
      <c r="AE1091">
        <f t="shared" si="7"/>
        <v>1</v>
      </c>
    </row>
    <row r="1092">
      <c r="B1092" t="str">
        <f>IFERROR(__xludf.DUMMYFUNCTION("""COMPUTED_VALUE"""),"")</f>
        <v/>
      </c>
      <c r="C1092" t="str">
        <f>IFERROR(__xludf.DUMMYFUNCTION("""COMPUTED_VALUE"""),"")</f>
        <v/>
      </c>
      <c r="D1092" t="str">
        <f>IFERROR(__xludf.DUMMYFUNCTION("""COMPUTED_VALUE"""),"")</f>
        <v/>
      </c>
      <c r="E1092" t="str">
        <f>IFERROR(__xludf.DUMMYFUNCTION("""COMPUTED_VALUE"""),"")</f>
        <v/>
      </c>
      <c r="F1092" t="str">
        <f>IFERROR(__xludf.DUMMYFUNCTION("""COMPUTED_VALUE"""),"")</f>
        <v/>
      </c>
      <c r="G1092" t="str">
        <f>IFERROR(__xludf.DUMMYFUNCTION("""COMPUTED_VALUE"""),"")</f>
        <v/>
      </c>
      <c r="H1092" t="str">
        <f>IFERROR(__xludf.DUMMYFUNCTION("""COMPUTED_VALUE"""),"")</f>
        <v/>
      </c>
      <c r="I1092" t="str">
        <f>IFERROR(__xludf.DUMMYFUNCTION("""COMPUTED_VALUE"""),"")</f>
        <v/>
      </c>
      <c r="J1092">
        <f>IFERROR(__xludf.DUMMYFUNCTION("""COMPUTED_VALUE"""),0.0)</f>
        <v>0</v>
      </c>
      <c r="L1092" s="250" t="str">
        <f>IFERROR(__xludf.DUMMYFUNCTION("""COMPUTED_VALUE"""),"")</f>
        <v/>
      </c>
      <c r="M1092" s="250" t="str">
        <f>IFERROR(__xludf.DUMMYFUNCTION("""COMPUTED_VALUE"""),"")</f>
        <v/>
      </c>
      <c r="N1092" s="250" t="str">
        <f>IFERROR(__xludf.DUMMYFUNCTION("""COMPUTED_VALUE"""),"")</f>
        <v/>
      </c>
      <c r="O1092" s="250" t="str">
        <f>IFERROR(__xludf.DUMMYFUNCTION("""COMPUTED_VALUE"""),"")</f>
        <v/>
      </c>
      <c r="P1092" s="250" t="str">
        <f>IFERROR(__xludf.DUMMYFUNCTION("""COMPUTED_VALUE"""),"")</f>
        <v/>
      </c>
      <c r="Q1092" s="250" t="str">
        <f>IFERROR(__xludf.DUMMYFUNCTION("""COMPUTED_VALUE"""),"")</f>
        <v/>
      </c>
      <c r="R1092" s="250" t="str">
        <f>IFERROR(__xludf.DUMMYFUNCTION("""COMPUTED_VALUE"""),"")</f>
        <v/>
      </c>
      <c r="U1092" s="250" t="str">
        <f>IFERROR(__xludf.DUMMYFUNCTION("""COMPUTED_VALUE"""),"#N/A")</f>
        <v>#N/A</v>
      </c>
      <c r="V1092" s="250" t="str">
        <f>IFERROR(__xludf.DUMMYFUNCTION("""COMPUTED_VALUE"""),"#N/A")</f>
        <v>#N/A</v>
      </c>
      <c r="W1092" s="250" t="str">
        <f>IFERROR(__xludf.DUMMYFUNCTION("""COMPUTED_VALUE"""),"#N/A")</f>
        <v>#N/A</v>
      </c>
      <c r="X1092" t="b">
        <f t="shared" ref="X1092:Z1092" si="2160">ISBLANK(K1092)</f>
        <v>1</v>
      </c>
      <c r="Y1092" t="b">
        <f t="shared" si="2160"/>
        <v>0</v>
      </c>
      <c r="Z1092" t="b">
        <f t="shared" si="2160"/>
        <v>0</v>
      </c>
      <c r="AA1092">
        <f t="shared" ref="AA1092:AC1092" si="2161">IF(X1092=FALSE,1,0)</f>
        <v>0</v>
      </c>
      <c r="AB1092">
        <f t="shared" si="2161"/>
        <v>1</v>
      </c>
      <c r="AC1092">
        <f t="shared" si="2161"/>
        <v>1</v>
      </c>
      <c r="AD1092">
        <f t="shared" si="6"/>
        <v>2</v>
      </c>
      <c r="AE1092">
        <f t="shared" si="7"/>
        <v>1</v>
      </c>
    </row>
    <row r="1093">
      <c r="B1093" t="str">
        <f>IFERROR(__xludf.DUMMYFUNCTION("""COMPUTED_VALUE"""),"")</f>
        <v/>
      </c>
      <c r="C1093" t="str">
        <f>IFERROR(__xludf.DUMMYFUNCTION("""COMPUTED_VALUE"""),"")</f>
        <v/>
      </c>
      <c r="D1093" t="str">
        <f>IFERROR(__xludf.DUMMYFUNCTION("""COMPUTED_VALUE"""),"")</f>
        <v/>
      </c>
      <c r="E1093" t="str">
        <f>IFERROR(__xludf.DUMMYFUNCTION("""COMPUTED_VALUE"""),"")</f>
        <v/>
      </c>
      <c r="F1093" t="str">
        <f>IFERROR(__xludf.DUMMYFUNCTION("""COMPUTED_VALUE"""),"")</f>
        <v/>
      </c>
      <c r="G1093" t="str">
        <f>IFERROR(__xludf.DUMMYFUNCTION("""COMPUTED_VALUE"""),"")</f>
        <v/>
      </c>
      <c r="H1093" t="str">
        <f>IFERROR(__xludf.DUMMYFUNCTION("""COMPUTED_VALUE"""),"")</f>
        <v/>
      </c>
      <c r="I1093" t="str">
        <f>IFERROR(__xludf.DUMMYFUNCTION("""COMPUTED_VALUE"""),"")</f>
        <v/>
      </c>
      <c r="J1093">
        <f>IFERROR(__xludf.DUMMYFUNCTION("""COMPUTED_VALUE"""),0.0)</f>
        <v>0</v>
      </c>
      <c r="L1093" s="250" t="str">
        <f>IFERROR(__xludf.DUMMYFUNCTION("""COMPUTED_VALUE"""),"")</f>
        <v/>
      </c>
      <c r="M1093" s="250" t="str">
        <f>IFERROR(__xludf.DUMMYFUNCTION("""COMPUTED_VALUE"""),"")</f>
        <v/>
      </c>
      <c r="N1093" s="250" t="str">
        <f>IFERROR(__xludf.DUMMYFUNCTION("""COMPUTED_VALUE"""),"")</f>
        <v/>
      </c>
      <c r="O1093" s="250" t="str">
        <f>IFERROR(__xludf.DUMMYFUNCTION("""COMPUTED_VALUE"""),"")</f>
        <v/>
      </c>
      <c r="P1093" s="250" t="str">
        <f>IFERROR(__xludf.DUMMYFUNCTION("""COMPUTED_VALUE"""),"")</f>
        <v/>
      </c>
      <c r="Q1093" s="250" t="str">
        <f>IFERROR(__xludf.DUMMYFUNCTION("""COMPUTED_VALUE"""),"")</f>
        <v/>
      </c>
      <c r="R1093" s="250" t="str">
        <f>IFERROR(__xludf.DUMMYFUNCTION("""COMPUTED_VALUE"""),"")</f>
        <v/>
      </c>
      <c r="U1093" s="250" t="str">
        <f>IFERROR(__xludf.DUMMYFUNCTION("""COMPUTED_VALUE"""),"#N/A")</f>
        <v>#N/A</v>
      </c>
      <c r="V1093" s="250" t="str">
        <f>IFERROR(__xludf.DUMMYFUNCTION("""COMPUTED_VALUE"""),"#N/A")</f>
        <v>#N/A</v>
      </c>
      <c r="W1093" s="250" t="str">
        <f>IFERROR(__xludf.DUMMYFUNCTION("""COMPUTED_VALUE"""),"#N/A")</f>
        <v>#N/A</v>
      </c>
      <c r="X1093" t="b">
        <f t="shared" ref="X1093:Z1093" si="2162">ISBLANK(K1093)</f>
        <v>1</v>
      </c>
      <c r="Y1093" t="b">
        <f t="shared" si="2162"/>
        <v>0</v>
      </c>
      <c r="Z1093" t="b">
        <f t="shared" si="2162"/>
        <v>0</v>
      </c>
      <c r="AA1093">
        <f t="shared" ref="AA1093:AC1093" si="2163">IF(X1093=FALSE,1,0)</f>
        <v>0</v>
      </c>
      <c r="AB1093">
        <f t="shared" si="2163"/>
        <v>1</v>
      </c>
      <c r="AC1093">
        <f t="shared" si="2163"/>
        <v>1</v>
      </c>
      <c r="AD1093">
        <f t="shared" si="6"/>
        <v>2</v>
      </c>
      <c r="AE1093">
        <f t="shared" si="7"/>
        <v>1</v>
      </c>
    </row>
    <row r="1094">
      <c r="B1094" t="str">
        <f>IFERROR(__xludf.DUMMYFUNCTION("""COMPUTED_VALUE"""),"")</f>
        <v/>
      </c>
      <c r="C1094" t="str">
        <f>IFERROR(__xludf.DUMMYFUNCTION("""COMPUTED_VALUE"""),"")</f>
        <v/>
      </c>
      <c r="D1094" t="str">
        <f>IFERROR(__xludf.DUMMYFUNCTION("""COMPUTED_VALUE"""),"")</f>
        <v/>
      </c>
      <c r="E1094" t="str">
        <f>IFERROR(__xludf.DUMMYFUNCTION("""COMPUTED_VALUE"""),"")</f>
        <v/>
      </c>
      <c r="F1094" t="str">
        <f>IFERROR(__xludf.DUMMYFUNCTION("""COMPUTED_VALUE"""),"")</f>
        <v/>
      </c>
      <c r="G1094" t="str">
        <f>IFERROR(__xludf.DUMMYFUNCTION("""COMPUTED_VALUE"""),"")</f>
        <v/>
      </c>
      <c r="H1094" t="str">
        <f>IFERROR(__xludf.DUMMYFUNCTION("""COMPUTED_VALUE"""),"")</f>
        <v/>
      </c>
      <c r="I1094" t="str">
        <f>IFERROR(__xludf.DUMMYFUNCTION("""COMPUTED_VALUE"""),"")</f>
        <v/>
      </c>
      <c r="J1094">
        <f>IFERROR(__xludf.DUMMYFUNCTION("""COMPUTED_VALUE"""),0.0)</f>
        <v>0</v>
      </c>
      <c r="L1094" s="250" t="str">
        <f>IFERROR(__xludf.DUMMYFUNCTION("""COMPUTED_VALUE"""),"")</f>
        <v/>
      </c>
      <c r="M1094" s="250" t="str">
        <f>IFERROR(__xludf.DUMMYFUNCTION("""COMPUTED_VALUE"""),"")</f>
        <v/>
      </c>
      <c r="N1094" s="250" t="str">
        <f>IFERROR(__xludf.DUMMYFUNCTION("""COMPUTED_VALUE"""),"")</f>
        <v/>
      </c>
      <c r="O1094" s="250" t="str">
        <f>IFERROR(__xludf.DUMMYFUNCTION("""COMPUTED_VALUE"""),"")</f>
        <v/>
      </c>
      <c r="P1094" s="250" t="str">
        <f>IFERROR(__xludf.DUMMYFUNCTION("""COMPUTED_VALUE"""),"")</f>
        <v/>
      </c>
      <c r="Q1094" s="250" t="str">
        <f>IFERROR(__xludf.DUMMYFUNCTION("""COMPUTED_VALUE"""),"")</f>
        <v/>
      </c>
      <c r="R1094" s="250" t="str">
        <f>IFERROR(__xludf.DUMMYFUNCTION("""COMPUTED_VALUE"""),"")</f>
        <v/>
      </c>
      <c r="U1094" s="250" t="str">
        <f>IFERROR(__xludf.DUMMYFUNCTION("""COMPUTED_VALUE"""),"#N/A")</f>
        <v>#N/A</v>
      </c>
      <c r="V1094" s="250" t="str">
        <f>IFERROR(__xludf.DUMMYFUNCTION("""COMPUTED_VALUE"""),"#N/A")</f>
        <v>#N/A</v>
      </c>
      <c r="W1094" s="250" t="str">
        <f>IFERROR(__xludf.DUMMYFUNCTION("""COMPUTED_VALUE"""),"#N/A")</f>
        <v>#N/A</v>
      </c>
      <c r="X1094" t="b">
        <f t="shared" ref="X1094:Z1094" si="2164">ISBLANK(K1094)</f>
        <v>1</v>
      </c>
      <c r="Y1094" t="b">
        <f t="shared" si="2164"/>
        <v>0</v>
      </c>
      <c r="Z1094" t="b">
        <f t="shared" si="2164"/>
        <v>0</v>
      </c>
      <c r="AA1094">
        <f t="shared" ref="AA1094:AC1094" si="2165">IF(X1094=FALSE,1,0)</f>
        <v>0</v>
      </c>
      <c r="AB1094">
        <f t="shared" si="2165"/>
        <v>1</v>
      </c>
      <c r="AC1094">
        <f t="shared" si="2165"/>
        <v>1</v>
      </c>
      <c r="AD1094">
        <f t="shared" si="6"/>
        <v>2</v>
      </c>
      <c r="AE1094">
        <f t="shared" si="7"/>
        <v>1</v>
      </c>
    </row>
    <row r="1095">
      <c r="B1095" t="str">
        <f>IFERROR(__xludf.DUMMYFUNCTION("""COMPUTED_VALUE"""),"")</f>
        <v/>
      </c>
      <c r="C1095" t="str">
        <f>IFERROR(__xludf.DUMMYFUNCTION("""COMPUTED_VALUE"""),"")</f>
        <v/>
      </c>
      <c r="D1095" t="str">
        <f>IFERROR(__xludf.DUMMYFUNCTION("""COMPUTED_VALUE"""),"")</f>
        <v/>
      </c>
      <c r="E1095" t="str">
        <f>IFERROR(__xludf.DUMMYFUNCTION("""COMPUTED_VALUE"""),"")</f>
        <v/>
      </c>
      <c r="F1095" t="str">
        <f>IFERROR(__xludf.DUMMYFUNCTION("""COMPUTED_VALUE"""),"")</f>
        <v/>
      </c>
      <c r="G1095" t="str">
        <f>IFERROR(__xludf.DUMMYFUNCTION("""COMPUTED_VALUE"""),"")</f>
        <v/>
      </c>
      <c r="H1095" t="str">
        <f>IFERROR(__xludf.DUMMYFUNCTION("""COMPUTED_VALUE"""),"")</f>
        <v/>
      </c>
      <c r="I1095" t="str">
        <f>IFERROR(__xludf.DUMMYFUNCTION("""COMPUTED_VALUE"""),"")</f>
        <v/>
      </c>
      <c r="J1095">
        <f>IFERROR(__xludf.DUMMYFUNCTION("""COMPUTED_VALUE"""),0.0)</f>
        <v>0</v>
      </c>
      <c r="L1095" s="250" t="str">
        <f>IFERROR(__xludf.DUMMYFUNCTION("""COMPUTED_VALUE"""),"")</f>
        <v/>
      </c>
      <c r="M1095" s="250" t="str">
        <f>IFERROR(__xludf.DUMMYFUNCTION("""COMPUTED_VALUE"""),"")</f>
        <v/>
      </c>
      <c r="N1095" s="250" t="str">
        <f>IFERROR(__xludf.DUMMYFUNCTION("""COMPUTED_VALUE"""),"")</f>
        <v/>
      </c>
      <c r="O1095" s="250" t="str">
        <f>IFERROR(__xludf.DUMMYFUNCTION("""COMPUTED_VALUE"""),"")</f>
        <v/>
      </c>
      <c r="P1095" s="250" t="str">
        <f>IFERROR(__xludf.DUMMYFUNCTION("""COMPUTED_VALUE"""),"")</f>
        <v/>
      </c>
      <c r="Q1095" s="250" t="str">
        <f>IFERROR(__xludf.DUMMYFUNCTION("""COMPUTED_VALUE"""),"")</f>
        <v/>
      </c>
      <c r="R1095" s="250" t="str">
        <f>IFERROR(__xludf.DUMMYFUNCTION("""COMPUTED_VALUE"""),"")</f>
        <v/>
      </c>
      <c r="U1095" s="250" t="str">
        <f>IFERROR(__xludf.DUMMYFUNCTION("""COMPUTED_VALUE"""),"#N/A")</f>
        <v>#N/A</v>
      </c>
      <c r="V1095" s="250" t="str">
        <f>IFERROR(__xludf.DUMMYFUNCTION("""COMPUTED_VALUE"""),"#N/A")</f>
        <v>#N/A</v>
      </c>
      <c r="W1095" s="250" t="str">
        <f>IFERROR(__xludf.DUMMYFUNCTION("""COMPUTED_VALUE"""),"#N/A")</f>
        <v>#N/A</v>
      </c>
      <c r="X1095" t="b">
        <f t="shared" ref="X1095:Z1095" si="2166">ISBLANK(K1095)</f>
        <v>1</v>
      </c>
      <c r="Y1095" t="b">
        <f t="shared" si="2166"/>
        <v>0</v>
      </c>
      <c r="Z1095" t="b">
        <f t="shared" si="2166"/>
        <v>0</v>
      </c>
      <c r="AA1095">
        <f t="shared" ref="AA1095:AC1095" si="2167">IF(X1095=FALSE,1,0)</f>
        <v>0</v>
      </c>
      <c r="AB1095">
        <f t="shared" si="2167"/>
        <v>1</v>
      </c>
      <c r="AC1095">
        <f t="shared" si="2167"/>
        <v>1</v>
      </c>
      <c r="AD1095">
        <f t="shared" si="6"/>
        <v>2</v>
      </c>
      <c r="AE1095">
        <f t="shared" si="7"/>
        <v>1</v>
      </c>
    </row>
    <row r="1096">
      <c r="B1096" t="str">
        <f>IFERROR(__xludf.DUMMYFUNCTION("""COMPUTED_VALUE"""),"")</f>
        <v/>
      </c>
      <c r="C1096" t="str">
        <f>IFERROR(__xludf.DUMMYFUNCTION("""COMPUTED_VALUE"""),"")</f>
        <v/>
      </c>
      <c r="D1096" t="str">
        <f>IFERROR(__xludf.DUMMYFUNCTION("""COMPUTED_VALUE"""),"")</f>
        <v/>
      </c>
      <c r="E1096" t="str">
        <f>IFERROR(__xludf.DUMMYFUNCTION("""COMPUTED_VALUE"""),"")</f>
        <v/>
      </c>
      <c r="F1096" t="str">
        <f>IFERROR(__xludf.DUMMYFUNCTION("""COMPUTED_VALUE"""),"")</f>
        <v/>
      </c>
      <c r="G1096" t="str">
        <f>IFERROR(__xludf.DUMMYFUNCTION("""COMPUTED_VALUE"""),"")</f>
        <v/>
      </c>
      <c r="H1096" t="str">
        <f>IFERROR(__xludf.DUMMYFUNCTION("""COMPUTED_VALUE"""),"")</f>
        <v/>
      </c>
      <c r="I1096" t="str">
        <f>IFERROR(__xludf.DUMMYFUNCTION("""COMPUTED_VALUE"""),"")</f>
        <v/>
      </c>
      <c r="J1096">
        <f>IFERROR(__xludf.DUMMYFUNCTION("""COMPUTED_VALUE"""),0.0)</f>
        <v>0</v>
      </c>
      <c r="L1096" s="250" t="str">
        <f>IFERROR(__xludf.DUMMYFUNCTION("""COMPUTED_VALUE"""),"")</f>
        <v/>
      </c>
      <c r="M1096" s="250" t="str">
        <f>IFERROR(__xludf.DUMMYFUNCTION("""COMPUTED_VALUE"""),"")</f>
        <v/>
      </c>
      <c r="N1096" s="250" t="str">
        <f>IFERROR(__xludf.DUMMYFUNCTION("""COMPUTED_VALUE"""),"")</f>
        <v/>
      </c>
      <c r="O1096" s="250" t="str">
        <f>IFERROR(__xludf.DUMMYFUNCTION("""COMPUTED_VALUE"""),"")</f>
        <v/>
      </c>
      <c r="P1096" s="250" t="str">
        <f>IFERROR(__xludf.DUMMYFUNCTION("""COMPUTED_VALUE"""),"")</f>
        <v/>
      </c>
      <c r="Q1096" s="250" t="str">
        <f>IFERROR(__xludf.DUMMYFUNCTION("""COMPUTED_VALUE"""),"")</f>
        <v/>
      </c>
      <c r="R1096" s="250" t="str">
        <f>IFERROR(__xludf.DUMMYFUNCTION("""COMPUTED_VALUE"""),"")</f>
        <v/>
      </c>
      <c r="U1096" s="250" t="str">
        <f>IFERROR(__xludf.DUMMYFUNCTION("""COMPUTED_VALUE"""),"#N/A")</f>
        <v>#N/A</v>
      </c>
      <c r="V1096" s="250" t="str">
        <f>IFERROR(__xludf.DUMMYFUNCTION("""COMPUTED_VALUE"""),"#N/A")</f>
        <v>#N/A</v>
      </c>
      <c r="W1096" s="250" t="str">
        <f>IFERROR(__xludf.DUMMYFUNCTION("""COMPUTED_VALUE"""),"#N/A")</f>
        <v>#N/A</v>
      </c>
      <c r="X1096" t="b">
        <f t="shared" ref="X1096:Z1096" si="2168">ISBLANK(K1096)</f>
        <v>1</v>
      </c>
      <c r="Y1096" t="b">
        <f t="shared" si="2168"/>
        <v>0</v>
      </c>
      <c r="Z1096" t="b">
        <f t="shared" si="2168"/>
        <v>0</v>
      </c>
      <c r="AA1096">
        <f t="shared" ref="AA1096:AC1096" si="2169">IF(X1096=FALSE,1,0)</f>
        <v>0</v>
      </c>
      <c r="AB1096">
        <f t="shared" si="2169"/>
        <v>1</v>
      </c>
      <c r="AC1096">
        <f t="shared" si="2169"/>
        <v>1</v>
      </c>
      <c r="AD1096">
        <f t="shared" si="6"/>
        <v>2</v>
      </c>
      <c r="AE1096">
        <f t="shared" si="7"/>
        <v>1</v>
      </c>
    </row>
    <row r="1097">
      <c r="B1097" t="str">
        <f>IFERROR(__xludf.DUMMYFUNCTION("""COMPUTED_VALUE"""),"")</f>
        <v/>
      </c>
      <c r="C1097" t="str">
        <f>IFERROR(__xludf.DUMMYFUNCTION("""COMPUTED_VALUE"""),"")</f>
        <v/>
      </c>
      <c r="D1097" t="str">
        <f>IFERROR(__xludf.DUMMYFUNCTION("""COMPUTED_VALUE"""),"")</f>
        <v/>
      </c>
      <c r="E1097" t="str">
        <f>IFERROR(__xludf.DUMMYFUNCTION("""COMPUTED_VALUE"""),"")</f>
        <v/>
      </c>
      <c r="F1097" t="str">
        <f>IFERROR(__xludf.DUMMYFUNCTION("""COMPUTED_VALUE"""),"")</f>
        <v/>
      </c>
      <c r="G1097" t="str">
        <f>IFERROR(__xludf.DUMMYFUNCTION("""COMPUTED_VALUE"""),"")</f>
        <v/>
      </c>
      <c r="H1097" t="str">
        <f>IFERROR(__xludf.DUMMYFUNCTION("""COMPUTED_VALUE"""),"")</f>
        <v/>
      </c>
      <c r="I1097" t="str">
        <f>IFERROR(__xludf.DUMMYFUNCTION("""COMPUTED_VALUE"""),"")</f>
        <v/>
      </c>
      <c r="J1097">
        <f>IFERROR(__xludf.DUMMYFUNCTION("""COMPUTED_VALUE"""),0.0)</f>
        <v>0</v>
      </c>
      <c r="L1097" s="250" t="str">
        <f>IFERROR(__xludf.DUMMYFUNCTION("""COMPUTED_VALUE"""),"")</f>
        <v/>
      </c>
      <c r="M1097" s="250" t="str">
        <f>IFERROR(__xludf.DUMMYFUNCTION("""COMPUTED_VALUE"""),"")</f>
        <v/>
      </c>
      <c r="N1097" s="250" t="str">
        <f>IFERROR(__xludf.DUMMYFUNCTION("""COMPUTED_VALUE"""),"")</f>
        <v/>
      </c>
      <c r="O1097" s="250" t="str">
        <f>IFERROR(__xludf.DUMMYFUNCTION("""COMPUTED_VALUE"""),"")</f>
        <v/>
      </c>
      <c r="P1097" s="250" t="str">
        <f>IFERROR(__xludf.DUMMYFUNCTION("""COMPUTED_VALUE"""),"")</f>
        <v/>
      </c>
      <c r="Q1097" s="250" t="str">
        <f>IFERROR(__xludf.DUMMYFUNCTION("""COMPUTED_VALUE"""),"")</f>
        <v/>
      </c>
      <c r="R1097" s="250" t="str">
        <f>IFERROR(__xludf.DUMMYFUNCTION("""COMPUTED_VALUE"""),"")</f>
        <v/>
      </c>
      <c r="U1097" s="250" t="str">
        <f>IFERROR(__xludf.DUMMYFUNCTION("""COMPUTED_VALUE"""),"#N/A")</f>
        <v>#N/A</v>
      </c>
      <c r="V1097" s="250" t="str">
        <f>IFERROR(__xludf.DUMMYFUNCTION("""COMPUTED_VALUE"""),"#N/A")</f>
        <v>#N/A</v>
      </c>
      <c r="W1097" s="250" t="str">
        <f>IFERROR(__xludf.DUMMYFUNCTION("""COMPUTED_VALUE"""),"#N/A")</f>
        <v>#N/A</v>
      </c>
      <c r="X1097" t="b">
        <f t="shared" ref="X1097:Z1097" si="2170">ISBLANK(K1097)</f>
        <v>1</v>
      </c>
      <c r="Y1097" t="b">
        <f t="shared" si="2170"/>
        <v>0</v>
      </c>
      <c r="Z1097" t="b">
        <f t="shared" si="2170"/>
        <v>0</v>
      </c>
      <c r="AA1097">
        <f t="shared" ref="AA1097:AC1097" si="2171">IF(X1097=FALSE,1,0)</f>
        <v>0</v>
      </c>
      <c r="AB1097">
        <f t="shared" si="2171"/>
        <v>1</v>
      </c>
      <c r="AC1097">
        <f t="shared" si="2171"/>
        <v>1</v>
      </c>
      <c r="AD1097">
        <f t="shared" si="6"/>
        <v>2</v>
      </c>
      <c r="AE1097">
        <f t="shared" si="7"/>
        <v>1</v>
      </c>
    </row>
    <row r="1098">
      <c r="B1098" t="str">
        <f>IFERROR(__xludf.DUMMYFUNCTION("""COMPUTED_VALUE"""),"")</f>
        <v/>
      </c>
      <c r="C1098" t="str">
        <f>IFERROR(__xludf.DUMMYFUNCTION("""COMPUTED_VALUE"""),"")</f>
        <v/>
      </c>
      <c r="D1098" t="str">
        <f>IFERROR(__xludf.DUMMYFUNCTION("""COMPUTED_VALUE"""),"")</f>
        <v/>
      </c>
      <c r="E1098" t="str">
        <f>IFERROR(__xludf.DUMMYFUNCTION("""COMPUTED_VALUE"""),"")</f>
        <v/>
      </c>
      <c r="F1098" t="str">
        <f>IFERROR(__xludf.DUMMYFUNCTION("""COMPUTED_VALUE"""),"")</f>
        <v/>
      </c>
      <c r="G1098" t="str">
        <f>IFERROR(__xludf.DUMMYFUNCTION("""COMPUTED_VALUE"""),"")</f>
        <v/>
      </c>
      <c r="H1098" t="str">
        <f>IFERROR(__xludf.DUMMYFUNCTION("""COMPUTED_VALUE"""),"")</f>
        <v/>
      </c>
      <c r="I1098" t="str">
        <f>IFERROR(__xludf.DUMMYFUNCTION("""COMPUTED_VALUE"""),"")</f>
        <v/>
      </c>
      <c r="J1098">
        <f>IFERROR(__xludf.DUMMYFUNCTION("""COMPUTED_VALUE"""),0.0)</f>
        <v>0</v>
      </c>
      <c r="L1098" s="250" t="str">
        <f>IFERROR(__xludf.DUMMYFUNCTION("""COMPUTED_VALUE"""),"")</f>
        <v/>
      </c>
      <c r="M1098" s="250" t="str">
        <f>IFERROR(__xludf.DUMMYFUNCTION("""COMPUTED_VALUE"""),"")</f>
        <v/>
      </c>
      <c r="N1098" s="250" t="str">
        <f>IFERROR(__xludf.DUMMYFUNCTION("""COMPUTED_VALUE"""),"")</f>
        <v/>
      </c>
      <c r="O1098" s="250" t="str">
        <f>IFERROR(__xludf.DUMMYFUNCTION("""COMPUTED_VALUE"""),"")</f>
        <v/>
      </c>
      <c r="P1098" s="250" t="str">
        <f>IFERROR(__xludf.DUMMYFUNCTION("""COMPUTED_VALUE"""),"")</f>
        <v/>
      </c>
      <c r="Q1098" s="250" t="str">
        <f>IFERROR(__xludf.DUMMYFUNCTION("""COMPUTED_VALUE"""),"")</f>
        <v/>
      </c>
      <c r="R1098" s="250" t="str">
        <f>IFERROR(__xludf.DUMMYFUNCTION("""COMPUTED_VALUE"""),"")</f>
        <v/>
      </c>
      <c r="U1098" s="250" t="str">
        <f>IFERROR(__xludf.DUMMYFUNCTION("""COMPUTED_VALUE"""),"#N/A")</f>
        <v>#N/A</v>
      </c>
      <c r="V1098" s="250" t="str">
        <f>IFERROR(__xludf.DUMMYFUNCTION("""COMPUTED_VALUE"""),"#N/A")</f>
        <v>#N/A</v>
      </c>
      <c r="W1098" s="250" t="str">
        <f>IFERROR(__xludf.DUMMYFUNCTION("""COMPUTED_VALUE"""),"#N/A")</f>
        <v>#N/A</v>
      </c>
      <c r="X1098" t="b">
        <f t="shared" ref="X1098:Z1098" si="2172">ISBLANK(K1098)</f>
        <v>1</v>
      </c>
      <c r="Y1098" t="b">
        <f t="shared" si="2172"/>
        <v>0</v>
      </c>
      <c r="Z1098" t="b">
        <f t="shared" si="2172"/>
        <v>0</v>
      </c>
      <c r="AA1098">
        <f t="shared" ref="AA1098:AC1098" si="2173">IF(X1098=FALSE,1,0)</f>
        <v>0</v>
      </c>
      <c r="AB1098">
        <f t="shared" si="2173"/>
        <v>1</v>
      </c>
      <c r="AC1098">
        <f t="shared" si="2173"/>
        <v>1</v>
      </c>
      <c r="AD1098">
        <f t="shared" si="6"/>
        <v>2</v>
      </c>
      <c r="AE1098">
        <f t="shared" si="7"/>
        <v>1</v>
      </c>
    </row>
    <row r="1099">
      <c r="B1099" t="str">
        <f>IFERROR(__xludf.DUMMYFUNCTION("""COMPUTED_VALUE"""),"")</f>
        <v/>
      </c>
      <c r="C1099" t="str">
        <f>IFERROR(__xludf.DUMMYFUNCTION("""COMPUTED_VALUE"""),"")</f>
        <v/>
      </c>
      <c r="D1099" t="str">
        <f>IFERROR(__xludf.DUMMYFUNCTION("""COMPUTED_VALUE"""),"")</f>
        <v/>
      </c>
      <c r="E1099" t="str">
        <f>IFERROR(__xludf.DUMMYFUNCTION("""COMPUTED_VALUE"""),"")</f>
        <v/>
      </c>
      <c r="F1099" t="str">
        <f>IFERROR(__xludf.DUMMYFUNCTION("""COMPUTED_VALUE"""),"")</f>
        <v/>
      </c>
      <c r="G1099" t="str">
        <f>IFERROR(__xludf.DUMMYFUNCTION("""COMPUTED_VALUE"""),"")</f>
        <v/>
      </c>
      <c r="H1099" t="str">
        <f>IFERROR(__xludf.DUMMYFUNCTION("""COMPUTED_VALUE"""),"")</f>
        <v/>
      </c>
      <c r="I1099" t="str">
        <f>IFERROR(__xludf.DUMMYFUNCTION("""COMPUTED_VALUE"""),"")</f>
        <v/>
      </c>
      <c r="J1099">
        <f>IFERROR(__xludf.DUMMYFUNCTION("""COMPUTED_VALUE"""),0.0)</f>
        <v>0</v>
      </c>
      <c r="L1099" s="250" t="str">
        <f>IFERROR(__xludf.DUMMYFUNCTION("""COMPUTED_VALUE"""),"")</f>
        <v/>
      </c>
      <c r="M1099" s="250" t="str">
        <f>IFERROR(__xludf.DUMMYFUNCTION("""COMPUTED_VALUE"""),"")</f>
        <v/>
      </c>
      <c r="N1099" s="250" t="str">
        <f>IFERROR(__xludf.DUMMYFUNCTION("""COMPUTED_VALUE"""),"")</f>
        <v/>
      </c>
      <c r="O1099" s="250" t="str">
        <f>IFERROR(__xludf.DUMMYFUNCTION("""COMPUTED_VALUE"""),"")</f>
        <v/>
      </c>
      <c r="P1099" s="250" t="str">
        <f>IFERROR(__xludf.DUMMYFUNCTION("""COMPUTED_VALUE"""),"")</f>
        <v/>
      </c>
      <c r="Q1099" s="250" t="str">
        <f>IFERROR(__xludf.DUMMYFUNCTION("""COMPUTED_VALUE"""),"")</f>
        <v/>
      </c>
      <c r="R1099" s="250" t="str">
        <f>IFERROR(__xludf.DUMMYFUNCTION("""COMPUTED_VALUE"""),"")</f>
        <v/>
      </c>
      <c r="U1099" s="250" t="str">
        <f>IFERROR(__xludf.DUMMYFUNCTION("""COMPUTED_VALUE"""),"#N/A")</f>
        <v>#N/A</v>
      </c>
      <c r="V1099" s="250" t="str">
        <f>IFERROR(__xludf.DUMMYFUNCTION("""COMPUTED_VALUE"""),"#N/A")</f>
        <v>#N/A</v>
      </c>
      <c r="W1099" s="250" t="str">
        <f>IFERROR(__xludf.DUMMYFUNCTION("""COMPUTED_VALUE"""),"#N/A")</f>
        <v>#N/A</v>
      </c>
      <c r="X1099" t="b">
        <f t="shared" ref="X1099:Z1099" si="2174">ISBLANK(K1099)</f>
        <v>1</v>
      </c>
      <c r="Y1099" t="b">
        <f t="shared" si="2174"/>
        <v>0</v>
      </c>
      <c r="Z1099" t="b">
        <f t="shared" si="2174"/>
        <v>0</v>
      </c>
      <c r="AA1099">
        <f t="shared" ref="AA1099:AC1099" si="2175">IF(X1099=FALSE,1,0)</f>
        <v>0</v>
      </c>
      <c r="AB1099">
        <f t="shared" si="2175"/>
        <v>1</v>
      </c>
      <c r="AC1099">
        <f t="shared" si="2175"/>
        <v>1</v>
      </c>
      <c r="AD1099">
        <f t="shared" si="6"/>
        <v>2</v>
      </c>
      <c r="AE1099">
        <f t="shared" si="7"/>
        <v>1</v>
      </c>
    </row>
    <row r="1100">
      <c r="B1100" t="str">
        <f>IFERROR(__xludf.DUMMYFUNCTION("""COMPUTED_VALUE"""),"")</f>
        <v/>
      </c>
      <c r="C1100" t="str">
        <f>IFERROR(__xludf.DUMMYFUNCTION("""COMPUTED_VALUE"""),"")</f>
        <v/>
      </c>
      <c r="D1100" t="str">
        <f>IFERROR(__xludf.DUMMYFUNCTION("""COMPUTED_VALUE"""),"")</f>
        <v/>
      </c>
      <c r="E1100" t="str">
        <f>IFERROR(__xludf.DUMMYFUNCTION("""COMPUTED_VALUE"""),"")</f>
        <v/>
      </c>
      <c r="F1100" t="str">
        <f>IFERROR(__xludf.DUMMYFUNCTION("""COMPUTED_VALUE"""),"")</f>
        <v/>
      </c>
      <c r="G1100" t="str">
        <f>IFERROR(__xludf.DUMMYFUNCTION("""COMPUTED_VALUE"""),"")</f>
        <v/>
      </c>
      <c r="H1100" t="str">
        <f>IFERROR(__xludf.DUMMYFUNCTION("""COMPUTED_VALUE"""),"")</f>
        <v/>
      </c>
      <c r="I1100" t="str">
        <f>IFERROR(__xludf.DUMMYFUNCTION("""COMPUTED_VALUE"""),"")</f>
        <v/>
      </c>
      <c r="J1100">
        <f>IFERROR(__xludf.DUMMYFUNCTION("""COMPUTED_VALUE"""),0.0)</f>
        <v>0</v>
      </c>
      <c r="L1100" s="250" t="str">
        <f>IFERROR(__xludf.DUMMYFUNCTION("""COMPUTED_VALUE"""),"")</f>
        <v/>
      </c>
      <c r="M1100" s="250" t="str">
        <f>IFERROR(__xludf.DUMMYFUNCTION("""COMPUTED_VALUE"""),"")</f>
        <v/>
      </c>
      <c r="N1100" s="250" t="str">
        <f>IFERROR(__xludf.DUMMYFUNCTION("""COMPUTED_VALUE"""),"")</f>
        <v/>
      </c>
      <c r="O1100" s="250" t="str">
        <f>IFERROR(__xludf.DUMMYFUNCTION("""COMPUTED_VALUE"""),"")</f>
        <v/>
      </c>
      <c r="P1100" s="250" t="str">
        <f>IFERROR(__xludf.DUMMYFUNCTION("""COMPUTED_VALUE"""),"")</f>
        <v/>
      </c>
      <c r="Q1100" s="250" t="str">
        <f>IFERROR(__xludf.DUMMYFUNCTION("""COMPUTED_VALUE"""),"")</f>
        <v/>
      </c>
      <c r="R1100" s="250" t="str">
        <f>IFERROR(__xludf.DUMMYFUNCTION("""COMPUTED_VALUE"""),"")</f>
        <v/>
      </c>
      <c r="U1100" s="250" t="str">
        <f>IFERROR(__xludf.DUMMYFUNCTION("""COMPUTED_VALUE"""),"#N/A")</f>
        <v>#N/A</v>
      </c>
      <c r="V1100" s="250" t="str">
        <f>IFERROR(__xludf.DUMMYFUNCTION("""COMPUTED_VALUE"""),"#N/A")</f>
        <v>#N/A</v>
      </c>
      <c r="W1100" s="250" t="str">
        <f>IFERROR(__xludf.DUMMYFUNCTION("""COMPUTED_VALUE"""),"#N/A")</f>
        <v>#N/A</v>
      </c>
      <c r="X1100" t="b">
        <f t="shared" ref="X1100:Z1100" si="2176">ISBLANK(K1100)</f>
        <v>1</v>
      </c>
      <c r="Y1100" t="b">
        <f t="shared" si="2176"/>
        <v>0</v>
      </c>
      <c r="Z1100" t="b">
        <f t="shared" si="2176"/>
        <v>0</v>
      </c>
      <c r="AA1100">
        <f t="shared" ref="AA1100:AC1100" si="2177">IF(X1100=FALSE,1,0)</f>
        <v>0</v>
      </c>
      <c r="AB1100">
        <f t="shared" si="2177"/>
        <v>1</v>
      </c>
      <c r="AC1100">
        <f t="shared" si="2177"/>
        <v>1</v>
      </c>
      <c r="AD1100">
        <f t="shared" si="6"/>
        <v>2</v>
      </c>
      <c r="AE1100">
        <f t="shared" si="7"/>
        <v>1</v>
      </c>
    </row>
    <row r="1101">
      <c r="B1101" t="str">
        <f>IFERROR(__xludf.DUMMYFUNCTION("""COMPUTED_VALUE"""),"")</f>
        <v/>
      </c>
      <c r="C1101" t="str">
        <f>IFERROR(__xludf.DUMMYFUNCTION("""COMPUTED_VALUE"""),"")</f>
        <v/>
      </c>
      <c r="D1101" t="str">
        <f>IFERROR(__xludf.DUMMYFUNCTION("""COMPUTED_VALUE"""),"")</f>
        <v/>
      </c>
      <c r="E1101" t="str">
        <f>IFERROR(__xludf.DUMMYFUNCTION("""COMPUTED_VALUE"""),"")</f>
        <v/>
      </c>
      <c r="F1101" t="str">
        <f>IFERROR(__xludf.DUMMYFUNCTION("""COMPUTED_VALUE"""),"")</f>
        <v/>
      </c>
      <c r="G1101" t="str">
        <f>IFERROR(__xludf.DUMMYFUNCTION("""COMPUTED_VALUE"""),"")</f>
        <v/>
      </c>
      <c r="H1101" t="str">
        <f>IFERROR(__xludf.DUMMYFUNCTION("""COMPUTED_VALUE"""),"")</f>
        <v/>
      </c>
      <c r="I1101" t="str">
        <f>IFERROR(__xludf.DUMMYFUNCTION("""COMPUTED_VALUE"""),"")</f>
        <v/>
      </c>
      <c r="J1101">
        <f>IFERROR(__xludf.DUMMYFUNCTION("""COMPUTED_VALUE"""),0.0)</f>
        <v>0</v>
      </c>
      <c r="L1101" s="250" t="str">
        <f>IFERROR(__xludf.DUMMYFUNCTION("""COMPUTED_VALUE"""),"")</f>
        <v/>
      </c>
      <c r="M1101" s="250" t="str">
        <f>IFERROR(__xludf.DUMMYFUNCTION("""COMPUTED_VALUE"""),"")</f>
        <v/>
      </c>
      <c r="N1101" s="250" t="str">
        <f>IFERROR(__xludf.DUMMYFUNCTION("""COMPUTED_VALUE"""),"")</f>
        <v/>
      </c>
      <c r="O1101" s="250" t="str">
        <f>IFERROR(__xludf.DUMMYFUNCTION("""COMPUTED_VALUE"""),"")</f>
        <v/>
      </c>
      <c r="P1101" s="250" t="str">
        <f>IFERROR(__xludf.DUMMYFUNCTION("""COMPUTED_VALUE"""),"")</f>
        <v/>
      </c>
      <c r="Q1101" s="250" t="str">
        <f>IFERROR(__xludf.DUMMYFUNCTION("""COMPUTED_VALUE"""),"")</f>
        <v/>
      </c>
      <c r="R1101" s="250" t="str">
        <f>IFERROR(__xludf.DUMMYFUNCTION("""COMPUTED_VALUE"""),"")</f>
        <v/>
      </c>
      <c r="U1101" s="250" t="str">
        <f>IFERROR(__xludf.DUMMYFUNCTION("""COMPUTED_VALUE"""),"#N/A")</f>
        <v>#N/A</v>
      </c>
      <c r="V1101" s="250" t="str">
        <f>IFERROR(__xludf.DUMMYFUNCTION("""COMPUTED_VALUE"""),"#N/A")</f>
        <v>#N/A</v>
      </c>
      <c r="W1101" s="250" t="str">
        <f>IFERROR(__xludf.DUMMYFUNCTION("""COMPUTED_VALUE"""),"#N/A")</f>
        <v>#N/A</v>
      </c>
      <c r="X1101" t="b">
        <f t="shared" ref="X1101:Z1101" si="2178">ISBLANK(K1101)</f>
        <v>1</v>
      </c>
      <c r="Y1101" t="b">
        <f t="shared" si="2178"/>
        <v>0</v>
      </c>
      <c r="Z1101" t="b">
        <f t="shared" si="2178"/>
        <v>0</v>
      </c>
      <c r="AA1101">
        <f t="shared" ref="AA1101:AC1101" si="2179">IF(X1101=FALSE,1,0)</f>
        <v>0</v>
      </c>
      <c r="AB1101">
        <f t="shared" si="2179"/>
        <v>1</v>
      </c>
      <c r="AC1101">
        <f t="shared" si="2179"/>
        <v>1</v>
      </c>
      <c r="AD1101">
        <f t="shared" si="6"/>
        <v>2</v>
      </c>
      <c r="AE1101">
        <f t="shared" si="7"/>
        <v>1</v>
      </c>
    </row>
    <row r="1102">
      <c r="B1102" t="str">
        <f>IFERROR(__xludf.DUMMYFUNCTION("""COMPUTED_VALUE"""),"")</f>
        <v/>
      </c>
      <c r="C1102" t="str">
        <f>IFERROR(__xludf.DUMMYFUNCTION("""COMPUTED_VALUE"""),"")</f>
        <v/>
      </c>
      <c r="D1102" t="str">
        <f>IFERROR(__xludf.DUMMYFUNCTION("""COMPUTED_VALUE"""),"")</f>
        <v/>
      </c>
      <c r="E1102" t="str">
        <f>IFERROR(__xludf.DUMMYFUNCTION("""COMPUTED_VALUE"""),"")</f>
        <v/>
      </c>
      <c r="F1102" t="str">
        <f>IFERROR(__xludf.DUMMYFUNCTION("""COMPUTED_VALUE"""),"")</f>
        <v/>
      </c>
      <c r="G1102" t="str">
        <f>IFERROR(__xludf.DUMMYFUNCTION("""COMPUTED_VALUE"""),"")</f>
        <v/>
      </c>
      <c r="H1102" t="str">
        <f>IFERROR(__xludf.DUMMYFUNCTION("""COMPUTED_VALUE"""),"")</f>
        <v/>
      </c>
      <c r="I1102" t="str">
        <f>IFERROR(__xludf.DUMMYFUNCTION("""COMPUTED_VALUE"""),"")</f>
        <v/>
      </c>
      <c r="J1102">
        <f>IFERROR(__xludf.DUMMYFUNCTION("""COMPUTED_VALUE"""),0.0)</f>
        <v>0</v>
      </c>
      <c r="L1102" s="250" t="str">
        <f>IFERROR(__xludf.DUMMYFUNCTION("""COMPUTED_VALUE"""),"")</f>
        <v/>
      </c>
      <c r="M1102" s="250" t="str">
        <f>IFERROR(__xludf.DUMMYFUNCTION("""COMPUTED_VALUE"""),"")</f>
        <v/>
      </c>
      <c r="N1102" s="250" t="str">
        <f>IFERROR(__xludf.DUMMYFUNCTION("""COMPUTED_VALUE"""),"")</f>
        <v/>
      </c>
      <c r="O1102" s="250" t="str">
        <f>IFERROR(__xludf.DUMMYFUNCTION("""COMPUTED_VALUE"""),"")</f>
        <v/>
      </c>
      <c r="P1102" s="250" t="str">
        <f>IFERROR(__xludf.DUMMYFUNCTION("""COMPUTED_VALUE"""),"")</f>
        <v/>
      </c>
      <c r="Q1102" s="250" t="str">
        <f>IFERROR(__xludf.DUMMYFUNCTION("""COMPUTED_VALUE"""),"")</f>
        <v/>
      </c>
      <c r="R1102" s="250" t="str">
        <f>IFERROR(__xludf.DUMMYFUNCTION("""COMPUTED_VALUE"""),"")</f>
        <v/>
      </c>
      <c r="U1102" s="250" t="str">
        <f>IFERROR(__xludf.DUMMYFUNCTION("""COMPUTED_VALUE"""),"#N/A")</f>
        <v>#N/A</v>
      </c>
      <c r="V1102" s="250" t="str">
        <f>IFERROR(__xludf.DUMMYFUNCTION("""COMPUTED_VALUE"""),"#N/A")</f>
        <v>#N/A</v>
      </c>
      <c r="W1102" s="250" t="str">
        <f>IFERROR(__xludf.DUMMYFUNCTION("""COMPUTED_VALUE"""),"#N/A")</f>
        <v>#N/A</v>
      </c>
      <c r="X1102" t="b">
        <f t="shared" ref="X1102:Z1102" si="2180">ISBLANK(K1102)</f>
        <v>1</v>
      </c>
      <c r="Y1102" t="b">
        <f t="shared" si="2180"/>
        <v>0</v>
      </c>
      <c r="Z1102" t="b">
        <f t="shared" si="2180"/>
        <v>0</v>
      </c>
      <c r="AA1102">
        <f t="shared" ref="AA1102:AC1102" si="2181">IF(X1102=FALSE,1,0)</f>
        <v>0</v>
      </c>
      <c r="AB1102">
        <f t="shared" si="2181"/>
        <v>1</v>
      </c>
      <c r="AC1102">
        <f t="shared" si="2181"/>
        <v>1</v>
      </c>
      <c r="AD1102">
        <f t="shared" si="6"/>
        <v>2</v>
      </c>
      <c r="AE1102">
        <f t="shared" si="7"/>
        <v>1</v>
      </c>
    </row>
    <row r="1103">
      <c r="B1103" t="str">
        <f>IFERROR(__xludf.DUMMYFUNCTION("""COMPUTED_VALUE"""),"")</f>
        <v/>
      </c>
      <c r="C1103" t="str">
        <f>IFERROR(__xludf.DUMMYFUNCTION("""COMPUTED_VALUE"""),"")</f>
        <v/>
      </c>
      <c r="D1103" t="str">
        <f>IFERROR(__xludf.DUMMYFUNCTION("""COMPUTED_VALUE"""),"")</f>
        <v/>
      </c>
      <c r="E1103" t="str">
        <f>IFERROR(__xludf.DUMMYFUNCTION("""COMPUTED_VALUE"""),"")</f>
        <v/>
      </c>
      <c r="F1103" t="str">
        <f>IFERROR(__xludf.DUMMYFUNCTION("""COMPUTED_VALUE"""),"")</f>
        <v/>
      </c>
      <c r="G1103" t="str">
        <f>IFERROR(__xludf.DUMMYFUNCTION("""COMPUTED_VALUE"""),"")</f>
        <v/>
      </c>
      <c r="H1103" t="str">
        <f>IFERROR(__xludf.DUMMYFUNCTION("""COMPUTED_VALUE"""),"")</f>
        <v/>
      </c>
      <c r="I1103" t="str">
        <f>IFERROR(__xludf.DUMMYFUNCTION("""COMPUTED_VALUE"""),"")</f>
        <v/>
      </c>
      <c r="J1103">
        <f>IFERROR(__xludf.DUMMYFUNCTION("""COMPUTED_VALUE"""),0.0)</f>
        <v>0</v>
      </c>
      <c r="L1103" s="250" t="str">
        <f>IFERROR(__xludf.DUMMYFUNCTION("""COMPUTED_VALUE"""),"")</f>
        <v/>
      </c>
      <c r="M1103" s="250" t="str">
        <f>IFERROR(__xludf.DUMMYFUNCTION("""COMPUTED_VALUE"""),"")</f>
        <v/>
      </c>
      <c r="N1103" s="250" t="str">
        <f>IFERROR(__xludf.DUMMYFUNCTION("""COMPUTED_VALUE"""),"")</f>
        <v/>
      </c>
      <c r="O1103" s="250" t="str">
        <f>IFERROR(__xludf.DUMMYFUNCTION("""COMPUTED_VALUE"""),"")</f>
        <v/>
      </c>
      <c r="P1103" s="250" t="str">
        <f>IFERROR(__xludf.DUMMYFUNCTION("""COMPUTED_VALUE"""),"")</f>
        <v/>
      </c>
      <c r="Q1103" s="250" t="str">
        <f>IFERROR(__xludf.DUMMYFUNCTION("""COMPUTED_VALUE"""),"")</f>
        <v/>
      </c>
      <c r="R1103" s="250" t="str">
        <f>IFERROR(__xludf.DUMMYFUNCTION("""COMPUTED_VALUE"""),"")</f>
        <v/>
      </c>
      <c r="U1103" s="250" t="str">
        <f>IFERROR(__xludf.DUMMYFUNCTION("""COMPUTED_VALUE"""),"#N/A")</f>
        <v>#N/A</v>
      </c>
      <c r="V1103" s="250" t="str">
        <f>IFERROR(__xludf.DUMMYFUNCTION("""COMPUTED_VALUE"""),"#N/A")</f>
        <v>#N/A</v>
      </c>
      <c r="W1103" s="250" t="str">
        <f>IFERROR(__xludf.DUMMYFUNCTION("""COMPUTED_VALUE"""),"#N/A")</f>
        <v>#N/A</v>
      </c>
      <c r="X1103" t="b">
        <f t="shared" ref="X1103:Z1103" si="2182">ISBLANK(K1103)</f>
        <v>1</v>
      </c>
      <c r="Y1103" t="b">
        <f t="shared" si="2182"/>
        <v>0</v>
      </c>
      <c r="Z1103" t="b">
        <f t="shared" si="2182"/>
        <v>0</v>
      </c>
      <c r="AA1103">
        <f t="shared" ref="AA1103:AC1103" si="2183">IF(X1103=FALSE,1,0)</f>
        <v>0</v>
      </c>
      <c r="AB1103">
        <f t="shared" si="2183"/>
        <v>1</v>
      </c>
      <c r="AC1103">
        <f t="shared" si="2183"/>
        <v>1</v>
      </c>
      <c r="AD1103">
        <f t="shared" si="6"/>
        <v>2</v>
      </c>
      <c r="AE1103">
        <f t="shared" si="7"/>
        <v>1</v>
      </c>
    </row>
    <row r="1104">
      <c r="B1104" t="str">
        <f>IFERROR(__xludf.DUMMYFUNCTION("""COMPUTED_VALUE"""),"")</f>
        <v/>
      </c>
      <c r="C1104" t="str">
        <f>IFERROR(__xludf.DUMMYFUNCTION("""COMPUTED_VALUE"""),"")</f>
        <v/>
      </c>
      <c r="D1104" t="str">
        <f>IFERROR(__xludf.DUMMYFUNCTION("""COMPUTED_VALUE"""),"")</f>
        <v/>
      </c>
      <c r="E1104" t="str">
        <f>IFERROR(__xludf.DUMMYFUNCTION("""COMPUTED_VALUE"""),"")</f>
        <v/>
      </c>
      <c r="F1104" t="str">
        <f>IFERROR(__xludf.DUMMYFUNCTION("""COMPUTED_VALUE"""),"")</f>
        <v/>
      </c>
      <c r="G1104" t="str">
        <f>IFERROR(__xludf.DUMMYFUNCTION("""COMPUTED_VALUE"""),"")</f>
        <v/>
      </c>
      <c r="H1104" t="str">
        <f>IFERROR(__xludf.DUMMYFUNCTION("""COMPUTED_VALUE"""),"")</f>
        <v/>
      </c>
      <c r="I1104" t="str">
        <f>IFERROR(__xludf.DUMMYFUNCTION("""COMPUTED_VALUE"""),"")</f>
        <v/>
      </c>
      <c r="J1104">
        <f>IFERROR(__xludf.DUMMYFUNCTION("""COMPUTED_VALUE"""),0.0)</f>
        <v>0</v>
      </c>
      <c r="L1104" s="250" t="str">
        <f>IFERROR(__xludf.DUMMYFUNCTION("""COMPUTED_VALUE"""),"")</f>
        <v/>
      </c>
      <c r="M1104" s="250" t="str">
        <f>IFERROR(__xludf.DUMMYFUNCTION("""COMPUTED_VALUE"""),"")</f>
        <v/>
      </c>
      <c r="N1104" s="250" t="str">
        <f>IFERROR(__xludf.DUMMYFUNCTION("""COMPUTED_VALUE"""),"")</f>
        <v/>
      </c>
      <c r="O1104" s="250" t="str">
        <f>IFERROR(__xludf.DUMMYFUNCTION("""COMPUTED_VALUE"""),"")</f>
        <v/>
      </c>
      <c r="P1104" s="250" t="str">
        <f>IFERROR(__xludf.DUMMYFUNCTION("""COMPUTED_VALUE"""),"")</f>
        <v/>
      </c>
      <c r="Q1104" s="250" t="str">
        <f>IFERROR(__xludf.DUMMYFUNCTION("""COMPUTED_VALUE"""),"")</f>
        <v/>
      </c>
      <c r="R1104" s="250" t="str">
        <f>IFERROR(__xludf.DUMMYFUNCTION("""COMPUTED_VALUE"""),"")</f>
        <v/>
      </c>
      <c r="U1104" s="250" t="str">
        <f>IFERROR(__xludf.DUMMYFUNCTION("""COMPUTED_VALUE"""),"#N/A")</f>
        <v>#N/A</v>
      </c>
      <c r="V1104" s="250" t="str">
        <f>IFERROR(__xludf.DUMMYFUNCTION("""COMPUTED_VALUE"""),"#N/A")</f>
        <v>#N/A</v>
      </c>
      <c r="W1104" s="250" t="str">
        <f>IFERROR(__xludf.DUMMYFUNCTION("""COMPUTED_VALUE"""),"#N/A")</f>
        <v>#N/A</v>
      </c>
      <c r="X1104" t="b">
        <f t="shared" ref="X1104:Z1104" si="2184">ISBLANK(K1104)</f>
        <v>1</v>
      </c>
      <c r="Y1104" t="b">
        <f t="shared" si="2184"/>
        <v>0</v>
      </c>
      <c r="Z1104" t="b">
        <f t="shared" si="2184"/>
        <v>0</v>
      </c>
      <c r="AA1104">
        <f t="shared" ref="AA1104:AC1104" si="2185">IF(X1104=FALSE,1,0)</f>
        <v>0</v>
      </c>
      <c r="AB1104">
        <f t="shared" si="2185"/>
        <v>1</v>
      </c>
      <c r="AC1104">
        <f t="shared" si="2185"/>
        <v>1</v>
      </c>
      <c r="AD1104">
        <f t="shared" si="6"/>
        <v>2</v>
      </c>
      <c r="AE1104">
        <f t="shared" si="7"/>
        <v>1</v>
      </c>
    </row>
    <row r="1105">
      <c r="B1105" t="str">
        <f>IFERROR(__xludf.DUMMYFUNCTION("""COMPUTED_VALUE"""),"")</f>
        <v/>
      </c>
      <c r="C1105" t="str">
        <f>IFERROR(__xludf.DUMMYFUNCTION("""COMPUTED_VALUE"""),"")</f>
        <v/>
      </c>
      <c r="D1105" t="str">
        <f>IFERROR(__xludf.DUMMYFUNCTION("""COMPUTED_VALUE"""),"")</f>
        <v/>
      </c>
      <c r="E1105" t="str">
        <f>IFERROR(__xludf.DUMMYFUNCTION("""COMPUTED_VALUE"""),"")</f>
        <v/>
      </c>
      <c r="F1105" t="str">
        <f>IFERROR(__xludf.DUMMYFUNCTION("""COMPUTED_VALUE"""),"")</f>
        <v/>
      </c>
      <c r="G1105" t="str">
        <f>IFERROR(__xludf.DUMMYFUNCTION("""COMPUTED_VALUE"""),"")</f>
        <v/>
      </c>
      <c r="H1105" t="str">
        <f>IFERROR(__xludf.DUMMYFUNCTION("""COMPUTED_VALUE"""),"")</f>
        <v/>
      </c>
      <c r="I1105" t="str">
        <f>IFERROR(__xludf.DUMMYFUNCTION("""COMPUTED_VALUE"""),"")</f>
        <v/>
      </c>
      <c r="J1105">
        <f>IFERROR(__xludf.DUMMYFUNCTION("""COMPUTED_VALUE"""),0.0)</f>
        <v>0</v>
      </c>
      <c r="L1105" s="250" t="str">
        <f>IFERROR(__xludf.DUMMYFUNCTION("""COMPUTED_VALUE"""),"")</f>
        <v/>
      </c>
      <c r="M1105" s="250" t="str">
        <f>IFERROR(__xludf.DUMMYFUNCTION("""COMPUTED_VALUE"""),"")</f>
        <v/>
      </c>
      <c r="N1105" s="250" t="str">
        <f>IFERROR(__xludf.DUMMYFUNCTION("""COMPUTED_VALUE"""),"")</f>
        <v/>
      </c>
      <c r="O1105" s="250" t="str">
        <f>IFERROR(__xludf.DUMMYFUNCTION("""COMPUTED_VALUE"""),"")</f>
        <v/>
      </c>
      <c r="P1105" s="250" t="str">
        <f>IFERROR(__xludf.DUMMYFUNCTION("""COMPUTED_VALUE"""),"")</f>
        <v/>
      </c>
      <c r="Q1105" s="250" t="str">
        <f>IFERROR(__xludf.DUMMYFUNCTION("""COMPUTED_VALUE"""),"")</f>
        <v/>
      </c>
      <c r="R1105" s="250" t="str">
        <f>IFERROR(__xludf.DUMMYFUNCTION("""COMPUTED_VALUE"""),"")</f>
        <v/>
      </c>
      <c r="U1105" s="250" t="str">
        <f>IFERROR(__xludf.DUMMYFUNCTION("""COMPUTED_VALUE"""),"#N/A")</f>
        <v>#N/A</v>
      </c>
      <c r="V1105" s="250" t="str">
        <f>IFERROR(__xludf.DUMMYFUNCTION("""COMPUTED_VALUE"""),"#N/A")</f>
        <v>#N/A</v>
      </c>
      <c r="W1105" s="250" t="str">
        <f>IFERROR(__xludf.DUMMYFUNCTION("""COMPUTED_VALUE"""),"#N/A")</f>
        <v>#N/A</v>
      </c>
      <c r="X1105" t="b">
        <f t="shared" ref="X1105:Z1105" si="2186">ISBLANK(K1105)</f>
        <v>1</v>
      </c>
      <c r="Y1105" t="b">
        <f t="shared" si="2186"/>
        <v>0</v>
      </c>
      <c r="Z1105" t="b">
        <f t="shared" si="2186"/>
        <v>0</v>
      </c>
      <c r="AA1105">
        <f t="shared" ref="AA1105:AC1105" si="2187">IF(X1105=FALSE,1,0)</f>
        <v>0</v>
      </c>
      <c r="AB1105">
        <f t="shared" si="2187"/>
        <v>1</v>
      </c>
      <c r="AC1105">
        <f t="shared" si="2187"/>
        <v>1</v>
      </c>
      <c r="AD1105">
        <f t="shared" si="6"/>
        <v>2</v>
      </c>
      <c r="AE1105">
        <f t="shared" si="7"/>
        <v>1</v>
      </c>
    </row>
    <row r="1106">
      <c r="B1106" t="str">
        <f>IFERROR(__xludf.DUMMYFUNCTION("""COMPUTED_VALUE"""),"")</f>
        <v/>
      </c>
      <c r="C1106" t="str">
        <f>IFERROR(__xludf.DUMMYFUNCTION("""COMPUTED_VALUE"""),"")</f>
        <v/>
      </c>
      <c r="D1106" t="str">
        <f>IFERROR(__xludf.DUMMYFUNCTION("""COMPUTED_VALUE"""),"")</f>
        <v/>
      </c>
      <c r="E1106" t="str">
        <f>IFERROR(__xludf.DUMMYFUNCTION("""COMPUTED_VALUE"""),"")</f>
        <v/>
      </c>
      <c r="F1106" t="str">
        <f>IFERROR(__xludf.DUMMYFUNCTION("""COMPUTED_VALUE"""),"")</f>
        <v/>
      </c>
      <c r="G1106" t="str">
        <f>IFERROR(__xludf.DUMMYFUNCTION("""COMPUTED_VALUE"""),"")</f>
        <v/>
      </c>
      <c r="H1106" t="str">
        <f>IFERROR(__xludf.DUMMYFUNCTION("""COMPUTED_VALUE"""),"")</f>
        <v/>
      </c>
      <c r="I1106" t="str">
        <f>IFERROR(__xludf.DUMMYFUNCTION("""COMPUTED_VALUE"""),"")</f>
        <v/>
      </c>
      <c r="J1106">
        <f>IFERROR(__xludf.DUMMYFUNCTION("""COMPUTED_VALUE"""),0.0)</f>
        <v>0</v>
      </c>
      <c r="L1106" s="250" t="str">
        <f>IFERROR(__xludf.DUMMYFUNCTION("""COMPUTED_VALUE"""),"")</f>
        <v/>
      </c>
      <c r="M1106" s="250" t="str">
        <f>IFERROR(__xludf.DUMMYFUNCTION("""COMPUTED_VALUE"""),"")</f>
        <v/>
      </c>
      <c r="N1106" s="250" t="str">
        <f>IFERROR(__xludf.DUMMYFUNCTION("""COMPUTED_VALUE"""),"")</f>
        <v/>
      </c>
      <c r="O1106" s="250" t="str">
        <f>IFERROR(__xludf.DUMMYFUNCTION("""COMPUTED_VALUE"""),"")</f>
        <v/>
      </c>
      <c r="P1106" s="250" t="str">
        <f>IFERROR(__xludf.DUMMYFUNCTION("""COMPUTED_VALUE"""),"")</f>
        <v/>
      </c>
      <c r="Q1106" s="250" t="str">
        <f>IFERROR(__xludf.DUMMYFUNCTION("""COMPUTED_VALUE"""),"")</f>
        <v/>
      </c>
      <c r="R1106" s="250" t="str">
        <f>IFERROR(__xludf.DUMMYFUNCTION("""COMPUTED_VALUE"""),"")</f>
        <v/>
      </c>
      <c r="U1106" s="250" t="str">
        <f>IFERROR(__xludf.DUMMYFUNCTION("""COMPUTED_VALUE"""),"#N/A")</f>
        <v>#N/A</v>
      </c>
      <c r="V1106" s="250" t="str">
        <f>IFERROR(__xludf.DUMMYFUNCTION("""COMPUTED_VALUE"""),"#N/A")</f>
        <v>#N/A</v>
      </c>
      <c r="W1106" s="250" t="str">
        <f>IFERROR(__xludf.DUMMYFUNCTION("""COMPUTED_VALUE"""),"#N/A")</f>
        <v>#N/A</v>
      </c>
      <c r="X1106" t="b">
        <f t="shared" ref="X1106:Z1106" si="2188">ISBLANK(K1106)</f>
        <v>1</v>
      </c>
      <c r="Y1106" t="b">
        <f t="shared" si="2188"/>
        <v>0</v>
      </c>
      <c r="Z1106" t="b">
        <f t="shared" si="2188"/>
        <v>0</v>
      </c>
      <c r="AA1106">
        <f t="shared" ref="AA1106:AC1106" si="2189">IF(X1106=FALSE,1,0)</f>
        <v>0</v>
      </c>
      <c r="AB1106">
        <f t="shared" si="2189"/>
        <v>1</v>
      </c>
      <c r="AC1106">
        <f t="shared" si="2189"/>
        <v>1</v>
      </c>
      <c r="AD1106">
        <f t="shared" si="6"/>
        <v>2</v>
      </c>
      <c r="AE1106">
        <f t="shared" si="7"/>
        <v>1</v>
      </c>
    </row>
    <row r="1107">
      <c r="B1107" t="str">
        <f>IFERROR(__xludf.DUMMYFUNCTION("""COMPUTED_VALUE"""),"")</f>
        <v/>
      </c>
      <c r="C1107" t="str">
        <f>IFERROR(__xludf.DUMMYFUNCTION("""COMPUTED_VALUE"""),"")</f>
        <v/>
      </c>
      <c r="D1107" t="str">
        <f>IFERROR(__xludf.DUMMYFUNCTION("""COMPUTED_VALUE"""),"")</f>
        <v/>
      </c>
      <c r="E1107" t="str">
        <f>IFERROR(__xludf.DUMMYFUNCTION("""COMPUTED_VALUE"""),"")</f>
        <v/>
      </c>
      <c r="F1107" t="str">
        <f>IFERROR(__xludf.DUMMYFUNCTION("""COMPUTED_VALUE"""),"")</f>
        <v/>
      </c>
      <c r="G1107" t="str">
        <f>IFERROR(__xludf.DUMMYFUNCTION("""COMPUTED_VALUE"""),"")</f>
        <v/>
      </c>
      <c r="H1107" t="str">
        <f>IFERROR(__xludf.DUMMYFUNCTION("""COMPUTED_VALUE"""),"")</f>
        <v/>
      </c>
      <c r="I1107" t="str">
        <f>IFERROR(__xludf.DUMMYFUNCTION("""COMPUTED_VALUE"""),"")</f>
        <v/>
      </c>
      <c r="J1107">
        <f>IFERROR(__xludf.DUMMYFUNCTION("""COMPUTED_VALUE"""),0.0)</f>
        <v>0</v>
      </c>
      <c r="L1107" s="250" t="str">
        <f>IFERROR(__xludf.DUMMYFUNCTION("""COMPUTED_VALUE"""),"")</f>
        <v/>
      </c>
      <c r="M1107" s="250" t="str">
        <f>IFERROR(__xludf.DUMMYFUNCTION("""COMPUTED_VALUE"""),"")</f>
        <v/>
      </c>
      <c r="N1107" s="250" t="str">
        <f>IFERROR(__xludf.DUMMYFUNCTION("""COMPUTED_VALUE"""),"")</f>
        <v/>
      </c>
      <c r="O1107" s="250" t="str">
        <f>IFERROR(__xludf.DUMMYFUNCTION("""COMPUTED_VALUE"""),"")</f>
        <v/>
      </c>
      <c r="P1107" s="250" t="str">
        <f>IFERROR(__xludf.DUMMYFUNCTION("""COMPUTED_VALUE"""),"")</f>
        <v/>
      </c>
      <c r="Q1107" s="250" t="str">
        <f>IFERROR(__xludf.DUMMYFUNCTION("""COMPUTED_VALUE"""),"")</f>
        <v/>
      </c>
      <c r="R1107" s="250" t="str">
        <f>IFERROR(__xludf.DUMMYFUNCTION("""COMPUTED_VALUE"""),"")</f>
        <v/>
      </c>
      <c r="U1107" s="250" t="str">
        <f>IFERROR(__xludf.DUMMYFUNCTION("""COMPUTED_VALUE"""),"#N/A")</f>
        <v>#N/A</v>
      </c>
      <c r="V1107" s="250" t="str">
        <f>IFERROR(__xludf.DUMMYFUNCTION("""COMPUTED_VALUE"""),"#N/A")</f>
        <v>#N/A</v>
      </c>
      <c r="W1107" s="250" t="str">
        <f>IFERROR(__xludf.DUMMYFUNCTION("""COMPUTED_VALUE"""),"#N/A")</f>
        <v>#N/A</v>
      </c>
      <c r="X1107" t="b">
        <f t="shared" ref="X1107:Z1107" si="2190">ISBLANK(K1107)</f>
        <v>1</v>
      </c>
      <c r="Y1107" t="b">
        <f t="shared" si="2190"/>
        <v>0</v>
      </c>
      <c r="Z1107" t="b">
        <f t="shared" si="2190"/>
        <v>0</v>
      </c>
      <c r="AA1107">
        <f t="shared" ref="AA1107:AC1107" si="2191">IF(X1107=FALSE,1,0)</f>
        <v>0</v>
      </c>
      <c r="AB1107">
        <f t="shared" si="2191"/>
        <v>1</v>
      </c>
      <c r="AC1107">
        <f t="shared" si="2191"/>
        <v>1</v>
      </c>
      <c r="AD1107">
        <f t="shared" si="6"/>
        <v>2</v>
      </c>
      <c r="AE1107">
        <f t="shared" si="7"/>
        <v>1</v>
      </c>
    </row>
    <row r="1108">
      <c r="B1108" t="str">
        <f>IFERROR(__xludf.DUMMYFUNCTION("""COMPUTED_VALUE"""),"")</f>
        <v/>
      </c>
      <c r="C1108" t="str">
        <f>IFERROR(__xludf.DUMMYFUNCTION("""COMPUTED_VALUE"""),"")</f>
        <v/>
      </c>
      <c r="D1108" t="str">
        <f>IFERROR(__xludf.DUMMYFUNCTION("""COMPUTED_VALUE"""),"")</f>
        <v/>
      </c>
      <c r="E1108" t="str">
        <f>IFERROR(__xludf.DUMMYFUNCTION("""COMPUTED_VALUE"""),"")</f>
        <v/>
      </c>
      <c r="F1108" t="str">
        <f>IFERROR(__xludf.DUMMYFUNCTION("""COMPUTED_VALUE"""),"")</f>
        <v/>
      </c>
      <c r="G1108" t="str">
        <f>IFERROR(__xludf.DUMMYFUNCTION("""COMPUTED_VALUE"""),"")</f>
        <v/>
      </c>
      <c r="H1108" t="str">
        <f>IFERROR(__xludf.DUMMYFUNCTION("""COMPUTED_VALUE"""),"")</f>
        <v/>
      </c>
      <c r="I1108" t="str">
        <f>IFERROR(__xludf.DUMMYFUNCTION("""COMPUTED_VALUE"""),"")</f>
        <v/>
      </c>
      <c r="J1108">
        <f>IFERROR(__xludf.DUMMYFUNCTION("""COMPUTED_VALUE"""),0.0)</f>
        <v>0</v>
      </c>
      <c r="L1108" s="250" t="str">
        <f>IFERROR(__xludf.DUMMYFUNCTION("""COMPUTED_VALUE"""),"")</f>
        <v/>
      </c>
      <c r="M1108" s="250" t="str">
        <f>IFERROR(__xludf.DUMMYFUNCTION("""COMPUTED_VALUE"""),"")</f>
        <v/>
      </c>
      <c r="N1108" s="250" t="str">
        <f>IFERROR(__xludf.DUMMYFUNCTION("""COMPUTED_VALUE"""),"")</f>
        <v/>
      </c>
      <c r="O1108" s="250" t="str">
        <f>IFERROR(__xludf.DUMMYFUNCTION("""COMPUTED_VALUE"""),"")</f>
        <v/>
      </c>
      <c r="P1108" s="250" t="str">
        <f>IFERROR(__xludf.DUMMYFUNCTION("""COMPUTED_VALUE"""),"")</f>
        <v/>
      </c>
      <c r="Q1108" s="250" t="str">
        <f>IFERROR(__xludf.DUMMYFUNCTION("""COMPUTED_VALUE"""),"")</f>
        <v/>
      </c>
      <c r="R1108" s="250" t="str">
        <f>IFERROR(__xludf.DUMMYFUNCTION("""COMPUTED_VALUE"""),"")</f>
        <v/>
      </c>
      <c r="U1108" s="250" t="str">
        <f>IFERROR(__xludf.DUMMYFUNCTION("""COMPUTED_VALUE"""),"#N/A")</f>
        <v>#N/A</v>
      </c>
      <c r="V1108" s="250" t="str">
        <f>IFERROR(__xludf.DUMMYFUNCTION("""COMPUTED_VALUE"""),"#N/A")</f>
        <v>#N/A</v>
      </c>
      <c r="W1108" s="250" t="str">
        <f>IFERROR(__xludf.DUMMYFUNCTION("""COMPUTED_VALUE"""),"#N/A")</f>
        <v>#N/A</v>
      </c>
      <c r="X1108" t="b">
        <f t="shared" ref="X1108:Z1108" si="2192">ISBLANK(K1108)</f>
        <v>1</v>
      </c>
      <c r="Y1108" t="b">
        <f t="shared" si="2192"/>
        <v>0</v>
      </c>
      <c r="Z1108" t="b">
        <f t="shared" si="2192"/>
        <v>0</v>
      </c>
      <c r="AA1108">
        <f t="shared" ref="AA1108:AC1108" si="2193">IF(X1108=FALSE,1,0)</f>
        <v>0</v>
      </c>
      <c r="AB1108">
        <f t="shared" si="2193"/>
        <v>1</v>
      </c>
      <c r="AC1108">
        <f t="shared" si="2193"/>
        <v>1</v>
      </c>
      <c r="AD1108">
        <f t="shared" si="6"/>
        <v>2</v>
      </c>
      <c r="AE1108">
        <f t="shared" si="7"/>
        <v>1</v>
      </c>
    </row>
    <row r="1109">
      <c r="B1109" t="str">
        <f>IFERROR(__xludf.DUMMYFUNCTION("""COMPUTED_VALUE"""),"")</f>
        <v/>
      </c>
      <c r="C1109" t="str">
        <f>IFERROR(__xludf.DUMMYFUNCTION("""COMPUTED_VALUE"""),"")</f>
        <v/>
      </c>
      <c r="D1109" t="str">
        <f>IFERROR(__xludf.DUMMYFUNCTION("""COMPUTED_VALUE"""),"")</f>
        <v/>
      </c>
      <c r="E1109" t="str">
        <f>IFERROR(__xludf.DUMMYFUNCTION("""COMPUTED_VALUE"""),"")</f>
        <v/>
      </c>
      <c r="F1109" t="str">
        <f>IFERROR(__xludf.DUMMYFUNCTION("""COMPUTED_VALUE"""),"")</f>
        <v/>
      </c>
      <c r="G1109" t="str">
        <f>IFERROR(__xludf.DUMMYFUNCTION("""COMPUTED_VALUE"""),"")</f>
        <v/>
      </c>
      <c r="H1109" t="str">
        <f>IFERROR(__xludf.DUMMYFUNCTION("""COMPUTED_VALUE"""),"")</f>
        <v/>
      </c>
      <c r="I1109" t="str">
        <f>IFERROR(__xludf.DUMMYFUNCTION("""COMPUTED_VALUE"""),"")</f>
        <v/>
      </c>
      <c r="J1109">
        <f>IFERROR(__xludf.DUMMYFUNCTION("""COMPUTED_VALUE"""),0.0)</f>
        <v>0</v>
      </c>
      <c r="L1109" s="250" t="str">
        <f>IFERROR(__xludf.DUMMYFUNCTION("""COMPUTED_VALUE"""),"")</f>
        <v/>
      </c>
      <c r="M1109" s="250" t="str">
        <f>IFERROR(__xludf.DUMMYFUNCTION("""COMPUTED_VALUE"""),"")</f>
        <v/>
      </c>
      <c r="N1109" s="250" t="str">
        <f>IFERROR(__xludf.DUMMYFUNCTION("""COMPUTED_VALUE"""),"")</f>
        <v/>
      </c>
      <c r="O1109" s="250" t="str">
        <f>IFERROR(__xludf.DUMMYFUNCTION("""COMPUTED_VALUE"""),"")</f>
        <v/>
      </c>
      <c r="P1109" s="250" t="str">
        <f>IFERROR(__xludf.DUMMYFUNCTION("""COMPUTED_VALUE"""),"")</f>
        <v/>
      </c>
      <c r="Q1109" s="250" t="str">
        <f>IFERROR(__xludf.DUMMYFUNCTION("""COMPUTED_VALUE"""),"")</f>
        <v/>
      </c>
      <c r="R1109" s="250" t="str">
        <f>IFERROR(__xludf.DUMMYFUNCTION("""COMPUTED_VALUE"""),"")</f>
        <v/>
      </c>
      <c r="U1109" s="250" t="str">
        <f>IFERROR(__xludf.DUMMYFUNCTION("""COMPUTED_VALUE"""),"#N/A")</f>
        <v>#N/A</v>
      </c>
      <c r="V1109" s="250" t="str">
        <f>IFERROR(__xludf.DUMMYFUNCTION("""COMPUTED_VALUE"""),"#N/A")</f>
        <v>#N/A</v>
      </c>
      <c r="W1109" s="250" t="str">
        <f>IFERROR(__xludf.DUMMYFUNCTION("""COMPUTED_VALUE"""),"#N/A")</f>
        <v>#N/A</v>
      </c>
      <c r="X1109" t="b">
        <f t="shared" ref="X1109:Z1109" si="2194">ISBLANK(K1109)</f>
        <v>1</v>
      </c>
      <c r="Y1109" t="b">
        <f t="shared" si="2194"/>
        <v>0</v>
      </c>
      <c r="Z1109" t="b">
        <f t="shared" si="2194"/>
        <v>0</v>
      </c>
      <c r="AA1109">
        <f t="shared" ref="AA1109:AC1109" si="2195">IF(X1109=FALSE,1,0)</f>
        <v>0</v>
      </c>
      <c r="AB1109">
        <f t="shared" si="2195"/>
        <v>1</v>
      </c>
      <c r="AC1109">
        <f t="shared" si="2195"/>
        <v>1</v>
      </c>
      <c r="AD1109">
        <f t="shared" si="6"/>
        <v>2</v>
      </c>
      <c r="AE1109">
        <f t="shared" si="7"/>
        <v>1</v>
      </c>
    </row>
    <row r="1110">
      <c r="B1110" t="str">
        <f>IFERROR(__xludf.DUMMYFUNCTION("""COMPUTED_VALUE"""),"")</f>
        <v/>
      </c>
      <c r="C1110" t="str">
        <f>IFERROR(__xludf.DUMMYFUNCTION("""COMPUTED_VALUE"""),"")</f>
        <v/>
      </c>
      <c r="D1110" t="str">
        <f>IFERROR(__xludf.DUMMYFUNCTION("""COMPUTED_VALUE"""),"")</f>
        <v/>
      </c>
      <c r="E1110" t="str">
        <f>IFERROR(__xludf.DUMMYFUNCTION("""COMPUTED_VALUE"""),"")</f>
        <v/>
      </c>
      <c r="F1110" t="str">
        <f>IFERROR(__xludf.DUMMYFUNCTION("""COMPUTED_VALUE"""),"")</f>
        <v/>
      </c>
      <c r="G1110" t="str">
        <f>IFERROR(__xludf.DUMMYFUNCTION("""COMPUTED_VALUE"""),"")</f>
        <v/>
      </c>
      <c r="H1110" t="str">
        <f>IFERROR(__xludf.DUMMYFUNCTION("""COMPUTED_VALUE"""),"")</f>
        <v/>
      </c>
      <c r="I1110" t="str">
        <f>IFERROR(__xludf.DUMMYFUNCTION("""COMPUTED_VALUE"""),"")</f>
        <v/>
      </c>
      <c r="J1110">
        <f>IFERROR(__xludf.DUMMYFUNCTION("""COMPUTED_VALUE"""),0.0)</f>
        <v>0</v>
      </c>
      <c r="L1110" s="250" t="str">
        <f>IFERROR(__xludf.DUMMYFUNCTION("""COMPUTED_VALUE"""),"")</f>
        <v/>
      </c>
      <c r="M1110" s="250" t="str">
        <f>IFERROR(__xludf.DUMMYFUNCTION("""COMPUTED_VALUE"""),"")</f>
        <v/>
      </c>
      <c r="N1110" s="250" t="str">
        <f>IFERROR(__xludf.DUMMYFUNCTION("""COMPUTED_VALUE"""),"")</f>
        <v/>
      </c>
      <c r="O1110" s="250" t="str">
        <f>IFERROR(__xludf.DUMMYFUNCTION("""COMPUTED_VALUE"""),"")</f>
        <v/>
      </c>
      <c r="P1110" s="250" t="str">
        <f>IFERROR(__xludf.DUMMYFUNCTION("""COMPUTED_VALUE"""),"")</f>
        <v/>
      </c>
      <c r="Q1110" s="250" t="str">
        <f>IFERROR(__xludf.DUMMYFUNCTION("""COMPUTED_VALUE"""),"")</f>
        <v/>
      </c>
      <c r="R1110" s="250" t="str">
        <f>IFERROR(__xludf.DUMMYFUNCTION("""COMPUTED_VALUE"""),"")</f>
        <v/>
      </c>
      <c r="U1110" s="250" t="str">
        <f>IFERROR(__xludf.DUMMYFUNCTION("""COMPUTED_VALUE"""),"#N/A")</f>
        <v>#N/A</v>
      </c>
      <c r="V1110" s="250" t="str">
        <f>IFERROR(__xludf.DUMMYFUNCTION("""COMPUTED_VALUE"""),"#N/A")</f>
        <v>#N/A</v>
      </c>
      <c r="W1110" s="250" t="str">
        <f>IFERROR(__xludf.DUMMYFUNCTION("""COMPUTED_VALUE"""),"#N/A")</f>
        <v>#N/A</v>
      </c>
      <c r="X1110" t="b">
        <f t="shared" ref="X1110:Z1110" si="2196">ISBLANK(K1110)</f>
        <v>1</v>
      </c>
      <c r="Y1110" t="b">
        <f t="shared" si="2196"/>
        <v>0</v>
      </c>
      <c r="Z1110" t="b">
        <f t="shared" si="2196"/>
        <v>0</v>
      </c>
      <c r="AA1110">
        <f t="shared" ref="AA1110:AC1110" si="2197">IF(X1110=FALSE,1,0)</f>
        <v>0</v>
      </c>
      <c r="AB1110">
        <f t="shared" si="2197"/>
        <v>1</v>
      </c>
      <c r="AC1110">
        <f t="shared" si="2197"/>
        <v>1</v>
      </c>
      <c r="AD1110">
        <f t="shared" si="6"/>
        <v>2</v>
      </c>
      <c r="AE1110">
        <f t="shared" si="7"/>
        <v>1</v>
      </c>
    </row>
    <row r="1111">
      <c r="B1111" t="str">
        <f>IFERROR(__xludf.DUMMYFUNCTION("""COMPUTED_VALUE"""),"")</f>
        <v/>
      </c>
      <c r="C1111" t="str">
        <f>IFERROR(__xludf.DUMMYFUNCTION("""COMPUTED_VALUE"""),"")</f>
        <v/>
      </c>
      <c r="D1111" t="str">
        <f>IFERROR(__xludf.DUMMYFUNCTION("""COMPUTED_VALUE"""),"")</f>
        <v/>
      </c>
      <c r="E1111" t="str">
        <f>IFERROR(__xludf.DUMMYFUNCTION("""COMPUTED_VALUE"""),"")</f>
        <v/>
      </c>
      <c r="F1111" t="str">
        <f>IFERROR(__xludf.DUMMYFUNCTION("""COMPUTED_VALUE"""),"")</f>
        <v/>
      </c>
      <c r="G1111" t="str">
        <f>IFERROR(__xludf.DUMMYFUNCTION("""COMPUTED_VALUE"""),"")</f>
        <v/>
      </c>
      <c r="H1111" t="str">
        <f>IFERROR(__xludf.DUMMYFUNCTION("""COMPUTED_VALUE"""),"")</f>
        <v/>
      </c>
      <c r="I1111" t="str">
        <f>IFERROR(__xludf.DUMMYFUNCTION("""COMPUTED_VALUE"""),"")</f>
        <v/>
      </c>
      <c r="J1111">
        <f>IFERROR(__xludf.DUMMYFUNCTION("""COMPUTED_VALUE"""),0.0)</f>
        <v>0</v>
      </c>
      <c r="L1111" s="250" t="str">
        <f>IFERROR(__xludf.DUMMYFUNCTION("""COMPUTED_VALUE"""),"")</f>
        <v/>
      </c>
      <c r="M1111" s="250" t="str">
        <f>IFERROR(__xludf.DUMMYFUNCTION("""COMPUTED_VALUE"""),"")</f>
        <v/>
      </c>
      <c r="N1111" s="250" t="str">
        <f>IFERROR(__xludf.DUMMYFUNCTION("""COMPUTED_VALUE"""),"")</f>
        <v/>
      </c>
      <c r="O1111" s="250" t="str">
        <f>IFERROR(__xludf.DUMMYFUNCTION("""COMPUTED_VALUE"""),"")</f>
        <v/>
      </c>
      <c r="P1111" s="250" t="str">
        <f>IFERROR(__xludf.DUMMYFUNCTION("""COMPUTED_VALUE"""),"")</f>
        <v/>
      </c>
      <c r="Q1111" s="250" t="str">
        <f>IFERROR(__xludf.DUMMYFUNCTION("""COMPUTED_VALUE"""),"")</f>
        <v/>
      </c>
      <c r="R1111" s="250" t="str">
        <f>IFERROR(__xludf.DUMMYFUNCTION("""COMPUTED_VALUE"""),"")</f>
        <v/>
      </c>
      <c r="U1111" s="250" t="str">
        <f>IFERROR(__xludf.DUMMYFUNCTION("""COMPUTED_VALUE"""),"#N/A")</f>
        <v>#N/A</v>
      </c>
      <c r="V1111" s="250" t="str">
        <f>IFERROR(__xludf.DUMMYFUNCTION("""COMPUTED_VALUE"""),"#N/A")</f>
        <v>#N/A</v>
      </c>
      <c r="W1111" s="250" t="str">
        <f>IFERROR(__xludf.DUMMYFUNCTION("""COMPUTED_VALUE"""),"#N/A")</f>
        <v>#N/A</v>
      </c>
      <c r="X1111" t="b">
        <f t="shared" ref="X1111:Z1111" si="2198">ISBLANK(K1111)</f>
        <v>1</v>
      </c>
      <c r="Y1111" t="b">
        <f t="shared" si="2198"/>
        <v>0</v>
      </c>
      <c r="Z1111" t="b">
        <f t="shared" si="2198"/>
        <v>0</v>
      </c>
      <c r="AA1111">
        <f t="shared" ref="AA1111:AC1111" si="2199">IF(X1111=FALSE,1,0)</f>
        <v>0</v>
      </c>
      <c r="AB1111">
        <f t="shared" si="2199"/>
        <v>1</v>
      </c>
      <c r="AC1111">
        <f t="shared" si="2199"/>
        <v>1</v>
      </c>
      <c r="AD1111">
        <f t="shared" si="6"/>
        <v>2</v>
      </c>
      <c r="AE1111">
        <f t="shared" si="7"/>
        <v>1</v>
      </c>
    </row>
    <row r="1112">
      <c r="B1112" t="str">
        <f>IFERROR(__xludf.DUMMYFUNCTION("""COMPUTED_VALUE"""),"")</f>
        <v/>
      </c>
      <c r="C1112" t="str">
        <f>IFERROR(__xludf.DUMMYFUNCTION("""COMPUTED_VALUE"""),"")</f>
        <v/>
      </c>
      <c r="D1112" t="str">
        <f>IFERROR(__xludf.DUMMYFUNCTION("""COMPUTED_VALUE"""),"")</f>
        <v/>
      </c>
      <c r="E1112" t="str">
        <f>IFERROR(__xludf.DUMMYFUNCTION("""COMPUTED_VALUE"""),"")</f>
        <v/>
      </c>
      <c r="F1112" t="str">
        <f>IFERROR(__xludf.DUMMYFUNCTION("""COMPUTED_VALUE"""),"")</f>
        <v/>
      </c>
      <c r="G1112" t="str">
        <f>IFERROR(__xludf.DUMMYFUNCTION("""COMPUTED_VALUE"""),"")</f>
        <v/>
      </c>
      <c r="H1112" t="str">
        <f>IFERROR(__xludf.DUMMYFUNCTION("""COMPUTED_VALUE"""),"")</f>
        <v/>
      </c>
      <c r="I1112" t="str">
        <f>IFERROR(__xludf.DUMMYFUNCTION("""COMPUTED_VALUE"""),"")</f>
        <v/>
      </c>
      <c r="J1112">
        <f>IFERROR(__xludf.DUMMYFUNCTION("""COMPUTED_VALUE"""),0.0)</f>
        <v>0</v>
      </c>
      <c r="L1112" s="250" t="str">
        <f>IFERROR(__xludf.DUMMYFUNCTION("""COMPUTED_VALUE"""),"")</f>
        <v/>
      </c>
      <c r="M1112" s="250" t="str">
        <f>IFERROR(__xludf.DUMMYFUNCTION("""COMPUTED_VALUE"""),"")</f>
        <v/>
      </c>
      <c r="N1112" s="250" t="str">
        <f>IFERROR(__xludf.DUMMYFUNCTION("""COMPUTED_VALUE"""),"")</f>
        <v/>
      </c>
      <c r="O1112" s="250" t="str">
        <f>IFERROR(__xludf.DUMMYFUNCTION("""COMPUTED_VALUE"""),"")</f>
        <v/>
      </c>
      <c r="P1112" s="250" t="str">
        <f>IFERROR(__xludf.DUMMYFUNCTION("""COMPUTED_VALUE"""),"")</f>
        <v/>
      </c>
      <c r="Q1112" s="250" t="str">
        <f>IFERROR(__xludf.DUMMYFUNCTION("""COMPUTED_VALUE"""),"")</f>
        <v/>
      </c>
      <c r="R1112" s="250" t="str">
        <f>IFERROR(__xludf.DUMMYFUNCTION("""COMPUTED_VALUE"""),"")</f>
        <v/>
      </c>
      <c r="U1112" s="250" t="str">
        <f>IFERROR(__xludf.DUMMYFUNCTION("""COMPUTED_VALUE"""),"#N/A")</f>
        <v>#N/A</v>
      </c>
      <c r="V1112" s="250" t="str">
        <f>IFERROR(__xludf.DUMMYFUNCTION("""COMPUTED_VALUE"""),"#N/A")</f>
        <v>#N/A</v>
      </c>
      <c r="W1112" s="250" t="str">
        <f>IFERROR(__xludf.DUMMYFUNCTION("""COMPUTED_VALUE"""),"#N/A")</f>
        <v>#N/A</v>
      </c>
      <c r="X1112" t="b">
        <f t="shared" ref="X1112:Z1112" si="2200">ISBLANK(K1112)</f>
        <v>1</v>
      </c>
      <c r="Y1112" t="b">
        <f t="shared" si="2200"/>
        <v>0</v>
      </c>
      <c r="Z1112" t="b">
        <f t="shared" si="2200"/>
        <v>0</v>
      </c>
      <c r="AA1112">
        <f t="shared" ref="AA1112:AC1112" si="2201">IF(X1112=FALSE,1,0)</f>
        <v>0</v>
      </c>
      <c r="AB1112">
        <f t="shared" si="2201"/>
        <v>1</v>
      </c>
      <c r="AC1112">
        <f t="shared" si="2201"/>
        <v>1</v>
      </c>
      <c r="AD1112">
        <f t="shared" si="6"/>
        <v>2</v>
      </c>
      <c r="AE1112">
        <f t="shared" si="7"/>
        <v>1</v>
      </c>
    </row>
    <row r="1113">
      <c r="B1113" t="str">
        <f>IFERROR(__xludf.DUMMYFUNCTION("""COMPUTED_VALUE"""),"")</f>
        <v/>
      </c>
      <c r="C1113" t="str">
        <f>IFERROR(__xludf.DUMMYFUNCTION("""COMPUTED_VALUE"""),"")</f>
        <v/>
      </c>
      <c r="D1113" t="str">
        <f>IFERROR(__xludf.DUMMYFUNCTION("""COMPUTED_VALUE"""),"")</f>
        <v/>
      </c>
      <c r="E1113" t="str">
        <f>IFERROR(__xludf.DUMMYFUNCTION("""COMPUTED_VALUE"""),"")</f>
        <v/>
      </c>
      <c r="F1113" t="str">
        <f>IFERROR(__xludf.DUMMYFUNCTION("""COMPUTED_VALUE"""),"")</f>
        <v/>
      </c>
      <c r="G1113" t="str">
        <f>IFERROR(__xludf.DUMMYFUNCTION("""COMPUTED_VALUE"""),"")</f>
        <v/>
      </c>
      <c r="H1113" t="str">
        <f>IFERROR(__xludf.DUMMYFUNCTION("""COMPUTED_VALUE"""),"")</f>
        <v/>
      </c>
      <c r="I1113" t="str">
        <f>IFERROR(__xludf.DUMMYFUNCTION("""COMPUTED_VALUE"""),"")</f>
        <v/>
      </c>
      <c r="J1113">
        <f>IFERROR(__xludf.DUMMYFUNCTION("""COMPUTED_VALUE"""),0.0)</f>
        <v>0</v>
      </c>
      <c r="L1113" s="250" t="str">
        <f>IFERROR(__xludf.DUMMYFUNCTION("""COMPUTED_VALUE"""),"")</f>
        <v/>
      </c>
      <c r="M1113" s="250" t="str">
        <f>IFERROR(__xludf.DUMMYFUNCTION("""COMPUTED_VALUE"""),"")</f>
        <v/>
      </c>
      <c r="N1113" s="250" t="str">
        <f>IFERROR(__xludf.DUMMYFUNCTION("""COMPUTED_VALUE"""),"")</f>
        <v/>
      </c>
      <c r="O1113" s="250" t="str">
        <f>IFERROR(__xludf.DUMMYFUNCTION("""COMPUTED_VALUE"""),"")</f>
        <v/>
      </c>
      <c r="P1113" s="250" t="str">
        <f>IFERROR(__xludf.DUMMYFUNCTION("""COMPUTED_VALUE"""),"")</f>
        <v/>
      </c>
      <c r="Q1113" s="250" t="str">
        <f>IFERROR(__xludf.DUMMYFUNCTION("""COMPUTED_VALUE"""),"")</f>
        <v/>
      </c>
      <c r="R1113" s="250" t="str">
        <f>IFERROR(__xludf.DUMMYFUNCTION("""COMPUTED_VALUE"""),"")</f>
        <v/>
      </c>
      <c r="U1113" s="250" t="str">
        <f>IFERROR(__xludf.DUMMYFUNCTION("""COMPUTED_VALUE"""),"#N/A")</f>
        <v>#N/A</v>
      </c>
      <c r="V1113" s="250" t="str">
        <f>IFERROR(__xludf.DUMMYFUNCTION("""COMPUTED_VALUE"""),"#N/A")</f>
        <v>#N/A</v>
      </c>
      <c r="W1113" s="250" t="str">
        <f>IFERROR(__xludf.DUMMYFUNCTION("""COMPUTED_VALUE"""),"#N/A")</f>
        <v>#N/A</v>
      </c>
      <c r="X1113" t="b">
        <f t="shared" ref="X1113:Z1113" si="2202">ISBLANK(K1113)</f>
        <v>1</v>
      </c>
      <c r="Y1113" t="b">
        <f t="shared" si="2202"/>
        <v>0</v>
      </c>
      <c r="Z1113" t="b">
        <f t="shared" si="2202"/>
        <v>0</v>
      </c>
      <c r="AA1113">
        <f t="shared" ref="AA1113:AC1113" si="2203">IF(X1113=FALSE,1,0)</f>
        <v>0</v>
      </c>
      <c r="AB1113">
        <f t="shared" si="2203"/>
        <v>1</v>
      </c>
      <c r="AC1113">
        <f t="shared" si="2203"/>
        <v>1</v>
      </c>
      <c r="AD1113">
        <f t="shared" si="6"/>
        <v>2</v>
      </c>
      <c r="AE1113">
        <f t="shared" si="7"/>
        <v>1</v>
      </c>
    </row>
    <row r="1114">
      <c r="B1114" t="str">
        <f>IFERROR(__xludf.DUMMYFUNCTION("""COMPUTED_VALUE"""),"")</f>
        <v/>
      </c>
      <c r="C1114" t="str">
        <f>IFERROR(__xludf.DUMMYFUNCTION("""COMPUTED_VALUE"""),"")</f>
        <v/>
      </c>
      <c r="D1114" t="str">
        <f>IFERROR(__xludf.DUMMYFUNCTION("""COMPUTED_VALUE"""),"")</f>
        <v/>
      </c>
      <c r="E1114" t="str">
        <f>IFERROR(__xludf.DUMMYFUNCTION("""COMPUTED_VALUE"""),"")</f>
        <v/>
      </c>
      <c r="F1114" t="str">
        <f>IFERROR(__xludf.DUMMYFUNCTION("""COMPUTED_VALUE"""),"")</f>
        <v/>
      </c>
      <c r="G1114" t="str">
        <f>IFERROR(__xludf.DUMMYFUNCTION("""COMPUTED_VALUE"""),"")</f>
        <v/>
      </c>
      <c r="H1114" t="str">
        <f>IFERROR(__xludf.DUMMYFUNCTION("""COMPUTED_VALUE"""),"")</f>
        <v/>
      </c>
      <c r="I1114" t="str">
        <f>IFERROR(__xludf.DUMMYFUNCTION("""COMPUTED_VALUE"""),"")</f>
        <v/>
      </c>
      <c r="J1114">
        <f>IFERROR(__xludf.DUMMYFUNCTION("""COMPUTED_VALUE"""),0.0)</f>
        <v>0</v>
      </c>
      <c r="L1114" s="250" t="str">
        <f>IFERROR(__xludf.DUMMYFUNCTION("""COMPUTED_VALUE"""),"")</f>
        <v/>
      </c>
      <c r="M1114" s="250" t="str">
        <f>IFERROR(__xludf.DUMMYFUNCTION("""COMPUTED_VALUE"""),"")</f>
        <v/>
      </c>
      <c r="N1114" s="250" t="str">
        <f>IFERROR(__xludf.DUMMYFUNCTION("""COMPUTED_VALUE"""),"")</f>
        <v/>
      </c>
      <c r="O1114" s="250" t="str">
        <f>IFERROR(__xludf.DUMMYFUNCTION("""COMPUTED_VALUE"""),"")</f>
        <v/>
      </c>
      <c r="P1114" s="250" t="str">
        <f>IFERROR(__xludf.DUMMYFUNCTION("""COMPUTED_VALUE"""),"")</f>
        <v/>
      </c>
      <c r="Q1114" s="250" t="str">
        <f>IFERROR(__xludf.DUMMYFUNCTION("""COMPUTED_VALUE"""),"")</f>
        <v/>
      </c>
      <c r="R1114" s="250" t="str">
        <f>IFERROR(__xludf.DUMMYFUNCTION("""COMPUTED_VALUE"""),"")</f>
        <v/>
      </c>
      <c r="U1114" s="250" t="str">
        <f>IFERROR(__xludf.DUMMYFUNCTION("""COMPUTED_VALUE"""),"#N/A")</f>
        <v>#N/A</v>
      </c>
      <c r="V1114" s="250" t="str">
        <f>IFERROR(__xludf.DUMMYFUNCTION("""COMPUTED_VALUE"""),"#N/A")</f>
        <v>#N/A</v>
      </c>
      <c r="W1114" s="250" t="str">
        <f>IFERROR(__xludf.DUMMYFUNCTION("""COMPUTED_VALUE"""),"#N/A")</f>
        <v>#N/A</v>
      </c>
      <c r="X1114" t="b">
        <f t="shared" ref="X1114:Z1114" si="2204">ISBLANK(K1114)</f>
        <v>1</v>
      </c>
      <c r="Y1114" t="b">
        <f t="shared" si="2204"/>
        <v>0</v>
      </c>
      <c r="Z1114" t="b">
        <f t="shared" si="2204"/>
        <v>0</v>
      </c>
      <c r="AA1114">
        <f t="shared" ref="AA1114:AC1114" si="2205">IF(X1114=FALSE,1,0)</f>
        <v>0</v>
      </c>
      <c r="AB1114">
        <f t="shared" si="2205"/>
        <v>1</v>
      </c>
      <c r="AC1114">
        <f t="shared" si="2205"/>
        <v>1</v>
      </c>
      <c r="AD1114">
        <f t="shared" si="6"/>
        <v>2</v>
      </c>
      <c r="AE1114">
        <f t="shared" si="7"/>
        <v>1</v>
      </c>
    </row>
    <row r="1115">
      <c r="B1115" t="str">
        <f>IFERROR(__xludf.DUMMYFUNCTION("""COMPUTED_VALUE"""),"")</f>
        <v/>
      </c>
      <c r="C1115" t="str">
        <f>IFERROR(__xludf.DUMMYFUNCTION("""COMPUTED_VALUE"""),"")</f>
        <v/>
      </c>
      <c r="D1115" t="str">
        <f>IFERROR(__xludf.DUMMYFUNCTION("""COMPUTED_VALUE"""),"")</f>
        <v/>
      </c>
      <c r="E1115" t="str">
        <f>IFERROR(__xludf.DUMMYFUNCTION("""COMPUTED_VALUE"""),"")</f>
        <v/>
      </c>
      <c r="F1115" t="str">
        <f>IFERROR(__xludf.DUMMYFUNCTION("""COMPUTED_VALUE"""),"")</f>
        <v/>
      </c>
      <c r="G1115" t="str">
        <f>IFERROR(__xludf.DUMMYFUNCTION("""COMPUTED_VALUE"""),"")</f>
        <v/>
      </c>
      <c r="H1115" t="str">
        <f>IFERROR(__xludf.DUMMYFUNCTION("""COMPUTED_VALUE"""),"")</f>
        <v/>
      </c>
      <c r="I1115" t="str">
        <f>IFERROR(__xludf.DUMMYFUNCTION("""COMPUTED_VALUE"""),"")</f>
        <v/>
      </c>
      <c r="J1115">
        <f>IFERROR(__xludf.DUMMYFUNCTION("""COMPUTED_VALUE"""),0.0)</f>
        <v>0</v>
      </c>
      <c r="L1115" s="250" t="str">
        <f>IFERROR(__xludf.DUMMYFUNCTION("""COMPUTED_VALUE"""),"")</f>
        <v/>
      </c>
      <c r="M1115" s="250" t="str">
        <f>IFERROR(__xludf.DUMMYFUNCTION("""COMPUTED_VALUE"""),"")</f>
        <v/>
      </c>
      <c r="N1115" s="250" t="str">
        <f>IFERROR(__xludf.DUMMYFUNCTION("""COMPUTED_VALUE"""),"")</f>
        <v/>
      </c>
      <c r="O1115" s="250" t="str">
        <f>IFERROR(__xludf.DUMMYFUNCTION("""COMPUTED_VALUE"""),"")</f>
        <v/>
      </c>
      <c r="P1115" s="250" t="str">
        <f>IFERROR(__xludf.DUMMYFUNCTION("""COMPUTED_VALUE"""),"")</f>
        <v/>
      </c>
      <c r="Q1115" s="250" t="str">
        <f>IFERROR(__xludf.DUMMYFUNCTION("""COMPUTED_VALUE"""),"")</f>
        <v/>
      </c>
      <c r="R1115" s="250" t="str">
        <f>IFERROR(__xludf.DUMMYFUNCTION("""COMPUTED_VALUE"""),"")</f>
        <v/>
      </c>
      <c r="U1115" s="250" t="str">
        <f>IFERROR(__xludf.DUMMYFUNCTION("""COMPUTED_VALUE"""),"#N/A")</f>
        <v>#N/A</v>
      </c>
      <c r="V1115" s="250" t="str">
        <f>IFERROR(__xludf.DUMMYFUNCTION("""COMPUTED_VALUE"""),"#N/A")</f>
        <v>#N/A</v>
      </c>
      <c r="W1115" s="250" t="str">
        <f>IFERROR(__xludf.DUMMYFUNCTION("""COMPUTED_VALUE"""),"#N/A")</f>
        <v>#N/A</v>
      </c>
      <c r="X1115" t="b">
        <f t="shared" ref="X1115:Z1115" si="2206">ISBLANK(K1115)</f>
        <v>1</v>
      </c>
      <c r="Y1115" t="b">
        <f t="shared" si="2206"/>
        <v>0</v>
      </c>
      <c r="Z1115" t="b">
        <f t="shared" si="2206"/>
        <v>0</v>
      </c>
      <c r="AA1115">
        <f t="shared" ref="AA1115:AC1115" si="2207">IF(X1115=FALSE,1,0)</f>
        <v>0</v>
      </c>
      <c r="AB1115">
        <f t="shared" si="2207"/>
        <v>1</v>
      </c>
      <c r="AC1115">
        <f t="shared" si="2207"/>
        <v>1</v>
      </c>
      <c r="AD1115">
        <f t="shared" si="6"/>
        <v>2</v>
      </c>
      <c r="AE1115">
        <f t="shared" si="7"/>
        <v>1</v>
      </c>
    </row>
    <row r="1116">
      <c r="B1116" t="str">
        <f>IFERROR(__xludf.DUMMYFUNCTION("""COMPUTED_VALUE"""),"")</f>
        <v/>
      </c>
      <c r="C1116" t="str">
        <f>IFERROR(__xludf.DUMMYFUNCTION("""COMPUTED_VALUE"""),"")</f>
        <v/>
      </c>
      <c r="D1116" t="str">
        <f>IFERROR(__xludf.DUMMYFUNCTION("""COMPUTED_VALUE"""),"")</f>
        <v/>
      </c>
      <c r="E1116" t="str">
        <f>IFERROR(__xludf.DUMMYFUNCTION("""COMPUTED_VALUE"""),"")</f>
        <v/>
      </c>
      <c r="F1116" t="str">
        <f>IFERROR(__xludf.DUMMYFUNCTION("""COMPUTED_VALUE"""),"")</f>
        <v/>
      </c>
      <c r="G1116" t="str">
        <f>IFERROR(__xludf.DUMMYFUNCTION("""COMPUTED_VALUE"""),"")</f>
        <v/>
      </c>
      <c r="H1116" t="str">
        <f>IFERROR(__xludf.DUMMYFUNCTION("""COMPUTED_VALUE"""),"")</f>
        <v/>
      </c>
      <c r="I1116" t="str">
        <f>IFERROR(__xludf.DUMMYFUNCTION("""COMPUTED_VALUE"""),"")</f>
        <v/>
      </c>
      <c r="J1116">
        <f>IFERROR(__xludf.DUMMYFUNCTION("""COMPUTED_VALUE"""),0.0)</f>
        <v>0</v>
      </c>
      <c r="L1116" s="250" t="str">
        <f>IFERROR(__xludf.DUMMYFUNCTION("""COMPUTED_VALUE"""),"")</f>
        <v/>
      </c>
      <c r="M1116" s="250" t="str">
        <f>IFERROR(__xludf.DUMMYFUNCTION("""COMPUTED_VALUE"""),"")</f>
        <v/>
      </c>
      <c r="N1116" s="250" t="str">
        <f>IFERROR(__xludf.DUMMYFUNCTION("""COMPUTED_VALUE"""),"")</f>
        <v/>
      </c>
      <c r="O1116" s="250" t="str">
        <f>IFERROR(__xludf.DUMMYFUNCTION("""COMPUTED_VALUE"""),"")</f>
        <v/>
      </c>
      <c r="P1116" s="250" t="str">
        <f>IFERROR(__xludf.DUMMYFUNCTION("""COMPUTED_VALUE"""),"")</f>
        <v/>
      </c>
      <c r="Q1116" s="250" t="str">
        <f>IFERROR(__xludf.DUMMYFUNCTION("""COMPUTED_VALUE"""),"")</f>
        <v/>
      </c>
      <c r="R1116" s="250" t="str">
        <f>IFERROR(__xludf.DUMMYFUNCTION("""COMPUTED_VALUE"""),"")</f>
        <v/>
      </c>
      <c r="U1116" s="250" t="str">
        <f>IFERROR(__xludf.DUMMYFUNCTION("""COMPUTED_VALUE"""),"#N/A")</f>
        <v>#N/A</v>
      </c>
      <c r="V1116" s="250" t="str">
        <f>IFERROR(__xludf.DUMMYFUNCTION("""COMPUTED_VALUE"""),"#N/A")</f>
        <v>#N/A</v>
      </c>
      <c r="W1116" s="250" t="str">
        <f>IFERROR(__xludf.DUMMYFUNCTION("""COMPUTED_VALUE"""),"#N/A")</f>
        <v>#N/A</v>
      </c>
      <c r="X1116" t="b">
        <f t="shared" ref="X1116:Z1116" si="2208">ISBLANK(K1116)</f>
        <v>1</v>
      </c>
      <c r="Y1116" t="b">
        <f t="shared" si="2208"/>
        <v>0</v>
      </c>
      <c r="Z1116" t="b">
        <f t="shared" si="2208"/>
        <v>0</v>
      </c>
      <c r="AA1116">
        <f t="shared" ref="AA1116:AC1116" si="2209">IF(X1116=FALSE,1,0)</f>
        <v>0</v>
      </c>
      <c r="AB1116">
        <f t="shared" si="2209"/>
        <v>1</v>
      </c>
      <c r="AC1116">
        <f t="shared" si="2209"/>
        <v>1</v>
      </c>
      <c r="AD1116">
        <f t="shared" si="6"/>
        <v>2</v>
      </c>
      <c r="AE1116">
        <f t="shared" si="7"/>
        <v>1</v>
      </c>
    </row>
    <row r="1117">
      <c r="B1117" t="str">
        <f>IFERROR(__xludf.DUMMYFUNCTION("""COMPUTED_VALUE"""),"")</f>
        <v/>
      </c>
      <c r="C1117" t="str">
        <f>IFERROR(__xludf.DUMMYFUNCTION("""COMPUTED_VALUE"""),"")</f>
        <v/>
      </c>
      <c r="D1117" t="str">
        <f>IFERROR(__xludf.DUMMYFUNCTION("""COMPUTED_VALUE"""),"")</f>
        <v/>
      </c>
      <c r="E1117" t="str">
        <f>IFERROR(__xludf.DUMMYFUNCTION("""COMPUTED_VALUE"""),"")</f>
        <v/>
      </c>
      <c r="F1117" t="str">
        <f>IFERROR(__xludf.DUMMYFUNCTION("""COMPUTED_VALUE"""),"")</f>
        <v/>
      </c>
      <c r="G1117" t="str">
        <f>IFERROR(__xludf.DUMMYFUNCTION("""COMPUTED_VALUE"""),"")</f>
        <v/>
      </c>
      <c r="H1117" t="str">
        <f>IFERROR(__xludf.DUMMYFUNCTION("""COMPUTED_VALUE"""),"")</f>
        <v/>
      </c>
      <c r="I1117" t="str">
        <f>IFERROR(__xludf.DUMMYFUNCTION("""COMPUTED_VALUE"""),"")</f>
        <v/>
      </c>
      <c r="J1117">
        <f>IFERROR(__xludf.DUMMYFUNCTION("""COMPUTED_VALUE"""),0.0)</f>
        <v>0</v>
      </c>
      <c r="L1117" s="250" t="str">
        <f>IFERROR(__xludf.DUMMYFUNCTION("""COMPUTED_VALUE"""),"")</f>
        <v/>
      </c>
      <c r="M1117" s="250" t="str">
        <f>IFERROR(__xludf.DUMMYFUNCTION("""COMPUTED_VALUE"""),"")</f>
        <v/>
      </c>
      <c r="N1117" s="250" t="str">
        <f>IFERROR(__xludf.DUMMYFUNCTION("""COMPUTED_VALUE"""),"")</f>
        <v/>
      </c>
      <c r="O1117" s="250" t="str">
        <f>IFERROR(__xludf.DUMMYFUNCTION("""COMPUTED_VALUE"""),"")</f>
        <v/>
      </c>
      <c r="P1117" s="250" t="str">
        <f>IFERROR(__xludf.DUMMYFUNCTION("""COMPUTED_VALUE"""),"")</f>
        <v/>
      </c>
      <c r="Q1117" s="250" t="str">
        <f>IFERROR(__xludf.DUMMYFUNCTION("""COMPUTED_VALUE"""),"")</f>
        <v/>
      </c>
      <c r="R1117" s="250" t="str">
        <f>IFERROR(__xludf.DUMMYFUNCTION("""COMPUTED_VALUE"""),"")</f>
        <v/>
      </c>
      <c r="U1117" s="250" t="str">
        <f>IFERROR(__xludf.DUMMYFUNCTION("""COMPUTED_VALUE"""),"#N/A")</f>
        <v>#N/A</v>
      </c>
      <c r="V1117" s="250" t="str">
        <f>IFERROR(__xludf.DUMMYFUNCTION("""COMPUTED_VALUE"""),"#N/A")</f>
        <v>#N/A</v>
      </c>
      <c r="W1117" s="250" t="str">
        <f>IFERROR(__xludf.DUMMYFUNCTION("""COMPUTED_VALUE"""),"#N/A")</f>
        <v>#N/A</v>
      </c>
      <c r="X1117" t="b">
        <f t="shared" ref="X1117:Z1117" si="2210">ISBLANK(K1117)</f>
        <v>1</v>
      </c>
      <c r="Y1117" t="b">
        <f t="shared" si="2210"/>
        <v>0</v>
      </c>
      <c r="Z1117" t="b">
        <f t="shared" si="2210"/>
        <v>0</v>
      </c>
      <c r="AA1117">
        <f t="shared" ref="AA1117:AC1117" si="2211">IF(X1117=FALSE,1,0)</f>
        <v>0</v>
      </c>
      <c r="AB1117">
        <f t="shared" si="2211"/>
        <v>1</v>
      </c>
      <c r="AC1117">
        <f t="shared" si="2211"/>
        <v>1</v>
      </c>
      <c r="AD1117">
        <f t="shared" si="6"/>
        <v>2</v>
      </c>
      <c r="AE1117">
        <f t="shared" si="7"/>
        <v>1</v>
      </c>
    </row>
    <row r="1118">
      <c r="B1118" t="str">
        <f>IFERROR(__xludf.DUMMYFUNCTION("""COMPUTED_VALUE"""),"")</f>
        <v/>
      </c>
      <c r="C1118" t="str">
        <f>IFERROR(__xludf.DUMMYFUNCTION("""COMPUTED_VALUE"""),"")</f>
        <v/>
      </c>
      <c r="D1118" t="str">
        <f>IFERROR(__xludf.DUMMYFUNCTION("""COMPUTED_VALUE"""),"")</f>
        <v/>
      </c>
      <c r="E1118" t="str">
        <f>IFERROR(__xludf.DUMMYFUNCTION("""COMPUTED_VALUE"""),"")</f>
        <v/>
      </c>
      <c r="F1118" t="str">
        <f>IFERROR(__xludf.DUMMYFUNCTION("""COMPUTED_VALUE"""),"")</f>
        <v/>
      </c>
      <c r="G1118" t="str">
        <f>IFERROR(__xludf.DUMMYFUNCTION("""COMPUTED_VALUE"""),"")</f>
        <v/>
      </c>
      <c r="H1118" t="str">
        <f>IFERROR(__xludf.DUMMYFUNCTION("""COMPUTED_VALUE"""),"")</f>
        <v/>
      </c>
      <c r="I1118" t="str">
        <f>IFERROR(__xludf.DUMMYFUNCTION("""COMPUTED_VALUE"""),"")</f>
        <v/>
      </c>
      <c r="J1118">
        <f>IFERROR(__xludf.DUMMYFUNCTION("""COMPUTED_VALUE"""),0.0)</f>
        <v>0</v>
      </c>
      <c r="L1118" s="250" t="str">
        <f>IFERROR(__xludf.DUMMYFUNCTION("""COMPUTED_VALUE"""),"")</f>
        <v/>
      </c>
      <c r="M1118" s="250" t="str">
        <f>IFERROR(__xludf.DUMMYFUNCTION("""COMPUTED_VALUE"""),"")</f>
        <v/>
      </c>
      <c r="N1118" s="250" t="str">
        <f>IFERROR(__xludf.DUMMYFUNCTION("""COMPUTED_VALUE"""),"")</f>
        <v/>
      </c>
      <c r="O1118" s="250" t="str">
        <f>IFERROR(__xludf.DUMMYFUNCTION("""COMPUTED_VALUE"""),"")</f>
        <v/>
      </c>
      <c r="P1118" s="250" t="str">
        <f>IFERROR(__xludf.DUMMYFUNCTION("""COMPUTED_VALUE"""),"")</f>
        <v/>
      </c>
      <c r="Q1118" s="250" t="str">
        <f>IFERROR(__xludf.DUMMYFUNCTION("""COMPUTED_VALUE"""),"")</f>
        <v/>
      </c>
      <c r="R1118" s="250" t="str">
        <f>IFERROR(__xludf.DUMMYFUNCTION("""COMPUTED_VALUE"""),"")</f>
        <v/>
      </c>
      <c r="U1118" s="250" t="str">
        <f>IFERROR(__xludf.DUMMYFUNCTION("""COMPUTED_VALUE"""),"#N/A")</f>
        <v>#N/A</v>
      </c>
      <c r="V1118" s="250" t="str">
        <f>IFERROR(__xludf.DUMMYFUNCTION("""COMPUTED_VALUE"""),"#N/A")</f>
        <v>#N/A</v>
      </c>
      <c r="W1118" s="250" t="str">
        <f>IFERROR(__xludf.DUMMYFUNCTION("""COMPUTED_VALUE"""),"#N/A")</f>
        <v>#N/A</v>
      </c>
      <c r="X1118" t="b">
        <f t="shared" ref="X1118:Z1118" si="2212">ISBLANK(K1118)</f>
        <v>1</v>
      </c>
      <c r="Y1118" t="b">
        <f t="shared" si="2212"/>
        <v>0</v>
      </c>
      <c r="Z1118" t="b">
        <f t="shared" si="2212"/>
        <v>0</v>
      </c>
      <c r="AA1118">
        <f t="shared" ref="AA1118:AC1118" si="2213">IF(X1118=FALSE,1,0)</f>
        <v>0</v>
      </c>
      <c r="AB1118">
        <f t="shared" si="2213"/>
        <v>1</v>
      </c>
      <c r="AC1118">
        <f t="shared" si="2213"/>
        <v>1</v>
      </c>
      <c r="AD1118">
        <f t="shared" si="6"/>
        <v>2</v>
      </c>
      <c r="AE1118">
        <f t="shared" si="7"/>
        <v>1</v>
      </c>
    </row>
    <row r="1119">
      <c r="B1119" t="str">
        <f>IFERROR(__xludf.DUMMYFUNCTION("""COMPUTED_VALUE"""),"")</f>
        <v/>
      </c>
      <c r="C1119" t="str">
        <f>IFERROR(__xludf.DUMMYFUNCTION("""COMPUTED_VALUE"""),"")</f>
        <v/>
      </c>
      <c r="D1119" t="str">
        <f>IFERROR(__xludf.DUMMYFUNCTION("""COMPUTED_VALUE"""),"")</f>
        <v/>
      </c>
      <c r="E1119" t="str">
        <f>IFERROR(__xludf.DUMMYFUNCTION("""COMPUTED_VALUE"""),"")</f>
        <v/>
      </c>
      <c r="F1119" t="str">
        <f>IFERROR(__xludf.DUMMYFUNCTION("""COMPUTED_VALUE"""),"")</f>
        <v/>
      </c>
      <c r="G1119" t="str">
        <f>IFERROR(__xludf.DUMMYFUNCTION("""COMPUTED_VALUE"""),"")</f>
        <v/>
      </c>
      <c r="H1119" t="str">
        <f>IFERROR(__xludf.DUMMYFUNCTION("""COMPUTED_VALUE"""),"")</f>
        <v/>
      </c>
      <c r="I1119" t="str">
        <f>IFERROR(__xludf.DUMMYFUNCTION("""COMPUTED_VALUE"""),"")</f>
        <v/>
      </c>
      <c r="J1119">
        <f>IFERROR(__xludf.DUMMYFUNCTION("""COMPUTED_VALUE"""),0.0)</f>
        <v>0</v>
      </c>
      <c r="L1119" s="250" t="str">
        <f>IFERROR(__xludf.DUMMYFUNCTION("""COMPUTED_VALUE"""),"")</f>
        <v/>
      </c>
      <c r="M1119" s="250" t="str">
        <f>IFERROR(__xludf.DUMMYFUNCTION("""COMPUTED_VALUE"""),"")</f>
        <v/>
      </c>
      <c r="N1119" s="250" t="str">
        <f>IFERROR(__xludf.DUMMYFUNCTION("""COMPUTED_VALUE"""),"")</f>
        <v/>
      </c>
      <c r="O1119" s="250" t="str">
        <f>IFERROR(__xludf.DUMMYFUNCTION("""COMPUTED_VALUE"""),"")</f>
        <v/>
      </c>
      <c r="P1119" s="250" t="str">
        <f>IFERROR(__xludf.DUMMYFUNCTION("""COMPUTED_VALUE"""),"")</f>
        <v/>
      </c>
      <c r="Q1119" s="250" t="str">
        <f>IFERROR(__xludf.DUMMYFUNCTION("""COMPUTED_VALUE"""),"")</f>
        <v/>
      </c>
      <c r="R1119" s="250" t="str">
        <f>IFERROR(__xludf.DUMMYFUNCTION("""COMPUTED_VALUE"""),"")</f>
        <v/>
      </c>
      <c r="U1119" s="250" t="str">
        <f>IFERROR(__xludf.DUMMYFUNCTION("""COMPUTED_VALUE"""),"#N/A")</f>
        <v>#N/A</v>
      </c>
      <c r="V1119" s="250" t="str">
        <f>IFERROR(__xludf.DUMMYFUNCTION("""COMPUTED_VALUE"""),"#N/A")</f>
        <v>#N/A</v>
      </c>
      <c r="W1119" s="250" t="str">
        <f>IFERROR(__xludf.DUMMYFUNCTION("""COMPUTED_VALUE"""),"#N/A")</f>
        <v>#N/A</v>
      </c>
      <c r="X1119" t="b">
        <f t="shared" ref="X1119:Z1119" si="2214">ISBLANK(K1119)</f>
        <v>1</v>
      </c>
      <c r="Y1119" t="b">
        <f t="shared" si="2214"/>
        <v>0</v>
      </c>
      <c r="Z1119" t="b">
        <f t="shared" si="2214"/>
        <v>0</v>
      </c>
      <c r="AA1119">
        <f t="shared" ref="AA1119:AC1119" si="2215">IF(X1119=FALSE,1,0)</f>
        <v>0</v>
      </c>
      <c r="AB1119">
        <f t="shared" si="2215"/>
        <v>1</v>
      </c>
      <c r="AC1119">
        <f t="shared" si="2215"/>
        <v>1</v>
      </c>
      <c r="AD1119">
        <f t="shared" si="6"/>
        <v>2</v>
      </c>
      <c r="AE1119">
        <f t="shared" si="7"/>
        <v>1</v>
      </c>
    </row>
    <row r="1120">
      <c r="B1120" t="str">
        <f>IFERROR(__xludf.DUMMYFUNCTION("""COMPUTED_VALUE"""),"")</f>
        <v/>
      </c>
      <c r="C1120" t="str">
        <f>IFERROR(__xludf.DUMMYFUNCTION("""COMPUTED_VALUE"""),"")</f>
        <v/>
      </c>
      <c r="D1120" t="str">
        <f>IFERROR(__xludf.DUMMYFUNCTION("""COMPUTED_VALUE"""),"")</f>
        <v/>
      </c>
      <c r="E1120" t="str">
        <f>IFERROR(__xludf.DUMMYFUNCTION("""COMPUTED_VALUE"""),"")</f>
        <v/>
      </c>
      <c r="F1120" t="str">
        <f>IFERROR(__xludf.DUMMYFUNCTION("""COMPUTED_VALUE"""),"")</f>
        <v/>
      </c>
      <c r="G1120" t="str">
        <f>IFERROR(__xludf.DUMMYFUNCTION("""COMPUTED_VALUE"""),"")</f>
        <v/>
      </c>
      <c r="H1120" t="str">
        <f>IFERROR(__xludf.DUMMYFUNCTION("""COMPUTED_VALUE"""),"")</f>
        <v/>
      </c>
      <c r="I1120" t="str">
        <f>IFERROR(__xludf.DUMMYFUNCTION("""COMPUTED_VALUE"""),"")</f>
        <v/>
      </c>
      <c r="J1120">
        <f>IFERROR(__xludf.DUMMYFUNCTION("""COMPUTED_VALUE"""),0.0)</f>
        <v>0</v>
      </c>
      <c r="L1120" s="250" t="str">
        <f>IFERROR(__xludf.DUMMYFUNCTION("""COMPUTED_VALUE"""),"")</f>
        <v/>
      </c>
      <c r="M1120" s="250" t="str">
        <f>IFERROR(__xludf.DUMMYFUNCTION("""COMPUTED_VALUE"""),"")</f>
        <v/>
      </c>
      <c r="N1120" s="250" t="str">
        <f>IFERROR(__xludf.DUMMYFUNCTION("""COMPUTED_VALUE"""),"")</f>
        <v/>
      </c>
      <c r="O1120" s="250" t="str">
        <f>IFERROR(__xludf.DUMMYFUNCTION("""COMPUTED_VALUE"""),"")</f>
        <v/>
      </c>
      <c r="P1120" s="250" t="str">
        <f>IFERROR(__xludf.DUMMYFUNCTION("""COMPUTED_VALUE"""),"")</f>
        <v/>
      </c>
      <c r="Q1120" s="250" t="str">
        <f>IFERROR(__xludf.DUMMYFUNCTION("""COMPUTED_VALUE"""),"")</f>
        <v/>
      </c>
      <c r="R1120" s="250" t="str">
        <f>IFERROR(__xludf.DUMMYFUNCTION("""COMPUTED_VALUE"""),"")</f>
        <v/>
      </c>
      <c r="U1120" s="250" t="str">
        <f>IFERROR(__xludf.DUMMYFUNCTION("""COMPUTED_VALUE"""),"#N/A")</f>
        <v>#N/A</v>
      </c>
      <c r="V1120" s="250" t="str">
        <f>IFERROR(__xludf.DUMMYFUNCTION("""COMPUTED_VALUE"""),"#N/A")</f>
        <v>#N/A</v>
      </c>
      <c r="W1120" s="250" t="str">
        <f>IFERROR(__xludf.DUMMYFUNCTION("""COMPUTED_VALUE"""),"#N/A")</f>
        <v>#N/A</v>
      </c>
      <c r="X1120" t="b">
        <f t="shared" ref="X1120:Z1120" si="2216">ISBLANK(K1120)</f>
        <v>1</v>
      </c>
      <c r="Y1120" t="b">
        <f t="shared" si="2216"/>
        <v>0</v>
      </c>
      <c r="Z1120" t="b">
        <f t="shared" si="2216"/>
        <v>0</v>
      </c>
      <c r="AA1120">
        <f t="shared" ref="AA1120:AC1120" si="2217">IF(X1120=FALSE,1,0)</f>
        <v>0</v>
      </c>
      <c r="AB1120">
        <f t="shared" si="2217"/>
        <v>1</v>
      </c>
      <c r="AC1120">
        <f t="shared" si="2217"/>
        <v>1</v>
      </c>
      <c r="AD1120">
        <f t="shared" si="6"/>
        <v>2</v>
      </c>
      <c r="AE1120">
        <f t="shared" si="7"/>
        <v>1</v>
      </c>
    </row>
    <row r="1121">
      <c r="B1121" t="str">
        <f>IFERROR(__xludf.DUMMYFUNCTION("""COMPUTED_VALUE"""),"")</f>
        <v/>
      </c>
      <c r="C1121" t="str">
        <f>IFERROR(__xludf.DUMMYFUNCTION("""COMPUTED_VALUE"""),"")</f>
        <v/>
      </c>
      <c r="D1121" t="str">
        <f>IFERROR(__xludf.DUMMYFUNCTION("""COMPUTED_VALUE"""),"")</f>
        <v/>
      </c>
      <c r="E1121" t="str">
        <f>IFERROR(__xludf.DUMMYFUNCTION("""COMPUTED_VALUE"""),"")</f>
        <v/>
      </c>
      <c r="F1121" t="str">
        <f>IFERROR(__xludf.DUMMYFUNCTION("""COMPUTED_VALUE"""),"")</f>
        <v/>
      </c>
      <c r="G1121" t="str">
        <f>IFERROR(__xludf.DUMMYFUNCTION("""COMPUTED_VALUE"""),"")</f>
        <v/>
      </c>
      <c r="H1121" t="str">
        <f>IFERROR(__xludf.DUMMYFUNCTION("""COMPUTED_VALUE"""),"")</f>
        <v/>
      </c>
      <c r="I1121" t="str">
        <f>IFERROR(__xludf.DUMMYFUNCTION("""COMPUTED_VALUE"""),"")</f>
        <v/>
      </c>
      <c r="J1121">
        <f>IFERROR(__xludf.DUMMYFUNCTION("""COMPUTED_VALUE"""),0.0)</f>
        <v>0</v>
      </c>
      <c r="L1121" s="250" t="str">
        <f>IFERROR(__xludf.DUMMYFUNCTION("""COMPUTED_VALUE"""),"")</f>
        <v/>
      </c>
      <c r="M1121" s="250" t="str">
        <f>IFERROR(__xludf.DUMMYFUNCTION("""COMPUTED_VALUE"""),"")</f>
        <v/>
      </c>
      <c r="N1121" s="250" t="str">
        <f>IFERROR(__xludf.DUMMYFUNCTION("""COMPUTED_VALUE"""),"")</f>
        <v/>
      </c>
      <c r="O1121" s="250" t="str">
        <f>IFERROR(__xludf.DUMMYFUNCTION("""COMPUTED_VALUE"""),"")</f>
        <v/>
      </c>
      <c r="P1121" s="250" t="str">
        <f>IFERROR(__xludf.DUMMYFUNCTION("""COMPUTED_VALUE"""),"")</f>
        <v/>
      </c>
      <c r="Q1121" s="250" t="str">
        <f>IFERROR(__xludf.DUMMYFUNCTION("""COMPUTED_VALUE"""),"")</f>
        <v/>
      </c>
      <c r="R1121" s="250" t="str">
        <f>IFERROR(__xludf.DUMMYFUNCTION("""COMPUTED_VALUE"""),"")</f>
        <v/>
      </c>
      <c r="U1121" s="250" t="str">
        <f>IFERROR(__xludf.DUMMYFUNCTION("""COMPUTED_VALUE"""),"#N/A")</f>
        <v>#N/A</v>
      </c>
      <c r="V1121" s="250" t="str">
        <f>IFERROR(__xludf.DUMMYFUNCTION("""COMPUTED_VALUE"""),"#N/A")</f>
        <v>#N/A</v>
      </c>
      <c r="W1121" s="250" t="str">
        <f>IFERROR(__xludf.DUMMYFUNCTION("""COMPUTED_VALUE"""),"#N/A")</f>
        <v>#N/A</v>
      </c>
      <c r="X1121" t="b">
        <f t="shared" ref="X1121:Z1121" si="2218">ISBLANK(K1121)</f>
        <v>1</v>
      </c>
      <c r="Y1121" t="b">
        <f t="shared" si="2218"/>
        <v>0</v>
      </c>
      <c r="Z1121" t="b">
        <f t="shared" si="2218"/>
        <v>0</v>
      </c>
      <c r="AA1121">
        <f t="shared" ref="AA1121:AC1121" si="2219">IF(X1121=FALSE,1,0)</f>
        <v>0</v>
      </c>
      <c r="AB1121">
        <f t="shared" si="2219"/>
        <v>1</v>
      </c>
      <c r="AC1121">
        <f t="shared" si="2219"/>
        <v>1</v>
      </c>
      <c r="AD1121">
        <f t="shared" si="6"/>
        <v>2</v>
      </c>
      <c r="AE1121">
        <f t="shared" si="7"/>
        <v>1</v>
      </c>
    </row>
    <row r="1122">
      <c r="B1122" t="str">
        <f>IFERROR(__xludf.DUMMYFUNCTION("""COMPUTED_VALUE"""),"")</f>
        <v/>
      </c>
      <c r="C1122" t="str">
        <f>IFERROR(__xludf.DUMMYFUNCTION("""COMPUTED_VALUE"""),"")</f>
        <v/>
      </c>
      <c r="D1122" t="str">
        <f>IFERROR(__xludf.DUMMYFUNCTION("""COMPUTED_VALUE"""),"")</f>
        <v/>
      </c>
      <c r="E1122" t="str">
        <f>IFERROR(__xludf.DUMMYFUNCTION("""COMPUTED_VALUE"""),"")</f>
        <v/>
      </c>
      <c r="F1122" t="str">
        <f>IFERROR(__xludf.DUMMYFUNCTION("""COMPUTED_VALUE"""),"")</f>
        <v/>
      </c>
      <c r="G1122" t="str">
        <f>IFERROR(__xludf.DUMMYFUNCTION("""COMPUTED_VALUE"""),"")</f>
        <v/>
      </c>
      <c r="H1122" t="str">
        <f>IFERROR(__xludf.DUMMYFUNCTION("""COMPUTED_VALUE"""),"")</f>
        <v/>
      </c>
      <c r="I1122" t="str">
        <f>IFERROR(__xludf.DUMMYFUNCTION("""COMPUTED_VALUE"""),"")</f>
        <v/>
      </c>
      <c r="J1122">
        <f>IFERROR(__xludf.DUMMYFUNCTION("""COMPUTED_VALUE"""),0.0)</f>
        <v>0</v>
      </c>
      <c r="L1122" s="250" t="str">
        <f>IFERROR(__xludf.DUMMYFUNCTION("""COMPUTED_VALUE"""),"")</f>
        <v/>
      </c>
      <c r="M1122" s="250" t="str">
        <f>IFERROR(__xludf.DUMMYFUNCTION("""COMPUTED_VALUE"""),"")</f>
        <v/>
      </c>
      <c r="N1122" s="250" t="str">
        <f>IFERROR(__xludf.DUMMYFUNCTION("""COMPUTED_VALUE"""),"")</f>
        <v/>
      </c>
      <c r="O1122" s="250" t="str">
        <f>IFERROR(__xludf.DUMMYFUNCTION("""COMPUTED_VALUE"""),"")</f>
        <v/>
      </c>
      <c r="P1122" s="250" t="str">
        <f>IFERROR(__xludf.DUMMYFUNCTION("""COMPUTED_VALUE"""),"")</f>
        <v/>
      </c>
      <c r="Q1122" s="250" t="str">
        <f>IFERROR(__xludf.DUMMYFUNCTION("""COMPUTED_VALUE"""),"")</f>
        <v/>
      </c>
      <c r="R1122" s="250" t="str">
        <f>IFERROR(__xludf.DUMMYFUNCTION("""COMPUTED_VALUE"""),"")</f>
        <v/>
      </c>
      <c r="U1122" s="250" t="str">
        <f>IFERROR(__xludf.DUMMYFUNCTION("""COMPUTED_VALUE"""),"#N/A")</f>
        <v>#N/A</v>
      </c>
      <c r="V1122" s="250" t="str">
        <f>IFERROR(__xludf.DUMMYFUNCTION("""COMPUTED_VALUE"""),"#N/A")</f>
        <v>#N/A</v>
      </c>
      <c r="W1122" s="250" t="str">
        <f>IFERROR(__xludf.DUMMYFUNCTION("""COMPUTED_VALUE"""),"#N/A")</f>
        <v>#N/A</v>
      </c>
      <c r="X1122" t="b">
        <f t="shared" ref="X1122:Z1122" si="2220">ISBLANK(K1122)</f>
        <v>1</v>
      </c>
      <c r="Y1122" t="b">
        <f t="shared" si="2220"/>
        <v>0</v>
      </c>
      <c r="Z1122" t="b">
        <f t="shared" si="2220"/>
        <v>0</v>
      </c>
      <c r="AA1122">
        <f t="shared" ref="AA1122:AC1122" si="2221">IF(X1122=FALSE,1,0)</f>
        <v>0</v>
      </c>
      <c r="AB1122">
        <f t="shared" si="2221"/>
        <v>1</v>
      </c>
      <c r="AC1122">
        <f t="shared" si="2221"/>
        <v>1</v>
      </c>
      <c r="AD1122">
        <f t="shared" si="6"/>
        <v>2</v>
      </c>
      <c r="AE1122">
        <f t="shared" si="7"/>
        <v>1</v>
      </c>
    </row>
    <row r="1123">
      <c r="B1123" t="str">
        <f>IFERROR(__xludf.DUMMYFUNCTION("""COMPUTED_VALUE"""),"")</f>
        <v/>
      </c>
      <c r="C1123" t="str">
        <f>IFERROR(__xludf.DUMMYFUNCTION("""COMPUTED_VALUE"""),"")</f>
        <v/>
      </c>
      <c r="D1123" t="str">
        <f>IFERROR(__xludf.DUMMYFUNCTION("""COMPUTED_VALUE"""),"")</f>
        <v/>
      </c>
      <c r="E1123" t="str">
        <f>IFERROR(__xludf.DUMMYFUNCTION("""COMPUTED_VALUE"""),"")</f>
        <v/>
      </c>
      <c r="F1123" t="str">
        <f>IFERROR(__xludf.DUMMYFUNCTION("""COMPUTED_VALUE"""),"")</f>
        <v/>
      </c>
      <c r="G1123" t="str">
        <f>IFERROR(__xludf.DUMMYFUNCTION("""COMPUTED_VALUE"""),"")</f>
        <v/>
      </c>
      <c r="H1123" t="str">
        <f>IFERROR(__xludf.DUMMYFUNCTION("""COMPUTED_VALUE"""),"")</f>
        <v/>
      </c>
      <c r="I1123" t="str">
        <f>IFERROR(__xludf.DUMMYFUNCTION("""COMPUTED_VALUE"""),"")</f>
        <v/>
      </c>
      <c r="J1123">
        <f>IFERROR(__xludf.DUMMYFUNCTION("""COMPUTED_VALUE"""),0.0)</f>
        <v>0</v>
      </c>
      <c r="L1123" s="250" t="str">
        <f>IFERROR(__xludf.DUMMYFUNCTION("""COMPUTED_VALUE"""),"")</f>
        <v/>
      </c>
      <c r="M1123" s="250" t="str">
        <f>IFERROR(__xludf.DUMMYFUNCTION("""COMPUTED_VALUE"""),"")</f>
        <v/>
      </c>
      <c r="N1123" s="250" t="str">
        <f>IFERROR(__xludf.DUMMYFUNCTION("""COMPUTED_VALUE"""),"")</f>
        <v/>
      </c>
      <c r="O1123" s="250" t="str">
        <f>IFERROR(__xludf.DUMMYFUNCTION("""COMPUTED_VALUE"""),"")</f>
        <v/>
      </c>
      <c r="P1123" s="250" t="str">
        <f>IFERROR(__xludf.DUMMYFUNCTION("""COMPUTED_VALUE"""),"")</f>
        <v/>
      </c>
      <c r="Q1123" s="250" t="str">
        <f>IFERROR(__xludf.DUMMYFUNCTION("""COMPUTED_VALUE"""),"")</f>
        <v/>
      </c>
      <c r="R1123" s="250" t="str">
        <f>IFERROR(__xludf.DUMMYFUNCTION("""COMPUTED_VALUE"""),"")</f>
        <v/>
      </c>
      <c r="U1123" s="250" t="str">
        <f>IFERROR(__xludf.DUMMYFUNCTION("""COMPUTED_VALUE"""),"#N/A")</f>
        <v>#N/A</v>
      </c>
      <c r="V1123" s="250" t="str">
        <f>IFERROR(__xludf.DUMMYFUNCTION("""COMPUTED_VALUE"""),"#N/A")</f>
        <v>#N/A</v>
      </c>
      <c r="W1123" s="250" t="str">
        <f>IFERROR(__xludf.DUMMYFUNCTION("""COMPUTED_VALUE"""),"#N/A")</f>
        <v>#N/A</v>
      </c>
      <c r="X1123" t="b">
        <f t="shared" ref="X1123:Z1123" si="2222">ISBLANK(K1123)</f>
        <v>1</v>
      </c>
      <c r="Y1123" t="b">
        <f t="shared" si="2222"/>
        <v>0</v>
      </c>
      <c r="Z1123" t="b">
        <f t="shared" si="2222"/>
        <v>0</v>
      </c>
      <c r="AA1123">
        <f t="shared" ref="AA1123:AC1123" si="2223">IF(X1123=FALSE,1,0)</f>
        <v>0</v>
      </c>
      <c r="AB1123">
        <f t="shared" si="2223"/>
        <v>1</v>
      </c>
      <c r="AC1123">
        <f t="shared" si="2223"/>
        <v>1</v>
      </c>
      <c r="AD1123">
        <f t="shared" si="6"/>
        <v>2</v>
      </c>
      <c r="AE1123">
        <f t="shared" si="7"/>
        <v>1</v>
      </c>
    </row>
    <row r="1124">
      <c r="B1124" t="str">
        <f>IFERROR(__xludf.DUMMYFUNCTION("""COMPUTED_VALUE"""),"")</f>
        <v/>
      </c>
      <c r="C1124" t="str">
        <f>IFERROR(__xludf.DUMMYFUNCTION("""COMPUTED_VALUE"""),"")</f>
        <v/>
      </c>
      <c r="D1124" t="str">
        <f>IFERROR(__xludf.DUMMYFUNCTION("""COMPUTED_VALUE"""),"")</f>
        <v/>
      </c>
      <c r="E1124" t="str">
        <f>IFERROR(__xludf.DUMMYFUNCTION("""COMPUTED_VALUE"""),"")</f>
        <v/>
      </c>
      <c r="F1124" t="str">
        <f>IFERROR(__xludf.DUMMYFUNCTION("""COMPUTED_VALUE"""),"")</f>
        <v/>
      </c>
      <c r="G1124" t="str">
        <f>IFERROR(__xludf.DUMMYFUNCTION("""COMPUTED_VALUE"""),"")</f>
        <v/>
      </c>
      <c r="H1124" t="str">
        <f>IFERROR(__xludf.DUMMYFUNCTION("""COMPUTED_VALUE"""),"")</f>
        <v/>
      </c>
      <c r="I1124" t="str">
        <f>IFERROR(__xludf.DUMMYFUNCTION("""COMPUTED_VALUE"""),"")</f>
        <v/>
      </c>
      <c r="J1124">
        <f>IFERROR(__xludf.DUMMYFUNCTION("""COMPUTED_VALUE"""),0.0)</f>
        <v>0</v>
      </c>
      <c r="L1124" s="250" t="str">
        <f>IFERROR(__xludf.DUMMYFUNCTION("""COMPUTED_VALUE"""),"")</f>
        <v/>
      </c>
      <c r="M1124" s="250" t="str">
        <f>IFERROR(__xludf.DUMMYFUNCTION("""COMPUTED_VALUE"""),"")</f>
        <v/>
      </c>
      <c r="N1124" s="250" t="str">
        <f>IFERROR(__xludf.DUMMYFUNCTION("""COMPUTED_VALUE"""),"")</f>
        <v/>
      </c>
      <c r="O1124" s="250" t="str">
        <f>IFERROR(__xludf.DUMMYFUNCTION("""COMPUTED_VALUE"""),"")</f>
        <v/>
      </c>
      <c r="P1124" s="250" t="str">
        <f>IFERROR(__xludf.DUMMYFUNCTION("""COMPUTED_VALUE"""),"")</f>
        <v/>
      </c>
      <c r="Q1124" s="250" t="str">
        <f>IFERROR(__xludf.DUMMYFUNCTION("""COMPUTED_VALUE"""),"")</f>
        <v/>
      </c>
      <c r="R1124" s="250" t="str">
        <f>IFERROR(__xludf.DUMMYFUNCTION("""COMPUTED_VALUE"""),"")</f>
        <v/>
      </c>
      <c r="U1124" s="250" t="str">
        <f>IFERROR(__xludf.DUMMYFUNCTION("""COMPUTED_VALUE"""),"#N/A")</f>
        <v>#N/A</v>
      </c>
      <c r="V1124" s="250" t="str">
        <f>IFERROR(__xludf.DUMMYFUNCTION("""COMPUTED_VALUE"""),"#N/A")</f>
        <v>#N/A</v>
      </c>
      <c r="W1124" s="250" t="str">
        <f>IFERROR(__xludf.DUMMYFUNCTION("""COMPUTED_VALUE"""),"#N/A")</f>
        <v>#N/A</v>
      </c>
      <c r="X1124" t="b">
        <f t="shared" ref="X1124:Z1124" si="2224">ISBLANK(K1124)</f>
        <v>1</v>
      </c>
      <c r="Y1124" t="b">
        <f t="shared" si="2224"/>
        <v>0</v>
      </c>
      <c r="Z1124" t="b">
        <f t="shared" si="2224"/>
        <v>0</v>
      </c>
      <c r="AA1124">
        <f t="shared" ref="AA1124:AC1124" si="2225">IF(X1124=FALSE,1,0)</f>
        <v>0</v>
      </c>
      <c r="AB1124">
        <f t="shared" si="2225"/>
        <v>1</v>
      </c>
      <c r="AC1124">
        <f t="shared" si="2225"/>
        <v>1</v>
      </c>
      <c r="AD1124">
        <f t="shared" si="6"/>
        <v>2</v>
      </c>
      <c r="AE1124">
        <f t="shared" si="7"/>
        <v>1</v>
      </c>
    </row>
    <row r="1125">
      <c r="B1125" t="str">
        <f>IFERROR(__xludf.DUMMYFUNCTION("""COMPUTED_VALUE"""),"")</f>
        <v/>
      </c>
      <c r="C1125" t="str">
        <f>IFERROR(__xludf.DUMMYFUNCTION("""COMPUTED_VALUE"""),"")</f>
        <v/>
      </c>
      <c r="D1125" t="str">
        <f>IFERROR(__xludf.DUMMYFUNCTION("""COMPUTED_VALUE"""),"")</f>
        <v/>
      </c>
      <c r="E1125" t="str">
        <f>IFERROR(__xludf.DUMMYFUNCTION("""COMPUTED_VALUE"""),"")</f>
        <v/>
      </c>
      <c r="F1125" t="str">
        <f>IFERROR(__xludf.DUMMYFUNCTION("""COMPUTED_VALUE"""),"")</f>
        <v/>
      </c>
      <c r="G1125" t="str">
        <f>IFERROR(__xludf.DUMMYFUNCTION("""COMPUTED_VALUE"""),"")</f>
        <v/>
      </c>
      <c r="H1125" t="str">
        <f>IFERROR(__xludf.DUMMYFUNCTION("""COMPUTED_VALUE"""),"")</f>
        <v/>
      </c>
      <c r="I1125" t="str">
        <f>IFERROR(__xludf.DUMMYFUNCTION("""COMPUTED_VALUE"""),"")</f>
        <v/>
      </c>
      <c r="J1125">
        <f>IFERROR(__xludf.DUMMYFUNCTION("""COMPUTED_VALUE"""),0.0)</f>
        <v>0</v>
      </c>
      <c r="L1125" s="250" t="str">
        <f>IFERROR(__xludf.DUMMYFUNCTION("""COMPUTED_VALUE"""),"")</f>
        <v/>
      </c>
      <c r="M1125" s="250" t="str">
        <f>IFERROR(__xludf.DUMMYFUNCTION("""COMPUTED_VALUE"""),"")</f>
        <v/>
      </c>
      <c r="N1125" s="250" t="str">
        <f>IFERROR(__xludf.DUMMYFUNCTION("""COMPUTED_VALUE"""),"")</f>
        <v/>
      </c>
      <c r="O1125" s="250" t="str">
        <f>IFERROR(__xludf.DUMMYFUNCTION("""COMPUTED_VALUE"""),"")</f>
        <v/>
      </c>
      <c r="P1125" s="250" t="str">
        <f>IFERROR(__xludf.DUMMYFUNCTION("""COMPUTED_VALUE"""),"")</f>
        <v/>
      </c>
      <c r="Q1125" s="250" t="str">
        <f>IFERROR(__xludf.DUMMYFUNCTION("""COMPUTED_VALUE"""),"")</f>
        <v/>
      </c>
      <c r="R1125" s="250" t="str">
        <f>IFERROR(__xludf.DUMMYFUNCTION("""COMPUTED_VALUE"""),"")</f>
        <v/>
      </c>
      <c r="U1125" s="250" t="str">
        <f>IFERROR(__xludf.DUMMYFUNCTION("""COMPUTED_VALUE"""),"#N/A")</f>
        <v>#N/A</v>
      </c>
      <c r="V1125" s="250" t="str">
        <f>IFERROR(__xludf.DUMMYFUNCTION("""COMPUTED_VALUE"""),"#N/A")</f>
        <v>#N/A</v>
      </c>
      <c r="W1125" s="250" t="str">
        <f>IFERROR(__xludf.DUMMYFUNCTION("""COMPUTED_VALUE"""),"#N/A")</f>
        <v>#N/A</v>
      </c>
      <c r="X1125" t="b">
        <f t="shared" ref="X1125:Z1125" si="2226">ISBLANK(K1125)</f>
        <v>1</v>
      </c>
      <c r="Y1125" t="b">
        <f t="shared" si="2226"/>
        <v>0</v>
      </c>
      <c r="Z1125" t="b">
        <f t="shared" si="2226"/>
        <v>0</v>
      </c>
      <c r="AA1125">
        <f t="shared" ref="AA1125:AC1125" si="2227">IF(X1125=FALSE,1,0)</f>
        <v>0</v>
      </c>
      <c r="AB1125">
        <f t="shared" si="2227"/>
        <v>1</v>
      </c>
      <c r="AC1125">
        <f t="shared" si="2227"/>
        <v>1</v>
      </c>
      <c r="AD1125">
        <f t="shared" si="6"/>
        <v>2</v>
      </c>
      <c r="AE1125">
        <f t="shared" si="7"/>
        <v>1</v>
      </c>
    </row>
    <row r="1126">
      <c r="B1126" t="str">
        <f>IFERROR(__xludf.DUMMYFUNCTION("""COMPUTED_VALUE"""),"")</f>
        <v/>
      </c>
      <c r="C1126" t="str">
        <f>IFERROR(__xludf.DUMMYFUNCTION("""COMPUTED_VALUE"""),"")</f>
        <v/>
      </c>
      <c r="D1126" t="str">
        <f>IFERROR(__xludf.DUMMYFUNCTION("""COMPUTED_VALUE"""),"")</f>
        <v/>
      </c>
      <c r="E1126" t="str">
        <f>IFERROR(__xludf.DUMMYFUNCTION("""COMPUTED_VALUE"""),"")</f>
        <v/>
      </c>
      <c r="F1126" t="str">
        <f>IFERROR(__xludf.DUMMYFUNCTION("""COMPUTED_VALUE"""),"")</f>
        <v/>
      </c>
      <c r="G1126" t="str">
        <f>IFERROR(__xludf.DUMMYFUNCTION("""COMPUTED_VALUE"""),"")</f>
        <v/>
      </c>
      <c r="H1126" t="str">
        <f>IFERROR(__xludf.DUMMYFUNCTION("""COMPUTED_VALUE"""),"")</f>
        <v/>
      </c>
      <c r="I1126" t="str">
        <f>IFERROR(__xludf.DUMMYFUNCTION("""COMPUTED_VALUE"""),"")</f>
        <v/>
      </c>
      <c r="J1126">
        <f>IFERROR(__xludf.DUMMYFUNCTION("""COMPUTED_VALUE"""),0.0)</f>
        <v>0</v>
      </c>
      <c r="L1126" s="250" t="str">
        <f>IFERROR(__xludf.DUMMYFUNCTION("""COMPUTED_VALUE"""),"")</f>
        <v/>
      </c>
      <c r="M1126" s="250" t="str">
        <f>IFERROR(__xludf.DUMMYFUNCTION("""COMPUTED_VALUE"""),"")</f>
        <v/>
      </c>
      <c r="N1126" s="250" t="str">
        <f>IFERROR(__xludf.DUMMYFUNCTION("""COMPUTED_VALUE"""),"")</f>
        <v/>
      </c>
      <c r="O1126" s="250" t="str">
        <f>IFERROR(__xludf.DUMMYFUNCTION("""COMPUTED_VALUE"""),"")</f>
        <v/>
      </c>
      <c r="P1126" s="250" t="str">
        <f>IFERROR(__xludf.DUMMYFUNCTION("""COMPUTED_VALUE"""),"")</f>
        <v/>
      </c>
      <c r="Q1126" s="250" t="str">
        <f>IFERROR(__xludf.DUMMYFUNCTION("""COMPUTED_VALUE"""),"")</f>
        <v/>
      </c>
      <c r="R1126" s="250" t="str">
        <f>IFERROR(__xludf.DUMMYFUNCTION("""COMPUTED_VALUE"""),"")</f>
        <v/>
      </c>
      <c r="U1126" s="250" t="str">
        <f>IFERROR(__xludf.DUMMYFUNCTION("""COMPUTED_VALUE"""),"#N/A")</f>
        <v>#N/A</v>
      </c>
      <c r="V1126" s="250" t="str">
        <f>IFERROR(__xludf.DUMMYFUNCTION("""COMPUTED_VALUE"""),"#N/A")</f>
        <v>#N/A</v>
      </c>
      <c r="W1126" s="250" t="str">
        <f>IFERROR(__xludf.DUMMYFUNCTION("""COMPUTED_VALUE"""),"#N/A")</f>
        <v>#N/A</v>
      </c>
      <c r="X1126" t="b">
        <f t="shared" ref="X1126:Z1126" si="2228">ISBLANK(K1126)</f>
        <v>1</v>
      </c>
      <c r="Y1126" t="b">
        <f t="shared" si="2228"/>
        <v>0</v>
      </c>
      <c r="Z1126" t="b">
        <f t="shared" si="2228"/>
        <v>0</v>
      </c>
      <c r="AA1126">
        <f t="shared" ref="AA1126:AC1126" si="2229">IF(X1126=FALSE,1,0)</f>
        <v>0</v>
      </c>
      <c r="AB1126">
        <f t="shared" si="2229"/>
        <v>1</v>
      </c>
      <c r="AC1126">
        <f t="shared" si="2229"/>
        <v>1</v>
      </c>
      <c r="AD1126">
        <f t="shared" si="6"/>
        <v>2</v>
      </c>
      <c r="AE1126">
        <f t="shared" si="7"/>
        <v>1</v>
      </c>
    </row>
    <row r="1127">
      <c r="B1127" t="str">
        <f>IFERROR(__xludf.DUMMYFUNCTION("""COMPUTED_VALUE"""),"")</f>
        <v/>
      </c>
      <c r="C1127" t="str">
        <f>IFERROR(__xludf.DUMMYFUNCTION("""COMPUTED_VALUE"""),"")</f>
        <v/>
      </c>
      <c r="D1127" t="str">
        <f>IFERROR(__xludf.DUMMYFUNCTION("""COMPUTED_VALUE"""),"")</f>
        <v/>
      </c>
      <c r="E1127" t="str">
        <f>IFERROR(__xludf.DUMMYFUNCTION("""COMPUTED_VALUE"""),"")</f>
        <v/>
      </c>
      <c r="F1127" t="str">
        <f>IFERROR(__xludf.DUMMYFUNCTION("""COMPUTED_VALUE"""),"")</f>
        <v/>
      </c>
      <c r="G1127" t="str">
        <f>IFERROR(__xludf.DUMMYFUNCTION("""COMPUTED_VALUE"""),"")</f>
        <v/>
      </c>
      <c r="H1127" t="str">
        <f>IFERROR(__xludf.DUMMYFUNCTION("""COMPUTED_VALUE"""),"")</f>
        <v/>
      </c>
      <c r="I1127" t="str">
        <f>IFERROR(__xludf.DUMMYFUNCTION("""COMPUTED_VALUE"""),"")</f>
        <v/>
      </c>
      <c r="J1127">
        <f>IFERROR(__xludf.DUMMYFUNCTION("""COMPUTED_VALUE"""),0.0)</f>
        <v>0</v>
      </c>
      <c r="L1127" s="250" t="str">
        <f>IFERROR(__xludf.DUMMYFUNCTION("""COMPUTED_VALUE"""),"")</f>
        <v/>
      </c>
      <c r="M1127" s="250" t="str">
        <f>IFERROR(__xludf.DUMMYFUNCTION("""COMPUTED_VALUE"""),"")</f>
        <v/>
      </c>
      <c r="N1127" s="250" t="str">
        <f>IFERROR(__xludf.DUMMYFUNCTION("""COMPUTED_VALUE"""),"")</f>
        <v/>
      </c>
      <c r="O1127" s="250" t="str">
        <f>IFERROR(__xludf.DUMMYFUNCTION("""COMPUTED_VALUE"""),"")</f>
        <v/>
      </c>
      <c r="P1127" s="250" t="str">
        <f>IFERROR(__xludf.DUMMYFUNCTION("""COMPUTED_VALUE"""),"")</f>
        <v/>
      </c>
      <c r="Q1127" s="250" t="str">
        <f>IFERROR(__xludf.DUMMYFUNCTION("""COMPUTED_VALUE"""),"")</f>
        <v/>
      </c>
      <c r="R1127" s="250" t="str">
        <f>IFERROR(__xludf.DUMMYFUNCTION("""COMPUTED_VALUE"""),"")</f>
        <v/>
      </c>
      <c r="U1127" s="250" t="str">
        <f>IFERROR(__xludf.DUMMYFUNCTION("""COMPUTED_VALUE"""),"#N/A")</f>
        <v>#N/A</v>
      </c>
      <c r="V1127" s="250" t="str">
        <f>IFERROR(__xludf.DUMMYFUNCTION("""COMPUTED_VALUE"""),"#N/A")</f>
        <v>#N/A</v>
      </c>
      <c r="W1127" s="250" t="str">
        <f>IFERROR(__xludf.DUMMYFUNCTION("""COMPUTED_VALUE"""),"#N/A")</f>
        <v>#N/A</v>
      </c>
      <c r="X1127" t="b">
        <f t="shared" ref="X1127:Z1127" si="2230">ISBLANK(K1127)</f>
        <v>1</v>
      </c>
      <c r="Y1127" t="b">
        <f t="shared" si="2230"/>
        <v>0</v>
      </c>
      <c r="Z1127" t="b">
        <f t="shared" si="2230"/>
        <v>0</v>
      </c>
      <c r="AA1127">
        <f t="shared" ref="AA1127:AC1127" si="2231">IF(X1127=FALSE,1,0)</f>
        <v>0</v>
      </c>
      <c r="AB1127">
        <f t="shared" si="2231"/>
        <v>1</v>
      </c>
      <c r="AC1127">
        <f t="shared" si="2231"/>
        <v>1</v>
      </c>
      <c r="AD1127">
        <f t="shared" si="6"/>
        <v>2</v>
      </c>
      <c r="AE1127">
        <f t="shared" si="7"/>
        <v>1</v>
      </c>
    </row>
    <row r="1128">
      <c r="B1128" t="str">
        <f>IFERROR(__xludf.DUMMYFUNCTION("""COMPUTED_VALUE"""),"")</f>
        <v/>
      </c>
      <c r="C1128" t="str">
        <f>IFERROR(__xludf.DUMMYFUNCTION("""COMPUTED_VALUE"""),"")</f>
        <v/>
      </c>
      <c r="D1128" t="str">
        <f>IFERROR(__xludf.DUMMYFUNCTION("""COMPUTED_VALUE"""),"")</f>
        <v/>
      </c>
      <c r="E1128" t="str">
        <f>IFERROR(__xludf.DUMMYFUNCTION("""COMPUTED_VALUE"""),"")</f>
        <v/>
      </c>
      <c r="F1128" t="str">
        <f>IFERROR(__xludf.DUMMYFUNCTION("""COMPUTED_VALUE"""),"")</f>
        <v/>
      </c>
      <c r="G1128" t="str">
        <f>IFERROR(__xludf.DUMMYFUNCTION("""COMPUTED_VALUE"""),"")</f>
        <v/>
      </c>
      <c r="H1128" t="str">
        <f>IFERROR(__xludf.DUMMYFUNCTION("""COMPUTED_VALUE"""),"")</f>
        <v/>
      </c>
      <c r="I1128" t="str">
        <f>IFERROR(__xludf.DUMMYFUNCTION("""COMPUTED_VALUE"""),"")</f>
        <v/>
      </c>
      <c r="J1128">
        <f>IFERROR(__xludf.DUMMYFUNCTION("""COMPUTED_VALUE"""),0.0)</f>
        <v>0</v>
      </c>
      <c r="L1128" s="250" t="str">
        <f>IFERROR(__xludf.DUMMYFUNCTION("""COMPUTED_VALUE"""),"")</f>
        <v/>
      </c>
      <c r="M1128" s="250" t="str">
        <f>IFERROR(__xludf.DUMMYFUNCTION("""COMPUTED_VALUE"""),"")</f>
        <v/>
      </c>
      <c r="N1128" s="250" t="str">
        <f>IFERROR(__xludf.DUMMYFUNCTION("""COMPUTED_VALUE"""),"")</f>
        <v/>
      </c>
      <c r="O1128" s="250" t="str">
        <f>IFERROR(__xludf.DUMMYFUNCTION("""COMPUTED_VALUE"""),"")</f>
        <v/>
      </c>
      <c r="P1128" s="250" t="str">
        <f>IFERROR(__xludf.DUMMYFUNCTION("""COMPUTED_VALUE"""),"")</f>
        <v/>
      </c>
      <c r="Q1128" s="250" t="str">
        <f>IFERROR(__xludf.DUMMYFUNCTION("""COMPUTED_VALUE"""),"")</f>
        <v/>
      </c>
      <c r="R1128" s="250" t="str">
        <f>IFERROR(__xludf.DUMMYFUNCTION("""COMPUTED_VALUE"""),"")</f>
        <v/>
      </c>
      <c r="U1128" s="250" t="str">
        <f>IFERROR(__xludf.DUMMYFUNCTION("""COMPUTED_VALUE"""),"#N/A")</f>
        <v>#N/A</v>
      </c>
      <c r="V1128" s="250" t="str">
        <f>IFERROR(__xludf.DUMMYFUNCTION("""COMPUTED_VALUE"""),"#N/A")</f>
        <v>#N/A</v>
      </c>
      <c r="W1128" s="250" t="str">
        <f>IFERROR(__xludf.DUMMYFUNCTION("""COMPUTED_VALUE"""),"#N/A")</f>
        <v>#N/A</v>
      </c>
      <c r="X1128" t="b">
        <f t="shared" ref="X1128:Z1128" si="2232">ISBLANK(K1128)</f>
        <v>1</v>
      </c>
      <c r="Y1128" t="b">
        <f t="shared" si="2232"/>
        <v>0</v>
      </c>
      <c r="Z1128" t="b">
        <f t="shared" si="2232"/>
        <v>0</v>
      </c>
      <c r="AA1128">
        <f t="shared" ref="AA1128:AC1128" si="2233">IF(X1128=FALSE,1,0)</f>
        <v>0</v>
      </c>
      <c r="AB1128">
        <f t="shared" si="2233"/>
        <v>1</v>
      </c>
      <c r="AC1128">
        <f t="shared" si="2233"/>
        <v>1</v>
      </c>
      <c r="AD1128">
        <f t="shared" si="6"/>
        <v>2</v>
      </c>
      <c r="AE1128">
        <f t="shared" si="7"/>
        <v>1</v>
      </c>
    </row>
    <row r="1129">
      <c r="B1129" t="str">
        <f>IFERROR(__xludf.DUMMYFUNCTION("""COMPUTED_VALUE"""),"")</f>
        <v/>
      </c>
      <c r="C1129" t="str">
        <f>IFERROR(__xludf.DUMMYFUNCTION("""COMPUTED_VALUE"""),"")</f>
        <v/>
      </c>
      <c r="D1129" t="str">
        <f>IFERROR(__xludf.DUMMYFUNCTION("""COMPUTED_VALUE"""),"")</f>
        <v/>
      </c>
      <c r="E1129" t="str">
        <f>IFERROR(__xludf.DUMMYFUNCTION("""COMPUTED_VALUE"""),"")</f>
        <v/>
      </c>
      <c r="F1129" t="str">
        <f>IFERROR(__xludf.DUMMYFUNCTION("""COMPUTED_VALUE"""),"")</f>
        <v/>
      </c>
      <c r="G1129" t="str">
        <f>IFERROR(__xludf.DUMMYFUNCTION("""COMPUTED_VALUE"""),"")</f>
        <v/>
      </c>
      <c r="H1129" t="str">
        <f>IFERROR(__xludf.DUMMYFUNCTION("""COMPUTED_VALUE"""),"")</f>
        <v/>
      </c>
      <c r="I1129" t="str">
        <f>IFERROR(__xludf.DUMMYFUNCTION("""COMPUTED_VALUE"""),"")</f>
        <v/>
      </c>
      <c r="J1129">
        <f>IFERROR(__xludf.DUMMYFUNCTION("""COMPUTED_VALUE"""),0.0)</f>
        <v>0</v>
      </c>
      <c r="L1129" s="250" t="str">
        <f>IFERROR(__xludf.DUMMYFUNCTION("""COMPUTED_VALUE"""),"")</f>
        <v/>
      </c>
      <c r="M1129" s="250" t="str">
        <f>IFERROR(__xludf.DUMMYFUNCTION("""COMPUTED_VALUE"""),"")</f>
        <v/>
      </c>
      <c r="N1129" s="250" t="str">
        <f>IFERROR(__xludf.DUMMYFUNCTION("""COMPUTED_VALUE"""),"")</f>
        <v/>
      </c>
      <c r="O1129" s="250" t="str">
        <f>IFERROR(__xludf.DUMMYFUNCTION("""COMPUTED_VALUE"""),"")</f>
        <v/>
      </c>
      <c r="P1129" s="250" t="str">
        <f>IFERROR(__xludf.DUMMYFUNCTION("""COMPUTED_VALUE"""),"")</f>
        <v/>
      </c>
      <c r="Q1129" s="250" t="str">
        <f>IFERROR(__xludf.DUMMYFUNCTION("""COMPUTED_VALUE"""),"")</f>
        <v/>
      </c>
      <c r="R1129" s="250" t="str">
        <f>IFERROR(__xludf.DUMMYFUNCTION("""COMPUTED_VALUE"""),"")</f>
        <v/>
      </c>
      <c r="U1129" s="250" t="str">
        <f>IFERROR(__xludf.DUMMYFUNCTION("""COMPUTED_VALUE"""),"#N/A")</f>
        <v>#N/A</v>
      </c>
      <c r="V1129" s="250" t="str">
        <f>IFERROR(__xludf.DUMMYFUNCTION("""COMPUTED_VALUE"""),"#N/A")</f>
        <v>#N/A</v>
      </c>
      <c r="W1129" s="250" t="str">
        <f>IFERROR(__xludf.DUMMYFUNCTION("""COMPUTED_VALUE"""),"#N/A")</f>
        <v>#N/A</v>
      </c>
      <c r="X1129" t="b">
        <f t="shared" ref="X1129:Z1129" si="2234">ISBLANK(K1129)</f>
        <v>1</v>
      </c>
      <c r="Y1129" t="b">
        <f t="shared" si="2234"/>
        <v>0</v>
      </c>
      <c r="Z1129" t="b">
        <f t="shared" si="2234"/>
        <v>0</v>
      </c>
      <c r="AA1129">
        <f t="shared" ref="AA1129:AC1129" si="2235">IF(X1129=FALSE,1,0)</f>
        <v>0</v>
      </c>
      <c r="AB1129">
        <f t="shared" si="2235"/>
        <v>1</v>
      </c>
      <c r="AC1129">
        <f t="shared" si="2235"/>
        <v>1</v>
      </c>
      <c r="AD1129">
        <f t="shared" si="6"/>
        <v>2</v>
      </c>
      <c r="AE1129">
        <f t="shared" si="7"/>
        <v>1</v>
      </c>
    </row>
    <row r="1130">
      <c r="B1130" t="str">
        <f>IFERROR(__xludf.DUMMYFUNCTION("""COMPUTED_VALUE"""),"")</f>
        <v/>
      </c>
      <c r="C1130" t="str">
        <f>IFERROR(__xludf.DUMMYFUNCTION("""COMPUTED_VALUE"""),"")</f>
        <v/>
      </c>
      <c r="D1130" t="str">
        <f>IFERROR(__xludf.DUMMYFUNCTION("""COMPUTED_VALUE"""),"")</f>
        <v/>
      </c>
      <c r="E1130" t="str">
        <f>IFERROR(__xludf.DUMMYFUNCTION("""COMPUTED_VALUE"""),"")</f>
        <v/>
      </c>
      <c r="F1130" t="str">
        <f>IFERROR(__xludf.DUMMYFUNCTION("""COMPUTED_VALUE"""),"")</f>
        <v/>
      </c>
      <c r="G1130" t="str">
        <f>IFERROR(__xludf.DUMMYFUNCTION("""COMPUTED_VALUE"""),"")</f>
        <v/>
      </c>
      <c r="H1130" t="str">
        <f>IFERROR(__xludf.DUMMYFUNCTION("""COMPUTED_VALUE"""),"")</f>
        <v/>
      </c>
      <c r="I1130" t="str">
        <f>IFERROR(__xludf.DUMMYFUNCTION("""COMPUTED_VALUE"""),"")</f>
        <v/>
      </c>
      <c r="J1130">
        <f>IFERROR(__xludf.DUMMYFUNCTION("""COMPUTED_VALUE"""),0.0)</f>
        <v>0</v>
      </c>
      <c r="L1130" s="250" t="str">
        <f>IFERROR(__xludf.DUMMYFUNCTION("""COMPUTED_VALUE"""),"")</f>
        <v/>
      </c>
      <c r="M1130" s="250" t="str">
        <f>IFERROR(__xludf.DUMMYFUNCTION("""COMPUTED_VALUE"""),"")</f>
        <v/>
      </c>
      <c r="N1130" s="250" t="str">
        <f>IFERROR(__xludf.DUMMYFUNCTION("""COMPUTED_VALUE"""),"")</f>
        <v/>
      </c>
      <c r="O1130" s="250" t="str">
        <f>IFERROR(__xludf.DUMMYFUNCTION("""COMPUTED_VALUE"""),"")</f>
        <v/>
      </c>
      <c r="P1130" s="250" t="str">
        <f>IFERROR(__xludf.DUMMYFUNCTION("""COMPUTED_VALUE"""),"")</f>
        <v/>
      </c>
      <c r="Q1130" s="250" t="str">
        <f>IFERROR(__xludf.DUMMYFUNCTION("""COMPUTED_VALUE"""),"")</f>
        <v/>
      </c>
      <c r="R1130" s="250" t="str">
        <f>IFERROR(__xludf.DUMMYFUNCTION("""COMPUTED_VALUE"""),"")</f>
        <v/>
      </c>
      <c r="U1130" s="250" t="str">
        <f>IFERROR(__xludf.DUMMYFUNCTION("""COMPUTED_VALUE"""),"#N/A")</f>
        <v>#N/A</v>
      </c>
      <c r="V1130" s="250" t="str">
        <f>IFERROR(__xludf.DUMMYFUNCTION("""COMPUTED_VALUE"""),"#N/A")</f>
        <v>#N/A</v>
      </c>
      <c r="W1130" s="250" t="str">
        <f>IFERROR(__xludf.DUMMYFUNCTION("""COMPUTED_VALUE"""),"#N/A")</f>
        <v>#N/A</v>
      </c>
      <c r="X1130" t="b">
        <f t="shared" ref="X1130:Z1130" si="2236">ISBLANK(K1130)</f>
        <v>1</v>
      </c>
      <c r="Y1130" t="b">
        <f t="shared" si="2236"/>
        <v>0</v>
      </c>
      <c r="Z1130" t="b">
        <f t="shared" si="2236"/>
        <v>0</v>
      </c>
      <c r="AA1130">
        <f t="shared" ref="AA1130:AC1130" si="2237">IF(X1130=FALSE,1,0)</f>
        <v>0</v>
      </c>
      <c r="AB1130">
        <f t="shared" si="2237"/>
        <v>1</v>
      </c>
      <c r="AC1130">
        <f t="shared" si="2237"/>
        <v>1</v>
      </c>
      <c r="AD1130">
        <f t="shared" si="6"/>
        <v>2</v>
      </c>
      <c r="AE1130">
        <f t="shared" si="7"/>
        <v>1</v>
      </c>
    </row>
    <row r="1131">
      <c r="B1131" t="str">
        <f>IFERROR(__xludf.DUMMYFUNCTION("""COMPUTED_VALUE"""),"")</f>
        <v/>
      </c>
      <c r="C1131" t="str">
        <f>IFERROR(__xludf.DUMMYFUNCTION("""COMPUTED_VALUE"""),"")</f>
        <v/>
      </c>
      <c r="D1131" t="str">
        <f>IFERROR(__xludf.DUMMYFUNCTION("""COMPUTED_VALUE"""),"")</f>
        <v/>
      </c>
      <c r="E1131" t="str">
        <f>IFERROR(__xludf.DUMMYFUNCTION("""COMPUTED_VALUE"""),"")</f>
        <v/>
      </c>
      <c r="F1131" t="str">
        <f>IFERROR(__xludf.DUMMYFUNCTION("""COMPUTED_VALUE"""),"")</f>
        <v/>
      </c>
      <c r="G1131" t="str">
        <f>IFERROR(__xludf.DUMMYFUNCTION("""COMPUTED_VALUE"""),"")</f>
        <v/>
      </c>
      <c r="H1131" t="str">
        <f>IFERROR(__xludf.DUMMYFUNCTION("""COMPUTED_VALUE"""),"")</f>
        <v/>
      </c>
      <c r="I1131" t="str">
        <f>IFERROR(__xludf.DUMMYFUNCTION("""COMPUTED_VALUE"""),"")</f>
        <v/>
      </c>
      <c r="J1131">
        <f>IFERROR(__xludf.DUMMYFUNCTION("""COMPUTED_VALUE"""),0.0)</f>
        <v>0</v>
      </c>
      <c r="L1131" s="250" t="str">
        <f>IFERROR(__xludf.DUMMYFUNCTION("""COMPUTED_VALUE"""),"")</f>
        <v/>
      </c>
      <c r="M1131" s="250" t="str">
        <f>IFERROR(__xludf.DUMMYFUNCTION("""COMPUTED_VALUE"""),"")</f>
        <v/>
      </c>
      <c r="N1131" s="250" t="str">
        <f>IFERROR(__xludf.DUMMYFUNCTION("""COMPUTED_VALUE"""),"")</f>
        <v/>
      </c>
      <c r="O1131" s="250" t="str">
        <f>IFERROR(__xludf.DUMMYFUNCTION("""COMPUTED_VALUE"""),"")</f>
        <v/>
      </c>
      <c r="P1131" s="250" t="str">
        <f>IFERROR(__xludf.DUMMYFUNCTION("""COMPUTED_VALUE"""),"")</f>
        <v/>
      </c>
      <c r="Q1131" s="250" t="str">
        <f>IFERROR(__xludf.DUMMYFUNCTION("""COMPUTED_VALUE"""),"")</f>
        <v/>
      </c>
      <c r="R1131" s="250" t="str">
        <f>IFERROR(__xludf.DUMMYFUNCTION("""COMPUTED_VALUE"""),"")</f>
        <v/>
      </c>
      <c r="U1131" s="250" t="str">
        <f>IFERROR(__xludf.DUMMYFUNCTION("""COMPUTED_VALUE"""),"#N/A")</f>
        <v>#N/A</v>
      </c>
      <c r="V1131" s="250" t="str">
        <f>IFERROR(__xludf.DUMMYFUNCTION("""COMPUTED_VALUE"""),"#N/A")</f>
        <v>#N/A</v>
      </c>
      <c r="W1131" s="250" t="str">
        <f>IFERROR(__xludf.DUMMYFUNCTION("""COMPUTED_VALUE"""),"#N/A")</f>
        <v>#N/A</v>
      </c>
      <c r="X1131" t="b">
        <f t="shared" ref="X1131:Z1131" si="2238">ISBLANK(K1131)</f>
        <v>1</v>
      </c>
      <c r="Y1131" t="b">
        <f t="shared" si="2238"/>
        <v>0</v>
      </c>
      <c r="Z1131" t="b">
        <f t="shared" si="2238"/>
        <v>0</v>
      </c>
      <c r="AA1131">
        <f t="shared" ref="AA1131:AC1131" si="2239">IF(X1131=FALSE,1,0)</f>
        <v>0</v>
      </c>
      <c r="AB1131">
        <f t="shared" si="2239"/>
        <v>1</v>
      </c>
      <c r="AC1131">
        <f t="shared" si="2239"/>
        <v>1</v>
      </c>
      <c r="AD1131">
        <f t="shared" si="6"/>
        <v>2</v>
      </c>
      <c r="AE1131">
        <f t="shared" si="7"/>
        <v>1</v>
      </c>
    </row>
    <row r="1132">
      <c r="B1132" t="str">
        <f>IFERROR(__xludf.DUMMYFUNCTION("""COMPUTED_VALUE"""),"")</f>
        <v/>
      </c>
      <c r="C1132" t="str">
        <f>IFERROR(__xludf.DUMMYFUNCTION("""COMPUTED_VALUE"""),"")</f>
        <v/>
      </c>
      <c r="D1132" t="str">
        <f>IFERROR(__xludf.DUMMYFUNCTION("""COMPUTED_VALUE"""),"")</f>
        <v/>
      </c>
      <c r="E1132" t="str">
        <f>IFERROR(__xludf.DUMMYFUNCTION("""COMPUTED_VALUE"""),"")</f>
        <v/>
      </c>
      <c r="F1132" t="str">
        <f>IFERROR(__xludf.DUMMYFUNCTION("""COMPUTED_VALUE"""),"")</f>
        <v/>
      </c>
      <c r="G1132" t="str">
        <f>IFERROR(__xludf.DUMMYFUNCTION("""COMPUTED_VALUE"""),"")</f>
        <v/>
      </c>
      <c r="H1132" t="str">
        <f>IFERROR(__xludf.DUMMYFUNCTION("""COMPUTED_VALUE"""),"")</f>
        <v/>
      </c>
      <c r="I1132" t="str">
        <f>IFERROR(__xludf.DUMMYFUNCTION("""COMPUTED_VALUE"""),"")</f>
        <v/>
      </c>
      <c r="J1132">
        <f>IFERROR(__xludf.DUMMYFUNCTION("""COMPUTED_VALUE"""),0.0)</f>
        <v>0</v>
      </c>
      <c r="L1132" s="250" t="str">
        <f>IFERROR(__xludf.DUMMYFUNCTION("""COMPUTED_VALUE"""),"")</f>
        <v/>
      </c>
      <c r="M1132" s="250" t="str">
        <f>IFERROR(__xludf.DUMMYFUNCTION("""COMPUTED_VALUE"""),"")</f>
        <v/>
      </c>
      <c r="N1132" s="250" t="str">
        <f>IFERROR(__xludf.DUMMYFUNCTION("""COMPUTED_VALUE"""),"")</f>
        <v/>
      </c>
      <c r="O1132" s="250" t="str">
        <f>IFERROR(__xludf.DUMMYFUNCTION("""COMPUTED_VALUE"""),"")</f>
        <v/>
      </c>
      <c r="P1132" s="250" t="str">
        <f>IFERROR(__xludf.DUMMYFUNCTION("""COMPUTED_VALUE"""),"")</f>
        <v/>
      </c>
      <c r="Q1132" s="250" t="str">
        <f>IFERROR(__xludf.DUMMYFUNCTION("""COMPUTED_VALUE"""),"")</f>
        <v/>
      </c>
      <c r="R1132" s="250" t="str">
        <f>IFERROR(__xludf.DUMMYFUNCTION("""COMPUTED_VALUE"""),"")</f>
        <v/>
      </c>
      <c r="U1132" s="250" t="str">
        <f>IFERROR(__xludf.DUMMYFUNCTION("""COMPUTED_VALUE"""),"#N/A")</f>
        <v>#N/A</v>
      </c>
      <c r="V1132" s="250" t="str">
        <f>IFERROR(__xludf.DUMMYFUNCTION("""COMPUTED_VALUE"""),"#N/A")</f>
        <v>#N/A</v>
      </c>
      <c r="W1132" s="250" t="str">
        <f>IFERROR(__xludf.DUMMYFUNCTION("""COMPUTED_VALUE"""),"#N/A")</f>
        <v>#N/A</v>
      </c>
      <c r="X1132" t="b">
        <f t="shared" ref="X1132:Z1132" si="2240">ISBLANK(K1132)</f>
        <v>1</v>
      </c>
      <c r="Y1132" t="b">
        <f t="shared" si="2240"/>
        <v>0</v>
      </c>
      <c r="Z1132" t="b">
        <f t="shared" si="2240"/>
        <v>0</v>
      </c>
      <c r="AA1132">
        <f t="shared" ref="AA1132:AC1132" si="2241">IF(X1132=FALSE,1,0)</f>
        <v>0</v>
      </c>
      <c r="AB1132">
        <f t="shared" si="2241"/>
        <v>1</v>
      </c>
      <c r="AC1132">
        <f t="shared" si="2241"/>
        <v>1</v>
      </c>
      <c r="AD1132">
        <f t="shared" si="6"/>
        <v>2</v>
      </c>
      <c r="AE1132">
        <f t="shared" si="7"/>
        <v>1</v>
      </c>
    </row>
    <row r="1133">
      <c r="B1133" t="str">
        <f>IFERROR(__xludf.DUMMYFUNCTION("""COMPUTED_VALUE"""),"")</f>
        <v/>
      </c>
      <c r="C1133" t="str">
        <f>IFERROR(__xludf.DUMMYFUNCTION("""COMPUTED_VALUE"""),"")</f>
        <v/>
      </c>
      <c r="D1133" t="str">
        <f>IFERROR(__xludf.DUMMYFUNCTION("""COMPUTED_VALUE"""),"")</f>
        <v/>
      </c>
      <c r="E1133" t="str">
        <f>IFERROR(__xludf.DUMMYFUNCTION("""COMPUTED_VALUE"""),"")</f>
        <v/>
      </c>
      <c r="F1133" t="str">
        <f>IFERROR(__xludf.DUMMYFUNCTION("""COMPUTED_VALUE"""),"")</f>
        <v/>
      </c>
      <c r="G1133" t="str">
        <f>IFERROR(__xludf.DUMMYFUNCTION("""COMPUTED_VALUE"""),"")</f>
        <v/>
      </c>
      <c r="H1133" t="str">
        <f>IFERROR(__xludf.DUMMYFUNCTION("""COMPUTED_VALUE"""),"")</f>
        <v/>
      </c>
      <c r="I1133" t="str">
        <f>IFERROR(__xludf.DUMMYFUNCTION("""COMPUTED_VALUE"""),"")</f>
        <v/>
      </c>
      <c r="J1133">
        <f>IFERROR(__xludf.DUMMYFUNCTION("""COMPUTED_VALUE"""),0.0)</f>
        <v>0</v>
      </c>
      <c r="L1133" s="250" t="str">
        <f>IFERROR(__xludf.DUMMYFUNCTION("""COMPUTED_VALUE"""),"")</f>
        <v/>
      </c>
      <c r="M1133" s="250" t="str">
        <f>IFERROR(__xludf.DUMMYFUNCTION("""COMPUTED_VALUE"""),"")</f>
        <v/>
      </c>
      <c r="N1133" s="250" t="str">
        <f>IFERROR(__xludf.DUMMYFUNCTION("""COMPUTED_VALUE"""),"")</f>
        <v/>
      </c>
      <c r="O1133" s="250" t="str">
        <f>IFERROR(__xludf.DUMMYFUNCTION("""COMPUTED_VALUE"""),"")</f>
        <v/>
      </c>
      <c r="P1133" s="250" t="str">
        <f>IFERROR(__xludf.DUMMYFUNCTION("""COMPUTED_VALUE"""),"")</f>
        <v/>
      </c>
      <c r="Q1133" s="250" t="str">
        <f>IFERROR(__xludf.DUMMYFUNCTION("""COMPUTED_VALUE"""),"")</f>
        <v/>
      </c>
      <c r="R1133" s="250" t="str">
        <f>IFERROR(__xludf.DUMMYFUNCTION("""COMPUTED_VALUE"""),"")</f>
        <v/>
      </c>
      <c r="U1133" s="250" t="str">
        <f>IFERROR(__xludf.DUMMYFUNCTION("""COMPUTED_VALUE"""),"#N/A")</f>
        <v>#N/A</v>
      </c>
      <c r="V1133" s="250" t="str">
        <f>IFERROR(__xludf.DUMMYFUNCTION("""COMPUTED_VALUE"""),"#N/A")</f>
        <v>#N/A</v>
      </c>
      <c r="W1133" s="250" t="str">
        <f>IFERROR(__xludf.DUMMYFUNCTION("""COMPUTED_VALUE"""),"#N/A")</f>
        <v>#N/A</v>
      </c>
      <c r="X1133" t="b">
        <f t="shared" ref="X1133:Z1133" si="2242">ISBLANK(K1133)</f>
        <v>1</v>
      </c>
      <c r="Y1133" t="b">
        <f t="shared" si="2242"/>
        <v>0</v>
      </c>
      <c r="Z1133" t="b">
        <f t="shared" si="2242"/>
        <v>0</v>
      </c>
      <c r="AA1133">
        <f t="shared" ref="AA1133:AC1133" si="2243">IF(X1133=FALSE,1,0)</f>
        <v>0</v>
      </c>
      <c r="AB1133">
        <f t="shared" si="2243"/>
        <v>1</v>
      </c>
      <c r="AC1133">
        <f t="shared" si="2243"/>
        <v>1</v>
      </c>
      <c r="AD1133">
        <f t="shared" si="6"/>
        <v>2</v>
      </c>
      <c r="AE1133">
        <f t="shared" si="7"/>
        <v>1</v>
      </c>
    </row>
    <row r="1134">
      <c r="B1134" t="str">
        <f>IFERROR(__xludf.DUMMYFUNCTION("""COMPUTED_VALUE"""),"")</f>
        <v/>
      </c>
      <c r="C1134" t="str">
        <f>IFERROR(__xludf.DUMMYFUNCTION("""COMPUTED_VALUE"""),"")</f>
        <v/>
      </c>
      <c r="D1134" t="str">
        <f>IFERROR(__xludf.DUMMYFUNCTION("""COMPUTED_VALUE"""),"")</f>
        <v/>
      </c>
      <c r="E1134" t="str">
        <f>IFERROR(__xludf.DUMMYFUNCTION("""COMPUTED_VALUE"""),"")</f>
        <v/>
      </c>
      <c r="F1134" t="str">
        <f>IFERROR(__xludf.DUMMYFUNCTION("""COMPUTED_VALUE"""),"")</f>
        <v/>
      </c>
      <c r="G1134" t="str">
        <f>IFERROR(__xludf.DUMMYFUNCTION("""COMPUTED_VALUE"""),"")</f>
        <v/>
      </c>
      <c r="H1134" t="str">
        <f>IFERROR(__xludf.DUMMYFUNCTION("""COMPUTED_VALUE"""),"")</f>
        <v/>
      </c>
      <c r="I1134" t="str">
        <f>IFERROR(__xludf.DUMMYFUNCTION("""COMPUTED_VALUE"""),"")</f>
        <v/>
      </c>
      <c r="J1134">
        <f>IFERROR(__xludf.DUMMYFUNCTION("""COMPUTED_VALUE"""),0.0)</f>
        <v>0</v>
      </c>
      <c r="L1134" s="250" t="str">
        <f>IFERROR(__xludf.DUMMYFUNCTION("""COMPUTED_VALUE"""),"")</f>
        <v/>
      </c>
      <c r="M1134" s="250" t="str">
        <f>IFERROR(__xludf.DUMMYFUNCTION("""COMPUTED_VALUE"""),"")</f>
        <v/>
      </c>
      <c r="N1134" s="250" t="str">
        <f>IFERROR(__xludf.DUMMYFUNCTION("""COMPUTED_VALUE"""),"")</f>
        <v/>
      </c>
      <c r="O1134" s="250" t="str">
        <f>IFERROR(__xludf.DUMMYFUNCTION("""COMPUTED_VALUE"""),"")</f>
        <v/>
      </c>
      <c r="P1134" s="250" t="str">
        <f>IFERROR(__xludf.DUMMYFUNCTION("""COMPUTED_VALUE"""),"")</f>
        <v/>
      </c>
      <c r="Q1134" s="250" t="str">
        <f>IFERROR(__xludf.DUMMYFUNCTION("""COMPUTED_VALUE"""),"")</f>
        <v/>
      </c>
      <c r="R1134" s="250" t="str">
        <f>IFERROR(__xludf.DUMMYFUNCTION("""COMPUTED_VALUE"""),"")</f>
        <v/>
      </c>
      <c r="U1134" s="250" t="str">
        <f>IFERROR(__xludf.DUMMYFUNCTION("""COMPUTED_VALUE"""),"#N/A")</f>
        <v>#N/A</v>
      </c>
      <c r="V1134" s="250" t="str">
        <f>IFERROR(__xludf.DUMMYFUNCTION("""COMPUTED_VALUE"""),"#N/A")</f>
        <v>#N/A</v>
      </c>
      <c r="W1134" s="250" t="str">
        <f>IFERROR(__xludf.DUMMYFUNCTION("""COMPUTED_VALUE"""),"#N/A")</f>
        <v>#N/A</v>
      </c>
      <c r="X1134" t="b">
        <f t="shared" ref="X1134:Z1134" si="2244">ISBLANK(K1134)</f>
        <v>1</v>
      </c>
      <c r="Y1134" t="b">
        <f t="shared" si="2244"/>
        <v>0</v>
      </c>
      <c r="Z1134" t="b">
        <f t="shared" si="2244"/>
        <v>0</v>
      </c>
      <c r="AA1134">
        <f t="shared" ref="AA1134:AC1134" si="2245">IF(X1134=FALSE,1,0)</f>
        <v>0</v>
      </c>
      <c r="AB1134">
        <f t="shared" si="2245"/>
        <v>1</v>
      </c>
      <c r="AC1134">
        <f t="shared" si="2245"/>
        <v>1</v>
      </c>
      <c r="AD1134">
        <f t="shared" si="6"/>
        <v>2</v>
      </c>
      <c r="AE1134">
        <f t="shared" si="7"/>
        <v>1</v>
      </c>
    </row>
    <row r="1135">
      <c r="B1135" t="str">
        <f>IFERROR(__xludf.DUMMYFUNCTION("""COMPUTED_VALUE"""),"")</f>
        <v/>
      </c>
      <c r="C1135" t="str">
        <f>IFERROR(__xludf.DUMMYFUNCTION("""COMPUTED_VALUE"""),"")</f>
        <v/>
      </c>
      <c r="D1135" t="str">
        <f>IFERROR(__xludf.DUMMYFUNCTION("""COMPUTED_VALUE"""),"")</f>
        <v/>
      </c>
      <c r="E1135" t="str">
        <f>IFERROR(__xludf.DUMMYFUNCTION("""COMPUTED_VALUE"""),"")</f>
        <v/>
      </c>
      <c r="F1135" t="str">
        <f>IFERROR(__xludf.DUMMYFUNCTION("""COMPUTED_VALUE"""),"")</f>
        <v/>
      </c>
      <c r="G1135" t="str">
        <f>IFERROR(__xludf.DUMMYFUNCTION("""COMPUTED_VALUE"""),"")</f>
        <v/>
      </c>
      <c r="H1135" t="str">
        <f>IFERROR(__xludf.DUMMYFUNCTION("""COMPUTED_VALUE"""),"")</f>
        <v/>
      </c>
      <c r="I1135" t="str">
        <f>IFERROR(__xludf.DUMMYFUNCTION("""COMPUTED_VALUE"""),"")</f>
        <v/>
      </c>
      <c r="J1135">
        <f>IFERROR(__xludf.DUMMYFUNCTION("""COMPUTED_VALUE"""),0.0)</f>
        <v>0</v>
      </c>
      <c r="L1135" s="250" t="str">
        <f>IFERROR(__xludf.DUMMYFUNCTION("""COMPUTED_VALUE"""),"")</f>
        <v/>
      </c>
      <c r="M1135" s="250" t="str">
        <f>IFERROR(__xludf.DUMMYFUNCTION("""COMPUTED_VALUE"""),"")</f>
        <v/>
      </c>
      <c r="N1135" s="250" t="str">
        <f>IFERROR(__xludf.DUMMYFUNCTION("""COMPUTED_VALUE"""),"")</f>
        <v/>
      </c>
      <c r="O1135" s="250" t="str">
        <f>IFERROR(__xludf.DUMMYFUNCTION("""COMPUTED_VALUE"""),"")</f>
        <v/>
      </c>
      <c r="P1135" s="250" t="str">
        <f>IFERROR(__xludf.DUMMYFUNCTION("""COMPUTED_VALUE"""),"")</f>
        <v/>
      </c>
      <c r="Q1135" s="250" t="str">
        <f>IFERROR(__xludf.DUMMYFUNCTION("""COMPUTED_VALUE"""),"")</f>
        <v/>
      </c>
      <c r="R1135" s="250" t="str">
        <f>IFERROR(__xludf.DUMMYFUNCTION("""COMPUTED_VALUE"""),"")</f>
        <v/>
      </c>
      <c r="U1135" s="250" t="str">
        <f>IFERROR(__xludf.DUMMYFUNCTION("""COMPUTED_VALUE"""),"#N/A")</f>
        <v>#N/A</v>
      </c>
      <c r="V1135" s="250" t="str">
        <f>IFERROR(__xludf.DUMMYFUNCTION("""COMPUTED_VALUE"""),"#N/A")</f>
        <v>#N/A</v>
      </c>
      <c r="W1135" s="250" t="str">
        <f>IFERROR(__xludf.DUMMYFUNCTION("""COMPUTED_VALUE"""),"#N/A")</f>
        <v>#N/A</v>
      </c>
      <c r="X1135" t="b">
        <f t="shared" ref="X1135:Z1135" si="2246">ISBLANK(K1135)</f>
        <v>1</v>
      </c>
      <c r="Y1135" t="b">
        <f t="shared" si="2246"/>
        <v>0</v>
      </c>
      <c r="Z1135" t="b">
        <f t="shared" si="2246"/>
        <v>0</v>
      </c>
      <c r="AA1135">
        <f t="shared" ref="AA1135:AC1135" si="2247">IF(X1135=FALSE,1,0)</f>
        <v>0</v>
      </c>
      <c r="AB1135">
        <f t="shared" si="2247"/>
        <v>1</v>
      </c>
      <c r="AC1135">
        <f t="shared" si="2247"/>
        <v>1</v>
      </c>
      <c r="AD1135">
        <f t="shared" si="6"/>
        <v>2</v>
      </c>
      <c r="AE1135">
        <f t="shared" si="7"/>
        <v>1</v>
      </c>
    </row>
    <row r="1136">
      <c r="B1136" t="str">
        <f>IFERROR(__xludf.DUMMYFUNCTION("""COMPUTED_VALUE"""),"")</f>
        <v/>
      </c>
      <c r="C1136" t="str">
        <f>IFERROR(__xludf.DUMMYFUNCTION("""COMPUTED_VALUE"""),"")</f>
        <v/>
      </c>
      <c r="D1136" t="str">
        <f>IFERROR(__xludf.DUMMYFUNCTION("""COMPUTED_VALUE"""),"")</f>
        <v/>
      </c>
      <c r="E1136" t="str">
        <f>IFERROR(__xludf.DUMMYFUNCTION("""COMPUTED_VALUE"""),"")</f>
        <v/>
      </c>
      <c r="F1136" t="str">
        <f>IFERROR(__xludf.DUMMYFUNCTION("""COMPUTED_VALUE"""),"")</f>
        <v/>
      </c>
      <c r="G1136" t="str">
        <f>IFERROR(__xludf.DUMMYFUNCTION("""COMPUTED_VALUE"""),"")</f>
        <v/>
      </c>
      <c r="H1136" t="str">
        <f>IFERROR(__xludf.DUMMYFUNCTION("""COMPUTED_VALUE"""),"")</f>
        <v/>
      </c>
      <c r="I1136" t="str">
        <f>IFERROR(__xludf.DUMMYFUNCTION("""COMPUTED_VALUE"""),"")</f>
        <v/>
      </c>
      <c r="J1136">
        <f>IFERROR(__xludf.DUMMYFUNCTION("""COMPUTED_VALUE"""),0.0)</f>
        <v>0</v>
      </c>
      <c r="L1136" s="250" t="str">
        <f>IFERROR(__xludf.DUMMYFUNCTION("""COMPUTED_VALUE"""),"")</f>
        <v/>
      </c>
      <c r="M1136" s="250" t="str">
        <f>IFERROR(__xludf.DUMMYFUNCTION("""COMPUTED_VALUE"""),"")</f>
        <v/>
      </c>
      <c r="N1136" s="250" t="str">
        <f>IFERROR(__xludf.DUMMYFUNCTION("""COMPUTED_VALUE"""),"")</f>
        <v/>
      </c>
      <c r="O1136" s="250" t="str">
        <f>IFERROR(__xludf.DUMMYFUNCTION("""COMPUTED_VALUE"""),"")</f>
        <v/>
      </c>
      <c r="P1136" s="250" t="str">
        <f>IFERROR(__xludf.DUMMYFUNCTION("""COMPUTED_VALUE"""),"")</f>
        <v/>
      </c>
      <c r="Q1136" s="250" t="str">
        <f>IFERROR(__xludf.DUMMYFUNCTION("""COMPUTED_VALUE"""),"")</f>
        <v/>
      </c>
      <c r="R1136" s="250" t="str">
        <f>IFERROR(__xludf.DUMMYFUNCTION("""COMPUTED_VALUE"""),"")</f>
        <v/>
      </c>
      <c r="U1136" s="250" t="str">
        <f>IFERROR(__xludf.DUMMYFUNCTION("""COMPUTED_VALUE"""),"#N/A")</f>
        <v>#N/A</v>
      </c>
      <c r="V1136" s="250" t="str">
        <f>IFERROR(__xludf.DUMMYFUNCTION("""COMPUTED_VALUE"""),"#N/A")</f>
        <v>#N/A</v>
      </c>
      <c r="W1136" s="250" t="str">
        <f>IFERROR(__xludf.DUMMYFUNCTION("""COMPUTED_VALUE"""),"#N/A")</f>
        <v>#N/A</v>
      </c>
      <c r="X1136" t="b">
        <f t="shared" ref="X1136:Z1136" si="2248">ISBLANK(K1136)</f>
        <v>1</v>
      </c>
      <c r="Y1136" t="b">
        <f t="shared" si="2248"/>
        <v>0</v>
      </c>
      <c r="Z1136" t="b">
        <f t="shared" si="2248"/>
        <v>0</v>
      </c>
      <c r="AA1136">
        <f t="shared" ref="AA1136:AC1136" si="2249">IF(X1136=FALSE,1,0)</f>
        <v>0</v>
      </c>
      <c r="AB1136">
        <f t="shared" si="2249"/>
        <v>1</v>
      </c>
      <c r="AC1136">
        <f t="shared" si="2249"/>
        <v>1</v>
      </c>
      <c r="AD1136">
        <f t="shared" si="6"/>
        <v>2</v>
      </c>
      <c r="AE1136">
        <f t="shared" si="7"/>
        <v>1</v>
      </c>
    </row>
    <row r="1137">
      <c r="B1137" t="str">
        <f>IFERROR(__xludf.DUMMYFUNCTION("""COMPUTED_VALUE"""),"")</f>
        <v/>
      </c>
      <c r="C1137" t="str">
        <f>IFERROR(__xludf.DUMMYFUNCTION("""COMPUTED_VALUE"""),"")</f>
        <v/>
      </c>
      <c r="D1137" t="str">
        <f>IFERROR(__xludf.DUMMYFUNCTION("""COMPUTED_VALUE"""),"")</f>
        <v/>
      </c>
      <c r="E1137" t="str">
        <f>IFERROR(__xludf.DUMMYFUNCTION("""COMPUTED_VALUE"""),"")</f>
        <v/>
      </c>
      <c r="F1137" t="str">
        <f>IFERROR(__xludf.DUMMYFUNCTION("""COMPUTED_VALUE"""),"")</f>
        <v/>
      </c>
      <c r="G1137" t="str">
        <f>IFERROR(__xludf.DUMMYFUNCTION("""COMPUTED_VALUE"""),"")</f>
        <v/>
      </c>
      <c r="H1137" t="str">
        <f>IFERROR(__xludf.DUMMYFUNCTION("""COMPUTED_VALUE"""),"")</f>
        <v/>
      </c>
      <c r="I1137" t="str">
        <f>IFERROR(__xludf.DUMMYFUNCTION("""COMPUTED_VALUE"""),"")</f>
        <v/>
      </c>
      <c r="J1137">
        <f>IFERROR(__xludf.DUMMYFUNCTION("""COMPUTED_VALUE"""),0.0)</f>
        <v>0</v>
      </c>
      <c r="L1137" s="250" t="str">
        <f>IFERROR(__xludf.DUMMYFUNCTION("""COMPUTED_VALUE"""),"")</f>
        <v/>
      </c>
      <c r="M1137" s="250" t="str">
        <f>IFERROR(__xludf.DUMMYFUNCTION("""COMPUTED_VALUE"""),"")</f>
        <v/>
      </c>
      <c r="N1137" s="250" t="str">
        <f>IFERROR(__xludf.DUMMYFUNCTION("""COMPUTED_VALUE"""),"")</f>
        <v/>
      </c>
      <c r="O1137" s="250" t="str">
        <f>IFERROR(__xludf.DUMMYFUNCTION("""COMPUTED_VALUE"""),"")</f>
        <v/>
      </c>
      <c r="P1137" s="250" t="str">
        <f>IFERROR(__xludf.DUMMYFUNCTION("""COMPUTED_VALUE"""),"")</f>
        <v/>
      </c>
      <c r="Q1137" s="250" t="str">
        <f>IFERROR(__xludf.DUMMYFUNCTION("""COMPUTED_VALUE"""),"")</f>
        <v/>
      </c>
      <c r="R1137" s="250" t="str">
        <f>IFERROR(__xludf.DUMMYFUNCTION("""COMPUTED_VALUE"""),"")</f>
        <v/>
      </c>
      <c r="U1137" s="250" t="str">
        <f>IFERROR(__xludf.DUMMYFUNCTION("""COMPUTED_VALUE"""),"#N/A")</f>
        <v>#N/A</v>
      </c>
      <c r="V1137" s="250" t="str">
        <f>IFERROR(__xludf.DUMMYFUNCTION("""COMPUTED_VALUE"""),"#N/A")</f>
        <v>#N/A</v>
      </c>
      <c r="W1137" s="250" t="str">
        <f>IFERROR(__xludf.DUMMYFUNCTION("""COMPUTED_VALUE"""),"#N/A")</f>
        <v>#N/A</v>
      </c>
      <c r="X1137" t="b">
        <f t="shared" ref="X1137:Z1137" si="2250">ISBLANK(K1137)</f>
        <v>1</v>
      </c>
      <c r="Y1137" t="b">
        <f t="shared" si="2250"/>
        <v>0</v>
      </c>
      <c r="Z1137" t="b">
        <f t="shared" si="2250"/>
        <v>0</v>
      </c>
      <c r="AA1137">
        <f t="shared" ref="AA1137:AC1137" si="2251">IF(X1137=FALSE,1,0)</f>
        <v>0</v>
      </c>
      <c r="AB1137">
        <f t="shared" si="2251"/>
        <v>1</v>
      </c>
      <c r="AC1137">
        <f t="shared" si="2251"/>
        <v>1</v>
      </c>
      <c r="AD1137">
        <f t="shared" si="6"/>
        <v>2</v>
      </c>
      <c r="AE1137">
        <f t="shared" si="7"/>
        <v>1</v>
      </c>
    </row>
    <row r="1138">
      <c r="B1138" t="str">
        <f>IFERROR(__xludf.DUMMYFUNCTION("""COMPUTED_VALUE"""),"")</f>
        <v/>
      </c>
      <c r="C1138" t="str">
        <f>IFERROR(__xludf.DUMMYFUNCTION("""COMPUTED_VALUE"""),"")</f>
        <v/>
      </c>
      <c r="D1138" t="str">
        <f>IFERROR(__xludf.DUMMYFUNCTION("""COMPUTED_VALUE"""),"")</f>
        <v/>
      </c>
      <c r="E1138" t="str">
        <f>IFERROR(__xludf.DUMMYFUNCTION("""COMPUTED_VALUE"""),"")</f>
        <v/>
      </c>
      <c r="F1138" t="str">
        <f>IFERROR(__xludf.DUMMYFUNCTION("""COMPUTED_VALUE"""),"")</f>
        <v/>
      </c>
      <c r="G1138" t="str">
        <f>IFERROR(__xludf.DUMMYFUNCTION("""COMPUTED_VALUE"""),"")</f>
        <v/>
      </c>
      <c r="H1138" t="str">
        <f>IFERROR(__xludf.DUMMYFUNCTION("""COMPUTED_VALUE"""),"")</f>
        <v/>
      </c>
      <c r="I1138" t="str">
        <f>IFERROR(__xludf.DUMMYFUNCTION("""COMPUTED_VALUE"""),"")</f>
        <v/>
      </c>
      <c r="J1138">
        <f>IFERROR(__xludf.DUMMYFUNCTION("""COMPUTED_VALUE"""),0.0)</f>
        <v>0</v>
      </c>
      <c r="L1138" s="250" t="str">
        <f>IFERROR(__xludf.DUMMYFUNCTION("""COMPUTED_VALUE"""),"")</f>
        <v/>
      </c>
      <c r="M1138" s="250" t="str">
        <f>IFERROR(__xludf.DUMMYFUNCTION("""COMPUTED_VALUE"""),"")</f>
        <v/>
      </c>
      <c r="N1138" s="250" t="str">
        <f>IFERROR(__xludf.DUMMYFUNCTION("""COMPUTED_VALUE"""),"")</f>
        <v/>
      </c>
      <c r="O1138" s="250" t="str">
        <f>IFERROR(__xludf.DUMMYFUNCTION("""COMPUTED_VALUE"""),"")</f>
        <v/>
      </c>
      <c r="P1138" s="250" t="str">
        <f>IFERROR(__xludf.DUMMYFUNCTION("""COMPUTED_VALUE"""),"")</f>
        <v/>
      </c>
      <c r="Q1138" s="250" t="str">
        <f>IFERROR(__xludf.DUMMYFUNCTION("""COMPUTED_VALUE"""),"")</f>
        <v/>
      </c>
      <c r="R1138" s="250" t="str">
        <f>IFERROR(__xludf.DUMMYFUNCTION("""COMPUTED_VALUE"""),"")</f>
        <v/>
      </c>
      <c r="U1138" s="250" t="str">
        <f>IFERROR(__xludf.DUMMYFUNCTION("""COMPUTED_VALUE"""),"#N/A")</f>
        <v>#N/A</v>
      </c>
      <c r="V1138" s="250" t="str">
        <f>IFERROR(__xludf.DUMMYFUNCTION("""COMPUTED_VALUE"""),"#N/A")</f>
        <v>#N/A</v>
      </c>
      <c r="W1138" s="250" t="str">
        <f>IFERROR(__xludf.DUMMYFUNCTION("""COMPUTED_VALUE"""),"#N/A")</f>
        <v>#N/A</v>
      </c>
      <c r="X1138" t="b">
        <f t="shared" ref="X1138:Z1138" si="2252">ISBLANK(K1138)</f>
        <v>1</v>
      </c>
      <c r="Y1138" t="b">
        <f t="shared" si="2252"/>
        <v>0</v>
      </c>
      <c r="Z1138" t="b">
        <f t="shared" si="2252"/>
        <v>0</v>
      </c>
      <c r="AA1138">
        <f t="shared" ref="AA1138:AC1138" si="2253">IF(X1138=FALSE,1,0)</f>
        <v>0</v>
      </c>
      <c r="AB1138">
        <f t="shared" si="2253"/>
        <v>1</v>
      </c>
      <c r="AC1138">
        <f t="shared" si="2253"/>
        <v>1</v>
      </c>
      <c r="AD1138">
        <f t="shared" si="6"/>
        <v>2</v>
      </c>
      <c r="AE1138">
        <f t="shared" si="7"/>
        <v>1</v>
      </c>
    </row>
    <row r="1139">
      <c r="B1139" t="str">
        <f>IFERROR(__xludf.DUMMYFUNCTION("""COMPUTED_VALUE"""),"")</f>
        <v/>
      </c>
      <c r="C1139" t="str">
        <f>IFERROR(__xludf.DUMMYFUNCTION("""COMPUTED_VALUE"""),"")</f>
        <v/>
      </c>
      <c r="D1139" t="str">
        <f>IFERROR(__xludf.DUMMYFUNCTION("""COMPUTED_VALUE"""),"")</f>
        <v/>
      </c>
      <c r="E1139" t="str">
        <f>IFERROR(__xludf.DUMMYFUNCTION("""COMPUTED_VALUE"""),"")</f>
        <v/>
      </c>
      <c r="F1139" t="str">
        <f>IFERROR(__xludf.DUMMYFUNCTION("""COMPUTED_VALUE"""),"")</f>
        <v/>
      </c>
      <c r="G1139" t="str">
        <f>IFERROR(__xludf.DUMMYFUNCTION("""COMPUTED_VALUE"""),"")</f>
        <v/>
      </c>
      <c r="H1139" t="str">
        <f>IFERROR(__xludf.DUMMYFUNCTION("""COMPUTED_VALUE"""),"")</f>
        <v/>
      </c>
      <c r="I1139" t="str">
        <f>IFERROR(__xludf.DUMMYFUNCTION("""COMPUTED_VALUE"""),"")</f>
        <v/>
      </c>
      <c r="J1139">
        <f>IFERROR(__xludf.DUMMYFUNCTION("""COMPUTED_VALUE"""),0.0)</f>
        <v>0</v>
      </c>
      <c r="L1139" s="250" t="str">
        <f>IFERROR(__xludf.DUMMYFUNCTION("""COMPUTED_VALUE"""),"")</f>
        <v/>
      </c>
      <c r="M1139" s="250" t="str">
        <f>IFERROR(__xludf.DUMMYFUNCTION("""COMPUTED_VALUE"""),"")</f>
        <v/>
      </c>
      <c r="N1139" s="250" t="str">
        <f>IFERROR(__xludf.DUMMYFUNCTION("""COMPUTED_VALUE"""),"")</f>
        <v/>
      </c>
      <c r="O1139" s="250" t="str">
        <f>IFERROR(__xludf.DUMMYFUNCTION("""COMPUTED_VALUE"""),"")</f>
        <v/>
      </c>
      <c r="P1139" s="250" t="str">
        <f>IFERROR(__xludf.DUMMYFUNCTION("""COMPUTED_VALUE"""),"")</f>
        <v/>
      </c>
      <c r="Q1139" s="250" t="str">
        <f>IFERROR(__xludf.DUMMYFUNCTION("""COMPUTED_VALUE"""),"")</f>
        <v/>
      </c>
      <c r="R1139" s="250" t="str">
        <f>IFERROR(__xludf.DUMMYFUNCTION("""COMPUTED_VALUE"""),"")</f>
        <v/>
      </c>
      <c r="U1139" s="250" t="str">
        <f>IFERROR(__xludf.DUMMYFUNCTION("""COMPUTED_VALUE"""),"#N/A")</f>
        <v>#N/A</v>
      </c>
      <c r="V1139" s="250" t="str">
        <f>IFERROR(__xludf.DUMMYFUNCTION("""COMPUTED_VALUE"""),"#N/A")</f>
        <v>#N/A</v>
      </c>
      <c r="W1139" s="250" t="str">
        <f>IFERROR(__xludf.DUMMYFUNCTION("""COMPUTED_VALUE"""),"#N/A")</f>
        <v>#N/A</v>
      </c>
      <c r="X1139" t="b">
        <f t="shared" ref="X1139:Z1139" si="2254">ISBLANK(K1139)</f>
        <v>1</v>
      </c>
      <c r="Y1139" t="b">
        <f t="shared" si="2254"/>
        <v>0</v>
      </c>
      <c r="Z1139" t="b">
        <f t="shared" si="2254"/>
        <v>0</v>
      </c>
      <c r="AA1139">
        <f t="shared" ref="AA1139:AC1139" si="2255">IF(X1139=FALSE,1,0)</f>
        <v>0</v>
      </c>
      <c r="AB1139">
        <f t="shared" si="2255"/>
        <v>1</v>
      </c>
      <c r="AC1139">
        <f t="shared" si="2255"/>
        <v>1</v>
      </c>
      <c r="AD1139">
        <f t="shared" si="6"/>
        <v>2</v>
      </c>
      <c r="AE1139">
        <f t="shared" si="7"/>
        <v>1</v>
      </c>
    </row>
    <row r="1140">
      <c r="B1140" t="str">
        <f>IFERROR(__xludf.DUMMYFUNCTION("""COMPUTED_VALUE"""),"")</f>
        <v/>
      </c>
      <c r="C1140" t="str">
        <f>IFERROR(__xludf.DUMMYFUNCTION("""COMPUTED_VALUE"""),"")</f>
        <v/>
      </c>
      <c r="D1140" t="str">
        <f>IFERROR(__xludf.DUMMYFUNCTION("""COMPUTED_VALUE"""),"")</f>
        <v/>
      </c>
      <c r="E1140" t="str">
        <f>IFERROR(__xludf.DUMMYFUNCTION("""COMPUTED_VALUE"""),"")</f>
        <v/>
      </c>
      <c r="F1140" t="str">
        <f>IFERROR(__xludf.DUMMYFUNCTION("""COMPUTED_VALUE"""),"")</f>
        <v/>
      </c>
      <c r="G1140" t="str">
        <f>IFERROR(__xludf.DUMMYFUNCTION("""COMPUTED_VALUE"""),"")</f>
        <v/>
      </c>
      <c r="H1140" t="str">
        <f>IFERROR(__xludf.DUMMYFUNCTION("""COMPUTED_VALUE"""),"")</f>
        <v/>
      </c>
      <c r="I1140" t="str">
        <f>IFERROR(__xludf.DUMMYFUNCTION("""COMPUTED_VALUE"""),"")</f>
        <v/>
      </c>
      <c r="J1140">
        <f>IFERROR(__xludf.DUMMYFUNCTION("""COMPUTED_VALUE"""),0.0)</f>
        <v>0</v>
      </c>
      <c r="L1140" s="250" t="str">
        <f>IFERROR(__xludf.DUMMYFUNCTION("""COMPUTED_VALUE"""),"")</f>
        <v/>
      </c>
      <c r="M1140" s="250" t="str">
        <f>IFERROR(__xludf.DUMMYFUNCTION("""COMPUTED_VALUE"""),"")</f>
        <v/>
      </c>
      <c r="N1140" s="250" t="str">
        <f>IFERROR(__xludf.DUMMYFUNCTION("""COMPUTED_VALUE"""),"")</f>
        <v/>
      </c>
      <c r="O1140" s="250" t="str">
        <f>IFERROR(__xludf.DUMMYFUNCTION("""COMPUTED_VALUE"""),"")</f>
        <v/>
      </c>
      <c r="P1140" s="250" t="str">
        <f>IFERROR(__xludf.DUMMYFUNCTION("""COMPUTED_VALUE"""),"")</f>
        <v/>
      </c>
      <c r="Q1140" s="250" t="str">
        <f>IFERROR(__xludf.DUMMYFUNCTION("""COMPUTED_VALUE"""),"")</f>
        <v/>
      </c>
      <c r="R1140" s="250" t="str">
        <f>IFERROR(__xludf.DUMMYFUNCTION("""COMPUTED_VALUE"""),"")</f>
        <v/>
      </c>
      <c r="U1140" s="250" t="str">
        <f>IFERROR(__xludf.DUMMYFUNCTION("""COMPUTED_VALUE"""),"#N/A")</f>
        <v>#N/A</v>
      </c>
      <c r="V1140" s="250" t="str">
        <f>IFERROR(__xludf.DUMMYFUNCTION("""COMPUTED_VALUE"""),"#N/A")</f>
        <v>#N/A</v>
      </c>
      <c r="W1140" s="250" t="str">
        <f>IFERROR(__xludf.DUMMYFUNCTION("""COMPUTED_VALUE"""),"#N/A")</f>
        <v>#N/A</v>
      </c>
      <c r="X1140" t="b">
        <f t="shared" ref="X1140:Z1140" si="2256">ISBLANK(K1140)</f>
        <v>1</v>
      </c>
      <c r="Y1140" t="b">
        <f t="shared" si="2256"/>
        <v>0</v>
      </c>
      <c r="Z1140" t="b">
        <f t="shared" si="2256"/>
        <v>0</v>
      </c>
      <c r="AA1140">
        <f t="shared" ref="AA1140:AC1140" si="2257">IF(X1140=FALSE,1,0)</f>
        <v>0</v>
      </c>
      <c r="AB1140">
        <f t="shared" si="2257"/>
        <v>1</v>
      </c>
      <c r="AC1140">
        <f t="shared" si="2257"/>
        <v>1</v>
      </c>
      <c r="AD1140">
        <f t="shared" si="6"/>
        <v>2</v>
      </c>
      <c r="AE1140">
        <f t="shared" si="7"/>
        <v>1</v>
      </c>
    </row>
    <row r="1141">
      <c r="B1141" t="str">
        <f>IFERROR(__xludf.DUMMYFUNCTION("""COMPUTED_VALUE"""),"")</f>
        <v/>
      </c>
      <c r="C1141" t="str">
        <f>IFERROR(__xludf.DUMMYFUNCTION("""COMPUTED_VALUE"""),"")</f>
        <v/>
      </c>
      <c r="D1141" t="str">
        <f>IFERROR(__xludf.DUMMYFUNCTION("""COMPUTED_VALUE"""),"")</f>
        <v/>
      </c>
      <c r="E1141" t="str">
        <f>IFERROR(__xludf.DUMMYFUNCTION("""COMPUTED_VALUE"""),"")</f>
        <v/>
      </c>
      <c r="F1141" t="str">
        <f>IFERROR(__xludf.DUMMYFUNCTION("""COMPUTED_VALUE"""),"")</f>
        <v/>
      </c>
      <c r="G1141" t="str">
        <f>IFERROR(__xludf.DUMMYFUNCTION("""COMPUTED_VALUE"""),"")</f>
        <v/>
      </c>
      <c r="H1141" t="str">
        <f>IFERROR(__xludf.DUMMYFUNCTION("""COMPUTED_VALUE"""),"")</f>
        <v/>
      </c>
      <c r="I1141" t="str">
        <f>IFERROR(__xludf.DUMMYFUNCTION("""COMPUTED_VALUE"""),"")</f>
        <v/>
      </c>
      <c r="J1141">
        <f>IFERROR(__xludf.DUMMYFUNCTION("""COMPUTED_VALUE"""),0.0)</f>
        <v>0</v>
      </c>
      <c r="L1141" s="250" t="str">
        <f>IFERROR(__xludf.DUMMYFUNCTION("""COMPUTED_VALUE"""),"")</f>
        <v/>
      </c>
      <c r="M1141" s="250" t="str">
        <f>IFERROR(__xludf.DUMMYFUNCTION("""COMPUTED_VALUE"""),"")</f>
        <v/>
      </c>
      <c r="N1141" s="250" t="str">
        <f>IFERROR(__xludf.DUMMYFUNCTION("""COMPUTED_VALUE"""),"")</f>
        <v/>
      </c>
      <c r="O1141" s="250" t="str">
        <f>IFERROR(__xludf.DUMMYFUNCTION("""COMPUTED_VALUE"""),"")</f>
        <v/>
      </c>
      <c r="P1141" s="250" t="str">
        <f>IFERROR(__xludf.DUMMYFUNCTION("""COMPUTED_VALUE"""),"")</f>
        <v/>
      </c>
      <c r="Q1141" s="250" t="str">
        <f>IFERROR(__xludf.DUMMYFUNCTION("""COMPUTED_VALUE"""),"")</f>
        <v/>
      </c>
      <c r="R1141" s="250" t="str">
        <f>IFERROR(__xludf.DUMMYFUNCTION("""COMPUTED_VALUE"""),"")</f>
        <v/>
      </c>
      <c r="U1141" s="250" t="str">
        <f>IFERROR(__xludf.DUMMYFUNCTION("""COMPUTED_VALUE"""),"#N/A")</f>
        <v>#N/A</v>
      </c>
      <c r="V1141" s="250" t="str">
        <f>IFERROR(__xludf.DUMMYFUNCTION("""COMPUTED_VALUE"""),"#N/A")</f>
        <v>#N/A</v>
      </c>
      <c r="W1141" s="250" t="str">
        <f>IFERROR(__xludf.DUMMYFUNCTION("""COMPUTED_VALUE"""),"#N/A")</f>
        <v>#N/A</v>
      </c>
      <c r="X1141" t="b">
        <f t="shared" ref="X1141:Z1141" si="2258">ISBLANK(K1141)</f>
        <v>1</v>
      </c>
      <c r="Y1141" t="b">
        <f t="shared" si="2258"/>
        <v>0</v>
      </c>
      <c r="Z1141" t="b">
        <f t="shared" si="2258"/>
        <v>0</v>
      </c>
      <c r="AA1141">
        <f t="shared" ref="AA1141:AC1141" si="2259">IF(X1141=FALSE,1,0)</f>
        <v>0</v>
      </c>
      <c r="AB1141">
        <f t="shared" si="2259"/>
        <v>1</v>
      </c>
      <c r="AC1141">
        <f t="shared" si="2259"/>
        <v>1</v>
      </c>
      <c r="AD1141">
        <f t="shared" si="6"/>
        <v>2</v>
      </c>
      <c r="AE1141">
        <f t="shared" si="7"/>
        <v>1</v>
      </c>
    </row>
    <row r="1142">
      <c r="B1142" t="str">
        <f>IFERROR(__xludf.DUMMYFUNCTION("""COMPUTED_VALUE"""),"")</f>
        <v/>
      </c>
      <c r="C1142" t="str">
        <f>IFERROR(__xludf.DUMMYFUNCTION("""COMPUTED_VALUE"""),"")</f>
        <v/>
      </c>
      <c r="D1142" t="str">
        <f>IFERROR(__xludf.DUMMYFUNCTION("""COMPUTED_VALUE"""),"")</f>
        <v/>
      </c>
      <c r="E1142" t="str">
        <f>IFERROR(__xludf.DUMMYFUNCTION("""COMPUTED_VALUE"""),"")</f>
        <v/>
      </c>
      <c r="F1142" t="str">
        <f>IFERROR(__xludf.DUMMYFUNCTION("""COMPUTED_VALUE"""),"")</f>
        <v/>
      </c>
      <c r="G1142" t="str">
        <f>IFERROR(__xludf.DUMMYFUNCTION("""COMPUTED_VALUE"""),"")</f>
        <v/>
      </c>
      <c r="H1142" t="str">
        <f>IFERROR(__xludf.DUMMYFUNCTION("""COMPUTED_VALUE"""),"")</f>
        <v/>
      </c>
      <c r="I1142" t="str">
        <f>IFERROR(__xludf.DUMMYFUNCTION("""COMPUTED_VALUE"""),"")</f>
        <v/>
      </c>
      <c r="J1142">
        <f>IFERROR(__xludf.DUMMYFUNCTION("""COMPUTED_VALUE"""),0.0)</f>
        <v>0</v>
      </c>
      <c r="L1142" s="250" t="str">
        <f>IFERROR(__xludf.DUMMYFUNCTION("""COMPUTED_VALUE"""),"")</f>
        <v/>
      </c>
      <c r="M1142" s="250" t="str">
        <f>IFERROR(__xludf.DUMMYFUNCTION("""COMPUTED_VALUE"""),"")</f>
        <v/>
      </c>
      <c r="N1142" s="250" t="str">
        <f>IFERROR(__xludf.DUMMYFUNCTION("""COMPUTED_VALUE"""),"")</f>
        <v/>
      </c>
      <c r="O1142" s="250" t="str">
        <f>IFERROR(__xludf.DUMMYFUNCTION("""COMPUTED_VALUE"""),"")</f>
        <v/>
      </c>
      <c r="P1142" s="250" t="str">
        <f>IFERROR(__xludf.DUMMYFUNCTION("""COMPUTED_VALUE"""),"")</f>
        <v/>
      </c>
      <c r="Q1142" s="250" t="str">
        <f>IFERROR(__xludf.DUMMYFUNCTION("""COMPUTED_VALUE"""),"")</f>
        <v/>
      </c>
      <c r="R1142" s="250" t="str">
        <f>IFERROR(__xludf.DUMMYFUNCTION("""COMPUTED_VALUE"""),"")</f>
        <v/>
      </c>
      <c r="U1142" s="250" t="str">
        <f>IFERROR(__xludf.DUMMYFUNCTION("""COMPUTED_VALUE"""),"#N/A")</f>
        <v>#N/A</v>
      </c>
      <c r="V1142" s="250" t="str">
        <f>IFERROR(__xludf.DUMMYFUNCTION("""COMPUTED_VALUE"""),"#N/A")</f>
        <v>#N/A</v>
      </c>
      <c r="W1142" s="250" t="str">
        <f>IFERROR(__xludf.DUMMYFUNCTION("""COMPUTED_VALUE"""),"#N/A")</f>
        <v>#N/A</v>
      </c>
      <c r="X1142" t="b">
        <f t="shared" ref="X1142:Z1142" si="2260">ISBLANK(K1142)</f>
        <v>1</v>
      </c>
      <c r="Y1142" t="b">
        <f t="shared" si="2260"/>
        <v>0</v>
      </c>
      <c r="Z1142" t="b">
        <f t="shared" si="2260"/>
        <v>0</v>
      </c>
      <c r="AA1142">
        <f t="shared" ref="AA1142:AC1142" si="2261">IF(X1142=FALSE,1,0)</f>
        <v>0</v>
      </c>
      <c r="AB1142">
        <f t="shared" si="2261"/>
        <v>1</v>
      </c>
      <c r="AC1142">
        <f t="shared" si="2261"/>
        <v>1</v>
      </c>
      <c r="AD1142">
        <f t="shared" si="6"/>
        <v>2</v>
      </c>
      <c r="AE1142">
        <f t="shared" si="7"/>
        <v>1</v>
      </c>
    </row>
    <row r="1143">
      <c r="B1143" t="str">
        <f>IFERROR(__xludf.DUMMYFUNCTION("""COMPUTED_VALUE"""),"")</f>
        <v/>
      </c>
      <c r="C1143" t="str">
        <f>IFERROR(__xludf.DUMMYFUNCTION("""COMPUTED_VALUE"""),"")</f>
        <v/>
      </c>
      <c r="D1143" t="str">
        <f>IFERROR(__xludf.DUMMYFUNCTION("""COMPUTED_VALUE"""),"")</f>
        <v/>
      </c>
      <c r="E1143" t="str">
        <f>IFERROR(__xludf.DUMMYFUNCTION("""COMPUTED_VALUE"""),"")</f>
        <v/>
      </c>
      <c r="F1143" t="str">
        <f>IFERROR(__xludf.DUMMYFUNCTION("""COMPUTED_VALUE"""),"")</f>
        <v/>
      </c>
      <c r="G1143" t="str">
        <f>IFERROR(__xludf.DUMMYFUNCTION("""COMPUTED_VALUE"""),"")</f>
        <v/>
      </c>
      <c r="H1143" t="str">
        <f>IFERROR(__xludf.DUMMYFUNCTION("""COMPUTED_VALUE"""),"")</f>
        <v/>
      </c>
      <c r="I1143" t="str">
        <f>IFERROR(__xludf.DUMMYFUNCTION("""COMPUTED_VALUE"""),"")</f>
        <v/>
      </c>
      <c r="J1143">
        <f>IFERROR(__xludf.DUMMYFUNCTION("""COMPUTED_VALUE"""),0.0)</f>
        <v>0</v>
      </c>
      <c r="L1143" s="250" t="str">
        <f>IFERROR(__xludf.DUMMYFUNCTION("""COMPUTED_VALUE"""),"")</f>
        <v/>
      </c>
      <c r="M1143" s="250" t="str">
        <f>IFERROR(__xludf.DUMMYFUNCTION("""COMPUTED_VALUE"""),"")</f>
        <v/>
      </c>
      <c r="N1143" s="250" t="str">
        <f>IFERROR(__xludf.DUMMYFUNCTION("""COMPUTED_VALUE"""),"")</f>
        <v/>
      </c>
      <c r="O1143" s="250" t="str">
        <f>IFERROR(__xludf.DUMMYFUNCTION("""COMPUTED_VALUE"""),"")</f>
        <v/>
      </c>
      <c r="P1143" s="250" t="str">
        <f>IFERROR(__xludf.DUMMYFUNCTION("""COMPUTED_VALUE"""),"")</f>
        <v/>
      </c>
      <c r="Q1143" s="250" t="str">
        <f>IFERROR(__xludf.DUMMYFUNCTION("""COMPUTED_VALUE"""),"")</f>
        <v/>
      </c>
      <c r="R1143" s="250" t="str">
        <f>IFERROR(__xludf.DUMMYFUNCTION("""COMPUTED_VALUE"""),"")</f>
        <v/>
      </c>
      <c r="U1143" s="250" t="str">
        <f>IFERROR(__xludf.DUMMYFUNCTION("""COMPUTED_VALUE"""),"#N/A")</f>
        <v>#N/A</v>
      </c>
      <c r="V1143" s="250" t="str">
        <f>IFERROR(__xludf.DUMMYFUNCTION("""COMPUTED_VALUE"""),"#N/A")</f>
        <v>#N/A</v>
      </c>
      <c r="W1143" s="250" t="str">
        <f>IFERROR(__xludf.DUMMYFUNCTION("""COMPUTED_VALUE"""),"#N/A")</f>
        <v>#N/A</v>
      </c>
      <c r="X1143" t="b">
        <f t="shared" ref="X1143:Z1143" si="2262">ISBLANK(K1143)</f>
        <v>1</v>
      </c>
      <c r="Y1143" t="b">
        <f t="shared" si="2262"/>
        <v>0</v>
      </c>
      <c r="Z1143" t="b">
        <f t="shared" si="2262"/>
        <v>0</v>
      </c>
      <c r="AA1143">
        <f t="shared" ref="AA1143:AC1143" si="2263">IF(X1143=FALSE,1,0)</f>
        <v>0</v>
      </c>
      <c r="AB1143">
        <f t="shared" si="2263"/>
        <v>1</v>
      </c>
      <c r="AC1143">
        <f t="shared" si="2263"/>
        <v>1</v>
      </c>
      <c r="AD1143">
        <f t="shared" si="6"/>
        <v>2</v>
      </c>
      <c r="AE1143">
        <f t="shared" si="7"/>
        <v>1</v>
      </c>
    </row>
    <row r="1144">
      <c r="B1144" t="str">
        <f>IFERROR(__xludf.DUMMYFUNCTION("""COMPUTED_VALUE"""),"")</f>
        <v/>
      </c>
      <c r="C1144" t="str">
        <f>IFERROR(__xludf.DUMMYFUNCTION("""COMPUTED_VALUE"""),"")</f>
        <v/>
      </c>
      <c r="D1144" t="str">
        <f>IFERROR(__xludf.DUMMYFUNCTION("""COMPUTED_VALUE"""),"")</f>
        <v/>
      </c>
      <c r="E1144" t="str">
        <f>IFERROR(__xludf.DUMMYFUNCTION("""COMPUTED_VALUE"""),"")</f>
        <v/>
      </c>
      <c r="F1144" t="str">
        <f>IFERROR(__xludf.DUMMYFUNCTION("""COMPUTED_VALUE"""),"")</f>
        <v/>
      </c>
      <c r="G1144" t="str">
        <f>IFERROR(__xludf.DUMMYFUNCTION("""COMPUTED_VALUE"""),"")</f>
        <v/>
      </c>
      <c r="H1144" t="str">
        <f>IFERROR(__xludf.DUMMYFUNCTION("""COMPUTED_VALUE"""),"")</f>
        <v/>
      </c>
      <c r="I1144" t="str">
        <f>IFERROR(__xludf.DUMMYFUNCTION("""COMPUTED_VALUE"""),"")</f>
        <v/>
      </c>
      <c r="J1144">
        <f>IFERROR(__xludf.DUMMYFUNCTION("""COMPUTED_VALUE"""),0.0)</f>
        <v>0</v>
      </c>
      <c r="L1144" s="250" t="str">
        <f>IFERROR(__xludf.DUMMYFUNCTION("""COMPUTED_VALUE"""),"")</f>
        <v/>
      </c>
      <c r="M1144" s="250" t="str">
        <f>IFERROR(__xludf.DUMMYFUNCTION("""COMPUTED_VALUE"""),"")</f>
        <v/>
      </c>
      <c r="N1144" s="250" t="str">
        <f>IFERROR(__xludf.DUMMYFUNCTION("""COMPUTED_VALUE"""),"")</f>
        <v/>
      </c>
      <c r="O1144" s="250" t="str">
        <f>IFERROR(__xludf.DUMMYFUNCTION("""COMPUTED_VALUE"""),"")</f>
        <v/>
      </c>
      <c r="P1144" s="250" t="str">
        <f>IFERROR(__xludf.DUMMYFUNCTION("""COMPUTED_VALUE"""),"")</f>
        <v/>
      </c>
      <c r="Q1144" s="250" t="str">
        <f>IFERROR(__xludf.DUMMYFUNCTION("""COMPUTED_VALUE"""),"")</f>
        <v/>
      </c>
      <c r="R1144" s="250" t="str">
        <f>IFERROR(__xludf.DUMMYFUNCTION("""COMPUTED_VALUE"""),"")</f>
        <v/>
      </c>
      <c r="U1144" s="250" t="str">
        <f>IFERROR(__xludf.DUMMYFUNCTION("""COMPUTED_VALUE"""),"#N/A")</f>
        <v>#N/A</v>
      </c>
      <c r="V1144" s="250" t="str">
        <f>IFERROR(__xludf.DUMMYFUNCTION("""COMPUTED_VALUE"""),"#N/A")</f>
        <v>#N/A</v>
      </c>
      <c r="W1144" s="250" t="str">
        <f>IFERROR(__xludf.DUMMYFUNCTION("""COMPUTED_VALUE"""),"#N/A")</f>
        <v>#N/A</v>
      </c>
      <c r="X1144" t="b">
        <f t="shared" ref="X1144:Z1144" si="2264">ISBLANK(K1144)</f>
        <v>1</v>
      </c>
      <c r="Y1144" t="b">
        <f t="shared" si="2264"/>
        <v>0</v>
      </c>
      <c r="Z1144" t="b">
        <f t="shared" si="2264"/>
        <v>0</v>
      </c>
      <c r="AA1144">
        <f t="shared" ref="AA1144:AC1144" si="2265">IF(X1144=FALSE,1,0)</f>
        <v>0</v>
      </c>
      <c r="AB1144">
        <f t="shared" si="2265"/>
        <v>1</v>
      </c>
      <c r="AC1144">
        <f t="shared" si="2265"/>
        <v>1</v>
      </c>
      <c r="AD1144">
        <f t="shared" si="6"/>
        <v>2</v>
      </c>
      <c r="AE1144">
        <f t="shared" si="7"/>
        <v>1</v>
      </c>
    </row>
    <row r="1145">
      <c r="B1145" t="str">
        <f>IFERROR(__xludf.DUMMYFUNCTION("""COMPUTED_VALUE"""),"")</f>
        <v/>
      </c>
      <c r="C1145" t="str">
        <f>IFERROR(__xludf.DUMMYFUNCTION("""COMPUTED_VALUE"""),"")</f>
        <v/>
      </c>
      <c r="D1145" t="str">
        <f>IFERROR(__xludf.DUMMYFUNCTION("""COMPUTED_VALUE"""),"")</f>
        <v/>
      </c>
      <c r="E1145" t="str">
        <f>IFERROR(__xludf.DUMMYFUNCTION("""COMPUTED_VALUE"""),"")</f>
        <v/>
      </c>
      <c r="F1145" t="str">
        <f>IFERROR(__xludf.DUMMYFUNCTION("""COMPUTED_VALUE"""),"")</f>
        <v/>
      </c>
      <c r="G1145" t="str">
        <f>IFERROR(__xludf.DUMMYFUNCTION("""COMPUTED_VALUE"""),"")</f>
        <v/>
      </c>
      <c r="H1145" t="str">
        <f>IFERROR(__xludf.DUMMYFUNCTION("""COMPUTED_VALUE"""),"")</f>
        <v/>
      </c>
      <c r="I1145" t="str">
        <f>IFERROR(__xludf.DUMMYFUNCTION("""COMPUTED_VALUE"""),"")</f>
        <v/>
      </c>
      <c r="J1145">
        <f>IFERROR(__xludf.DUMMYFUNCTION("""COMPUTED_VALUE"""),0.0)</f>
        <v>0</v>
      </c>
      <c r="L1145" s="250" t="str">
        <f>IFERROR(__xludf.DUMMYFUNCTION("""COMPUTED_VALUE"""),"")</f>
        <v/>
      </c>
      <c r="M1145" s="250" t="str">
        <f>IFERROR(__xludf.DUMMYFUNCTION("""COMPUTED_VALUE"""),"")</f>
        <v/>
      </c>
      <c r="N1145" s="250" t="str">
        <f>IFERROR(__xludf.DUMMYFUNCTION("""COMPUTED_VALUE"""),"")</f>
        <v/>
      </c>
      <c r="O1145" s="250" t="str">
        <f>IFERROR(__xludf.DUMMYFUNCTION("""COMPUTED_VALUE"""),"")</f>
        <v/>
      </c>
      <c r="P1145" s="250" t="str">
        <f>IFERROR(__xludf.DUMMYFUNCTION("""COMPUTED_VALUE"""),"")</f>
        <v/>
      </c>
      <c r="Q1145" s="250" t="str">
        <f>IFERROR(__xludf.DUMMYFUNCTION("""COMPUTED_VALUE"""),"")</f>
        <v/>
      </c>
      <c r="R1145" s="250" t="str">
        <f>IFERROR(__xludf.DUMMYFUNCTION("""COMPUTED_VALUE"""),"")</f>
        <v/>
      </c>
      <c r="U1145" s="250" t="str">
        <f>IFERROR(__xludf.DUMMYFUNCTION("""COMPUTED_VALUE"""),"#N/A")</f>
        <v>#N/A</v>
      </c>
      <c r="V1145" s="250" t="str">
        <f>IFERROR(__xludf.DUMMYFUNCTION("""COMPUTED_VALUE"""),"#N/A")</f>
        <v>#N/A</v>
      </c>
      <c r="W1145" s="250" t="str">
        <f>IFERROR(__xludf.DUMMYFUNCTION("""COMPUTED_VALUE"""),"#N/A")</f>
        <v>#N/A</v>
      </c>
      <c r="X1145" t="b">
        <f t="shared" ref="X1145:Z1145" si="2266">ISBLANK(K1145)</f>
        <v>1</v>
      </c>
      <c r="Y1145" t="b">
        <f t="shared" si="2266"/>
        <v>0</v>
      </c>
      <c r="Z1145" t="b">
        <f t="shared" si="2266"/>
        <v>0</v>
      </c>
      <c r="AA1145">
        <f t="shared" ref="AA1145:AC1145" si="2267">IF(X1145=FALSE,1,0)</f>
        <v>0</v>
      </c>
      <c r="AB1145">
        <f t="shared" si="2267"/>
        <v>1</v>
      </c>
      <c r="AC1145">
        <f t="shared" si="2267"/>
        <v>1</v>
      </c>
      <c r="AD1145">
        <f t="shared" si="6"/>
        <v>2</v>
      </c>
      <c r="AE1145">
        <f t="shared" si="7"/>
        <v>1</v>
      </c>
    </row>
    <row r="1146">
      <c r="B1146" t="str">
        <f>IFERROR(__xludf.DUMMYFUNCTION("""COMPUTED_VALUE"""),"")</f>
        <v/>
      </c>
      <c r="C1146" t="str">
        <f>IFERROR(__xludf.DUMMYFUNCTION("""COMPUTED_VALUE"""),"")</f>
        <v/>
      </c>
      <c r="D1146" t="str">
        <f>IFERROR(__xludf.DUMMYFUNCTION("""COMPUTED_VALUE"""),"")</f>
        <v/>
      </c>
      <c r="E1146" t="str">
        <f>IFERROR(__xludf.DUMMYFUNCTION("""COMPUTED_VALUE"""),"")</f>
        <v/>
      </c>
      <c r="F1146" t="str">
        <f>IFERROR(__xludf.DUMMYFUNCTION("""COMPUTED_VALUE"""),"")</f>
        <v/>
      </c>
      <c r="G1146" t="str">
        <f>IFERROR(__xludf.DUMMYFUNCTION("""COMPUTED_VALUE"""),"")</f>
        <v/>
      </c>
      <c r="H1146" t="str">
        <f>IFERROR(__xludf.DUMMYFUNCTION("""COMPUTED_VALUE"""),"")</f>
        <v/>
      </c>
      <c r="I1146" t="str">
        <f>IFERROR(__xludf.DUMMYFUNCTION("""COMPUTED_VALUE"""),"")</f>
        <v/>
      </c>
      <c r="J1146">
        <f>IFERROR(__xludf.DUMMYFUNCTION("""COMPUTED_VALUE"""),0.0)</f>
        <v>0</v>
      </c>
      <c r="L1146" s="250" t="str">
        <f>IFERROR(__xludf.DUMMYFUNCTION("""COMPUTED_VALUE"""),"")</f>
        <v/>
      </c>
      <c r="M1146" s="250" t="str">
        <f>IFERROR(__xludf.DUMMYFUNCTION("""COMPUTED_VALUE"""),"")</f>
        <v/>
      </c>
      <c r="N1146" s="250" t="str">
        <f>IFERROR(__xludf.DUMMYFUNCTION("""COMPUTED_VALUE"""),"")</f>
        <v/>
      </c>
      <c r="O1146" s="250" t="str">
        <f>IFERROR(__xludf.DUMMYFUNCTION("""COMPUTED_VALUE"""),"")</f>
        <v/>
      </c>
      <c r="P1146" s="250" t="str">
        <f>IFERROR(__xludf.DUMMYFUNCTION("""COMPUTED_VALUE"""),"")</f>
        <v/>
      </c>
      <c r="Q1146" s="250" t="str">
        <f>IFERROR(__xludf.DUMMYFUNCTION("""COMPUTED_VALUE"""),"")</f>
        <v/>
      </c>
      <c r="R1146" s="250" t="str">
        <f>IFERROR(__xludf.DUMMYFUNCTION("""COMPUTED_VALUE"""),"")</f>
        <v/>
      </c>
      <c r="U1146" s="250" t="str">
        <f>IFERROR(__xludf.DUMMYFUNCTION("""COMPUTED_VALUE"""),"#N/A")</f>
        <v>#N/A</v>
      </c>
      <c r="V1146" s="250" t="str">
        <f>IFERROR(__xludf.DUMMYFUNCTION("""COMPUTED_VALUE"""),"#N/A")</f>
        <v>#N/A</v>
      </c>
      <c r="W1146" s="250" t="str">
        <f>IFERROR(__xludf.DUMMYFUNCTION("""COMPUTED_VALUE"""),"#N/A")</f>
        <v>#N/A</v>
      </c>
      <c r="X1146" t="b">
        <f t="shared" ref="X1146:Z1146" si="2268">ISBLANK(K1146)</f>
        <v>1</v>
      </c>
      <c r="Y1146" t="b">
        <f t="shared" si="2268"/>
        <v>0</v>
      </c>
      <c r="Z1146" t="b">
        <f t="shared" si="2268"/>
        <v>0</v>
      </c>
      <c r="AA1146">
        <f t="shared" ref="AA1146:AC1146" si="2269">IF(X1146=FALSE,1,0)</f>
        <v>0</v>
      </c>
      <c r="AB1146">
        <f t="shared" si="2269"/>
        <v>1</v>
      </c>
      <c r="AC1146">
        <f t="shared" si="2269"/>
        <v>1</v>
      </c>
      <c r="AD1146">
        <f t="shared" si="6"/>
        <v>2</v>
      </c>
      <c r="AE1146">
        <f t="shared" si="7"/>
        <v>1</v>
      </c>
    </row>
    <row r="1147">
      <c r="B1147" t="str">
        <f>IFERROR(__xludf.DUMMYFUNCTION("""COMPUTED_VALUE"""),"")</f>
        <v/>
      </c>
      <c r="C1147" t="str">
        <f>IFERROR(__xludf.DUMMYFUNCTION("""COMPUTED_VALUE"""),"")</f>
        <v/>
      </c>
      <c r="D1147" t="str">
        <f>IFERROR(__xludf.DUMMYFUNCTION("""COMPUTED_VALUE"""),"")</f>
        <v/>
      </c>
      <c r="E1147" t="str">
        <f>IFERROR(__xludf.DUMMYFUNCTION("""COMPUTED_VALUE"""),"")</f>
        <v/>
      </c>
      <c r="F1147" t="str">
        <f>IFERROR(__xludf.DUMMYFUNCTION("""COMPUTED_VALUE"""),"")</f>
        <v/>
      </c>
      <c r="G1147" t="str">
        <f>IFERROR(__xludf.DUMMYFUNCTION("""COMPUTED_VALUE"""),"")</f>
        <v/>
      </c>
      <c r="H1147" t="str">
        <f>IFERROR(__xludf.DUMMYFUNCTION("""COMPUTED_VALUE"""),"")</f>
        <v/>
      </c>
      <c r="I1147" t="str">
        <f>IFERROR(__xludf.DUMMYFUNCTION("""COMPUTED_VALUE"""),"")</f>
        <v/>
      </c>
      <c r="J1147">
        <f>IFERROR(__xludf.DUMMYFUNCTION("""COMPUTED_VALUE"""),0.0)</f>
        <v>0</v>
      </c>
      <c r="L1147" s="250" t="str">
        <f>IFERROR(__xludf.DUMMYFUNCTION("""COMPUTED_VALUE"""),"")</f>
        <v/>
      </c>
      <c r="M1147" s="250" t="str">
        <f>IFERROR(__xludf.DUMMYFUNCTION("""COMPUTED_VALUE"""),"")</f>
        <v/>
      </c>
      <c r="N1147" s="250" t="str">
        <f>IFERROR(__xludf.DUMMYFUNCTION("""COMPUTED_VALUE"""),"")</f>
        <v/>
      </c>
      <c r="O1147" s="250" t="str">
        <f>IFERROR(__xludf.DUMMYFUNCTION("""COMPUTED_VALUE"""),"")</f>
        <v/>
      </c>
      <c r="P1147" s="250" t="str">
        <f>IFERROR(__xludf.DUMMYFUNCTION("""COMPUTED_VALUE"""),"")</f>
        <v/>
      </c>
      <c r="Q1147" s="250" t="str">
        <f>IFERROR(__xludf.DUMMYFUNCTION("""COMPUTED_VALUE"""),"")</f>
        <v/>
      </c>
      <c r="R1147" s="250" t="str">
        <f>IFERROR(__xludf.DUMMYFUNCTION("""COMPUTED_VALUE"""),"")</f>
        <v/>
      </c>
      <c r="U1147" s="250" t="str">
        <f>IFERROR(__xludf.DUMMYFUNCTION("""COMPUTED_VALUE"""),"#N/A")</f>
        <v>#N/A</v>
      </c>
      <c r="V1147" s="250" t="str">
        <f>IFERROR(__xludf.DUMMYFUNCTION("""COMPUTED_VALUE"""),"#N/A")</f>
        <v>#N/A</v>
      </c>
      <c r="W1147" s="250" t="str">
        <f>IFERROR(__xludf.DUMMYFUNCTION("""COMPUTED_VALUE"""),"#N/A")</f>
        <v>#N/A</v>
      </c>
      <c r="X1147" t="b">
        <f t="shared" ref="X1147:Z1147" si="2270">ISBLANK(K1147)</f>
        <v>1</v>
      </c>
      <c r="Y1147" t="b">
        <f t="shared" si="2270"/>
        <v>0</v>
      </c>
      <c r="Z1147" t="b">
        <f t="shared" si="2270"/>
        <v>0</v>
      </c>
      <c r="AA1147">
        <f t="shared" ref="AA1147:AC1147" si="2271">IF(X1147=FALSE,1,0)</f>
        <v>0</v>
      </c>
      <c r="AB1147">
        <f t="shared" si="2271"/>
        <v>1</v>
      </c>
      <c r="AC1147">
        <f t="shared" si="2271"/>
        <v>1</v>
      </c>
      <c r="AD1147">
        <f t="shared" si="6"/>
        <v>2</v>
      </c>
      <c r="AE1147">
        <f t="shared" si="7"/>
        <v>1</v>
      </c>
    </row>
    <row r="1148">
      <c r="B1148" t="str">
        <f>IFERROR(__xludf.DUMMYFUNCTION("""COMPUTED_VALUE"""),"")</f>
        <v/>
      </c>
      <c r="C1148" t="str">
        <f>IFERROR(__xludf.DUMMYFUNCTION("""COMPUTED_VALUE"""),"")</f>
        <v/>
      </c>
      <c r="D1148" t="str">
        <f>IFERROR(__xludf.DUMMYFUNCTION("""COMPUTED_VALUE"""),"")</f>
        <v/>
      </c>
      <c r="E1148" t="str">
        <f>IFERROR(__xludf.DUMMYFUNCTION("""COMPUTED_VALUE"""),"")</f>
        <v/>
      </c>
      <c r="F1148" t="str">
        <f>IFERROR(__xludf.DUMMYFUNCTION("""COMPUTED_VALUE"""),"")</f>
        <v/>
      </c>
      <c r="G1148" t="str">
        <f>IFERROR(__xludf.DUMMYFUNCTION("""COMPUTED_VALUE"""),"")</f>
        <v/>
      </c>
      <c r="H1148" t="str">
        <f>IFERROR(__xludf.DUMMYFUNCTION("""COMPUTED_VALUE"""),"")</f>
        <v/>
      </c>
      <c r="I1148" t="str">
        <f>IFERROR(__xludf.DUMMYFUNCTION("""COMPUTED_VALUE"""),"")</f>
        <v/>
      </c>
      <c r="J1148">
        <f>IFERROR(__xludf.DUMMYFUNCTION("""COMPUTED_VALUE"""),0.0)</f>
        <v>0</v>
      </c>
      <c r="L1148" s="250" t="str">
        <f>IFERROR(__xludf.DUMMYFUNCTION("""COMPUTED_VALUE"""),"")</f>
        <v/>
      </c>
      <c r="M1148" s="250" t="str">
        <f>IFERROR(__xludf.DUMMYFUNCTION("""COMPUTED_VALUE"""),"")</f>
        <v/>
      </c>
      <c r="N1148" s="250" t="str">
        <f>IFERROR(__xludf.DUMMYFUNCTION("""COMPUTED_VALUE"""),"")</f>
        <v/>
      </c>
      <c r="O1148" s="250" t="str">
        <f>IFERROR(__xludf.DUMMYFUNCTION("""COMPUTED_VALUE"""),"")</f>
        <v/>
      </c>
      <c r="P1148" s="250" t="str">
        <f>IFERROR(__xludf.DUMMYFUNCTION("""COMPUTED_VALUE"""),"")</f>
        <v/>
      </c>
      <c r="Q1148" s="250" t="str">
        <f>IFERROR(__xludf.DUMMYFUNCTION("""COMPUTED_VALUE"""),"")</f>
        <v/>
      </c>
      <c r="R1148" s="250" t="str">
        <f>IFERROR(__xludf.DUMMYFUNCTION("""COMPUTED_VALUE"""),"")</f>
        <v/>
      </c>
      <c r="U1148" s="250" t="str">
        <f>IFERROR(__xludf.DUMMYFUNCTION("""COMPUTED_VALUE"""),"#N/A")</f>
        <v>#N/A</v>
      </c>
      <c r="V1148" s="250" t="str">
        <f>IFERROR(__xludf.DUMMYFUNCTION("""COMPUTED_VALUE"""),"#N/A")</f>
        <v>#N/A</v>
      </c>
      <c r="W1148" s="250" t="str">
        <f>IFERROR(__xludf.DUMMYFUNCTION("""COMPUTED_VALUE"""),"#N/A")</f>
        <v>#N/A</v>
      </c>
      <c r="X1148" t="b">
        <f t="shared" ref="X1148:Z1148" si="2272">ISBLANK(K1148)</f>
        <v>1</v>
      </c>
      <c r="Y1148" t="b">
        <f t="shared" si="2272"/>
        <v>0</v>
      </c>
      <c r="Z1148" t="b">
        <f t="shared" si="2272"/>
        <v>0</v>
      </c>
      <c r="AA1148">
        <f t="shared" ref="AA1148:AC1148" si="2273">IF(X1148=FALSE,1,0)</f>
        <v>0</v>
      </c>
      <c r="AB1148">
        <f t="shared" si="2273"/>
        <v>1</v>
      </c>
      <c r="AC1148">
        <f t="shared" si="2273"/>
        <v>1</v>
      </c>
      <c r="AD1148">
        <f t="shared" si="6"/>
        <v>2</v>
      </c>
      <c r="AE1148">
        <f t="shared" si="7"/>
        <v>1</v>
      </c>
    </row>
    <row r="1149">
      <c r="B1149" t="str">
        <f>IFERROR(__xludf.DUMMYFUNCTION("""COMPUTED_VALUE"""),"")</f>
        <v/>
      </c>
      <c r="C1149" t="str">
        <f>IFERROR(__xludf.DUMMYFUNCTION("""COMPUTED_VALUE"""),"")</f>
        <v/>
      </c>
      <c r="D1149" t="str">
        <f>IFERROR(__xludf.DUMMYFUNCTION("""COMPUTED_VALUE"""),"")</f>
        <v/>
      </c>
      <c r="E1149" t="str">
        <f>IFERROR(__xludf.DUMMYFUNCTION("""COMPUTED_VALUE"""),"")</f>
        <v/>
      </c>
      <c r="F1149" t="str">
        <f>IFERROR(__xludf.DUMMYFUNCTION("""COMPUTED_VALUE"""),"")</f>
        <v/>
      </c>
      <c r="G1149" t="str">
        <f>IFERROR(__xludf.DUMMYFUNCTION("""COMPUTED_VALUE"""),"")</f>
        <v/>
      </c>
      <c r="H1149" t="str">
        <f>IFERROR(__xludf.DUMMYFUNCTION("""COMPUTED_VALUE"""),"")</f>
        <v/>
      </c>
      <c r="I1149" t="str">
        <f>IFERROR(__xludf.DUMMYFUNCTION("""COMPUTED_VALUE"""),"")</f>
        <v/>
      </c>
      <c r="J1149">
        <f>IFERROR(__xludf.DUMMYFUNCTION("""COMPUTED_VALUE"""),0.0)</f>
        <v>0</v>
      </c>
      <c r="L1149" s="250" t="str">
        <f>IFERROR(__xludf.DUMMYFUNCTION("""COMPUTED_VALUE"""),"")</f>
        <v/>
      </c>
      <c r="M1149" s="250" t="str">
        <f>IFERROR(__xludf.DUMMYFUNCTION("""COMPUTED_VALUE"""),"")</f>
        <v/>
      </c>
      <c r="N1149" s="250" t="str">
        <f>IFERROR(__xludf.DUMMYFUNCTION("""COMPUTED_VALUE"""),"")</f>
        <v/>
      </c>
      <c r="O1149" s="250" t="str">
        <f>IFERROR(__xludf.DUMMYFUNCTION("""COMPUTED_VALUE"""),"")</f>
        <v/>
      </c>
      <c r="P1149" s="250" t="str">
        <f>IFERROR(__xludf.DUMMYFUNCTION("""COMPUTED_VALUE"""),"")</f>
        <v/>
      </c>
      <c r="Q1149" s="250" t="str">
        <f>IFERROR(__xludf.DUMMYFUNCTION("""COMPUTED_VALUE"""),"")</f>
        <v/>
      </c>
      <c r="R1149" s="250" t="str">
        <f>IFERROR(__xludf.DUMMYFUNCTION("""COMPUTED_VALUE"""),"")</f>
        <v/>
      </c>
      <c r="U1149" s="250" t="str">
        <f>IFERROR(__xludf.DUMMYFUNCTION("""COMPUTED_VALUE"""),"#N/A")</f>
        <v>#N/A</v>
      </c>
      <c r="V1149" s="250" t="str">
        <f>IFERROR(__xludf.DUMMYFUNCTION("""COMPUTED_VALUE"""),"#N/A")</f>
        <v>#N/A</v>
      </c>
      <c r="W1149" s="250" t="str">
        <f>IFERROR(__xludf.DUMMYFUNCTION("""COMPUTED_VALUE"""),"#N/A")</f>
        <v>#N/A</v>
      </c>
      <c r="X1149" t="b">
        <f t="shared" ref="X1149:Z1149" si="2274">ISBLANK(K1149)</f>
        <v>1</v>
      </c>
      <c r="Y1149" t="b">
        <f t="shared" si="2274"/>
        <v>0</v>
      </c>
      <c r="Z1149" t="b">
        <f t="shared" si="2274"/>
        <v>0</v>
      </c>
      <c r="AA1149">
        <f t="shared" ref="AA1149:AC1149" si="2275">IF(X1149=FALSE,1,0)</f>
        <v>0</v>
      </c>
      <c r="AB1149">
        <f t="shared" si="2275"/>
        <v>1</v>
      </c>
      <c r="AC1149">
        <f t="shared" si="2275"/>
        <v>1</v>
      </c>
      <c r="AD1149">
        <f t="shared" si="6"/>
        <v>2</v>
      </c>
      <c r="AE1149">
        <f t="shared" si="7"/>
        <v>1</v>
      </c>
    </row>
    <row r="1150">
      <c r="B1150" t="str">
        <f>IFERROR(__xludf.DUMMYFUNCTION("""COMPUTED_VALUE"""),"")</f>
        <v/>
      </c>
      <c r="C1150" t="str">
        <f>IFERROR(__xludf.DUMMYFUNCTION("""COMPUTED_VALUE"""),"")</f>
        <v/>
      </c>
      <c r="D1150" t="str">
        <f>IFERROR(__xludf.DUMMYFUNCTION("""COMPUTED_VALUE"""),"")</f>
        <v/>
      </c>
      <c r="E1150" t="str">
        <f>IFERROR(__xludf.DUMMYFUNCTION("""COMPUTED_VALUE"""),"")</f>
        <v/>
      </c>
      <c r="F1150" t="str">
        <f>IFERROR(__xludf.DUMMYFUNCTION("""COMPUTED_VALUE"""),"")</f>
        <v/>
      </c>
      <c r="G1150" t="str">
        <f>IFERROR(__xludf.DUMMYFUNCTION("""COMPUTED_VALUE"""),"")</f>
        <v/>
      </c>
      <c r="H1150" t="str">
        <f>IFERROR(__xludf.DUMMYFUNCTION("""COMPUTED_VALUE"""),"")</f>
        <v/>
      </c>
      <c r="I1150" t="str">
        <f>IFERROR(__xludf.DUMMYFUNCTION("""COMPUTED_VALUE"""),"")</f>
        <v/>
      </c>
      <c r="J1150">
        <f>IFERROR(__xludf.DUMMYFUNCTION("""COMPUTED_VALUE"""),0.0)</f>
        <v>0</v>
      </c>
      <c r="L1150" s="250" t="str">
        <f>IFERROR(__xludf.DUMMYFUNCTION("""COMPUTED_VALUE"""),"")</f>
        <v/>
      </c>
      <c r="M1150" s="250" t="str">
        <f>IFERROR(__xludf.DUMMYFUNCTION("""COMPUTED_VALUE"""),"")</f>
        <v/>
      </c>
      <c r="N1150" s="250" t="str">
        <f>IFERROR(__xludf.DUMMYFUNCTION("""COMPUTED_VALUE"""),"")</f>
        <v/>
      </c>
      <c r="O1150" s="250" t="str">
        <f>IFERROR(__xludf.DUMMYFUNCTION("""COMPUTED_VALUE"""),"")</f>
        <v/>
      </c>
      <c r="P1150" s="250" t="str">
        <f>IFERROR(__xludf.DUMMYFUNCTION("""COMPUTED_VALUE"""),"")</f>
        <v/>
      </c>
      <c r="Q1150" s="250" t="str">
        <f>IFERROR(__xludf.DUMMYFUNCTION("""COMPUTED_VALUE"""),"")</f>
        <v/>
      </c>
      <c r="R1150" s="250" t="str">
        <f>IFERROR(__xludf.DUMMYFUNCTION("""COMPUTED_VALUE"""),"")</f>
        <v/>
      </c>
      <c r="U1150" s="250" t="str">
        <f>IFERROR(__xludf.DUMMYFUNCTION("""COMPUTED_VALUE"""),"#N/A")</f>
        <v>#N/A</v>
      </c>
      <c r="V1150" s="250" t="str">
        <f>IFERROR(__xludf.DUMMYFUNCTION("""COMPUTED_VALUE"""),"#N/A")</f>
        <v>#N/A</v>
      </c>
      <c r="W1150" s="250" t="str">
        <f>IFERROR(__xludf.DUMMYFUNCTION("""COMPUTED_VALUE"""),"#N/A")</f>
        <v>#N/A</v>
      </c>
      <c r="X1150" t="b">
        <f t="shared" ref="X1150:Z1150" si="2276">ISBLANK(K1150)</f>
        <v>1</v>
      </c>
      <c r="Y1150" t="b">
        <f t="shared" si="2276"/>
        <v>0</v>
      </c>
      <c r="Z1150" t="b">
        <f t="shared" si="2276"/>
        <v>0</v>
      </c>
      <c r="AA1150">
        <f t="shared" ref="AA1150:AC1150" si="2277">IF(X1150=FALSE,1,0)</f>
        <v>0</v>
      </c>
      <c r="AB1150">
        <f t="shared" si="2277"/>
        <v>1</v>
      </c>
      <c r="AC1150">
        <f t="shared" si="2277"/>
        <v>1</v>
      </c>
      <c r="AD1150">
        <f t="shared" si="6"/>
        <v>2</v>
      </c>
      <c r="AE1150">
        <f t="shared" si="7"/>
        <v>1</v>
      </c>
    </row>
    <row r="1151">
      <c r="B1151" t="str">
        <f>IFERROR(__xludf.DUMMYFUNCTION("""COMPUTED_VALUE"""),"")</f>
        <v/>
      </c>
      <c r="C1151" t="str">
        <f>IFERROR(__xludf.DUMMYFUNCTION("""COMPUTED_VALUE"""),"")</f>
        <v/>
      </c>
      <c r="D1151" t="str">
        <f>IFERROR(__xludf.DUMMYFUNCTION("""COMPUTED_VALUE"""),"")</f>
        <v/>
      </c>
      <c r="E1151" t="str">
        <f>IFERROR(__xludf.DUMMYFUNCTION("""COMPUTED_VALUE"""),"")</f>
        <v/>
      </c>
      <c r="F1151" t="str">
        <f>IFERROR(__xludf.DUMMYFUNCTION("""COMPUTED_VALUE"""),"")</f>
        <v/>
      </c>
      <c r="G1151" t="str">
        <f>IFERROR(__xludf.DUMMYFUNCTION("""COMPUTED_VALUE"""),"")</f>
        <v/>
      </c>
      <c r="H1151" t="str">
        <f>IFERROR(__xludf.DUMMYFUNCTION("""COMPUTED_VALUE"""),"")</f>
        <v/>
      </c>
      <c r="I1151" t="str">
        <f>IFERROR(__xludf.DUMMYFUNCTION("""COMPUTED_VALUE"""),"")</f>
        <v/>
      </c>
      <c r="J1151">
        <f>IFERROR(__xludf.DUMMYFUNCTION("""COMPUTED_VALUE"""),0.0)</f>
        <v>0</v>
      </c>
      <c r="L1151" s="250" t="str">
        <f>IFERROR(__xludf.DUMMYFUNCTION("""COMPUTED_VALUE"""),"")</f>
        <v/>
      </c>
      <c r="M1151" s="250" t="str">
        <f>IFERROR(__xludf.DUMMYFUNCTION("""COMPUTED_VALUE"""),"")</f>
        <v/>
      </c>
      <c r="N1151" s="250" t="str">
        <f>IFERROR(__xludf.DUMMYFUNCTION("""COMPUTED_VALUE"""),"")</f>
        <v/>
      </c>
      <c r="O1151" s="250" t="str">
        <f>IFERROR(__xludf.DUMMYFUNCTION("""COMPUTED_VALUE"""),"")</f>
        <v/>
      </c>
      <c r="P1151" s="250" t="str">
        <f>IFERROR(__xludf.DUMMYFUNCTION("""COMPUTED_VALUE"""),"")</f>
        <v/>
      </c>
      <c r="Q1151" s="250" t="str">
        <f>IFERROR(__xludf.DUMMYFUNCTION("""COMPUTED_VALUE"""),"")</f>
        <v/>
      </c>
      <c r="R1151" s="250" t="str">
        <f>IFERROR(__xludf.DUMMYFUNCTION("""COMPUTED_VALUE"""),"")</f>
        <v/>
      </c>
      <c r="U1151" s="250" t="str">
        <f>IFERROR(__xludf.DUMMYFUNCTION("""COMPUTED_VALUE"""),"#N/A")</f>
        <v>#N/A</v>
      </c>
      <c r="V1151" s="250" t="str">
        <f>IFERROR(__xludf.DUMMYFUNCTION("""COMPUTED_VALUE"""),"#N/A")</f>
        <v>#N/A</v>
      </c>
      <c r="W1151" s="250" t="str">
        <f>IFERROR(__xludf.DUMMYFUNCTION("""COMPUTED_VALUE"""),"#N/A")</f>
        <v>#N/A</v>
      </c>
      <c r="X1151" t="b">
        <f t="shared" ref="X1151:Z1151" si="2278">ISBLANK(K1151)</f>
        <v>1</v>
      </c>
      <c r="Y1151" t="b">
        <f t="shared" si="2278"/>
        <v>0</v>
      </c>
      <c r="Z1151" t="b">
        <f t="shared" si="2278"/>
        <v>0</v>
      </c>
      <c r="AA1151">
        <f t="shared" ref="AA1151:AC1151" si="2279">IF(X1151=FALSE,1,0)</f>
        <v>0</v>
      </c>
      <c r="AB1151">
        <f t="shared" si="2279"/>
        <v>1</v>
      </c>
      <c r="AC1151">
        <f t="shared" si="2279"/>
        <v>1</v>
      </c>
      <c r="AD1151">
        <f t="shared" si="6"/>
        <v>2</v>
      </c>
      <c r="AE1151">
        <f t="shared" si="7"/>
        <v>1</v>
      </c>
    </row>
    <row r="1152">
      <c r="B1152" t="str">
        <f>IFERROR(__xludf.DUMMYFUNCTION("""COMPUTED_VALUE"""),"")</f>
        <v/>
      </c>
      <c r="C1152" t="str">
        <f>IFERROR(__xludf.DUMMYFUNCTION("""COMPUTED_VALUE"""),"")</f>
        <v/>
      </c>
      <c r="D1152" t="str">
        <f>IFERROR(__xludf.DUMMYFUNCTION("""COMPUTED_VALUE"""),"")</f>
        <v/>
      </c>
      <c r="E1152" t="str">
        <f>IFERROR(__xludf.DUMMYFUNCTION("""COMPUTED_VALUE"""),"")</f>
        <v/>
      </c>
      <c r="F1152" t="str">
        <f>IFERROR(__xludf.DUMMYFUNCTION("""COMPUTED_VALUE"""),"")</f>
        <v/>
      </c>
      <c r="G1152" t="str">
        <f>IFERROR(__xludf.DUMMYFUNCTION("""COMPUTED_VALUE"""),"")</f>
        <v/>
      </c>
      <c r="H1152" t="str">
        <f>IFERROR(__xludf.DUMMYFUNCTION("""COMPUTED_VALUE"""),"")</f>
        <v/>
      </c>
      <c r="I1152" t="str">
        <f>IFERROR(__xludf.DUMMYFUNCTION("""COMPUTED_VALUE"""),"")</f>
        <v/>
      </c>
      <c r="J1152">
        <f>IFERROR(__xludf.DUMMYFUNCTION("""COMPUTED_VALUE"""),0.0)</f>
        <v>0</v>
      </c>
      <c r="L1152" s="250" t="str">
        <f>IFERROR(__xludf.DUMMYFUNCTION("""COMPUTED_VALUE"""),"")</f>
        <v/>
      </c>
      <c r="M1152" s="250" t="str">
        <f>IFERROR(__xludf.DUMMYFUNCTION("""COMPUTED_VALUE"""),"")</f>
        <v/>
      </c>
      <c r="N1152" s="250" t="str">
        <f>IFERROR(__xludf.DUMMYFUNCTION("""COMPUTED_VALUE"""),"")</f>
        <v/>
      </c>
      <c r="O1152" s="250" t="str">
        <f>IFERROR(__xludf.DUMMYFUNCTION("""COMPUTED_VALUE"""),"")</f>
        <v/>
      </c>
      <c r="P1152" s="250" t="str">
        <f>IFERROR(__xludf.DUMMYFUNCTION("""COMPUTED_VALUE"""),"")</f>
        <v/>
      </c>
      <c r="Q1152" s="250" t="str">
        <f>IFERROR(__xludf.DUMMYFUNCTION("""COMPUTED_VALUE"""),"")</f>
        <v/>
      </c>
      <c r="R1152" s="250" t="str">
        <f>IFERROR(__xludf.DUMMYFUNCTION("""COMPUTED_VALUE"""),"")</f>
        <v/>
      </c>
      <c r="U1152" s="250" t="str">
        <f>IFERROR(__xludf.DUMMYFUNCTION("""COMPUTED_VALUE"""),"#N/A")</f>
        <v>#N/A</v>
      </c>
      <c r="V1152" s="250" t="str">
        <f>IFERROR(__xludf.DUMMYFUNCTION("""COMPUTED_VALUE"""),"#N/A")</f>
        <v>#N/A</v>
      </c>
      <c r="W1152" s="250" t="str">
        <f>IFERROR(__xludf.DUMMYFUNCTION("""COMPUTED_VALUE"""),"#N/A")</f>
        <v>#N/A</v>
      </c>
      <c r="X1152" t="b">
        <f t="shared" ref="X1152:Z1152" si="2280">ISBLANK(K1152)</f>
        <v>1</v>
      </c>
      <c r="Y1152" t="b">
        <f t="shared" si="2280"/>
        <v>0</v>
      </c>
      <c r="Z1152" t="b">
        <f t="shared" si="2280"/>
        <v>0</v>
      </c>
      <c r="AA1152">
        <f t="shared" ref="AA1152:AC1152" si="2281">IF(X1152=FALSE,1,0)</f>
        <v>0</v>
      </c>
      <c r="AB1152">
        <f t="shared" si="2281"/>
        <v>1</v>
      </c>
      <c r="AC1152">
        <f t="shared" si="2281"/>
        <v>1</v>
      </c>
      <c r="AD1152">
        <f t="shared" si="6"/>
        <v>2</v>
      </c>
      <c r="AE1152">
        <f t="shared" si="7"/>
        <v>1</v>
      </c>
    </row>
    <row r="1153">
      <c r="B1153" t="str">
        <f>IFERROR(__xludf.DUMMYFUNCTION("""COMPUTED_VALUE"""),"")</f>
        <v/>
      </c>
      <c r="C1153" t="str">
        <f>IFERROR(__xludf.DUMMYFUNCTION("""COMPUTED_VALUE"""),"")</f>
        <v/>
      </c>
      <c r="D1153" t="str">
        <f>IFERROR(__xludf.DUMMYFUNCTION("""COMPUTED_VALUE"""),"")</f>
        <v/>
      </c>
      <c r="E1153" t="str">
        <f>IFERROR(__xludf.DUMMYFUNCTION("""COMPUTED_VALUE"""),"")</f>
        <v/>
      </c>
      <c r="F1153" t="str">
        <f>IFERROR(__xludf.DUMMYFUNCTION("""COMPUTED_VALUE"""),"")</f>
        <v/>
      </c>
      <c r="G1153" t="str">
        <f>IFERROR(__xludf.DUMMYFUNCTION("""COMPUTED_VALUE"""),"")</f>
        <v/>
      </c>
      <c r="H1153" t="str">
        <f>IFERROR(__xludf.DUMMYFUNCTION("""COMPUTED_VALUE"""),"")</f>
        <v/>
      </c>
      <c r="I1153" t="str">
        <f>IFERROR(__xludf.DUMMYFUNCTION("""COMPUTED_VALUE"""),"")</f>
        <v/>
      </c>
      <c r="J1153">
        <f>IFERROR(__xludf.DUMMYFUNCTION("""COMPUTED_VALUE"""),0.0)</f>
        <v>0</v>
      </c>
      <c r="L1153" s="250" t="str">
        <f>IFERROR(__xludf.DUMMYFUNCTION("""COMPUTED_VALUE"""),"")</f>
        <v/>
      </c>
      <c r="M1153" s="250" t="str">
        <f>IFERROR(__xludf.DUMMYFUNCTION("""COMPUTED_VALUE"""),"")</f>
        <v/>
      </c>
      <c r="N1153" s="250" t="str">
        <f>IFERROR(__xludf.DUMMYFUNCTION("""COMPUTED_VALUE"""),"")</f>
        <v/>
      </c>
      <c r="O1153" s="250" t="str">
        <f>IFERROR(__xludf.DUMMYFUNCTION("""COMPUTED_VALUE"""),"")</f>
        <v/>
      </c>
      <c r="P1153" s="250" t="str">
        <f>IFERROR(__xludf.DUMMYFUNCTION("""COMPUTED_VALUE"""),"")</f>
        <v/>
      </c>
      <c r="Q1153" s="250" t="str">
        <f>IFERROR(__xludf.DUMMYFUNCTION("""COMPUTED_VALUE"""),"")</f>
        <v/>
      </c>
      <c r="R1153" s="250" t="str">
        <f>IFERROR(__xludf.DUMMYFUNCTION("""COMPUTED_VALUE"""),"")</f>
        <v/>
      </c>
      <c r="U1153" s="250" t="str">
        <f>IFERROR(__xludf.DUMMYFUNCTION("""COMPUTED_VALUE"""),"#N/A")</f>
        <v>#N/A</v>
      </c>
      <c r="V1153" s="250" t="str">
        <f>IFERROR(__xludf.DUMMYFUNCTION("""COMPUTED_VALUE"""),"#N/A")</f>
        <v>#N/A</v>
      </c>
      <c r="W1153" s="250" t="str">
        <f>IFERROR(__xludf.DUMMYFUNCTION("""COMPUTED_VALUE"""),"#N/A")</f>
        <v>#N/A</v>
      </c>
      <c r="X1153" t="b">
        <f t="shared" ref="X1153:Z1153" si="2282">ISBLANK(K1153)</f>
        <v>1</v>
      </c>
      <c r="Y1153" t="b">
        <f t="shared" si="2282"/>
        <v>0</v>
      </c>
      <c r="Z1153" t="b">
        <f t="shared" si="2282"/>
        <v>0</v>
      </c>
      <c r="AA1153">
        <f t="shared" ref="AA1153:AC1153" si="2283">IF(X1153=FALSE,1,0)</f>
        <v>0</v>
      </c>
      <c r="AB1153">
        <f t="shared" si="2283"/>
        <v>1</v>
      </c>
      <c r="AC1153">
        <f t="shared" si="2283"/>
        <v>1</v>
      </c>
      <c r="AD1153">
        <f t="shared" si="6"/>
        <v>2</v>
      </c>
      <c r="AE1153">
        <f t="shared" si="7"/>
        <v>1</v>
      </c>
    </row>
    <row r="1154">
      <c r="B1154" t="str">
        <f>IFERROR(__xludf.DUMMYFUNCTION("""COMPUTED_VALUE"""),"")</f>
        <v/>
      </c>
      <c r="C1154" t="str">
        <f>IFERROR(__xludf.DUMMYFUNCTION("""COMPUTED_VALUE"""),"")</f>
        <v/>
      </c>
      <c r="D1154" t="str">
        <f>IFERROR(__xludf.DUMMYFUNCTION("""COMPUTED_VALUE"""),"")</f>
        <v/>
      </c>
      <c r="E1154" t="str">
        <f>IFERROR(__xludf.DUMMYFUNCTION("""COMPUTED_VALUE"""),"")</f>
        <v/>
      </c>
      <c r="F1154" t="str">
        <f>IFERROR(__xludf.DUMMYFUNCTION("""COMPUTED_VALUE"""),"")</f>
        <v/>
      </c>
      <c r="G1154" t="str">
        <f>IFERROR(__xludf.DUMMYFUNCTION("""COMPUTED_VALUE"""),"")</f>
        <v/>
      </c>
      <c r="H1154" t="str">
        <f>IFERROR(__xludf.DUMMYFUNCTION("""COMPUTED_VALUE"""),"")</f>
        <v/>
      </c>
      <c r="I1154" t="str">
        <f>IFERROR(__xludf.DUMMYFUNCTION("""COMPUTED_VALUE"""),"")</f>
        <v/>
      </c>
      <c r="J1154">
        <f>IFERROR(__xludf.DUMMYFUNCTION("""COMPUTED_VALUE"""),0.0)</f>
        <v>0</v>
      </c>
      <c r="L1154" s="250" t="str">
        <f>IFERROR(__xludf.DUMMYFUNCTION("""COMPUTED_VALUE"""),"")</f>
        <v/>
      </c>
      <c r="M1154" s="250" t="str">
        <f>IFERROR(__xludf.DUMMYFUNCTION("""COMPUTED_VALUE"""),"")</f>
        <v/>
      </c>
      <c r="N1154" s="250" t="str">
        <f>IFERROR(__xludf.DUMMYFUNCTION("""COMPUTED_VALUE"""),"")</f>
        <v/>
      </c>
      <c r="O1154" s="250" t="str">
        <f>IFERROR(__xludf.DUMMYFUNCTION("""COMPUTED_VALUE"""),"")</f>
        <v/>
      </c>
      <c r="P1154" s="250" t="str">
        <f>IFERROR(__xludf.DUMMYFUNCTION("""COMPUTED_VALUE"""),"")</f>
        <v/>
      </c>
      <c r="Q1154" s="250" t="str">
        <f>IFERROR(__xludf.DUMMYFUNCTION("""COMPUTED_VALUE"""),"")</f>
        <v/>
      </c>
      <c r="R1154" s="250" t="str">
        <f>IFERROR(__xludf.DUMMYFUNCTION("""COMPUTED_VALUE"""),"")</f>
        <v/>
      </c>
      <c r="U1154" s="250" t="str">
        <f>IFERROR(__xludf.DUMMYFUNCTION("""COMPUTED_VALUE"""),"#N/A")</f>
        <v>#N/A</v>
      </c>
      <c r="V1154" s="250" t="str">
        <f>IFERROR(__xludf.DUMMYFUNCTION("""COMPUTED_VALUE"""),"#N/A")</f>
        <v>#N/A</v>
      </c>
      <c r="W1154" s="250" t="str">
        <f>IFERROR(__xludf.DUMMYFUNCTION("""COMPUTED_VALUE"""),"#N/A")</f>
        <v>#N/A</v>
      </c>
      <c r="X1154" t="b">
        <f t="shared" ref="X1154:Z1154" si="2284">ISBLANK(K1154)</f>
        <v>1</v>
      </c>
      <c r="Y1154" t="b">
        <f t="shared" si="2284"/>
        <v>0</v>
      </c>
      <c r="Z1154" t="b">
        <f t="shared" si="2284"/>
        <v>0</v>
      </c>
      <c r="AA1154">
        <f t="shared" ref="AA1154:AC1154" si="2285">IF(X1154=FALSE,1,0)</f>
        <v>0</v>
      </c>
      <c r="AB1154">
        <f t="shared" si="2285"/>
        <v>1</v>
      </c>
      <c r="AC1154">
        <f t="shared" si="2285"/>
        <v>1</v>
      </c>
      <c r="AD1154">
        <f t="shared" si="6"/>
        <v>2</v>
      </c>
      <c r="AE1154">
        <f t="shared" si="7"/>
        <v>1</v>
      </c>
    </row>
    <row r="1155">
      <c r="B1155" t="str">
        <f>IFERROR(__xludf.DUMMYFUNCTION("""COMPUTED_VALUE"""),"")</f>
        <v/>
      </c>
      <c r="C1155" t="str">
        <f>IFERROR(__xludf.DUMMYFUNCTION("""COMPUTED_VALUE"""),"")</f>
        <v/>
      </c>
      <c r="D1155" t="str">
        <f>IFERROR(__xludf.DUMMYFUNCTION("""COMPUTED_VALUE"""),"")</f>
        <v/>
      </c>
      <c r="E1155" t="str">
        <f>IFERROR(__xludf.DUMMYFUNCTION("""COMPUTED_VALUE"""),"")</f>
        <v/>
      </c>
      <c r="F1155" t="str">
        <f>IFERROR(__xludf.DUMMYFUNCTION("""COMPUTED_VALUE"""),"")</f>
        <v/>
      </c>
      <c r="G1155" t="str">
        <f>IFERROR(__xludf.DUMMYFUNCTION("""COMPUTED_VALUE"""),"")</f>
        <v/>
      </c>
      <c r="H1155" t="str">
        <f>IFERROR(__xludf.DUMMYFUNCTION("""COMPUTED_VALUE"""),"")</f>
        <v/>
      </c>
      <c r="I1155" t="str">
        <f>IFERROR(__xludf.DUMMYFUNCTION("""COMPUTED_VALUE"""),"")</f>
        <v/>
      </c>
      <c r="J1155">
        <f>IFERROR(__xludf.DUMMYFUNCTION("""COMPUTED_VALUE"""),0.0)</f>
        <v>0</v>
      </c>
      <c r="L1155" s="250" t="str">
        <f>IFERROR(__xludf.DUMMYFUNCTION("""COMPUTED_VALUE"""),"")</f>
        <v/>
      </c>
      <c r="M1155" s="250" t="str">
        <f>IFERROR(__xludf.DUMMYFUNCTION("""COMPUTED_VALUE"""),"")</f>
        <v/>
      </c>
      <c r="N1155" s="250" t="str">
        <f>IFERROR(__xludf.DUMMYFUNCTION("""COMPUTED_VALUE"""),"")</f>
        <v/>
      </c>
      <c r="O1155" s="250" t="str">
        <f>IFERROR(__xludf.DUMMYFUNCTION("""COMPUTED_VALUE"""),"")</f>
        <v/>
      </c>
      <c r="P1155" s="250" t="str">
        <f>IFERROR(__xludf.DUMMYFUNCTION("""COMPUTED_VALUE"""),"")</f>
        <v/>
      </c>
      <c r="Q1155" s="250" t="str">
        <f>IFERROR(__xludf.DUMMYFUNCTION("""COMPUTED_VALUE"""),"")</f>
        <v/>
      </c>
      <c r="R1155" s="250" t="str">
        <f>IFERROR(__xludf.DUMMYFUNCTION("""COMPUTED_VALUE"""),"")</f>
        <v/>
      </c>
      <c r="U1155" s="250" t="str">
        <f>IFERROR(__xludf.DUMMYFUNCTION("""COMPUTED_VALUE"""),"#N/A")</f>
        <v>#N/A</v>
      </c>
      <c r="V1155" s="250" t="str">
        <f>IFERROR(__xludf.DUMMYFUNCTION("""COMPUTED_VALUE"""),"#N/A")</f>
        <v>#N/A</v>
      </c>
      <c r="W1155" s="250" t="str">
        <f>IFERROR(__xludf.DUMMYFUNCTION("""COMPUTED_VALUE"""),"#N/A")</f>
        <v>#N/A</v>
      </c>
      <c r="X1155" t="b">
        <f t="shared" ref="X1155:Z1155" si="2286">ISBLANK(K1155)</f>
        <v>1</v>
      </c>
      <c r="Y1155" t="b">
        <f t="shared" si="2286"/>
        <v>0</v>
      </c>
      <c r="Z1155" t="b">
        <f t="shared" si="2286"/>
        <v>0</v>
      </c>
      <c r="AA1155">
        <f t="shared" ref="AA1155:AC1155" si="2287">IF(X1155=FALSE,1,0)</f>
        <v>0</v>
      </c>
      <c r="AB1155">
        <f t="shared" si="2287"/>
        <v>1</v>
      </c>
      <c r="AC1155">
        <f t="shared" si="2287"/>
        <v>1</v>
      </c>
      <c r="AD1155">
        <f t="shared" si="6"/>
        <v>2</v>
      </c>
      <c r="AE1155">
        <f t="shared" si="7"/>
        <v>1</v>
      </c>
    </row>
    <row r="1156">
      <c r="B1156" t="str">
        <f>IFERROR(__xludf.DUMMYFUNCTION("""COMPUTED_VALUE"""),"")</f>
        <v/>
      </c>
      <c r="C1156" t="str">
        <f>IFERROR(__xludf.DUMMYFUNCTION("""COMPUTED_VALUE"""),"")</f>
        <v/>
      </c>
      <c r="D1156" t="str">
        <f>IFERROR(__xludf.DUMMYFUNCTION("""COMPUTED_VALUE"""),"")</f>
        <v/>
      </c>
      <c r="E1156" t="str">
        <f>IFERROR(__xludf.DUMMYFUNCTION("""COMPUTED_VALUE"""),"")</f>
        <v/>
      </c>
      <c r="F1156" t="str">
        <f>IFERROR(__xludf.DUMMYFUNCTION("""COMPUTED_VALUE"""),"")</f>
        <v/>
      </c>
      <c r="G1156" t="str">
        <f>IFERROR(__xludf.DUMMYFUNCTION("""COMPUTED_VALUE"""),"")</f>
        <v/>
      </c>
      <c r="H1156" t="str">
        <f>IFERROR(__xludf.DUMMYFUNCTION("""COMPUTED_VALUE"""),"")</f>
        <v/>
      </c>
      <c r="I1156" t="str">
        <f>IFERROR(__xludf.DUMMYFUNCTION("""COMPUTED_VALUE"""),"")</f>
        <v/>
      </c>
      <c r="J1156">
        <f>IFERROR(__xludf.DUMMYFUNCTION("""COMPUTED_VALUE"""),0.0)</f>
        <v>0</v>
      </c>
      <c r="L1156" s="250" t="str">
        <f>IFERROR(__xludf.DUMMYFUNCTION("""COMPUTED_VALUE"""),"")</f>
        <v/>
      </c>
      <c r="M1156" s="250" t="str">
        <f>IFERROR(__xludf.DUMMYFUNCTION("""COMPUTED_VALUE"""),"")</f>
        <v/>
      </c>
      <c r="N1156" s="250" t="str">
        <f>IFERROR(__xludf.DUMMYFUNCTION("""COMPUTED_VALUE"""),"")</f>
        <v/>
      </c>
      <c r="O1156" s="250" t="str">
        <f>IFERROR(__xludf.DUMMYFUNCTION("""COMPUTED_VALUE"""),"")</f>
        <v/>
      </c>
      <c r="P1156" s="250" t="str">
        <f>IFERROR(__xludf.DUMMYFUNCTION("""COMPUTED_VALUE"""),"")</f>
        <v/>
      </c>
      <c r="Q1156" s="250" t="str">
        <f>IFERROR(__xludf.DUMMYFUNCTION("""COMPUTED_VALUE"""),"")</f>
        <v/>
      </c>
      <c r="R1156" s="250" t="str">
        <f>IFERROR(__xludf.DUMMYFUNCTION("""COMPUTED_VALUE"""),"")</f>
        <v/>
      </c>
      <c r="U1156" s="250" t="str">
        <f>IFERROR(__xludf.DUMMYFUNCTION("""COMPUTED_VALUE"""),"#N/A")</f>
        <v>#N/A</v>
      </c>
      <c r="V1156" s="250" t="str">
        <f>IFERROR(__xludf.DUMMYFUNCTION("""COMPUTED_VALUE"""),"#N/A")</f>
        <v>#N/A</v>
      </c>
      <c r="W1156" s="250" t="str">
        <f>IFERROR(__xludf.DUMMYFUNCTION("""COMPUTED_VALUE"""),"#N/A")</f>
        <v>#N/A</v>
      </c>
      <c r="X1156" t="b">
        <f t="shared" ref="X1156:Z1156" si="2288">ISBLANK(K1156)</f>
        <v>1</v>
      </c>
      <c r="Y1156" t="b">
        <f t="shared" si="2288"/>
        <v>0</v>
      </c>
      <c r="Z1156" t="b">
        <f t="shared" si="2288"/>
        <v>0</v>
      </c>
      <c r="AA1156">
        <f t="shared" ref="AA1156:AC1156" si="2289">IF(X1156=FALSE,1,0)</f>
        <v>0</v>
      </c>
      <c r="AB1156">
        <f t="shared" si="2289"/>
        <v>1</v>
      </c>
      <c r="AC1156">
        <f t="shared" si="2289"/>
        <v>1</v>
      </c>
      <c r="AD1156">
        <f t="shared" si="6"/>
        <v>2</v>
      </c>
      <c r="AE1156">
        <f t="shared" si="7"/>
        <v>1</v>
      </c>
    </row>
    <row r="1157">
      <c r="B1157" t="str">
        <f>IFERROR(__xludf.DUMMYFUNCTION("""COMPUTED_VALUE"""),"")</f>
        <v/>
      </c>
      <c r="C1157" t="str">
        <f>IFERROR(__xludf.DUMMYFUNCTION("""COMPUTED_VALUE"""),"")</f>
        <v/>
      </c>
      <c r="D1157" t="str">
        <f>IFERROR(__xludf.DUMMYFUNCTION("""COMPUTED_VALUE"""),"")</f>
        <v/>
      </c>
      <c r="E1157" t="str">
        <f>IFERROR(__xludf.DUMMYFUNCTION("""COMPUTED_VALUE"""),"")</f>
        <v/>
      </c>
      <c r="F1157" t="str">
        <f>IFERROR(__xludf.DUMMYFUNCTION("""COMPUTED_VALUE"""),"")</f>
        <v/>
      </c>
      <c r="G1157" t="str">
        <f>IFERROR(__xludf.DUMMYFUNCTION("""COMPUTED_VALUE"""),"")</f>
        <v/>
      </c>
      <c r="H1157" t="str">
        <f>IFERROR(__xludf.DUMMYFUNCTION("""COMPUTED_VALUE"""),"")</f>
        <v/>
      </c>
      <c r="I1157" t="str">
        <f>IFERROR(__xludf.DUMMYFUNCTION("""COMPUTED_VALUE"""),"")</f>
        <v/>
      </c>
      <c r="J1157">
        <f>IFERROR(__xludf.DUMMYFUNCTION("""COMPUTED_VALUE"""),0.0)</f>
        <v>0</v>
      </c>
      <c r="L1157" s="250" t="str">
        <f>IFERROR(__xludf.DUMMYFUNCTION("""COMPUTED_VALUE"""),"")</f>
        <v/>
      </c>
      <c r="M1157" s="250" t="str">
        <f>IFERROR(__xludf.DUMMYFUNCTION("""COMPUTED_VALUE"""),"")</f>
        <v/>
      </c>
      <c r="N1157" s="250" t="str">
        <f>IFERROR(__xludf.DUMMYFUNCTION("""COMPUTED_VALUE"""),"")</f>
        <v/>
      </c>
      <c r="O1157" s="250" t="str">
        <f>IFERROR(__xludf.DUMMYFUNCTION("""COMPUTED_VALUE"""),"")</f>
        <v/>
      </c>
      <c r="P1157" s="250" t="str">
        <f>IFERROR(__xludf.DUMMYFUNCTION("""COMPUTED_VALUE"""),"")</f>
        <v/>
      </c>
      <c r="Q1157" s="250" t="str">
        <f>IFERROR(__xludf.DUMMYFUNCTION("""COMPUTED_VALUE"""),"")</f>
        <v/>
      </c>
      <c r="R1157" s="250" t="str">
        <f>IFERROR(__xludf.DUMMYFUNCTION("""COMPUTED_VALUE"""),"")</f>
        <v/>
      </c>
      <c r="U1157" s="250" t="str">
        <f>IFERROR(__xludf.DUMMYFUNCTION("""COMPUTED_VALUE"""),"#N/A")</f>
        <v>#N/A</v>
      </c>
      <c r="V1157" s="250" t="str">
        <f>IFERROR(__xludf.DUMMYFUNCTION("""COMPUTED_VALUE"""),"#N/A")</f>
        <v>#N/A</v>
      </c>
      <c r="W1157" s="250" t="str">
        <f>IFERROR(__xludf.DUMMYFUNCTION("""COMPUTED_VALUE"""),"#N/A")</f>
        <v>#N/A</v>
      </c>
      <c r="X1157" t="b">
        <f t="shared" ref="X1157:Z1157" si="2290">ISBLANK(K1157)</f>
        <v>1</v>
      </c>
      <c r="Y1157" t="b">
        <f t="shared" si="2290"/>
        <v>0</v>
      </c>
      <c r="Z1157" t="b">
        <f t="shared" si="2290"/>
        <v>0</v>
      </c>
      <c r="AA1157">
        <f t="shared" ref="AA1157:AC1157" si="2291">IF(X1157=FALSE,1,0)</f>
        <v>0</v>
      </c>
      <c r="AB1157">
        <f t="shared" si="2291"/>
        <v>1</v>
      </c>
      <c r="AC1157">
        <f t="shared" si="2291"/>
        <v>1</v>
      </c>
      <c r="AD1157">
        <f t="shared" si="6"/>
        <v>2</v>
      </c>
      <c r="AE1157">
        <f t="shared" si="7"/>
        <v>1</v>
      </c>
    </row>
    <row r="1158">
      <c r="B1158" t="str">
        <f>IFERROR(__xludf.DUMMYFUNCTION("""COMPUTED_VALUE"""),"")</f>
        <v/>
      </c>
      <c r="C1158" t="str">
        <f>IFERROR(__xludf.DUMMYFUNCTION("""COMPUTED_VALUE"""),"")</f>
        <v/>
      </c>
      <c r="D1158" t="str">
        <f>IFERROR(__xludf.DUMMYFUNCTION("""COMPUTED_VALUE"""),"")</f>
        <v/>
      </c>
      <c r="E1158" t="str">
        <f>IFERROR(__xludf.DUMMYFUNCTION("""COMPUTED_VALUE"""),"")</f>
        <v/>
      </c>
      <c r="F1158" t="str">
        <f>IFERROR(__xludf.DUMMYFUNCTION("""COMPUTED_VALUE"""),"")</f>
        <v/>
      </c>
      <c r="G1158" t="str">
        <f>IFERROR(__xludf.DUMMYFUNCTION("""COMPUTED_VALUE"""),"")</f>
        <v/>
      </c>
      <c r="H1158" t="str">
        <f>IFERROR(__xludf.DUMMYFUNCTION("""COMPUTED_VALUE"""),"")</f>
        <v/>
      </c>
      <c r="I1158" t="str">
        <f>IFERROR(__xludf.DUMMYFUNCTION("""COMPUTED_VALUE"""),"")</f>
        <v/>
      </c>
      <c r="J1158">
        <f>IFERROR(__xludf.DUMMYFUNCTION("""COMPUTED_VALUE"""),0.0)</f>
        <v>0</v>
      </c>
      <c r="L1158" s="250" t="str">
        <f>IFERROR(__xludf.DUMMYFUNCTION("""COMPUTED_VALUE"""),"")</f>
        <v/>
      </c>
      <c r="M1158" s="250" t="str">
        <f>IFERROR(__xludf.DUMMYFUNCTION("""COMPUTED_VALUE"""),"")</f>
        <v/>
      </c>
      <c r="N1158" s="250" t="str">
        <f>IFERROR(__xludf.DUMMYFUNCTION("""COMPUTED_VALUE"""),"")</f>
        <v/>
      </c>
      <c r="O1158" s="250" t="str">
        <f>IFERROR(__xludf.DUMMYFUNCTION("""COMPUTED_VALUE"""),"")</f>
        <v/>
      </c>
      <c r="P1158" s="250" t="str">
        <f>IFERROR(__xludf.DUMMYFUNCTION("""COMPUTED_VALUE"""),"")</f>
        <v/>
      </c>
      <c r="Q1158" s="250" t="str">
        <f>IFERROR(__xludf.DUMMYFUNCTION("""COMPUTED_VALUE"""),"")</f>
        <v/>
      </c>
      <c r="R1158" s="250" t="str">
        <f>IFERROR(__xludf.DUMMYFUNCTION("""COMPUTED_VALUE"""),"")</f>
        <v/>
      </c>
      <c r="U1158" s="250" t="str">
        <f>IFERROR(__xludf.DUMMYFUNCTION("""COMPUTED_VALUE"""),"#N/A")</f>
        <v>#N/A</v>
      </c>
      <c r="V1158" s="250" t="str">
        <f>IFERROR(__xludf.DUMMYFUNCTION("""COMPUTED_VALUE"""),"#N/A")</f>
        <v>#N/A</v>
      </c>
      <c r="W1158" s="250" t="str">
        <f>IFERROR(__xludf.DUMMYFUNCTION("""COMPUTED_VALUE"""),"#N/A")</f>
        <v>#N/A</v>
      </c>
      <c r="X1158" t="b">
        <f t="shared" ref="X1158:Z1158" si="2292">ISBLANK(K1158)</f>
        <v>1</v>
      </c>
      <c r="Y1158" t="b">
        <f t="shared" si="2292"/>
        <v>0</v>
      </c>
      <c r="Z1158" t="b">
        <f t="shared" si="2292"/>
        <v>0</v>
      </c>
      <c r="AA1158">
        <f t="shared" ref="AA1158:AC1158" si="2293">IF(X1158=FALSE,1,0)</f>
        <v>0</v>
      </c>
      <c r="AB1158">
        <f t="shared" si="2293"/>
        <v>1</v>
      </c>
      <c r="AC1158">
        <f t="shared" si="2293"/>
        <v>1</v>
      </c>
      <c r="AD1158">
        <f t="shared" si="6"/>
        <v>2</v>
      </c>
      <c r="AE1158">
        <f t="shared" si="7"/>
        <v>1</v>
      </c>
    </row>
    <row r="1159">
      <c r="B1159" t="str">
        <f>IFERROR(__xludf.DUMMYFUNCTION("""COMPUTED_VALUE"""),"")</f>
        <v/>
      </c>
      <c r="C1159" t="str">
        <f>IFERROR(__xludf.DUMMYFUNCTION("""COMPUTED_VALUE"""),"")</f>
        <v/>
      </c>
      <c r="D1159" t="str">
        <f>IFERROR(__xludf.DUMMYFUNCTION("""COMPUTED_VALUE"""),"")</f>
        <v/>
      </c>
      <c r="E1159" t="str">
        <f>IFERROR(__xludf.DUMMYFUNCTION("""COMPUTED_VALUE"""),"")</f>
        <v/>
      </c>
      <c r="F1159" t="str">
        <f>IFERROR(__xludf.DUMMYFUNCTION("""COMPUTED_VALUE"""),"")</f>
        <v/>
      </c>
      <c r="G1159" t="str">
        <f>IFERROR(__xludf.DUMMYFUNCTION("""COMPUTED_VALUE"""),"")</f>
        <v/>
      </c>
      <c r="H1159" t="str">
        <f>IFERROR(__xludf.DUMMYFUNCTION("""COMPUTED_VALUE"""),"")</f>
        <v/>
      </c>
      <c r="I1159" t="str">
        <f>IFERROR(__xludf.DUMMYFUNCTION("""COMPUTED_VALUE"""),"")</f>
        <v/>
      </c>
      <c r="J1159">
        <f>IFERROR(__xludf.DUMMYFUNCTION("""COMPUTED_VALUE"""),0.0)</f>
        <v>0</v>
      </c>
      <c r="L1159" s="250" t="str">
        <f>IFERROR(__xludf.DUMMYFUNCTION("""COMPUTED_VALUE"""),"")</f>
        <v/>
      </c>
      <c r="M1159" s="250" t="str">
        <f>IFERROR(__xludf.DUMMYFUNCTION("""COMPUTED_VALUE"""),"")</f>
        <v/>
      </c>
      <c r="N1159" s="250" t="str">
        <f>IFERROR(__xludf.DUMMYFUNCTION("""COMPUTED_VALUE"""),"")</f>
        <v/>
      </c>
      <c r="O1159" s="250" t="str">
        <f>IFERROR(__xludf.DUMMYFUNCTION("""COMPUTED_VALUE"""),"")</f>
        <v/>
      </c>
      <c r="P1159" s="250" t="str">
        <f>IFERROR(__xludf.DUMMYFUNCTION("""COMPUTED_VALUE"""),"")</f>
        <v/>
      </c>
      <c r="Q1159" s="250" t="str">
        <f>IFERROR(__xludf.DUMMYFUNCTION("""COMPUTED_VALUE"""),"")</f>
        <v/>
      </c>
      <c r="R1159" s="250" t="str">
        <f>IFERROR(__xludf.DUMMYFUNCTION("""COMPUTED_VALUE"""),"")</f>
        <v/>
      </c>
      <c r="U1159" s="250" t="str">
        <f>IFERROR(__xludf.DUMMYFUNCTION("""COMPUTED_VALUE"""),"#N/A")</f>
        <v>#N/A</v>
      </c>
      <c r="V1159" s="250" t="str">
        <f>IFERROR(__xludf.DUMMYFUNCTION("""COMPUTED_VALUE"""),"#N/A")</f>
        <v>#N/A</v>
      </c>
      <c r="W1159" s="250" t="str">
        <f>IFERROR(__xludf.DUMMYFUNCTION("""COMPUTED_VALUE"""),"#N/A")</f>
        <v>#N/A</v>
      </c>
      <c r="X1159" t="b">
        <f t="shared" ref="X1159:Z1159" si="2294">ISBLANK(K1159)</f>
        <v>1</v>
      </c>
      <c r="Y1159" t="b">
        <f t="shared" si="2294"/>
        <v>0</v>
      </c>
      <c r="Z1159" t="b">
        <f t="shared" si="2294"/>
        <v>0</v>
      </c>
      <c r="AA1159">
        <f t="shared" ref="AA1159:AC1159" si="2295">IF(X1159=FALSE,1,0)</f>
        <v>0</v>
      </c>
      <c r="AB1159">
        <f t="shared" si="2295"/>
        <v>1</v>
      </c>
      <c r="AC1159">
        <f t="shared" si="2295"/>
        <v>1</v>
      </c>
      <c r="AD1159">
        <f t="shared" si="6"/>
        <v>2</v>
      </c>
      <c r="AE1159">
        <f t="shared" si="7"/>
        <v>1</v>
      </c>
    </row>
    <row r="1160">
      <c r="B1160" t="str">
        <f>IFERROR(__xludf.DUMMYFUNCTION("""COMPUTED_VALUE"""),"")</f>
        <v/>
      </c>
      <c r="C1160" t="str">
        <f>IFERROR(__xludf.DUMMYFUNCTION("""COMPUTED_VALUE"""),"")</f>
        <v/>
      </c>
      <c r="D1160" t="str">
        <f>IFERROR(__xludf.DUMMYFUNCTION("""COMPUTED_VALUE"""),"")</f>
        <v/>
      </c>
      <c r="E1160" t="str">
        <f>IFERROR(__xludf.DUMMYFUNCTION("""COMPUTED_VALUE"""),"")</f>
        <v/>
      </c>
      <c r="F1160" t="str">
        <f>IFERROR(__xludf.DUMMYFUNCTION("""COMPUTED_VALUE"""),"")</f>
        <v/>
      </c>
      <c r="G1160" t="str">
        <f>IFERROR(__xludf.DUMMYFUNCTION("""COMPUTED_VALUE"""),"")</f>
        <v/>
      </c>
      <c r="H1160" t="str">
        <f>IFERROR(__xludf.DUMMYFUNCTION("""COMPUTED_VALUE"""),"")</f>
        <v/>
      </c>
      <c r="I1160" t="str">
        <f>IFERROR(__xludf.DUMMYFUNCTION("""COMPUTED_VALUE"""),"")</f>
        <v/>
      </c>
      <c r="J1160">
        <f>IFERROR(__xludf.DUMMYFUNCTION("""COMPUTED_VALUE"""),0.0)</f>
        <v>0</v>
      </c>
      <c r="L1160" s="250" t="str">
        <f>IFERROR(__xludf.DUMMYFUNCTION("""COMPUTED_VALUE"""),"")</f>
        <v/>
      </c>
      <c r="M1160" s="250" t="str">
        <f>IFERROR(__xludf.DUMMYFUNCTION("""COMPUTED_VALUE"""),"")</f>
        <v/>
      </c>
      <c r="N1160" s="250" t="str">
        <f>IFERROR(__xludf.DUMMYFUNCTION("""COMPUTED_VALUE"""),"")</f>
        <v/>
      </c>
      <c r="O1160" s="250" t="str">
        <f>IFERROR(__xludf.DUMMYFUNCTION("""COMPUTED_VALUE"""),"")</f>
        <v/>
      </c>
      <c r="P1160" s="250" t="str">
        <f>IFERROR(__xludf.DUMMYFUNCTION("""COMPUTED_VALUE"""),"")</f>
        <v/>
      </c>
      <c r="Q1160" s="250" t="str">
        <f>IFERROR(__xludf.DUMMYFUNCTION("""COMPUTED_VALUE"""),"")</f>
        <v/>
      </c>
      <c r="R1160" s="250" t="str">
        <f>IFERROR(__xludf.DUMMYFUNCTION("""COMPUTED_VALUE"""),"")</f>
        <v/>
      </c>
      <c r="U1160" s="250" t="str">
        <f>IFERROR(__xludf.DUMMYFUNCTION("""COMPUTED_VALUE"""),"#N/A")</f>
        <v>#N/A</v>
      </c>
      <c r="V1160" s="250" t="str">
        <f>IFERROR(__xludf.DUMMYFUNCTION("""COMPUTED_VALUE"""),"#N/A")</f>
        <v>#N/A</v>
      </c>
      <c r="W1160" s="250" t="str">
        <f>IFERROR(__xludf.DUMMYFUNCTION("""COMPUTED_VALUE"""),"#N/A")</f>
        <v>#N/A</v>
      </c>
      <c r="X1160" t="b">
        <f t="shared" ref="X1160:Z1160" si="2296">ISBLANK(K1160)</f>
        <v>1</v>
      </c>
      <c r="Y1160" t="b">
        <f t="shared" si="2296"/>
        <v>0</v>
      </c>
      <c r="Z1160" t="b">
        <f t="shared" si="2296"/>
        <v>0</v>
      </c>
      <c r="AA1160">
        <f t="shared" ref="AA1160:AC1160" si="2297">IF(X1160=FALSE,1,0)</f>
        <v>0</v>
      </c>
      <c r="AB1160">
        <f t="shared" si="2297"/>
        <v>1</v>
      </c>
      <c r="AC1160">
        <f t="shared" si="2297"/>
        <v>1</v>
      </c>
      <c r="AD1160">
        <f t="shared" si="6"/>
        <v>2</v>
      </c>
      <c r="AE1160">
        <f t="shared" si="7"/>
        <v>1</v>
      </c>
    </row>
    <row r="1161">
      <c r="B1161" t="str">
        <f>IFERROR(__xludf.DUMMYFUNCTION("""COMPUTED_VALUE"""),"")</f>
        <v/>
      </c>
      <c r="C1161" t="str">
        <f>IFERROR(__xludf.DUMMYFUNCTION("""COMPUTED_VALUE"""),"")</f>
        <v/>
      </c>
      <c r="D1161" t="str">
        <f>IFERROR(__xludf.DUMMYFUNCTION("""COMPUTED_VALUE"""),"")</f>
        <v/>
      </c>
      <c r="E1161" t="str">
        <f>IFERROR(__xludf.DUMMYFUNCTION("""COMPUTED_VALUE"""),"")</f>
        <v/>
      </c>
      <c r="F1161" t="str">
        <f>IFERROR(__xludf.DUMMYFUNCTION("""COMPUTED_VALUE"""),"")</f>
        <v/>
      </c>
      <c r="G1161" t="str">
        <f>IFERROR(__xludf.DUMMYFUNCTION("""COMPUTED_VALUE"""),"")</f>
        <v/>
      </c>
      <c r="H1161" t="str">
        <f>IFERROR(__xludf.DUMMYFUNCTION("""COMPUTED_VALUE"""),"")</f>
        <v/>
      </c>
      <c r="I1161" t="str">
        <f>IFERROR(__xludf.DUMMYFUNCTION("""COMPUTED_VALUE"""),"")</f>
        <v/>
      </c>
      <c r="J1161">
        <f>IFERROR(__xludf.DUMMYFUNCTION("""COMPUTED_VALUE"""),0.0)</f>
        <v>0</v>
      </c>
      <c r="L1161" s="250" t="str">
        <f>IFERROR(__xludf.DUMMYFUNCTION("""COMPUTED_VALUE"""),"")</f>
        <v/>
      </c>
      <c r="M1161" s="250" t="str">
        <f>IFERROR(__xludf.DUMMYFUNCTION("""COMPUTED_VALUE"""),"")</f>
        <v/>
      </c>
      <c r="N1161" s="250" t="str">
        <f>IFERROR(__xludf.DUMMYFUNCTION("""COMPUTED_VALUE"""),"")</f>
        <v/>
      </c>
      <c r="O1161" s="250" t="str">
        <f>IFERROR(__xludf.DUMMYFUNCTION("""COMPUTED_VALUE"""),"")</f>
        <v/>
      </c>
      <c r="P1161" s="250" t="str">
        <f>IFERROR(__xludf.DUMMYFUNCTION("""COMPUTED_VALUE"""),"")</f>
        <v/>
      </c>
      <c r="Q1161" s="250" t="str">
        <f>IFERROR(__xludf.DUMMYFUNCTION("""COMPUTED_VALUE"""),"")</f>
        <v/>
      </c>
      <c r="R1161" s="250" t="str">
        <f>IFERROR(__xludf.DUMMYFUNCTION("""COMPUTED_VALUE"""),"")</f>
        <v/>
      </c>
      <c r="U1161" s="250" t="str">
        <f>IFERROR(__xludf.DUMMYFUNCTION("""COMPUTED_VALUE"""),"#N/A")</f>
        <v>#N/A</v>
      </c>
      <c r="V1161" s="250" t="str">
        <f>IFERROR(__xludf.DUMMYFUNCTION("""COMPUTED_VALUE"""),"#N/A")</f>
        <v>#N/A</v>
      </c>
      <c r="W1161" s="250" t="str">
        <f>IFERROR(__xludf.DUMMYFUNCTION("""COMPUTED_VALUE"""),"#N/A")</f>
        <v>#N/A</v>
      </c>
      <c r="X1161" t="b">
        <f t="shared" ref="X1161:Z1161" si="2298">ISBLANK(K1161)</f>
        <v>1</v>
      </c>
      <c r="Y1161" t="b">
        <f t="shared" si="2298"/>
        <v>0</v>
      </c>
      <c r="Z1161" t="b">
        <f t="shared" si="2298"/>
        <v>0</v>
      </c>
      <c r="AA1161">
        <f t="shared" ref="AA1161:AC1161" si="2299">IF(X1161=FALSE,1,0)</f>
        <v>0</v>
      </c>
      <c r="AB1161">
        <f t="shared" si="2299"/>
        <v>1</v>
      </c>
      <c r="AC1161">
        <f t="shared" si="2299"/>
        <v>1</v>
      </c>
      <c r="AD1161">
        <f t="shared" si="6"/>
        <v>2</v>
      </c>
      <c r="AE1161">
        <f t="shared" si="7"/>
        <v>1</v>
      </c>
    </row>
    <row r="1162">
      <c r="B1162" t="str">
        <f>IFERROR(__xludf.DUMMYFUNCTION("""COMPUTED_VALUE"""),"")</f>
        <v/>
      </c>
      <c r="C1162" t="str">
        <f>IFERROR(__xludf.DUMMYFUNCTION("""COMPUTED_VALUE"""),"")</f>
        <v/>
      </c>
      <c r="D1162" t="str">
        <f>IFERROR(__xludf.DUMMYFUNCTION("""COMPUTED_VALUE"""),"")</f>
        <v/>
      </c>
      <c r="E1162" t="str">
        <f>IFERROR(__xludf.DUMMYFUNCTION("""COMPUTED_VALUE"""),"")</f>
        <v/>
      </c>
      <c r="F1162" t="str">
        <f>IFERROR(__xludf.DUMMYFUNCTION("""COMPUTED_VALUE"""),"")</f>
        <v/>
      </c>
      <c r="G1162" t="str">
        <f>IFERROR(__xludf.DUMMYFUNCTION("""COMPUTED_VALUE"""),"")</f>
        <v/>
      </c>
      <c r="H1162" t="str">
        <f>IFERROR(__xludf.DUMMYFUNCTION("""COMPUTED_VALUE"""),"")</f>
        <v/>
      </c>
      <c r="I1162" t="str">
        <f>IFERROR(__xludf.DUMMYFUNCTION("""COMPUTED_VALUE"""),"")</f>
        <v/>
      </c>
      <c r="J1162">
        <f>IFERROR(__xludf.DUMMYFUNCTION("""COMPUTED_VALUE"""),0.0)</f>
        <v>0</v>
      </c>
      <c r="L1162" s="250" t="str">
        <f>IFERROR(__xludf.DUMMYFUNCTION("""COMPUTED_VALUE"""),"")</f>
        <v/>
      </c>
      <c r="M1162" s="250" t="str">
        <f>IFERROR(__xludf.DUMMYFUNCTION("""COMPUTED_VALUE"""),"")</f>
        <v/>
      </c>
      <c r="N1162" s="250" t="str">
        <f>IFERROR(__xludf.DUMMYFUNCTION("""COMPUTED_VALUE"""),"")</f>
        <v/>
      </c>
      <c r="O1162" s="250" t="str">
        <f>IFERROR(__xludf.DUMMYFUNCTION("""COMPUTED_VALUE"""),"")</f>
        <v/>
      </c>
      <c r="P1162" s="250" t="str">
        <f>IFERROR(__xludf.DUMMYFUNCTION("""COMPUTED_VALUE"""),"")</f>
        <v/>
      </c>
      <c r="Q1162" s="250" t="str">
        <f>IFERROR(__xludf.DUMMYFUNCTION("""COMPUTED_VALUE"""),"")</f>
        <v/>
      </c>
      <c r="R1162" s="250" t="str">
        <f>IFERROR(__xludf.DUMMYFUNCTION("""COMPUTED_VALUE"""),"")</f>
        <v/>
      </c>
      <c r="U1162" s="250" t="str">
        <f>IFERROR(__xludf.DUMMYFUNCTION("""COMPUTED_VALUE"""),"#N/A")</f>
        <v>#N/A</v>
      </c>
      <c r="V1162" s="250" t="str">
        <f>IFERROR(__xludf.DUMMYFUNCTION("""COMPUTED_VALUE"""),"#N/A")</f>
        <v>#N/A</v>
      </c>
      <c r="W1162" s="250" t="str">
        <f>IFERROR(__xludf.DUMMYFUNCTION("""COMPUTED_VALUE"""),"#N/A")</f>
        <v>#N/A</v>
      </c>
      <c r="X1162" t="b">
        <f t="shared" ref="X1162:Z1162" si="2300">ISBLANK(K1162)</f>
        <v>1</v>
      </c>
      <c r="Y1162" t="b">
        <f t="shared" si="2300"/>
        <v>0</v>
      </c>
      <c r="Z1162" t="b">
        <f t="shared" si="2300"/>
        <v>0</v>
      </c>
      <c r="AA1162">
        <f t="shared" ref="AA1162:AC1162" si="2301">IF(X1162=FALSE,1,0)</f>
        <v>0</v>
      </c>
      <c r="AB1162">
        <f t="shared" si="2301"/>
        <v>1</v>
      </c>
      <c r="AC1162">
        <f t="shared" si="2301"/>
        <v>1</v>
      </c>
      <c r="AD1162">
        <f t="shared" si="6"/>
        <v>2</v>
      </c>
      <c r="AE1162">
        <f t="shared" si="7"/>
        <v>1</v>
      </c>
    </row>
    <row r="1163">
      <c r="B1163" t="str">
        <f>IFERROR(__xludf.DUMMYFUNCTION("""COMPUTED_VALUE"""),"")</f>
        <v/>
      </c>
      <c r="C1163" t="str">
        <f>IFERROR(__xludf.DUMMYFUNCTION("""COMPUTED_VALUE"""),"")</f>
        <v/>
      </c>
      <c r="D1163" t="str">
        <f>IFERROR(__xludf.DUMMYFUNCTION("""COMPUTED_VALUE"""),"")</f>
        <v/>
      </c>
      <c r="E1163" t="str">
        <f>IFERROR(__xludf.DUMMYFUNCTION("""COMPUTED_VALUE"""),"")</f>
        <v/>
      </c>
      <c r="F1163" t="str">
        <f>IFERROR(__xludf.DUMMYFUNCTION("""COMPUTED_VALUE"""),"")</f>
        <v/>
      </c>
      <c r="G1163" t="str">
        <f>IFERROR(__xludf.DUMMYFUNCTION("""COMPUTED_VALUE"""),"")</f>
        <v/>
      </c>
      <c r="H1163" t="str">
        <f>IFERROR(__xludf.DUMMYFUNCTION("""COMPUTED_VALUE"""),"")</f>
        <v/>
      </c>
      <c r="I1163" t="str">
        <f>IFERROR(__xludf.DUMMYFUNCTION("""COMPUTED_VALUE"""),"")</f>
        <v/>
      </c>
      <c r="J1163">
        <f>IFERROR(__xludf.DUMMYFUNCTION("""COMPUTED_VALUE"""),0.0)</f>
        <v>0</v>
      </c>
      <c r="L1163" s="250" t="str">
        <f>IFERROR(__xludf.DUMMYFUNCTION("""COMPUTED_VALUE"""),"")</f>
        <v/>
      </c>
      <c r="M1163" s="250" t="str">
        <f>IFERROR(__xludf.DUMMYFUNCTION("""COMPUTED_VALUE"""),"")</f>
        <v/>
      </c>
      <c r="N1163" s="250" t="str">
        <f>IFERROR(__xludf.DUMMYFUNCTION("""COMPUTED_VALUE"""),"")</f>
        <v/>
      </c>
      <c r="O1163" s="250" t="str">
        <f>IFERROR(__xludf.DUMMYFUNCTION("""COMPUTED_VALUE"""),"")</f>
        <v/>
      </c>
      <c r="P1163" s="250" t="str">
        <f>IFERROR(__xludf.DUMMYFUNCTION("""COMPUTED_VALUE"""),"")</f>
        <v/>
      </c>
      <c r="Q1163" s="250" t="str">
        <f>IFERROR(__xludf.DUMMYFUNCTION("""COMPUTED_VALUE"""),"")</f>
        <v/>
      </c>
      <c r="R1163" s="250" t="str">
        <f>IFERROR(__xludf.DUMMYFUNCTION("""COMPUTED_VALUE"""),"")</f>
        <v/>
      </c>
      <c r="U1163" s="250" t="str">
        <f>IFERROR(__xludf.DUMMYFUNCTION("""COMPUTED_VALUE"""),"#N/A")</f>
        <v>#N/A</v>
      </c>
      <c r="V1163" s="250" t="str">
        <f>IFERROR(__xludf.DUMMYFUNCTION("""COMPUTED_VALUE"""),"#N/A")</f>
        <v>#N/A</v>
      </c>
      <c r="W1163" s="250" t="str">
        <f>IFERROR(__xludf.DUMMYFUNCTION("""COMPUTED_VALUE"""),"#N/A")</f>
        <v>#N/A</v>
      </c>
      <c r="X1163" t="b">
        <f t="shared" ref="X1163:Z1163" si="2302">ISBLANK(K1163)</f>
        <v>1</v>
      </c>
      <c r="Y1163" t="b">
        <f t="shared" si="2302"/>
        <v>0</v>
      </c>
      <c r="Z1163" t="b">
        <f t="shared" si="2302"/>
        <v>0</v>
      </c>
      <c r="AA1163">
        <f t="shared" ref="AA1163:AC1163" si="2303">IF(X1163=FALSE,1,0)</f>
        <v>0</v>
      </c>
      <c r="AB1163">
        <f t="shared" si="2303"/>
        <v>1</v>
      </c>
      <c r="AC1163">
        <f t="shared" si="2303"/>
        <v>1</v>
      </c>
      <c r="AD1163">
        <f t="shared" si="6"/>
        <v>2</v>
      </c>
      <c r="AE1163">
        <f t="shared" si="7"/>
        <v>1</v>
      </c>
    </row>
    <row r="1164">
      <c r="B1164" t="str">
        <f>IFERROR(__xludf.DUMMYFUNCTION("""COMPUTED_VALUE"""),"")</f>
        <v/>
      </c>
      <c r="C1164" t="str">
        <f>IFERROR(__xludf.DUMMYFUNCTION("""COMPUTED_VALUE"""),"")</f>
        <v/>
      </c>
      <c r="D1164" t="str">
        <f>IFERROR(__xludf.DUMMYFUNCTION("""COMPUTED_VALUE"""),"")</f>
        <v/>
      </c>
      <c r="E1164" t="str">
        <f>IFERROR(__xludf.DUMMYFUNCTION("""COMPUTED_VALUE"""),"")</f>
        <v/>
      </c>
      <c r="F1164" t="str">
        <f>IFERROR(__xludf.DUMMYFUNCTION("""COMPUTED_VALUE"""),"")</f>
        <v/>
      </c>
      <c r="G1164" t="str">
        <f>IFERROR(__xludf.DUMMYFUNCTION("""COMPUTED_VALUE"""),"")</f>
        <v/>
      </c>
      <c r="H1164" t="str">
        <f>IFERROR(__xludf.DUMMYFUNCTION("""COMPUTED_VALUE"""),"")</f>
        <v/>
      </c>
      <c r="I1164" t="str">
        <f>IFERROR(__xludf.DUMMYFUNCTION("""COMPUTED_VALUE"""),"")</f>
        <v/>
      </c>
      <c r="J1164">
        <f>IFERROR(__xludf.DUMMYFUNCTION("""COMPUTED_VALUE"""),0.0)</f>
        <v>0</v>
      </c>
      <c r="L1164" s="250" t="str">
        <f>IFERROR(__xludf.DUMMYFUNCTION("""COMPUTED_VALUE"""),"")</f>
        <v/>
      </c>
      <c r="M1164" s="250" t="str">
        <f>IFERROR(__xludf.DUMMYFUNCTION("""COMPUTED_VALUE"""),"")</f>
        <v/>
      </c>
      <c r="N1164" s="250" t="str">
        <f>IFERROR(__xludf.DUMMYFUNCTION("""COMPUTED_VALUE"""),"")</f>
        <v/>
      </c>
      <c r="O1164" s="250" t="str">
        <f>IFERROR(__xludf.DUMMYFUNCTION("""COMPUTED_VALUE"""),"")</f>
        <v/>
      </c>
      <c r="P1164" s="250" t="str">
        <f>IFERROR(__xludf.DUMMYFUNCTION("""COMPUTED_VALUE"""),"")</f>
        <v/>
      </c>
      <c r="Q1164" s="250" t="str">
        <f>IFERROR(__xludf.DUMMYFUNCTION("""COMPUTED_VALUE"""),"")</f>
        <v/>
      </c>
      <c r="R1164" s="250" t="str">
        <f>IFERROR(__xludf.DUMMYFUNCTION("""COMPUTED_VALUE"""),"")</f>
        <v/>
      </c>
      <c r="U1164" s="250" t="str">
        <f>IFERROR(__xludf.DUMMYFUNCTION("""COMPUTED_VALUE"""),"#N/A")</f>
        <v>#N/A</v>
      </c>
      <c r="V1164" s="250" t="str">
        <f>IFERROR(__xludf.DUMMYFUNCTION("""COMPUTED_VALUE"""),"#N/A")</f>
        <v>#N/A</v>
      </c>
      <c r="W1164" s="250" t="str">
        <f>IFERROR(__xludf.DUMMYFUNCTION("""COMPUTED_VALUE"""),"#N/A")</f>
        <v>#N/A</v>
      </c>
      <c r="X1164" t="b">
        <f t="shared" ref="X1164:Z1164" si="2304">ISBLANK(K1164)</f>
        <v>1</v>
      </c>
      <c r="Y1164" t="b">
        <f t="shared" si="2304"/>
        <v>0</v>
      </c>
      <c r="Z1164" t="b">
        <f t="shared" si="2304"/>
        <v>0</v>
      </c>
      <c r="AA1164">
        <f t="shared" ref="AA1164:AC1164" si="2305">IF(X1164=FALSE,1,0)</f>
        <v>0</v>
      </c>
      <c r="AB1164">
        <f t="shared" si="2305"/>
        <v>1</v>
      </c>
      <c r="AC1164">
        <f t="shared" si="2305"/>
        <v>1</v>
      </c>
      <c r="AD1164">
        <f t="shared" si="6"/>
        <v>2</v>
      </c>
      <c r="AE1164">
        <f t="shared" si="7"/>
        <v>1</v>
      </c>
    </row>
    <row r="1165">
      <c r="B1165" t="str">
        <f>IFERROR(__xludf.DUMMYFUNCTION("""COMPUTED_VALUE"""),"")</f>
        <v/>
      </c>
      <c r="C1165" t="str">
        <f>IFERROR(__xludf.DUMMYFUNCTION("""COMPUTED_VALUE"""),"")</f>
        <v/>
      </c>
      <c r="D1165" t="str">
        <f>IFERROR(__xludf.DUMMYFUNCTION("""COMPUTED_VALUE"""),"")</f>
        <v/>
      </c>
      <c r="E1165" t="str">
        <f>IFERROR(__xludf.DUMMYFUNCTION("""COMPUTED_VALUE"""),"")</f>
        <v/>
      </c>
      <c r="F1165" t="str">
        <f>IFERROR(__xludf.DUMMYFUNCTION("""COMPUTED_VALUE"""),"")</f>
        <v/>
      </c>
      <c r="G1165" t="str">
        <f>IFERROR(__xludf.DUMMYFUNCTION("""COMPUTED_VALUE"""),"")</f>
        <v/>
      </c>
      <c r="H1165" t="str">
        <f>IFERROR(__xludf.DUMMYFUNCTION("""COMPUTED_VALUE"""),"")</f>
        <v/>
      </c>
      <c r="I1165" t="str">
        <f>IFERROR(__xludf.DUMMYFUNCTION("""COMPUTED_VALUE"""),"")</f>
        <v/>
      </c>
      <c r="J1165">
        <f>IFERROR(__xludf.DUMMYFUNCTION("""COMPUTED_VALUE"""),0.0)</f>
        <v>0</v>
      </c>
      <c r="L1165" s="250" t="str">
        <f>IFERROR(__xludf.DUMMYFUNCTION("""COMPUTED_VALUE"""),"")</f>
        <v/>
      </c>
      <c r="M1165" s="250" t="str">
        <f>IFERROR(__xludf.DUMMYFUNCTION("""COMPUTED_VALUE"""),"")</f>
        <v/>
      </c>
      <c r="N1165" s="250" t="str">
        <f>IFERROR(__xludf.DUMMYFUNCTION("""COMPUTED_VALUE"""),"")</f>
        <v/>
      </c>
      <c r="O1165" s="250" t="str">
        <f>IFERROR(__xludf.DUMMYFUNCTION("""COMPUTED_VALUE"""),"")</f>
        <v/>
      </c>
      <c r="P1165" s="250" t="str">
        <f>IFERROR(__xludf.DUMMYFUNCTION("""COMPUTED_VALUE"""),"")</f>
        <v/>
      </c>
      <c r="Q1165" s="250" t="str">
        <f>IFERROR(__xludf.DUMMYFUNCTION("""COMPUTED_VALUE"""),"")</f>
        <v/>
      </c>
      <c r="R1165" s="250" t="str">
        <f>IFERROR(__xludf.DUMMYFUNCTION("""COMPUTED_VALUE"""),"")</f>
        <v/>
      </c>
      <c r="U1165" s="250" t="str">
        <f>IFERROR(__xludf.DUMMYFUNCTION("""COMPUTED_VALUE"""),"#N/A")</f>
        <v>#N/A</v>
      </c>
      <c r="V1165" s="250" t="str">
        <f>IFERROR(__xludf.DUMMYFUNCTION("""COMPUTED_VALUE"""),"#N/A")</f>
        <v>#N/A</v>
      </c>
      <c r="W1165" s="250" t="str">
        <f>IFERROR(__xludf.DUMMYFUNCTION("""COMPUTED_VALUE"""),"#N/A")</f>
        <v>#N/A</v>
      </c>
      <c r="X1165" t="b">
        <f t="shared" ref="X1165:Z1165" si="2306">ISBLANK(K1165)</f>
        <v>1</v>
      </c>
      <c r="Y1165" t="b">
        <f t="shared" si="2306"/>
        <v>0</v>
      </c>
      <c r="Z1165" t="b">
        <f t="shared" si="2306"/>
        <v>0</v>
      </c>
      <c r="AA1165">
        <f t="shared" ref="AA1165:AC1165" si="2307">IF(X1165=FALSE,1,0)</f>
        <v>0</v>
      </c>
      <c r="AB1165">
        <f t="shared" si="2307"/>
        <v>1</v>
      </c>
      <c r="AC1165">
        <f t="shared" si="2307"/>
        <v>1</v>
      </c>
      <c r="AD1165">
        <f t="shared" si="6"/>
        <v>2</v>
      </c>
      <c r="AE1165">
        <f t="shared" si="7"/>
        <v>1</v>
      </c>
    </row>
    <row r="1166">
      <c r="B1166" t="str">
        <f>IFERROR(__xludf.DUMMYFUNCTION("""COMPUTED_VALUE"""),"")</f>
        <v/>
      </c>
      <c r="C1166" t="str">
        <f>IFERROR(__xludf.DUMMYFUNCTION("""COMPUTED_VALUE"""),"")</f>
        <v/>
      </c>
      <c r="D1166" t="str">
        <f>IFERROR(__xludf.DUMMYFUNCTION("""COMPUTED_VALUE"""),"")</f>
        <v/>
      </c>
      <c r="E1166" t="str">
        <f>IFERROR(__xludf.DUMMYFUNCTION("""COMPUTED_VALUE"""),"")</f>
        <v/>
      </c>
      <c r="F1166" t="str">
        <f>IFERROR(__xludf.DUMMYFUNCTION("""COMPUTED_VALUE"""),"")</f>
        <v/>
      </c>
      <c r="G1166" t="str">
        <f>IFERROR(__xludf.DUMMYFUNCTION("""COMPUTED_VALUE"""),"")</f>
        <v/>
      </c>
      <c r="H1166" t="str">
        <f>IFERROR(__xludf.DUMMYFUNCTION("""COMPUTED_VALUE"""),"")</f>
        <v/>
      </c>
      <c r="I1166" t="str">
        <f>IFERROR(__xludf.DUMMYFUNCTION("""COMPUTED_VALUE"""),"")</f>
        <v/>
      </c>
      <c r="J1166">
        <f>IFERROR(__xludf.DUMMYFUNCTION("""COMPUTED_VALUE"""),0.0)</f>
        <v>0</v>
      </c>
      <c r="L1166" s="250" t="str">
        <f>IFERROR(__xludf.DUMMYFUNCTION("""COMPUTED_VALUE"""),"")</f>
        <v/>
      </c>
      <c r="M1166" s="250" t="str">
        <f>IFERROR(__xludf.DUMMYFUNCTION("""COMPUTED_VALUE"""),"")</f>
        <v/>
      </c>
      <c r="N1166" s="250" t="str">
        <f>IFERROR(__xludf.DUMMYFUNCTION("""COMPUTED_VALUE"""),"")</f>
        <v/>
      </c>
      <c r="O1166" s="250" t="str">
        <f>IFERROR(__xludf.DUMMYFUNCTION("""COMPUTED_VALUE"""),"")</f>
        <v/>
      </c>
      <c r="P1166" s="250" t="str">
        <f>IFERROR(__xludf.DUMMYFUNCTION("""COMPUTED_VALUE"""),"")</f>
        <v/>
      </c>
      <c r="Q1166" s="250" t="str">
        <f>IFERROR(__xludf.DUMMYFUNCTION("""COMPUTED_VALUE"""),"")</f>
        <v/>
      </c>
      <c r="R1166" s="250" t="str">
        <f>IFERROR(__xludf.DUMMYFUNCTION("""COMPUTED_VALUE"""),"")</f>
        <v/>
      </c>
      <c r="U1166" s="250" t="str">
        <f>IFERROR(__xludf.DUMMYFUNCTION("""COMPUTED_VALUE"""),"#N/A")</f>
        <v>#N/A</v>
      </c>
      <c r="V1166" s="250" t="str">
        <f>IFERROR(__xludf.DUMMYFUNCTION("""COMPUTED_VALUE"""),"#N/A")</f>
        <v>#N/A</v>
      </c>
      <c r="W1166" s="250" t="str">
        <f>IFERROR(__xludf.DUMMYFUNCTION("""COMPUTED_VALUE"""),"#N/A")</f>
        <v>#N/A</v>
      </c>
      <c r="X1166" t="b">
        <f t="shared" ref="X1166:Z1166" si="2308">ISBLANK(K1166)</f>
        <v>1</v>
      </c>
      <c r="Y1166" t="b">
        <f t="shared" si="2308"/>
        <v>0</v>
      </c>
      <c r="Z1166" t="b">
        <f t="shared" si="2308"/>
        <v>0</v>
      </c>
      <c r="AA1166">
        <f t="shared" ref="AA1166:AC1166" si="2309">IF(X1166=FALSE,1,0)</f>
        <v>0</v>
      </c>
      <c r="AB1166">
        <f t="shared" si="2309"/>
        <v>1</v>
      </c>
      <c r="AC1166">
        <f t="shared" si="2309"/>
        <v>1</v>
      </c>
      <c r="AD1166">
        <f t="shared" si="6"/>
        <v>2</v>
      </c>
      <c r="AE1166">
        <f t="shared" si="7"/>
        <v>1</v>
      </c>
    </row>
    <row r="1167">
      <c r="B1167" t="str">
        <f>IFERROR(__xludf.DUMMYFUNCTION("""COMPUTED_VALUE"""),"")</f>
        <v/>
      </c>
      <c r="C1167" t="str">
        <f>IFERROR(__xludf.DUMMYFUNCTION("""COMPUTED_VALUE"""),"")</f>
        <v/>
      </c>
      <c r="D1167" t="str">
        <f>IFERROR(__xludf.DUMMYFUNCTION("""COMPUTED_VALUE"""),"")</f>
        <v/>
      </c>
      <c r="E1167" t="str">
        <f>IFERROR(__xludf.DUMMYFUNCTION("""COMPUTED_VALUE"""),"")</f>
        <v/>
      </c>
      <c r="F1167" t="str">
        <f>IFERROR(__xludf.DUMMYFUNCTION("""COMPUTED_VALUE"""),"")</f>
        <v/>
      </c>
      <c r="G1167" t="str">
        <f>IFERROR(__xludf.DUMMYFUNCTION("""COMPUTED_VALUE"""),"")</f>
        <v/>
      </c>
      <c r="H1167" t="str">
        <f>IFERROR(__xludf.DUMMYFUNCTION("""COMPUTED_VALUE"""),"")</f>
        <v/>
      </c>
      <c r="I1167" t="str">
        <f>IFERROR(__xludf.DUMMYFUNCTION("""COMPUTED_VALUE"""),"")</f>
        <v/>
      </c>
      <c r="J1167">
        <f>IFERROR(__xludf.DUMMYFUNCTION("""COMPUTED_VALUE"""),0.0)</f>
        <v>0</v>
      </c>
      <c r="L1167" s="250" t="str">
        <f>IFERROR(__xludf.DUMMYFUNCTION("""COMPUTED_VALUE"""),"")</f>
        <v/>
      </c>
      <c r="M1167" s="250" t="str">
        <f>IFERROR(__xludf.DUMMYFUNCTION("""COMPUTED_VALUE"""),"")</f>
        <v/>
      </c>
      <c r="N1167" s="250" t="str">
        <f>IFERROR(__xludf.DUMMYFUNCTION("""COMPUTED_VALUE"""),"")</f>
        <v/>
      </c>
      <c r="O1167" s="250" t="str">
        <f>IFERROR(__xludf.DUMMYFUNCTION("""COMPUTED_VALUE"""),"")</f>
        <v/>
      </c>
      <c r="P1167" s="250" t="str">
        <f>IFERROR(__xludf.DUMMYFUNCTION("""COMPUTED_VALUE"""),"")</f>
        <v/>
      </c>
      <c r="Q1167" s="250" t="str">
        <f>IFERROR(__xludf.DUMMYFUNCTION("""COMPUTED_VALUE"""),"")</f>
        <v/>
      </c>
      <c r="R1167" s="250" t="str">
        <f>IFERROR(__xludf.DUMMYFUNCTION("""COMPUTED_VALUE"""),"")</f>
        <v/>
      </c>
      <c r="U1167" s="250" t="str">
        <f>IFERROR(__xludf.DUMMYFUNCTION("""COMPUTED_VALUE"""),"#N/A")</f>
        <v>#N/A</v>
      </c>
      <c r="V1167" s="250" t="str">
        <f>IFERROR(__xludf.DUMMYFUNCTION("""COMPUTED_VALUE"""),"#N/A")</f>
        <v>#N/A</v>
      </c>
      <c r="W1167" s="250" t="str">
        <f>IFERROR(__xludf.DUMMYFUNCTION("""COMPUTED_VALUE"""),"#N/A")</f>
        <v>#N/A</v>
      </c>
      <c r="X1167" t="b">
        <f t="shared" ref="X1167:Z1167" si="2310">ISBLANK(K1167)</f>
        <v>1</v>
      </c>
      <c r="Y1167" t="b">
        <f t="shared" si="2310"/>
        <v>0</v>
      </c>
      <c r="Z1167" t="b">
        <f t="shared" si="2310"/>
        <v>0</v>
      </c>
      <c r="AA1167">
        <f t="shared" ref="AA1167:AC1167" si="2311">IF(X1167=FALSE,1,0)</f>
        <v>0</v>
      </c>
      <c r="AB1167">
        <f t="shared" si="2311"/>
        <v>1</v>
      </c>
      <c r="AC1167">
        <f t="shared" si="2311"/>
        <v>1</v>
      </c>
      <c r="AD1167">
        <f t="shared" si="6"/>
        <v>2</v>
      </c>
      <c r="AE1167">
        <f t="shared" si="7"/>
        <v>1</v>
      </c>
    </row>
    <row r="1168">
      <c r="B1168" t="str">
        <f>IFERROR(__xludf.DUMMYFUNCTION("""COMPUTED_VALUE"""),"")</f>
        <v/>
      </c>
      <c r="C1168" t="str">
        <f>IFERROR(__xludf.DUMMYFUNCTION("""COMPUTED_VALUE"""),"")</f>
        <v/>
      </c>
      <c r="D1168" t="str">
        <f>IFERROR(__xludf.DUMMYFUNCTION("""COMPUTED_VALUE"""),"")</f>
        <v/>
      </c>
      <c r="E1168" t="str">
        <f>IFERROR(__xludf.DUMMYFUNCTION("""COMPUTED_VALUE"""),"")</f>
        <v/>
      </c>
      <c r="F1168" t="str">
        <f>IFERROR(__xludf.DUMMYFUNCTION("""COMPUTED_VALUE"""),"")</f>
        <v/>
      </c>
      <c r="G1168" t="str">
        <f>IFERROR(__xludf.DUMMYFUNCTION("""COMPUTED_VALUE"""),"")</f>
        <v/>
      </c>
      <c r="H1168" t="str">
        <f>IFERROR(__xludf.DUMMYFUNCTION("""COMPUTED_VALUE"""),"")</f>
        <v/>
      </c>
      <c r="I1168" t="str">
        <f>IFERROR(__xludf.DUMMYFUNCTION("""COMPUTED_VALUE"""),"")</f>
        <v/>
      </c>
      <c r="J1168">
        <f>IFERROR(__xludf.DUMMYFUNCTION("""COMPUTED_VALUE"""),0.0)</f>
        <v>0</v>
      </c>
      <c r="L1168" s="250" t="str">
        <f>IFERROR(__xludf.DUMMYFUNCTION("""COMPUTED_VALUE"""),"")</f>
        <v/>
      </c>
      <c r="M1168" s="250" t="str">
        <f>IFERROR(__xludf.DUMMYFUNCTION("""COMPUTED_VALUE"""),"")</f>
        <v/>
      </c>
      <c r="N1168" s="250" t="str">
        <f>IFERROR(__xludf.DUMMYFUNCTION("""COMPUTED_VALUE"""),"")</f>
        <v/>
      </c>
      <c r="O1168" s="250" t="str">
        <f>IFERROR(__xludf.DUMMYFUNCTION("""COMPUTED_VALUE"""),"")</f>
        <v/>
      </c>
      <c r="P1168" s="250" t="str">
        <f>IFERROR(__xludf.DUMMYFUNCTION("""COMPUTED_VALUE"""),"")</f>
        <v/>
      </c>
      <c r="Q1168" s="250" t="str">
        <f>IFERROR(__xludf.DUMMYFUNCTION("""COMPUTED_VALUE"""),"")</f>
        <v/>
      </c>
      <c r="R1168" s="250" t="str">
        <f>IFERROR(__xludf.DUMMYFUNCTION("""COMPUTED_VALUE"""),"")</f>
        <v/>
      </c>
      <c r="U1168" s="250" t="str">
        <f>IFERROR(__xludf.DUMMYFUNCTION("""COMPUTED_VALUE"""),"#N/A")</f>
        <v>#N/A</v>
      </c>
      <c r="V1168" s="250" t="str">
        <f>IFERROR(__xludf.DUMMYFUNCTION("""COMPUTED_VALUE"""),"#N/A")</f>
        <v>#N/A</v>
      </c>
      <c r="W1168" s="250" t="str">
        <f>IFERROR(__xludf.DUMMYFUNCTION("""COMPUTED_VALUE"""),"#N/A")</f>
        <v>#N/A</v>
      </c>
      <c r="X1168" t="b">
        <f t="shared" ref="X1168:Z1168" si="2312">ISBLANK(K1168)</f>
        <v>1</v>
      </c>
      <c r="Y1168" t="b">
        <f t="shared" si="2312"/>
        <v>0</v>
      </c>
      <c r="Z1168" t="b">
        <f t="shared" si="2312"/>
        <v>0</v>
      </c>
      <c r="AA1168">
        <f t="shared" ref="AA1168:AC1168" si="2313">IF(X1168=FALSE,1,0)</f>
        <v>0</v>
      </c>
      <c r="AB1168">
        <f t="shared" si="2313"/>
        <v>1</v>
      </c>
      <c r="AC1168">
        <f t="shared" si="2313"/>
        <v>1</v>
      </c>
      <c r="AD1168">
        <f t="shared" si="6"/>
        <v>2</v>
      </c>
      <c r="AE1168">
        <f t="shared" si="7"/>
        <v>1</v>
      </c>
    </row>
    <row r="1169">
      <c r="B1169" t="str">
        <f>IFERROR(__xludf.DUMMYFUNCTION("""COMPUTED_VALUE"""),"")</f>
        <v/>
      </c>
      <c r="C1169" t="str">
        <f>IFERROR(__xludf.DUMMYFUNCTION("""COMPUTED_VALUE"""),"")</f>
        <v/>
      </c>
      <c r="D1169" t="str">
        <f>IFERROR(__xludf.DUMMYFUNCTION("""COMPUTED_VALUE"""),"")</f>
        <v/>
      </c>
      <c r="E1169" t="str">
        <f>IFERROR(__xludf.DUMMYFUNCTION("""COMPUTED_VALUE"""),"")</f>
        <v/>
      </c>
      <c r="F1169" t="str">
        <f>IFERROR(__xludf.DUMMYFUNCTION("""COMPUTED_VALUE"""),"")</f>
        <v/>
      </c>
      <c r="G1169" t="str">
        <f>IFERROR(__xludf.DUMMYFUNCTION("""COMPUTED_VALUE"""),"")</f>
        <v/>
      </c>
      <c r="H1169" t="str">
        <f>IFERROR(__xludf.DUMMYFUNCTION("""COMPUTED_VALUE"""),"")</f>
        <v/>
      </c>
      <c r="I1169" t="str">
        <f>IFERROR(__xludf.DUMMYFUNCTION("""COMPUTED_VALUE"""),"")</f>
        <v/>
      </c>
      <c r="J1169">
        <f>IFERROR(__xludf.DUMMYFUNCTION("""COMPUTED_VALUE"""),0.0)</f>
        <v>0</v>
      </c>
      <c r="L1169" s="250" t="str">
        <f>IFERROR(__xludf.DUMMYFUNCTION("""COMPUTED_VALUE"""),"")</f>
        <v/>
      </c>
      <c r="M1169" s="250" t="str">
        <f>IFERROR(__xludf.DUMMYFUNCTION("""COMPUTED_VALUE"""),"")</f>
        <v/>
      </c>
      <c r="N1169" s="250" t="str">
        <f>IFERROR(__xludf.DUMMYFUNCTION("""COMPUTED_VALUE"""),"")</f>
        <v/>
      </c>
      <c r="O1169" s="250" t="str">
        <f>IFERROR(__xludf.DUMMYFUNCTION("""COMPUTED_VALUE"""),"")</f>
        <v/>
      </c>
      <c r="P1169" s="250" t="str">
        <f>IFERROR(__xludf.DUMMYFUNCTION("""COMPUTED_VALUE"""),"")</f>
        <v/>
      </c>
      <c r="Q1169" s="250" t="str">
        <f>IFERROR(__xludf.DUMMYFUNCTION("""COMPUTED_VALUE"""),"")</f>
        <v/>
      </c>
      <c r="R1169" s="250" t="str">
        <f>IFERROR(__xludf.DUMMYFUNCTION("""COMPUTED_VALUE"""),"")</f>
        <v/>
      </c>
      <c r="U1169" s="250" t="str">
        <f>IFERROR(__xludf.DUMMYFUNCTION("""COMPUTED_VALUE"""),"#N/A")</f>
        <v>#N/A</v>
      </c>
      <c r="V1169" s="250" t="str">
        <f>IFERROR(__xludf.DUMMYFUNCTION("""COMPUTED_VALUE"""),"#N/A")</f>
        <v>#N/A</v>
      </c>
      <c r="W1169" s="250" t="str">
        <f>IFERROR(__xludf.DUMMYFUNCTION("""COMPUTED_VALUE"""),"#N/A")</f>
        <v>#N/A</v>
      </c>
      <c r="X1169" t="b">
        <f t="shared" ref="X1169:Z1169" si="2314">ISBLANK(K1169)</f>
        <v>1</v>
      </c>
      <c r="Y1169" t="b">
        <f t="shared" si="2314"/>
        <v>0</v>
      </c>
      <c r="Z1169" t="b">
        <f t="shared" si="2314"/>
        <v>0</v>
      </c>
      <c r="AA1169">
        <f t="shared" ref="AA1169:AC1169" si="2315">IF(X1169=FALSE,1,0)</f>
        <v>0</v>
      </c>
      <c r="AB1169">
        <f t="shared" si="2315"/>
        <v>1</v>
      </c>
      <c r="AC1169">
        <f t="shared" si="2315"/>
        <v>1</v>
      </c>
      <c r="AD1169">
        <f t="shared" si="6"/>
        <v>2</v>
      </c>
      <c r="AE1169">
        <f t="shared" si="7"/>
        <v>1</v>
      </c>
    </row>
    <row r="1170">
      <c r="B1170" t="str">
        <f>IFERROR(__xludf.DUMMYFUNCTION("""COMPUTED_VALUE"""),"")</f>
        <v/>
      </c>
      <c r="C1170" t="str">
        <f>IFERROR(__xludf.DUMMYFUNCTION("""COMPUTED_VALUE"""),"")</f>
        <v/>
      </c>
      <c r="D1170" t="str">
        <f>IFERROR(__xludf.DUMMYFUNCTION("""COMPUTED_VALUE"""),"")</f>
        <v/>
      </c>
      <c r="E1170" t="str">
        <f>IFERROR(__xludf.DUMMYFUNCTION("""COMPUTED_VALUE"""),"")</f>
        <v/>
      </c>
      <c r="F1170" t="str">
        <f>IFERROR(__xludf.DUMMYFUNCTION("""COMPUTED_VALUE"""),"")</f>
        <v/>
      </c>
      <c r="G1170" t="str">
        <f>IFERROR(__xludf.DUMMYFUNCTION("""COMPUTED_VALUE"""),"")</f>
        <v/>
      </c>
      <c r="H1170" t="str">
        <f>IFERROR(__xludf.DUMMYFUNCTION("""COMPUTED_VALUE"""),"")</f>
        <v/>
      </c>
      <c r="I1170" t="str">
        <f>IFERROR(__xludf.DUMMYFUNCTION("""COMPUTED_VALUE"""),"")</f>
        <v/>
      </c>
      <c r="J1170">
        <f>IFERROR(__xludf.DUMMYFUNCTION("""COMPUTED_VALUE"""),0.0)</f>
        <v>0</v>
      </c>
      <c r="L1170" s="250" t="str">
        <f>IFERROR(__xludf.DUMMYFUNCTION("""COMPUTED_VALUE"""),"")</f>
        <v/>
      </c>
      <c r="M1170" s="250" t="str">
        <f>IFERROR(__xludf.DUMMYFUNCTION("""COMPUTED_VALUE"""),"")</f>
        <v/>
      </c>
      <c r="N1170" s="250" t="str">
        <f>IFERROR(__xludf.DUMMYFUNCTION("""COMPUTED_VALUE"""),"")</f>
        <v/>
      </c>
      <c r="O1170" s="250" t="str">
        <f>IFERROR(__xludf.DUMMYFUNCTION("""COMPUTED_VALUE"""),"")</f>
        <v/>
      </c>
      <c r="P1170" s="250" t="str">
        <f>IFERROR(__xludf.DUMMYFUNCTION("""COMPUTED_VALUE"""),"")</f>
        <v/>
      </c>
      <c r="Q1170" s="250" t="str">
        <f>IFERROR(__xludf.DUMMYFUNCTION("""COMPUTED_VALUE"""),"")</f>
        <v/>
      </c>
      <c r="R1170" s="250" t="str">
        <f>IFERROR(__xludf.DUMMYFUNCTION("""COMPUTED_VALUE"""),"")</f>
        <v/>
      </c>
      <c r="U1170" s="250" t="str">
        <f>IFERROR(__xludf.DUMMYFUNCTION("""COMPUTED_VALUE"""),"#N/A")</f>
        <v>#N/A</v>
      </c>
      <c r="V1170" s="250" t="str">
        <f>IFERROR(__xludf.DUMMYFUNCTION("""COMPUTED_VALUE"""),"#N/A")</f>
        <v>#N/A</v>
      </c>
      <c r="W1170" s="250" t="str">
        <f>IFERROR(__xludf.DUMMYFUNCTION("""COMPUTED_VALUE"""),"#N/A")</f>
        <v>#N/A</v>
      </c>
      <c r="X1170" t="b">
        <f t="shared" ref="X1170:Z1170" si="2316">ISBLANK(K1170)</f>
        <v>1</v>
      </c>
      <c r="Y1170" t="b">
        <f t="shared" si="2316"/>
        <v>0</v>
      </c>
      <c r="Z1170" t="b">
        <f t="shared" si="2316"/>
        <v>0</v>
      </c>
      <c r="AA1170">
        <f t="shared" ref="AA1170:AC1170" si="2317">IF(X1170=FALSE,1,0)</f>
        <v>0</v>
      </c>
      <c r="AB1170">
        <f t="shared" si="2317"/>
        <v>1</v>
      </c>
      <c r="AC1170">
        <f t="shared" si="2317"/>
        <v>1</v>
      </c>
      <c r="AD1170">
        <f t="shared" si="6"/>
        <v>2</v>
      </c>
      <c r="AE1170">
        <f t="shared" si="7"/>
        <v>1</v>
      </c>
    </row>
    <row r="1171">
      <c r="B1171" t="str">
        <f>IFERROR(__xludf.DUMMYFUNCTION("""COMPUTED_VALUE"""),"")</f>
        <v/>
      </c>
      <c r="C1171" t="str">
        <f>IFERROR(__xludf.DUMMYFUNCTION("""COMPUTED_VALUE"""),"")</f>
        <v/>
      </c>
      <c r="D1171" t="str">
        <f>IFERROR(__xludf.DUMMYFUNCTION("""COMPUTED_VALUE"""),"")</f>
        <v/>
      </c>
      <c r="E1171" t="str">
        <f>IFERROR(__xludf.DUMMYFUNCTION("""COMPUTED_VALUE"""),"")</f>
        <v/>
      </c>
      <c r="F1171" t="str">
        <f>IFERROR(__xludf.DUMMYFUNCTION("""COMPUTED_VALUE"""),"")</f>
        <v/>
      </c>
      <c r="G1171" t="str">
        <f>IFERROR(__xludf.DUMMYFUNCTION("""COMPUTED_VALUE"""),"")</f>
        <v/>
      </c>
      <c r="H1171" t="str">
        <f>IFERROR(__xludf.DUMMYFUNCTION("""COMPUTED_VALUE"""),"")</f>
        <v/>
      </c>
      <c r="I1171" t="str">
        <f>IFERROR(__xludf.DUMMYFUNCTION("""COMPUTED_VALUE"""),"")</f>
        <v/>
      </c>
      <c r="J1171">
        <f>IFERROR(__xludf.DUMMYFUNCTION("""COMPUTED_VALUE"""),0.0)</f>
        <v>0</v>
      </c>
      <c r="L1171" s="250" t="str">
        <f>IFERROR(__xludf.DUMMYFUNCTION("""COMPUTED_VALUE"""),"")</f>
        <v/>
      </c>
      <c r="M1171" s="250" t="str">
        <f>IFERROR(__xludf.DUMMYFUNCTION("""COMPUTED_VALUE"""),"")</f>
        <v/>
      </c>
      <c r="N1171" s="250" t="str">
        <f>IFERROR(__xludf.DUMMYFUNCTION("""COMPUTED_VALUE"""),"")</f>
        <v/>
      </c>
      <c r="O1171" s="250" t="str">
        <f>IFERROR(__xludf.DUMMYFUNCTION("""COMPUTED_VALUE"""),"")</f>
        <v/>
      </c>
      <c r="P1171" s="250" t="str">
        <f>IFERROR(__xludf.DUMMYFUNCTION("""COMPUTED_VALUE"""),"")</f>
        <v/>
      </c>
      <c r="Q1171" s="250" t="str">
        <f>IFERROR(__xludf.DUMMYFUNCTION("""COMPUTED_VALUE"""),"")</f>
        <v/>
      </c>
      <c r="R1171" s="250" t="str">
        <f>IFERROR(__xludf.DUMMYFUNCTION("""COMPUTED_VALUE"""),"")</f>
        <v/>
      </c>
      <c r="U1171" s="250" t="str">
        <f>IFERROR(__xludf.DUMMYFUNCTION("""COMPUTED_VALUE"""),"#N/A")</f>
        <v>#N/A</v>
      </c>
      <c r="V1171" s="250" t="str">
        <f>IFERROR(__xludf.DUMMYFUNCTION("""COMPUTED_VALUE"""),"#N/A")</f>
        <v>#N/A</v>
      </c>
      <c r="W1171" s="250" t="str">
        <f>IFERROR(__xludf.DUMMYFUNCTION("""COMPUTED_VALUE"""),"#N/A")</f>
        <v>#N/A</v>
      </c>
      <c r="X1171" t="b">
        <f t="shared" ref="X1171:Z1171" si="2318">ISBLANK(K1171)</f>
        <v>1</v>
      </c>
      <c r="Y1171" t="b">
        <f t="shared" si="2318"/>
        <v>0</v>
      </c>
      <c r="Z1171" t="b">
        <f t="shared" si="2318"/>
        <v>0</v>
      </c>
      <c r="AA1171">
        <f t="shared" ref="AA1171:AC1171" si="2319">IF(X1171=FALSE,1,0)</f>
        <v>0</v>
      </c>
      <c r="AB1171">
        <f t="shared" si="2319"/>
        <v>1</v>
      </c>
      <c r="AC1171">
        <f t="shared" si="2319"/>
        <v>1</v>
      </c>
      <c r="AD1171">
        <f t="shared" si="6"/>
        <v>2</v>
      </c>
      <c r="AE1171">
        <f t="shared" si="7"/>
        <v>1</v>
      </c>
    </row>
    <row r="1172">
      <c r="B1172" t="str">
        <f>IFERROR(__xludf.DUMMYFUNCTION("""COMPUTED_VALUE"""),"")</f>
        <v/>
      </c>
      <c r="C1172" t="str">
        <f>IFERROR(__xludf.DUMMYFUNCTION("""COMPUTED_VALUE"""),"")</f>
        <v/>
      </c>
      <c r="D1172" t="str">
        <f>IFERROR(__xludf.DUMMYFUNCTION("""COMPUTED_VALUE"""),"")</f>
        <v/>
      </c>
      <c r="E1172" t="str">
        <f>IFERROR(__xludf.DUMMYFUNCTION("""COMPUTED_VALUE"""),"")</f>
        <v/>
      </c>
      <c r="F1172" t="str">
        <f>IFERROR(__xludf.DUMMYFUNCTION("""COMPUTED_VALUE"""),"")</f>
        <v/>
      </c>
      <c r="G1172" t="str">
        <f>IFERROR(__xludf.DUMMYFUNCTION("""COMPUTED_VALUE"""),"")</f>
        <v/>
      </c>
      <c r="H1172" t="str">
        <f>IFERROR(__xludf.DUMMYFUNCTION("""COMPUTED_VALUE"""),"")</f>
        <v/>
      </c>
      <c r="I1172" t="str">
        <f>IFERROR(__xludf.DUMMYFUNCTION("""COMPUTED_VALUE"""),"")</f>
        <v/>
      </c>
      <c r="J1172">
        <f>IFERROR(__xludf.DUMMYFUNCTION("""COMPUTED_VALUE"""),0.0)</f>
        <v>0</v>
      </c>
      <c r="L1172" s="250" t="str">
        <f>IFERROR(__xludf.DUMMYFUNCTION("""COMPUTED_VALUE"""),"")</f>
        <v/>
      </c>
      <c r="M1172" s="250" t="str">
        <f>IFERROR(__xludf.DUMMYFUNCTION("""COMPUTED_VALUE"""),"")</f>
        <v/>
      </c>
      <c r="N1172" s="250" t="str">
        <f>IFERROR(__xludf.DUMMYFUNCTION("""COMPUTED_VALUE"""),"")</f>
        <v/>
      </c>
      <c r="O1172" s="250" t="str">
        <f>IFERROR(__xludf.DUMMYFUNCTION("""COMPUTED_VALUE"""),"")</f>
        <v/>
      </c>
      <c r="P1172" s="250" t="str">
        <f>IFERROR(__xludf.DUMMYFUNCTION("""COMPUTED_VALUE"""),"")</f>
        <v/>
      </c>
      <c r="Q1172" s="250" t="str">
        <f>IFERROR(__xludf.DUMMYFUNCTION("""COMPUTED_VALUE"""),"")</f>
        <v/>
      </c>
      <c r="R1172" s="250" t="str">
        <f>IFERROR(__xludf.DUMMYFUNCTION("""COMPUTED_VALUE"""),"")</f>
        <v/>
      </c>
      <c r="U1172" s="250" t="str">
        <f>IFERROR(__xludf.DUMMYFUNCTION("""COMPUTED_VALUE"""),"#N/A")</f>
        <v>#N/A</v>
      </c>
      <c r="V1172" s="250" t="str">
        <f>IFERROR(__xludf.DUMMYFUNCTION("""COMPUTED_VALUE"""),"#N/A")</f>
        <v>#N/A</v>
      </c>
      <c r="W1172" s="250" t="str">
        <f>IFERROR(__xludf.DUMMYFUNCTION("""COMPUTED_VALUE"""),"#N/A")</f>
        <v>#N/A</v>
      </c>
      <c r="X1172" t="b">
        <f t="shared" ref="X1172:Z1172" si="2320">ISBLANK(K1172)</f>
        <v>1</v>
      </c>
      <c r="Y1172" t="b">
        <f t="shared" si="2320"/>
        <v>0</v>
      </c>
      <c r="Z1172" t="b">
        <f t="shared" si="2320"/>
        <v>0</v>
      </c>
      <c r="AA1172">
        <f t="shared" ref="AA1172:AC1172" si="2321">IF(X1172=FALSE,1,0)</f>
        <v>0</v>
      </c>
      <c r="AB1172">
        <f t="shared" si="2321"/>
        <v>1</v>
      </c>
      <c r="AC1172">
        <f t="shared" si="2321"/>
        <v>1</v>
      </c>
      <c r="AD1172">
        <f t="shared" si="6"/>
        <v>2</v>
      </c>
      <c r="AE1172">
        <f t="shared" si="7"/>
        <v>1</v>
      </c>
    </row>
    <row r="1173">
      <c r="B1173" t="str">
        <f>IFERROR(__xludf.DUMMYFUNCTION("""COMPUTED_VALUE"""),"")</f>
        <v/>
      </c>
      <c r="C1173" t="str">
        <f>IFERROR(__xludf.DUMMYFUNCTION("""COMPUTED_VALUE"""),"")</f>
        <v/>
      </c>
      <c r="D1173" t="str">
        <f>IFERROR(__xludf.DUMMYFUNCTION("""COMPUTED_VALUE"""),"")</f>
        <v/>
      </c>
      <c r="E1173" t="str">
        <f>IFERROR(__xludf.DUMMYFUNCTION("""COMPUTED_VALUE"""),"")</f>
        <v/>
      </c>
      <c r="F1173" t="str">
        <f>IFERROR(__xludf.DUMMYFUNCTION("""COMPUTED_VALUE"""),"")</f>
        <v/>
      </c>
      <c r="G1173" t="str">
        <f>IFERROR(__xludf.DUMMYFUNCTION("""COMPUTED_VALUE"""),"")</f>
        <v/>
      </c>
      <c r="H1173" t="str">
        <f>IFERROR(__xludf.DUMMYFUNCTION("""COMPUTED_VALUE"""),"")</f>
        <v/>
      </c>
      <c r="I1173" t="str">
        <f>IFERROR(__xludf.DUMMYFUNCTION("""COMPUTED_VALUE"""),"")</f>
        <v/>
      </c>
      <c r="J1173">
        <f>IFERROR(__xludf.DUMMYFUNCTION("""COMPUTED_VALUE"""),0.0)</f>
        <v>0</v>
      </c>
      <c r="L1173" s="250" t="str">
        <f>IFERROR(__xludf.DUMMYFUNCTION("""COMPUTED_VALUE"""),"")</f>
        <v/>
      </c>
      <c r="M1173" s="250" t="str">
        <f>IFERROR(__xludf.DUMMYFUNCTION("""COMPUTED_VALUE"""),"")</f>
        <v/>
      </c>
      <c r="N1173" s="250" t="str">
        <f>IFERROR(__xludf.DUMMYFUNCTION("""COMPUTED_VALUE"""),"")</f>
        <v/>
      </c>
      <c r="O1173" s="250" t="str">
        <f>IFERROR(__xludf.DUMMYFUNCTION("""COMPUTED_VALUE"""),"")</f>
        <v/>
      </c>
      <c r="P1173" s="250" t="str">
        <f>IFERROR(__xludf.DUMMYFUNCTION("""COMPUTED_VALUE"""),"")</f>
        <v/>
      </c>
      <c r="Q1173" s="250" t="str">
        <f>IFERROR(__xludf.DUMMYFUNCTION("""COMPUTED_VALUE"""),"")</f>
        <v/>
      </c>
      <c r="R1173" s="250" t="str">
        <f>IFERROR(__xludf.DUMMYFUNCTION("""COMPUTED_VALUE"""),"")</f>
        <v/>
      </c>
      <c r="U1173" s="250" t="str">
        <f>IFERROR(__xludf.DUMMYFUNCTION("""COMPUTED_VALUE"""),"#N/A")</f>
        <v>#N/A</v>
      </c>
      <c r="V1173" s="250" t="str">
        <f>IFERROR(__xludf.DUMMYFUNCTION("""COMPUTED_VALUE"""),"#N/A")</f>
        <v>#N/A</v>
      </c>
      <c r="W1173" s="250" t="str">
        <f>IFERROR(__xludf.DUMMYFUNCTION("""COMPUTED_VALUE"""),"#N/A")</f>
        <v>#N/A</v>
      </c>
      <c r="X1173" t="b">
        <f t="shared" ref="X1173:Z1173" si="2322">ISBLANK(K1173)</f>
        <v>1</v>
      </c>
      <c r="Y1173" t="b">
        <f t="shared" si="2322"/>
        <v>0</v>
      </c>
      <c r="Z1173" t="b">
        <f t="shared" si="2322"/>
        <v>0</v>
      </c>
      <c r="AA1173">
        <f t="shared" ref="AA1173:AC1173" si="2323">IF(X1173=FALSE,1,0)</f>
        <v>0</v>
      </c>
      <c r="AB1173">
        <f t="shared" si="2323"/>
        <v>1</v>
      </c>
      <c r="AC1173">
        <f t="shared" si="2323"/>
        <v>1</v>
      </c>
      <c r="AD1173">
        <f t="shared" si="6"/>
        <v>2</v>
      </c>
      <c r="AE1173">
        <f t="shared" si="7"/>
        <v>1</v>
      </c>
    </row>
    <row r="1174">
      <c r="B1174" t="str">
        <f>IFERROR(__xludf.DUMMYFUNCTION("""COMPUTED_VALUE"""),"")</f>
        <v/>
      </c>
      <c r="C1174" t="str">
        <f>IFERROR(__xludf.DUMMYFUNCTION("""COMPUTED_VALUE"""),"")</f>
        <v/>
      </c>
      <c r="D1174" t="str">
        <f>IFERROR(__xludf.DUMMYFUNCTION("""COMPUTED_VALUE"""),"")</f>
        <v/>
      </c>
      <c r="E1174" t="str">
        <f>IFERROR(__xludf.DUMMYFUNCTION("""COMPUTED_VALUE"""),"")</f>
        <v/>
      </c>
      <c r="F1174" t="str">
        <f>IFERROR(__xludf.DUMMYFUNCTION("""COMPUTED_VALUE"""),"")</f>
        <v/>
      </c>
      <c r="G1174" t="str">
        <f>IFERROR(__xludf.DUMMYFUNCTION("""COMPUTED_VALUE"""),"")</f>
        <v/>
      </c>
      <c r="H1174" t="str">
        <f>IFERROR(__xludf.DUMMYFUNCTION("""COMPUTED_VALUE"""),"")</f>
        <v/>
      </c>
      <c r="I1174" t="str">
        <f>IFERROR(__xludf.DUMMYFUNCTION("""COMPUTED_VALUE"""),"")</f>
        <v/>
      </c>
      <c r="J1174">
        <f>IFERROR(__xludf.DUMMYFUNCTION("""COMPUTED_VALUE"""),0.0)</f>
        <v>0</v>
      </c>
      <c r="L1174" s="250" t="str">
        <f>IFERROR(__xludf.DUMMYFUNCTION("""COMPUTED_VALUE"""),"")</f>
        <v/>
      </c>
      <c r="M1174" s="250" t="str">
        <f>IFERROR(__xludf.DUMMYFUNCTION("""COMPUTED_VALUE"""),"")</f>
        <v/>
      </c>
      <c r="N1174" s="250" t="str">
        <f>IFERROR(__xludf.DUMMYFUNCTION("""COMPUTED_VALUE"""),"")</f>
        <v/>
      </c>
      <c r="O1174" s="250" t="str">
        <f>IFERROR(__xludf.DUMMYFUNCTION("""COMPUTED_VALUE"""),"")</f>
        <v/>
      </c>
      <c r="P1174" s="250" t="str">
        <f>IFERROR(__xludf.DUMMYFUNCTION("""COMPUTED_VALUE"""),"")</f>
        <v/>
      </c>
      <c r="Q1174" s="250" t="str">
        <f>IFERROR(__xludf.DUMMYFUNCTION("""COMPUTED_VALUE"""),"")</f>
        <v/>
      </c>
      <c r="R1174" s="250" t="str">
        <f>IFERROR(__xludf.DUMMYFUNCTION("""COMPUTED_VALUE"""),"")</f>
        <v/>
      </c>
      <c r="U1174" s="250" t="str">
        <f>IFERROR(__xludf.DUMMYFUNCTION("""COMPUTED_VALUE"""),"#N/A")</f>
        <v>#N/A</v>
      </c>
      <c r="V1174" s="250" t="str">
        <f>IFERROR(__xludf.DUMMYFUNCTION("""COMPUTED_VALUE"""),"#N/A")</f>
        <v>#N/A</v>
      </c>
      <c r="W1174" s="250" t="str">
        <f>IFERROR(__xludf.DUMMYFUNCTION("""COMPUTED_VALUE"""),"#N/A")</f>
        <v>#N/A</v>
      </c>
      <c r="X1174" t="b">
        <f t="shared" ref="X1174:Z1174" si="2324">ISBLANK(K1174)</f>
        <v>1</v>
      </c>
      <c r="Y1174" t="b">
        <f t="shared" si="2324"/>
        <v>0</v>
      </c>
      <c r="Z1174" t="b">
        <f t="shared" si="2324"/>
        <v>0</v>
      </c>
      <c r="AA1174">
        <f t="shared" ref="AA1174:AC1174" si="2325">IF(X1174=FALSE,1,0)</f>
        <v>0</v>
      </c>
      <c r="AB1174">
        <f t="shared" si="2325"/>
        <v>1</v>
      </c>
      <c r="AC1174">
        <f t="shared" si="2325"/>
        <v>1</v>
      </c>
      <c r="AD1174">
        <f t="shared" si="6"/>
        <v>2</v>
      </c>
      <c r="AE1174">
        <f t="shared" si="7"/>
        <v>1</v>
      </c>
    </row>
    <row r="1175">
      <c r="B1175" t="str">
        <f>IFERROR(__xludf.DUMMYFUNCTION("""COMPUTED_VALUE"""),"")</f>
        <v/>
      </c>
      <c r="C1175" t="str">
        <f>IFERROR(__xludf.DUMMYFUNCTION("""COMPUTED_VALUE"""),"")</f>
        <v/>
      </c>
      <c r="D1175" t="str">
        <f>IFERROR(__xludf.DUMMYFUNCTION("""COMPUTED_VALUE"""),"")</f>
        <v/>
      </c>
      <c r="E1175" t="str">
        <f>IFERROR(__xludf.DUMMYFUNCTION("""COMPUTED_VALUE"""),"")</f>
        <v/>
      </c>
      <c r="F1175" t="str">
        <f>IFERROR(__xludf.DUMMYFUNCTION("""COMPUTED_VALUE"""),"")</f>
        <v/>
      </c>
      <c r="G1175" t="str">
        <f>IFERROR(__xludf.DUMMYFUNCTION("""COMPUTED_VALUE"""),"")</f>
        <v/>
      </c>
      <c r="H1175" t="str">
        <f>IFERROR(__xludf.DUMMYFUNCTION("""COMPUTED_VALUE"""),"")</f>
        <v/>
      </c>
      <c r="I1175" t="str">
        <f>IFERROR(__xludf.DUMMYFUNCTION("""COMPUTED_VALUE"""),"")</f>
        <v/>
      </c>
      <c r="J1175">
        <f>IFERROR(__xludf.DUMMYFUNCTION("""COMPUTED_VALUE"""),0.0)</f>
        <v>0</v>
      </c>
      <c r="L1175" s="250" t="str">
        <f>IFERROR(__xludf.DUMMYFUNCTION("""COMPUTED_VALUE"""),"")</f>
        <v/>
      </c>
      <c r="M1175" s="250" t="str">
        <f>IFERROR(__xludf.DUMMYFUNCTION("""COMPUTED_VALUE"""),"")</f>
        <v/>
      </c>
      <c r="N1175" s="250" t="str">
        <f>IFERROR(__xludf.DUMMYFUNCTION("""COMPUTED_VALUE"""),"")</f>
        <v/>
      </c>
      <c r="O1175" s="250" t="str">
        <f>IFERROR(__xludf.DUMMYFUNCTION("""COMPUTED_VALUE"""),"")</f>
        <v/>
      </c>
      <c r="P1175" s="250" t="str">
        <f>IFERROR(__xludf.DUMMYFUNCTION("""COMPUTED_VALUE"""),"")</f>
        <v/>
      </c>
      <c r="Q1175" s="250" t="str">
        <f>IFERROR(__xludf.DUMMYFUNCTION("""COMPUTED_VALUE"""),"")</f>
        <v/>
      </c>
      <c r="R1175" s="250" t="str">
        <f>IFERROR(__xludf.DUMMYFUNCTION("""COMPUTED_VALUE"""),"")</f>
        <v/>
      </c>
      <c r="U1175" s="250" t="str">
        <f>IFERROR(__xludf.DUMMYFUNCTION("""COMPUTED_VALUE"""),"#N/A")</f>
        <v>#N/A</v>
      </c>
      <c r="V1175" s="250" t="str">
        <f>IFERROR(__xludf.DUMMYFUNCTION("""COMPUTED_VALUE"""),"#N/A")</f>
        <v>#N/A</v>
      </c>
      <c r="W1175" s="250" t="str">
        <f>IFERROR(__xludf.DUMMYFUNCTION("""COMPUTED_VALUE"""),"#N/A")</f>
        <v>#N/A</v>
      </c>
      <c r="X1175" t="b">
        <f t="shared" ref="X1175:Z1175" si="2326">ISBLANK(K1175)</f>
        <v>1</v>
      </c>
      <c r="Y1175" t="b">
        <f t="shared" si="2326"/>
        <v>0</v>
      </c>
      <c r="Z1175" t="b">
        <f t="shared" si="2326"/>
        <v>0</v>
      </c>
      <c r="AA1175">
        <f t="shared" ref="AA1175:AC1175" si="2327">IF(X1175=FALSE,1,0)</f>
        <v>0</v>
      </c>
      <c r="AB1175">
        <f t="shared" si="2327"/>
        <v>1</v>
      </c>
      <c r="AC1175">
        <f t="shared" si="2327"/>
        <v>1</v>
      </c>
      <c r="AD1175">
        <f t="shared" si="6"/>
        <v>2</v>
      </c>
      <c r="AE1175">
        <f t="shared" si="7"/>
        <v>1</v>
      </c>
    </row>
    <row r="1176">
      <c r="B1176" t="str">
        <f>IFERROR(__xludf.DUMMYFUNCTION("""COMPUTED_VALUE"""),"")</f>
        <v/>
      </c>
      <c r="C1176" t="str">
        <f>IFERROR(__xludf.DUMMYFUNCTION("""COMPUTED_VALUE"""),"")</f>
        <v/>
      </c>
      <c r="D1176" t="str">
        <f>IFERROR(__xludf.DUMMYFUNCTION("""COMPUTED_VALUE"""),"")</f>
        <v/>
      </c>
      <c r="E1176" t="str">
        <f>IFERROR(__xludf.DUMMYFUNCTION("""COMPUTED_VALUE"""),"")</f>
        <v/>
      </c>
      <c r="F1176" t="str">
        <f>IFERROR(__xludf.DUMMYFUNCTION("""COMPUTED_VALUE"""),"")</f>
        <v/>
      </c>
      <c r="G1176" t="str">
        <f>IFERROR(__xludf.DUMMYFUNCTION("""COMPUTED_VALUE"""),"")</f>
        <v/>
      </c>
      <c r="H1176" t="str">
        <f>IFERROR(__xludf.DUMMYFUNCTION("""COMPUTED_VALUE"""),"")</f>
        <v/>
      </c>
      <c r="I1176" t="str">
        <f>IFERROR(__xludf.DUMMYFUNCTION("""COMPUTED_VALUE"""),"")</f>
        <v/>
      </c>
      <c r="J1176">
        <f>IFERROR(__xludf.DUMMYFUNCTION("""COMPUTED_VALUE"""),0.0)</f>
        <v>0</v>
      </c>
      <c r="L1176" s="250" t="str">
        <f>IFERROR(__xludf.DUMMYFUNCTION("""COMPUTED_VALUE"""),"")</f>
        <v/>
      </c>
      <c r="M1176" s="250" t="str">
        <f>IFERROR(__xludf.DUMMYFUNCTION("""COMPUTED_VALUE"""),"")</f>
        <v/>
      </c>
      <c r="N1176" s="250" t="str">
        <f>IFERROR(__xludf.DUMMYFUNCTION("""COMPUTED_VALUE"""),"")</f>
        <v/>
      </c>
      <c r="O1176" s="250" t="str">
        <f>IFERROR(__xludf.DUMMYFUNCTION("""COMPUTED_VALUE"""),"")</f>
        <v/>
      </c>
      <c r="P1176" s="250" t="str">
        <f>IFERROR(__xludf.DUMMYFUNCTION("""COMPUTED_VALUE"""),"")</f>
        <v/>
      </c>
      <c r="Q1176" s="250" t="str">
        <f>IFERROR(__xludf.DUMMYFUNCTION("""COMPUTED_VALUE"""),"")</f>
        <v/>
      </c>
      <c r="R1176" s="250" t="str">
        <f>IFERROR(__xludf.DUMMYFUNCTION("""COMPUTED_VALUE"""),"")</f>
        <v/>
      </c>
      <c r="U1176" s="250" t="str">
        <f>IFERROR(__xludf.DUMMYFUNCTION("""COMPUTED_VALUE"""),"#N/A")</f>
        <v>#N/A</v>
      </c>
      <c r="V1176" s="250" t="str">
        <f>IFERROR(__xludf.DUMMYFUNCTION("""COMPUTED_VALUE"""),"#N/A")</f>
        <v>#N/A</v>
      </c>
      <c r="W1176" s="250" t="str">
        <f>IFERROR(__xludf.DUMMYFUNCTION("""COMPUTED_VALUE"""),"#N/A")</f>
        <v>#N/A</v>
      </c>
      <c r="X1176" t="b">
        <f t="shared" ref="X1176:Z1176" si="2328">ISBLANK(K1176)</f>
        <v>1</v>
      </c>
      <c r="Y1176" t="b">
        <f t="shared" si="2328"/>
        <v>0</v>
      </c>
      <c r="Z1176" t="b">
        <f t="shared" si="2328"/>
        <v>0</v>
      </c>
      <c r="AA1176">
        <f t="shared" ref="AA1176:AC1176" si="2329">IF(X1176=FALSE,1,0)</f>
        <v>0</v>
      </c>
      <c r="AB1176">
        <f t="shared" si="2329"/>
        <v>1</v>
      </c>
      <c r="AC1176">
        <f t="shared" si="2329"/>
        <v>1</v>
      </c>
      <c r="AD1176">
        <f t="shared" si="6"/>
        <v>2</v>
      </c>
      <c r="AE1176">
        <f t="shared" si="7"/>
        <v>1</v>
      </c>
    </row>
    <row r="1177">
      <c r="B1177" t="str">
        <f>IFERROR(__xludf.DUMMYFUNCTION("""COMPUTED_VALUE"""),"")</f>
        <v/>
      </c>
      <c r="C1177" t="str">
        <f>IFERROR(__xludf.DUMMYFUNCTION("""COMPUTED_VALUE"""),"")</f>
        <v/>
      </c>
      <c r="D1177" t="str">
        <f>IFERROR(__xludf.DUMMYFUNCTION("""COMPUTED_VALUE"""),"")</f>
        <v/>
      </c>
      <c r="E1177" t="str">
        <f>IFERROR(__xludf.DUMMYFUNCTION("""COMPUTED_VALUE"""),"")</f>
        <v/>
      </c>
      <c r="F1177" t="str">
        <f>IFERROR(__xludf.DUMMYFUNCTION("""COMPUTED_VALUE"""),"")</f>
        <v/>
      </c>
      <c r="G1177" t="str">
        <f>IFERROR(__xludf.DUMMYFUNCTION("""COMPUTED_VALUE"""),"")</f>
        <v/>
      </c>
      <c r="H1177" t="str">
        <f>IFERROR(__xludf.DUMMYFUNCTION("""COMPUTED_VALUE"""),"")</f>
        <v/>
      </c>
      <c r="I1177" t="str">
        <f>IFERROR(__xludf.DUMMYFUNCTION("""COMPUTED_VALUE"""),"")</f>
        <v/>
      </c>
      <c r="J1177">
        <f>IFERROR(__xludf.DUMMYFUNCTION("""COMPUTED_VALUE"""),0.0)</f>
        <v>0</v>
      </c>
      <c r="L1177" s="250" t="str">
        <f>IFERROR(__xludf.DUMMYFUNCTION("""COMPUTED_VALUE"""),"")</f>
        <v/>
      </c>
      <c r="M1177" s="250" t="str">
        <f>IFERROR(__xludf.DUMMYFUNCTION("""COMPUTED_VALUE"""),"")</f>
        <v/>
      </c>
      <c r="N1177" s="250" t="str">
        <f>IFERROR(__xludf.DUMMYFUNCTION("""COMPUTED_VALUE"""),"")</f>
        <v/>
      </c>
      <c r="O1177" s="250" t="str">
        <f>IFERROR(__xludf.DUMMYFUNCTION("""COMPUTED_VALUE"""),"")</f>
        <v/>
      </c>
      <c r="P1177" s="250" t="str">
        <f>IFERROR(__xludf.DUMMYFUNCTION("""COMPUTED_VALUE"""),"")</f>
        <v/>
      </c>
      <c r="Q1177" s="250" t="str">
        <f>IFERROR(__xludf.DUMMYFUNCTION("""COMPUTED_VALUE"""),"")</f>
        <v/>
      </c>
      <c r="R1177" s="250" t="str">
        <f>IFERROR(__xludf.DUMMYFUNCTION("""COMPUTED_VALUE"""),"")</f>
        <v/>
      </c>
      <c r="U1177" s="250" t="str">
        <f>IFERROR(__xludf.DUMMYFUNCTION("""COMPUTED_VALUE"""),"#N/A")</f>
        <v>#N/A</v>
      </c>
      <c r="V1177" s="250" t="str">
        <f>IFERROR(__xludf.DUMMYFUNCTION("""COMPUTED_VALUE"""),"#N/A")</f>
        <v>#N/A</v>
      </c>
      <c r="W1177" s="250" t="str">
        <f>IFERROR(__xludf.DUMMYFUNCTION("""COMPUTED_VALUE"""),"#N/A")</f>
        <v>#N/A</v>
      </c>
      <c r="X1177" t="b">
        <f t="shared" ref="X1177:Z1177" si="2330">ISBLANK(K1177)</f>
        <v>1</v>
      </c>
      <c r="Y1177" t="b">
        <f t="shared" si="2330"/>
        <v>0</v>
      </c>
      <c r="Z1177" t="b">
        <f t="shared" si="2330"/>
        <v>0</v>
      </c>
      <c r="AA1177">
        <f t="shared" ref="AA1177:AC1177" si="2331">IF(X1177=FALSE,1,0)</f>
        <v>0</v>
      </c>
      <c r="AB1177">
        <f t="shared" si="2331"/>
        <v>1</v>
      </c>
      <c r="AC1177">
        <f t="shared" si="2331"/>
        <v>1</v>
      </c>
      <c r="AD1177">
        <f t="shared" si="6"/>
        <v>2</v>
      </c>
      <c r="AE1177">
        <f t="shared" si="7"/>
        <v>1</v>
      </c>
    </row>
    <row r="1178">
      <c r="B1178" t="str">
        <f>IFERROR(__xludf.DUMMYFUNCTION("""COMPUTED_VALUE"""),"")</f>
        <v/>
      </c>
      <c r="C1178" t="str">
        <f>IFERROR(__xludf.DUMMYFUNCTION("""COMPUTED_VALUE"""),"")</f>
        <v/>
      </c>
      <c r="D1178" t="str">
        <f>IFERROR(__xludf.DUMMYFUNCTION("""COMPUTED_VALUE"""),"")</f>
        <v/>
      </c>
      <c r="E1178" t="str">
        <f>IFERROR(__xludf.DUMMYFUNCTION("""COMPUTED_VALUE"""),"")</f>
        <v/>
      </c>
      <c r="F1178" t="str">
        <f>IFERROR(__xludf.DUMMYFUNCTION("""COMPUTED_VALUE"""),"")</f>
        <v/>
      </c>
      <c r="G1178" t="str">
        <f>IFERROR(__xludf.DUMMYFUNCTION("""COMPUTED_VALUE"""),"")</f>
        <v/>
      </c>
      <c r="H1178" t="str">
        <f>IFERROR(__xludf.DUMMYFUNCTION("""COMPUTED_VALUE"""),"")</f>
        <v/>
      </c>
      <c r="I1178" t="str">
        <f>IFERROR(__xludf.DUMMYFUNCTION("""COMPUTED_VALUE"""),"")</f>
        <v/>
      </c>
      <c r="J1178">
        <f>IFERROR(__xludf.DUMMYFUNCTION("""COMPUTED_VALUE"""),0.0)</f>
        <v>0</v>
      </c>
      <c r="L1178" s="250" t="str">
        <f>IFERROR(__xludf.DUMMYFUNCTION("""COMPUTED_VALUE"""),"")</f>
        <v/>
      </c>
      <c r="M1178" s="250" t="str">
        <f>IFERROR(__xludf.DUMMYFUNCTION("""COMPUTED_VALUE"""),"")</f>
        <v/>
      </c>
      <c r="N1178" s="250" t="str">
        <f>IFERROR(__xludf.DUMMYFUNCTION("""COMPUTED_VALUE"""),"")</f>
        <v/>
      </c>
      <c r="O1178" s="250" t="str">
        <f>IFERROR(__xludf.DUMMYFUNCTION("""COMPUTED_VALUE"""),"")</f>
        <v/>
      </c>
      <c r="P1178" s="250" t="str">
        <f>IFERROR(__xludf.DUMMYFUNCTION("""COMPUTED_VALUE"""),"")</f>
        <v/>
      </c>
      <c r="Q1178" s="250" t="str">
        <f>IFERROR(__xludf.DUMMYFUNCTION("""COMPUTED_VALUE"""),"")</f>
        <v/>
      </c>
      <c r="R1178" s="250" t="str">
        <f>IFERROR(__xludf.DUMMYFUNCTION("""COMPUTED_VALUE"""),"")</f>
        <v/>
      </c>
      <c r="U1178" s="250" t="str">
        <f>IFERROR(__xludf.DUMMYFUNCTION("""COMPUTED_VALUE"""),"#N/A")</f>
        <v>#N/A</v>
      </c>
      <c r="V1178" s="250" t="str">
        <f>IFERROR(__xludf.DUMMYFUNCTION("""COMPUTED_VALUE"""),"#N/A")</f>
        <v>#N/A</v>
      </c>
      <c r="W1178" s="250" t="str">
        <f>IFERROR(__xludf.DUMMYFUNCTION("""COMPUTED_VALUE"""),"#N/A")</f>
        <v>#N/A</v>
      </c>
      <c r="X1178" t="b">
        <f t="shared" ref="X1178:Z1178" si="2332">ISBLANK(K1178)</f>
        <v>1</v>
      </c>
      <c r="Y1178" t="b">
        <f t="shared" si="2332"/>
        <v>0</v>
      </c>
      <c r="Z1178" t="b">
        <f t="shared" si="2332"/>
        <v>0</v>
      </c>
      <c r="AA1178">
        <f t="shared" ref="AA1178:AC1178" si="2333">IF(X1178=FALSE,1,0)</f>
        <v>0</v>
      </c>
      <c r="AB1178">
        <f t="shared" si="2333"/>
        <v>1</v>
      </c>
      <c r="AC1178">
        <f t="shared" si="2333"/>
        <v>1</v>
      </c>
      <c r="AD1178">
        <f t="shared" si="6"/>
        <v>2</v>
      </c>
      <c r="AE1178">
        <f t="shared" si="7"/>
        <v>1</v>
      </c>
    </row>
    <row r="1179">
      <c r="B1179" t="str">
        <f>IFERROR(__xludf.DUMMYFUNCTION("""COMPUTED_VALUE"""),"")</f>
        <v/>
      </c>
      <c r="C1179" t="str">
        <f>IFERROR(__xludf.DUMMYFUNCTION("""COMPUTED_VALUE"""),"")</f>
        <v/>
      </c>
      <c r="D1179" t="str">
        <f>IFERROR(__xludf.DUMMYFUNCTION("""COMPUTED_VALUE"""),"")</f>
        <v/>
      </c>
      <c r="E1179" t="str">
        <f>IFERROR(__xludf.DUMMYFUNCTION("""COMPUTED_VALUE"""),"")</f>
        <v/>
      </c>
      <c r="F1179" t="str">
        <f>IFERROR(__xludf.DUMMYFUNCTION("""COMPUTED_VALUE"""),"")</f>
        <v/>
      </c>
      <c r="G1179" t="str">
        <f>IFERROR(__xludf.DUMMYFUNCTION("""COMPUTED_VALUE"""),"")</f>
        <v/>
      </c>
      <c r="H1179" t="str">
        <f>IFERROR(__xludf.DUMMYFUNCTION("""COMPUTED_VALUE"""),"")</f>
        <v/>
      </c>
      <c r="I1179" t="str">
        <f>IFERROR(__xludf.DUMMYFUNCTION("""COMPUTED_VALUE"""),"")</f>
        <v/>
      </c>
      <c r="J1179">
        <f>IFERROR(__xludf.DUMMYFUNCTION("""COMPUTED_VALUE"""),0.0)</f>
        <v>0</v>
      </c>
      <c r="L1179" s="250" t="str">
        <f>IFERROR(__xludf.DUMMYFUNCTION("""COMPUTED_VALUE"""),"")</f>
        <v/>
      </c>
      <c r="M1179" s="250" t="str">
        <f>IFERROR(__xludf.DUMMYFUNCTION("""COMPUTED_VALUE"""),"")</f>
        <v/>
      </c>
      <c r="N1179" s="250" t="str">
        <f>IFERROR(__xludf.DUMMYFUNCTION("""COMPUTED_VALUE"""),"")</f>
        <v/>
      </c>
      <c r="O1179" s="250" t="str">
        <f>IFERROR(__xludf.DUMMYFUNCTION("""COMPUTED_VALUE"""),"")</f>
        <v/>
      </c>
      <c r="P1179" s="250" t="str">
        <f>IFERROR(__xludf.DUMMYFUNCTION("""COMPUTED_VALUE"""),"")</f>
        <v/>
      </c>
      <c r="Q1179" s="250" t="str">
        <f>IFERROR(__xludf.DUMMYFUNCTION("""COMPUTED_VALUE"""),"")</f>
        <v/>
      </c>
      <c r="R1179" s="250" t="str">
        <f>IFERROR(__xludf.DUMMYFUNCTION("""COMPUTED_VALUE"""),"")</f>
        <v/>
      </c>
      <c r="U1179" s="250" t="str">
        <f>IFERROR(__xludf.DUMMYFUNCTION("""COMPUTED_VALUE"""),"#N/A")</f>
        <v>#N/A</v>
      </c>
      <c r="V1179" s="250" t="str">
        <f>IFERROR(__xludf.DUMMYFUNCTION("""COMPUTED_VALUE"""),"#N/A")</f>
        <v>#N/A</v>
      </c>
      <c r="W1179" s="250" t="str">
        <f>IFERROR(__xludf.DUMMYFUNCTION("""COMPUTED_VALUE"""),"#N/A")</f>
        <v>#N/A</v>
      </c>
      <c r="X1179" t="b">
        <f t="shared" ref="X1179:Z1179" si="2334">ISBLANK(K1179)</f>
        <v>1</v>
      </c>
      <c r="Y1179" t="b">
        <f t="shared" si="2334"/>
        <v>0</v>
      </c>
      <c r="Z1179" t="b">
        <f t="shared" si="2334"/>
        <v>0</v>
      </c>
      <c r="AA1179">
        <f t="shared" ref="AA1179:AC1179" si="2335">IF(X1179=FALSE,1,0)</f>
        <v>0</v>
      </c>
      <c r="AB1179">
        <f t="shared" si="2335"/>
        <v>1</v>
      </c>
      <c r="AC1179">
        <f t="shared" si="2335"/>
        <v>1</v>
      </c>
      <c r="AD1179">
        <f t="shared" si="6"/>
        <v>2</v>
      </c>
      <c r="AE1179">
        <f t="shared" si="7"/>
        <v>1</v>
      </c>
    </row>
    <row r="1180">
      <c r="B1180" t="str">
        <f>IFERROR(__xludf.DUMMYFUNCTION("""COMPUTED_VALUE"""),"")</f>
        <v/>
      </c>
      <c r="C1180" t="str">
        <f>IFERROR(__xludf.DUMMYFUNCTION("""COMPUTED_VALUE"""),"")</f>
        <v/>
      </c>
      <c r="D1180" t="str">
        <f>IFERROR(__xludf.DUMMYFUNCTION("""COMPUTED_VALUE"""),"")</f>
        <v/>
      </c>
      <c r="E1180" t="str">
        <f>IFERROR(__xludf.DUMMYFUNCTION("""COMPUTED_VALUE"""),"")</f>
        <v/>
      </c>
      <c r="F1180" t="str">
        <f>IFERROR(__xludf.DUMMYFUNCTION("""COMPUTED_VALUE"""),"")</f>
        <v/>
      </c>
      <c r="G1180" t="str">
        <f>IFERROR(__xludf.DUMMYFUNCTION("""COMPUTED_VALUE"""),"")</f>
        <v/>
      </c>
      <c r="H1180" t="str">
        <f>IFERROR(__xludf.DUMMYFUNCTION("""COMPUTED_VALUE"""),"")</f>
        <v/>
      </c>
      <c r="I1180" t="str">
        <f>IFERROR(__xludf.DUMMYFUNCTION("""COMPUTED_VALUE"""),"")</f>
        <v/>
      </c>
      <c r="J1180">
        <f>IFERROR(__xludf.DUMMYFUNCTION("""COMPUTED_VALUE"""),0.0)</f>
        <v>0</v>
      </c>
      <c r="L1180" s="250" t="str">
        <f>IFERROR(__xludf.DUMMYFUNCTION("""COMPUTED_VALUE"""),"")</f>
        <v/>
      </c>
      <c r="M1180" s="250" t="str">
        <f>IFERROR(__xludf.DUMMYFUNCTION("""COMPUTED_VALUE"""),"")</f>
        <v/>
      </c>
      <c r="N1180" s="250" t="str">
        <f>IFERROR(__xludf.DUMMYFUNCTION("""COMPUTED_VALUE"""),"")</f>
        <v/>
      </c>
      <c r="O1180" s="250" t="str">
        <f>IFERROR(__xludf.DUMMYFUNCTION("""COMPUTED_VALUE"""),"")</f>
        <v/>
      </c>
      <c r="P1180" s="250" t="str">
        <f>IFERROR(__xludf.DUMMYFUNCTION("""COMPUTED_VALUE"""),"")</f>
        <v/>
      </c>
      <c r="Q1180" s="250" t="str">
        <f>IFERROR(__xludf.DUMMYFUNCTION("""COMPUTED_VALUE"""),"")</f>
        <v/>
      </c>
      <c r="R1180" s="250" t="str">
        <f>IFERROR(__xludf.DUMMYFUNCTION("""COMPUTED_VALUE"""),"")</f>
        <v/>
      </c>
      <c r="U1180" s="250" t="str">
        <f>IFERROR(__xludf.DUMMYFUNCTION("""COMPUTED_VALUE"""),"#N/A")</f>
        <v>#N/A</v>
      </c>
      <c r="V1180" s="250" t="str">
        <f>IFERROR(__xludf.DUMMYFUNCTION("""COMPUTED_VALUE"""),"#N/A")</f>
        <v>#N/A</v>
      </c>
      <c r="W1180" s="250" t="str">
        <f>IFERROR(__xludf.DUMMYFUNCTION("""COMPUTED_VALUE"""),"#N/A")</f>
        <v>#N/A</v>
      </c>
      <c r="X1180" t="b">
        <f t="shared" ref="X1180:Z1180" si="2336">ISBLANK(K1180)</f>
        <v>1</v>
      </c>
      <c r="Y1180" t="b">
        <f t="shared" si="2336"/>
        <v>0</v>
      </c>
      <c r="Z1180" t="b">
        <f t="shared" si="2336"/>
        <v>0</v>
      </c>
      <c r="AA1180">
        <f t="shared" ref="AA1180:AC1180" si="2337">IF(X1180=FALSE,1,0)</f>
        <v>0</v>
      </c>
      <c r="AB1180">
        <f t="shared" si="2337"/>
        <v>1</v>
      </c>
      <c r="AC1180">
        <f t="shared" si="2337"/>
        <v>1</v>
      </c>
      <c r="AD1180">
        <f t="shared" si="6"/>
        <v>2</v>
      </c>
      <c r="AE1180">
        <f t="shared" si="7"/>
        <v>1</v>
      </c>
    </row>
    <row r="1181">
      <c r="B1181" t="str">
        <f>IFERROR(__xludf.DUMMYFUNCTION("""COMPUTED_VALUE"""),"")</f>
        <v/>
      </c>
      <c r="C1181" t="str">
        <f>IFERROR(__xludf.DUMMYFUNCTION("""COMPUTED_VALUE"""),"")</f>
        <v/>
      </c>
      <c r="D1181" t="str">
        <f>IFERROR(__xludf.DUMMYFUNCTION("""COMPUTED_VALUE"""),"")</f>
        <v/>
      </c>
      <c r="E1181" t="str">
        <f>IFERROR(__xludf.DUMMYFUNCTION("""COMPUTED_VALUE"""),"")</f>
        <v/>
      </c>
      <c r="F1181" t="str">
        <f>IFERROR(__xludf.DUMMYFUNCTION("""COMPUTED_VALUE"""),"")</f>
        <v/>
      </c>
      <c r="G1181" t="str">
        <f>IFERROR(__xludf.DUMMYFUNCTION("""COMPUTED_VALUE"""),"")</f>
        <v/>
      </c>
      <c r="H1181" t="str">
        <f>IFERROR(__xludf.DUMMYFUNCTION("""COMPUTED_VALUE"""),"")</f>
        <v/>
      </c>
      <c r="I1181" t="str">
        <f>IFERROR(__xludf.DUMMYFUNCTION("""COMPUTED_VALUE"""),"")</f>
        <v/>
      </c>
      <c r="J1181">
        <f>IFERROR(__xludf.DUMMYFUNCTION("""COMPUTED_VALUE"""),0.0)</f>
        <v>0</v>
      </c>
      <c r="L1181" s="250" t="str">
        <f>IFERROR(__xludf.DUMMYFUNCTION("""COMPUTED_VALUE"""),"")</f>
        <v/>
      </c>
      <c r="M1181" s="250" t="str">
        <f>IFERROR(__xludf.DUMMYFUNCTION("""COMPUTED_VALUE"""),"")</f>
        <v/>
      </c>
      <c r="N1181" s="250" t="str">
        <f>IFERROR(__xludf.DUMMYFUNCTION("""COMPUTED_VALUE"""),"")</f>
        <v/>
      </c>
      <c r="O1181" s="250" t="str">
        <f>IFERROR(__xludf.DUMMYFUNCTION("""COMPUTED_VALUE"""),"")</f>
        <v/>
      </c>
      <c r="P1181" s="250" t="str">
        <f>IFERROR(__xludf.DUMMYFUNCTION("""COMPUTED_VALUE"""),"")</f>
        <v/>
      </c>
      <c r="Q1181" s="250" t="str">
        <f>IFERROR(__xludf.DUMMYFUNCTION("""COMPUTED_VALUE"""),"")</f>
        <v/>
      </c>
      <c r="R1181" s="250" t="str">
        <f>IFERROR(__xludf.DUMMYFUNCTION("""COMPUTED_VALUE"""),"")</f>
        <v/>
      </c>
      <c r="U1181" s="250" t="str">
        <f>IFERROR(__xludf.DUMMYFUNCTION("""COMPUTED_VALUE"""),"#N/A")</f>
        <v>#N/A</v>
      </c>
      <c r="V1181" s="250" t="str">
        <f>IFERROR(__xludf.DUMMYFUNCTION("""COMPUTED_VALUE"""),"#N/A")</f>
        <v>#N/A</v>
      </c>
      <c r="W1181" s="250" t="str">
        <f>IFERROR(__xludf.DUMMYFUNCTION("""COMPUTED_VALUE"""),"#N/A")</f>
        <v>#N/A</v>
      </c>
      <c r="X1181" t="b">
        <f t="shared" ref="X1181:Z1181" si="2338">ISBLANK(K1181)</f>
        <v>1</v>
      </c>
      <c r="Y1181" t="b">
        <f t="shared" si="2338"/>
        <v>0</v>
      </c>
      <c r="Z1181" t="b">
        <f t="shared" si="2338"/>
        <v>0</v>
      </c>
      <c r="AA1181">
        <f t="shared" ref="AA1181:AC1181" si="2339">IF(X1181=FALSE,1,0)</f>
        <v>0</v>
      </c>
      <c r="AB1181">
        <f t="shared" si="2339"/>
        <v>1</v>
      </c>
      <c r="AC1181">
        <f t="shared" si="2339"/>
        <v>1</v>
      </c>
      <c r="AD1181">
        <f t="shared" si="6"/>
        <v>2</v>
      </c>
      <c r="AE1181">
        <f t="shared" si="7"/>
        <v>1</v>
      </c>
    </row>
    <row r="1182">
      <c r="B1182" t="str">
        <f>IFERROR(__xludf.DUMMYFUNCTION("""COMPUTED_VALUE"""),"")</f>
        <v/>
      </c>
      <c r="C1182" t="str">
        <f>IFERROR(__xludf.DUMMYFUNCTION("""COMPUTED_VALUE"""),"")</f>
        <v/>
      </c>
      <c r="D1182" t="str">
        <f>IFERROR(__xludf.DUMMYFUNCTION("""COMPUTED_VALUE"""),"")</f>
        <v/>
      </c>
      <c r="E1182" t="str">
        <f>IFERROR(__xludf.DUMMYFUNCTION("""COMPUTED_VALUE"""),"")</f>
        <v/>
      </c>
      <c r="F1182" t="str">
        <f>IFERROR(__xludf.DUMMYFUNCTION("""COMPUTED_VALUE"""),"")</f>
        <v/>
      </c>
      <c r="G1182" t="str">
        <f>IFERROR(__xludf.DUMMYFUNCTION("""COMPUTED_VALUE"""),"")</f>
        <v/>
      </c>
      <c r="H1182" t="str">
        <f>IFERROR(__xludf.DUMMYFUNCTION("""COMPUTED_VALUE"""),"")</f>
        <v/>
      </c>
      <c r="I1182" t="str">
        <f>IFERROR(__xludf.DUMMYFUNCTION("""COMPUTED_VALUE"""),"")</f>
        <v/>
      </c>
      <c r="J1182">
        <f>IFERROR(__xludf.DUMMYFUNCTION("""COMPUTED_VALUE"""),0.0)</f>
        <v>0</v>
      </c>
      <c r="L1182" s="250" t="str">
        <f>IFERROR(__xludf.DUMMYFUNCTION("""COMPUTED_VALUE"""),"")</f>
        <v/>
      </c>
      <c r="M1182" s="250" t="str">
        <f>IFERROR(__xludf.DUMMYFUNCTION("""COMPUTED_VALUE"""),"")</f>
        <v/>
      </c>
      <c r="N1182" s="250" t="str">
        <f>IFERROR(__xludf.DUMMYFUNCTION("""COMPUTED_VALUE"""),"")</f>
        <v/>
      </c>
      <c r="O1182" s="250" t="str">
        <f>IFERROR(__xludf.DUMMYFUNCTION("""COMPUTED_VALUE"""),"")</f>
        <v/>
      </c>
      <c r="P1182" s="250" t="str">
        <f>IFERROR(__xludf.DUMMYFUNCTION("""COMPUTED_VALUE"""),"")</f>
        <v/>
      </c>
      <c r="Q1182" s="250" t="str">
        <f>IFERROR(__xludf.DUMMYFUNCTION("""COMPUTED_VALUE"""),"")</f>
        <v/>
      </c>
      <c r="R1182" s="250" t="str">
        <f>IFERROR(__xludf.DUMMYFUNCTION("""COMPUTED_VALUE"""),"")</f>
        <v/>
      </c>
      <c r="U1182" s="250" t="str">
        <f>IFERROR(__xludf.DUMMYFUNCTION("""COMPUTED_VALUE"""),"#N/A")</f>
        <v>#N/A</v>
      </c>
      <c r="V1182" s="250" t="str">
        <f>IFERROR(__xludf.DUMMYFUNCTION("""COMPUTED_VALUE"""),"#N/A")</f>
        <v>#N/A</v>
      </c>
      <c r="W1182" s="250" t="str">
        <f>IFERROR(__xludf.DUMMYFUNCTION("""COMPUTED_VALUE"""),"#N/A")</f>
        <v>#N/A</v>
      </c>
      <c r="X1182" t="b">
        <f t="shared" ref="X1182:Z1182" si="2340">ISBLANK(K1182)</f>
        <v>1</v>
      </c>
      <c r="Y1182" t="b">
        <f t="shared" si="2340"/>
        <v>0</v>
      </c>
      <c r="Z1182" t="b">
        <f t="shared" si="2340"/>
        <v>0</v>
      </c>
      <c r="AA1182">
        <f t="shared" ref="AA1182:AC1182" si="2341">IF(X1182=FALSE,1,0)</f>
        <v>0</v>
      </c>
      <c r="AB1182">
        <f t="shared" si="2341"/>
        <v>1</v>
      </c>
      <c r="AC1182">
        <f t="shared" si="2341"/>
        <v>1</v>
      </c>
      <c r="AD1182">
        <f t="shared" si="6"/>
        <v>2</v>
      </c>
      <c r="AE1182">
        <f t="shared" si="7"/>
        <v>1</v>
      </c>
    </row>
    <row r="1183">
      <c r="B1183" t="str">
        <f>IFERROR(__xludf.DUMMYFUNCTION("""COMPUTED_VALUE"""),"")</f>
        <v/>
      </c>
      <c r="C1183" t="str">
        <f>IFERROR(__xludf.DUMMYFUNCTION("""COMPUTED_VALUE"""),"")</f>
        <v/>
      </c>
      <c r="D1183" t="str">
        <f>IFERROR(__xludf.DUMMYFUNCTION("""COMPUTED_VALUE"""),"")</f>
        <v/>
      </c>
      <c r="E1183" t="str">
        <f>IFERROR(__xludf.DUMMYFUNCTION("""COMPUTED_VALUE"""),"")</f>
        <v/>
      </c>
      <c r="F1183" t="str">
        <f>IFERROR(__xludf.DUMMYFUNCTION("""COMPUTED_VALUE"""),"")</f>
        <v/>
      </c>
      <c r="G1183" t="str">
        <f>IFERROR(__xludf.DUMMYFUNCTION("""COMPUTED_VALUE"""),"")</f>
        <v/>
      </c>
      <c r="H1183" t="str">
        <f>IFERROR(__xludf.DUMMYFUNCTION("""COMPUTED_VALUE"""),"")</f>
        <v/>
      </c>
      <c r="I1183" t="str">
        <f>IFERROR(__xludf.DUMMYFUNCTION("""COMPUTED_VALUE"""),"")</f>
        <v/>
      </c>
      <c r="J1183">
        <f>IFERROR(__xludf.DUMMYFUNCTION("""COMPUTED_VALUE"""),0.0)</f>
        <v>0</v>
      </c>
      <c r="L1183" s="250" t="str">
        <f>IFERROR(__xludf.DUMMYFUNCTION("""COMPUTED_VALUE"""),"")</f>
        <v/>
      </c>
      <c r="M1183" s="250" t="str">
        <f>IFERROR(__xludf.DUMMYFUNCTION("""COMPUTED_VALUE"""),"")</f>
        <v/>
      </c>
      <c r="N1183" s="250" t="str">
        <f>IFERROR(__xludf.DUMMYFUNCTION("""COMPUTED_VALUE"""),"")</f>
        <v/>
      </c>
      <c r="O1183" s="250" t="str">
        <f>IFERROR(__xludf.DUMMYFUNCTION("""COMPUTED_VALUE"""),"")</f>
        <v/>
      </c>
      <c r="P1183" s="250" t="str">
        <f>IFERROR(__xludf.DUMMYFUNCTION("""COMPUTED_VALUE"""),"")</f>
        <v/>
      </c>
      <c r="Q1183" s="250" t="str">
        <f>IFERROR(__xludf.DUMMYFUNCTION("""COMPUTED_VALUE"""),"")</f>
        <v/>
      </c>
      <c r="R1183" s="250" t="str">
        <f>IFERROR(__xludf.DUMMYFUNCTION("""COMPUTED_VALUE"""),"")</f>
        <v/>
      </c>
      <c r="U1183" s="250" t="str">
        <f>IFERROR(__xludf.DUMMYFUNCTION("""COMPUTED_VALUE"""),"#N/A")</f>
        <v>#N/A</v>
      </c>
      <c r="V1183" s="250" t="str">
        <f>IFERROR(__xludf.DUMMYFUNCTION("""COMPUTED_VALUE"""),"#N/A")</f>
        <v>#N/A</v>
      </c>
      <c r="W1183" s="250" t="str">
        <f>IFERROR(__xludf.DUMMYFUNCTION("""COMPUTED_VALUE"""),"#N/A")</f>
        <v>#N/A</v>
      </c>
      <c r="X1183" t="b">
        <f t="shared" ref="X1183:Z1183" si="2342">ISBLANK(K1183)</f>
        <v>1</v>
      </c>
      <c r="Y1183" t="b">
        <f t="shared" si="2342"/>
        <v>0</v>
      </c>
      <c r="Z1183" t="b">
        <f t="shared" si="2342"/>
        <v>0</v>
      </c>
      <c r="AA1183">
        <f t="shared" ref="AA1183:AC1183" si="2343">IF(X1183=FALSE,1,0)</f>
        <v>0</v>
      </c>
      <c r="AB1183">
        <f t="shared" si="2343"/>
        <v>1</v>
      </c>
      <c r="AC1183">
        <f t="shared" si="2343"/>
        <v>1</v>
      </c>
      <c r="AD1183">
        <f t="shared" si="6"/>
        <v>2</v>
      </c>
      <c r="AE1183">
        <f t="shared" si="7"/>
        <v>1</v>
      </c>
    </row>
    <row r="1184">
      <c r="B1184" t="str">
        <f>IFERROR(__xludf.DUMMYFUNCTION("""COMPUTED_VALUE"""),"")</f>
        <v/>
      </c>
      <c r="C1184" t="str">
        <f>IFERROR(__xludf.DUMMYFUNCTION("""COMPUTED_VALUE"""),"")</f>
        <v/>
      </c>
      <c r="D1184" t="str">
        <f>IFERROR(__xludf.DUMMYFUNCTION("""COMPUTED_VALUE"""),"")</f>
        <v/>
      </c>
      <c r="E1184" t="str">
        <f>IFERROR(__xludf.DUMMYFUNCTION("""COMPUTED_VALUE"""),"")</f>
        <v/>
      </c>
      <c r="F1184" t="str">
        <f>IFERROR(__xludf.DUMMYFUNCTION("""COMPUTED_VALUE"""),"")</f>
        <v/>
      </c>
      <c r="G1184" t="str">
        <f>IFERROR(__xludf.DUMMYFUNCTION("""COMPUTED_VALUE"""),"")</f>
        <v/>
      </c>
      <c r="H1184" t="str">
        <f>IFERROR(__xludf.DUMMYFUNCTION("""COMPUTED_VALUE"""),"")</f>
        <v/>
      </c>
      <c r="I1184" t="str">
        <f>IFERROR(__xludf.DUMMYFUNCTION("""COMPUTED_VALUE"""),"")</f>
        <v/>
      </c>
      <c r="J1184">
        <f>IFERROR(__xludf.DUMMYFUNCTION("""COMPUTED_VALUE"""),0.0)</f>
        <v>0</v>
      </c>
      <c r="L1184" s="250" t="str">
        <f>IFERROR(__xludf.DUMMYFUNCTION("""COMPUTED_VALUE"""),"")</f>
        <v/>
      </c>
      <c r="M1184" s="250" t="str">
        <f>IFERROR(__xludf.DUMMYFUNCTION("""COMPUTED_VALUE"""),"")</f>
        <v/>
      </c>
      <c r="N1184" s="250" t="str">
        <f>IFERROR(__xludf.DUMMYFUNCTION("""COMPUTED_VALUE"""),"")</f>
        <v/>
      </c>
      <c r="O1184" s="250" t="str">
        <f>IFERROR(__xludf.DUMMYFUNCTION("""COMPUTED_VALUE"""),"")</f>
        <v/>
      </c>
      <c r="P1184" s="250" t="str">
        <f>IFERROR(__xludf.DUMMYFUNCTION("""COMPUTED_VALUE"""),"")</f>
        <v/>
      </c>
      <c r="Q1184" s="250" t="str">
        <f>IFERROR(__xludf.DUMMYFUNCTION("""COMPUTED_VALUE"""),"")</f>
        <v/>
      </c>
      <c r="R1184" s="250" t="str">
        <f>IFERROR(__xludf.DUMMYFUNCTION("""COMPUTED_VALUE"""),"")</f>
        <v/>
      </c>
      <c r="U1184" s="250" t="str">
        <f>IFERROR(__xludf.DUMMYFUNCTION("""COMPUTED_VALUE"""),"#N/A")</f>
        <v>#N/A</v>
      </c>
      <c r="V1184" s="250" t="str">
        <f>IFERROR(__xludf.DUMMYFUNCTION("""COMPUTED_VALUE"""),"#N/A")</f>
        <v>#N/A</v>
      </c>
      <c r="W1184" s="250" t="str">
        <f>IFERROR(__xludf.DUMMYFUNCTION("""COMPUTED_VALUE"""),"#N/A")</f>
        <v>#N/A</v>
      </c>
      <c r="X1184" t="b">
        <f t="shared" ref="X1184:Z1184" si="2344">ISBLANK(K1184)</f>
        <v>1</v>
      </c>
      <c r="Y1184" t="b">
        <f t="shared" si="2344"/>
        <v>0</v>
      </c>
      <c r="Z1184" t="b">
        <f t="shared" si="2344"/>
        <v>0</v>
      </c>
      <c r="AA1184">
        <f t="shared" ref="AA1184:AC1184" si="2345">IF(X1184=FALSE,1,0)</f>
        <v>0</v>
      </c>
      <c r="AB1184">
        <f t="shared" si="2345"/>
        <v>1</v>
      </c>
      <c r="AC1184">
        <f t="shared" si="2345"/>
        <v>1</v>
      </c>
      <c r="AD1184">
        <f t="shared" si="6"/>
        <v>2</v>
      </c>
      <c r="AE1184">
        <f t="shared" si="7"/>
        <v>1</v>
      </c>
    </row>
    <row r="1185">
      <c r="B1185" t="str">
        <f>IFERROR(__xludf.DUMMYFUNCTION("""COMPUTED_VALUE"""),"")</f>
        <v/>
      </c>
      <c r="C1185" t="str">
        <f>IFERROR(__xludf.DUMMYFUNCTION("""COMPUTED_VALUE"""),"")</f>
        <v/>
      </c>
      <c r="D1185" t="str">
        <f>IFERROR(__xludf.DUMMYFUNCTION("""COMPUTED_VALUE"""),"")</f>
        <v/>
      </c>
      <c r="E1185" t="str">
        <f>IFERROR(__xludf.DUMMYFUNCTION("""COMPUTED_VALUE"""),"")</f>
        <v/>
      </c>
      <c r="F1185" t="str">
        <f>IFERROR(__xludf.DUMMYFUNCTION("""COMPUTED_VALUE"""),"")</f>
        <v/>
      </c>
      <c r="G1185" t="str">
        <f>IFERROR(__xludf.DUMMYFUNCTION("""COMPUTED_VALUE"""),"")</f>
        <v/>
      </c>
      <c r="H1185" t="str">
        <f>IFERROR(__xludf.DUMMYFUNCTION("""COMPUTED_VALUE"""),"")</f>
        <v/>
      </c>
      <c r="I1185" t="str">
        <f>IFERROR(__xludf.DUMMYFUNCTION("""COMPUTED_VALUE"""),"")</f>
        <v/>
      </c>
      <c r="J1185">
        <f>IFERROR(__xludf.DUMMYFUNCTION("""COMPUTED_VALUE"""),0.0)</f>
        <v>0</v>
      </c>
      <c r="L1185" s="250" t="str">
        <f>IFERROR(__xludf.DUMMYFUNCTION("""COMPUTED_VALUE"""),"")</f>
        <v/>
      </c>
      <c r="M1185" s="250" t="str">
        <f>IFERROR(__xludf.DUMMYFUNCTION("""COMPUTED_VALUE"""),"")</f>
        <v/>
      </c>
      <c r="N1185" s="250" t="str">
        <f>IFERROR(__xludf.DUMMYFUNCTION("""COMPUTED_VALUE"""),"")</f>
        <v/>
      </c>
      <c r="O1185" s="250" t="str">
        <f>IFERROR(__xludf.DUMMYFUNCTION("""COMPUTED_VALUE"""),"")</f>
        <v/>
      </c>
      <c r="P1185" s="250" t="str">
        <f>IFERROR(__xludf.DUMMYFUNCTION("""COMPUTED_VALUE"""),"")</f>
        <v/>
      </c>
      <c r="Q1185" s="250" t="str">
        <f>IFERROR(__xludf.DUMMYFUNCTION("""COMPUTED_VALUE"""),"")</f>
        <v/>
      </c>
      <c r="R1185" s="250" t="str">
        <f>IFERROR(__xludf.DUMMYFUNCTION("""COMPUTED_VALUE"""),"")</f>
        <v/>
      </c>
      <c r="U1185" s="250" t="str">
        <f>IFERROR(__xludf.DUMMYFUNCTION("""COMPUTED_VALUE"""),"#N/A")</f>
        <v>#N/A</v>
      </c>
      <c r="V1185" s="250" t="str">
        <f>IFERROR(__xludf.DUMMYFUNCTION("""COMPUTED_VALUE"""),"#N/A")</f>
        <v>#N/A</v>
      </c>
      <c r="W1185" s="250" t="str">
        <f>IFERROR(__xludf.DUMMYFUNCTION("""COMPUTED_VALUE"""),"#N/A")</f>
        <v>#N/A</v>
      </c>
      <c r="X1185" t="b">
        <f t="shared" ref="X1185:Z1185" si="2346">ISBLANK(K1185)</f>
        <v>1</v>
      </c>
      <c r="Y1185" t="b">
        <f t="shared" si="2346"/>
        <v>0</v>
      </c>
      <c r="Z1185" t="b">
        <f t="shared" si="2346"/>
        <v>0</v>
      </c>
      <c r="AA1185">
        <f t="shared" ref="AA1185:AC1185" si="2347">IF(X1185=FALSE,1,0)</f>
        <v>0</v>
      </c>
      <c r="AB1185">
        <f t="shared" si="2347"/>
        <v>1</v>
      </c>
      <c r="AC1185">
        <f t="shared" si="2347"/>
        <v>1</v>
      </c>
      <c r="AD1185">
        <f t="shared" si="6"/>
        <v>2</v>
      </c>
      <c r="AE1185">
        <f t="shared" si="7"/>
        <v>1</v>
      </c>
    </row>
    <row r="1186">
      <c r="B1186" t="str">
        <f>IFERROR(__xludf.DUMMYFUNCTION("""COMPUTED_VALUE"""),"")</f>
        <v/>
      </c>
      <c r="C1186" t="str">
        <f>IFERROR(__xludf.DUMMYFUNCTION("""COMPUTED_VALUE"""),"")</f>
        <v/>
      </c>
      <c r="D1186" t="str">
        <f>IFERROR(__xludf.DUMMYFUNCTION("""COMPUTED_VALUE"""),"")</f>
        <v/>
      </c>
      <c r="E1186" t="str">
        <f>IFERROR(__xludf.DUMMYFUNCTION("""COMPUTED_VALUE"""),"")</f>
        <v/>
      </c>
      <c r="F1186" t="str">
        <f>IFERROR(__xludf.DUMMYFUNCTION("""COMPUTED_VALUE"""),"")</f>
        <v/>
      </c>
      <c r="G1186" t="str">
        <f>IFERROR(__xludf.DUMMYFUNCTION("""COMPUTED_VALUE"""),"")</f>
        <v/>
      </c>
      <c r="H1186" t="str">
        <f>IFERROR(__xludf.DUMMYFUNCTION("""COMPUTED_VALUE"""),"")</f>
        <v/>
      </c>
      <c r="I1186" t="str">
        <f>IFERROR(__xludf.DUMMYFUNCTION("""COMPUTED_VALUE"""),"")</f>
        <v/>
      </c>
      <c r="J1186">
        <f>IFERROR(__xludf.DUMMYFUNCTION("""COMPUTED_VALUE"""),0.0)</f>
        <v>0</v>
      </c>
      <c r="L1186" s="250" t="str">
        <f>IFERROR(__xludf.DUMMYFUNCTION("""COMPUTED_VALUE"""),"")</f>
        <v/>
      </c>
      <c r="M1186" s="250" t="str">
        <f>IFERROR(__xludf.DUMMYFUNCTION("""COMPUTED_VALUE"""),"")</f>
        <v/>
      </c>
      <c r="N1186" s="250" t="str">
        <f>IFERROR(__xludf.DUMMYFUNCTION("""COMPUTED_VALUE"""),"")</f>
        <v/>
      </c>
      <c r="O1186" s="250" t="str">
        <f>IFERROR(__xludf.DUMMYFUNCTION("""COMPUTED_VALUE"""),"")</f>
        <v/>
      </c>
      <c r="P1186" s="250" t="str">
        <f>IFERROR(__xludf.DUMMYFUNCTION("""COMPUTED_VALUE"""),"")</f>
        <v/>
      </c>
      <c r="Q1186" s="250" t="str">
        <f>IFERROR(__xludf.DUMMYFUNCTION("""COMPUTED_VALUE"""),"")</f>
        <v/>
      </c>
      <c r="R1186" s="250" t="str">
        <f>IFERROR(__xludf.DUMMYFUNCTION("""COMPUTED_VALUE"""),"")</f>
        <v/>
      </c>
      <c r="U1186" s="250" t="str">
        <f>IFERROR(__xludf.DUMMYFUNCTION("""COMPUTED_VALUE"""),"#N/A")</f>
        <v>#N/A</v>
      </c>
      <c r="V1186" s="250" t="str">
        <f>IFERROR(__xludf.DUMMYFUNCTION("""COMPUTED_VALUE"""),"#N/A")</f>
        <v>#N/A</v>
      </c>
      <c r="W1186" s="250" t="str">
        <f>IFERROR(__xludf.DUMMYFUNCTION("""COMPUTED_VALUE"""),"#N/A")</f>
        <v>#N/A</v>
      </c>
      <c r="X1186" t="b">
        <f t="shared" ref="X1186:Z1186" si="2348">ISBLANK(K1186)</f>
        <v>1</v>
      </c>
      <c r="Y1186" t="b">
        <f t="shared" si="2348"/>
        <v>0</v>
      </c>
      <c r="Z1186" t="b">
        <f t="shared" si="2348"/>
        <v>0</v>
      </c>
      <c r="AA1186">
        <f t="shared" ref="AA1186:AC1186" si="2349">IF(X1186=FALSE,1,0)</f>
        <v>0</v>
      </c>
      <c r="AB1186">
        <f t="shared" si="2349"/>
        <v>1</v>
      </c>
      <c r="AC1186">
        <f t="shared" si="2349"/>
        <v>1</v>
      </c>
      <c r="AD1186">
        <f t="shared" si="6"/>
        <v>2</v>
      </c>
      <c r="AE1186">
        <f t="shared" si="7"/>
        <v>1</v>
      </c>
    </row>
    <row r="1187">
      <c r="B1187" t="str">
        <f>IFERROR(__xludf.DUMMYFUNCTION("""COMPUTED_VALUE"""),"")</f>
        <v/>
      </c>
      <c r="C1187" t="str">
        <f>IFERROR(__xludf.DUMMYFUNCTION("""COMPUTED_VALUE"""),"")</f>
        <v/>
      </c>
      <c r="D1187" t="str">
        <f>IFERROR(__xludf.DUMMYFUNCTION("""COMPUTED_VALUE"""),"")</f>
        <v/>
      </c>
      <c r="E1187" t="str">
        <f>IFERROR(__xludf.DUMMYFUNCTION("""COMPUTED_VALUE"""),"")</f>
        <v/>
      </c>
      <c r="F1187" t="str">
        <f>IFERROR(__xludf.DUMMYFUNCTION("""COMPUTED_VALUE"""),"")</f>
        <v/>
      </c>
      <c r="G1187" t="str">
        <f>IFERROR(__xludf.DUMMYFUNCTION("""COMPUTED_VALUE"""),"")</f>
        <v/>
      </c>
      <c r="H1187" t="str">
        <f>IFERROR(__xludf.DUMMYFUNCTION("""COMPUTED_VALUE"""),"")</f>
        <v/>
      </c>
      <c r="I1187" t="str">
        <f>IFERROR(__xludf.DUMMYFUNCTION("""COMPUTED_VALUE"""),"")</f>
        <v/>
      </c>
      <c r="J1187">
        <f>IFERROR(__xludf.DUMMYFUNCTION("""COMPUTED_VALUE"""),0.0)</f>
        <v>0</v>
      </c>
      <c r="L1187" s="250" t="str">
        <f>IFERROR(__xludf.DUMMYFUNCTION("""COMPUTED_VALUE"""),"")</f>
        <v/>
      </c>
      <c r="M1187" s="250" t="str">
        <f>IFERROR(__xludf.DUMMYFUNCTION("""COMPUTED_VALUE"""),"")</f>
        <v/>
      </c>
      <c r="N1187" s="250" t="str">
        <f>IFERROR(__xludf.DUMMYFUNCTION("""COMPUTED_VALUE"""),"")</f>
        <v/>
      </c>
      <c r="O1187" s="250" t="str">
        <f>IFERROR(__xludf.DUMMYFUNCTION("""COMPUTED_VALUE"""),"")</f>
        <v/>
      </c>
      <c r="P1187" s="250" t="str">
        <f>IFERROR(__xludf.DUMMYFUNCTION("""COMPUTED_VALUE"""),"")</f>
        <v/>
      </c>
      <c r="Q1187" s="250" t="str">
        <f>IFERROR(__xludf.DUMMYFUNCTION("""COMPUTED_VALUE"""),"")</f>
        <v/>
      </c>
      <c r="R1187" s="250" t="str">
        <f>IFERROR(__xludf.DUMMYFUNCTION("""COMPUTED_VALUE"""),"")</f>
        <v/>
      </c>
      <c r="U1187" s="250" t="str">
        <f>IFERROR(__xludf.DUMMYFUNCTION("""COMPUTED_VALUE"""),"#N/A")</f>
        <v>#N/A</v>
      </c>
      <c r="V1187" s="250" t="str">
        <f>IFERROR(__xludf.DUMMYFUNCTION("""COMPUTED_VALUE"""),"#N/A")</f>
        <v>#N/A</v>
      </c>
      <c r="W1187" s="250" t="str">
        <f>IFERROR(__xludf.DUMMYFUNCTION("""COMPUTED_VALUE"""),"#N/A")</f>
        <v>#N/A</v>
      </c>
      <c r="X1187" t="b">
        <f t="shared" ref="X1187:Z1187" si="2350">ISBLANK(K1187)</f>
        <v>1</v>
      </c>
      <c r="Y1187" t="b">
        <f t="shared" si="2350"/>
        <v>0</v>
      </c>
      <c r="Z1187" t="b">
        <f t="shared" si="2350"/>
        <v>0</v>
      </c>
      <c r="AA1187">
        <f t="shared" ref="AA1187:AC1187" si="2351">IF(X1187=FALSE,1,0)</f>
        <v>0</v>
      </c>
      <c r="AB1187">
        <f t="shared" si="2351"/>
        <v>1</v>
      </c>
      <c r="AC1187">
        <f t="shared" si="2351"/>
        <v>1</v>
      </c>
      <c r="AD1187">
        <f t="shared" si="6"/>
        <v>2</v>
      </c>
      <c r="AE1187">
        <f t="shared" si="7"/>
        <v>1</v>
      </c>
    </row>
    <row r="1188">
      <c r="B1188" t="str">
        <f>IFERROR(__xludf.DUMMYFUNCTION("""COMPUTED_VALUE"""),"")</f>
        <v/>
      </c>
      <c r="C1188" t="str">
        <f>IFERROR(__xludf.DUMMYFUNCTION("""COMPUTED_VALUE"""),"")</f>
        <v/>
      </c>
      <c r="D1188" t="str">
        <f>IFERROR(__xludf.DUMMYFUNCTION("""COMPUTED_VALUE"""),"")</f>
        <v/>
      </c>
      <c r="E1188" t="str">
        <f>IFERROR(__xludf.DUMMYFUNCTION("""COMPUTED_VALUE"""),"")</f>
        <v/>
      </c>
      <c r="F1188" t="str">
        <f>IFERROR(__xludf.DUMMYFUNCTION("""COMPUTED_VALUE"""),"")</f>
        <v/>
      </c>
      <c r="G1188" t="str">
        <f>IFERROR(__xludf.DUMMYFUNCTION("""COMPUTED_VALUE"""),"")</f>
        <v/>
      </c>
      <c r="H1188" t="str">
        <f>IFERROR(__xludf.DUMMYFUNCTION("""COMPUTED_VALUE"""),"")</f>
        <v/>
      </c>
      <c r="I1188" t="str">
        <f>IFERROR(__xludf.DUMMYFUNCTION("""COMPUTED_VALUE"""),"")</f>
        <v/>
      </c>
      <c r="J1188">
        <f>IFERROR(__xludf.DUMMYFUNCTION("""COMPUTED_VALUE"""),0.0)</f>
        <v>0</v>
      </c>
      <c r="L1188" s="250" t="str">
        <f>IFERROR(__xludf.DUMMYFUNCTION("""COMPUTED_VALUE"""),"")</f>
        <v/>
      </c>
      <c r="M1188" s="250" t="str">
        <f>IFERROR(__xludf.DUMMYFUNCTION("""COMPUTED_VALUE"""),"")</f>
        <v/>
      </c>
      <c r="N1188" s="250" t="str">
        <f>IFERROR(__xludf.DUMMYFUNCTION("""COMPUTED_VALUE"""),"")</f>
        <v/>
      </c>
      <c r="O1188" s="250" t="str">
        <f>IFERROR(__xludf.DUMMYFUNCTION("""COMPUTED_VALUE"""),"")</f>
        <v/>
      </c>
      <c r="P1188" s="250" t="str">
        <f>IFERROR(__xludf.DUMMYFUNCTION("""COMPUTED_VALUE"""),"")</f>
        <v/>
      </c>
      <c r="Q1188" s="250" t="str">
        <f>IFERROR(__xludf.DUMMYFUNCTION("""COMPUTED_VALUE"""),"")</f>
        <v/>
      </c>
      <c r="R1188" s="250" t="str">
        <f>IFERROR(__xludf.DUMMYFUNCTION("""COMPUTED_VALUE"""),"")</f>
        <v/>
      </c>
      <c r="U1188" s="250" t="str">
        <f>IFERROR(__xludf.DUMMYFUNCTION("""COMPUTED_VALUE"""),"#N/A")</f>
        <v>#N/A</v>
      </c>
      <c r="V1188" s="250" t="str">
        <f>IFERROR(__xludf.DUMMYFUNCTION("""COMPUTED_VALUE"""),"#N/A")</f>
        <v>#N/A</v>
      </c>
      <c r="W1188" s="250" t="str">
        <f>IFERROR(__xludf.DUMMYFUNCTION("""COMPUTED_VALUE"""),"#N/A")</f>
        <v>#N/A</v>
      </c>
      <c r="X1188" t="b">
        <f t="shared" ref="X1188:Z1188" si="2352">ISBLANK(K1188)</f>
        <v>1</v>
      </c>
      <c r="Y1188" t="b">
        <f t="shared" si="2352"/>
        <v>0</v>
      </c>
      <c r="Z1188" t="b">
        <f t="shared" si="2352"/>
        <v>0</v>
      </c>
      <c r="AA1188">
        <f t="shared" ref="AA1188:AC1188" si="2353">IF(X1188=FALSE,1,0)</f>
        <v>0</v>
      </c>
      <c r="AB1188">
        <f t="shared" si="2353"/>
        <v>1</v>
      </c>
      <c r="AC1188">
        <f t="shared" si="2353"/>
        <v>1</v>
      </c>
      <c r="AD1188">
        <f t="shared" si="6"/>
        <v>2</v>
      </c>
      <c r="AE1188">
        <f t="shared" si="7"/>
        <v>1</v>
      </c>
    </row>
    <row r="1189">
      <c r="B1189" t="str">
        <f>IFERROR(__xludf.DUMMYFUNCTION("""COMPUTED_VALUE"""),"")</f>
        <v/>
      </c>
      <c r="C1189" t="str">
        <f>IFERROR(__xludf.DUMMYFUNCTION("""COMPUTED_VALUE"""),"")</f>
        <v/>
      </c>
      <c r="D1189" t="str">
        <f>IFERROR(__xludf.DUMMYFUNCTION("""COMPUTED_VALUE"""),"")</f>
        <v/>
      </c>
      <c r="E1189" t="str">
        <f>IFERROR(__xludf.DUMMYFUNCTION("""COMPUTED_VALUE"""),"")</f>
        <v/>
      </c>
      <c r="F1189" t="str">
        <f>IFERROR(__xludf.DUMMYFUNCTION("""COMPUTED_VALUE"""),"")</f>
        <v/>
      </c>
      <c r="G1189" t="str">
        <f>IFERROR(__xludf.DUMMYFUNCTION("""COMPUTED_VALUE"""),"")</f>
        <v/>
      </c>
      <c r="H1189" t="str">
        <f>IFERROR(__xludf.DUMMYFUNCTION("""COMPUTED_VALUE"""),"")</f>
        <v/>
      </c>
      <c r="I1189" t="str">
        <f>IFERROR(__xludf.DUMMYFUNCTION("""COMPUTED_VALUE"""),"")</f>
        <v/>
      </c>
      <c r="J1189">
        <f>IFERROR(__xludf.DUMMYFUNCTION("""COMPUTED_VALUE"""),0.0)</f>
        <v>0</v>
      </c>
      <c r="L1189" s="250" t="str">
        <f>IFERROR(__xludf.DUMMYFUNCTION("""COMPUTED_VALUE"""),"")</f>
        <v/>
      </c>
      <c r="M1189" s="250" t="str">
        <f>IFERROR(__xludf.DUMMYFUNCTION("""COMPUTED_VALUE"""),"")</f>
        <v/>
      </c>
      <c r="N1189" s="250" t="str">
        <f>IFERROR(__xludf.DUMMYFUNCTION("""COMPUTED_VALUE"""),"")</f>
        <v/>
      </c>
      <c r="O1189" s="250" t="str">
        <f>IFERROR(__xludf.DUMMYFUNCTION("""COMPUTED_VALUE"""),"")</f>
        <v/>
      </c>
      <c r="P1189" s="250" t="str">
        <f>IFERROR(__xludf.DUMMYFUNCTION("""COMPUTED_VALUE"""),"")</f>
        <v/>
      </c>
      <c r="Q1189" s="250" t="str">
        <f>IFERROR(__xludf.DUMMYFUNCTION("""COMPUTED_VALUE"""),"")</f>
        <v/>
      </c>
      <c r="R1189" s="250" t="str">
        <f>IFERROR(__xludf.DUMMYFUNCTION("""COMPUTED_VALUE"""),"")</f>
        <v/>
      </c>
      <c r="U1189" s="250" t="str">
        <f>IFERROR(__xludf.DUMMYFUNCTION("""COMPUTED_VALUE"""),"#N/A")</f>
        <v>#N/A</v>
      </c>
      <c r="V1189" s="250" t="str">
        <f>IFERROR(__xludf.DUMMYFUNCTION("""COMPUTED_VALUE"""),"#N/A")</f>
        <v>#N/A</v>
      </c>
      <c r="W1189" s="250" t="str">
        <f>IFERROR(__xludf.DUMMYFUNCTION("""COMPUTED_VALUE"""),"#N/A")</f>
        <v>#N/A</v>
      </c>
      <c r="X1189" t="b">
        <f t="shared" ref="X1189:Z1189" si="2354">ISBLANK(K1189)</f>
        <v>1</v>
      </c>
      <c r="Y1189" t="b">
        <f t="shared" si="2354"/>
        <v>0</v>
      </c>
      <c r="Z1189" t="b">
        <f t="shared" si="2354"/>
        <v>0</v>
      </c>
      <c r="AA1189">
        <f t="shared" ref="AA1189:AC1189" si="2355">IF(X1189=FALSE,1,0)</f>
        <v>0</v>
      </c>
      <c r="AB1189">
        <f t="shared" si="2355"/>
        <v>1</v>
      </c>
      <c r="AC1189">
        <f t="shared" si="2355"/>
        <v>1</v>
      </c>
      <c r="AD1189">
        <f t="shared" si="6"/>
        <v>2</v>
      </c>
      <c r="AE1189">
        <f t="shared" si="7"/>
        <v>1</v>
      </c>
    </row>
    <row r="1190">
      <c r="B1190" t="str">
        <f>IFERROR(__xludf.DUMMYFUNCTION("""COMPUTED_VALUE"""),"")</f>
        <v/>
      </c>
      <c r="C1190" t="str">
        <f>IFERROR(__xludf.DUMMYFUNCTION("""COMPUTED_VALUE"""),"")</f>
        <v/>
      </c>
      <c r="D1190" t="str">
        <f>IFERROR(__xludf.DUMMYFUNCTION("""COMPUTED_VALUE"""),"")</f>
        <v/>
      </c>
      <c r="E1190" t="str">
        <f>IFERROR(__xludf.DUMMYFUNCTION("""COMPUTED_VALUE"""),"")</f>
        <v/>
      </c>
      <c r="F1190" t="str">
        <f>IFERROR(__xludf.DUMMYFUNCTION("""COMPUTED_VALUE"""),"")</f>
        <v/>
      </c>
      <c r="G1190" t="str">
        <f>IFERROR(__xludf.DUMMYFUNCTION("""COMPUTED_VALUE"""),"")</f>
        <v/>
      </c>
      <c r="H1190" t="str">
        <f>IFERROR(__xludf.DUMMYFUNCTION("""COMPUTED_VALUE"""),"")</f>
        <v/>
      </c>
      <c r="I1190" t="str">
        <f>IFERROR(__xludf.DUMMYFUNCTION("""COMPUTED_VALUE"""),"")</f>
        <v/>
      </c>
      <c r="J1190">
        <f>IFERROR(__xludf.DUMMYFUNCTION("""COMPUTED_VALUE"""),0.0)</f>
        <v>0</v>
      </c>
      <c r="L1190" s="250" t="str">
        <f>IFERROR(__xludf.DUMMYFUNCTION("""COMPUTED_VALUE"""),"")</f>
        <v/>
      </c>
      <c r="M1190" s="250" t="str">
        <f>IFERROR(__xludf.DUMMYFUNCTION("""COMPUTED_VALUE"""),"")</f>
        <v/>
      </c>
      <c r="N1190" s="250" t="str">
        <f>IFERROR(__xludf.DUMMYFUNCTION("""COMPUTED_VALUE"""),"")</f>
        <v/>
      </c>
      <c r="O1190" s="250" t="str">
        <f>IFERROR(__xludf.DUMMYFUNCTION("""COMPUTED_VALUE"""),"")</f>
        <v/>
      </c>
      <c r="P1190" s="250" t="str">
        <f>IFERROR(__xludf.DUMMYFUNCTION("""COMPUTED_VALUE"""),"")</f>
        <v/>
      </c>
      <c r="Q1190" s="250" t="str">
        <f>IFERROR(__xludf.DUMMYFUNCTION("""COMPUTED_VALUE"""),"")</f>
        <v/>
      </c>
      <c r="R1190" s="250" t="str">
        <f>IFERROR(__xludf.DUMMYFUNCTION("""COMPUTED_VALUE"""),"")</f>
        <v/>
      </c>
      <c r="U1190" s="250" t="str">
        <f>IFERROR(__xludf.DUMMYFUNCTION("""COMPUTED_VALUE"""),"#N/A")</f>
        <v>#N/A</v>
      </c>
      <c r="V1190" s="250" t="str">
        <f>IFERROR(__xludf.DUMMYFUNCTION("""COMPUTED_VALUE"""),"#N/A")</f>
        <v>#N/A</v>
      </c>
      <c r="W1190" s="250" t="str">
        <f>IFERROR(__xludf.DUMMYFUNCTION("""COMPUTED_VALUE"""),"#N/A")</f>
        <v>#N/A</v>
      </c>
      <c r="X1190" t="b">
        <f t="shared" ref="X1190:Z1190" si="2356">ISBLANK(K1190)</f>
        <v>1</v>
      </c>
      <c r="Y1190" t="b">
        <f t="shared" si="2356"/>
        <v>0</v>
      </c>
      <c r="Z1190" t="b">
        <f t="shared" si="2356"/>
        <v>0</v>
      </c>
      <c r="AA1190">
        <f t="shared" ref="AA1190:AC1190" si="2357">IF(X1190=FALSE,1,0)</f>
        <v>0</v>
      </c>
      <c r="AB1190">
        <f t="shared" si="2357"/>
        <v>1</v>
      </c>
      <c r="AC1190">
        <f t="shared" si="2357"/>
        <v>1</v>
      </c>
      <c r="AD1190">
        <f t="shared" si="6"/>
        <v>2</v>
      </c>
      <c r="AE1190">
        <f t="shared" si="7"/>
        <v>1</v>
      </c>
    </row>
    <row r="1191">
      <c r="B1191" t="str">
        <f>IFERROR(__xludf.DUMMYFUNCTION("""COMPUTED_VALUE"""),"")</f>
        <v/>
      </c>
      <c r="C1191" t="str">
        <f>IFERROR(__xludf.DUMMYFUNCTION("""COMPUTED_VALUE"""),"")</f>
        <v/>
      </c>
      <c r="D1191" t="str">
        <f>IFERROR(__xludf.DUMMYFUNCTION("""COMPUTED_VALUE"""),"")</f>
        <v/>
      </c>
      <c r="E1191" t="str">
        <f>IFERROR(__xludf.DUMMYFUNCTION("""COMPUTED_VALUE"""),"")</f>
        <v/>
      </c>
      <c r="F1191" t="str">
        <f>IFERROR(__xludf.DUMMYFUNCTION("""COMPUTED_VALUE"""),"")</f>
        <v/>
      </c>
      <c r="G1191" t="str">
        <f>IFERROR(__xludf.DUMMYFUNCTION("""COMPUTED_VALUE"""),"")</f>
        <v/>
      </c>
      <c r="H1191" t="str">
        <f>IFERROR(__xludf.DUMMYFUNCTION("""COMPUTED_VALUE"""),"")</f>
        <v/>
      </c>
      <c r="I1191" t="str">
        <f>IFERROR(__xludf.DUMMYFUNCTION("""COMPUTED_VALUE"""),"")</f>
        <v/>
      </c>
      <c r="J1191">
        <f>IFERROR(__xludf.DUMMYFUNCTION("""COMPUTED_VALUE"""),0.0)</f>
        <v>0</v>
      </c>
      <c r="L1191" s="250" t="str">
        <f>IFERROR(__xludf.DUMMYFUNCTION("""COMPUTED_VALUE"""),"")</f>
        <v/>
      </c>
      <c r="M1191" s="250" t="str">
        <f>IFERROR(__xludf.DUMMYFUNCTION("""COMPUTED_VALUE"""),"")</f>
        <v/>
      </c>
      <c r="N1191" s="250" t="str">
        <f>IFERROR(__xludf.DUMMYFUNCTION("""COMPUTED_VALUE"""),"")</f>
        <v/>
      </c>
      <c r="O1191" s="250" t="str">
        <f>IFERROR(__xludf.DUMMYFUNCTION("""COMPUTED_VALUE"""),"")</f>
        <v/>
      </c>
      <c r="P1191" s="250" t="str">
        <f>IFERROR(__xludf.DUMMYFUNCTION("""COMPUTED_VALUE"""),"")</f>
        <v/>
      </c>
      <c r="Q1191" s="250" t="str">
        <f>IFERROR(__xludf.DUMMYFUNCTION("""COMPUTED_VALUE"""),"")</f>
        <v/>
      </c>
      <c r="R1191" s="250" t="str">
        <f>IFERROR(__xludf.DUMMYFUNCTION("""COMPUTED_VALUE"""),"")</f>
        <v/>
      </c>
      <c r="U1191" s="250" t="str">
        <f>IFERROR(__xludf.DUMMYFUNCTION("""COMPUTED_VALUE"""),"#N/A")</f>
        <v>#N/A</v>
      </c>
      <c r="V1191" s="250" t="str">
        <f>IFERROR(__xludf.DUMMYFUNCTION("""COMPUTED_VALUE"""),"#N/A")</f>
        <v>#N/A</v>
      </c>
      <c r="W1191" s="250" t="str">
        <f>IFERROR(__xludf.DUMMYFUNCTION("""COMPUTED_VALUE"""),"#N/A")</f>
        <v>#N/A</v>
      </c>
      <c r="X1191" t="b">
        <f t="shared" ref="X1191:Z1191" si="2358">ISBLANK(K1191)</f>
        <v>1</v>
      </c>
      <c r="Y1191" t="b">
        <f t="shared" si="2358"/>
        <v>0</v>
      </c>
      <c r="Z1191" t="b">
        <f t="shared" si="2358"/>
        <v>0</v>
      </c>
      <c r="AA1191">
        <f t="shared" ref="AA1191:AC1191" si="2359">IF(X1191=FALSE,1,0)</f>
        <v>0</v>
      </c>
      <c r="AB1191">
        <f t="shared" si="2359"/>
        <v>1</v>
      </c>
      <c r="AC1191">
        <f t="shared" si="2359"/>
        <v>1</v>
      </c>
      <c r="AD1191">
        <f t="shared" si="6"/>
        <v>2</v>
      </c>
      <c r="AE1191">
        <f t="shared" si="7"/>
        <v>1</v>
      </c>
    </row>
    <row r="1192">
      <c r="B1192" t="str">
        <f>IFERROR(__xludf.DUMMYFUNCTION("""COMPUTED_VALUE"""),"")</f>
        <v/>
      </c>
      <c r="C1192" t="str">
        <f>IFERROR(__xludf.DUMMYFUNCTION("""COMPUTED_VALUE"""),"")</f>
        <v/>
      </c>
      <c r="D1192" t="str">
        <f>IFERROR(__xludf.DUMMYFUNCTION("""COMPUTED_VALUE"""),"")</f>
        <v/>
      </c>
      <c r="E1192" t="str">
        <f>IFERROR(__xludf.DUMMYFUNCTION("""COMPUTED_VALUE"""),"")</f>
        <v/>
      </c>
      <c r="F1192" t="str">
        <f>IFERROR(__xludf.DUMMYFUNCTION("""COMPUTED_VALUE"""),"")</f>
        <v/>
      </c>
      <c r="G1192" t="str">
        <f>IFERROR(__xludf.DUMMYFUNCTION("""COMPUTED_VALUE"""),"")</f>
        <v/>
      </c>
      <c r="H1192" t="str">
        <f>IFERROR(__xludf.DUMMYFUNCTION("""COMPUTED_VALUE"""),"")</f>
        <v/>
      </c>
      <c r="I1192" t="str">
        <f>IFERROR(__xludf.DUMMYFUNCTION("""COMPUTED_VALUE"""),"")</f>
        <v/>
      </c>
      <c r="J1192">
        <f>IFERROR(__xludf.DUMMYFUNCTION("""COMPUTED_VALUE"""),0.0)</f>
        <v>0</v>
      </c>
      <c r="L1192" s="250" t="str">
        <f>IFERROR(__xludf.DUMMYFUNCTION("""COMPUTED_VALUE"""),"")</f>
        <v/>
      </c>
      <c r="M1192" s="250" t="str">
        <f>IFERROR(__xludf.DUMMYFUNCTION("""COMPUTED_VALUE"""),"")</f>
        <v/>
      </c>
      <c r="N1192" s="250" t="str">
        <f>IFERROR(__xludf.DUMMYFUNCTION("""COMPUTED_VALUE"""),"")</f>
        <v/>
      </c>
      <c r="O1192" s="250" t="str">
        <f>IFERROR(__xludf.DUMMYFUNCTION("""COMPUTED_VALUE"""),"")</f>
        <v/>
      </c>
      <c r="P1192" s="250" t="str">
        <f>IFERROR(__xludf.DUMMYFUNCTION("""COMPUTED_VALUE"""),"")</f>
        <v/>
      </c>
      <c r="Q1192" s="250" t="str">
        <f>IFERROR(__xludf.DUMMYFUNCTION("""COMPUTED_VALUE"""),"")</f>
        <v/>
      </c>
      <c r="R1192" s="250" t="str">
        <f>IFERROR(__xludf.DUMMYFUNCTION("""COMPUTED_VALUE"""),"")</f>
        <v/>
      </c>
      <c r="U1192" s="250" t="str">
        <f>IFERROR(__xludf.DUMMYFUNCTION("""COMPUTED_VALUE"""),"#N/A")</f>
        <v>#N/A</v>
      </c>
      <c r="V1192" s="250" t="str">
        <f>IFERROR(__xludf.DUMMYFUNCTION("""COMPUTED_VALUE"""),"#N/A")</f>
        <v>#N/A</v>
      </c>
      <c r="W1192" s="250" t="str">
        <f>IFERROR(__xludf.DUMMYFUNCTION("""COMPUTED_VALUE"""),"#N/A")</f>
        <v>#N/A</v>
      </c>
      <c r="X1192" t="b">
        <f t="shared" ref="X1192:Z1192" si="2360">ISBLANK(K1192)</f>
        <v>1</v>
      </c>
      <c r="Y1192" t="b">
        <f t="shared" si="2360"/>
        <v>0</v>
      </c>
      <c r="Z1192" t="b">
        <f t="shared" si="2360"/>
        <v>0</v>
      </c>
      <c r="AA1192">
        <f t="shared" ref="AA1192:AC1192" si="2361">IF(X1192=FALSE,1,0)</f>
        <v>0</v>
      </c>
      <c r="AB1192">
        <f t="shared" si="2361"/>
        <v>1</v>
      </c>
      <c r="AC1192">
        <f t="shared" si="2361"/>
        <v>1</v>
      </c>
      <c r="AD1192">
        <f t="shared" si="6"/>
        <v>2</v>
      </c>
      <c r="AE1192">
        <f t="shared" si="7"/>
        <v>1</v>
      </c>
    </row>
    <row r="1193">
      <c r="B1193" t="str">
        <f>IFERROR(__xludf.DUMMYFUNCTION("""COMPUTED_VALUE"""),"")</f>
        <v/>
      </c>
      <c r="C1193" t="str">
        <f>IFERROR(__xludf.DUMMYFUNCTION("""COMPUTED_VALUE"""),"")</f>
        <v/>
      </c>
      <c r="D1193" t="str">
        <f>IFERROR(__xludf.DUMMYFUNCTION("""COMPUTED_VALUE"""),"")</f>
        <v/>
      </c>
      <c r="E1193" t="str">
        <f>IFERROR(__xludf.DUMMYFUNCTION("""COMPUTED_VALUE"""),"")</f>
        <v/>
      </c>
      <c r="F1193" t="str">
        <f>IFERROR(__xludf.DUMMYFUNCTION("""COMPUTED_VALUE"""),"")</f>
        <v/>
      </c>
      <c r="G1193" t="str">
        <f>IFERROR(__xludf.DUMMYFUNCTION("""COMPUTED_VALUE"""),"")</f>
        <v/>
      </c>
      <c r="H1193" t="str">
        <f>IFERROR(__xludf.DUMMYFUNCTION("""COMPUTED_VALUE"""),"")</f>
        <v/>
      </c>
      <c r="I1193" t="str">
        <f>IFERROR(__xludf.DUMMYFUNCTION("""COMPUTED_VALUE"""),"")</f>
        <v/>
      </c>
      <c r="J1193">
        <f>IFERROR(__xludf.DUMMYFUNCTION("""COMPUTED_VALUE"""),0.0)</f>
        <v>0</v>
      </c>
      <c r="L1193" s="250" t="str">
        <f>IFERROR(__xludf.DUMMYFUNCTION("""COMPUTED_VALUE"""),"")</f>
        <v/>
      </c>
      <c r="M1193" s="250" t="str">
        <f>IFERROR(__xludf.DUMMYFUNCTION("""COMPUTED_VALUE"""),"")</f>
        <v/>
      </c>
      <c r="N1193" s="250" t="str">
        <f>IFERROR(__xludf.DUMMYFUNCTION("""COMPUTED_VALUE"""),"")</f>
        <v/>
      </c>
      <c r="O1193" s="250" t="str">
        <f>IFERROR(__xludf.DUMMYFUNCTION("""COMPUTED_VALUE"""),"")</f>
        <v/>
      </c>
      <c r="P1193" s="250" t="str">
        <f>IFERROR(__xludf.DUMMYFUNCTION("""COMPUTED_VALUE"""),"")</f>
        <v/>
      </c>
      <c r="Q1193" s="250" t="str">
        <f>IFERROR(__xludf.DUMMYFUNCTION("""COMPUTED_VALUE"""),"")</f>
        <v/>
      </c>
      <c r="R1193" s="250" t="str">
        <f>IFERROR(__xludf.DUMMYFUNCTION("""COMPUTED_VALUE"""),"")</f>
        <v/>
      </c>
      <c r="U1193" s="250" t="str">
        <f>IFERROR(__xludf.DUMMYFUNCTION("""COMPUTED_VALUE"""),"#N/A")</f>
        <v>#N/A</v>
      </c>
      <c r="V1193" s="250" t="str">
        <f>IFERROR(__xludf.DUMMYFUNCTION("""COMPUTED_VALUE"""),"#N/A")</f>
        <v>#N/A</v>
      </c>
      <c r="W1193" s="250" t="str">
        <f>IFERROR(__xludf.DUMMYFUNCTION("""COMPUTED_VALUE"""),"#N/A")</f>
        <v>#N/A</v>
      </c>
      <c r="X1193" t="b">
        <f t="shared" ref="X1193:Z1193" si="2362">ISBLANK(K1193)</f>
        <v>1</v>
      </c>
      <c r="Y1193" t="b">
        <f t="shared" si="2362"/>
        <v>0</v>
      </c>
      <c r="Z1193" t="b">
        <f t="shared" si="2362"/>
        <v>0</v>
      </c>
      <c r="AA1193">
        <f t="shared" ref="AA1193:AC1193" si="2363">IF(X1193=FALSE,1,0)</f>
        <v>0</v>
      </c>
      <c r="AB1193">
        <f t="shared" si="2363"/>
        <v>1</v>
      </c>
      <c r="AC1193">
        <f t="shared" si="2363"/>
        <v>1</v>
      </c>
      <c r="AD1193">
        <f t="shared" si="6"/>
        <v>2</v>
      </c>
      <c r="AE1193">
        <f t="shared" si="7"/>
        <v>1</v>
      </c>
    </row>
    <row r="1194">
      <c r="B1194" t="str">
        <f>IFERROR(__xludf.DUMMYFUNCTION("""COMPUTED_VALUE"""),"")</f>
        <v/>
      </c>
      <c r="C1194" t="str">
        <f>IFERROR(__xludf.DUMMYFUNCTION("""COMPUTED_VALUE"""),"")</f>
        <v/>
      </c>
      <c r="D1194" t="str">
        <f>IFERROR(__xludf.DUMMYFUNCTION("""COMPUTED_VALUE"""),"")</f>
        <v/>
      </c>
      <c r="E1194" t="str">
        <f>IFERROR(__xludf.DUMMYFUNCTION("""COMPUTED_VALUE"""),"")</f>
        <v/>
      </c>
      <c r="F1194" t="str">
        <f>IFERROR(__xludf.DUMMYFUNCTION("""COMPUTED_VALUE"""),"")</f>
        <v/>
      </c>
      <c r="G1194" t="str">
        <f>IFERROR(__xludf.DUMMYFUNCTION("""COMPUTED_VALUE"""),"")</f>
        <v/>
      </c>
      <c r="H1194" t="str">
        <f>IFERROR(__xludf.DUMMYFUNCTION("""COMPUTED_VALUE"""),"")</f>
        <v/>
      </c>
      <c r="I1194" t="str">
        <f>IFERROR(__xludf.DUMMYFUNCTION("""COMPUTED_VALUE"""),"")</f>
        <v/>
      </c>
      <c r="J1194">
        <f>IFERROR(__xludf.DUMMYFUNCTION("""COMPUTED_VALUE"""),0.0)</f>
        <v>0</v>
      </c>
      <c r="L1194" s="250" t="str">
        <f>IFERROR(__xludf.DUMMYFUNCTION("""COMPUTED_VALUE"""),"")</f>
        <v/>
      </c>
      <c r="M1194" s="250" t="str">
        <f>IFERROR(__xludf.DUMMYFUNCTION("""COMPUTED_VALUE"""),"")</f>
        <v/>
      </c>
      <c r="N1194" s="250" t="str">
        <f>IFERROR(__xludf.DUMMYFUNCTION("""COMPUTED_VALUE"""),"")</f>
        <v/>
      </c>
      <c r="O1194" s="250" t="str">
        <f>IFERROR(__xludf.DUMMYFUNCTION("""COMPUTED_VALUE"""),"")</f>
        <v/>
      </c>
      <c r="P1194" s="250" t="str">
        <f>IFERROR(__xludf.DUMMYFUNCTION("""COMPUTED_VALUE"""),"")</f>
        <v/>
      </c>
      <c r="Q1194" s="250" t="str">
        <f>IFERROR(__xludf.DUMMYFUNCTION("""COMPUTED_VALUE"""),"")</f>
        <v/>
      </c>
      <c r="R1194" s="250" t="str">
        <f>IFERROR(__xludf.DUMMYFUNCTION("""COMPUTED_VALUE"""),"")</f>
        <v/>
      </c>
      <c r="U1194" s="250" t="str">
        <f>IFERROR(__xludf.DUMMYFUNCTION("""COMPUTED_VALUE"""),"#N/A")</f>
        <v>#N/A</v>
      </c>
      <c r="V1194" s="250" t="str">
        <f>IFERROR(__xludf.DUMMYFUNCTION("""COMPUTED_VALUE"""),"#N/A")</f>
        <v>#N/A</v>
      </c>
      <c r="W1194" s="250" t="str">
        <f>IFERROR(__xludf.DUMMYFUNCTION("""COMPUTED_VALUE"""),"#N/A")</f>
        <v>#N/A</v>
      </c>
      <c r="X1194" t="b">
        <f t="shared" ref="X1194:Z1194" si="2364">ISBLANK(K1194)</f>
        <v>1</v>
      </c>
      <c r="Y1194" t="b">
        <f t="shared" si="2364"/>
        <v>0</v>
      </c>
      <c r="Z1194" t="b">
        <f t="shared" si="2364"/>
        <v>0</v>
      </c>
      <c r="AA1194">
        <f t="shared" ref="AA1194:AC1194" si="2365">IF(X1194=FALSE,1,0)</f>
        <v>0</v>
      </c>
      <c r="AB1194">
        <f t="shared" si="2365"/>
        <v>1</v>
      </c>
      <c r="AC1194">
        <f t="shared" si="2365"/>
        <v>1</v>
      </c>
      <c r="AD1194">
        <f t="shared" si="6"/>
        <v>2</v>
      </c>
      <c r="AE1194">
        <f t="shared" si="7"/>
        <v>1</v>
      </c>
    </row>
    <row r="1195">
      <c r="B1195" t="str">
        <f>IFERROR(__xludf.DUMMYFUNCTION("""COMPUTED_VALUE"""),"")</f>
        <v/>
      </c>
      <c r="C1195" t="str">
        <f>IFERROR(__xludf.DUMMYFUNCTION("""COMPUTED_VALUE"""),"")</f>
        <v/>
      </c>
      <c r="D1195" t="str">
        <f>IFERROR(__xludf.DUMMYFUNCTION("""COMPUTED_VALUE"""),"")</f>
        <v/>
      </c>
      <c r="E1195" t="str">
        <f>IFERROR(__xludf.DUMMYFUNCTION("""COMPUTED_VALUE"""),"")</f>
        <v/>
      </c>
      <c r="F1195" t="str">
        <f>IFERROR(__xludf.DUMMYFUNCTION("""COMPUTED_VALUE"""),"")</f>
        <v/>
      </c>
      <c r="G1195" t="str">
        <f>IFERROR(__xludf.DUMMYFUNCTION("""COMPUTED_VALUE"""),"")</f>
        <v/>
      </c>
      <c r="H1195" t="str">
        <f>IFERROR(__xludf.DUMMYFUNCTION("""COMPUTED_VALUE"""),"")</f>
        <v/>
      </c>
      <c r="I1195" t="str">
        <f>IFERROR(__xludf.DUMMYFUNCTION("""COMPUTED_VALUE"""),"")</f>
        <v/>
      </c>
      <c r="J1195">
        <f>IFERROR(__xludf.DUMMYFUNCTION("""COMPUTED_VALUE"""),0.0)</f>
        <v>0</v>
      </c>
      <c r="L1195" s="250" t="str">
        <f>IFERROR(__xludf.DUMMYFUNCTION("""COMPUTED_VALUE"""),"")</f>
        <v/>
      </c>
      <c r="M1195" s="250" t="str">
        <f>IFERROR(__xludf.DUMMYFUNCTION("""COMPUTED_VALUE"""),"")</f>
        <v/>
      </c>
      <c r="N1195" s="250" t="str">
        <f>IFERROR(__xludf.DUMMYFUNCTION("""COMPUTED_VALUE"""),"")</f>
        <v/>
      </c>
      <c r="O1195" s="250" t="str">
        <f>IFERROR(__xludf.DUMMYFUNCTION("""COMPUTED_VALUE"""),"")</f>
        <v/>
      </c>
      <c r="P1195" s="250" t="str">
        <f>IFERROR(__xludf.DUMMYFUNCTION("""COMPUTED_VALUE"""),"")</f>
        <v/>
      </c>
      <c r="Q1195" s="250" t="str">
        <f>IFERROR(__xludf.DUMMYFUNCTION("""COMPUTED_VALUE"""),"")</f>
        <v/>
      </c>
      <c r="R1195" s="250" t="str">
        <f>IFERROR(__xludf.DUMMYFUNCTION("""COMPUTED_VALUE"""),"")</f>
        <v/>
      </c>
      <c r="U1195" s="250" t="str">
        <f>IFERROR(__xludf.DUMMYFUNCTION("""COMPUTED_VALUE"""),"#N/A")</f>
        <v>#N/A</v>
      </c>
      <c r="V1195" s="250" t="str">
        <f>IFERROR(__xludf.DUMMYFUNCTION("""COMPUTED_VALUE"""),"#N/A")</f>
        <v>#N/A</v>
      </c>
      <c r="W1195" s="250" t="str">
        <f>IFERROR(__xludf.DUMMYFUNCTION("""COMPUTED_VALUE"""),"#N/A")</f>
        <v>#N/A</v>
      </c>
      <c r="X1195" t="b">
        <f t="shared" ref="X1195:Z1195" si="2366">ISBLANK(K1195)</f>
        <v>1</v>
      </c>
      <c r="Y1195" t="b">
        <f t="shared" si="2366"/>
        <v>0</v>
      </c>
      <c r="Z1195" t="b">
        <f t="shared" si="2366"/>
        <v>0</v>
      </c>
      <c r="AA1195">
        <f t="shared" ref="AA1195:AC1195" si="2367">IF(X1195=FALSE,1,0)</f>
        <v>0</v>
      </c>
      <c r="AB1195">
        <f t="shared" si="2367"/>
        <v>1</v>
      </c>
      <c r="AC1195">
        <f t="shared" si="2367"/>
        <v>1</v>
      </c>
      <c r="AD1195">
        <f t="shared" si="6"/>
        <v>2</v>
      </c>
      <c r="AE1195">
        <f t="shared" si="7"/>
        <v>1</v>
      </c>
    </row>
    <row r="1196">
      <c r="B1196" t="str">
        <f>IFERROR(__xludf.DUMMYFUNCTION("""COMPUTED_VALUE"""),"")</f>
        <v/>
      </c>
      <c r="C1196" t="str">
        <f>IFERROR(__xludf.DUMMYFUNCTION("""COMPUTED_VALUE"""),"")</f>
        <v/>
      </c>
      <c r="D1196" t="str">
        <f>IFERROR(__xludf.DUMMYFUNCTION("""COMPUTED_VALUE"""),"")</f>
        <v/>
      </c>
      <c r="E1196" t="str">
        <f>IFERROR(__xludf.DUMMYFUNCTION("""COMPUTED_VALUE"""),"")</f>
        <v/>
      </c>
      <c r="F1196" t="str">
        <f>IFERROR(__xludf.DUMMYFUNCTION("""COMPUTED_VALUE"""),"")</f>
        <v/>
      </c>
      <c r="G1196" t="str">
        <f>IFERROR(__xludf.DUMMYFUNCTION("""COMPUTED_VALUE"""),"")</f>
        <v/>
      </c>
      <c r="H1196" t="str">
        <f>IFERROR(__xludf.DUMMYFUNCTION("""COMPUTED_VALUE"""),"")</f>
        <v/>
      </c>
      <c r="I1196" t="str">
        <f>IFERROR(__xludf.DUMMYFUNCTION("""COMPUTED_VALUE"""),"")</f>
        <v/>
      </c>
      <c r="J1196">
        <f>IFERROR(__xludf.DUMMYFUNCTION("""COMPUTED_VALUE"""),0.0)</f>
        <v>0</v>
      </c>
      <c r="L1196" s="250" t="str">
        <f>IFERROR(__xludf.DUMMYFUNCTION("""COMPUTED_VALUE"""),"")</f>
        <v/>
      </c>
      <c r="M1196" s="250" t="str">
        <f>IFERROR(__xludf.DUMMYFUNCTION("""COMPUTED_VALUE"""),"")</f>
        <v/>
      </c>
      <c r="N1196" s="250" t="str">
        <f>IFERROR(__xludf.DUMMYFUNCTION("""COMPUTED_VALUE"""),"")</f>
        <v/>
      </c>
      <c r="O1196" s="250" t="str">
        <f>IFERROR(__xludf.DUMMYFUNCTION("""COMPUTED_VALUE"""),"")</f>
        <v/>
      </c>
      <c r="P1196" s="250" t="str">
        <f>IFERROR(__xludf.DUMMYFUNCTION("""COMPUTED_VALUE"""),"")</f>
        <v/>
      </c>
      <c r="Q1196" s="250" t="str">
        <f>IFERROR(__xludf.DUMMYFUNCTION("""COMPUTED_VALUE"""),"")</f>
        <v/>
      </c>
      <c r="R1196" s="250" t="str">
        <f>IFERROR(__xludf.DUMMYFUNCTION("""COMPUTED_VALUE"""),"")</f>
        <v/>
      </c>
      <c r="U1196" s="250" t="str">
        <f>IFERROR(__xludf.DUMMYFUNCTION("""COMPUTED_VALUE"""),"#N/A")</f>
        <v>#N/A</v>
      </c>
      <c r="V1196" s="250" t="str">
        <f>IFERROR(__xludf.DUMMYFUNCTION("""COMPUTED_VALUE"""),"#N/A")</f>
        <v>#N/A</v>
      </c>
      <c r="W1196" s="250" t="str">
        <f>IFERROR(__xludf.DUMMYFUNCTION("""COMPUTED_VALUE"""),"#N/A")</f>
        <v>#N/A</v>
      </c>
      <c r="X1196" t="b">
        <f t="shared" ref="X1196:Z1196" si="2368">ISBLANK(K1196)</f>
        <v>1</v>
      </c>
      <c r="Y1196" t="b">
        <f t="shared" si="2368"/>
        <v>0</v>
      </c>
      <c r="Z1196" t="b">
        <f t="shared" si="2368"/>
        <v>0</v>
      </c>
      <c r="AA1196">
        <f t="shared" ref="AA1196:AC1196" si="2369">IF(X1196=FALSE,1,0)</f>
        <v>0</v>
      </c>
      <c r="AB1196">
        <f t="shared" si="2369"/>
        <v>1</v>
      </c>
      <c r="AC1196">
        <f t="shared" si="2369"/>
        <v>1</v>
      </c>
      <c r="AD1196">
        <f t="shared" si="6"/>
        <v>2</v>
      </c>
      <c r="AE1196">
        <f t="shared" si="7"/>
        <v>1</v>
      </c>
    </row>
    <row r="1197">
      <c r="B1197" t="str">
        <f>IFERROR(__xludf.DUMMYFUNCTION("""COMPUTED_VALUE"""),"")</f>
        <v/>
      </c>
      <c r="C1197" t="str">
        <f>IFERROR(__xludf.DUMMYFUNCTION("""COMPUTED_VALUE"""),"")</f>
        <v/>
      </c>
      <c r="D1197" t="str">
        <f>IFERROR(__xludf.DUMMYFUNCTION("""COMPUTED_VALUE"""),"")</f>
        <v/>
      </c>
      <c r="E1197" t="str">
        <f>IFERROR(__xludf.DUMMYFUNCTION("""COMPUTED_VALUE"""),"")</f>
        <v/>
      </c>
      <c r="F1197" t="str">
        <f>IFERROR(__xludf.DUMMYFUNCTION("""COMPUTED_VALUE"""),"")</f>
        <v/>
      </c>
      <c r="G1197" t="str">
        <f>IFERROR(__xludf.DUMMYFUNCTION("""COMPUTED_VALUE"""),"")</f>
        <v/>
      </c>
      <c r="H1197" t="str">
        <f>IFERROR(__xludf.DUMMYFUNCTION("""COMPUTED_VALUE"""),"")</f>
        <v/>
      </c>
      <c r="I1197" t="str">
        <f>IFERROR(__xludf.DUMMYFUNCTION("""COMPUTED_VALUE"""),"")</f>
        <v/>
      </c>
      <c r="J1197">
        <f>IFERROR(__xludf.DUMMYFUNCTION("""COMPUTED_VALUE"""),0.0)</f>
        <v>0</v>
      </c>
      <c r="L1197" s="250" t="str">
        <f>IFERROR(__xludf.DUMMYFUNCTION("""COMPUTED_VALUE"""),"")</f>
        <v/>
      </c>
      <c r="M1197" s="250" t="str">
        <f>IFERROR(__xludf.DUMMYFUNCTION("""COMPUTED_VALUE"""),"")</f>
        <v/>
      </c>
      <c r="N1197" s="250" t="str">
        <f>IFERROR(__xludf.DUMMYFUNCTION("""COMPUTED_VALUE"""),"")</f>
        <v/>
      </c>
      <c r="O1197" s="250" t="str">
        <f>IFERROR(__xludf.DUMMYFUNCTION("""COMPUTED_VALUE"""),"")</f>
        <v/>
      </c>
      <c r="P1197" s="250" t="str">
        <f>IFERROR(__xludf.DUMMYFUNCTION("""COMPUTED_VALUE"""),"")</f>
        <v/>
      </c>
      <c r="Q1197" s="250" t="str">
        <f>IFERROR(__xludf.DUMMYFUNCTION("""COMPUTED_VALUE"""),"")</f>
        <v/>
      </c>
      <c r="R1197" s="250" t="str">
        <f>IFERROR(__xludf.DUMMYFUNCTION("""COMPUTED_VALUE"""),"")</f>
        <v/>
      </c>
      <c r="U1197" s="250" t="str">
        <f>IFERROR(__xludf.DUMMYFUNCTION("""COMPUTED_VALUE"""),"#N/A")</f>
        <v>#N/A</v>
      </c>
      <c r="V1197" s="250" t="str">
        <f>IFERROR(__xludf.DUMMYFUNCTION("""COMPUTED_VALUE"""),"#N/A")</f>
        <v>#N/A</v>
      </c>
      <c r="W1197" s="250" t="str">
        <f>IFERROR(__xludf.DUMMYFUNCTION("""COMPUTED_VALUE"""),"#N/A")</f>
        <v>#N/A</v>
      </c>
      <c r="X1197" t="b">
        <f t="shared" ref="X1197:Z1197" si="2370">ISBLANK(K1197)</f>
        <v>1</v>
      </c>
      <c r="Y1197" t="b">
        <f t="shared" si="2370"/>
        <v>0</v>
      </c>
      <c r="Z1197" t="b">
        <f t="shared" si="2370"/>
        <v>0</v>
      </c>
      <c r="AA1197">
        <f t="shared" ref="AA1197:AC1197" si="2371">IF(X1197=FALSE,1,0)</f>
        <v>0</v>
      </c>
      <c r="AB1197">
        <f t="shared" si="2371"/>
        <v>1</v>
      </c>
      <c r="AC1197">
        <f t="shared" si="2371"/>
        <v>1</v>
      </c>
      <c r="AD1197">
        <f t="shared" si="6"/>
        <v>2</v>
      </c>
      <c r="AE1197">
        <f t="shared" si="7"/>
        <v>1</v>
      </c>
    </row>
    <row r="1198">
      <c r="B1198" t="str">
        <f>IFERROR(__xludf.DUMMYFUNCTION("""COMPUTED_VALUE"""),"")</f>
        <v/>
      </c>
      <c r="C1198" t="str">
        <f>IFERROR(__xludf.DUMMYFUNCTION("""COMPUTED_VALUE"""),"")</f>
        <v/>
      </c>
      <c r="D1198" t="str">
        <f>IFERROR(__xludf.DUMMYFUNCTION("""COMPUTED_VALUE"""),"")</f>
        <v/>
      </c>
      <c r="E1198" t="str">
        <f>IFERROR(__xludf.DUMMYFUNCTION("""COMPUTED_VALUE"""),"")</f>
        <v/>
      </c>
      <c r="F1198" t="str">
        <f>IFERROR(__xludf.DUMMYFUNCTION("""COMPUTED_VALUE"""),"")</f>
        <v/>
      </c>
      <c r="G1198" t="str">
        <f>IFERROR(__xludf.DUMMYFUNCTION("""COMPUTED_VALUE"""),"")</f>
        <v/>
      </c>
      <c r="H1198" t="str">
        <f>IFERROR(__xludf.DUMMYFUNCTION("""COMPUTED_VALUE"""),"")</f>
        <v/>
      </c>
      <c r="I1198" t="str">
        <f>IFERROR(__xludf.DUMMYFUNCTION("""COMPUTED_VALUE"""),"")</f>
        <v/>
      </c>
      <c r="J1198">
        <f>IFERROR(__xludf.DUMMYFUNCTION("""COMPUTED_VALUE"""),0.0)</f>
        <v>0</v>
      </c>
      <c r="L1198" s="250" t="str">
        <f>IFERROR(__xludf.DUMMYFUNCTION("""COMPUTED_VALUE"""),"")</f>
        <v/>
      </c>
      <c r="M1198" s="250" t="str">
        <f>IFERROR(__xludf.DUMMYFUNCTION("""COMPUTED_VALUE"""),"")</f>
        <v/>
      </c>
      <c r="N1198" s="250" t="str">
        <f>IFERROR(__xludf.DUMMYFUNCTION("""COMPUTED_VALUE"""),"")</f>
        <v/>
      </c>
      <c r="O1198" s="250" t="str">
        <f>IFERROR(__xludf.DUMMYFUNCTION("""COMPUTED_VALUE"""),"")</f>
        <v/>
      </c>
      <c r="P1198" s="250" t="str">
        <f>IFERROR(__xludf.DUMMYFUNCTION("""COMPUTED_VALUE"""),"")</f>
        <v/>
      </c>
      <c r="Q1198" s="250" t="str">
        <f>IFERROR(__xludf.DUMMYFUNCTION("""COMPUTED_VALUE"""),"")</f>
        <v/>
      </c>
      <c r="R1198" s="250" t="str">
        <f>IFERROR(__xludf.DUMMYFUNCTION("""COMPUTED_VALUE"""),"")</f>
        <v/>
      </c>
      <c r="U1198" s="250" t="str">
        <f>IFERROR(__xludf.DUMMYFUNCTION("""COMPUTED_VALUE"""),"#N/A")</f>
        <v>#N/A</v>
      </c>
      <c r="V1198" s="250" t="str">
        <f>IFERROR(__xludf.DUMMYFUNCTION("""COMPUTED_VALUE"""),"#N/A")</f>
        <v>#N/A</v>
      </c>
      <c r="W1198" s="250" t="str">
        <f>IFERROR(__xludf.DUMMYFUNCTION("""COMPUTED_VALUE"""),"#N/A")</f>
        <v>#N/A</v>
      </c>
      <c r="X1198" t="b">
        <f t="shared" ref="X1198:Z1198" si="2372">ISBLANK(K1198)</f>
        <v>1</v>
      </c>
      <c r="Y1198" t="b">
        <f t="shared" si="2372"/>
        <v>0</v>
      </c>
      <c r="Z1198" t="b">
        <f t="shared" si="2372"/>
        <v>0</v>
      </c>
      <c r="AA1198">
        <f t="shared" ref="AA1198:AC1198" si="2373">IF(X1198=FALSE,1,0)</f>
        <v>0</v>
      </c>
      <c r="AB1198">
        <f t="shared" si="2373"/>
        <v>1</v>
      </c>
      <c r="AC1198">
        <f t="shared" si="2373"/>
        <v>1</v>
      </c>
      <c r="AD1198">
        <f t="shared" si="6"/>
        <v>2</v>
      </c>
      <c r="AE1198">
        <f t="shared" si="7"/>
        <v>1</v>
      </c>
    </row>
    <row r="1199">
      <c r="B1199" t="str">
        <f>IFERROR(__xludf.DUMMYFUNCTION("""COMPUTED_VALUE"""),"")</f>
        <v/>
      </c>
      <c r="C1199" t="str">
        <f>IFERROR(__xludf.DUMMYFUNCTION("""COMPUTED_VALUE"""),"")</f>
        <v/>
      </c>
      <c r="D1199" t="str">
        <f>IFERROR(__xludf.DUMMYFUNCTION("""COMPUTED_VALUE"""),"")</f>
        <v/>
      </c>
      <c r="E1199" t="str">
        <f>IFERROR(__xludf.DUMMYFUNCTION("""COMPUTED_VALUE"""),"")</f>
        <v/>
      </c>
      <c r="F1199" t="str">
        <f>IFERROR(__xludf.DUMMYFUNCTION("""COMPUTED_VALUE"""),"")</f>
        <v/>
      </c>
      <c r="G1199" t="str">
        <f>IFERROR(__xludf.DUMMYFUNCTION("""COMPUTED_VALUE"""),"")</f>
        <v/>
      </c>
      <c r="H1199" t="str">
        <f>IFERROR(__xludf.DUMMYFUNCTION("""COMPUTED_VALUE"""),"")</f>
        <v/>
      </c>
      <c r="I1199" t="str">
        <f>IFERROR(__xludf.DUMMYFUNCTION("""COMPUTED_VALUE"""),"")</f>
        <v/>
      </c>
      <c r="J1199">
        <f>IFERROR(__xludf.DUMMYFUNCTION("""COMPUTED_VALUE"""),0.0)</f>
        <v>0</v>
      </c>
      <c r="L1199" s="250" t="str">
        <f>IFERROR(__xludf.DUMMYFUNCTION("""COMPUTED_VALUE"""),"")</f>
        <v/>
      </c>
      <c r="M1199" s="250" t="str">
        <f>IFERROR(__xludf.DUMMYFUNCTION("""COMPUTED_VALUE"""),"")</f>
        <v/>
      </c>
      <c r="N1199" s="250" t="str">
        <f>IFERROR(__xludf.DUMMYFUNCTION("""COMPUTED_VALUE"""),"")</f>
        <v/>
      </c>
      <c r="O1199" s="250" t="str">
        <f>IFERROR(__xludf.DUMMYFUNCTION("""COMPUTED_VALUE"""),"")</f>
        <v/>
      </c>
      <c r="P1199" s="250" t="str">
        <f>IFERROR(__xludf.DUMMYFUNCTION("""COMPUTED_VALUE"""),"")</f>
        <v/>
      </c>
      <c r="Q1199" s="250" t="str">
        <f>IFERROR(__xludf.DUMMYFUNCTION("""COMPUTED_VALUE"""),"")</f>
        <v/>
      </c>
      <c r="R1199" s="250" t="str">
        <f>IFERROR(__xludf.DUMMYFUNCTION("""COMPUTED_VALUE"""),"")</f>
        <v/>
      </c>
      <c r="U1199" s="250" t="str">
        <f>IFERROR(__xludf.DUMMYFUNCTION("""COMPUTED_VALUE"""),"#N/A")</f>
        <v>#N/A</v>
      </c>
      <c r="V1199" s="250" t="str">
        <f>IFERROR(__xludf.DUMMYFUNCTION("""COMPUTED_VALUE"""),"#N/A")</f>
        <v>#N/A</v>
      </c>
      <c r="W1199" s="250" t="str">
        <f>IFERROR(__xludf.DUMMYFUNCTION("""COMPUTED_VALUE"""),"#N/A")</f>
        <v>#N/A</v>
      </c>
      <c r="X1199" t="b">
        <f t="shared" ref="X1199:Z1199" si="2374">ISBLANK(K1199)</f>
        <v>1</v>
      </c>
      <c r="Y1199" t="b">
        <f t="shared" si="2374"/>
        <v>0</v>
      </c>
      <c r="Z1199" t="b">
        <f t="shared" si="2374"/>
        <v>0</v>
      </c>
      <c r="AA1199">
        <f t="shared" ref="AA1199:AC1199" si="2375">IF(X1199=FALSE,1,0)</f>
        <v>0</v>
      </c>
      <c r="AB1199">
        <f t="shared" si="2375"/>
        <v>1</v>
      </c>
      <c r="AC1199">
        <f t="shared" si="2375"/>
        <v>1</v>
      </c>
      <c r="AD1199">
        <f t="shared" si="6"/>
        <v>2</v>
      </c>
      <c r="AE1199">
        <f t="shared" si="7"/>
        <v>1</v>
      </c>
    </row>
    <row r="1200">
      <c r="B1200" t="str">
        <f>IFERROR(__xludf.DUMMYFUNCTION("""COMPUTED_VALUE"""),"")</f>
        <v/>
      </c>
      <c r="C1200" t="str">
        <f>IFERROR(__xludf.DUMMYFUNCTION("""COMPUTED_VALUE"""),"")</f>
        <v/>
      </c>
      <c r="D1200" t="str">
        <f>IFERROR(__xludf.DUMMYFUNCTION("""COMPUTED_VALUE"""),"")</f>
        <v/>
      </c>
      <c r="E1200" t="str">
        <f>IFERROR(__xludf.DUMMYFUNCTION("""COMPUTED_VALUE"""),"")</f>
        <v/>
      </c>
      <c r="F1200" t="str">
        <f>IFERROR(__xludf.DUMMYFUNCTION("""COMPUTED_VALUE"""),"")</f>
        <v/>
      </c>
      <c r="G1200" t="str">
        <f>IFERROR(__xludf.DUMMYFUNCTION("""COMPUTED_VALUE"""),"")</f>
        <v/>
      </c>
      <c r="H1200" t="str">
        <f>IFERROR(__xludf.DUMMYFUNCTION("""COMPUTED_VALUE"""),"")</f>
        <v/>
      </c>
      <c r="I1200" t="str">
        <f>IFERROR(__xludf.DUMMYFUNCTION("""COMPUTED_VALUE"""),"")</f>
        <v/>
      </c>
      <c r="J1200">
        <f>IFERROR(__xludf.DUMMYFUNCTION("""COMPUTED_VALUE"""),0.0)</f>
        <v>0</v>
      </c>
      <c r="L1200" s="250" t="str">
        <f>IFERROR(__xludf.DUMMYFUNCTION("""COMPUTED_VALUE"""),"")</f>
        <v/>
      </c>
      <c r="M1200" s="250" t="str">
        <f>IFERROR(__xludf.DUMMYFUNCTION("""COMPUTED_VALUE"""),"")</f>
        <v/>
      </c>
      <c r="N1200" s="250" t="str">
        <f>IFERROR(__xludf.DUMMYFUNCTION("""COMPUTED_VALUE"""),"")</f>
        <v/>
      </c>
      <c r="O1200" s="250" t="str">
        <f>IFERROR(__xludf.DUMMYFUNCTION("""COMPUTED_VALUE"""),"")</f>
        <v/>
      </c>
      <c r="P1200" s="250" t="str">
        <f>IFERROR(__xludf.DUMMYFUNCTION("""COMPUTED_VALUE"""),"")</f>
        <v/>
      </c>
      <c r="Q1200" s="250" t="str">
        <f>IFERROR(__xludf.DUMMYFUNCTION("""COMPUTED_VALUE"""),"")</f>
        <v/>
      </c>
      <c r="R1200" s="250" t="str">
        <f>IFERROR(__xludf.DUMMYFUNCTION("""COMPUTED_VALUE"""),"")</f>
        <v/>
      </c>
      <c r="U1200" s="250" t="str">
        <f>IFERROR(__xludf.DUMMYFUNCTION("""COMPUTED_VALUE"""),"#N/A")</f>
        <v>#N/A</v>
      </c>
      <c r="V1200" s="250" t="str">
        <f>IFERROR(__xludf.DUMMYFUNCTION("""COMPUTED_VALUE"""),"#N/A")</f>
        <v>#N/A</v>
      </c>
      <c r="W1200" s="250" t="str">
        <f>IFERROR(__xludf.DUMMYFUNCTION("""COMPUTED_VALUE"""),"#N/A")</f>
        <v>#N/A</v>
      </c>
      <c r="X1200" t="b">
        <f t="shared" ref="X1200:Z1200" si="2376">ISBLANK(K1200)</f>
        <v>1</v>
      </c>
      <c r="Y1200" t="b">
        <f t="shared" si="2376"/>
        <v>0</v>
      </c>
      <c r="Z1200" t="b">
        <f t="shared" si="2376"/>
        <v>0</v>
      </c>
      <c r="AA1200">
        <f t="shared" ref="AA1200:AC1200" si="2377">IF(X1200=FALSE,1,0)</f>
        <v>0</v>
      </c>
      <c r="AB1200">
        <f t="shared" si="2377"/>
        <v>1</v>
      </c>
      <c r="AC1200">
        <f t="shared" si="2377"/>
        <v>1</v>
      </c>
      <c r="AD1200">
        <f t="shared" si="6"/>
        <v>2</v>
      </c>
      <c r="AE1200">
        <f t="shared" si="7"/>
        <v>1</v>
      </c>
    </row>
    <row r="1201">
      <c r="B1201" t="str">
        <f>IFERROR(__xludf.DUMMYFUNCTION("""COMPUTED_VALUE"""),"")</f>
        <v/>
      </c>
      <c r="C1201" t="str">
        <f>IFERROR(__xludf.DUMMYFUNCTION("""COMPUTED_VALUE"""),"")</f>
        <v/>
      </c>
      <c r="D1201" t="str">
        <f>IFERROR(__xludf.DUMMYFUNCTION("""COMPUTED_VALUE"""),"")</f>
        <v/>
      </c>
      <c r="E1201" t="str">
        <f>IFERROR(__xludf.DUMMYFUNCTION("""COMPUTED_VALUE"""),"")</f>
        <v/>
      </c>
      <c r="F1201" t="str">
        <f>IFERROR(__xludf.DUMMYFUNCTION("""COMPUTED_VALUE"""),"")</f>
        <v/>
      </c>
      <c r="G1201" t="str">
        <f>IFERROR(__xludf.DUMMYFUNCTION("""COMPUTED_VALUE"""),"")</f>
        <v/>
      </c>
      <c r="H1201" t="str">
        <f>IFERROR(__xludf.DUMMYFUNCTION("""COMPUTED_VALUE"""),"")</f>
        <v/>
      </c>
      <c r="I1201" t="str">
        <f>IFERROR(__xludf.DUMMYFUNCTION("""COMPUTED_VALUE"""),"")</f>
        <v/>
      </c>
      <c r="J1201">
        <f>IFERROR(__xludf.DUMMYFUNCTION("""COMPUTED_VALUE"""),0.0)</f>
        <v>0</v>
      </c>
      <c r="L1201" s="250" t="str">
        <f>IFERROR(__xludf.DUMMYFUNCTION("""COMPUTED_VALUE"""),"")</f>
        <v/>
      </c>
      <c r="M1201" s="250" t="str">
        <f>IFERROR(__xludf.DUMMYFUNCTION("""COMPUTED_VALUE"""),"")</f>
        <v/>
      </c>
      <c r="N1201" s="250" t="str">
        <f>IFERROR(__xludf.DUMMYFUNCTION("""COMPUTED_VALUE"""),"")</f>
        <v/>
      </c>
      <c r="O1201" s="250" t="str">
        <f>IFERROR(__xludf.DUMMYFUNCTION("""COMPUTED_VALUE"""),"")</f>
        <v/>
      </c>
      <c r="P1201" s="250" t="str">
        <f>IFERROR(__xludf.DUMMYFUNCTION("""COMPUTED_VALUE"""),"")</f>
        <v/>
      </c>
      <c r="Q1201" s="250" t="str">
        <f>IFERROR(__xludf.DUMMYFUNCTION("""COMPUTED_VALUE"""),"")</f>
        <v/>
      </c>
      <c r="R1201" s="250" t="str">
        <f>IFERROR(__xludf.DUMMYFUNCTION("""COMPUTED_VALUE"""),"")</f>
        <v/>
      </c>
      <c r="U1201" s="250" t="str">
        <f>IFERROR(__xludf.DUMMYFUNCTION("""COMPUTED_VALUE"""),"#N/A")</f>
        <v>#N/A</v>
      </c>
      <c r="V1201" s="250" t="str">
        <f>IFERROR(__xludf.DUMMYFUNCTION("""COMPUTED_VALUE"""),"#N/A")</f>
        <v>#N/A</v>
      </c>
      <c r="W1201" s="250" t="str">
        <f>IFERROR(__xludf.DUMMYFUNCTION("""COMPUTED_VALUE"""),"#N/A")</f>
        <v>#N/A</v>
      </c>
      <c r="X1201" t="b">
        <f t="shared" ref="X1201:Z1201" si="2378">ISBLANK(K1201)</f>
        <v>1</v>
      </c>
      <c r="Y1201" t="b">
        <f t="shared" si="2378"/>
        <v>0</v>
      </c>
      <c r="Z1201" t="b">
        <f t="shared" si="2378"/>
        <v>0</v>
      </c>
      <c r="AA1201">
        <f t="shared" ref="AA1201:AC1201" si="2379">IF(X1201=FALSE,1,0)</f>
        <v>0</v>
      </c>
      <c r="AB1201">
        <f t="shared" si="2379"/>
        <v>1</v>
      </c>
      <c r="AC1201">
        <f t="shared" si="2379"/>
        <v>1</v>
      </c>
      <c r="AD1201">
        <f t="shared" si="6"/>
        <v>2</v>
      </c>
      <c r="AE1201">
        <f t="shared" si="7"/>
        <v>1</v>
      </c>
    </row>
    <row r="1202">
      <c r="B1202" t="str">
        <f>IFERROR(__xludf.DUMMYFUNCTION("""COMPUTED_VALUE"""),"")</f>
        <v/>
      </c>
      <c r="C1202" t="str">
        <f>IFERROR(__xludf.DUMMYFUNCTION("""COMPUTED_VALUE"""),"")</f>
        <v/>
      </c>
      <c r="D1202" t="str">
        <f>IFERROR(__xludf.DUMMYFUNCTION("""COMPUTED_VALUE"""),"")</f>
        <v/>
      </c>
      <c r="E1202" t="str">
        <f>IFERROR(__xludf.DUMMYFUNCTION("""COMPUTED_VALUE"""),"")</f>
        <v/>
      </c>
      <c r="F1202" t="str">
        <f>IFERROR(__xludf.DUMMYFUNCTION("""COMPUTED_VALUE"""),"")</f>
        <v/>
      </c>
      <c r="G1202" t="str">
        <f>IFERROR(__xludf.DUMMYFUNCTION("""COMPUTED_VALUE"""),"")</f>
        <v/>
      </c>
      <c r="H1202" t="str">
        <f>IFERROR(__xludf.DUMMYFUNCTION("""COMPUTED_VALUE"""),"")</f>
        <v/>
      </c>
      <c r="I1202" t="str">
        <f>IFERROR(__xludf.DUMMYFUNCTION("""COMPUTED_VALUE"""),"")</f>
        <v/>
      </c>
      <c r="J1202">
        <f>IFERROR(__xludf.DUMMYFUNCTION("""COMPUTED_VALUE"""),0.0)</f>
        <v>0</v>
      </c>
      <c r="L1202" s="250" t="str">
        <f>IFERROR(__xludf.DUMMYFUNCTION("""COMPUTED_VALUE"""),"")</f>
        <v/>
      </c>
      <c r="M1202" s="250" t="str">
        <f>IFERROR(__xludf.DUMMYFUNCTION("""COMPUTED_VALUE"""),"")</f>
        <v/>
      </c>
      <c r="N1202" s="250" t="str">
        <f>IFERROR(__xludf.DUMMYFUNCTION("""COMPUTED_VALUE"""),"")</f>
        <v/>
      </c>
      <c r="O1202" s="250" t="str">
        <f>IFERROR(__xludf.DUMMYFUNCTION("""COMPUTED_VALUE"""),"")</f>
        <v/>
      </c>
      <c r="P1202" s="250" t="str">
        <f>IFERROR(__xludf.DUMMYFUNCTION("""COMPUTED_VALUE"""),"")</f>
        <v/>
      </c>
      <c r="Q1202" s="250" t="str">
        <f>IFERROR(__xludf.DUMMYFUNCTION("""COMPUTED_VALUE"""),"")</f>
        <v/>
      </c>
      <c r="R1202" s="250" t="str">
        <f>IFERROR(__xludf.DUMMYFUNCTION("""COMPUTED_VALUE"""),"")</f>
        <v/>
      </c>
      <c r="U1202" s="250" t="str">
        <f>IFERROR(__xludf.DUMMYFUNCTION("""COMPUTED_VALUE"""),"#N/A")</f>
        <v>#N/A</v>
      </c>
      <c r="V1202" s="250" t="str">
        <f>IFERROR(__xludf.DUMMYFUNCTION("""COMPUTED_VALUE"""),"#N/A")</f>
        <v>#N/A</v>
      </c>
      <c r="W1202" s="250" t="str">
        <f>IFERROR(__xludf.DUMMYFUNCTION("""COMPUTED_VALUE"""),"#N/A")</f>
        <v>#N/A</v>
      </c>
      <c r="X1202" t="b">
        <f t="shared" ref="X1202:Z1202" si="2380">ISBLANK(K1202)</f>
        <v>1</v>
      </c>
      <c r="Y1202" t="b">
        <f t="shared" si="2380"/>
        <v>0</v>
      </c>
      <c r="Z1202" t="b">
        <f t="shared" si="2380"/>
        <v>0</v>
      </c>
      <c r="AA1202">
        <f t="shared" ref="AA1202:AC1202" si="2381">IF(X1202=FALSE,1,0)</f>
        <v>0</v>
      </c>
      <c r="AB1202">
        <f t="shared" si="2381"/>
        <v>1</v>
      </c>
      <c r="AC1202">
        <f t="shared" si="2381"/>
        <v>1</v>
      </c>
      <c r="AD1202">
        <f t="shared" si="6"/>
        <v>2</v>
      </c>
      <c r="AE1202">
        <f t="shared" si="7"/>
        <v>1</v>
      </c>
    </row>
    <row r="1203">
      <c r="B1203" t="str">
        <f>IFERROR(__xludf.DUMMYFUNCTION("""COMPUTED_VALUE"""),"")</f>
        <v/>
      </c>
      <c r="C1203" t="str">
        <f>IFERROR(__xludf.DUMMYFUNCTION("""COMPUTED_VALUE"""),"")</f>
        <v/>
      </c>
      <c r="D1203" t="str">
        <f>IFERROR(__xludf.DUMMYFUNCTION("""COMPUTED_VALUE"""),"")</f>
        <v/>
      </c>
      <c r="E1203" t="str">
        <f>IFERROR(__xludf.DUMMYFUNCTION("""COMPUTED_VALUE"""),"")</f>
        <v/>
      </c>
      <c r="F1203" t="str">
        <f>IFERROR(__xludf.DUMMYFUNCTION("""COMPUTED_VALUE"""),"")</f>
        <v/>
      </c>
      <c r="G1203" t="str">
        <f>IFERROR(__xludf.DUMMYFUNCTION("""COMPUTED_VALUE"""),"")</f>
        <v/>
      </c>
      <c r="H1203" t="str">
        <f>IFERROR(__xludf.DUMMYFUNCTION("""COMPUTED_VALUE"""),"")</f>
        <v/>
      </c>
      <c r="I1203" t="str">
        <f>IFERROR(__xludf.DUMMYFUNCTION("""COMPUTED_VALUE"""),"")</f>
        <v/>
      </c>
      <c r="J1203">
        <f>IFERROR(__xludf.DUMMYFUNCTION("""COMPUTED_VALUE"""),0.0)</f>
        <v>0</v>
      </c>
      <c r="L1203" s="250" t="str">
        <f>IFERROR(__xludf.DUMMYFUNCTION("""COMPUTED_VALUE"""),"")</f>
        <v/>
      </c>
      <c r="M1203" s="250" t="str">
        <f>IFERROR(__xludf.DUMMYFUNCTION("""COMPUTED_VALUE"""),"")</f>
        <v/>
      </c>
      <c r="N1203" s="250" t="str">
        <f>IFERROR(__xludf.DUMMYFUNCTION("""COMPUTED_VALUE"""),"")</f>
        <v/>
      </c>
      <c r="O1203" s="250" t="str">
        <f>IFERROR(__xludf.DUMMYFUNCTION("""COMPUTED_VALUE"""),"")</f>
        <v/>
      </c>
      <c r="P1203" s="250" t="str">
        <f>IFERROR(__xludf.DUMMYFUNCTION("""COMPUTED_VALUE"""),"")</f>
        <v/>
      </c>
      <c r="Q1203" s="250" t="str">
        <f>IFERROR(__xludf.DUMMYFUNCTION("""COMPUTED_VALUE"""),"")</f>
        <v/>
      </c>
      <c r="R1203" s="250" t="str">
        <f>IFERROR(__xludf.DUMMYFUNCTION("""COMPUTED_VALUE"""),"")</f>
        <v/>
      </c>
      <c r="U1203" s="250" t="str">
        <f>IFERROR(__xludf.DUMMYFUNCTION("""COMPUTED_VALUE"""),"#N/A")</f>
        <v>#N/A</v>
      </c>
      <c r="V1203" s="250" t="str">
        <f>IFERROR(__xludf.DUMMYFUNCTION("""COMPUTED_VALUE"""),"#N/A")</f>
        <v>#N/A</v>
      </c>
      <c r="W1203" s="250" t="str">
        <f>IFERROR(__xludf.DUMMYFUNCTION("""COMPUTED_VALUE"""),"#N/A")</f>
        <v>#N/A</v>
      </c>
      <c r="X1203" t="b">
        <f t="shared" ref="X1203:Z1203" si="2382">ISBLANK(K1203)</f>
        <v>1</v>
      </c>
      <c r="Y1203" t="b">
        <f t="shared" si="2382"/>
        <v>0</v>
      </c>
      <c r="Z1203" t="b">
        <f t="shared" si="2382"/>
        <v>0</v>
      </c>
      <c r="AA1203">
        <f t="shared" ref="AA1203:AC1203" si="2383">IF(X1203=FALSE,1,0)</f>
        <v>0</v>
      </c>
      <c r="AB1203">
        <f t="shared" si="2383"/>
        <v>1</v>
      </c>
      <c r="AC1203">
        <f t="shared" si="2383"/>
        <v>1</v>
      </c>
      <c r="AD1203">
        <f t="shared" si="6"/>
        <v>2</v>
      </c>
      <c r="AE1203">
        <f t="shared" si="7"/>
        <v>1</v>
      </c>
    </row>
    <row r="1204">
      <c r="B1204" t="str">
        <f>IFERROR(__xludf.DUMMYFUNCTION("""COMPUTED_VALUE"""),"")</f>
        <v/>
      </c>
      <c r="C1204" t="str">
        <f>IFERROR(__xludf.DUMMYFUNCTION("""COMPUTED_VALUE"""),"")</f>
        <v/>
      </c>
      <c r="D1204" t="str">
        <f>IFERROR(__xludf.DUMMYFUNCTION("""COMPUTED_VALUE"""),"")</f>
        <v/>
      </c>
      <c r="E1204" t="str">
        <f>IFERROR(__xludf.DUMMYFUNCTION("""COMPUTED_VALUE"""),"")</f>
        <v/>
      </c>
      <c r="F1204" t="str">
        <f>IFERROR(__xludf.DUMMYFUNCTION("""COMPUTED_VALUE"""),"")</f>
        <v/>
      </c>
      <c r="G1204" t="str">
        <f>IFERROR(__xludf.DUMMYFUNCTION("""COMPUTED_VALUE"""),"")</f>
        <v/>
      </c>
      <c r="H1204" t="str">
        <f>IFERROR(__xludf.DUMMYFUNCTION("""COMPUTED_VALUE"""),"")</f>
        <v/>
      </c>
      <c r="I1204" t="str">
        <f>IFERROR(__xludf.DUMMYFUNCTION("""COMPUTED_VALUE"""),"")</f>
        <v/>
      </c>
      <c r="J1204">
        <f>IFERROR(__xludf.DUMMYFUNCTION("""COMPUTED_VALUE"""),0.0)</f>
        <v>0</v>
      </c>
      <c r="L1204" s="250" t="str">
        <f>IFERROR(__xludf.DUMMYFUNCTION("""COMPUTED_VALUE"""),"")</f>
        <v/>
      </c>
      <c r="M1204" s="250" t="str">
        <f>IFERROR(__xludf.DUMMYFUNCTION("""COMPUTED_VALUE"""),"")</f>
        <v/>
      </c>
      <c r="N1204" s="250" t="str">
        <f>IFERROR(__xludf.DUMMYFUNCTION("""COMPUTED_VALUE"""),"")</f>
        <v/>
      </c>
      <c r="O1204" s="250" t="str">
        <f>IFERROR(__xludf.DUMMYFUNCTION("""COMPUTED_VALUE"""),"")</f>
        <v/>
      </c>
      <c r="P1204" s="250" t="str">
        <f>IFERROR(__xludf.DUMMYFUNCTION("""COMPUTED_VALUE"""),"")</f>
        <v/>
      </c>
      <c r="Q1204" s="250" t="str">
        <f>IFERROR(__xludf.DUMMYFUNCTION("""COMPUTED_VALUE"""),"")</f>
        <v/>
      </c>
      <c r="R1204" s="250" t="str">
        <f>IFERROR(__xludf.DUMMYFUNCTION("""COMPUTED_VALUE"""),"")</f>
        <v/>
      </c>
      <c r="U1204" s="250" t="str">
        <f>IFERROR(__xludf.DUMMYFUNCTION("""COMPUTED_VALUE"""),"#N/A")</f>
        <v>#N/A</v>
      </c>
      <c r="V1204" s="250" t="str">
        <f>IFERROR(__xludf.DUMMYFUNCTION("""COMPUTED_VALUE"""),"#N/A")</f>
        <v>#N/A</v>
      </c>
      <c r="W1204" s="250" t="str">
        <f>IFERROR(__xludf.DUMMYFUNCTION("""COMPUTED_VALUE"""),"#N/A")</f>
        <v>#N/A</v>
      </c>
      <c r="X1204" t="b">
        <f t="shared" ref="X1204:Z1204" si="2384">ISBLANK(K1204)</f>
        <v>1</v>
      </c>
      <c r="Y1204" t="b">
        <f t="shared" si="2384"/>
        <v>0</v>
      </c>
      <c r="Z1204" t="b">
        <f t="shared" si="2384"/>
        <v>0</v>
      </c>
      <c r="AA1204">
        <f t="shared" ref="AA1204:AC1204" si="2385">IF(X1204=FALSE,1,0)</f>
        <v>0</v>
      </c>
      <c r="AB1204">
        <f t="shared" si="2385"/>
        <v>1</v>
      </c>
      <c r="AC1204">
        <f t="shared" si="2385"/>
        <v>1</v>
      </c>
      <c r="AD1204">
        <f t="shared" si="6"/>
        <v>2</v>
      </c>
      <c r="AE1204">
        <f t="shared" si="7"/>
        <v>1</v>
      </c>
    </row>
    <row r="1205">
      <c r="B1205" t="str">
        <f>IFERROR(__xludf.DUMMYFUNCTION("""COMPUTED_VALUE"""),"")</f>
        <v/>
      </c>
      <c r="C1205" t="str">
        <f>IFERROR(__xludf.DUMMYFUNCTION("""COMPUTED_VALUE"""),"")</f>
        <v/>
      </c>
      <c r="D1205" t="str">
        <f>IFERROR(__xludf.DUMMYFUNCTION("""COMPUTED_VALUE"""),"")</f>
        <v/>
      </c>
      <c r="E1205" t="str">
        <f>IFERROR(__xludf.DUMMYFUNCTION("""COMPUTED_VALUE"""),"")</f>
        <v/>
      </c>
      <c r="F1205" t="str">
        <f>IFERROR(__xludf.DUMMYFUNCTION("""COMPUTED_VALUE"""),"")</f>
        <v/>
      </c>
      <c r="G1205" t="str">
        <f>IFERROR(__xludf.DUMMYFUNCTION("""COMPUTED_VALUE"""),"")</f>
        <v/>
      </c>
      <c r="H1205" t="str">
        <f>IFERROR(__xludf.DUMMYFUNCTION("""COMPUTED_VALUE"""),"")</f>
        <v/>
      </c>
      <c r="I1205" t="str">
        <f>IFERROR(__xludf.DUMMYFUNCTION("""COMPUTED_VALUE"""),"")</f>
        <v/>
      </c>
      <c r="J1205">
        <f>IFERROR(__xludf.DUMMYFUNCTION("""COMPUTED_VALUE"""),0.0)</f>
        <v>0</v>
      </c>
      <c r="L1205" s="250" t="str">
        <f>IFERROR(__xludf.DUMMYFUNCTION("""COMPUTED_VALUE"""),"")</f>
        <v/>
      </c>
      <c r="M1205" s="250" t="str">
        <f>IFERROR(__xludf.DUMMYFUNCTION("""COMPUTED_VALUE"""),"")</f>
        <v/>
      </c>
      <c r="N1205" s="250" t="str">
        <f>IFERROR(__xludf.DUMMYFUNCTION("""COMPUTED_VALUE"""),"")</f>
        <v/>
      </c>
      <c r="O1205" s="250" t="str">
        <f>IFERROR(__xludf.DUMMYFUNCTION("""COMPUTED_VALUE"""),"")</f>
        <v/>
      </c>
      <c r="P1205" s="250" t="str">
        <f>IFERROR(__xludf.DUMMYFUNCTION("""COMPUTED_VALUE"""),"")</f>
        <v/>
      </c>
      <c r="Q1205" s="250" t="str">
        <f>IFERROR(__xludf.DUMMYFUNCTION("""COMPUTED_VALUE"""),"")</f>
        <v/>
      </c>
      <c r="R1205" s="250" t="str">
        <f>IFERROR(__xludf.DUMMYFUNCTION("""COMPUTED_VALUE"""),"")</f>
        <v/>
      </c>
      <c r="U1205" s="250" t="str">
        <f>IFERROR(__xludf.DUMMYFUNCTION("""COMPUTED_VALUE"""),"#N/A")</f>
        <v>#N/A</v>
      </c>
      <c r="V1205" s="250" t="str">
        <f>IFERROR(__xludf.DUMMYFUNCTION("""COMPUTED_VALUE"""),"#N/A")</f>
        <v>#N/A</v>
      </c>
      <c r="W1205" s="250" t="str">
        <f>IFERROR(__xludf.DUMMYFUNCTION("""COMPUTED_VALUE"""),"#N/A")</f>
        <v>#N/A</v>
      </c>
      <c r="X1205" t="b">
        <f t="shared" ref="X1205:Z1205" si="2386">ISBLANK(K1205)</f>
        <v>1</v>
      </c>
      <c r="Y1205" t="b">
        <f t="shared" si="2386"/>
        <v>0</v>
      </c>
      <c r="Z1205" t="b">
        <f t="shared" si="2386"/>
        <v>0</v>
      </c>
      <c r="AA1205">
        <f t="shared" ref="AA1205:AC1205" si="2387">IF(X1205=FALSE,1,0)</f>
        <v>0</v>
      </c>
      <c r="AB1205">
        <f t="shared" si="2387"/>
        <v>1</v>
      </c>
      <c r="AC1205">
        <f t="shared" si="2387"/>
        <v>1</v>
      </c>
      <c r="AD1205">
        <f t="shared" si="6"/>
        <v>2</v>
      </c>
      <c r="AE1205">
        <f t="shared" si="7"/>
        <v>1</v>
      </c>
    </row>
    <row r="1206">
      <c r="B1206" t="str">
        <f>IFERROR(__xludf.DUMMYFUNCTION("""COMPUTED_VALUE"""),"")</f>
        <v/>
      </c>
      <c r="C1206" t="str">
        <f>IFERROR(__xludf.DUMMYFUNCTION("""COMPUTED_VALUE"""),"")</f>
        <v/>
      </c>
      <c r="D1206" t="str">
        <f>IFERROR(__xludf.DUMMYFUNCTION("""COMPUTED_VALUE"""),"")</f>
        <v/>
      </c>
      <c r="E1206" t="str">
        <f>IFERROR(__xludf.DUMMYFUNCTION("""COMPUTED_VALUE"""),"")</f>
        <v/>
      </c>
      <c r="F1206" t="str">
        <f>IFERROR(__xludf.DUMMYFUNCTION("""COMPUTED_VALUE"""),"")</f>
        <v/>
      </c>
      <c r="G1206" t="str">
        <f>IFERROR(__xludf.DUMMYFUNCTION("""COMPUTED_VALUE"""),"")</f>
        <v/>
      </c>
      <c r="H1206" t="str">
        <f>IFERROR(__xludf.DUMMYFUNCTION("""COMPUTED_VALUE"""),"")</f>
        <v/>
      </c>
      <c r="I1206" t="str">
        <f>IFERROR(__xludf.DUMMYFUNCTION("""COMPUTED_VALUE"""),"")</f>
        <v/>
      </c>
      <c r="J1206">
        <f>IFERROR(__xludf.DUMMYFUNCTION("""COMPUTED_VALUE"""),0.0)</f>
        <v>0</v>
      </c>
      <c r="L1206" s="250" t="str">
        <f>IFERROR(__xludf.DUMMYFUNCTION("""COMPUTED_VALUE"""),"")</f>
        <v/>
      </c>
      <c r="M1206" s="250" t="str">
        <f>IFERROR(__xludf.DUMMYFUNCTION("""COMPUTED_VALUE"""),"")</f>
        <v/>
      </c>
      <c r="N1206" s="250" t="str">
        <f>IFERROR(__xludf.DUMMYFUNCTION("""COMPUTED_VALUE"""),"")</f>
        <v/>
      </c>
      <c r="O1206" s="250" t="str">
        <f>IFERROR(__xludf.DUMMYFUNCTION("""COMPUTED_VALUE"""),"")</f>
        <v/>
      </c>
      <c r="P1206" s="250" t="str">
        <f>IFERROR(__xludf.DUMMYFUNCTION("""COMPUTED_VALUE"""),"")</f>
        <v/>
      </c>
      <c r="Q1206" s="250" t="str">
        <f>IFERROR(__xludf.DUMMYFUNCTION("""COMPUTED_VALUE"""),"")</f>
        <v/>
      </c>
      <c r="R1206" s="250" t="str">
        <f>IFERROR(__xludf.DUMMYFUNCTION("""COMPUTED_VALUE"""),"")</f>
        <v/>
      </c>
      <c r="U1206" s="250" t="str">
        <f>IFERROR(__xludf.DUMMYFUNCTION("""COMPUTED_VALUE"""),"#N/A")</f>
        <v>#N/A</v>
      </c>
      <c r="V1206" s="250" t="str">
        <f>IFERROR(__xludf.DUMMYFUNCTION("""COMPUTED_VALUE"""),"#N/A")</f>
        <v>#N/A</v>
      </c>
      <c r="W1206" s="250" t="str">
        <f>IFERROR(__xludf.DUMMYFUNCTION("""COMPUTED_VALUE"""),"#N/A")</f>
        <v>#N/A</v>
      </c>
      <c r="X1206" t="b">
        <f t="shared" ref="X1206:Z1206" si="2388">ISBLANK(K1206)</f>
        <v>1</v>
      </c>
      <c r="Y1206" t="b">
        <f t="shared" si="2388"/>
        <v>0</v>
      </c>
      <c r="Z1206" t="b">
        <f t="shared" si="2388"/>
        <v>0</v>
      </c>
      <c r="AA1206">
        <f t="shared" ref="AA1206:AC1206" si="2389">IF(X1206=FALSE,1,0)</f>
        <v>0</v>
      </c>
      <c r="AB1206">
        <f t="shared" si="2389"/>
        <v>1</v>
      </c>
      <c r="AC1206">
        <f t="shared" si="2389"/>
        <v>1</v>
      </c>
      <c r="AD1206">
        <f t="shared" si="6"/>
        <v>2</v>
      </c>
      <c r="AE1206">
        <f t="shared" si="7"/>
        <v>1</v>
      </c>
    </row>
    <row r="1207">
      <c r="B1207" t="str">
        <f>IFERROR(__xludf.DUMMYFUNCTION("""COMPUTED_VALUE"""),"")</f>
        <v/>
      </c>
      <c r="C1207" t="str">
        <f>IFERROR(__xludf.DUMMYFUNCTION("""COMPUTED_VALUE"""),"")</f>
        <v/>
      </c>
      <c r="D1207" t="str">
        <f>IFERROR(__xludf.DUMMYFUNCTION("""COMPUTED_VALUE"""),"")</f>
        <v/>
      </c>
      <c r="E1207" t="str">
        <f>IFERROR(__xludf.DUMMYFUNCTION("""COMPUTED_VALUE"""),"")</f>
        <v/>
      </c>
      <c r="F1207" t="str">
        <f>IFERROR(__xludf.DUMMYFUNCTION("""COMPUTED_VALUE"""),"")</f>
        <v/>
      </c>
      <c r="G1207" t="str">
        <f>IFERROR(__xludf.DUMMYFUNCTION("""COMPUTED_VALUE"""),"")</f>
        <v/>
      </c>
      <c r="H1207" t="str">
        <f>IFERROR(__xludf.DUMMYFUNCTION("""COMPUTED_VALUE"""),"")</f>
        <v/>
      </c>
      <c r="I1207" t="str">
        <f>IFERROR(__xludf.DUMMYFUNCTION("""COMPUTED_VALUE"""),"")</f>
        <v/>
      </c>
      <c r="J1207">
        <f>IFERROR(__xludf.DUMMYFUNCTION("""COMPUTED_VALUE"""),0.0)</f>
        <v>0</v>
      </c>
      <c r="L1207" s="250" t="str">
        <f>IFERROR(__xludf.DUMMYFUNCTION("""COMPUTED_VALUE"""),"")</f>
        <v/>
      </c>
      <c r="M1207" s="250" t="str">
        <f>IFERROR(__xludf.DUMMYFUNCTION("""COMPUTED_VALUE"""),"")</f>
        <v/>
      </c>
      <c r="N1207" s="250" t="str">
        <f>IFERROR(__xludf.DUMMYFUNCTION("""COMPUTED_VALUE"""),"")</f>
        <v/>
      </c>
      <c r="O1207" s="250" t="str">
        <f>IFERROR(__xludf.DUMMYFUNCTION("""COMPUTED_VALUE"""),"")</f>
        <v/>
      </c>
      <c r="P1207" s="250" t="str">
        <f>IFERROR(__xludf.DUMMYFUNCTION("""COMPUTED_VALUE"""),"")</f>
        <v/>
      </c>
      <c r="Q1207" s="250" t="str">
        <f>IFERROR(__xludf.DUMMYFUNCTION("""COMPUTED_VALUE"""),"")</f>
        <v/>
      </c>
      <c r="R1207" s="250" t="str">
        <f>IFERROR(__xludf.DUMMYFUNCTION("""COMPUTED_VALUE"""),"")</f>
        <v/>
      </c>
      <c r="U1207" s="250" t="str">
        <f>IFERROR(__xludf.DUMMYFUNCTION("""COMPUTED_VALUE"""),"#N/A")</f>
        <v>#N/A</v>
      </c>
      <c r="V1207" s="250" t="str">
        <f>IFERROR(__xludf.DUMMYFUNCTION("""COMPUTED_VALUE"""),"#N/A")</f>
        <v>#N/A</v>
      </c>
      <c r="W1207" s="250" t="str">
        <f>IFERROR(__xludf.DUMMYFUNCTION("""COMPUTED_VALUE"""),"#N/A")</f>
        <v>#N/A</v>
      </c>
      <c r="X1207" t="b">
        <f t="shared" ref="X1207:Z1207" si="2390">ISBLANK(K1207)</f>
        <v>1</v>
      </c>
      <c r="Y1207" t="b">
        <f t="shared" si="2390"/>
        <v>0</v>
      </c>
      <c r="Z1207" t="b">
        <f t="shared" si="2390"/>
        <v>0</v>
      </c>
      <c r="AA1207">
        <f t="shared" ref="AA1207:AC1207" si="2391">IF(X1207=FALSE,1,0)</f>
        <v>0</v>
      </c>
      <c r="AB1207">
        <f t="shared" si="2391"/>
        <v>1</v>
      </c>
      <c r="AC1207">
        <f t="shared" si="2391"/>
        <v>1</v>
      </c>
      <c r="AD1207">
        <f t="shared" si="6"/>
        <v>2</v>
      </c>
      <c r="AE1207">
        <f t="shared" si="7"/>
        <v>1</v>
      </c>
    </row>
    <row r="1208">
      <c r="B1208" t="str">
        <f>IFERROR(__xludf.DUMMYFUNCTION("""COMPUTED_VALUE"""),"")</f>
        <v/>
      </c>
      <c r="C1208" t="str">
        <f>IFERROR(__xludf.DUMMYFUNCTION("""COMPUTED_VALUE"""),"")</f>
        <v/>
      </c>
      <c r="D1208" t="str">
        <f>IFERROR(__xludf.DUMMYFUNCTION("""COMPUTED_VALUE"""),"")</f>
        <v/>
      </c>
      <c r="E1208" t="str">
        <f>IFERROR(__xludf.DUMMYFUNCTION("""COMPUTED_VALUE"""),"")</f>
        <v/>
      </c>
      <c r="F1208" t="str">
        <f>IFERROR(__xludf.DUMMYFUNCTION("""COMPUTED_VALUE"""),"")</f>
        <v/>
      </c>
      <c r="G1208" t="str">
        <f>IFERROR(__xludf.DUMMYFUNCTION("""COMPUTED_VALUE"""),"")</f>
        <v/>
      </c>
      <c r="H1208" t="str">
        <f>IFERROR(__xludf.DUMMYFUNCTION("""COMPUTED_VALUE"""),"")</f>
        <v/>
      </c>
      <c r="I1208" t="str">
        <f>IFERROR(__xludf.DUMMYFUNCTION("""COMPUTED_VALUE"""),"")</f>
        <v/>
      </c>
      <c r="J1208">
        <f>IFERROR(__xludf.DUMMYFUNCTION("""COMPUTED_VALUE"""),0.0)</f>
        <v>0</v>
      </c>
      <c r="L1208" s="250" t="str">
        <f>IFERROR(__xludf.DUMMYFUNCTION("""COMPUTED_VALUE"""),"")</f>
        <v/>
      </c>
      <c r="M1208" s="250" t="str">
        <f>IFERROR(__xludf.DUMMYFUNCTION("""COMPUTED_VALUE"""),"")</f>
        <v/>
      </c>
      <c r="N1208" s="250" t="str">
        <f>IFERROR(__xludf.DUMMYFUNCTION("""COMPUTED_VALUE"""),"")</f>
        <v/>
      </c>
      <c r="O1208" s="250" t="str">
        <f>IFERROR(__xludf.DUMMYFUNCTION("""COMPUTED_VALUE"""),"")</f>
        <v/>
      </c>
      <c r="P1208" s="250" t="str">
        <f>IFERROR(__xludf.DUMMYFUNCTION("""COMPUTED_VALUE"""),"")</f>
        <v/>
      </c>
      <c r="Q1208" s="250" t="str">
        <f>IFERROR(__xludf.DUMMYFUNCTION("""COMPUTED_VALUE"""),"")</f>
        <v/>
      </c>
      <c r="R1208" s="250" t="str">
        <f>IFERROR(__xludf.DUMMYFUNCTION("""COMPUTED_VALUE"""),"")</f>
        <v/>
      </c>
      <c r="U1208" s="250" t="str">
        <f>IFERROR(__xludf.DUMMYFUNCTION("""COMPUTED_VALUE"""),"#N/A")</f>
        <v>#N/A</v>
      </c>
      <c r="V1208" s="250" t="str">
        <f>IFERROR(__xludf.DUMMYFUNCTION("""COMPUTED_VALUE"""),"#N/A")</f>
        <v>#N/A</v>
      </c>
      <c r="W1208" s="250" t="str">
        <f>IFERROR(__xludf.DUMMYFUNCTION("""COMPUTED_VALUE"""),"#N/A")</f>
        <v>#N/A</v>
      </c>
      <c r="X1208" t="b">
        <f t="shared" ref="X1208:Z1208" si="2392">ISBLANK(K1208)</f>
        <v>1</v>
      </c>
      <c r="Y1208" t="b">
        <f t="shared" si="2392"/>
        <v>0</v>
      </c>
      <c r="Z1208" t="b">
        <f t="shared" si="2392"/>
        <v>0</v>
      </c>
      <c r="AA1208">
        <f t="shared" ref="AA1208:AC1208" si="2393">IF(X1208=FALSE,1,0)</f>
        <v>0</v>
      </c>
      <c r="AB1208">
        <f t="shared" si="2393"/>
        <v>1</v>
      </c>
      <c r="AC1208">
        <f t="shared" si="2393"/>
        <v>1</v>
      </c>
      <c r="AD1208">
        <f t="shared" si="6"/>
        <v>2</v>
      </c>
      <c r="AE1208">
        <f t="shared" si="7"/>
        <v>1</v>
      </c>
    </row>
    <row r="1209">
      <c r="B1209" t="str">
        <f>IFERROR(__xludf.DUMMYFUNCTION("""COMPUTED_VALUE"""),"")</f>
        <v/>
      </c>
      <c r="C1209" t="str">
        <f>IFERROR(__xludf.DUMMYFUNCTION("""COMPUTED_VALUE"""),"")</f>
        <v/>
      </c>
      <c r="D1209" t="str">
        <f>IFERROR(__xludf.DUMMYFUNCTION("""COMPUTED_VALUE"""),"")</f>
        <v/>
      </c>
      <c r="E1209" t="str">
        <f>IFERROR(__xludf.DUMMYFUNCTION("""COMPUTED_VALUE"""),"")</f>
        <v/>
      </c>
      <c r="F1209" t="str">
        <f>IFERROR(__xludf.DUMMYFUNCTION("""COMPUTED_VALUE"""),"")</f>
        <v/>
      </c>
      <c r="G1209" t="str">
        <f>IFERROR(__xludf.DUMMYFUNCTION("""COMPUTED_VALUE"""),"")</f>
        <v/>
      </c>
      <c r="H1209" t="str">
        <f>IFERROR(__xludf.DUMMYFUNCTION("""COMPUTED_VALUE"""),"")</f>
        <v/>
      </c>
      <c r="I1209" t="str">
        <f>IFERROR(__xludf.DUMMYFUNCTION("""COMPUTED_VALUE"""),"")</f>
        <v/>
      </c>
      <c r="J1209">
        <f>IFERROR(__xludf.DUMMYFUNCTION("""COMPUTED_VALUE"""),0.0)</f>
        <v>0</v>
      </c>
      <c r="L1209" s="250" t="str">
        <f>IFERROR(__xludf.DUMMYFUNCTION("""COMPUTED_VALUE"""),"")</f>
        <v/>
      </c>
      <c r="M1209" s="250" t="str">
        <f>IFERROR(__xludf.DUMMYFUNCTION("""COMPUTED_VALUE"""),"")</f>
        <v/>
      </c>
      <c r="N1209" s="250" t="str">
        <f>IFERROR(__xludf.DUMMYFUNCTION("""COMPUTED_VALUE"""),"")</f>
        <v/>
      </c>
      <c r="O1209" s="250" t="str">
        <f>IFERROR(__xludf.DUMMYFUNCTION("""COMPUTED_VALUE"""),"")</f>
        <v/>
      </c>
      <c r="P1209" s="250" t="str">
        <f>IFERROR(__xludf.DUMMYFUNCTION("""COMPUTED_VALUE"""),"")</f>
        <v/>
      </c>
      <c r="Q1209" s="250" t="str">
        <f>IFERROR(__xludf.DUMMYFUNCTION("""COMPUTED_VALUE"""),"")</f>
        <v/>
      </c>
      <c r="R1209" s="250" t="str">
        <f>IFERROR(__xludf.DUMMYFUNCTION("""COMPUTED_VALUE"""),"")</f>
        <v/>
      </c>
      <c r="U1209" s="250" t="str">
        <f>IFERROR(__xludf.DUMMYFUNCTION("""COMPUTED_VALUE"""),"#N/A")</f>
        <v>#N/A</v>
      </c>
      <c r="V1209" s="250" t="str">
        <f>IFERROR(__xludf.DUMMYFUNCTION("""COMPUTED_VALUE"""),"#N/A")</f>
        <v>#N/A</v>
      </c>
      <c r="W1209" s="250" t="str">
        <f>IFERROR(__xludf.DUMMYFUNCTION("""COMPUTED_VALUE"""),"#N/A")</f>
        <v>#N/A</v>
      </c>
      <c r="X1209" t="b">
        <f t="shared" ref="X1209:Z1209" si="2394">ISBLANK(K1209)</f>
        <v>1</v>
      </c>
      <c r="Y1209" t="b">
        <f t="shared" si="2394"/>
        <v>0</v>
      </c>
      <c r="Z1209" t="b">
        <f t="shared" si="2394"/>
        <v>0</v>
      </c>
      <c r="AA1209">
        <f t="shared" ref="AA1209:AC1209" si="2395">IF(X1209=FALSE,1,0)</f>
        <v>0</v>
      </c>
      <c r="AB1209">
        <f t="shared" si="2395"/>
        <v>1</v>
      </c>
      <c r="AC1209">
        <f t="shared" si="2395"/>
        <v>1</v>
      </c>
      <c r="AD1209">
        <f t="shared" si="6"/>
        <v>2</v>
      </c>
      <c r="AE1209">
        <f t="shared" si="7"/>
        <v>1</v>
      </c>
    </row>
    <row r="1210">
      <c r="B1210" t="str">
        <f>IFERROR(__xludf.DUMMYFUNCTION("""COMPUTED_VALUE"""),"")</f>
        <v/>
      </c>
      <c r="C1210" t="str">
        <f>IFERROR(__xludf.DUMMYFUNCTION("""COMPUTED_VALUE"""),"")</f>
        <v/>
      </c>
      <c r="D1210" t="str">
        <f>IFERROR(__xludf.DUMMYFUNCTION("""COMPUTED_VALUE"""),"")</f>
        <v/>
      </c>
      <c r="E1210" t="str">
        <f>IFERROR(__xludf.DUMMYFUNCTION("""COMPUTED_VALUE"""),"")</f>
        <v/>
      </c>
      <c r="F1210" t="str">
        <f>IFERROR(__xludf.DUMMYFUNCTION("""COMPUTED_VALUE"""),"")</f>
        <v/>
      </c>
      <c r="G1210" t="str">
        <f>IFERROR(__xludf.DUMMYFUNCTION("""COMPUTED_VALUE"""),"")</f>
        <v/>
      </c>
      <c r="H1210" t="str">
        <f>IFERROR(__xludf.DUMMYFUNCTION("""COMPUTED_VALUE"""),"")</f>
        <v/>
      </c>
      <c r="I1210" t="str">
        <f>IFERROR(__xludf.DUMMYFUNCTION("""COMPUTED_VALUE"""),"")</f>
        <v/>
      </c>
      <c r="J1210">
        <f>IFERROR(__xludf.DUMMYFUNCTION("""COMPUTED_VALUE"""),0.0)</f>
        <v>0</v>
      </c>
      <c r="L1210" s="250" t="str">
        <f>IFERROR(__xludf.DUMMYFUNCTION("""COMPUTED_VALUE"""),"")</f>
        <v/>
      </c>
      <c r="M1210" s="250" t="str">
        <f>IFERROR(__xludf.DUMMYFUNCTION("""COMPUTED_VALUE"""),"")</f>
        <v/>
      </c>
      <c r="N1210" s="250" t="str">
        <f>IFERROR(__xludf.DUMMYFUNCTION("""COMPUTED_VALUE"""),"")</f>
        <v/>
      </c>
      <c r="O1210" s="250" t="str">
        <f>IFERROR(__xludf.DUMMYFUNCTION("""COMPUTED_VALUE"""),"")</f>
        <v/>
      </c>
      <c r="P1210" s="250" t="str">
        <f>IFERROR(__xludf.DUMMYFUNCTION("""COMPUTED_VALUE"""),"")</f>
        <v/>
      </c>
      <c r="Q1210" s="250" t="str">
        <f>IFERROR(__xludf.DUMMYFUNCTION("""COMPUTED_VALUE"""),"")</f>
        <v/>
      </c>
      <c r="R1210" s="250" t="str">
        <f>IFERROR(__xludf.DUMMYFUNCTION("""COMPUTED_VALUE"""),"")</f>
        <v/>
      </c>
      <c r="U1210" s="250" t="str">
        <f>IFERROR(__xludf.DUMMYFUNCTION("""COMPUTED_VALUE"""),"#N/A")</f>
        <v>#N/A</v>
      </c>
      <c r="V1210" s="250" t="str">
        <f>IFERROR(__xludf.DUMMYFUNCTION("""COMPUTED_VALUE"""),"#N/A")</f>
        <v>#N/A</v>
      </c>
      <c r="W1210" s="250" t="str">
        <f>IFERROR(__xludf.DUMMYFUNCTION("""COMPUTED_VALUE"""),"#N/A")</f>
        <v>#N/A</v>
      </c>
      <c r="X1210" t="b">
        <f t="shared" ref="X1210:Z1210" si="2396">ISBLANK(K1210)</f>
        <v>1</v>
      </c>
      <c r="Y1210" t="b">
        <f t="shared" si="2396"/>
        <v>0</v>
      </c>
      <c r="Z1210" t="b">
        <f t="shared" si="2396"/>
        <v>0</v>
      </c>
      <c r="AA1210">
        <f t="shared" ref="AA1210:AC1210" si="2397">IF(X1210=FALSE,1,0)</f>
        <v>0</v>
      </c>
      <c r="AB1210">
        <f t="shared" si="2397"/>
        <v>1</v>
      </c>
      <c r="AC1210">
        <f t="shared" si="2397"/>
        <v>1</v>
      </c>
      <c r="AD1210">
        <f t="shared" si="6"/>
        <v>2</v>
      </c>
      <c r="AE1210">
        <f t="shared" si="7"/>
        <v>1</v>
      </c>
    </row>
    <row r="1211">
      <c r="B1211" t="str">
        <f>IFERROR(__xludf.DUMMYFUNCTION("""COMPUTED_VALUE"""),"")</f>
        <v/>
      </c>
      <c r="C1211" t="str">
        <f>IFERROR(__xludf.DUMMYFUNCTION("""COMPUTED_VALUE"""),"")</f>
        <v/>
      </c>
      <c r="D1211" t="str">
        <f>IFERROR(__xludf.DUMMYFUNCTION("""COMPUTED_VALUE"""),"")</f>
        <v/>
      </c>
      <c r="E1211" t="str">
        <f>IFERROR(__xludf.DUMMYFUNCTION("""COMPUTED_VALUE"""),"")</f>
        <v/>
      </c>
      <c r="F1211" t="str">
        <f>IFERROR(__xludf.DUMMYFUNCTION("""COMPUTED_VALUE"""),"")</f>
        <v/>
      </c>
      <c r="G1211" t="str">
        <f>IFERROR(__xludf.DUMMYFUNCTION("""COMPUTED_VALUE"""),"")</f>
        <v/>
      </c>
      <c r="H1211" t="str">
        <f>IFERROR(__xludf.DUMMYFUNCTION("""COMPUTED_VALUE"""),"")</f>
        <v/>
      </c>
      <c r="I1211" t="str">
        <f>IFERROR(__xludf.DUMMYFUNCTION("""COMPUTED_VALUE"""),"")</f>
        <v/>
      </c>
      <c r="J1211">
        <f>IFERROR(__xludf.DUMMYFUNCTION("""COMPUTED_VALUE"""),0.0)</f>
        <v>0</v>
      </c>
      <c r="L1211" s="250" t="str">
        <f>IFERROR(__xludf.DUMMYFUNCTION("""COMPUTED_VALUE"""),"")</f>
        <v/>
      </c>
      <c r="M1211" s="250" t="str">
        <f>IFERROR(__xludf.DUMMYFUNCTION("""COMPUTED_VALUE"""),"")</f>
        <v/>
      </c>
      <c r="N1211" s="250" t="str">
        <f>IFERROR(__xludf.DUMMYFUNCTION("""COMPUTED_VALUE"""),"")</f>
        <v/>
      </c>
      <c r="O1211" s="250" t="str">
        <f>IFERROR(__xludf.DUMMYFUNCTION("""COMPUTED_VALUE"""),"")</f>
        <v/>
      </c>
      <c r="P1211" s="250" t="str">
        <f>IFERROR(__xludf.DUMMYFUNCTION("""COMPUTED_VALUE"""),"")</f>
        <v/>
      </c>
      <c r="Q1211" s="250" t="str">
        <f>IFERROR(__xludf.DUMMYFUNCTION("""COMPUTED_VALUE"""),"")</f>
        <v/>
      </c>
      <c r="R1211" s="250" t="str">
        <f>IFERROR(__xludf.DUMMYFUNCTION("""COMPUTED_VALUE"""),"")</f>
        <v/>
      </c>
      <c r="U1211" s="250" t="str">
        <f>IFERROR(__xludf.DUMMYFUNCTION("""COMPUTED_VALUE"""),"#N/A")</f>
        <v>#N/A</v>
      </c>
      <c r="V1211" s="250" t="str">
        <f>IFERROR(__xludf.DUMMYFUNCTION("""COMPUTED_VALUE"""),"#N/A")</f>
        <v>#N/A</v>
      </c>
      <c r="W1211" s="250" t="str">
        <f>IFERROR(__xludf.DUMMYFUNCTION("""COMPUTED_VALUE"""),"#N/A")</f>
        <v>#N/A</v>
      </c>
      <c r="X1211" t="b">
        <f t="shared" ref="X1211:Z1211" si="2398">ISBLANK(K1211)</f>
        <v>1</v>
      </c>
      <c r="Y1211" t="b">
        <f t="shared" si="2398"/>
        <v>0</v>
      </c>
      <c r="Z1211" t="b">
        <f t="shared" si="2398"/>
        <v>0</v>
      </c>
      <c r="AA1211">
        <f t="shared" ref="AA1211:AC1211" si="2399">IF(X1211=FALSE,1,0)</f>
        <v>0</v>
      </c>
      <c r="AB1211">
        <f t="shared" si="2399"/>
        <v>1</v>
      </c>
      <c r="AC1211">
        <f t="shared" si="2399"/>
        <v>1</v>
      </c>
      <c r="AD1211">
        <f t="shared" si="6"/>
        <v>2</v>
      </c>
      <c r="AE1211">
        <f t="shared" si="7"/>
        <v>1</v>
      </c>
    </row>
    <row r="1212">
      <c r="B1212" t="str">
        <f>IFERROR(__xludf.DUMMYFUNCTION("""COMPUTED_VALUE"""),"")</f>
        <v/>
      </c>
      <c r="C1212" t="str">
        <f>IFERROR(__xludf.DUMMYFUNCTION("""COMPUTED_VALUE"""),"")</f>
        <v/>
      </c>
      <c r="D1212" t="str">
        <f>IFERROR(__xludf.DUMMYFUNCTION("""COMPUTED_VALUE"""),"")</f>
        <v/>
      </c>
      <c r="E1212" t="str">
        <f>IFERROR(__xludf.DUMMYFUNCTION("""COMPUTED_VALUE"""),"")</f>
        <v/>
      </c>
      <c r="F1212" t="str">
        <f>IFERROR(__xludf.DUMMYFUNCTION("""COMPUTED_VALUE"""),"")</f>
        <v/>
      </c>
      <c r="G1212" t="str">
        <f>IFERROR(__xludf.DUMMYFUNCTION("""COMPUTED_VALUE"""),"")</f>
        <v/>
      </c>
      <c r="H1212" t="str">
        <f>IFERROR(__xludf.DUMMYFUNCTION("""COMPUTED_VALUE"""),"")</f>
        <v/>
      </c>
      <c r="I1212" t="str">
        <f>IFERROR(__xludf.DUMMYFUNCTION("""COMPUTED_VALUE"""),"")</f>
        <v/>
      </c>
      <c r="J1212">
        <f>IFERROR(__xludf.DUMMYFUNCTION("""COMPUTED_VALUE"""),0.0)</f>
        <v>0</v>
      </c>
      <c r="L1212" s="250" t="str">
        <f>IFERROR(__xludf.DUMMYFUNCTION("""COMPUTED_VALUE"""),"")</f>
        <v/>
      </c>
      <c r="M1212" s="250" t="str">
        <f>IFERROR(__xludf.DUMMYFUNCTION("""COMPUTED_VALUE"""),"")</f>
        <v/>
      </c>
      <c r="N1212" s="250" t="str">
        <f>IFERROR(__xludf.DUMMYFUNCTION("""COMPUTED_VALUE"""),"")</f>
        <v/>
      </c>
      <c r="O1212" s="250" t="str">
        <f>IFERROR(__xludf.DUMMYFUNCTION("""COMPUTED_VALUE"""),"")</f>
        <v/>
      </c>
      <c r="P1212" s="250" t="str">
        <f>IFERROR(__xludf.DUMMYFUNCTION("""COMPUTED_VALUE"""),"")</f>
        <v/>
      </c>
      <c r="Q1212" s="250" t="str">
        <f>IFERROR(__xludf.DUMMYFUNCTION("""COMPUTED_VALUE"""),"")</f>
        <v/>
      </c>
      <c r="R1212" s="250" t="str">
        <f>IFERROR(__xludf.DUMMYFUNCTION("""COMPUTED_VALUE"""),"")</f>
        <v/>
      </c>
      <c r="U1212" s="250" t="str">
        <f>IFERROR(__xludf.DUMMYFUNCTION("""COMPUTED_VALUE"""),"#N/A")</f>
        <v>#N/A</v>
      </c>
      <c r="V1212" s="250" t="str">
        <f>IFERROR(__xludf.DUMMYFUNCTION("""COMPUTED_VALUE"""),"#N/A")</f>
        <v>#N/A</v>
      </c>
      <c r="W1212" s="250" t="str">
        <f>IFERROR(__xludf.DUMMYFUNCTION("""COMPUTED_VALUE"""),"#N/A")</f>
        <v>#N/A</v>
      </c>
      <c r="X1212" t="b">
        <f t="shared" ref="X1212:Z1212" si="2400">ISBLANK(K1212)</f>
        <v>1</v>
      </c>
      <c r="Y1212" t="b">
        <f t="shared" si="2400"/>
        <v>0</v>
      </c>
      <c r="Z1212" t="b">
        <f t="shared" si="2400"/>
        <v>0</v>
      </c>
      <c r="AA1212">
        <f t="shared" ref="AA1212:AC1212" si="2401">IF(X1212=FALSE,1,0)</f>
        <v>0</v>
      </c>
      <c r="AB1212">
        <f t="shared" si="2401"/>
        <v>1</v>
      </c>
      <c r="AC1212">
        <f t="shared" si="2401"/>
        <v>1</v>
      </c>
      <c r="AD1212">
        <f t="shared" si="6"/>
        <v>2</v>
      </c>
      <c r="AE1212">
        <f t="shared" si="7"/>
        <v>1</v>
      </c>
    </row>
    <row r="1213">
      <c r="B1213" t="str">
        <f>IFERROR(__xludf.DUMMYFUNCTION("""COMPUTED_VALUE"""),"")</f>
        <v/>
      </c>
      <c r="C1213" t="str">
        <f>IFERROR(__xludf.DUMMYFUNCTION("""COMPUTED_VALUE"""),"")</f>
        <v/>
      </c>
      <c r="D1213" t="str">
        <f>IFERROR(__xludf.DUMMYFUNCTION("""COMPUTED_VALUE"""),"")</f>
        <v/>
      </c>
      <c r="E1213" t="str">
        <f>IFERROR(__xludf.DUMMYFUNCTION("""COMPUTED_VALUE"""),"")</f>
        <v/>
      </c>
      <c r="F1213" t="str">
        <f>IFERROR(__xludf.DUMMYFUNCTION("""COMPUTED_VALUE"""),"")</f>
        <v/>
      </c>
      <c r="G1213" t="str">
        <f>IFERROR(__xludf.DUMMYFUNCTION("""COMPUTED_VALUE"""),"")</f>
        <v/>
      </c>
      <c r="H1213" t="str">
        <f>IFERROR(__xludf.DUMMYFUNCTION("""COMPUTED_VALUE"""),"")</f>
        <v/>
      </c>
      <c r="I1213" t="str">
        <f>IFERROR(__xludf.DUMMYFUNCTION("""COMPUTED_VALUE"""),"")</f>
        <v/>
      </c>
      <c r="J1213">
        <f>IFERROR(__xludf.DUMMYFUNCTION("""COMPUTED_VALUE"""),0.0)</f>
        <v>0</v>
      </c>
      <c r="L1213" s="250" t="str">
        <f>IFERROR(__xludf.DUMMYFUNCTION("""COMPUTED_VALUE"""),"")</f>
        <v/>
      </c>
      <c r="M1213" s="250" t="str">
        <f>IFERROR(__xludf.DUMMYFUNCTION("""COMPUTED_VALUE"""),"")</f>
        <v/>
      </c>
      <c r="N1213" s="250" t="str">
        <f>IFERROR(__xludf.DUMMYFUNCTION("""COMPUTED_VALUE"""),"")</f>
        <v/>
      </c>
      <c r="O1213" s="250" t="str">
        <f>IFERROR(__xludf.DUMMYFUNCTION("""COMPUTED_VALUE"""),"")</f>
        <v/>
      </c>
      <c r="P1213" s="250" t="str">
        <f>IFERROR(__xludf.DUMMYFUNCTION("""COMPUTED_VALUE"""),"")</f>
        <v/>
      </c>
      <c r="Q1213" s="250" t="str">
        <f>IFERROR(__xludf.DUMMYFUNCTION("""COMPUTED_VALUE"""),"")</f>
        <v/>
      </c>
      <c r="R1213" s="250" t="str">
        <f>IFERROR(__xludf.DUMMYFUNCTION("""COMPUTED_VALUE"""),"")</f>
        <v/>
      </c>
      <c r="U1213" s="250" t="str">
        <f>IFERROR(__xludf.DUMMYFUNCTION("""COMPUTED_VALUE"""),"#N/A")</f>
        <v>#N/A</v>
      </c>
      <c r="V1213" s="250" t="str">
        <f>IFERROR(__xludf.DUMMYFUNCTION("""COMPUTED_VALUE"""),"#N/A")</f>
        <v>#N/A</v>
      </c>
      <c r="W1213" s="250" t="str">
        <f>IFERROR(__xludf.DUMMYFUNCTION("""COMPUTED_VALUE"""),"#N/A")</f>
        <v>#N/A</v>
      </c>
      <c r="X1213" t="b">
        <f t="shared" ref="X1213:Z1213" si="2402">ISBLANK(K1213)</f>
        <v>1</v>
      </c>
      <c r="Y1213" t="b">
        <f t="shared" si="2402"/>
        <v>0</v>
      </c>
      <c r="Z1213" t="b">
        <f t="shared" si="2402"/>
        <v>0</v>
      </c>
      <c r="AA1213">
        <f t="shared" ref="AA1213:AC1213" si="2403">IF(X1213=FALSE,1,0)</f>
        <v>0</v>
      </c>
      <c r="AB1213">
        <f t="shared" si="2403"/>
        <v>1</v>
      </c>
      <c r="AC1213">
        <f t="shared" si="2403"/>
        <v>1</v>
      </c>
      <c r="AD1213">
        <f t="shared" si="6"/>
        <v>2</v>
      </c>
      <c r="AE1213">
        <f t="shared" si="7"/>
        <v>1</v>
      </c>
    </row>
    <row r="1214">
      <c r="B1214" t="str">
        <f>IFERROR(__xludf.DUMMYFUNCTION("""COMPUTED_VALUE"""),"")</f>
        <v/>
      </c>
      <c r="C1214" t="str">
        <f>IFERROR(__xludf.DUMMYFUNCTION("""COMPUTED_VALUE"""),"")</f>
        <v/>
      </c>
      <c r="D1214" t="str">
        <f>IFERROR(__xludf.DUMMYFUNCTION("""COMPUTED_VALUE"""),"")</f>
        <v/>
      </c>
      <c r="E1214" t="str">
        <f>IFERROR(__xludf.DUMMYFUNCTION("""COMPUTED_VALUE"""),"")</f>
        <v/>
      </c>
      <c r="F1214" t="str">
        <f>IFERROR(__xludf.DUMMYFUNCTION("""COMPUTED_VALUE"""),"")</f>
        <v/>
      </c>
      <c r="G1214" t="str">
        <f>IFERROR(__xludf.DUMMYFUNCTION("""COMPUTED_VALUE"""),"")</f>
        <v/>
      </c>
      <c r="H1214" t="str">
        <f>IFERROR(__xludf.DUMMYFUNCTION("""COMPUTED_VALUE"""),"")</f>
        <v/>
      </c>
      <c r="I1214" t="str">
        <f>IFERROR(__xludf.DUMMYFUNCTION("""COMPUTED_VALUE"""),"")</f>
        <v/>
      </c>
      <c r="J1214">
        <f>IFERROR(__xludf.DUMMYFUNCTION("""COMPUTED_VALUE"""),0.0)</f>
        <v>0</v>
      </c>
      <c r="L1214" s="250" t="str">
        <f>IFERROR(__xludf.DUMMYFUNCTION("""COMPUTED_VALUE"""),"")</f>
        <v/>
      </c>
      <c r="M1214" s="250" t="str">
        <f>IFERROR(__xludf.DUMMYFUNCTION("""COMPUTED_VALUE"""),"")</f>
        <v/>
      </c>
      <c r="N1214" s="250" t="str">
        <f>IFERROR(__xludf.DUMMYFUNCTION("""COMPUTED_VALUE"""),"")</f>
        <v/>
      </c>
      <c r="O1214" s="250" t="str">
        <f>IFERROR(__xludf.DUMMYFUNCTION("""COMPUTED_VALUE"""),"")</f>
        <v/>
      </c>
      <c r="P1214" s="250" t="str">
        <f>IFERROR(__xludf.DUMMYFUNCTION("""COMPUTED_VALUE"""),"")</f>
        <v/>
      </c>
      <c r="Q1214" s="250" t="str">
        <f>IFERROR(__xludf.DUMMYFUNCTION("""COMPUTED_VALUE"""),"")</f>
        <v/>
      </c>
      <c r="R1214" s="250" t="str">
        <f>IFERROR(__xludf.DUMMYFUNCTION("""COMPUTED_VALUE"""),"")</f>
        <v/>
      </c>
      <c r="U1214" s="250" t="str">
        <f>IFERROR(__xludf.DUMMYFUNCTION("""COMPUTED_VALUE"""),"#N/A")</f>
        <v>#N/A</v>
      </c>
      <c r="V1214" s="250" t="str">
        <f>IFERROR(__xludf.DUMMYFUNCTION("""COMPUTED_VALUE"""),"#N/A")</f>
        <v>#N/A</v>
      </c>
      <c r="W1214" s="250" t="str">
        <f>IFERROR(__xludf.DUMMYFUNCTION("""COMPUTED_VALUE"""),"#N/A")</f>
        <v>#N/A</v>
      </c>
      <c r="X1214" t="b">
        <f t="shared" ref="X1214:Z1214" si="2404">ISBLANK(K1214)</f>
        <v>1</v>
      </c>
      <c r="Y1214" t="b">
        <f t="shared" si="2404"/>
        <v>0</v>
      </c>
      <c r="Z1214" t="b">
        <f t="shared" si="2404"/>
        <v>0</v>
      </c>
      <c r="AA1214">
        <f t="shared" ref="AA1214:AC1214" si="2405">IF(X1214=FALSE,1,0)</f>
        <v>0</v>
      </c>
      <c r="AB1214">
        <f t="shared" si="2405"/>
        <v>1</v>
      </c>
      <c r="AC1214">
        <f t="shared" si="2405"/>
        <v>1</v>
      </c>
      <c r="AD1214">
        <f t="shared" si="6"/>
        <v>2</v>
      </c>
      <c r="AE1214">
        <f t="shared" si="7"/>
        <v>1</v>
      </c>
    </row>
    <row r="1215">
      <c r="B1215" t="str">
        <f>IFERROR(__xludf.DUMMYFUNCTION("""COMPUTED_VALUE"""),"")</f>
        <v/>
      </c>
      <c r="C1215" t="str">
        <f>IFERROR(__xludf.DUMMYFUNCTION("""COMPUTED_VALUE"""),"")</f>
        <v/>
      </c>
      <c r="D1215" t="str">
        <f>IFERROR(__xludf.DUMMYFUNCTION("""COMPUTED_VALUE"""),"")</f>
        <v/>
      </c>
      <c r="E1215" t="str">
        <f>IFERROR(__xludf.DUMMYFUNCTION("""COMPUTED_VALUE"""),"")</f>
        <v/>
      </c>
      <c r="F1215" t="str">
        <f>IFERROR(__xludf.DUMMYFUNCTION("""COMPUTED_VALUE"""),"")</f>
        <v/>
      </c>
      <c r="G1215" t="str">
        <f>IFERROR(__xludf.DUMMYFUNCTION("""COMPUTED_VALUE"""),"")</f>
        <v/>
      </c>
      <c r="H1215" t="str">
        <f>IFERROR(__xludf.DUMMYFUNCTION("""COMPUTED_VALUE"""),"")</f>
        <v/>
      </c>
      <c r="I1215" t="str">
        <f>IFERROR(__xludf.DUMMYFUNCTION("""COMPUTED_VALUE"""),"")</f>
        <v/>
      </c>
      <c r="J1215">
        <f>IFERROR(__xludf.DUMMYFUNCTION("""COMPUTED_VALUE"""),0.0)</f>
        <v>0</v>
      </c>
      <c r="L1215" s="250" t="str">
        <f>IFERROR(__xludf.DUMMYFUNCTION("""COMPUTED_VALUE"""),"")</f>
        <v/>
      </c>
      <c r="M1215" s="250" t="str">
        <f>IFERROR(__xludf.DUMMYFUNCTION("""COMPUTED_VALUE"""),"")</f>
        <v/>
      </c>
      <c r="N1215" s="250" t="str">
        <f>IFERROR(__xludf.DUMMYFUNCTION("""COMPUTED_VALUE"""),"")</f>
        <v/>
      </c>
      <c r="O1215" s="250" t="str">
        <f>IFERROR(__xludf.DUMMYFUNCTION("""COMPUTED_VALUE"""),"")</f>
        <v/>
      </c>
      <c r="P1215" s="250" t="str">
        <f>IFERROR(__xludf.DUMMYFUNCTION("""COMPUTED_VALUE"""),"")</f>
        <v/>
      </c>
      <c r="Q1215" s="250" t="str">
        <f>IFERROR(__xludf.DUMMYFUNCTION("""COMPUTED_VALUE"""),"")</f>
        <v/>
      </c>
      <c r="R1215" s="250" t="str">
        <f>IFERROR(__xludf.DUMMYFUNCTION("""COMPUTED_VALUE"""),"")</f>
        <v/>
      </c>
      <c r="U1215" s="250" t="str">
        <f>IFERROR(__xludf.DUMMYFUNCTION("""COMPUTED_VALUE"""),"#N/A")</f>
        <v>#N/A</v>
      </c>
      <c r="V1215" s="250" t="str">
        <f>IFERROR(__xludf.DUMMYFUNCTION("""COMPUTED_VALUE"""),"#N/A")</f>
        <v>#N/A</v>
      </c>
      <c r="W1215" s="250" t="str">
        <f>IFERROR(__xludf.DUMMYFUNCTION("""COMPUTED_VALUE"""),"#N/A")</f>
        <v>#N/A</v>
      </c>
      <c r="X1215" t="b">
        <f t="shared" ref="X1215:Z1215" si="2406">ISBLANK(K1215)</f>
        <v>1</v>
      </c>
      <c r="Y1215" t="b">
        <f t="shared" si="2406"/>
        <v>0</v>
      </c>
      <c r="Z1215" t="b">
        <f t="shared" si="2406"/>
        <v>0</v>
      </c>
      <c r="AA1215">
        <f t="shared" ref="AA1215:AC1215" si="2407">IF(X1215=FALSE,1,0)</f>
        <v>0</v>
      </c>
      <c r="AB1215">
        <f t="shared" si="2407"/>
        <v>1</v>
      </c>
      <c r="AC1215">
        <f t="shared" si="2407"/>
        <v>1</v>
      </c>
      <c r="AD1215">
        <f t="shared" si="6"/>
        <v>2</v>
      </c>
      <c r="AE1215">
        <f t="shared" si="7"/>
        <v>1</v>
      </c>
    </row>
    <row r="1216">
      <c r="B1216" t="str">
        <f>IFERROR(__xludf.DUMMYFUNCTION("""COMPUTED_VALUE"""),"")</f>
        <v/>
      </c>
      <c r="C1216" t="str">
        <f>IFERROR(__xludf.DUMMYFUNCTION("""COMPUTED_VALUE"""),"")</f>
        <v/>
      </c>
      <c r="D1216" t="str">
        <f>IFERROR(__xludf.DUMMYFUNCTION("""COMPUTED_VALUE"""),"")</f>
        <v/>
      </c>
      <c r="E1216" t="str">
        <f>IFERROR(__xludf.DUMMYFUNCTION("""COMPUTED_VALUE"""),"")</f>
        <v/>
      </c>
      <c r="F1216" t="str">
        <f>IFERROR(__xludf.DUMMYFUNCTION("""COMPUTED_VALUE"""),"")</f>
        <v/>
      </c>
      <c r="G1216" t="str">
        <f>IFERROR(__xludf.DUMMYFUNCTION("""COMPUTED_VALUE"""),"")</f>
        <v/>
      </c>
      <c r="H1216" t="str">
        <f>IFERROR(__xludf.DUMMYFUNCTION("""COMPUTED_VALUE"""),"")</f>
        <v/>
      </c>
      <c r="I1216" t="str">
        <f>IFERROR(__xludf.DUMMYFUNCTION("""COMPUTED_VALUE"""),"")</f>
        <v/>
      </c>
      <c r="J1216">
        <f>IFERROR(__xludf.DUMMYFUNCTION("""COMPUTED_VALUE"""),0.0)</f>
        <v>0</v>
      </c>
      <c r="L1216" s="250" t="str">
        <f>IFERROR(__xludf.DUMMYFUNCTION("""COMPUTED_VALUE"""),"")</f>
        <v/>
      </c>
      <c r="M1216" s="250" t="str">
        <f>IFERROR(__xludf.DUMMYFUNCTION("""COMPUTED_VALUE"""),"")</f>
        <v/>
      </c>
      <c r="N1216" s="250" t="str">
        <f>IFERROR(__xludf.DUMMYFUNCTION("""COMPUTED_VALUE"""),"")</f>
        <v/>
      </c>
      <c r="O1216" s="250" t="str">
        <f>IFERROR(__xludf.DUMMYFUNCTION("""COMPUTED_VALUE"""),"")</f>
        <v/>
      </c>
      <c r="P1216" s="250" t="str">
        <f>IFERROR(__xludf.DUMMYFUNCTION("""COMPUTED_VALUE"""),"")</f>
        <v/>
      </c>
      <c r="Q1216" s="250" t="str">
        <f>IFERROR(__xludf.DUMMYFUNCTION("""COMPUTED_VALUE"""),"")</f>
        <v/>
      </c>
      <c r="R1216" s="250" t="str">
        <f>IFERROR(__xludf.DUMMYFUNCTION("""COMPUTED_VALUE"""),"")</f>
        <v/>
      </c>
      <c r="U1216" s="250" t="str">
        <f>IFERROR(__xludf.DUMMYFUNCTION("""COMPUTED_VALUE"""),"#N/A")</f>
        <v>#N/A</v>
      </c>
      <c r="V1216" s="250" t="str">
        <f>IFERROR(__xludf.DUMMYFUNCTION("""COMPUTED_VALUE"""),"#N/A")</f>
        <v>#N/A</v>
      </c>
      <c r="W1216" s="250" t="str">
        <f>IFERROR(__xludf.DUMMYFUNCTION("""COMPUTED_VALUE"""),"#N/A")</f>
        <v>#N/A</v>
      </c>
      <c r="X1216" t="b">
        <f t="shared" ref="X1216:Z1216" si="2408">ISBLANK(K1216)</f>
        <v>1</v>
      </c>
      <c r="Y1216" t="b">
        <f t="shared" si="2408"/>
        <v>0</v>
      </c>
      <c r="Z1216" t="b">
        <f t="shared" si="2408"/>
        <v>0</v>
      </c>
      <c r="AA1216">
        <f t="shared" ref="AA1216:AC1216" si="2409">IF(X1216=FALSE,1,0)</f>
        <v>0</v>
      </c>
      <c r="AB1216">
        <f t="shared" si="2409"/>
        <v>1</v>
      </c>
      <c r="AC1216">
        <f t="shared" si="2409"/>
        <v>1</v>
      </c>
      <c r="AD1216">
        <f t="shared" si="6"/>
        <v>2</v>
      </c>
      <c r="AE1216">
        <f t="shared" si="7"/>
        <v>1</v>
      </c>
    </row>
    <row r="1217">
      <c r="B1217" t="str">
        <f>IFERROR(__xludf.DUMMYFUNCTION("""COMPUTED_VALUE"""),"")</f>
        <v/>
      </c>
      <c r="C1217" t="str">
        <f>IFERROR(__xludf.DUMMYFUNCTION("""COMPUTED_VALUE"""),"")</f>
        <v/>
      </c>
      <c r="D1217" t="str">
        <f>IFERROR(__xludf.DUMMYFUNCTION("""COMPUTED_VALUE"""),"")</f>
        <v/>
      </c>
      <c r="E1217" t="str">
        <f>IFERROR(__xludf.DUMMYFUNCTION("""COMPUTED_VALUE"""),"")</f>
        <v/>
      </c>
      <c r="F1217" t="str">
        <f>IFERROR(__xludf.DUMMYFUNCTION("""COMPUTED_VALUE"""),"")</f>
        <v/>
      </c>
      <c r="G1217" t="str">
        <f>IFERROR(__xludf.DUMMYFUNCTION("""COMPUTED_VALUE"""),"")</f>
        <v/>
      </c>
      <c r="H1217" t="str">
        <f>IFERROR(__xludf.DUMMYFUNCTION("""COMPUTED_VALUE"""),"")</f>
        <v/>
      </c>
      <c r="I1217" t="str">
        <f>IFERROR(__xludf.DUMMYFUNCTION("""COMPUTED_VALUE"""),"")</f>
        <v/>
      </c>
      <c r="J1217">
        <f>IFERROR(__xludf.DUMMYFUNCTION("""COMPUTED_VALUE"""),0.0)</f>
        <v>0</v>
      </c>
      <c r="L1217" s="250" t="str">
        <f>IFERROR(__xludf.DUMMYFUNCTION("""COMPUTED_VALUE"""),"")</f>
        <v/>
      </c>
      <c r="M1217" s="250" t="str">
        <f>IFERROR(__xludf.DUMMYFUNCTION("""COMPUTED_VALUE"""),"")</f>
        <v/>
      </c>
      <c r="N1217" s="250" t="str">
        <f>IFERROR(__xludf.DUMMYFUNCTION("""COMPUTED_VALUE"""),"")</f>
        <v/>
      </c>
      <c r="O1217" s="250" t="str">
        <f>IFERROR(__xludf.DUMMYFUNCTION("""COMPUTED_VALUE"""),"")</f>
        <v/>
      </c>
      <c r="P1217" s="250" t="str">
        <f>IFERROR(__xludf.DUMMYFUNCTION("""COMPUTED_VALUE"""),"")</f>
        <v/>
      </c>
      <c r="Q1217" s="250" t="str">
        <f>IFERROR(__xludf.DUMMYFUNCTION("""COMPUTED_VALUE"""),"")</f>
        <v/>
      </c>
      <c r="R1217" s="250" t="str">
        <f>IFERROR(__xludf.DUMMYFUNCTION("""COMPUTED_VALUE"""),"")</f>
        <v/>
      </c>
      <c r="U1217" s="250" t="str">
        <f>IFERROR(__xludf.DUMMYFUNCTION("""COMPUTED_VALUE"""),"#N/A")</f>
        <v>#N/A</v>
      </c>
      <c r="V1217" s="250" t="str">
        <f>IFERROR(__xludf.DUMMYFUNCTION("""COMPUTED_VALUE"""),"#N/A")</f>
        <v>#N/A</v>
      </c>
      <c r="W1217" s="250" t="str">
        <f>IFERROR(__xludf.DUMMYFUNCTION("""COMPUTED_VALUE"""),"#N/A")</f>
        <v>#N/A</v>
      </c>
      <c r="X1217" t="b">
        <f t="shared" ref="X1217:Z1217" si="2410">ISBLANK(K1217)</f>
        <v>1</v>
      </c>
      <c r="Y1217" t="b">
        <f t="shared" si="2410"/>
        <v>0</v>
      </c>
      <c r="Z1217" t="b">
        <f t="shared" si="2410"/>
        <v>0</v>
      </c>
      <c r="AA1217">
        <f t="shared" ref="AA1217:AC1217" si="2411">IF(X1217=FALSE,1,0)</f>
        <v>0</v>
      </c>
      <c r="AB1217">
        <f t="shared" si="2411"/>
        <v>1</v>
      </c>
      <c r="AC1217">
        <f t="shared" si="2411"/>
        <v>1</v>
      </c>
      <c r="AD1217">
        <f t="shared" si="6"/>
        <v>2</v>
      </c>
      <c r="AE1217">
        <f t="shared" si="7"/>
        <v>1</v>
      </c>
    </row>
    <row r="1218">
      <c r="B1218" t="str">
        <f>IFERROR(__xludf.DUMMYFUNCTION("""COMPUTED_VALUE"""),"")</f>
        <v/>
      </c>
      <c r="C1218" t="str">
        <f>IFERROR(__xludf.DUMMYFUNCTION("""COMPUTED_VALUE"""),"")</f>
        <v/>
      </c>
      <c r="D1218" t="str">
        <f>IFERROR(__xludf.DUMMYFUNCTION("""COMPUTED_VALUE"""),"")</f>
        <v/>
      </c>
      <c r="E1218" t="str">
        <f>IFERROR(__xludf.DUMMYFUNCTION("""COMPUTED_VALUE"""),"")</f>
        <v/>
      </c>
      <c r="F1218" t="str">
        <f>IFERROR(__xludf.DUMMYFUNCTION("""COMPUTED_VALUE"""),"")</f>
        <v/>
      </c>
      <c r="G1218" t="str">
        <f>IFERROR(__xludf.DUMMYFUNCTION("""COMPUTED_VALUE"""),"")</f>
        <v/>
      </c>
      <c r="H1218" t="str">
        <f>IFERROR(__xludf.DUMMYFUNCTION("""COMPUTED_VALUE"""),"")</f>
        <v/>
      </c>
      <c r="I1218" t="str">
        <f>IFERROR(__xludf.DUMMYFUNCTION("""COMPUTED_VALUE"""),"")</f>
        <v/>
      </c>
      <c r="J1218">
        <f>IFERROR(__xludf.DUMMYFUNCTION("""COMPUTED_VALUE"""),0.0)</f>
        <v>0</v>
      </c>
      <c r="L1218" s="250" t="str">
        <f>IFERROR(__xludf.DUMMYFUNCTION("""COMPUTED_VALUE"""),"")</f>
        <v/>
      </c>
      <c r="M1218" s="250" t="str">
        <f>IFERROR(__xludf.DUMMYFUNCTION("""COMPUTED_VALUE"""),"")</f>
        <v/>
      </c>
      <c r="N1218" s="250" t="str">
        <f>IFERROR(__xludf.DUMMYFUNCTION("""COMPUTED_VALUE"""),"")</f>
        <v/>
      </c>
      <c r="O1218" s="250" t="str">
        <f>IFERROR(__xludf.DUMMYFUNCTION("""COMPUTED_VALUE"""),"")</f>
        <v/>
      </c>
      <c r="P1218" s="250" t="str">
        <f>IFERROR(__xludf.DUMMYFUNCTION("""COMPUTED_VALUE"""),"")</f>
        <v/>
      </c>
      <c r="Q1218" s="250" t="str">
        <f>IFERROR(__xludf.DUMMYFUNCTION("""COMPUTED_VALUE"""),"")</f>
        <v/>
      </c>
      <c r="R1218" s="250" t="str">
        <f>IFERROR(__xludf.DUMMYFUNCTION("""COMPUTED_VALUE"""),"")</f>
        <v/>
      </c>
      <c r="U1218" s="250" t="str">
        <f>IFERROR(__xludf.DUMMYFUNCTION("""COMPUTED_VALUE"""),"#N/A")</f>
        <v>#N/A</v>
      </c>
      <c r="V1218" s="250" t="str">
        <f>IFERROR(__xludf.DUMMYFUNCTION("""COMPUTED_VALUE"""),"#N/A")</f>
        <v>#N/A</v>
      </c>
      <c r="W1218" s="250" t="str">
        <f>IFERROR(__xludf.DUMMYFUNCTION("""COMPUTED_VALUE"""),"#N/A")</f>
        <v>#N/A</v>
      </c>
      <c r="X1218" t="b">
        <f t="shared" ref="X1218:Z1218" si="2412">ISBLANK(K1218)</f>
        <v>1</v>
      </c>
      <c r="Y1218" t="b">
        <f t="shared" si="2412"/>
        <v>0</v>
      </c>
      <c r="Z1218" t="b">
        <f t="shared" si="2412"/>
        <v>0</v>
      </c>
      <c r="AA1218">
        <f t="shared" ref="AA1218:AC1218" si="2413">IF(X1218=FALSE,1,0)</f>
        <v>0</v>
      </c>
      <c r="AB1218">
        <f t="shared" si="2413"/>
        <v>1</v>
      </c>
      <c r="AC1218">
        <f t="shared" si="2413"/>
        <v>1</v>
      </c>
      <c r="AD1218">
        <f t="shared" si="6"/>
        <v>2</v>
      </c>
      <c r="AE1218">
        <f t="shared" si="7"/>
        <v>1</v>
      </c>
    </row>
    <row r="1219">
      <c r="B1219" t="str">
        <f>IFERROR(__xludf.DUMMYFUNCTION("""COMPUTED_VALUE"""),"")</f>
        <v/>
      </c>
      <c r="C1219" t="str">
        <f>IFERROR(__xludf.DUMMYFUNCTION("""COMPUTED_VALUE"""),"")</f>
        <v/>
      </c>
      <c r="D1219" t="str">
        <f>IFERROR(__xludf.DUMMYFUNCTION("""COMPUTED_VALUE"""),"")</f>
        <v/>
      </c>
      <c r="E1219" t="str">
        <f>IFERROR(__xludf.DUMMYFUNCTION("""COMPUTED_VALUE"""),"")</f>
        <v/>
      </c>
      <c r="F1219" t="str">
        <f>IFERROR(__xludf.DUMMYFUNCTION("""COMPUTED_VALUE"""),"")</f>
        <v/>
      </c>
      <c r="G1219" t="str">
        <f>IFERROR(__xludf.DUMMYFUNCTION("""COMPUTED_VALUE"""),"")</f>
        <v/>
      </c>
      <c r="H1219" t="str">
        <f>IFERROR(__xludf.DUMMYFUNCTION("""COMPUTED_VALUE"""),"")</f>
        <v/>
      </c>
      <c r="I1219" t="str">
        <f>IFERROR(__xludf.DUMMYFUNCTION("""COMPUTED_VALUE"""),"")</f>
        <v/>
      </c>
      <c r="J1219">
        <f>IFERROR(__xludf.DUMMYFUNCTION("""COMPUTED_VALUE"""),0.0)</f>
        <v>0</v>
      </c>
      <c r="L1219" s="250" t="str">
        <f>IFERROR(__xludf.DUMMYFUNCTION("""COMPUTED_VALUE"""),"")</f>
        <v/>
      </c>
      <c r="M1219" s="250" t="str">
        <f>IFERROR(__xludf.DUMMYFUNCTION("""COMPUTED_VALUE"""),"")</f>
        <v/>
      </c>
      <c r="N1219" s="250" t="str">
        <f>IFERROR(__xludf.DUMMYFUNCTION("""COMPUTED_VALUE"""),"")</f>
        <v/>
      </c>
      <c r="O1219" s="250" t="str">
        <f>IFERROR(__xludf.DUMMYFUNCTION("""COMPUTED_VALUE"""),"")</f>
        <v/>
      </c>
      <c r="P1219" s="250" t="str">
        <f>IFERROR(__xludf.DUMMYFUNCTION("""COMPUTED_VALUE"""),"")</f>
        <v/>
      </c>
      <c r="Q1219" s="250" t="str">
        <f>IFERROR(__xludf.DUMMYFUNCTION("""COMPUTED_VALUE"""),"")</f>
        <v/>
      </c>
      <c r="R1219" s="250" t="str">
        <f>IFERROR(__xludf.DUMMYFUNCTION("""COMPUTED_VALUE"""),"")</f>
        <v/>
      </c>
      <c r="U1219" s="250" t="str">
        <f>IFERROR(__xludf.DUMMYFUNCTION("""COMPUTED_VALUE"""),"#N/A")</f>
        <v>#N/A</v>
      </c>
      <c r="V1219" s="250" t="str">
        <f>IFERROR(__xludf.DUMMYFUNCTION("""COMPUTED_VALUE"""),"#N/A")</f>
        <v>#N/A</v>
      </c>
      <c r="W1219" s="250" t="str">
        <f>IFERROR(__xludf.DUMMYFUNCTION("""COMPUTED_VALUE"""),"#N/A")</f>
        <v>#N/A</v>
      </c>
      <c r="X1219" t="b">
        <f t="shared" ref="X1219:Z1219" si="2414">ISBLANK(K1219)</f>
        <v>1</v>
      </c>
      <c r="Y1219" t="b">
        <f t="shared" si="2414"/>
        <v>0</v>
      </c>
      <c r="Z1219" t="b">
        <f t="shared" si="2414"/>
        <v>0</v>
      </c>
      <c r="AA1219">
        <f t="shared" ref="AA1219:AC1219" si="2415">IF(X1219=FALSE,1,0)</f>
        <v>0</v>
      </c>
      <c r="AB1219">
        <f t="shared" si="2415"/>
        <v>1</v>
      </c>
      <c r="AC1219">
        <f t="shared" si="2415"/>
        <v>1</v>
      </c>
      <c r="AD1219">
        <f t="shared" si="6"/>
        <v>2</v>
      </c>
      <c r="AE1219">
        <f t="shared" si="7"/>
        <v>1</v>
      </c>
    </row>
    <row r="1220">
      <c r="B1220" t="str">
        <f>IFERROR(__xludf.DUMMYFUNCTION("""COMPUTED_VALUE"""),"")</f>
        <v/>
      </c>
      <c r="C1220" t="str">
        <f>IFERROR(__xludf.DUMMYFUNCTION("""COMPUTED_VALUE"""),"")</f>
        <v/>
      </c>
      <c r="D1220" t="str">
        <f>IFERROR(__xludf.DUMMYFUNCTION("""COMPUTED_VALUE"""),"")</f>
        <v/>
      </c>
      <c r="E1220" t="str">
        <f>IFERROR(__xludf.DUMMYFUNCTION("""COMPUTED_VALUE"""),"")</f>
        <v/>
      </c>
      <c r="F1220" t="str">
        <f>IFERROR(__xludf.DUMMYFUNCTION("""COMPUTED_VALUE"""),"")</f>
        <v/>
      </c>
      <c r="G1220" t="str">
        <f>IFERROR(__xludf.DUMMYFUNCTION("""COMPUTED_VALUE"""),"")</f>
        <v/>
      </c>
      <c r="H1220" t="str">
        <f>IFERROR(__xludf.DUMMYFUNCTION("""COMPUTED_VALUE"""),"")</f>
        <v/>
      </c>
      <c r="I1220" t="str">
        <f>IFERROR(__xludf.DUMMYFUNCTION("""COMPUTED_VALUE"""),"")</f>
        <v/>
      </c>
      <c r="J1220">
        <f>IFERROR(__xludf.DUMMYFUNCTION("""COMPUTED_VALUE"""),0.0)</f>
        <v>0</v>
      </c>
      <c r="L1220" s="250" t="str">
        <f>IFERROR(__xludf.DUMMYFUNCTION("""COMPUTED_VALUE"""),"")</f>
        <v/>
      </c>
      <c r="M1220" s="250" t="str">
        <f>IFERROR(__xludf.DUMMYFUNCTION("""COMPUTED_VALUE"""),"")</f>
        <v/>
      </c>
      <c r="N1220" s="250" t="str">
        <f>IFERROR(__xludf.DUMMYFUNCTION("""COMPUTED_VALUE"""),"")</f>
        <v/>
      </c>
      <c r="O1220" s="250" t="str">
        <f>IFERROR(__xludf.DUMMYFUNCTION("""COMPUTED_VALUE"""),"")</f>
        <v/>
      </c>
      <c r="P1220" s="250" t="str">
        <f>IFERROR(__xludf.DUMMYFUNCTION("""COMPUTED_VALUE"""),"")</f>
        <v/>
      </c>
      <c r="Q1220" s="250" t="str">
        <f>IFERROR(__xludf.DUMMYFUNCTION("""COMPUTED_VALUE"""),"")</f>
        <v/>
      </c>
      <c r="R1220" s="250" t="str">
        <f>IFERROR(__xludf.DUMMYFUNCTION("""COMPUTED_VALUE"""),"")</f>
        <v/>
      </c>
      <c r="U1220" s="250" t="str">
        <f>IFERROR(__xludf.DUMMYFUNCTION("""COMPUTED_VALUE"""),"#N/A")</f>
        <v>#N/A</v>
      </c>
      <c r="V1220" s="250" t="str">
        <f>IFERROR(__xludf.DUMMYFUNCTION("""COMPUTED_VALUE"""),"#N/A")</f>
        <v>#N/A</v>
      </c>
      <c r="W1220" s="250" t="str">
        <f>IFERROR(__xludf.DUMMYFUNCTION("""COMPUTED_VALUE"""),"#N/A")</f>
        <v>#N/A</v>
      </c>
      <c r="X1220" t="b">
        <f t="shared" ref="X1220:Z1220" si="2416">ISBLANK(K1220)</f>
        <v>1</v>
      </c>
      <c r="Y1220" t="b">
        <f t="shared" si="2416"/>
        <v>0</v>
      </c>
      <c r="Z1220" t="b">
        <f t="shared" si="2416"/>
        <v>0</v>
      </c>
      <c r="AA1220">
        <f t="shared" ref="AA1220:AC1220" si="2417">IF(X1220=FALSE,1,0)</f>
        <v>0</v>
      </c>
      <c r="AB1220">
        <f t="shared" si="2417"/>
        <v>1</v>
      </c>
      <c r="AC1220">
        <f t="shared" si="2417"/>
        <v>1</v>
      </c>
      <c r="AD1220">
        <f t="shared" si="6"/>
        <v>2</v>
      </c>
      <c r="AE1220">
        <f t="shared" si="7"/>
        <v>1</v>
      </c>
    </row>
    <row r="1221">
      <c r="B1221" t="str">
        <f>IFERROR(__xludf.DUMMYFUNCTION("""COMPUTED_VALUE"""),"")</f>
        <v/>
      </c>
      <c r="C1221" t="str">
        <f>IFERROR(__xludf.DUMMYFUNCTION("""COMPUTED_VALUE"""),"")</f>
        <v/>
      </c>
      <c r="D1221" t="str">
        <f>IFERROR(__xludf.DUMMYFUNCTION("""COMPUTED_VALUE"""),"")</f>
        <v/>
      </c>
      <c r="E1221" t="str">
        <f>IFERROR(__xludf.DUMMYFUNCTION("""COMPUTED_VALUE"""),"")</f>
        <v/>
      </c>
      <c r="F1221" t="str">
        <f>IFERROR(__xludf.DUMMYFUNCTION("""COMPUTED_VALUE"""),"")</f>
        <v/>
      </c>
      <c r="G1221" t="str">
        <f>IFERROR(__xludf.DUMMYFUNCTION("""COMPUTED_VALUE"""),"")</f>
        <v/>
      </c>
      <c r="H1221" t="str">
        <f>IFERROR(__xludf.DUMMYFUNCTION("""COMPUTED_VALUE"""),"")</f>
        <v/>
      </c>
      <c r="I1221" t="str">
        <f>IFERROR(__xludf.DUMMYFUNCTION("""COMPUTED_VALUE"""),"")</f>
        <v/>
      </c>
      <c r="J1221">
        <f>IFERROR(__xludf.DUMMYFUNCTION("""COMPUTED_VALUE"""),0.0)</f>
        <v>0</v>
      </c>
      <c r="L1221" s="250" t="str">
        <f>IFERROR(__xludf.DUMMYFUNCTION("""COMPUTED_VALUE"""),"")</f>
        <v/>
      </c>
      <c r="M1221" s="250" t="str">
        <f>IFERROR(__xludf.DUMMYFUNCTION("""COMPUTED_VALUE"""),"")</f>
        <v/>
      </c>
      <c r="N1221" s="250" t="str">
        <f>IFERROR(__xludf.DUMMYFUNCTION("""COMPUTED_VALUE"""),"")</f>
        <v/>
      </c>
      <c r="O1221" s="250" t="str">
        <f>IFERROR(__xludf.DUMMYFUNCTION("""COMPUTED_VALUE"""),"")</f>
        <v/>
      </c>
      <c r="P1221" s="250" t="str">
        <f>IFERROR(__xludf.DUMMYFUNCTION("""COMPUTED_VALUE"""),"")</f>
        <v/>
      </c>
      <c r="Q1221" s="250" t="str">
        <f>IFERROR(__xludf.DUMMYFUNCTION("""COMPUTED_VALUE"""),"")</f>
        <v/>
      </c>
      <c r="R1221" s="250" t="str">
        <f>IFERROR(__xludf.DUMMYFUNCTION("""COMPUTED_VALUE"""),"")</f>
        <v/>
      </c>
      <c r="U1221" s="250" t="str">
        <f>IFERROR(__xludf.DUMMYFUNCTION("""COMPUTED_VALUE"""),"#N/A")</f>
        <v>#N/A</v>
      </c>
      <c r="V1221" s="250" t="str">
        <f>IFERROR(__xludf.DUMMYFUNCTION("""COMPUTED_VALUE"""),"#N/A")</f>
        <v>#N/A</v>
      </c>
      <c r="W1221" s="250" t="str">
        <f>IFERROR(__xludf.DUMMYFUNCTION("""COMPUTED_VALUE"""),"#N/A")</f>
        <v>#N/A</v>
      </c>
      <c r="X1221" t="b">
        <f t="shared" ref="X1221:Z1221" si="2418">ISBLANK(K1221)</f>
        <v>1</v>
      </c>
      <c r="Y1221" t="b">
        <f t="shared" si="2418"/>
        <v>0</v>
      </c>
      <c r="Z1221" t="b">
        <f t="shared" si="2418"/>
        <v>0</v>
      </c>
      <c r="AA1221">
        <f t="shared" ref="AA1221:AC1221" si="2419">IF(X1221=FALSE,1,0)</f>
        <v>0</v>
      </c>
      <c r="AB1221">
        <f t="shared" si="2419"/>
        <v>1</v>
      </c>
      <c r="AC1221">
        <f t="shared" si="2419"/>
        <v>1</v>
      </c>
      <c r="AD1221">
        <f t="shared" si="6"/>
        <v>2</v>
      </c>
      <c r="AE1221">
        <f t="shared" si="7"/>
        <v>1</v>
      </c>
    </row>
    <row r="1222">
      <c r="B1222" t="str">
        <f>IFERROR(__xludf.DUMMYFUNCTION("""COMPUTED_VALUE"""),"")</f>
        <v/>
      </c>
      <c r="C1222" t="str">
        <f>IFERROR(__xludf.DUMMYFUNCTION("""COMPUTED_VALUE"""),"")</f>
        <v/>
      </c>
      <c r="D1222" t="str">
        <f>IFERROR(__xludf.DUMMYFUNCTION("""COMPUTED_VALUE"""),"")</f>
        <v/>
      </c>
      <c r="E1222" t="str">
        <f>IFERROR(__xludf.DUMMYFUNCTION("""COMPUTED_VALUE"""),"")</f>
        <v/>
      </c>
      <c r="F1222" t="str">
        <f>IFERROR(__xludf.DUMMYFUNCTION("""COMPUTED_VALUE"""),"")</f>
        <v/>
      </c>
      <c r="G1222" t="str">
        <f>IFERROR(__xludf.DUMMYFUNCTION("""COMPUTED_VALUE"""),"")</f>
        <v/>
      </c>
      <c r="H1222" t="str">
        <f>IFERROR(__xludf.DUMMYFUNCTION("""COMPUTED_VALUE"""),"")</f>
        <v/>
      </c>
      <c r="I1222" t="str">
        <f>IFERROR(__xludf.DUMMYFUNCTION("""COMPUTED_VALUE"""),"")</f>
        <v/>
      </c>
      <c r="J1222">
        <f>IFERROR(__xludf.DUMMYFUNCTION("""COMPUTED_VALUE"""),0.0)</f>
        <v>0</v>
      </c>
      <c r="L1222" s="250" t="str">
        <f>IFERROR(__xludf.DUMMYFUNCTION("""COMPUTED_VALUE"""),"")</f>
        <v/>
      </c>
      <c r="M1222" s="250" t="str">
        <f>IFERROR(__xludf.DUMMYFUNCTION("""COMPUTED_VALUE"""),"")</f>
        <v/>
      </c>
      <c r="N1222" s="250" t="str">
        <f>IFERROR(__xludf.DUMMYFUNCTION("""COMPUTED_VALUE"""),"")</f>
        <v/>
      </c>
      <c r="O1222" s="250" t="str">
        <f>IFERROR(__xludf.DUMMYFUNCTION("""COMPUTED_VALUE"""),"")</f>
        <v/>
      </c>
      <c r="P1222" s="250" t="str">
        <f>IFERROR(__xludf.DUMMYFUNCTION("""COMPUTED_VALUE"""),"")</f>
        <v/>
      </c>
      <c r="Q1222" s="250" t="str">
        <f>IFERROR(__xludf.DUMMYFUNCTION("""COMPUTED_VALUE"""),"")</f>
        <v/>
      </c>
      <c r="R1222" s="250" t="str">
        <f>IFERROR(__xludf.DUMMYFUNCTION("""COMPUTED_VALUE"""),"")</f>
        <v/>
      </c>
      <c r="U1222" s="250" t="str">
        <f>IFERROR(__xludf.DUMMYFUNCTION("""COMPUTED_VALUE"""),"#N/A")</f>
        <v>#N/A</v>
      </c>
      <c r="V1222" s="250" t="str">
        <f>IFERROR(__xludf.DUMMYFUNCTION("""COMPUTED_VALUE"""),"#N/A")</f>
        <v>#N/A</v>
      </c>
      <c r="W1222" s="250" t="str">
        <f>IFERROR(__xludf.DUMMYFUNCTION("""COMPUTED_VALUE"""),"#N/A")</f>
        <v>#N/A</v>
      </c>
      <c r="X1222" t="b">
        <f t="shared" ref="X1222:Z1222" si="2420">ISBLANK(K1222)</f>
        <v>1</v>
      </c>
      <c r="Y1222" t="b">
        <f t="shared" si="2420"/>
        <v>0</v>
      </c>
      <c r="Z1222" t="b">
        <f t="shared" si="2420"/>
        <v>0</v>
      </c>
      <c r="AA1222">
        <f t="shared" ref="AA1222:AC1222" si="2421">IF(X1222=FALSE,1,0)</f>
        <v>0</v>
      </c>
      <c r="AB1222">
        <f t="shared" si="2421"/>
        <v>1</v>
      </c>
      <c r="AC1222">
        <f t="shared" si="2421"/>
        <v>1</v>
      </c>
      <c r="AD1222">
        <f t="shared" si="6"/>
        <v>2</v>
      </c>
      <c r="AE1222">
        <f t="shared" si="7"/>
        <v>1</v>
      </c>
    </row>
    <row r="1223">
      <c r="B1223" t="str">
        <f>IFERROR(__xludf.DUMMYFUNCTION("""COMPUTED_VALUE"""),"")</f>
        <v/>
      </c>
      <c r="C1223" t="str">
        <f>IFERROR(__xludf.DUMMYFUNCTION("""COMPUTED_VALUE"""),"")</f>
        <v/>
      </c>
      <c r="D1223" t="str">
        <f>IFERROR(__xludf.DUMMYFUNCTION("""COMPUTED_VALUE"""),"")</f>
        <v/>
      </c>
      <c r="E1223" t="str">
        <f>IFERROR(__xludf.DUMMYFUNCTION("""COMPUTED_VALUE"""),"")</f>
        <v/>
      </c>
      <c r="F1223" t="str">
        <f>IFERROR(__xludf.DUMMYFUNCTION("""COMPUTED_VALUE"""),"")</f>
        <v/>
      </c>
      <c r="G1223" t="str">
        <f>IFERROR(__xludf.DUMMYFUNCTION("""COMPUTED_VALUE"""),"")</f>
        <v/>
      </c>
      <c r="H1223" t="str">
        <f>IFERROR(__xludf.DUMMYFUNCTION("""COMPUTED_VALUE"""),"")</f>
        <v/>
      </c>
      <c r="I1223" t="str">
        <f>IFERROR(__xludf.DUMMYFUNCTION("""COMPUTED_VALUE"""),"")</f>
        <v/>
      </c>
      <c r="J1223">
        <f>IFERROR(__xludf.DUMMYFUNCTION("""COMPUTED_VALUE"""),0.0)</f>
        <v>0</v>
      </c>
      <c r="L1223" s="250" t="str">
        <f>IFERROR(__xludf.DUMMYFUNCTION("""COMPUTED_VALUE"""),"")</f>
        <v/>
      </c>
      <c r="M1223" s="250" t="str">
        <f>IFERROR(__xludf.DUMMYFUNCTION("""COMPUTED_VALUE"""),"")</f>
        <v/>
      </c>
      <c r="N1223" s="250" t="str">
        <f>IFERROR(__xludf.DUMMYFUNCTION("""COMPUTED_VALUE"""),"")</f>
        <v/>
      </c>
      <c r="O1223" s="250" t="str">
        <f>IFERROR(__xludf.DUMMYFUNCTION("""COMPUTED_VALUE"""),"")</f>
        <v/>
      </c>
      <c r="P1223" s="250" t="str">
        <f>IFERROR(__xludf.DUMMYFUNCTION("""COMPUTED_VALUE"""),"")</f>
        <v/>
      </c>
      <c r="Q1223" s="250" t="str">
        <f>IFERROR(__xludf.DUMMYFUNCTION("""COMPUTED_VALUE"""),"")</f>
        <v/>
      </c>
      <c r="R1223" s="250" t="str">
        <f>IFERROR(__xludf.DUMMYFUNCTION("""COMPUTED_VALUE"""),"")</f>
        <v/>
      </c>
      <c r="U1223" s="250" t="str">
        <f>IFERROR(__xludf.DUMMYFUNCTION("""COMPUTED_VALUE"""),"#N/A")</f>
        <v>#N/A</v>
      </c>
      <c r="V1223" s="250" t="str">
        <f>IFERROR(__xludf.DUMMYFUNCTION("""COMPUTED_VALUE"""),"#N/A")</f>
        <v>#N/A</v>
      </c>
      <c r="W1223" s="250" t="str">
        <f>IFERROR(__xludf.DUMMYFUNCTION("""COMPUTED_VALUE"""),"#N/A")</f>
        <v>#N/A</v>
      </c>
      <c r="X1223" t="b">
        <f t="shared" ref="X1223:Z1223" si="2422">ISBLANK(K1223)</f>
        <v>1</v>
      </c>
      <c r="Y1223" t="b">
        <f t="shared" si="2422"/>
        <v>0</v>
      </c>
      <c r="Z1223" t="b">
        <f t="shared" si="2422"/>
        <v>0</v>
      </c>
      <c r="AA1223">
        <f t="shared" ref="AA1223:AC1223" si="2423">IF(X1223=FALSE,1,0)</f>
        <v>0</v>
      </c>
      <c r="AB1223">
        <f t="shared" si="2423"/>
        <v>1</v>
      </c>
      <c r="AC1223">
        <f t="shared" si="2423"/>
        <v>1</v>
      </c>
      <c r="AD1223">
        <f t="shared" si="6"/>
        <v>2</v>
      </c>
      <c r="AE1223">
        <f t="shared" si="7"/>
        <v>1</v>
      </c>
    </row>
    <row r="1224">
      <c r="B1224" t="str">
        <f>IFERROR(__xludf.DUMMYFUNCTION("""COMPUTED_VALUE"""),"")</f>
        <v/>
      </c>
      <c r="C1224" t="str">
        <f>IFERROR(__xludf.DUMMYFUNCTION("""COMPUTED_VALUE"""),"")</f>
        <v/>
      </c>
      <c r="D1224" t="str">
        <f>IFERROR(__xludf.DUMMYFUNCTION("""COMPUTED_VALUE"""),"")</f>
        <v/>
      </c>
      <c r="E1224" t="str">
        <f>IFERROR(__xludf.DUMMYFUNCTION("""COMPUTED_VALUE"""),"")</f>
        <v/>
      </c>
      <c r="F1224" t="str">
        <f>IFERROR(__xludf.DUMMYFUNCTION("""COMPUTED_VALUE"""),"")</f>
        <v/>
      </c>
      <c r="G1224" t="str">
        <f>IFERROR(__xludf.DUMMYFUNCTION("""COMPUTED_VALUE"""),"")</f>
        <v/>
      </c>
      <c r="H1224" t="str">
        <f>IFERROR(__xludf.DUMMYFUNCTION("""COMPUTED_VALUE"""),"")</f>
        <v/>
      </c>
      <c r="I1224" t="str">
        <f>IFERROR(__xludf.DUMMYFUNCTION("""COMPUTED_VALUE"""),"")</f>
        <v/>
      </c>
      <c r="J1224">
        <f>IFERROR(__xludf.DUMMYFUNCTION("""COMPUTED_VALUE"""),0.0)</f>
        <v>0</v>
      </c>
      <c r="L1224" s="250" t="str">
        <f>IFERROR(__xludf.DUMMYFUNCTION("""COMPUTED_VALUE"""),"")</f>
        <v/>
      </c>
      <c r="M1224" s="250" t="str">
        <f>IFERROR(__xludf.DUMMYFUNCTION("""COMPUTED_VALUE"""),"")</f>
        <v/>
      </c>
      <c r="N1224" s="250" t="str">
        <f>IFERROR(__xludf.DUMMYFUNCTION("""COMPUTED_VALUE"""),"")</f>
        <v/>
      </c>
      <c r="O1224" s="250" t="str">
        <f>IFERROR(__xludf.DUMMYFUNCTION("""COMPUTED_VALUE"""),"")</f>
        <v/>
      </c>
      <c r="P1224" s="250" t="str">
        <f>IFERROR(__xludf.DUMMYFUNCTION("""COMPUTED_VALUE"""),"")</f>
        <v/>
      </c>
      <c r="Q1224" s="250" t="str">
        <f>IFERROR(__xludf.DUMMYFUNCTION("""COMPUTED_VALUE"""),"")</f>
        <v/>
      </c>
      <c r="R1224" s="250" t="str">
        <f>IFERROR(__xludf.DUMMYFUNCTION("""COMPUTED_VALUE"""),"")</f>
        <v/>
      </c>
      <c r="U1224" s="250" t="str">
        <f>IFERROR(__xludf.DUMMYFUNCTION("""COMPUTED_VALUE"""),"#N/A")</f>
        <v>#N/A</v>
      </c>
      <c r="V1224" s="250" t="str">
        <f>IFERROR(__xludf.DUMMYFUNCTION("""COMPUTED_VALUE"""),"#N/A")</f>
        <v>#N/A</v>
      </c>
      <c r="W1224" s="250" t="str">
        <f>IFERROR(__xludf.DUMMYFUNCTION("""COMPUTED_VALUE"""),"#N/A")</f>
        <v>#N/A</v>
      </c>
      <c r="X1224" t="b">
        <f t="shared" ref="X1224:Z1224" si="2424">ISBLANK(K1224)</f>
        <v>1</v>
      </c>
      <c r="Y1224" t="b">
        <f t="shared" si="2424"/>
        <v>0</v>
      </c>
      <c r="Z1224" t="b">
        <f t="shared" si="2424"/>
        <v>0</v>
      </c>
      <c r="AA1224">
        <f t="shared" ref="AA1224:AC1224" si="2425">IF(X1224=FALSE,1,0)</f>
        <v>0</v>
      </c>
      <c r="AB1224">
        <f t="shared" si="2425"/>
        <v>1</v>
      </c>
      <c r="AC1224">
        <f t="shared" si="2425"/>
        <v>1</v>
      </c>
      <c r="AD1224">
        <f t="shared" si="6"/>
        <v>2</v>
      </c>
      <c r="AE1224">
        <f t="shared" si="7"/>
        <v>1</v>
      </c>
    </row>
    <row r="1225">
      <c r="B1225" t="str">
        <f>IFERROR(__xludf.DUMMYFUNCTION("""COMPUTED_VALUE"""),"")</f>
        <v/>
      </c>
      <c r="C1225" t="str">
        <f>IFERROR(__xludf.DUMMYFUNCTION("""COMPUTED_VALUE"""),"")</f>
        <v/>
      </c>
      <c r="D1225" t="str">
        <f>IFERROR(__xludf.DUMMYFUNCTION("""COMPUTED_VALUE"""),"")</f>
        <v/>
      </c>
      <c r="E1225" t="str">
        <f>IFERROR(__xludf.DUMMYFUNCTION("""COMPUTED_VALUE"""),"")</f>
        <v/>
      </c>
      <c r="F1225" t="str">
        <f>IFERROR(__xludf.DUMMYFUNCTION("""COMPUTED_VALUE"""),"")</f>
        <v/>
      </c>
      <c r="G1225" t="str">
        <f>IFERROR(__xludf.DUMMYFUNCTION("""COMPUTED_VALUE"""),"")</f>
        <v/>
      </c>
      <c r="H1225" t="str">
        <f>IFERROR(__xludf.DUMMYFUNCTION("""COMPUTED_VALUE"""),"")</f>
        <v/>
      </c>
      <c r="I1225" t="str">
        <f>IFERROR(__xludf.DUMMYFUNCTION("""COMPUTED_VALUE"""),"")</f>
        <v/>
      </c>
      <c r="J1225">
        <f>IFERROR(__xludf.DUMMYFUNCTION("""COMPUTED_VALUE"""),0.0)</f>
        <v>0</v>
      </c>
      <c r="L1225" s="250" t="str">
        <f>IFERROR(__xludf.DUMMYFUNCTION("""COMPUTED_VALUE"""),"")</f>
        <v/>
      </c>
      <c r="M1225" s="250" t="str">
        <f>IFERROR(__xludf.DUMMYFUNCTION("""COMPUTED_VALUE"""),"")</f>
        <v/>
      </c>
      <c r="N1225" s="250" t="str">
        <f>IFERROR(__xludf.DUMMYFUNCTION("""COMPUTED_VALUE"""),"")</f>
        <v/>
      </c>
      <c r="O1225" s="250" t="str">
        <f>IFERROR(__xludf.DUMMYFUNCTION("""COMPUTED_VALUE"""),"")</f>
        <v/>
      </c>
      <c r="P1225" s="250" t="str">
        <f>IFERROR(__xludf.DUMMYFUNCTION("""COMPUTED_VALUE"""),"")</f>
        <v/>
      </c>
      <c r="Q1225" s="250" t="str">
        <f>IFERROR(__xludf.DUMMYFUNCTION("""COMPUTED_VALUE"""),"")</f>
        <v/>
      </c>
      <c r="R1225" s="250" t="str">
        <f>IFERROR(__xludf.DUMMYFUNCTION("""COMPUTED_VALUE"""),"")</f>
        <v/>
      </c>
      <c r="U1225" s="250" t="str">
        <f>IFERROR(__xludf.DUMMYFUNCTION("""COMPUTED_VALUE"""),"#N/A")</f>
        <v>#N/A</v>
      </c>
      <c r="V1225" s="250" t="str">
        <f>IFERROR(__xludf.DUMMYFUNCTION("""COMPUTED_VALUE"""),"#N/A")</f>
        <v>#N/A</v>
      </c>
      <c r="W1225" s="250" t="str">
        <f>IFERROR(__xludf.DUMMYFUNCTION("""COMPUTED_VALUE"""),"#N/A")</f>
        <v>#N/A</v>
      </c>
      <c r="X1225" t="b">
        <f t="shared" ref="X1225:Z1225" si="2426">ISBLANK(K1225)</f>
        <v>1</v>
      </c>
      <c r="Y1225" t="b">
        <f t="shared" si="2426"/>
        <v>0</v>
      </c>
      <c r="Z1225" t="b">
        <f t="shared" si="2426"/>
        <v>0</v>
      </c>
      <c r="AA1225">
        <f t="shared" ref="AA1225:AC1225" si="2427">IF(X1225=FALSE,1,0)</f>
        <v>0</v>
      </c>
      <c r="AB1225">
        <f t="shared" si="2427"/>
        <v>1</v>
      </c>
      <c r="AC1225">
        <f t="shared" si="2427"/>
        <v>1</v>
      </c>
      <c r="AD1225">
        <f t="shared" si="6"/>
        <v>2</v>
      </c>
      <c r="AE1225">
        <f t="shared" si="7"/>
        <v>1</v>
      </c>
    </row>
    <row r="1226">
      <c r="B1226" t="str">
        <f>IFERROR(__xludf.DUMMYFUNCTION("""COMPUTED_VALUE"""),"")</f>
        <v/>
      </c>
      <c r="C1226" t="str">
        <f>IFERROR(__xludf.DUMMYFUNCTION("""COMPUTED_VALUE"""),"")</f>
        <v/>
      </c>
      <c r="D1226" t="str">
        <f>IFERROR(__xludf.DUMMYFUNCTION("""COMPUTED_VALUE"""),"")</f>
        <v/>
      </c>
      <c r="E1226" t="str">
        <f>IFERROR(__xludf.DUMMYFUNCTION("""COMPUTED_VALUE"""),"")</f>
        <v/>
      </c>
      <c r="F1226" t="str">
        <f>IFERROR(__xludf.DUMMYFUNCTION("""COMPUTED_VALUE"""),"")</f>
        <v/>
      </c>
      <c r="G1226" t="str">
        <f>IFERROR(__xludf.DUMMYFUNCTION("""COMPUTED_VALUE"""),"")</f>
        <v/>
      </c>
      <c r="H1226" t="str">
        <f>IFERROR(__xludf.DUMMYFUNCTION("""COMPUTED_VALUE"""),"")</f>
        <v/>
      </c>
      <c r="I1226" t="str">
        <f>IFERROR(__xludf.DUMMYFUNCTION("""COMPUTED_VALUE"""),"")</f>
        <v/>
      </c>
      <c r="J1226">
        <f>IFERROR(__xludf.DUMMYFUNCTION("""COMPUTED_VALUE"""),0.0)</f>
        <v>0</v>
      </c>
      <c r="L1226" s="250" t="str">
        <f>IFERROR(__xludf.DUMMYFUNCTION("""COMPUTED_VALUE"""),"")</f>
        <v/>
      </c>
      <c r="M1226" s="250" t="str">
        <f>IFERROR(__xludf.DUMMYFUNCTION("""COMPUTED_VALUE"""),"")</f>
        <v/>
      </c>
      <c r="N1226" s="250" t="str">
        <f>IFERROR(__xludf.DUMMYFUNCTION("""COMPUTED_VALUE"""),"")</f>
        <v/>
      </c>
      <c r="O1226" s="250" t="str">
        <f>IFERROR(__xludf.DUMMYFUNCTION("""COMPUTED_VALUE"""),"")</f>
        <v/>
      </c>
      <c r="P1226" s="250" t="str">
        <f>IFERROR(__xludf.DUMMYFUNCTION("""COMPUTED_VALUE"""),"")</f>
        <v/>
      </c>
      <c r="Q1226" s="250" t="str">
        <f>IFERROR(__xludf.DUMMYFUNCTION("""COMPUTED_VALUE"""),"")</f>
        <v/>
      </c>
      <c r="R1226" s="250" t="str">
        <f>IFERROR(__xludf.DUMMYFUNCTION("""COMPUTED_VALUE"""),"")</f>
        <v/>
      </c>
      <c r="U1226" s="250" t="str">
        <f>IFERROR(__xludf.DUMMYFUNCTION("""COMPUTED_VALUE"""),"#N/A")</f>
        <v>#N/A</v>
      </c>
      <c r="V1226" s="250" t="str">
        <f>IFERROR(__xludf.DUMMYFUNCTION("""COMPUTED_VALUE"""),"#N/A")</f>
        <v>#N/A</v>
      </c>
      <c r="W1226" s="250" t="str">
        <f>IFERROR(__xludf.DUMMYFUNCTION("""COMPUTED_VALUE"""),"#N/A")</f>
        <v>#N/A</v>
      </c>
      <c r="X1226" t="b">
        <f t="shared" ref="X1226:Z1226" si="2428">ISBLANK(K1226)</f>
        <v>1</v>
      </c>
      <c r="Y1226" t="b">
        <f t="shared" si="2428"/>
        <v>0</v>
      </c>
      <c r="Z1226" t="b">
        <f t="shared" si="2428"/>
        <v>0</v>
      </c>
      <c r="AA1226">
        <f t="shared" ref="AA1226:AC1226" si="2429">IF(X1226=FALSE,1,0)</f>
        <v>0</v>
      </c>
      <c r="AB1226">
        <f t="shared" si="2429"/>
        <v>1</v>
      </c>
      <c r="AC1226">
        <f t="shared" si="2429"/>
        <v>1</v>
      </c>
      <c r="AD1226">
        <f t="shared" si="6"/>
        <v>2</v>
      </c>
      <c r="AE1226">
        <f t="shared" si="7"/>
        <v>1</v>
      </c>
    </row>
    <row r="1227">
      <c r="B1227" t="str">
        <f>IFERROR(__xludf.DUMMYFUNCTION("""COMPUTED_VALUE"""),"")</f>
        <v/>
      </c>
      <c r="C1227" t="str">
        <f>IFERROR(__xludf.DUMMYFUNCTION("""COMPUTED_VALUE"""),"")</f>
        <v/>
      </c>
      <c r="D1227" t="str">
        <f>IFERROR(__xludf.DUMMYFUNCTION("""COMPUTED_VALUE"""),"")</f>
        <v/>
      </c>
      <c r="E1227" t="str">
        <f>IFERROR(__xludf.DUMMYFUNCTION("""COMPUTED_VALUE"""),"")</f>
        <v/>
      </c>
      <c r="F1227" t="str">
        <f>IFERROR(__xludf.DUMMYFUNCTION("""COMPUTED_VALUE"""),"")</f>
        <v/>
      </c>
      <c r="G1227" t="str">
        <f>IFERROR(__xludf.DUMMYFUNCTION("""COMPUTED_VALUE"""),"")</f>
        <v/>
      </c>
      <c r="H1227" t="str">
        <f>IFERROR(__xludf.DUMMYFUNCTION("""COMPUTED_VALUE"""),"")</f>
        <v/>
      </c>
      <c r="I1227" t="str">
        <f>IFERROR(__xludf.DUMMYFUNCTION("""COMPUTED_VALUE"""),"")</f>
        <v/>
      </c>
      <c r="J1227">
        <f>IFERROR(__xludf.DUMMYFUNCTION("""COMPUTED_VALUE"""),0.0)</f>
        <v>0</v>
      </c>
      <c r="L1227" s="250" t="str">
        <f>IFERROR(__xludf.DUMMYFUNCTION("""COMPUTED_VALUE"""),"")</f>
        <v/>
      </c>
      <c r="M1227" s="250" t="str">
        <f>IFERROR(__xludf.DUMMYFUNCTION("""COMPUTED_VALUE"""),"")</f>
        <v/>
      </c>
      <c r="N1227" s="250" t="str">
        <f>IFERROR(__xludf.DUMMYFUNCTION("""COMPUTED_VALUE"""),"")</f>
        <v/>
      </c>
      <c r="O1227" s="250" t="str">
        <f>IFERROR(__xludf.DUMMYFUNCTION("""COMPUTED_VALUE"""),"")</f>
        <v/>
      </c>
      <c r="P1227" s="250" t="str">
        <f>IFERROR(__xludf.DUMMYFUNCTION("""COMPUTED_VALUE"""),"")</f>
        <v/>
      </c>
      <c r="Q1227" s="250" t="str">
        <f>IFERROR(__xludf.DUMMYFUNCTION("""COMPUTED_VALUE"""),"")</f>
        <v/>
      </c>
      <c r="R1227" s="250" t="str">
        <f>IFERROR(__xludf.DUMMYFUNCTION("""COMPUTED_VALUE"""),"")</f>
        <v/>
      </c>
      <c r="U1227" s="250" t="str">
        <f>IFERROR(__xludf.DUMMYFUNCTION("""COMPUTED_VALUE"""),"#N/A")</f>
        <v>#N/A</v>
      </c>
      <c r="V1227" s="250" t="str">
        <f>IFERROR(__xludf.DUMMYFUNCTION("""COMPUTED_VALUE"""),"#N/A")</f>
        <v>#N/A</v>
      </c>
      <c r="W1227" s="250" t="str">
        <f>IFERROR(__xludf.DUMMYFUNCTION("""COMPUTED_VALUE"""),"#N/A")</f>
        <v>#N/A</v>
      </c>
      <c r="X1227" t="b">
        <f t="shared" ref="X1227:Z1227" si="2430">ISBLANK(K1227)</f>
        <v>1</v>
      </c>
      <c r="Y1227" t="b">
        <f t="shared" si="2430"/>
        <v>0</v>
      </c>
      <c r="Z1227" t="b">
        <f t="shared" si="2430"/>
        <v>0</v>
      </c>
      <c r="AA1227">
        <f t="shared" ref="AA1227:AC1227" si="2431">IF(X1227=FALSE,1,0)</f>
        <v>0</v>
      </c>
      <c r="AB1227">
        <f t="shared" si="2431"/>
        <v>1</v>
      </c>
      <c r="AC1227">
        <f t="shared" si="2431"/>
        <v>1</v>
      </c>
      <c r="AD1227">
        <f t="shared" si="6"/>
        <v>2</v>
      </c>
      <c r="AE1227">
        <f t="shared" si="7"/>
        <v>1</v>
      </c>
    </row>
    <row r="1228">
      <c r="B1228" t="str">
        <f>IFERROR(__xludf.DUMMYFUNCTION("""COMPUTED_VALUE"""),"")</f>
        <v/>
      </c>
      <c r="C1228" t="str">
        <f>IFERROR(__xludf.DUMMYFUNCTION("""COMPUTED_VALUE"""),"")</f>
        <v/>
      </c>
      <c r="D1228" t="str">
        <f>IFERROR(__xludf.DUMMYFUNCTION("""COMPUTED_VALUE"""),"")</f>
        <v/>
      </c>
      <c r="E1228" t="str">
        <f>IFERROR(__xludf.DUMMYFUNCTION("""COMPUTED_VALUE"""),"")</f>
        <v/>
      </c>
      <c r="F1228" t="str">
        <f>IFERROR(__xludf.DUMMYFUNCTION("""COMPUTED_VALUE"""),"")</f>
        <v/>
      </c>
      <c r="G1228" t="str">
        <f>IFERROR(__xludf.DUMMYFUNCTION("""COMPUTED_VALUE"""),"")</f>
        <v/>
      </c>
      <c r="H1228" t="str">
        <f>IFERROR(__xludf.DUMMYFUNCTION("""COMPUTED_VALUE"""),"")</f>
        <v/>
      </c>
      <c r="I1228" t="str">
        <f>IFERROR(__xludf.DUMMYFUNCTION("""COMPUTED_VALUE"""),"")</f>
        <v/>
      </c>
      <c r="J1228">
        <f>IFERROR(__xludf.DUMMYFUNCTION("""COMPUTED_VALUE"""),0.0)</f>
        <v>0</v>
      </c>
      <c r="L1228" s="250" t="str">
        <f>IFERROR(__xludf.DUMMYFUNCTION("""COMPUTED_VALUE"""),"")</f>
        <v/>
      </c>
      <c r="M1228" s="250" t="str">
        <f>IFERROR(__xludf.DUMMYFUNCTION("""COMPUTED_VALUE"""),"")</f>
        <v/>
      </c>
      <c r="N1228" s="250" t="str">
        <f>IFERROR(__xludf.DUMMYFUNCTION("""COMPUTED_VALUE"""),"")</f>
        <v/>
      </c>
      <c r="O1228" s="250" t="str">
        <f>IFERROR(__xludf.DUMMYFUNCTION("""COMPUTED_VALUE"""),"")</f>
        <v/>
      </c>
      <c r="P1228" s="250" t="str">
        <f>IFERROR(__xludf.DUMMYFUNCTION("""COMPUTED_VALUE"""),"")</f>
        <v/>
      </c>
      <c r="Q1228" s="250" t="str">
        <f>IFERROR(__xludf.DUMMYFUNCTION("""COMPUTED_VALUE"""),"")</f>
        <v/>
      </c>
      <c r="R1228" s="250" t="str">
        <f>IFERROR(__xludf.DUMMYFUNCTION("""COMPUTED_VALUE"""),"")</f>
        <v/>
      </c>
      <c r="U1228" s="250" t="str">
        <f>IFERROR(__xludf.DUMMYFUNCTION("""COMPUTED_VALUE"""),"#N/A")</f>
        <v>#N/A</v>
      </c>
      <c r="V1228" s="250" t="str">
        <f>IFERROR(__xludf.DUMMYFUNCTION("""COMPUTED_VALUE"""),"#N/A")</f>
        <v>#N/A</v>
      </c>
      <c r="W1228" s="250" t="str">
        <f>IFERROR(__xludf.DUMMYFUNCTION("""COMPUTED_VALUE"""),"#N/A")</f>
        <v>#N/A</v>
      </c>
      <c r="X1228" t="b">
        <f t="shared" ref="X1228:Z1228" si="2432">ISBLANK(K1228)</f>
        <v>1</v>
      </c>
      <c r="Y1228" t="b">
        <f t="shared" si="2432"/>
        <v>0</v>
      </c>
      <c r="Z1228" t="b">
        <f t="shared" si="2432"/>
        <v>0</v>
      </c>
      <c r="AA1228">
        <f t="shared" ref="AA1228:AC1228" si="2433">IF(X1228=FALSE,1,0)</f>
        <v>0</v>
      </c>
      <c r="AB1228">
        <f t="shared" si="2433"/>
        <v>1</v>
      </c>
      <c r="AC1228">
        <f t="shared" si="2433"/>
        <v>1</v>
      </c>
      <c r="AD1228">
        <f t="shared" si="6"/>
        <v>2</v>
      </c>
      <c r="AE1228">
        <f t="shared" si="7"/>
        <v>1</v>
      </c>
    </row>
    <row r="1229">
      <c r="B1229" t="str">
        <f>IFERROR(__xludf.DUMMYFUNCTION("""COMPUTED_VALUE"""),"")</f>
        <v/>
      </c>
      <c r="C1229" t="str">
        <f>IFERROR(__xludf.DUMMYFUNCTION("""COMPUTED_VALUE"""),"")</f>
        <v/>
      </c>
      <c r="D1229" t="str">
        <f>IFERROR(__xludf.DUMMYFUNCTION("""COMPUTED_VALUE"""),"")</f>
        <v/>
      </c>
      <c r="E1229" t="str">
        <f>IFERROR(__xludf.DUMMYFUNCTION("""COMPUTED_VALUE"""),"")</f>
        <v/>
      </c>
      <c r="F1229" t="str">
        <f>IFERROR(__xludf.DUMMYFUNCTION("""COMPUTED_VALUE"""),"")</f>
        <v/>
      </c>
      <c r="G1229" t="str">
        <f>IFERROR(__xludf.DUMMYFUNCTION("""COMPUTED_VALUE"""),"")</f>
        <v/>
      </c>
      <c r="H1229" t="str">
        <f>IFERROR(__xludf.DUMMYFUNCTION("""COMPUTED_VALUE"""),"")</f>
        <v/>
      </c>
      <c r="I1229" t="str">
        <f>IFERROR(__xludf.DUMMYFUNCTION("""COMPUTED_VALUE"""),"")</f>
        <v/>
      </c>
      <c r="J1229">
        <f>IFERROR(__xludf.DUMMYFUNCTION("""COMPUTED_VALUE"""),0.0)</f>
        <v>0</v>
      </c>
      <c r="L1229" s="250" t="str">
        <f>IFERROR(__xludf.DUMMYFUNCTION("""COMPUTED_VALUE"""),"")</f>
        <v/>
      </c>
      <c r="M1229" s="250" t="str">
        <f>IFERROR(__xludf.DUMMYFUNCTION("""COMPUTED_VALUE"""),"")</f>
        <v/>
      </c>
      <c r="N1229" s="250" t="str">
        <f>IFERROR(__xludf.DUMMYFUNCTION("""COMPUTED_VALUE"""),"")</f>
        <v/>
      </c>
      <c r="O1229" s="250" t="str">
        <f>IFERROR(__xludf.DUMMYFUNCTION("""COMPUTED_VALUE"""),"")</f>
        <v/>
      </c>
      <c r="P1229" s="250" t="str">
        <f>IFERROR(__xludf.DUMMYFUNCTION("""COMPUTED_VALUE"""),"")</f>
        <v/>
      </c>
      <c r="Q1229" s="250" t="str">
        <f>IFERROR(__xludf.DUMMYFUNCTION("""COMPUTED_VALUE"""),"")</f>
        <v/>
      </c>
      <c r="R1229" s="250" t="str">
        <f>IFERROR(__xludf.DUMMYFUNCTION("""COMPUTED_VALUE"""),"")</f>
        <v/>
      </c>
      <c r="U1229" s="250" t="str">
        <f>IFERROR(__xludf.DUMMYFUNCTION("""COMPUTED_VALUE"""),"#N/A")</f>
        <v>#N/A</v>
      </c>
      <c r="V1229" s="250" t="str">
        <f>IFERROR(__xludf.DUMMYFUNCTION("""COMPUTED_VALUE"""),"#N/A")</f>
        <v>#N/A</v>
      </c>
      <c r="W1229" s="250" t="str">
        <f>IFERROR(__xludf.DUMMYFUNCTION("""COMPUTED_VALUE"""),"#N/A")</f>
        <v>#N/A</v>
      </c>
      <c r="X1229" t="b">
        <f t="shared" ref="X1229:Z1229" si="2434">ISBLANK(K1229)</f>
        <v>1</v>
      </c>
      <c r="Y1229" t="b">
        <f t="shared" si="2434"/>
        <v>0</v>
      </c>
      <c r="Z1229" t="b">
        <f t="shared" si="2434"/>
        <v>0</v>
      </c>
      <c r="AA1229">
        <f t="shared" ref="AA1229:AC1229" si="2435">IF(X1229=FALSE,1,0)</f>
        <v>0</v>
      </c>
      <c r="AB1229">
        <f t="shared" si="2435"/>
        <v>1</v>
      </c>
      <c r="AC1229">
        <f t="shared" si="2435"/>
        <v>1</v>
      </c>
      <c r="AD1229">
        <f t="shared" si="6"/>
        <v>2</v>
      </c>
      <c r="AE1229">
        <f t="shared" si="7"/>
        <v>1</v>
      </c>
    </row>
    <row r="1230">
      <c r="B1230" t="str">
        <f>IFERROR(__xludf.DUMMYFUNCTION("""COMPUTED_VALUE"""),"")</f>
        <v/>
      </c>
      <c r="C1230" t="str">
        <f>IFERROR(__xludf.DUMMYFUNCTION("""COMPUTED_VALUE"""),"")</f>
        <v/>
      </c>
      <c r="D1230" t="str">
        <f>IFERROR(__xludf.DUMMYFUNCTION("""COMPUTED_VALUE"""),"")</f>
        <v/>
      </c>
      <c r="E1230" t="str">
        <f>IFERROR(__xludf.DUMMYFUNCTION("""COMPUTED_VALUE"""),"")</f>
        <v/>
      </c>
      <c r="F1230" t="str">
        <f>IFERROR(__xludf.DUMMYFUNCTION("""COMPUTED_VALUE"""),"")</f>
        <v/>
      </c>
      <c r="G1230" t="str">
        <f>IFERROR(__xludf.DUMMYFUNCTION("""COMPUTED_VALUE"""),"")</f>
        <v/>
      </c>
      <c r="H1230" t="str">
        <f>IFERROR(__xludf.DUMMYFUNCTION("""COMPUTED_VALUE"""),"")</f>
        <v/>
      </c>
      <c r="I1230" t="str">
        <f>IFERROR(__xludf.DUMMYFUNCTION("""COMPUTED_VALUE"""),"")</f>
        <v/>
      </c>
      <c r="J1230">
        <f>IFERROR(__xludf.DUMMYFUNCTION("""COMPUTED_VALUE"""),0.0)</f>
        <v>0</v>
      </c>
      <c r="L1230" s="250" t="str">
        <f>IFERROR(__xludf.DUMMYFUNCTION("""COMPUTED_VALUE"""),"")</f>
        <v/>
      </c>
      <c r="M1230" s="250" t="str">
        <f>IFERROR(__xludf.DUMMYFUNCTION("""COMPUTED_VALUE"""),"")</f>
        <v/>
      </c>
      <c r="N1230" s="250" t="str">
        <f>IFERROR(__xludf.DUMMYFUNCTION("""COMPUTED_VALUE"""),"")</f>
        <v/>
      </c>
      <c r="O1230" s="250" t="str">
        <f>IFERROR(__xludf.DUMMYFUNCTION("""COMPUTED_VALUE"""),"")</f>
        <v/>
      </c>
      <c r="P1230" s="250" t="str">
        <f>IFERROR(__xludf.DUMMYFUNCTION("""COMPUTED_VALUE"""),"")</f>
        <v/>
      </c>
      <c r="Q1230" s="250" t="str">
        <f>IFERROR(__xludf.DUMMYFUNCTION("""COMPUTED_VALUE"""),"")</f>
        <v/>
      </c>
      <c r="R1230" s="250" t="str">
        <f>IFERROR(__xludf.DUMMYFUNCTION("""COMPUTED_VALUE"""),"")</f>
        <v/>
      </c>
      <c r="U1230" s="250" t="str">
        <f>IFERROR(__xludf.DUMMYFUNCTION("""COMPUTED_VALUE"""),"#N/A")</f>
        <v>#N/A</v>
      </c>
      <c r="V1230" s="250" t="str">
        <f>IFERROR(__xludf.DUMMYFUNCTION("""COMPUTED_VALUE"""),"#N/A")</f>
        <v>#N/A</v>
      </c>
      <c r="W1230" s="250" t="str">
        <f>IFERROR(__xludf.DUMMYFUNCTION("""COMPUTED_VALUE"""),"#N/A")</f>
        <v>#N/A</v>
      </c>
      <c r="X1230" t="b">
        <f t="shared" ref="X1230:Z1230" si="2436">ISBLANK(K1230)</f>
        <v>1</v>
      </c>
      <c r="Y1230" t="b">
        <f t="shared" si="2436"/>
        <v>0</v>
      </c>
      <c r="Z1230" t="b">
        <f t="shared" si="2436"/>
        <v>0</v>
      </c>
      <c r="AA1230">
        <f t="shared" ref="AA1230:AC1230" si="2437">IF(X1230=FALSE,1,0)</f>
        <v>0</v>
      </c>
      <c r="AB1230">
        <f t="shared" si="2437"/>
        <v>1</v>
      </c>
      <c r="AC1230">
        <f t="shared" si="2437"/>
        <v>1</v>
      </c>
      <c r="AD1230">
        <f t="shared" si="6"/>
        <v>2</v>
      </c>
      <c r="AE1230">
        <f t="shared" si="7"/>
        <v>1</v>
      </c>
    </row>
    <row r="1231">
      <c r="B1231" t="str">
        <f>IFERROR(__xludf.DUMMYFUNCTION("""COMPUTED_VALUE"""),"")</f>
        <v/>
      </c>
      <c r="C1231" t="str">
        <f>IFERROR(__xludf.DUMMYFUNCTION("""COMPUTED_VALUE"""),"")</f>
        <v/>
      </c>
      <c r="D1231" t="str">
        <f>IFERROR(__xludf.DUMMYFUNCTION("""COMPUTED_VALUE"""),"")</f>
        <v/>
      </c>
      <c r="E1231" t="str">
        <f>IFERROR(__xludf.DUMMYFUNCTION("""COMPUTED_VALUE"""),"")</f>
        <v/>
      </c>
      <c r="F1231" t="str">
        <f>IFERROR(__xludf.DUMMYFUNCTION("""COMPUTED_VALUE"""),"")</f>
        <v/>
      </c>
      <c r="G1231" t="str">
        <f>IFERROR(__xludf.DUMMYFUNCTION("""COMPUTED_VALUE"""),"")</f>
        <v/>
      </c>
      <c r="H1231" t="str">
        <f>IFERROR(__xludf.DUMMYFUNCTION("""COMPUTED_VALUE"""),"")</f>
        <v/>
      </c>
      <c r="I1231" t="str">
        <f>IFERROR(__xludf.DUMMYFUNCTION("""COMPUTED_VALUE"""),"")</f>
        <v/>
      </c>
      <c r="J1231">
        <f>IFERROR(__xludf.DUMMYFUNCTION("""COMPUTED_VALUE"""),0.0)</f>
        <v>0</v>
      </c>
      <c r="L1231" s="250" t="str">
        <f>IFERROR(__xludf.DUMMYFUNCTION("""COMPUTED_VALUE"""),"")</f>
        <v/>
      </c>
      <c r="M1231" s="250" t="str">
        <f>IFERROR(__xludf.DUMMYFUNCTION("""COMPUTED_VALUE"""),"")</f>
        <v/>
      </c>
      <c r="N1231" s="250" t="str">
        <f>IFERROR(__xludf.DUMMYFUNCTION("""COMPUTED_VALUE"""),"")</f>
        <v/>
      </c>
      <c r="O1231" s="250" t="str">
        <f>IFERROR(__xludf.DUMMYFUNCTION("""COMPUTED_VALUE"""),"")</f>
        <v/>
      </c>
      <c r="P1231" s="250" t="str">
        <f>IFERROR(__xludf.DUMMYFUNCTION("""COMPUTED_VALUE"""),"")</f>
        <v/>
      </c>
      <c r="Q1231" s="250" t="str">
        <f>IFERROR(__xludf.DUMMYFUNCTION("""COMPUTED_VALUE"""),"")</f>
        <v/>
      </c>
      <c r="R1231" s="250" t="str">
        <f>IFERROR(__xludf.DUMMYFUNCTION("""COMPUTED_VALUE"""),"")</f>
        <v/>
      </c>
      <c r="U1231" s="250" t="str">
        <f>IFERROR(__xludf.DUMMYFUNCTION("""COMPUTED_VALUE"""),"#N/A")</f>
        <v>#N/A</v>
      </c>
      <c r="V1231" s="250" t="str">
        <f>IFERROR(__xludf.DUMMYFUNCTION("""COMPUTED_VALUE"""),"#N/A")</f>
        <v>#N/A</v>
      </c>
      <c r="W1231" s="250" t="str">
        <f>IFERROR(__xludf.DUMMYFUNCTION("""COMPUTED_VALUE"""),"#N/A")</f>
        <v>#N/A</v>
      </c>
      <c r="X1231" t="b">
        <f t="shared" ref="X1231:Z1231" si="2438">ISBLANK(K1231)</f>
        <v>1</v>
      </c>
      <c r="Y1231" t="b">
        <f t="shared" si="2438"/>
        <v>0</v>
      </c>
      <c r="Z1231" t="b">
        <f t="shared" si="2438"/>
        <v>0</v>
      </c>
      <c r="AA1231">
        <f t="shared" ref="AA1231:AC1231" si="2439">IF(X1231=FALSE,1,0)</f>
        <v>0</v>
      </c>
      <c r="AB1231">
        <f t="shared" si="2439"/>
        <v>1</v>
      </c>
      <c r="AC1231">
        <f t="shared" si="2439"/>
        <v>1</v>
      </c>
      <c r="AD1231">
        <f t="shared" si="6"/>
        <v>2</v>
      </c>
      <c r="AE1231">
        <f t="shared" si="7"/>
        <v>1</v>
      </c>
    </row>
    <row r="1232">
      <c r="B1232" t="str">
        <f>IFERROR(__xludf.DUMMYFUNCTION("""COMPUTED_VALUE"""),"")</f>
        <v/>
      </c>
      <c r="C1232" t="str">
        <f>IFERROR(__xludf.DUMMYFUNCTION("""COMPUTED_VALUE"""),"")</f>
        <v/>
      </c>
      <c r="D1232" t="str">
        <f>IFERROR(__xludf.DUMMYFUNCTION("""COMPUTED_VALUE"""),"")</f>
        <v/>
      </c>
      <c r="E1232" t="str">
        <f>IFERROR(__xludf.DUMMYFUNCTION("""COMPUTED_VALUE"""),"")</f>
        <v/>
      </c>
      <c r="F1232" t="str">
        <f>IFERROR(__xludf.DUMMYFUNCTION("""COMPUTED_VALUE"""),"")</f>
        <v/>
      </c>
      <c r="G1232" t="str">
        <f>IFERROR(__xludf.DUMMYFUNCTION("""COMPUTED_VALUE"""),"")</f>
        <v/>
      </c>
      <c r="H1232" t="str">
        <f>IFERROR(__xludf.DUMMYFUNCTION("""COMPUTED_VALUE"""),"")</f>
        <v/>
      </c>
      <c r="I1232" t="str">
        <f>IFERROR(__xludf.DUMMYFUNCTION("""COMPUTED_VALUE"""),"")</f>
        <v/>
      </c>
      <c r="J1232">
        <f>IFERROR(__xludf.DUMMYFUNCTION("""COMPUTED_VALUE"""),0.0)</f>
        <v>0</v>
      </c>
      <c r="L1232" s="250" t="str">
        <f>IFERROR(__xludf.DUMMYFUNCTION("""COMPUTED_VALUE"""),"")</f>
        <v/>
      </c>
      <c r="M1232" s="250" t="str">
        <f>IFERROR(__xludf.DUMMYFUNCTION("""COMPUTED_VALUE"""),"")</f>
        <v/>
      </c>
      <c r="N1232" s="250" t="str">
        <f>IFERROR(__xludf.DUMMYFUNCTION("""COMPUTED_VALUE"""),"")</f>
        <v/>
      </c>
      <c r="O1232" s="250" t="str">
        <f>IFERROR(__xludf.DUMMYFUNCTION("""COMPUTED_VALUE"""),"")</f>
        <v/>
      </c>
      <c r="P1232" s="250" t="str">
        <f>IFERROR(__xludf.DUMMYFUNCTION("""COMPUTED_VALUE"""),"")</f>
        <v/>
      </c>
      <c r="Q1232" s="250" t="str">
        <f>IFERROR(__xludf.DUMMYFUNCTION("""COMPUTED_VALUE"""),"")</f>
        <v/>
      </c>
      <c r="R1232" s="250" t="str">
        <f>IFERROR(__xludf.DUMMYFUNCTION("""COMPUTED_VALUE"""),"")</f>
        <v/>
      </c>
      <c r="U1232" s="250" t="str">
        <f>IFERROR(__xludf.DUMMYFUNCTION("""COMPUTED_VALUE"""),"#N/A")</f>
        <v>#N/A</v>
      </c>
      <c r="V1232" s="250" t="str">
        <f>IFERROR(__xludf.DUMMYFUNCTION("""COMPUTED_VALUE"""),"#N/A")</f>
        <v>#N/A</v>
      </c>
      <c r="W1232" s="250" t="str">
        <f>IFERROR(__xludf.DUMMYFUNCTION("""COMPUTED_VALUE"""),"#N/A")</f>
        <v>#N/A</v>
      </c>
      <c r="X1232" t="b">
        <f t="shared" ref="X1232:Z1232" si="2440">ISBLANK(K1232)</f>
        <v>1</v>
      </c>
      <c r="Y1232" t="b">
        <f t="shared" si="2440"/>
        <v>0</v>
      </c>
      <c r="Z1232" t="b">
        <f t="shared" si="2440"/>
        <v>0</v>
      </c>
      <c r="AA1232">
        <f t="shared" ref="AA1232:AC1232" si="2441">IF(X1232=FALSE,1,0)</f>
        <v>0</v>
      </c>
      <c r="AB1232">
        <f t="shared" si="2441"/>
        <v>1</v>
      </c>
      <c r="AC1232">
        <f t="shared" si="2441"/>
        <v>1</v>
      </c>
      <c r="AD1232">
        <f t="shared" si="6"/>
        <v>2</v>
      </c>
      <c r="AE1232">
        <f t="shared" si="7"/>
        <v>1</v>
      </c>
    </row>
    <row r="1233">
      <c r="B1233" t="str">
        <f>IFERROR(__xludf.DUMMYFUNCTION("""COMPUTED_VALUE"""),"")</f>
        <v/>
      </c>
      <c r="C1233" t="str">
        <f>IFERROR(__xludf.DUMMYFUNCTION("""COMPUTED_VALUE"""),"")</f>
        <v/>
      </c>
      <c r="D1233" t="str">
        <f>IFERROR(__xludf.DUMMYFUNCTION("""COMPUTED_VALUE"""),"")</f>
        <v/>
      </c>
      <c r="E1233" t="str">
        <f>IFERROR(__xludf.DUMMYFUNCTION("""COMPUTED_VALUE"""),"")</f>
        <v/>
      </c>
      <c r="F1233" t="str">
        <f>IFERROR(__xludf.DUMMYFUNCTION("""COMPUTED_VALUE"""),"")</f>
        <v/>
      </c>
      <c r="G1233" t="str">
        <f>IFERROR(__xludf.DUMMYFUNCTION("""COMPUTED_VALUE"""),"")</f>
        <v/>
      </c>
      <c r="H1233" t="str">
        <f>IFERROR(__xludf.DUMMYFUNCTION("""COMPUTED_VALUE"""),"")</f>
        <v/>
      </c>
      <c r="I1233" t="str">
        <f>IFERROR(__xludf.DUMMYFUNCTION("""COMPUTED_VALUE"""),"")</f>
        <v/>
      </c>
      <c r="J1233">
        <f>IFERROR(__xludf.DUMMYFUNCTION("""COMPUTED_VALUE"""),0.0)</f>
        <v>0</v>
      </c>
      <c r="L1233" s="250" t="str">
        <f>IFERROR(__xludf.DUMMYFUNCTION("""COMPUTED_VALUE"""),"")</f>
        <v/>
      </c>
      <c r="M1233" s="250" t="str">
        <f>IFERROR(__xludf.DUMMYFUNCTION("""COMPUTED_VALUE"""),"")</f>
        <v/>
      </c>
      <c r="N1233" s="250" t="str">
        <f>IFERROR(__xludf.DUMMYFUNCTION("""COMPUTED_VALUE"""),"")</f>
        <v/>
      </c>
      <c r="O1233" s="250" t="str">
        <f>IFERROR(__xludf.DUMMYFUNCTION("""COMPUTED_VALUE"""),"")</f>
        <v/>
      </c>
      <c r="P1233" s="250" t="str">
        <f>IFERROR(__xludf.DUMMYFUNCTION("""COMPUTED_VALUE"""),"")</f>
        <v/>
      </c>
      <c r="Q1233" s="250" t="str">
        <f>IFERROR(__xludf.DUMMYFUNCTION("""COMPUTED_VALUE"""),"")</f>
        <v/>
      </c>
      <c r="R1233" s="250" t="str">
        <f>IFERROR(__xludf.DUMMYFUNCTION("""COMPUTED_VALUE"""),"")</f>
        <v/>
      </c>
      <c r="U1233" s="250" t="str">
        <f>IFERROR(__xludf.DUMMYFUNCTION("""COMPUTED_VALUE"""),"#N/A")</f>
        <v>#N/A</v>
      </c>
      <c r="V1233" s="250" t="str">
        <f>IFERROR(__xludf.DUMMYFUNCTION("""COMPUTED_VALUE"""),"#N/A")</f>
        <v>#N/A</v>
      </c>
      <c r="W1233" s="250" t="str">
        <f>IFERROR(__xludf.DUMMYFUNCTION("""COMPUTED_VALUE"""),"#N/A")</f>
        <v>#N/A</v>
      </c>
      <c r="X1233" t="b">
        <f t="shared" ref="X1233:Z1233" si="2442">ISBLANK(K1233)</f>
        <v>1</v>
      </c>
      <c r="Y1233" t="b">
        <f t="shared" si="2442"/>
        <v>0</v>
      </c>
      <c r="Z1233" t="b">
        <f t="shared" si="2442"/>
        <v>0</v>
      </c>
      <c r="AA1233">
        <f t="shared" ref="AA1233:AC1233" si="2443">IF(X1233=FALSE,1,0)</f>
        <v>0</v>
      </c>
      <c r="AB1233">
        <f t="shared" si="2443"/>
        <v>1</v>
      </c>
      <c r="AC1233">
        <f t="shared" si="2443"/>
        <v>1</v>
      </c>
      <c r="AD1233">
        <f t="shared" si="6"/>
        <v>2</v>
      </c>
      <c r="AE1233">
        <f t="shared" si="7"/>
        <v>1</v>
      </c>
    </row>
    <row r="1234">
      <c r="B1234" t="str">
        <f>IFERROR(__xludf.DUMMYFUNCTION("""COMPUTED_VALUE"""),"")</f>
        <v/>
      </c>
      <c r="C1234" t="str">
        <f>IFERROR(__xludf.DUMMYFUNCTION("""COMPUTED_VALUE"""),"")</f>
        <v/>
      </c>
      <c r="D1234" t="str">
        <f>IFERROR(__xludf.DUMMYFUNCTION("""COMPUTED_VALUE"""),"")</f>
        <v/>
      </c>
      <c r="E1234" t="str">
        <f>IFERROR(__xludf.DUMMYFUNCTION("""COMPUTED_VALUE"""),"")</f>
        <v/>
      </c>
      <c r="F1234" t="str">
        <f>IFERROR(__xludf.DUMMYFUNCTION("""COMPUTED_VALUE"""),"")</f>
        <v/>
      </c>
      <c r="G1234" t="str">
        <f>IFERROR(__xludf.DUMMYFUNCTION("""COMPUTED_VALUE"""),"")</f>
        <v/>
      </c>
      <c r="H1234" t="str">
        <f>IFERROR(__xludf.DUMMYFUNCTION("""COMPUTED_VALUE"""),"")</f>
        <v/>
      </c>
      <c r="I1234" t="str">
        <f>IFERROR(__xludf.DUMMYFUNCTION("""COMPUTED_VALUE"""),"")</f>
        <v/>
      </c>
      <c r="J1234">
        <f>IFERROR(__xludf.DUMMYFUNCTION("""COMPUTED_VALUE"""),0.0)</f>
        <v>0</v>
      </c>
      <c r="L1234" s="250" t="str">
        <f>IFERROR(__xludf.DUMMYFUNCTION("""COMPUTED_VALUE"""),"")</f>
        <v/>
      </c>
      <c r="M1234" s="250" t="str">
        <f>IFERROR(__xludf.DUMMYFUNCTION("""COMPUTED_VALUE"""),"")</f>
        <v/>
      </c>
      <c r="N1234" s="250" t="str">
        <f>IFERROR(__xludf.DUMMYFUNCTION("""COMPUTED_VALUE"""),"")</f>
        <v/>
      </c>
      <c r="O1234" s="250" t="str">
        <f>IFERROR(__xludf.DUMMYFUNCTION("""COMPUTED_VALUE"""),"")</f>
        <v/>
      </c>
      <c r="P1234" s="250" t="str">
        <f>IFERROR(__xludf.DUMMYFUNCTION("""COMPUTED_VALUE"""),"")</f>
        <v/>
      </c>
      <c r="Q1234" s="250" t="str">
        <f>IFERROR(__xludf.DUMMYFUNCTION("""COMPUTED_VALUE"""),"")</f>
        <v/>
      </c>
      <c r="R1234" s="250" t="str">
        <f>IFERROR(__xludf.DUMMYFUNCTION("""COMPUTED_VALUE"""),"")</f>
        <v/>
      </c>
      <c r="U1234" s="250" t="str">
        <f>IFERROR(__xludf.DUMMYFUNCTION("""COMPUTED_VALUE"""),"#N/A")</f>
        <v>#N/A</v>
      </c>
      <c r="V1234" s="250" t="str">
        <f>IFERROR(__xludf.DUMMYFUNCTION("""COMPUTED_VALUE"""),"#N/A")</f>
        <v>#N/A</v>
      </c>
      <c r="W1234" s="250" t="str">
        <f>IFERROR(__xludf.DUMMYFUNCTION("""COMPUTED_VALUE"""),"#N/A")</f>
        <v>#N/A</v>
      </c>
      <c r="X1234" t="b">
        <f t="shared" ref="X1234:Z1234" si="2444">ISBLANK(K1234)</f>
        <v>1</v>
      </c>
      <c r="Y1234" t="b">
        <f t="shared" si="2444"/>
        <v>0</v>
      </c>
      <c r="Z1234" t="b">
        <f t="shared" si="2444"/>
        <v>0</v>
      </c>
      <c r="AA1234">
        <f t="shared" ref="AA1234:AC1234" si="2445">IF(X1234=FALSE,1,0)</f>
        <v>0</v>
      </c>
      <c r="AB1234">
        <f t="shared" si="2445"/>
        <v>1</v>
      </c>
      <c r="AC1234">
        <f t="shared" si="2445"/>
        <v>1</v>
      </c>
      <c r="AD1234">
        <f t="shared" si="6"/>
        <v>2</v>
      </c>
      <c r="AE1234">
        <f t="shared" si="7"/>
        <v>1</v>
      </c>
    </row>
    <row r="1235">
      <c r="B1235" t="str">
        <f>IFERROR(__xludf.DUMMYFUNCTION("""COMPUTED_VALUE"""),"")</f>
        <v/>
      </c>
      <c r="C1235" t="str">
        <f>IFERROR(__xludf.DUMMYFUNCTION("""COMPUTED_VALUE"""),"")</f>
        <v/>
      </c>
      <c r="D1235" t="str">
        <f>IFERROR(__xludf.DUMMYFUNCTION("""COMPUTED_VALUE"""),"")</f>
        <v/>
      </c>
      <c r="E1235" t="str">
        <f>IFERROR(__xludf.DUMMYFUNCTION("""COMPUTED_VALUE"""),"")</f>
        <v/>
      </c>
      <c r="F1235" t="str">
        <f>IFERROR(__xludf.DUMMYFUNCTION("""COMPUTED_VALUE"""),"")</f>
        <v/>
      </c>
      <c r="G1235" t="str">
        <f>IFERROR(__xludf.DUMMYFUNCTION("""COMPUTED_VALUE"""),"")</f>
        <v/>
      </c>
      <c r="H1235" t="str">
        <f>IFERROR(__xludf.DUMMYFUNCTION("""COMPUTED_VALUE"""),"")</f>
        <v/>
      </c>
      <c r="I1235" t="str">
        <f>IFERROR(__xludf.DUMMYFUNCTION("""COMPUTED_VALUE"""),"")</f>
        <v/>
      </c>
      <c r="J1235">
        <f>IFERROR(__xludf.DUMMYFUNCTION("""COMPUTED_VALUE"""),0.0)</f>
        <v>0</v>
      </c>
      <c r="L1235" s="250" t="str">
        <f>IFERROR(__xludf.DUMMYFUNCTION("""COMPUTED_VALUE"""),"")</f>
        <v/>
      </c>
      <c r="M1235" s="250" t="str">
        <f>IFERROR(__xludf.DUMMYFUNCTION("""COMPUTED_VALUE"""),"")</f>
        <v/>
      </c>
      <c r="N1235" s="250" t="str">
        <f>IFERROR(__xludf.DUMMYFUNCTION("""COMPUTED_VALUE"""),"")</f>
        <v/>
      </c>
      <c r="O1235" s="250" t="str">
        <f>IFERROR(__xludf.DUMMYFUNCTION("""COMPUTED_VALUE"""),"")</f>
        <v/>
      </c>
      <c r="P1235" s="250" t="str">
        <f>IFERROR(__xludf.DUMMYFUNCTION("""COMPUTED_VALUE"""),"")</f>
        <v/>
      </c>
      <c r="Q1235" s="250" t="str">
        <f>IFERROR(__xludf.DUMMYFUNCTION("""COMPUTED_VALUE"""),"")</f>
        <v/>
      </c>
      <c r="R1235" s="250" t="str">
        <f>IFERROR(__xludf.DUMMYFUNCTION("""COMPUTED_VALUE"""),"")</f>
        <v/>
      </c>
      <c r="U1235" s="250" t="str">
        <f>IFERROR(__xludf.DUMMYFUNCTION("""COMPUTED_VALUE"""),"#N/A")</f>
        <v>#N/A</v>
      </c>
      <c r="V1235" s="250" t="str">
        <f>IFERROR(__xludf.DUMMYFUNCTION("""COMPUTED_VALUE"""),"#N/A")</f>
        <v>#N/A</v>
      </c>
      <c r="W1235" s="250" t="str">
        <f>IFERROR(__xludf.DUMMYFUNCTION("""COMPUTED_VALUE"""),"#N/A")</f>
        <v>#N/A</v>
      </c>
      <c r="X1235" t="b">
        <f t="shared" ref="X1235:Z1235" si="2446">ISBLANK(K1235)</f>
        <v>1</v>
      </c>
      <c r="Y1235" t="b">
        <f t="shared" si="2446"/>
        <v>0</v>
      </c>
      <c r="Z1235" t="b">
        <f t="shared" si="2446"/>
        <v>0</v>
      </c>
      <c r="AA1235">
        <f t="shared" ref="AA1235:AC1235" si="2447">IF(X1235=FALSE,1,0)</f>
        <v>0</v>
      </c>
      <c r="AB1235">
        <f t="shared" si="2447"/>
        <v>1</v>
      </c>
      <c r="AC1235">
        <f t="shared" si="2447"/>
        <v>1</v>
      </c>
      <c r="AD1235">
        <f t="shared" si="6"/>
        <v>2</v>
      </c>
      <c r="AE1235">
        <f t="shared" si="7"/>
        <v>1</v>
      </c>
    </row>
    <row r="1236">
      <c r="B1236" t="str">
        <f>IFERROR(__xludf.DUMMYFUNCTION("""COMPUTED_VALUE"""),"")</f>
        <v/>
      </c>
      <c r="C1236" t="str">
        <f>IFERROR(__xludf.DUMMYFUNCTION("""COMPUTED_VALUE"""),"")</f>
        <v/>
      </c>
      <c r="D1236" t="str">
        <f>IFERROR(__xludf.DUMMYFUNCTION("""COMPUTED_VALUE"""),"")</f>
        <v/>
      </c>
      <c r="E1236" t="str">
        <f>IFERROR(__xludf.DUMMYFUNCTION("""COMPUTED_VALUE"""),"")</f>
        <v/>
      </c>
      <c r="F1236" t="str">
        <f>IFERROR(__xludf.DUMMYFUNCTION("""COMPUTED_VALUE"""),"")</f>
        <v/>
      </c>
      <c r="G1236" t="str">
        <f>IFERROR(__xludf.DUMMYFUNCTION("""COMPUTED_VALUE"""),"")</f>
        <v/>
      </c>
      <c r="H1236" t="str">
        <f>IFERROR(__xludf.DUMMYFUNCTION("""COMPUTED_VALUE"""),"")</f>
        <v/>
      </c>
      <c r="I1236" t="str">
        <f>IFERROR(__xludf.DUMMYFUNCTION("""COMPUTED_VALUE"""),"")</f>
        <v/>
      </c>
      <c r="J1236">
        <f>IFERROR(__xludf.DUMMYFUNCTION("""COMPUTED_VALUE"""),0.0)</f>
        <v>0</v>
      </c>
      <c r="L1236" s="250" t="str">
        <f>IFERROR(__xludf.DUMMYFUNCTION("""COMPUTED_VALUE"""),"")</f>
        <v/>
      </c>
      <c r="M1236" s="250" t="str">
        <f>IFERROR(__xludf.DUMMYFUNCTION("""COMPUTED_VALUE"""),"")</f>
        <v/>
      </c>
      <c r="N1236" s="250" t="str">
        <f>IFERROR(__xludf.DUMMYFUNCTION("""COMPUTED_VALUE"""),"")</f>
        <v/>
      </c>
      <c r="O1236" s="250" t="str">
        <f>IFERROR(__xludf.DUMMYFUNCTION("""COMPUTED_VALUE"""),"")</f>
        <v/>
      </c>
      <c r="P1236" s="250" t="str">
        <f>IFERROR(__xludf.DUMMYFUNCTION("""COMPUTED_VALUE"""),"")</f>
        <v/>
      </c>
      <c r="Q1236" s="250" t="str">
        <f>IFERROR(__xludf.DUMMYFUNCTION("""COMPUTED_VALUE"""),"")</f>
        <v/>
      </c>
      <c r="R1236" s="250" t="str">
        <f>IFERROR(__xludf.DUMMYFUNCTION("""COMPUTED_VALUE"""),"")</f>
        <v/>
      </c>
      <c r="U1236" s="250" t="str">
        <f>IFERROR(__xludf.DUMMYFUNCTION("""COMPUTED_VALUE"""),"#N/A")</f>
        <v>#N/A</v>
      </c>
      <c r="V1236" s="250" t="str">
        <f>IFERROR(__xludf.DUMMYFUNCTION("""COMPUTED_VALUE"""),"#N/A")</f>
        <v>#N/A</v>
      </c>
      <c r="W1236" s="250" t="str">
        <f>IFERROR(__xludf.DUMMYFUNCTION("""COMPUTED_VALUE"""),"#N/A")</f>
        <v>#N/A</v>
      </c>
      <c r="X1236" t="b">
        <f t="shared" ref="X1236:Z1236" si="2448">ISBLANK(K1236)</f>
        <v>1</v>
      </c>
      <c r="Y1236" t="b">
        <f t="shared" si="2448"/>
        <v>0</v>
      </c>
      <c r="Z1236" t="b">
        <f t="shared" si="2448"/>
        <v>0</v>
      </c>
      <c r="AA1236">
        <f t="shared" ref="AA1236:AC1236" si="2449">IF(X1236=FALSE,1,0)</f>
        <v>0</v>
      </c>
      <c r="AB1236">
        <f t="shared" si="2449"/>
        <v>1</v>
      </c>
      <c r="AC1236">
        <f t="shared" si="2449"/>
        <v>1</v>
      </c>
      <c r="AD1236">
        <f t="shared" si="6"/>
        <v>2</v>
      </c>
      <c r="AE1236">
        <f t="shared" si="7"/>
        <v>1</v>
      </c>
    </row>
    <row r="1237">
      <c r="B1237" t="str">
        <f>IFERROR(__xludf.DUMMYFUNCTION("""COMPUTED_VALUE"""),"")</f>
        <v/>
      </c>
      <c r="C1237" t="str">
        <f>IFERROR(__xludf.DUMMYFUNCTION("""COMPUTED_VALUE"""),"")</f>
        <v/>
      </c>
      <c r="D1237" t="str">
        <f>IFERROR(__xludf.DUMMYFUNCTION("""COMPUTED_VALUE"""),"")</f>
        <v/>
      </c>
      <c r="E1237" t="str">
        <f>IFERROR(__xludf.DUMMYFUNCTION("""COMPUTED_VALUE"""),"")</f>
        <v/>
      </c>
      <c r="F1237" t="str">
        <f>IFERROR(__xludf.DUMMYFUNCTION("""COMPUTED_VALUE"""),"")</f>
        <v/>
      </c>
      <c r="G1237" t="str">
        <f>IFERROR(__xludf.DUMMYFUNCTION("""COMPUTED_VALUE"""),"")</f>
        <v/>
      </c>
      <c r="H1237" t="str">
        <f>IFERROR(__xludf.DUMMYFUNCTION("""COMPUTED_VALUE"""),"")</f>
        <v/>
      </c>
      <c r="I1237" t="str">
        <f>IFERROR(__xludf.DUMMYFUNCTION("""COMPUTED_VALUE"""),"")</f>
        <v/>
      </c>
      <c r="J1237">
        <f>IFERROR(__xludf.DUMMYFUNCTION("""COMPUTED_VALUE"""),0.0)</f>
        <v>0</v>
      </c>
      <c r="L1237" s="250" t="str">
        <f>IFERROR(__xludf.DUMMYFUNCTION("""COMPUTED_VALUE"""),"")</f>
        <v/>
      </c>
      <c r="M1237" s="250" t="str">
        <f>IFERROR(__xludf.DUMMYFUNCTION("""COMPUTED_VALUE"""),"")</f>
        <v/>
      </c>
      <c r="N1237" s="250" t="str">
        <f>IFERROR(__xludf.DUMMYFUNCTION("""COMPUTED_VALUE"""),"")</f>
        <v/>
      </c>
      <c r="O1237" s="250" t="str">
        <f>IFERROR(__xludf.DUMMYFUNCTION("""COMPUTED_VALUE"""),"")</f>
        <v/>
      </c>
      <c r="P1237" s="250" t="str">
        <f>IFERROR(__xludf.DUMMYFUNCTION("""COMPUTED_VALUE"""),"")</f>
        <v/>
      </c>
      <c r="Q1237" s="250" t="str">
        <f>IFERROR(__xludf.DUMMYFUNCTION("""COMPUTED_VALUE"""),"")</f>
        <v/>
      </c>
      <c r="R1237" s="250" t="str">
        <f>IFERROR(__xludf.DUMMYFUNCTION("""COMPUTED_VALUE"""),"")</f>
        <v/>
      </c>
      <c r="U1237" s="250" t="str">
        <f>IFERROR(__xludf.DUMMYFUNCTION("""COMPUTED_VALUE"""),"#N/A")</f>
        <v>#N/A</v>
      </c>
      <c r="V1237" s="250" t="str">
        <f>IFERROR(__xludf.DUMMYFUNCTION("""COMPUTED_VALUE"""),"#N/A")</f>
        <v>#N/A</v>
      </c>
      <c r="W1237" s="250" t="str">
        <f>IFERROR(__xludf.DUMMYFUNCTION("""COMPUTED_VALUE"""),"#N/A")</f>
        <v>#N/A</v>
      </c>
      <c r="X1237" t="b">
        <f t="shared" ref="X1237:Z1237" si="2450">ISBLANK(K1237)</f>
        <v>1</v>
      </c>
      <c r="Y1237" t="b">
        <f t="shared" si="2450"/>
        <v>0</v>
      </c>
      <c r="Z1237" t="b">
        <f t="shared" si="2450"/>
        <v>0</v>
      </c>
      <c r="AA1237">
        <f t="shared" ref="AA1237:AC1237" si="2451">IF(X1237=FALSE,1,0)</f>
        <v>0</v>
      </c>
      <c r="AB1237">
        <f t="shared" si="2451"/>
        <v>1</v>
      </c>
      <c r="AC1237">
        <f t="shared" si="2451"/>
        <v>1</v>
      </c>
      <c r="AD1237">
        <f t="shared" si="6"/>
        <v>2</v>
      </c>
      <c r="AE1237">
        <f t="shared" si="7"/>
        <v>1</v>
      </c>
    </row>
    <row r="1238">
      <c r="B1238" t="str">
        <f>IFERROR(__xludf.DUMMYFUNCTION("""COMPUTED_VALUE"""),"")</f>
        <v/>
      </c>
      <c r="C1238" t="str">
        <f>IFERROR(__xludf.DUMMYFUNCTION("""COMPUTED_VALUE"""),"")</f>
        <v/>
      </c>
      <c r="D1238" t="str">
        <f>IFERROR(__xludf.DUMMYFUNCTION("""COMPUTED_VALUE"""),"")</f>
        <v/>
      </c>
      <c r="E1238" t="str">
        <f>IFERROR(__xludf.DUMMYFUNCTION("""COMPUTED_VALUE"""),"")</f>
        <v/>
      </c>
      <c r="F1238" t="str">
        <f>IFERROR(__xludf.DUMMYFUNCTION("""COMPUTED_VALUE"""),"")</f>
        <v/>
      </c>
      <c r="G1238" t="str">
        <f>IFERROR(__xludf.DUMMYFUNCTION("""COMPUTED_VALUE"""),"")</f>
        <v/>
      </c>
      <c r="H1238" t="str">
        <f>IFERROR(__xludf.DUMMYFUNCTION("""COMPUTED_VALUE"""),"")</f>
        <v/>
      </c>
      <c r="I1238" t="str">
        <f>IFERROR(__xludf.DUMMYFUNCTION("""COMPUTED_VALUE"""),"")</f>
        <v/>
      </c>
      <c r="J1238">
        <f>IFERROR(__xludf.DUMMYFUNCTION("""COMPUTED_VALUE"""),0.0)</f>
        <v>0</v>
      </c>
      <c r="L1238" s="250" t="str">
        <f>IFERROR(__xludf.DUMMYFUNCTION("""COMPUTED_VALUE"""),"")</f>
        <v/>
      </c>
      <c r="M1238" s="250" t="str">
        <f>IFERROR(__xludf.DUMMYFUNCTION("""COMPUTED_VALUE"""),"")</f>
        <v/>
      </c>
      <c r="N1238" s="250" t="str">
        <f>IFERROR(__xludf.DUMMYFUNCTION("""COMPUTED_VALUE"""),"")</f>
        <v/>
      </c>
      <c r="O1238" s="250" t="str">
        <f>IFERROR(__xludf.DUMMYFUNCTION("""COMPUTED_VALUE"""),"")</f>
        <v/>
      </c>
      <c r="P1238" s="250" t="str">
        <f>IFERROR(__xludf.DUMMYFUNCTION("""COMPUTED_VALUE"""),"")</f>
        <v/>
      </c>
      <c r="Q1238" s="250" t="str">
        <f>IFERROR(__xludf.DUMMYFUNCTION("""COMPUTED_VALUE"""),"")</f>
        <v/>
      </c>
      <c r="R1238" s="250" t="str">
        <f>IFERROR(__xludf.DUMMYFUNCTION("""COMPUTED_VALUE"""),"")</f>
        <v/>
      </c>
      <c r="U1238" s="250" t="str">
        <f>IFERROR(__xludf.DUMMYFUNCTION("""COMPUTED_VALUE"""),"#N/A")</f>
        <v>#N/A</v>
      </c>
      <c r="V1238" s="250" t="str">
        <f>IFERROR(__xludf.DUMMYFUNCTION("""COMPUTED_VALUE"""),"#N/A")</f>
        <v>#N/A</v>
      </c>
      <c r="W1238" s="250" t="str">
        <f>IFERROR(__xludf.DUMMYFUNCTION("""COMPUTED_VALUE"""),"#N/A")</f>
        <v>#N/A</v>
      </c>
      <c r="X1238" t="b">
        <f t="shared" ref="X1238:Z1238" si="2452">ISBLANK(K1238)</f>
        <v>1</v>
      </c>
      <c r="Y1238" t="b">
        <f t="shared" si="2452"/>
        <v>0</v>
      </c>
      <c r="Z1238" t="b">
        <f t="shared" si="2452"/>
        <v>0</v>
      </c>
      <c r="AA1238">
        <f t="shared" ref="AA1238:AC1238" si="2453">IF(X1238=FALSE,1,0)</f>
        <v>0</v>
      </c>
      <c r="AB1238">
        <f t="shared" si="2453"/>
        <v>1</v>
      </c>
      <c r="AC1238">
        <f t="shared" si="2453"/>
        <v>1</v>
      </c>
      <c r="AD1238">
        <f t="shared" si="6"/>
        <v>2</v>
      </c>
      <c r="AE1238">
        <f t="shared" si="7"/>
        <v>1</v>
      </c>
    </row>
    <row r="1239">
      <c r="B1239" t="str">
        <f>IFERROR(__xludf.DUMMYFUNCTION("""COMPUTED_VALUE"""),"")</f>
        <v/>
      </c>
      <c r="C1239" t="str">
        <f>IFERROR(__xludf.DUMMYFUNCTION("""COMPUTED_VALUE"""),"")</f>
        <v/>
      </c>
      <c r="D1239" t="str">
        <f>IFERROR(__xludf.DUMMYFUNCTION("""COMPUTED_VALUE"""),"")</f>
        <v/>
      </c>
      <c r="E1239" t="str">
        <f>IFERROR(__xludf.DUMMYFUNCTION("""COMPUTED_VALUE"""),"")</f>
        <v/>
      </c>
      <c r="F1239" t="str">
        <f>IFERROR(__xludf.DUMMYFUNCTION("""COMPUTED_VALUE"""),"")</f>
        <v/>
      </c>
      <c r="G1239" t="str">
        <f>IFERROR(__xludf.DUMMYFUNCTION("""COMPUTED_VALUE"""),"")</f>
        <v/>
      </c>
      <c r="H1239" t="str">
        <f>IFERROR(__xludf.DUMMYFUNCTION("""COMPUTED_VALUE"""),"")</f>
        <v/>
      </c>
      <c r="I1239" t="str">
        <f>IFERROR(__xludf.DUMMYFUNCTION("""COMPUTED_VALUE"""),"")</f>
        <v/>
      </c>
      <c r="J1239">
        <f>IFERROR(__xludf.DUMMYFUNCTION("""COMPUTED_VALUE"""),0.0)</f>
        <v>0</v>
      </c>
      <c r="L1239" s="250" t="str">
        <f>IFERROR(__xludf.DUMMYFUNCTION("""COMPUTED_VALUE"""),"")</f>
        <v/>
      </c>
      <c r="M1239" s="250" t="str">
        <f>IFERROR(__xludf.DUMMYFUNCTION("""COMPUTED_VALUE"""),"")</f>
        <v/>
      </c>
      <c r="N1239" s="250" t="str">
        <f>IFERROR(__xludf.DUMMYFUNCTION("""COMPUTED_VALUE"""),"")</f>
        <v/>
      </c>
      <c r="O1239" s="250" t="str">
        <f>IFERROR(__xludf.DUMMYFUNCTION("""COMPUTED_VALUE"""),"")</f>
        <v/>
      </c>
      <c r="P1239" s="250" t="str">
        <f>IFERROR(__xludf.DUMMYFUNCTION("""COMPUTED_VALUE"""),"")</f>
        <v/>
      </c>
      <c r="Q1239" s="250" t="str">
        <f>IFERROR(__xludf.DUMMYFUNCTION("""COMPUTED_VALUE"""),"")</f>
        <v/>
      </c>
      <c r="R1239" s="250" t="str">
        <f>IFERROR(__xludf.DUMMYFUNCTION("""COMPUTED_VALUE"""),"")</f>
        <v/>
      </c>
      <c r="U1239" s="250" t="str">
        <f>IFERROR(__xludf.DUMMYFUNCTION("""COMPUTED_VALUE"""),"#N/A")</f>
        <v>#N/A</v>
      </c>
      <c r="V1239" s="250" t="str">
        <f>IFERROR(__xludf.DUMMYFUNCTION("""COMPUTED_VALUE"""),"#N/A")</f>
        <v>#N/A</v>
      </c>
      <c r="W1239" s="250" t="str">
        <f>IFERROR(__xludf.DUMMYFUNCTION("""COMPUTED_VALUE"""),"#N/A")</f>
        <v>#N/A</v>
      </c>
      <c r="X1239" t="b">
        <f t="shared" ref="X1239:Z1239" si="2454">ISBLANK(K1239)</f>
        <v>1</v>
      </c>
      <c r="Y1239" t="b">
        <f t="shared" si="2454"/>
        <v>0</v>
      </c>
      <c r="Z1239" t="b">
        <f t="shared" si="2454"/>
        <v>0</v>
      </c>
      <c r="AA1239">
        <f t="shared" ref="AA1239:AC1239" si="2455">IF(X1239=FALSE,1,0)</f>
        <v>0</v>
      </c>
      <c r="AB1239">
        <f t="shared" si="2455"/>
        <v>1</v>
      </c>
      <c r="AC1239">
        <f t="shared" si="2455"/>
        <v>1</v>
      </c>
      <c r="AD1239">
        <f t="shared" si="6"/>
        <v>2</v>
      </c>
      <c r="AE1239">
        <f t="shared" si="7"/>
        <v>1</v>
      </c>
    </row>
    <row r="1240">
      <c r="B1240" t="str">
        <f>IFERROR(__xludf.DUMMYFUNCTION("""COMPUTED_VALUE"""),"")</f>
        <v/>
      </c>
      <c r="C1240" t="str">
        <f>IFERROR(__xludf.DUMMYFUNCTION("""COMPUTED_VALUE"""),"")</f>
        <v/>
      </c>
      <c r="D1240" t="str">
        <f>IFERROR(__xludf.DUMMYFUNCTION("""COMPUTED_VALUE"""),"")</f>
        <v/>
      </c>
      <c r="E1240" t="str">
        <f>IFERROR(__xludf.DUMMYFUNCTION("""COMPUTED_VALUE"""),"")</f>
        <v/>
      </c>
      <c r="F1240" t="str">
        <f>IFERROR(__xludf.DUMMYFUNCTION("""COMPUTED_VALUE"""),"")</f>
        <v/>
      </c>
      <c r="G1240" t="str">
        <f>IFERROR(__xludf.DUMMYFUNCTION("""COMPUTED_VALUE"""),"")</f>
        <v/>
      </c>
      <c r="H1240" t="str">
        <f>IFERROR(__xludf.DUMMYFUNCTION("""COMPUTED_VALUE"""),"")</f>
        <v/>
      </c>
      <c r="I1240" t="str">
        <f>IFERROR(__xludf.DUMMYFUNCTION("""COMPUTED_VALUE"""),"")</f>
        <v/>
      </c>
      <c r="J1240">
        <f>IFERROR(__xludf.DUMMYFUNCTION("""COMPUTED_VALUE"""),0.0)</f>
        <v>0</v>
      </c>
      <c r="L1240" s="250" t="str">
        <f>IFERROR(__xludf.DUMMYFUNCTION("""COMPUTED_VALUE"""),"")</f>
        <v/>
      </c>
      <c r="M1240" s="250" t="str">
        <f>IFERROR(__xludf.DUMMYFUNCTION("""COMPUTED_VALUE"""),"")</f>
        <v/>
      </c>
      <c r="N1240" s="250" t="str">
        <f>IFERROR(__xludf.DUMMYFUNCTION("""COMPUTED_VALUE"""),"")</f>
        <v/>
      </c>
      <c r="O1240" s="250" t="str">
        <f>IFERROR(__xludf.DUMMYFUNCTION("""COMPUTED_VALUE"""),"")</f>
        <v/>
      </c>
      <c r="P1240" s="250" t="str">
        <f>IFERROR(__xludf.DUMMYFUNCTION("""COMPUTED_VALUE"""),"")</f>
        <v/>
      </c>
      <c r="Q1240" s="250" t="str">
        <f>IFERROR(__xludf.DUMMYFUNCTION("""COMPUTED_VALUE"""),"")</f>
        <v/>
      </c>
      <c r="R1240" s="250" t="str">
        <f>IFERROR(__xludf.DUMMYFUNCTION("""COMPUTED_VALUE"""),"")</f>
        <v/>
      </c>
      <c r="U1240" s="250" t="str">
        <f>IFERROR(__xludf.DUMMYFUNCTION("""COMPUTED_VALUE"""),"#N/A")</f>
        <v>#N/A</v>
      </c>
      <c r="V1240" s="250" t="str">
        <f>IFERROR(__xludf.DUMMYFUNCTION("""COMPUTED_VALUE"""),"#N/A")</f>
        <v>#N/A</v>
      </c>
      <c r="W1240" s="250" t="str">
        <f>IFERROR(__xludf.DUMMYFUNCTION("""COMPUTED_VALUE"""),"#N/A")</f>
        <v>#N/A</v>
      </c>
      <c r="X1240" t="b">
        <f t="shared" ref="X1240:Z1240" si="2456">ISBLANK(K1240)</f>
        <v>1</v>
      </c>
      <c r="Y1240" t="b">
        <f t="shared" si="2456"/>
        <v>0</v>
      </c>
      <c r="Z1240" t="b">
        <f t="shared" si="2456"/>
        <v>0</v>
      </c>
      <c r="AA1240">
        <f t="shared" ref="AA1240:AC1240" si="2457">IF(X1240=FALSE,1,0)</f>
        <v>0</v>
      </c>
      <c r="AB1240">
        <f t="shared" si="2457"/>
        <v>1</v>
      </c>
      <c r="AC1240">
        <f t="shared" si="2457"/>
        <v>1</v>
      </c>
      <c r="AD1240">
        <f t="shared" si="6"/>
        <v>2</v>
      </c>
      <c r="AE1240">
        <f t="shared" si="7"/>
        <v>1</v>
      </c>
    </row>
    <row r="1241">
      <c r="B1241" t="str">
        <f>IFERROR(__xludf.DUMMYFUNCTION("""COMPUTED_VALUE"""),"")</f>
        <v/>
      </c>
      <c r="C1241" t="str">
        <f>IFERROR(__xludf.DUMMYFUNCTION("""COMPUTED_VALUE"""),"")</f>
        <v/>
      </c>
      <c r="D1241" t="str">
        <f>IFERROR(__xludf.DUMMYFUNCTION("""COMPUTED_VALUE"""),"")</f>
        <v/>
      </c>
      <c r="E1241" t="str">
        <f>IFERROR(__xludf.DUMMYFUNCTION("""COMPUTED_VALUE"""),"")</f>
        <v/>
      </c>
      <c r="F1241" t="str">
        <f>IFERROR(__xludf.DUMMYFUNCTION("""COMPUTED_VALUE"""),"")</f>
        <v/>
      </c>
      <c r="G1241" t="str">
        <f>IFERROR(__xludf.DUMMYFUNCTION("""COMPUTED_VALUE"""),"")</f>
        <v/>
      </c>
      <c r="H1241" t="str">
        <f>IFERROR(__xludf.DUMMYFUNCTION("""COMPUTED_VALUE"""),"")</f>
        <v/>
      </c>
      <c r="I1241" t="str">
        <f>IFERROR(__xludf.DUMMYFUNCTION("""COMPUTED_VALUE"""),"")</f>
        <v/>
      </c>
      <c r="J1241">
        <f>IFERROR(__xludf.DUMMYFUNCTION("""COMPUTED_VALUE"""),0.0)</f>
        <v>0</v>
      </c>
      <c r="L1241" s="250" t="str">
        <f>IFERROR(__xludf.DUMMYFUNCTION("""COMPUTED_VALUE"""),"")</f>
        <v/>
      </c>
      <c r="M1241" s="250" t="str">
        <f>IFERROR(__xludf.DUMMYFUNCTION("""COMPUTED_VALUE"""),"")</f>
        <v/>
      </c>
      <c r="N1241" s="250" t="str">
        <f>IFERROR(__xludf.DUMMYFUNCTION("""COMPUTED_VALUE"""),"")</f>
        <v/>
      </c>
      <c r="O1241" s="250" t="str">
        <f>IFERROR(__xludf.DUMMYFUNCTION("""COMPUTED_VALUE"""),"")</f>
        <v/>
      </c>
      <c r="P1241" s="250" t="str">
        <f>IFERROR(__xludf.DUMMYFUNCTION("""COMPUTED_VALUE"""),"")</f>
        <v/>
      </c>
      <c r="Q1241" s="250" t="str">
        <f>IFERROR(__xludf.DUMMYFUNCTION("""COMPUTED_VALUE"""),"")</f>
        <v/>
      </c>
      <c r="R1241" s="250" t="str">
        <f>IFERROR(__xludf.DUMMYFUNCTION("""COMPUTED_VALUE"""),"")</f>
        <v/>
      </c>
      <c r="U1241" s="250" t="str">
        <f>IFERROR(__xludf.DUMMYFUNCTION("""COMPUTED_VALUE"""),"#N/A")</f>
        <v>#N/A</v>
      </c>
      <c r="V1241" s="250" t="str">
        <f>IFERROR(__xludf.DUMMYFUNCTION("""COMPUTED_VALUE"""),"#N/A")</f>
        <v>#N/A</v>
      </c>
      <c r="W1241" s="250" t="str">
        <f>IFERROR(__xludf.DUMMYFUNCTION("""COMPUTED_VALUE"""),"#N/A")</f>
        <v>#N/A</v>
      </c>
      <c r="X1241" t="b">
        <f t="shared" ref="X1241:Z1241" si="2458">ISBLANK(K1241)</f>
        <v>1</v>
      </c>
      <c r="Y1241" t="b">
        <f t="shared" si="2458"/>
        <v>0</v>
      </c>
      <c r="Z1241" t="b">
        <f t="shared" si="2458"/>
        <v>0</v>
      </c>
      <c r="AA1241">
        <f t="shared" ref="AA1241:AC1241" si="2459">IF(X1241=FALSE,1,0)</f>
        <v>0</v>
      </c>
      <c r="AB1241">
        <f t="shared" si="2459"/>
        <v>1</v>
      </c>
      <c r="AC1241">
        <f t="shared" si="2459"/>
        <v>1</v>
      </c>
      <c r="AD1241">
        <f t="shared" si="6"/>
        <v>2</v>
      </c>
      <c r="AE1241">
        <f t="shared" si="7"/>
        <v>1</v>
      </c>
    </row>
    <row r="1242">
      <c r="B1242" t="str">
        <f>IFERROR(__xludf.DUMMYFUNCTION("""COMPUTED_VALUE"""),"")</f>
        <v/>
      </c>
      <c r="C1242" t="str">
        <f>IFERROR(__xludf.DUMMYFUNCTION("""COMPUTED_VALUE"""),"")</f>
        <v/>
      </c>
      <c r="D1242" t="str">
        <f>IFERROR(__xludf.DUMMYFUNCTION("""COMPUTED_VALUE"""),"")</f>
        <v/>
      </c>
      <c r="E1242" t="str">
        <f>IFERROR(__xludf.DUMMYFUNCTION("""COMPUTED_VALUE"""),"")</f>
        <v/>
      </c>
      <c r="F1242" t="str">
        <f>IFERROR(__xludf.DUMMYFUNCTION("""COMPUTED_VALUE"""),"")</f>
        <v/>
      </c>
      <c r="G1242" t="str">
        <f>IFERROR(__xludf.DUMMYFUNCTION("""COMPUTED_VALUE"""),"")</f>
        <v/>
      </c>
      <c r="H1242" t="str">
        <f>IFERROR(__xludf.DUMMYFUNCTION("""COMPUTED_VALUE"""),"")</f>
        <v/>
      </c>
      <c r="I1242" t="str">
        <f>IFERROR(__xludf.DUMMYFUNCTION("""COMPUTED_VALUE"""),"")</f>
        <v/>
      </c>
      <c r="J1242">
        <f>IFERROR(__xludf.DUMMYFUNCTION("""COMPUTED_VALUE"""),0.0)</f>
        <v>0</v>
      </c>
      <c r="L1242" s="250" t="str">
        <f>IFERROR(__xludf.DUMMYFUNCTION("""COMPUTED_VALUE"""),"")</f>
        <v/>
      </c>
      <c r="M1242" s="250" t="str">
        <f>IFERROR(__xludf.DUMMYFUNCTION("""COMPUTED_VALUE"""),"")</f>
        <v/>
      </c>
      <c r="N1242" s="250" t="str">
        <f>IFERROR(__xludf.DUMMYFUNCTION("""COMPUTED_VALUE"""),"")</f>
        <v/>
      </c>
      <c r="O1242" s="250" t="str">
        <f>IFERROR(__xludf.DUMMYFUNCTION("""COMPUTED_VALUE"""),"")</f>
        <v/>
      </c>
      <c r="P1242" s="250" t="str">
        <f>IFERROR(__xludf.DUMMYFUNCTION("""COMPUTED_VALUE"""),"")</f>
        <v/>
      </c>
      <c r="Q1242" s="250" t="str">
        <f>IFERROR(__xludf.DUMMYFUNCTION("""COMPUTED_VALUE"""),"")</f>
        <v/>
      </c>
      <c r="R1242" s="250" t="str">
        <f>IFERROR(__xludf.DUMMYFUNCTION("""COMPUTED_VALUE"""),"")</f>
        <v/>
      </c>
      <c r="U1242" s="250" t="str">
        <f>IFERROR(__xludf.DUMMYFUNCTION("""COMPUTED_VALUE"""),"#N/A")</f>
        <v>#N/A</v>
      </c>
      <c r="V1242" s="250" t="str">
        <f>IFERROR(__xludf.DUMMYFUNCTION("""COMPUTED_VALUE"""),"#N/A")</f>
        <v>#N/A</v>
      </c>
      <c r="W1242" s="250" t="str">
        <f>IFERROR(__xludf.DUMMYFUNCTION("""COMPUTED_VALUE"""),"#N/A")</f>
        <v>#N/A</v>
      </c>
      <c r="X1242" t="b">
        <f t="shared" ref="X1242:Z1242" si="2460">ISBLANK(K1242)</f>
        <v>1</v>
      </c>
      <c r="Y1242" t="b">
        <f t="shared" si="2460"/>
        <v>0</v>
      </c>
      <c r="Z1242" t="b">
        <f t="shared" si="2460"/>
        <v>0</v>
      </c>
      <c r="AA1242">
        <f t="shared" ref="AA1242:AC1242" si="2461">IF(X1242=FALSE,1,0)</f>
        <v>0</v>
      </c>
      <c r="AB1242">
        <f t="shared" si="2461"/>
        <v>1</v>
      </c>
      <c r="AC1242">
        <f t="shared" si="2461"/>
        <v>1</v>
      </c>
      <c r="AD1242">
        <f t="shared" si="6"/>
        <v>2</v>
      </c>
      <c r="AE1242">
        <f t="shared" si="7"/>
        <v>1</v>
      </c>
    </row>
    <row r="1243">
      <c r="B1243" t="str">
        <f>IFERROR(__xludf.DUMMYFUNCTION("""COMPUTED_VALUE"""),"")</f>
        <v/>
      </c>
      <c r="C1243" t="str">
        <f>IFERROR(__xludf.DUMMYFUNCTION("""COMPUTED_VALUE"""),"")</f>
        <v/>
      </c>
      <c r="D1243" t="str">
        <f>IFERROR(__xludf.DUMMYFUNCTION("""COMPUTED_VALUE"""),"")</f>
        <v/>
      </c>
      <c r="E1243" t="str">
        <f>IFERROR(__xludf.DUMMYFUNCTION("""COMPUTED_VALUE"""),"")</f>
        <v/>
      </c>
      <c r="F1243" t="str">
        <f>IFERROR(__xludf.DUMMYFUNCTION("""COMPUTED_VALUE"""),"")</f>
        <v/>
      </c>
      <c r="G1243" t="str">
        <f>IFERROR(__xludf.DUMMYFUNCTION("""COMPUTED_VALUE"""),"")</f>
        <v/>
      </c>
      <c r="H1243" t="str">
        <f>IFERROR(__xludf.DUMMYFUNCTION("""COMPUTED_VALUE"""),"")</f>
        <v/>
      </c>
      <c r="I1243" t="str">
        <f>IFERROR(__xludf.DUMMYFUNCTION("""COMPUTED_VALUE"""),"")</f>
        <v/>
      </c>
      <c r="J1243">
        <f>IFERROR(__xludf.DUMMYFUNCTION("""COMPUTED_VALUE"""),0.0)</f>
        <v>0</v>
      </c>
      <c r="L1243" s="250" t="str">
        <f>IFERROR(__xludf.DUMMYFUNCTION("""COMPUTED_VALUE"""),"")</f>
        <v/>
      </c>
      <c r="M1243" s="250" t="str">
        <f>IFERROR(__xludf.DUMMYFUNCTION("""COMPUTED_VALUE"""),"")</f>
        <v/>
      </c>
      <c r="N1243" s="250" t="str">
        <f>IFERROR(__xludf.DUMMYFUNCTION("""COMPUTED_VALUE"""),"")</f>
        <v/>
      </c>
      <c r="O1243" s="250" t="str">
        <f>IFERROR(__xludf.DUMMYFUNCTION("""COMPUTED_VALUE"""),"")</f>
        <v/>
      </c>
      <c r="P1243" s="250" t="str">
        <f>IFERROR(__xludf.DUMMYFUNCTION("""COMPUTED_VALUE"""),"")</f>
        <v/>
      </c>
      <c r="Q1243" s="250" t="str">
        <f>IFERROR(__xludf.DUMMYFUNCTION("""COMPUTED_VALUE"""),"")</f>
        <v/>
      </c>
      <c r="R1243" s="250" t="str">
        <f>IFERROR(__xludf.DUMMYFUNCTION("""COMPUTED_VALUE"""),"")</f>
        <v/>
      </c>
      <c r="U1243" s="250" t="str">
        <f>IFERROR(__xludf.DUMMYFUNCTION("""COMPUTED_VALUE"""),"#N/A")</f>
        <v>#N/A</v>
      </c>
      <c r="V1243" s="250" t="str">
        <f>IFERROR(__xludf.DUMMYFUNCTION("""COMPUTED_VALUE"""),"#N/A")</f>
        <v>#N/A</v>
      </c>
      <c r="W1243" s="250" t="str">
        <f>IFERROR(__xludf.DUMMYFUNCTION("""COMPUTED_VALUE"""),"#N/A")</f>
        <v>#N/A</v>
      </c>
      <c r="X1243" t="b">
        <f t="shared" ref="X1243:Z1243" si="2462">ISBLANK(K1243)</f>
        <v>1</v>
      </c>
      <c r="Y1243" t="b">
        <f t="shared" si="2462"/>
        <v>0</v>
      </c>
      <c r="Z1243" t="b">
        <f t="shared" si="2462"/>
        <v>0</v>
      </c>
      <c r="AA1243">
        <f t="shared" ref="AA1243:AC1243" si="2463">IF(X1243=FALSE,1,0)</f>
        <v>0</v>
      </c>
      <c r="AB1243">
        <f t="shared" si="2463"/>
        <v>1</v>
      </c>
      <c r="AC1243">
        <f t="shared" si="2463"/>
        <v>1</v>
      </c>
      <c r="AD1243">
        <f t="shared" si="6"/>
        <v>2</v>
      </c>
      <c r="AE1243">
        <f t="shared" si="7"/>
        <v>1</v>
      </c>
    </row>
    <row r="1244">
      <c r="B1244" t="str">
        <f>IFERROR(__xludf.DUMMYFUNCTION("""COMPUTED_VALUE"""),"")</f>
        <v/>
      </c>
      <c r="C1244" t="str">
        <f>IFERROR(__xludf.DUMMYFUNCTION("""COMPUTED_VALUE"""),"")</f>
        <v/>
      </c>
      <c r="D1244" t="str">
        <f>IFERROR(__xludf.DUMMYFUNCTION("""COMPUTED_VALUE"""),"")</f>
        <v/>
      </c>
      <c r="E1244" t="str">
        <f>IFERROR(__xludf.DUMMYFUNCTION("""COMPUTED_VALUE"""),"")</f>
        <v/>
      </c>
      <c r="F1244" t="str">
        <f>IFERROR(__xludf.DUMMYFUNCTION("""COMPUTED_VALUE"""),"")</f>
        <v/>
      </c>
      <c r="G1244" t="str">
        <f>IFERROR(__xludf.DUMMYFUNCTION("""COMPUTED_VALUE"""),"")</f>
        <v/>
      </c>
      <c r="H1244" t="str">
        <f>IFERROR(__xludf.DUMMYFUNCTION("""COMPUTED_VALUE"""),"")</f>
        <v/>
      </c>
      <c r="I1244" t="str">
        <f>IFERROR(__xludf.DUMMYFUNCTION("""COMPUTED_VALUE"""),"")</f>
        <v/>
      </c>
      <c r="J1244">
        <f>IFERROR(__xludf.DUMMYFUNCTION("""COMPUTED_VALUE"""),0.0)</f>
        <v>0</v>
      </c>
      <c r="L1244" s="250" t="str">
        <f>IFERROR(__xludf.DUMMYFUNCTION("""COMPUTED_VALUE"""),"")</f>
        <v/>
      </c>
      <c r="M1244" s="250" t="str">
        <f>IFERROR(__xludf.DUMMYFUNCTION("""COMPUTED_VALUE"""),"")</f>
        <v/>
      </c>
      <c r="N1244" s="250" t="str">
        <f>IFERROR(__xludf.DUMMYFUNCTION("""COMPUTED_VALUE"""),"")</f>
        <v/>
      </c>
      <c r="O1244" s="250" t="str">
        <f>IFERROR(__xludf.DUMMYFUNCTION("""COMPUTED_VALUE"""),"")</f>
        <v/>
      </c>
      <c r="P1244" s="250" t="str">
        <f>IFERROR(__xludf.DUMMYFUNCTION("""COMPUTED_VALUE"""),"")</f>
        <v/>
      </c>
      <c r="Q1244" s="250" t="str">
        <f>IFERROR(__xludf.DUMMYFUNCTION("""COMPUTED_VALUE"""),"")</f>
        <v/>
      </c>
      <c r="R1244" s="250" t="str">
        <f>IFERROR(__xludf.DUMMYFUNCTION("""COMPUTED_VALUE"""),"")</f>
        <v/>
      </c>
      <c r="U1244" s="250" t="str">
        <f>IFERROR(__xludf.DUMMYFUNCTION("""COMPUTED_VALUE"""),"#N/A")</f>
        <v>#N/A</v>
      </c>
      <c r="V1244" s="250" t="str">
        <f>IFERROR(__xludf.DUMMYFUNCTION("""COMPUTED_VALUE"""),"#N/A")</f>
        <v>#N/A</v>
      </c>
      <c r="W1244" s="250" t="str">
        <f>IFERROR(__xludf.DUMMYFUNCTION("""COMPUTED_VALUE"""),"#N/A")</f>
        <v>#N/A</v>
      </c>
      <c r="X1244" t="b">
        <f t="shared" ref="X1244:Z1244" si="2464">ISBLANK(K1244)</f>
        <v>1</v>
      </c>
      <c r="Y1244" t="b">
        <f t="shared" si="2464"/>
        <v>0</v>
      </c>
      <c r="Z1244" t="b">
        <f t="shared" si="2464"/>
        <v>0</v>
      </c>
      <c r="AA1244">
        <f t="shared" ref="AA1244:AC1244" si="2465">IF(X1244=FALSE,1,0)</f>
        <v>0</v>
      </c>
      <c r="AB1244">
        <f t="shared" si="2465"/>
        <v>1</v>
      </c>
      <c r="AC1244">
        <f t="shared" si="2465"/>
        <v>1</v>
      </c>
      <c r="AD1244">
        <f t="shared" si="6"/>
        <v>2</v>
      </c>
      <c r="AE1244">
        <f t="shared" si="7"/>
        <v>1</v>
      </c>
    </row>
    <row r="1245">
      <c r="B1245" t="str">
        <f>IFERROR(__xludf.DUMMYFUNCTION("""COMPUTED_VALUE"""),"")</f>
        <v/>
      </c>
      <c r="C1245" t="str">
        <f>IFERROR(__xludf.DUMMYFUNCTION("""COMPUTED_VALUE"""),"")</f>
        <v/>
      </c>
      <c r="D1245" t="str">
        <f>IFERROR(__xludf.DUMMYFUNCTION("""COMPUTED_VALUE"""),"")</f>
        <v/>
      </c>
      <c r="E1245" t="str">
        <f>IFERROR(__xludf.DUMMYFUNCTION("""COMPUTED_VALUE"""),"")</f>
        <v/>
      </c>
      <c r="F1245" t="str">
        <f>IFERROR(__xludf.DUMMYFUNCTION("""COMPUTED_VALUE"""),"")</f>
        <v/>
      </c>
      <c r="G1245" t="str">
        <f>IFERROR(__xludf.DUMMYFUNCTION("""COMPUTED_VALUE"""),"")</f>
        <v/>
      </c>
      <c r="H1245" t="str">
        <f>IFERROR(__xludf.DUMMYFUNCTION("""COMPUTED_VALUE"""),"")</f>
        <v/>
      </c>
      <c r="I1245" t="str">
        <f>IFERROR(__xludf.DUMMYFUNCTION("""COMPUTED_VALUE"""),"")</f>
        <v/>
      </c>
      <c r="J1245">
        <f>IFERROR(__xludf.DUMMYFUNCTION("""COMPUTED_VALUE"""),0.0)</f>
        <v>0</v>
      </c>
      <c r="L1245" s="250" t="str">
        <f>IFERROR(__xludf.DUMMYFUNCTION("""COMPUTED_VALUE"""),"")</f>
        <v/>
      </c>
      <c r="M1245" s="250" t="str">
        <f>IFERROR(__xludf.DUMMYFUNCTION("""COMPUTED_VALUE"""),"")</f>
        <v/>
      </c>
      <c r="N1245" s="250" t="str">
        <f>IFERROR(__xludf.DUMMYFUNCTION("""COMPUTED_VALUE"""),"")</f>
        <v/>
      </c>
      <c r="O1245" s="250" t="str">
        <f>IFERROR(__xludf.DUMMYFUNCTION("""COMPUTED_VALUE"""),"")</f>
        <v/>
      </c>
      <c r="P1245" s="250" t="str">
        <f>IFERROR(__xludf.DUMMYFUNCTION("""COMPUTED_VALUE"""),"")</f>
        <v/>
      </c>
      <c r="Q1245" s="250" t="str">
        <f>IFERROR(__xludf.DUMMYFUNCTION("""COMPUTED_VALUE"""),"")</f>
        <v/>
      </c>
      <c r="R1245" s="250" t="str">
        <f>IFERROR(__xludf.DUMMYFUNCTION("""COMPUTED_VALUE"""),"")</f>
        <v/>
      </c>
      <c r="U1245" s="250" t="str">
        <f>IFERROR(__xludf.DUMMYFUNCTION("""COMPUTED_VALUE"""),"#N/A")</f>
        <v>#N/A</v>
      </c>
      <c r="V1245" s="250" t="str">
        <f>IFERROR(__xludf.DUMMYFUNCTION("""COMPUTED_VALUE"""),"#N/A")</f>
        <v>#N/A</v>
      </c>
      <c r="W1245" s="250" t="str">
        <f>IFERROR(__xludf.DUMMYFUNCTION("""COMPUTED_VALUE"""),"#N/A")</f>
        <v>#N/A</v>
      </c>
      <c r="X1245" t="b">
        <f t="shared" ref="X1245:Z1245" si="2466">ISBLANK(K1245)</f>
        <v>1</v>
      </c>
      <c r="Y1245" t="b">
        <f t="shared" si="2466"/>
        <v>0</v>
      </c>
      <c r="Z1245" t="b">
        <f t="shared" si="2466"/>
        <v>0</v>
      </c>
      <c r="AA1245">
        <f t="shared" ref="AA1245:AC1245" si="2467">IF(X1245=FALSE,1,0)</f>
        <v>0</v>
      </c>
      <c r="AB1245">
        <f t="shared" si="2467"/>
        <v>1</v>
      </c>
      <c r="AC1245">
        <f t="shared" si="2467"/>
        <v>1</v>
      </c>
      <c r="AD1245">
        <f t="shared" si="6"/>
        <v>2</v>
      </c>
      <c r="AE1245">
        <f t="shared" si="7"/>
        <v>1</v>
      </c>
    </row>
    <row r="1246">
      <c r="B1246" t="str">
        <f>IFERROR(__xludf.DUMMYFUNCTION("""COMPUTED_VALUE"""),"")</f>
        <v/>
      </c>
      <c r="C1246" t="str">
        <f>IFERROR(__xludf.DUMMYFUNCTION("""COMPUTED_VALUE"""),"")</f>
        <v/>
      </c>
      <c r="D1246" t="str">
        <f>IFERROR(__xludf.DUMMYFUNCTION("""COMPUTED_VALUE"""),"")</f>
        <v/>
      </c>
      <c r="E1246" t="str">
        <f>IFERROR(__xludf.DUMMYFUNCTION("""COMPUTED_VALUE"""),"")</f>
        <v/>
      </c>
      <c r="F1246" t="str">
        <f>IFERROR(__xludf.DUMMYFUNCTION("""COMPUTED_VALUE"""),"")</f>
        <v/>
      </c>
      <c r="G1246" t="str">
        <f>IFERROR(__xludf.DUMMYFUNCTION("""COMPUTED_VALUE"""),"")</f>
        <v/>
      </c>
      <c r="H1246" t="str">
        <f>IFERROR(__xludf.DUMMYFUNCTION("""COMPUTED_VALUE"""),"")</f>
        <v/>
      </c>
      <c r="I1246" t="str">
        <f>IFERROR(__xludf.DUMMYFUNCTION("""COMPUTED_VALUE"""),"")</f>
        <v/>
      </c>
      <c r="J1246">
        <f>IFERROR(__xludf.DUMMYFUNCTION("""COMPUTED_VALUE"""),0.0)</f>
        <v>0</v>
      </c>
      <c r="L1246" s="250" t="str">
        <f>IFERROR(__xludf.DUMMYFUNCTION("""COMPUTED_VALUE"""),"")</f>
        <v/>
      </c>
      <c r="M1246" s="250" t="str">
        <f>IFERROR(__xludf.DUMMYFUNCTION("""COMPUTED_VALUE"""),"")</f>
        <v/>
      </c>
      <c r="N1246" s="250" t="str">
        <f>IFERROR(__xludf.DUMMYFUNCTION("""COMPUTED_VALUE"""),"")</f>
        <v/>
      </c>
      <c r="O1246" s="250" t="str">
        <f>IFERROR(__xludf.DUMMYFUNCTION("""COMPUTED_VALUE"""),"")</f>
        <v/>
      </c>
      <c r="P1246" s="250" t="str">
        <f>IFERROR(__xludf.DUMMYFUNCTION("""COMPUTED_VALUE"""),"")</f>
        <v/>
      </c>
      <c r="Q1246" s="250" t="str">
        <f>IFERROR(__xludf.DUMMYFUNCTION("""COMPUTED_VALUE"""),"")</f>
        <v/>
      </c>
      <c r="R1246" s="250" t="str">
        <f>IFERROR(__xludf.DUMMYFUNCTION("""COMPUTED_VALUE"""),"")</f>
        <v/>
      </c>
      <c r="U1246" s="250" t="str">
        <f>IFERROR(__xludf.DUMMYFUNCTION("""COMPUTED_VALUE"""),"#N/A")</f>
        <v>#N/A</v>
      </c>
      <c r="V1246" s="250" t="str">
        <f>IFERROR(__xludf.DUMMYFUNCTION("""COMPUTED_VALUE"""),"#N/A")</f>
        <v>#N/A</v>
      </c>
      <c r="W1246" s="250" t="str">
        <f>IFERROR(__xludf.DUMMYFUNCTION("""COMPUTED_VALUE"""),"#N/A")</f>
        <v>#N/A</v>
      </c>
      <c r="X1246" t="b">
        <f t="shared" ref="X1246:Z1246" si="2468">ISBLANK(K1246)</f>
        <v>1</v>
      </c>
      <c r="Y1246" t="b">
        <f t="shared" si="2468"/>
        <v>0</v>
      </c>
      <c r="Z1246" t="b">
        <f t="shared" si="2468"/>
        <v>0</v>
      </c>
      <c r="AA1246">
        <f t="shared" ref="AA1246:AC1246" si="2469">IF(X1246=FALSE,1,0)</f>
        <v>0</v>
      </c>
      <c r="AB1246">
        <f t="shared" si="2469"/>
        <v>1</v>
      </c>
      <c r="AC1246">
        <f t="shared" si="2469"/>
        <v>1</v>
      </c>
      <c r="AD1246">
        <f t="shared" si="6"/>
        <v>2</v>
      </c>
      <c r="AE1246">
        <f t="shared" si="7"/>
        <v>1</v>
      </c>
    </row>
    <row r="1247">
      <c r="B1247" t="str">
        <f>IFERROR(__xludf.DUMMYFUNCTION("""COMPUTED_VALUE"""),"")</f>
        <v/>
      </c>
      <c r="C1247" t="str">
        <f>IFERROR(__xludf.DUMMYFUNCTION("""COMPUTED_VALUE"""),"")</f>
        <v/>
      </c>
      <c r="D1247" t="str">
        <f>IFERROR(__xludf.DUMMYFUNCTION("""COMPUTED_VALUE"""),"")</f>
        <v/>
      </c>
      <c r="E1247" t="str">
        <f>IFERROR(__xludf.DUMMYFUNCTION("""COMPUTED_VALUE"""),"")</f>
        <v/>
      </c>
      <c r="F1247" t="str">
        <f>IFERROR(__xludf.DUMMYFUNCTION("""COMPUTED_VALUE"""),"")</f>
        <v/>
      </c>
      <c r="G1247" t="str">
        <f>IFERROR(__xludf.DUMMYFUNCTION("""COMPUTED_VALUE"""),"")</f>
        <v/>
      </c>
      <c r="H1247" t="str">
        <f>IFERROR(__xludf.DUMMYFUNCTION("""COMPUTED_VALUE"""),"")</f>
        <v/>
      </c>
      <c r="I1247" t="str">
        <f>IFERROR(__xludf.DUMMYFUNCTION("""COMPUTED_VALUE"""),"")</f>
        <v/>
      </c>
      <c r="J1247">
        <f>IFERROR(__xludf.DUMMYFUNCTION("""COMPUTED_VALUE"""),0.0)</f>
        <v>0</v>
      </c>
      <c r="L1247" s="250" t="str">
        <f>IFERROR(__xludf.DUMMYFUNCTION("""COMPUTED_VALUE"""),"")</f>
        <v/>
      </c>
      <c r="M1247" s="250" t="str">
        <f>IFERROR(__xludf.DUMMYFUNCTION("""COMPUTED_VALUE"""),"")</f>
        <v/>
      </c>
      <c r="N1247" s="250" t="str">
        <f>IFERROR(__xludf.DUMMYFUNCTION("""COMPUTED_VALUE"""),"")</f>
        <v/>
      </c>
      <c r="O1247" s="250" t="str">
        <f>IFERROR(__xludf.DUMMYFUNCTION("""COMPUTED_VALUE"""),"")</f>
        <v/>
      </c>
      <c r="P1247" s="250" t="str">
        <f>IFERROR(__xludf.DUMMYFUNCTION("""COMPUTED_VALUE"""),"")</f>
        <v/>
      </c>
      <c r="Q1247" s="250" t="str">
        <f>IFERROR(__xludf.DUMMYFUNCTION("""COMPUTED_VALUE"""),"")</f>
        <v/>
      </c>
      <c r="R1247" s="250" t="str">
        <f>IFERROR(__xludf.DUMMYFUNCTION("""COMPUTED_VALUE"""),"")</f>
        <v/>
      </c>
      <c r="U1247" s="250" t="str">
        <f>IFERROR(__xludf.DUMMYFUNCTION("""COMPUTED_VALUE"""),"#N/A")</f>
        <v>#N/A</v>
      </c>
      <c r="V1247" s="250" t="str">
        <f>IFERROR(__xludf.DUMMYFUNCTION("""COMPUTED_VALUE"""),"#N/A")</f>
        <v>#N/A</v>
      </c>
      <c r="W1247" s="250" t="str">
        <f>IFERROR(__xludf.DUMMYFUNCTION("""COMPUTED_VALUE"""),"#N/A")</f>
        <v>#N/A</v>
      </c>
      <c r="X1247" t="b">
        <f t="shared" ref="X1247:Z1247" si="2470">ISBLANK(K1247)</f>
        <v>1</v>
      </c>
      <c r="Y1247" t="b">
        <f t="shared" si="2470"/>
        <v>0</v>
      </c>
      <c r="Z1247" t="b">
        <f t="shared" si="2470"/>
        <v>0</v>
      </c>
      <c r="AA1247">
        <f t="shared" ref="AA1247:AC1247" si="2471">IF(X1247=FALSE,1,0)</f>
        <v>0</v>
      </c>
      <c r="AB1247">
        <f t="shared" si="2471"/>
        <v>1</v>
      </c>
      <c r="AC1247">
        <f t="shared" si="2471"/>
        <v>1</v>
      </c>
      <c r="AD1247">
        <f t="shared" si="6"/>
        <v>2</v>
      </c>
      <c r="AE1247">
        <f t="shared" si="7"/>
        <v>1</v>
      </c>
    </row>
    <row r="1248">
      <c r="B1248" t="str">
        <f>IFERROR(__xludf.DUMMYFUNCTION("""COMPUTED_VALUE"""),"")</f>
        <v/>
      </c>
      <c r="C1248" t="str">
        <f>IFERROR(__xludf.DUMMYFUNCTION("""COMPUTED_VALUE"""),"")</f>
        <v/>
      </c>
      <c r="D1248" t="str">
        <f>IFERROR(__xludf.DUMMYFUNCTION("""COMPUTED_VALUE"""),"")</f>
        <v/>
      </c>
      <c r="E1248" t="str">
        <f>IFERROR(__xludf.DUMMYFUNCTION("""COMPUTED_VALUE"""),"")</f>
        <v/>
      </c>
      <c r="F1248" t="str">
        <f>IFERROR(__xludf.DUMMYFUNCTION("""COMPUTED_VALUE"""),"")</f>
        <v/>
      </c>
      <c r="G1248" t="str">
        <f>IFERROR(__xludf.DUMMYFUNCTION("""COMPUTED_VALUE"""),"")</f>
        <v/>
      </c>
      <c r="H1248" t="str">
        <f>IFERROR(__xludf.DUMMYFUNCTION("""COMPUTED_VALUE"""),"")</f>
        <v/>
      </c>
      <c r="I1248" t="str">
        <f>IFERROR(__xludf.DUMMYFUNCTION("""COMPUTED_VALUE"""),"")</f>
        <v/>
      </c>
      <c r="J1248">
        <f>IFERROR(__xludf.DUMMYFUNCTION("""COMPUTED_VALUE"""),0.0)</f>
        <v>0</v>
      </c>
      <c r="L1248" s="250" t="str">
        <f>IFERROR(__xludf.DUMMYFUNCTION("""COMPUTED_VALUE"""),"")</f>
        <v/>
      </c>
      <c r="M1248" s="250" t="str">
        <f>IFERROR(__xludf.DUMMYFUNCTION("""COMPUTED_VALUE"""),"")</f>
        <v/>
      </c>
      <c r="N1248" s="250" t="str">
        <f>IFERROR(__xludf.DUMMYFUNCTION("""COMPUTED_VALUE"""),"")</f>
        <v/>
      </c>
      <c r="O1248" s="250" t="str">
        <f>IFERROR(__xludf.DUMMYFUNCTION("""COMPUTED_VALUE"""),"")</f>
        <v/>
      </c>
      <c r="P1248" s="250" t="str">
        <f>IFERROR(__xludf.DUMMYFUNCTION("""COMPUTED_VALUE"""),"")</f>
        <v/>
      </c>
      <c r="Q1248" s="250" t="str">
        <f>IFERROR(__xludf.DUMMYFUNCTION("""COMPUTED_VALUE"""),"")</f>
        <v/>
      </c>
      <c r="R1248" s="250" t="str">
        <f>IFERROR(__xludf.DUMMYFUNCTION("""COMPUTED_VALUE"""),"")</f>
        <v/>
      </c>
      <c r="U1248" s="250" t="str">
        <f>IFERROR(__xludf.DUMMYFUNCTION("""COMPUTED_VALUE"""),"#N/A")</f>
        <v>#N/A</v>
      </c>
      <c r="V1248" s="250" t="str">
        <f>IFERROR(__xludf.DUMMYFUNCTION("""COMPUTED_VALUE"""),"#N/A")</f>
        <v>#N/A</v>
      </c>
      <c r="W1248" s="250" t="str">
        <f>IFERROR(__xludf.DUMMYFUNCTION("""COMPUTED_VALUE"""),"#N/A")</f>
        <v>#N/A</v>
      </c>
      <c r="X1248" t="b">
        <f t="shared" ref="X1248:Z1248" si="2472">ISBLANK(K1248)</f>
        <v>1</v>
      </c>
      <c r="Y1248" t="b">
        <f t="shared" si="2472"/>
        <v>0</v>
      </c>
      <c r="Z1248" t="b">
        <f t="shared" si="2472"/>
        <v>0</v>
      </c>
      <c r="AA1248">
        <f t="shared" ref="AA1248:AC1248" si="2473">IF(X1248=FALSE,1,0)</f>
        <v>0</v>
      </c>
      <c r="AB1248">
        <f t="shared" si="2473"/>
        <v>1</v>
      </c>
      <c r="AC1248">
        <f t="shared" si="2473"/>
        <v>1</v>
      </c>
      <c r="AD1248">
        <f t="shared" si="6"/>
        <v>2</v>
      </c>
      <c r="AE1248">
        <f t="shared" si="7"/>
        <v>1</v>
      </c>
    </row>
    <row r="1249">
      <c r="B1249" t="str">
        <f>IFERROR(__xludf.DUMMYFUNCTION("""COMPUTED_VALUE"""),"")</f>
        <v/>
      </c>
      <c r="C1249" t="str">
        <f>IFERROR(__xludf.DUMMYFUNCTION("""COMPUTED_VALUE"""),"")</f>
        <v/>
      </c>
      <c r="D1249" t="str">
        <f>IFERROR(__xludf.DUMMYFUNCTION("""COMPUTED_VALUE"""),"")</f>
        <v/>
      </c>
      <c r="E1249" t="str">
        <f>IFERROR(__xludf.DUMMYFUNCTION("""COMPUTED_VALUE"""),"")</f>
        <v/>
      </c>
      <c r="F1249" t="str">
        <f>IFERROR(__xludf.DUMMYFUNCTION("""COMPUTED_VALUE"""),"")</f>
        <v/>
      </c>
      <c r="G1249" t="str">
        <f>IFERROR(__xludf.DUMMYFUNCTION("""COMPUTED_VALUE"""),"")</f>
        <v/>
      </c>
      <c r="H1249" t="str">
        <f>IFERROR(__xludf.DUMMYFUNCTION("""COMPUTED_VALUE"""),"")</f>
        <v/>
      </c>
      <c r="I1249" t="str">
        <f>IFERROR(__xludf.DUMMYFUNCTION("""COMPUTED_VALUE"""),"")</f>
        <v/>
      </c>
      <c r="J1249">
        <f>IFERROR(__xludf.DUMMYFUNCTION("""COMPUTED_VALUE"""),0.0)</f>
        <v>0</v>
      </c>
      <c r="L1249" s="250" t="str">
        <f>IFERROR(__xludf.DUMMYFUNCTION("""COMPUTED_VALUE"""),"")</f>
        <v/>
      </c>
      <c r="M1249" s="250" t="str">
        <f>IFERROR(__xludf.DUMMYFUNCTION("""COMPUTED_VALUE"""),"")</f>
        <v/>
      </c>
      <c r="N1249" s="250" t="str">
        <f>IFERROR(__xludf.DUMMYFUNCTION("""COMPUTED_VALUE"""),"")</f>
        <v/>
      </c>
      <c r="O1249" s="250" t="str">
        <f>IFERROR(__xludf.DUMMYFUNCTION("""COMPUTED_VALUE"""),"")</f>
        <v/>
      </c>
      <c r="P1249" s="250" t="str">
        <f>IFERROR(__xludf.DUMMYFUNCTION("""COMPUTED_VALUE"""),"")</f>
        <v/>
      </c>
      <c r="Q1249" s="250" t="str">
        <f>IFERROR(__xludf.DUMMYFUNCTION("""COMPUTED_VALUE"""),"")</f>
        <v/>
      </c>
      <c r="R1249" s="250" t="str">
        <f>IFERROR(__xludf.DUMMYFUNCTION("""COMPUTED_VALUE"""),"")</f>
        <v/>
      </c>
      <c r="U1249" s="250" t="str">
        <f>IFERROR(__xludf.DUMMYFUNCTION("""COMPUTED_VALUE"""),"#N/A")</f>
        <v>#N/A</v>
      </c>
      <c r="V1249" s="250" t="str">
        <f>IFERROR(__xludf.DUMMYFUNCTION("""COMPUTED_VALUE"""),"#N/A")</f>
        <v>#N/A</v>
      </c>
      <c r="W1249" s="250" t="str">
        <f>IFERROR(__xludf.DUMMYFUNCTION("""COMPUTED_VALUE"""),"#N/A")</f>
        <v>#N/A</v>
      </c>
      <c r="X1249" t="b">
        <f t="shared" ref="X1249:Z1249" si="2474">ISBLANK(K1249)</f>
        <v>1</v>
      </c>
      <c r="Y1249" t="b">
        <f t="shared" si="2474"/>
        <v>0</v>
      </c>
      <c r="Z1249" t="b">
        <f t="shared" si="2474"/>
        <v>0</v>
      </c>
      <c r="AA1249">
        <f t="shared" ref="AA1249:AC1249" si="2475">IF(X1249=FALSE,1,0)</f>
        <v>0</v>
      </c>
      <c r="AB1249">
        <f t="shared" si="2475"/>
        <v>1</v>
      </c>
      <c r="AC1249">
        <f t="shared" si="2475"/>
        <v>1</v>
      </c>
      <c r="AD1249">
        <f t="shared" si="6"/>
        <v>2</v>
      </c>
      <c r="AE1249">
        <f t="shared" si="7"/>
        <v>1</v>
      </c>
    </row>
    <row r="1250">
      <c r="B1250" t="str">
        <f>IFERROR(__xludf.DUMMYFUNCTION("""COMPUTED_VALUE"""),"")</f>
        <v/>
      </c>
      <c r="C1250" t="str">
        <f>IFERROR(__xludf.DUMMYFUNCTION("""COMPUTED_VALUE"""),"")</f>
        <v/>
      </c>
      <c r="D1250" t="str">
        <f>IFERROR(__xludf.DUMMYFUNCTION("""COMPUTED_VALUE"""),"")</f>
        <v/>
      </c>
      <c r="E1250" t="str">
        <f>IFERROR(__xludf.DUMMYFUNCTION("""COMPUTED_VALUE"""),"")</f>
        <v/>
      </c>
      <c r="F1250" t="str">
        <f>IFERROR(__xludf.DUMMYFUNCTION("""COMPUTED_VALUE"""),"")</f>
        <v/>
      </c>
      <c r="G1250" t="str">
        <f>IFERROR(__xludf.DUMMYFUNCTION("""COMPUTED_VALUE"""),"")</f>
        <v/>
      </c>
      <c r="H1250" t="str">
        <f>IFERROR(__xludf.DUMMYFUNCTION("""COMPUTED_VALUE"""),"")</f>
        <v/>
      </c>
      <c r="I1250" t="str">
        <f>IFERROR(__xludf.DUMMYFUNCTION("""COMPUTED_VALUE"""),"")</f>
        <v/>
      </c>
      <c r="J1250">
        <f>IFERROR(__xludf.DUMMYFUNCTION("""COMPUTED_VALUE"""),0.0)</f>
        <v>0</v>
      </c>
      <c r="L1250" s="250" t="str">
        <f>IFERROR(__xludf.DUMMYFUNCTION("""COMPUTED_VALUE"""),"")</f>
        <v/>
      </c>
      <c r="M1250" s="250" t="str">
        <f>IFERROR(__xludf.DUMMYFUNCTION("""COMPUTED_VALUE"""),"")</f>
        <v/>
      </c>
      <c r="N1250" s="250" t="str">
        <f>IFERROR(__xludf.DUMMYFUNCTION("""COMPUTED_VALUE"""),"")</f>
        <v/>
      </c>
      <c r="O1250" s="250" t="str">
        <f>IFERROR(__xludf.DUMMYFUNCTION("""COMPUTED_VALUE"""),"")</f>
        <v/>
      </c>
      <c r="P1250" s="250" t="str">
        <f>IFERROR(__xludf.DUMMYFUNCTION("""COMPUTED_VALUE"""),"")</f>
        <v/>
      </c>
      <c r="Q1250" s="250" t="str">
        <f>IFERROR(__xludf.DUMMYFUNCTION("""COMPUTED_VALUE"""),"")</f>
        <v/>
      </c>
      <c r="R1250" s="250" t="str">
        <f>IFERROR(__xludf.DUMMYFUNCTION("""COMPUTED_VALUE"""),"")</f>
        <v/>
      </c>
      <c r="U1250" s="250" t="str">
        <f>IFERROR(__xludf.DUMMYFUNCTION("""COMPUTED_VALUE"""),"#N/A")</f>
        <v>#N/A</v>
      </c>
      <c r="V1250" s="250" t="str">
        <f>IFERROR(__xludf.DUMMYFUNCTION("""COMPUTED_VALUE"""),"#N/A")</f>
        <v>#N/A</v>
      </c>
      <c r="W1250" s="250" t="str">
        <f>IFERROR(__xludf.DUMMYFUNCTION("""COMPUTED_VALUE"""),"#N/A")</f>
        <v>#N/A</v>
      </c>
      <c r="X1250" t="b">
        <f t="shared" ref="X1250:Z1250" si="2476">ISBLANK(K1250)</f>
        <v>1</v>
      </c>
      <c r="Y1250" t="b">
        <f t="shared" si="2476"/>
        <v>0</v>
      </c>
      <c r="Z1250" t="b">
        <f t="shared" si="2476"/>
        <v>0</v>
      </c>
      <c r="AA1250">
        <f t="shared" ref="AA1250:AC1250" si="2477">IF(X1250=FALSE,1,0)</f>
        <v>0</v>
      </c>
      <c r="AB1250">
        <f t="shared" si="2477"/>
        <v>1</v>
      </c>
      <c r="AC1250">
        <f t="shared" si="2477"/>
        <v>1</v>
      </c>
      <c r="AD1250">
        <f t="shared" si="6"/>
        <v>2</v>
      </c>
      <c r="AE1250">
        <f t="shared" si="7"/>
        <v>1</v>
      </c>
    </row>
    <row r="1251">
      <c r="B1251" t="str">
        <f>IFERROR(__xludf.DUMMYFUNCTION("""COMPUTED_VALUE"""),"")</f>
        <v/>
      </c>
      <c r="C1251" t="str">
        <f>IFERROR(__xludf.DUMMYFUNCTION("""COMPUTED_VALUE"""),"")</f>
        <v/>
      </c>
      <c r="D1251" t="str">
        <f>IFERROR(__xludf.DUMMYFUNCTION("""COMPUTED_VALUE"""),"")</f>
        <v/>
      </c>
      <c r="E1251" t="str">
        <f>IFERROR(__xludf.DUMMYFUNCTION("""COMPUTED_VALUE"""),"")</f>
        <v/>
      </c>
      <c r="F1251" t="str">
        <f>IFERROR(__xludf.DUMMYFUNCTION("""COMPUTED_VALUE"""),"")</f>
        <v/>
      </c>
      <c r="G1251" t="str">
        <f>IFERROR(__xludf.DUMMYFUNCTION("""COMPUTED_VALUE"""),"")</f>
        <v/>
      </c>
      <c r="H1251" t="str">
        <f>IFERROR(__xludf.DUMMYFUNCTION("""COMPUTED_VALUE"""),"")</f>
        <v/>
      </c>
      <c r="I1251" t="str">
        <f>IFERROR(__xludf.DUMMYFUNCTION("""COMPUTED_VALUE"""),"")</f>
        <v/>
      </c>
      <c r="J1251">
        <f>IFERROR(__xludf.DUMMYFUNCTION("""COMPUTED_VALUE"""),0.0)</f>
        <v>0</v>
      </c>
      <c r="L1251" s="250" t="str">
        <f>IFERROR(__xludf.DUMMYFUNCTION("""COMPUTED_VALUE"""),"")</f>
        <v/>
      </c>
      <c r="M1251" s="250" t="str">
        <f>IFERROR(__xludf.DUMMYFUNCTION("""COMPUTED_VALUE"""),"")</f>
        <v/>
      </c>
      <c r="N1251" s="250" t="str">
        <f>IFERROR(__xludf.DUMMYFUNCTION("""COMPUTED_VALUE"""),"")</f>
        <v/>
      </c>
      <c r="O1251" s="250" t="str">
        <f>IFERROR(__xludf.DUMMYFUNCTION("""COMPUTED_VALUE"""),"")</f>
        <v/>
      </c>
      <c r="P1251" s="250" t="str">
        <f>IFERROR(__xludf.DUMMYFUNCTION("""COMPUTED_VALUE"""),"")</f>
        <v/>
      </c>
      <c r="Q1251" s="250" t="str">
        <f>IFERROR(__xludf.DUMMYFUNCTION("""COMPUTED_VALUE"""),"")</f>
        <v/>
      </c>
      <c r="R1251" s="250" t="str">
        <f>IFERROR(__xludf.DUMMYFUNCTION("""COMPUTED_VALUE"""),"")</f>
        <v/>
      </c>
      <c r="U1251" s="250" t="str">
        <f>IFERROR(__xludf.DUMMYFUNCTION("""COMPUTED_VALUE"""),"#N/A")</f>
        <v>#N/A</v>
      </c>
      <c r="V1251" s="250" t="str">
        <f>IFERROR(__xludf.DUMMYFUNCTION("""COMPUTED_VALUE"""),"#N/A")</f>
        <v>#N/A</v>
      </c>
      <c r="W1251" s="250" t="str">
        <f>IFERROR(__xludf.DUMMYFUNCTION("""COMPUTED_VALUE"""),"#N/A")</f>
        <v>#N/A</v>
      </c>
      <c r="X1251" t="b">
        <f t="shared" ref="X1251:Z1251" si="2478">ISBLANK(K1251)</f>
        <v>1</v>
      </c>
      <c r="Y1251" t="b">
        <f t="shared" si="2478"/>
        <v>0</v>
      </c>
      <c r="Z1251" t="b">
        <f t="shared" si="2478"/>
        <v>0</v>
      </c>
      <c r="AA1251">
        <f t="shared" ref="AA1251:AC1251" si="2479">IF(X1251=FALSE,1,0)</f>
        <v>0</v>
      </c>
      <c r="AB1251">
        <f t="shared" si="2479"/>
        <v>1</v>
      </c>
      <c r="AC1251">
        <f t="shared" si="2479"/>
        <v>1</v>
      </c>
      <c r="AD1251">
        <f t="shared" si="6"/>
        <v>2</v>
      </c>
      <c r="AE1251">
        <f t="shared" si="7"/>
        <v>1</v>
      </c>
    </row>
    <row r="1252">
      <c r="B1252" t="str">
        <f>IFERROR(__xludf.DUMMYFUNCTION("""COMPUTED_VALUE"""),"")</f>
        <v/>
      </c>
      <c r="C1252" t="str">
        <f>IFERROR(__xludf.DUMMYFUNCTION("""COMPUTED_VALUE"""),"")</f>
        <v/>
      </c>
      <c r="D1252" t="str">
        <f>IFERROR(__xludf.DUMMYFUNCTION("""COMPUTED_VALUE"""),"")</f>
        <v/>
      </c>
      <c r="E1252" t="str">
        <f>IFERROR(__xludf.DUMMYFUNCTION("""COMPUTED_VALUE"""),"")</f>
        <v/>
      </c>
      <c r="F1252" t="str">
        <f>IFERROR(__xludf.DUMMYFUNCTION("""COMPUTED_VALUE"""),"")</f>
        <v/>
      </c>
      <c r="G1252" t="str">
        <f>IFERROR(__xludf.DUMMYFUNCTION("""COMPUTED_VALUE"""),"")</f>
        <v/>
      </c>
      <c r="H1252" t="str">
        <f>IFERROR(__xludf.DUMMYFUNCTION("""COMPUTED_VALUE"""),"")</f>
        <v/>
      </c>
      <c r="I1252" t="str">
        <f>IFERROR(__xludf.DUMMYFUNCTION("""COMPUTED_VALUE"""),"")</f>
        <v/>
      </c>
      <c r="J1252">
        <f>IFERROR(__xludf.DUMMYFUNCTION("""COMPUTED_VALUE"""),0.0)</f>
        <v>0</v>
      </c>
      <c r="L1252" s="250" t="str">
        <f>IFERROR(__xludf.DUMMYFUNCTION("""COMPUTED_VALUE"""),"")</f>
        <v/>
      </c>
      <c r="M1252" s="250" t="str">
        <f>IFERROR(__xludf.DUMMYFUNCTION("""COMPUTED_VALUE"""),"")</f>
        <v/>
      </c>
      <c r="N1252" s="250" t="str">
        <f>IFERROR(__xludf.DUMMYFUNCTION("""COMPUTED_VALUE"""),"")</f>
        <v/>
      </c>
      <c r="O1252" s="250" t="str">
        <f>IFERROR(__xludf.DUMMYFUNCTION("""COMPUTED_VALUE"""),"")</f>
        <v/>
      </c>
      <c r="P1252" s="250" t="str">
        <f>IFERROR(__xludf.DUMMYFUNCTION("""COMPUTED_VALUE"""),"")</f>
        <v/>
      </c>
      <c r="Q1252" s="250" t="str">
        <f>IFERROR(__xludf.DUMMYFUNCTION("""COMPUTED_VALUE"""),"")</f>
        <v/>
      </c>
      <c r="R1252" s="250" t="str">
        <f>IFERROR(__xludf.DUMMYFUNCTION("""COMPUTED_VALUE"""),"")</f>
        <v/>
      </c>
      <c r="U1252" s="250" t="str">
        <f>IFERROR(__xludf.DUMMYFUNCTION("""COMPUTED_VALUE"""),"#N/A")</f>
        <v>#N/A</v>
      </c>
      <c r="V1252" s="250" t="str">
        <f>IFERROR(__xludf.DUMMYFUNCTION("""COMPUTED_VALUE"""),"#N/A")</f>
        <v>#N/A</v>
      </c>
      <c r="W1252" s="250" t="str">
        <f>IFERROR(__xludf.DUMMYFUNCTION("""COMPUTED_VALUE"""),"#N/A")</f>
        <v>#N/A</v>
      </c>
      <c r="X1252" t="b">
        <f t="shared" ref="X1252:Z1252" si="2480">ISBLANK(K1252)</f>
        <v>1</v>
      </c>
      <c r="Y1252" t="b">
        <f t="shared" si="2480"/>
        <v>0</v>
      </c>
      <c r="Z1252" t="b">
        <f t="shared" si="2480"/>
        <v>0</v>
      </c>
      <c r="AA1252">
        <f t="shared" ref="AA1252:AC1252" si="2481">IF(X1252=FALSE,1,0)</f>
        <v>0</v>
      </c>
      <c r="AB1252">
        <f t="shared" si="2481"/>
        <v>1</v>
      </c>
      <c r="AC1252">
        <f t="shared" si="2481"/>
        <v>1</v>
      </c>
      <c r="AD1252">
        <f t="shared" si="6"/>
        <v>2</v>
      </c>
      <c r="AE1252">
        <f t="shared" si="7"/>
        <v>1</v>
      </c>
    </row>
    <row r="1253">
      <c r="B1253" t="str">
        <f>IFERROR(__xludf.DUMMYFUNCTION("""COMPUTED_VALUE"""),"")</f>
        <v/>
      </c>
      <c r="C1253" t="str">
        <f>IFERROR(__xludf.DUMMYFUNCTION("""COMPUTED_VALUE"""),"")</f>
        <v/>
      </c>
      <c r="D1253" t="str">
        <f>IFERROR(__xludf.DUMMYFUNCTION("""COMPUTED_VALUE"""),"")</f>
        <v/>
      </c>
      <c r="E1253" t="str">
        <f>IFERROR(__xludf.DUMMYFUNCTION("""COMPUTED_VALUE"""),"")</f>
        <v/>
      </c>
      <c r="F1253" t="str">
        <f>IFERROR(__xludf.DUMMYFUNCTION("""COMPUTED_VALUE"""),"")</f>
        <v/>
      </c>
      <c r="G1253" t="str">
        <f>IFERROR(__xludf.DUMMYFUNCTION("""COMPUTED_VALUE"""),"")</f>
        <v/>
      </c>
      <c r="H1253" t="str">
        <f>IFERROR(__xludf.DUMMYFUNCTION("""COMPUTED_VALUE"""),"")</f>
        <v/>
      </c>
      <c r="I1253" t="str">
        <f>IFERROR(__xludf.DUMMYFUNCTION("""COMPUTED_VALUE"""),"")</f>
        <v/>
      </c>
      <c r="J1253">
        <f>IFERROR(__xludf.DUMMYFUNCTION("""COMPUTED_VALUE"""),0.0)</f>
        <v>0</v>
      </c>
      <c r="L1253" s="250" t="str">
        <f>IFERROR(__xludf.DUMMYFUNCTION("""COMPUTED_VALUE"""),"")</f>
        <v/>
      </c>
      <c r="M1253" s="250" t="str">
        <f>IFERROR(__xludf.DUMMYFUNCTION("""COMPUTED_VALUE"""),"")</f>
        <v/>
      </c>
      <c r="N1253" s="250" t="str">
        <f>IFERROR(__xludf.DUMMYFUNCTION("""COMPUTED_VALUE"""),"")</f>
        <v/>
      </c>
      <c r="O1253" s="250" t="str">
        <f>IFERROR(__xludf.DUMMYFUNCTION("""COMPUTED_VALUE"""),"")</f>
        <v/>
      </c>
      <c r="P1253" s="250" t="str">
        <f>IFERROR(__xludf.DUMMYFUNCTION("""COMPUTED_VALUE"""),"")</f>
        <v/>
      </c>
      <c r="Q1253" s="250" t="str">
        <f>IFERROR(__xludf.DUMMYFUNCTION("""COMPUTED_VALUE"""),"")</f>
        <v/>
      </c>
      <c r="R1253" s="250" t="str">
        <f>IFERROR(__xludf.DUMMYFUNCTION("""COMPUTED_VALUE"""),"")</f>
        <v/>
      </c>
      <c r="U1253" s="250" t="str">
        <f>IFERROR(__xludf.DUMMYFUNCTION("""COMPUTED_VALUE"""),"#N/A")</f>
        <v>#N/A</v>
      </c>
      <c r="V1253" s="250" t="str">
        <f>IFERROR(__xludf.DUMMYFUNCTION("""COMPUTED_VALUE"""),"#N/A")</f>
        <v>#N/A</v>
      </c>
      <c r="W1253" s="250" t="str">
        <f>IFERROR(__xludf.DUMMYFUNCTION("""COMPUTED_VALUE"""),"#N/A")</f>
        <v>#N/A</v>
      </c>
      <c r="X1253" t="b">
        <f t="shared" ref="X1253:Z1253" si="2482">ISBLANK(K1253)</f>
        <v>1</v>
      </c>
      <c r="Y1253" t="b">
        <f t="shared" si="2482"/>
        <v>0</v>
      </c>
      <c r="Z1253" t="b">
        <f t="shared" si="2482"/>
        <v>0</v>
      </c>
      <c r="AA1253">
        <f t="shared" ref="AA1253:AC1253" si="2483">IF(X1253=FALSE,1,0)</f>
        <v>0</v>
      </c>
      <c r="AB1253">
        <f t="shared" si="2483"/>
        <v>1</v>
      </c>
      <c r="AC1253">
        <f t="shared" si="2483"/>
        <v>1</v>
      </c>
      <c r="AD1253">
        <f t="shared" si="6"/>
        <v>2</v>
      </c>
      <c r="AE1253">
        <f t="shared" si="7"/>
        <v>1</v>
      </c>
    </row>
    <row r="1254">
      <c r="B1254" t="str">
        <f>IFERROR(__xludf.DUMMYFUNCTION("""COMPUTED_VALUE"""),"")</f>
        <v/>
      </c>
      <c r="C1254" t="str">
        <f>IFERROR(__xludf.DUMMYFUNCTION("""COMPUTED_VALUE"""),"")</f>
        <v/>
      </c>
      <c r="D1254" t="str">
        <f>IFERROR(__xludf.DUMMYFUNCTION("""COMPUTED_VALUE"""),"")</f>
        <v/>
      </c>
      <c r="E1254" t="str">
        <f>IFERROR(__xludf.DUMMYFUNCTION("""COMPUTED_VALUE"""),"")</f>
        <v/>
      </c>
      <c r="F1254" t="str">
        <f>IFERROR(__xludf.DUMMYFUNCTION("""COMPUTED_VALUE"""),"")</f>
        <v/>
      </c>
      <c r="G1254" t="str">
        <f>IFERROR(__xludf.DUMMYFUNCTION("""COMPUTED_VALUE"""),"")</f>
        <v/>
      </c>
      <c r="H1254" t="str">
        <f>IFERROR(__xludf.DUMMYFUNCTION("""COMPUTED_VALUE"""),"")</f>
        <v/>
      </c>
      <c r="I1254" t="str">
        <f>IFERROR(__xludf.DUMMYFUNCTION("""COMPUTED_VALUE"""),"")</f>
        <v/>
      </c>
      <c r="J1254">
        <f>IFERROR(__xludf.DUMMYFUNCTION("""COMPUTED_VALUE"""),0.0)</f>
        <v>0</v>
      </c>
      <c r="L1254" s="250" t="str">
        <f>IFERROR(__xludf.DUMMYFUNCTION("""COMPUTED_VALUE"""),"")</f>
        <v/>
      </c>
      <c r="M1254" s="250" t="str">
        <f>IFERROR(__xludf.DUMMYFUNCTION("""COMPUTED_VALUE"""),"")</f>
        <v/>
      </c>
      <c r="N1254" s="250" t="str">
        <f>IFERROR(__xludf.DUMMYFUNCTION("""COMPUTED_VALUE"""),"")</f>
        <v/>
      </c>
      <c r="O1254" s="250" t="str">
        <f>IFERROR(__xludf.DUMMYFUNCTION("""COMPUTED_VALUE"""),"")</f>
        <v/>
      </c>
      <c r="P1254" s="250" t="str">
        <f>IFERROR(__xludf.DUMMYFUNCTION("""COMPUTED_VALUE"""),"")</f>
        <v/>
      </c>
      <c r="Q1254" s="250" t="str">
        <f>IFERROR(__xludf.DUMMYFUNCTION("""COMPUTED_VALUE"""),"")</f>
        <v/>
      </c>
      <c r="R1254" s="250" t="str">
        <f>IFERROR(__xludf.DUMMYFUNCTION("""COMPUTED_VALUE"""),"")</f>
        <v/>
      </c>
      <c r="U1254" s="250" t="str">
        <f>IFERROR(__xludf.DUMMYFUNCTION("""COMPUTED_VALUE"""),"#N/A")</f>
        <v>#N/A</v>
      </c>
      <c r="V1254" s="250" t="str">
        <f>IFERROR(__xludf.DUMMYFUNCTION("""COMPUTED_VALUE"""),"#N/A")</f>
        <v>#N/A</v>
      </c>
      <c r="W1254" s="250" t="str">
        <f>IFERROR(__xludf.DUMMYFUNCTION("""COMPUTED_VALUE"""),"#N/A")</f>
        <v>#N/A</v>
      </c>
      <c r="X1254" t="b">
        <f t="shared" ref="X1254:Z1254" si="2484">ISBLANK(K1254)</f>
        <v>1</v>
      </c>
      <c r="Y1254" t="b">
        <f t="shared" si="2484"/>
        <v>0</v>
      </c>
      <c r="Z1254" t="b">
        <f t="shared" si="2484"/>
        <v>0</v>
      </c>
      <c r="AA1254">
        <f t="shared" ref="AA1254:AC1254" si="2485">IF(X1254=FALSE,1,0)</f>
        <v>0</v>
      </c>
      <c r="AB1254">
        <f t="shared" si="2485"/>
        <v>1</v>
      </c>
      <c r="AC1254">
        <f t="shared" si="2485"/>
        <v>1</v>
      </c>
      <c r="AD1254">
        <f t="shared" si="6"/>
        <v>2</v>
      </c>
      <c r="AE1254">
        <f t="shared" si="7"/>
        <v>1</v>
      </c>
    </row>
    <row r="1255">
      <c r="B1255" t="str">
        <f>IFERROR(__xludf.DUMMYFUNCTION("""COMPUTED_VALUE"""),"")</f>
        <v/>
      </c>
      <c r="C1255" t="str">
        <f>IFERROR(__xludf.DUMMYFUNCTION("""COMPUTED_VALUE"""),"")</f>
        <v/>
      </c>
      <c r="D1255" t="str">
        <f>IFERROR(__xludf.DUMMYFUNCTION("""COMPUTED_VALUE"""),"")</f>
        <v/>
      </c>
      <c r="E1255" t="str">
        <f>IFERROR(__xludf.DUMMYFUNCTION("""COMPUTED_VALUE"""),"")</f>
        <v/>
      </c>
      <c r="F1255" t="str">
        <f>IFERROR(__xludf.DUMMYFUNCTION("""COMPUTED_VALUE"""),"")</f>
        <v/>
      </c>
      <c r="G1255" t="str">
        <f>IFERROR(__xludf.DUMMYFUNCTION("""COMPUTED_VALUE"""),"")</f>
        <v/>
      </c>
      <c r="H1255" t="str">
        <f>IFERROR(__xludf.DUMMYFUNCTION("""COMPUTED_VALUE"""),"")</f>
        <v/>
      </c>
      <c r="I1255" t="str">
        <f>IFERROR(__xludf.DUMMYFUNCTION("""COMPUTED_VALUE"""),"")</f>
        <v/>
      </c>
      <c r="J1255">
        <f>IFERROR(__xludf.DUMMYFUNCTION("""COMPUTED_VALUE"""),0.0)</f>
        <v>0</v>
      </c>
      <c r="L1255" s="250" t="str">
        <f>IFERROR(__xludf.DUMMYFUNCTION("""COMPUTED_VALUE"""),"")</f>
        <v/>
      </c>
      <c r="M1255" s="250" t="str">
        <f>IFERROR(__xludf.DUMMYFUNCTION("""COMPUTED_VALUE"""),"")</f>
        <v/>
      </c>
      <c r="N1255" s="250" t="str">
        <f>IFERROR(__xludf.DUMMYFUNCTION("""COMPUTED_VALUE"""),"")</f>
        <v/>
      </c>
      <c r="O1255" s="250" t="str">
        <f>IFERROR(__xludf.DUMMYFUNCTION("""COMPUTED_VALUE"""),"")</f>
        <v/>
      </c>
      <c r="P1255" s="250" t="str">
        <f>IFERROR(__xludf.DUMMYFUNCTION("""COMPUTED_VALUE"""),"")</f>
        <v/>
      </c>
      <c r="Q1255" s="250" t="str">
        <f>IFERROR(__xludf.DUMMYFUNCTION("""COMPUTED_VALUE"""),"")</f>
        <v/>
      </c>
      <c r="R1255" s="250" t="str">
        <f>IFERROR(__xludf.DUMMYFUNCTION("""COMPUTED_VALUE"""),"")</f>
        <v/>
      </c>
      <c r="U1255" s="250" t="str">
        <f>IFERROR(__xludf.DUMMYFUNCTION("""COMPUTED_VALUE"""),"#N/A")</f>
        <v>#N/A</v>
      </c>
      <c r="V1255" s="250" t="str">
        <f>IFERROR(__xludf.DUMMYFUNCTION("""COMPUTED_VALUE"""),"#N/A")</f>
        <v>#N/A</v>
      </c>
      <c r="W1255" s="250" t="str">
        <f>IFERROR(__xludf.DUMMYFUNCTION("""COMPUTED_VALUE"""),"#N/A")</f>
        <v>#N/A</v>
      </c>
      <c r="X1255" t="b">
        <f t="shared" ref="X1255:Z1255" si="2486">ISBLANK(K1255)</f>
        <v>1</v>
      </c>
      <c r="Y1255" t="b">
        <f t="shared" si="2486"/>
        <v>0</v>
      </c>
      <c r="Z1255" t="b">
        <f t="shared" si="2486"/>
        <v>0</v>
      </c>
      <c r="AA1255">
        <f t="shared" ref="AA1255:AC1255" si="2487">IF(X1255=FALSE,1,0)</f>
        <v>0</v>
      </c>
      <c r="AB1255">
        <f t="shared" si="2487"/>
        <v>1</v>
      </c>
      <c r="AC1255">
        <f t="shared" si="2487"/>
        <v>1</v>
      </c>
      <c r="AD1255">
        <f t="shared" si="6"/>
        <v>2</v>
      </c>
      <c r="AE1255">
        <f t="shared" si="7"/>
        <v>1</v>
      </c>
    </row>
    <row r="1256">
      <c r="B1256" t="str">
        <f>IFERROR(__xludf.DUMMYFUNCTION("""COMPUTED_VALUE"""),"")</f>
        <v/>
      </c>
      <c r="C1256" t="str">
        <f>IFERROR(__xludf.DUMMYFUNCTION("""COMPUTED_VALUE"""),"")</f>
        <v/>
      </c>
      <c r="D1256" t="str">
        <f>IFERROR(__xludf.DUMMYFUNCTION("""COMPUTED_VALUE"""),"")</f>
        <v/>
      </c>
      <c r="E1256" t="str">
        <f>IFERROR(__xludf.DUMMYFUNCTION("""COMPUTED_VALUE"""),"")</f>
        <v/>
      </c>
      <c r="F1256" t="str">
        <f>IFERROR(__xludf.DUMMYFUNCTION("""COMPUTED_VALUE"""),"")</f>
        <v/>
      </c>
      <c r="G1256" t="str">
        <f>IFERROR(__xludf.DUMMYFUNCTION("""COMPUTED_VALUE"""),"")</f>
        <v/>
      </c>
      <c r="H1256" t="str">
        <f>IFERROR(__xludf.DUMMYFUNCTION("""COMPUTED_VALUE"""),"")</f>
        <v/>
      </c>
      <c r="I1256" t="str">
        <f>IFERROR(__xludf.DUMMYFUNCTION("""COMPUTED_VALUE"""),"")</f>
        <v/>
      </c>
      <c r="J1256">
        <f>IFERROR(__xludf.DUMMYFUNCTION("""COMPUTED_VALUE"""),0.0)</f>
        <v>0</v>
      </c>
      <c r="L1256" s="250" t="str">
        <f>IFERROR(__xludf.DUMMYFUNCTION("""COMPUTED_VALUE"""),"")</f>
        <v/>
      </c>
      <c r="M1256" s="250" t="str">
        <f>IFERROR(__xludf.DUMMYFUNCTION("""COMPUTED_VALUE"""),"")</f>
        <v/>
      </c>
      <c r="N1256" s="250" t="str">
        <f>IFERROR(__xludf.DUMMYFUNCTION("""COMPUTED_VALUE"""),"")</f>
        <v/>
      </c>
      <c r="O1256" s="250" t="str">
        <f>IFERROR(__xludf.DUMMYFUNCTION("""COMPUTED_VALUE"""),"")</f>
        <v/>
      </c>
      <c r="P1256" s="250" t="str">
        <f>IFERROR(__xludf.DUMMYFUNCTION("""COMPUTED_VALUE"""),"")</f>
        <v/>
      </c>
      <c r="Q1256" s="250" t="str">
        <f>IFERROR(__xludf.DUMMYFUNCTION("""COMPUTED_VALUE"""),"")</f>
        <v/>
      </c>
      <c r="R1256" s="250" t="str">
        <f>IFERROR(__xludf.DUMMYFUNCTION("""COMPUTED_VALUE"""),"")</f>
        <v/>
      </c>
      <c r="U1256" s="250" t="str">
        <f>IFERROR(__xludf.DUMMYFUNCTION("""COMPUTED_VALUE"""),"#N/A")</f>
        <v>#N/A</v>
      </c>
      <c r="V1256" s="250" t="str">
        <f>IFERROR(__xludf.DUMMYFUNCTION("""COMPUTED_VALUE"""),"#N/A")</f>
        <v>#N/A</v>
      </c>
      <c r="W1256" s="250" t="str">
        <f>IFERROR(__xludf.DUMMYFUNCTION("""COMPUTED_VALUE"""),"#N/A")</f>
        <v>#N/A</v>
      </c>
      <c r="X1256" t="b">
        <f t="shared" ref="X1256:Z1256" si="2488">ISBLANK(K1256)</f>
        <v>1</v>
      </c>
      <c r="Y1256" t="b">
        <f t="shared" si="2488"/>
        <v>0</v>
      </c>
      <c r="Z1256" t="b">
        <f t="shared" si="2488"/>
        <v>0</v>
      </c>
      <c r="AA1256">
        <f t="shared" ref="AA1256:AC1256" si="2489">IF(X1256=FALSE,1,0)</f>
        <v>0</v>
      </c>
      <c r="AB1256">
        <f t="shared" si="2489"/>
        <v>1</v>
      </c>
      <c r="AC1256">
        <f t="shared" si="2489"/>
        <v>1</v>
      </c>
      <c r="AD1256">
        <f t="shared" si="6"/>
        <v>2</v>
      </c>
      <c r="AE1256">
        <f t="shared" si="7"/>
        <v>1</v>
      </c>
    </row>
    <row r="1257">
      <c r="B1257" t="str">
        <f>IFERROR(__xludf.DUMMYFUNCTION("""COMPUTED_VALUE"""),"")</f>
        <v/>
      </c>
      <c r="C1257" t="str">
        <f>IFERROR(__xludf.DUMMYFUNCTION("""COMPUTED_VALUE"""),"")</f>
        <v/>
      </c>
      <c r="D1257" t="str">
        <f>IFERROR(__xludf.DUMMYFUNCTION("""COMPUTED_VALUE"""),"")</f>
        <v/>
      </c>
      <c r="E1257" t="str">
        <f>IFERROR(__xludf.DUMMYFUNCTION("""COMPUTED_VALUE"""),"")</f>
        <v/>
      </c>
      <c r="F1257" t="str">
        <f>IFERROR(__xludf.DUMMYFUNCTION("""COMPUTED_VALUE"""),"")</f>
        <v/>
      </c>
      <c r="G1257" t="str">
        <f>IFERROR(__xludf.DUMMYFUNCTION("""COMPUTED_VALUE"""),"")</f>
        <v/>
      </c>
      <c r="H1257" t="str">
        <f>IFERROR(__xludf.DUMMYFUNCTION("""COMPUTED_VALUE"""),"")</f>
        <v/>
      </c>
      <c r="I1257" t="str">
        <f>IFERROR(__xludf.DUMMYFUNCTION("""COMPUTED_VALUE"""),"")</f>
        <v/>
      </c>
      <c r="J1257">
        <f>IFERROR(__xludf.DUMMYFUNCTION("""COMPUTED_VALUE"""),0.0)</f>
        <v>0</v>
      </c>
      <c r="L1257" s="250" t="str">
        <f>IFERROR(__xludf.DUMMYFUNCTION("""COMPUTED_VALUE"""),"")</f>
        <v/>
      </c>
      <c r="M1257" s="250" t="str">
        <f>IFERROR(__xludf.DUMMYFUNCTION("""COMPUTED_VALUE"""),"")</f>
        <v/>
      </c>
      <c r="N1257" s="250" t="str">
        <f>IFERROR(__xludf.DUMMYFUNCTION("""COMPUTED_VALUE"""),"")</f>
        <v/>
      </c>
      <c r="O1257" s="250" t="str">
        <f>IFERROR(__xludf.DUMMYFUNCTION("""COMPUTED_VALUE"""),"")</f>
        <v/>
      </c>
      <c r="P1257" s="250" t="str">
        <f>IFERROR(__xludf.DUMMYFUNCTION("""COMPUTED_VALUE"""),"")</f>
        <v/>
      </c>
      <c r="Q1257" s="250" t="str">
        <f>IFERROR(__xludf.DUMMYFUNCTION("""COMPUTED_VALUE"""),"")</f>
        <v/>
      </c>
      <c r="R1257" s="250" t="str">
        <f>IFERROR(__xludf.DUMMYFUNCTION("""COMPUTED_VALUE"""),"")</f>
        <v/>
      </c>
      <c r="U1257" s="250" t="str">
        <f>IFERROR(__xludf.DUMMYFUNCTION("""COMPUTED_VALUE"""),"#N/A")</f>
        <v>#N/A</v>
      </c>
      <c r="V1257" s="250" t="str">
        <f>IFERROR(__xludf.DUMMYFUNCTION("""COMPUTED_VALUE"""),"#N/A")</f>
        <v>#N/A</v>
      </c>
      <c r="W1257" s="250" t="str">
        <f>IFERROR(__xludf.DUMMYFUNCTION("""COMPUTED_VALUE"""),"#N/A")</f>
        <v>#N/A</v>
      </c>
      <c r="X1257" t="b">
        <f t="shared" ref="X1257:Z1257" si="2490">ISBLANK(K1257)</f>
        <v>1</v>
      </c>
      <c r="Y1257" t="b">
        <f t="shared" si="2490"/>
        <v>0</v>
      </c>
      <c r="Z1257" t="b">
        <f t="shared" si="2490"/>
        <v>0</v>
      </c>
      <c r="AA1257">
        <f t="shared" ref="AA1257:AC1257" si="2491">IF(X1257=FALSE,1,0)</f>
        <v>0</v>
      </c>
      <c r="AB1257">
        <f t="shared" si="2491"/>
        <v>1</v>
      </c>
      <c r="AC1257">
        <f t="shared" si="2491"/>
        <v>1</v>
      </c>
      <c r="AD1257">
        <f t="shared" si="6"/>
        <v>2</v>
      </c>
      <c r="AE1257">
        <f t="shared" si="7"/>
        <v>1</v>
      </c>
    </row>
    <row r="1258">
      <c r="B1258" t="str">
        <f>IFERROR(__xludf.DUMMYFUNCTION("""COMPUTED_VALUE"""),"")</f>
        <v/>
      </c>
      <c r="C1258" t="str">
        <f>IFERROR(__xludf.DUMMYFUNCTION("""COMPUTED_VALUE"""),"")</f>
        <v/>
      </c>
      <c r="D1258" t="str">
        <f>IFERROR(__xludf.DUMMYFUNCTION("""COMPUTED_VALUE"""),"")</f>
        <v/>
      </c>
      <c r="E1258" t="str">
        <f>IFERROR(__xludf.DUMMYFUNCTION("""COMPUTED_VALUE"""),"")</f>
        <v/>
      </c>
      <c r="F1258" t="str">
        <f>IFERROR(__xludf.DUMMYFUNCTION("""COMPUTED_VALUE"""),"")</f>
        <v/>
      </c>
      <c r="G1258" t="str">
        <f>IFERROR(__xludf.DUMMYFUNCTION("""COMPUTED_VALUE"""),"")</f>
        <v/>
      </c>
      <c r="H1258" t="str">
        <f>IFERROR(__xludf.DUMMYFUNCTION("""COMPUTED_VALUE"""),"")</f>
        <v/>
      </c>
      <c r="I1258" t="str">
        <f>IFERROR(__xludf.DUMMYFUNCTION("""COMPUTED_VALUE"""),"")</f>
        <v/>
      </c>
      <c r="J1258">
        <f>IFERROR(__xludf.DUMMYFUNCTION("""COMPUTED_VALUE"""),0.0)</f>
        <v>0</v>
      </c>
      <c r="L1258" s="250" t="str">
        <f>IFERROR(__xludf.DUMMYFUNCTION("""COMPUTED_VALUE"""),"")</f>
        <v/>
      </c>
      <c r="M1258" s="250" t="str">
        <f>IFERROR(__xludf.DUMMYFUNCTION("""COMPUTED_VALUE"""),"")</f>
        <v/>
      </c>
      <c r="N1258" s="250" t="str">
        <f>IFERROR(__xludf.DUMMYFUNCTION("""COMPUTED_VALUE"""),"")</f>
        <v/>
      </c>
      <c r="O1258" s="250" t="str">
        <f>IFERROR(__xludf.DUMMYFUNCTION("""COMPUTED_VALUE"""),"")</f>
        <v/>
      </c>
      <c r="P1258" s="250" t="str">
        <f>IFERROR(__xludf.DUMMYFUNCTION("""COMPUTED_VALUE"""),"")</f>
        <v/>
      </c>
      <c r="Q1258" s="250" t="str">
        <f>IFERROR(__xludf.DUMMYFUNCTION("""COMPUTED_VALUE"""),"")</f>
        <v/>
      </c>
      <c r="R1258" s="250" t="str">
        <f>IFERROR(__xludf.DUMMYFUNCTION("""COMPUTED_VALUE"""),"")</f>
        <v/>
      </c>
      <c r="U1258" s="250" t="str">
        <f>IFERROR(__xludf.DUMMYFUNCTION("""COMPUTED_VALUE"""),"#N/A")</f>
        <v>#N/A</v>
      </c>
      <c r="V1258" s="250" t="str">
        <f>IFERROR(__xludf.DUMMYFUNCTION("""COMPUTED_VALUE"""),"#N/A")</f>
        <v>#N/A</v>
      </c>
      <c r="W1258" s="250" t="str">
        <f>IFERROR(__xludf.DUMMYFUNCTION("""COMPUTED_VALUE"""),"#N/A")</f>
        <v>#N/A</v>
      </c>
      <c r="X1258" t="b">
        <f t="shared" ref="X1258:Z1258" si="2492">ISBLANK(K1258)</f>
        <v>1</v>
      </c>
      <c r="Y1258" t="b">
        <f t="shared" si="2492"/>
        <v>0</v>
      </c>
      <c r="Z1258" t="b">
        <f t="shared" si="2492"/>
        <v>0</v>
      </c>
      <c r="AA1258">
        <f t="shared" ref="AA1258:AC1258" si="2493">IF(X1258=FALSE,1,0)</f>
        <v>0</v>
      </c>
      <c r="AB1258">
        <f t="shared" si="2493"/>
        <v>1</v>
      </c>
      <c r="AC1258">
        <f t="shared" si="2493"/>
        <v>1</v>
      </c>
      <c r="AD1258">
        <f t="shared" si="6"/>
        <v>2</v>
      </c>
      <c r="AE1258">
        <f t="shared" si="7"/>
        <v>1</v>
      </c>
    </row>
    <row r="1259">
      <c r="B1259" t="str">
        <f>IFERROR(__xludf.DUMMYFUNCTION("""COMPUTED_VALUE"""),"")</f>
        <v/>
      </c>
      <c r="C1259" t="str">
        <f>IFERROR(__xludf.DUMMYFUNCTION("""COMPUTED_VALUE"""),"")</f>
        <v/>
      </c>
      <c r="D1259" t="str">
        <f>IFERROR(__xludf.DUMMYFUNCTION("""COMPUTED_VALUE"""),"")</f>
        <v/>
      </c>
      <c r="E1259" t="str">
        <f>IFERROR(__xludf.DUMMYFUNCTION("""COMPUTED_VALUE"""),"")</f>
        <v/>
      </c>
      <c r="F1259" t="str">
        <f>IFERROR(__xludf.DUMMYFUNCTION("""COMPUTED_VALUE"""),"")</f>
        <v/>
      </c>
      <c r="G1259" t="str">
        <f>IFERROR(__xludf.DUMMYFUNCTION("""COMPUTED_VALUE"""),"")</f>
        <v/>
      </c>
      <c r="H1259" t="str">
        <f>IFERROR(__xludf.DUMMYFUNCTION("""COMPUTED_VALUE"""),"")</f>
        <v/>
      </c>
      <c r="I1259" t="str">
        <f>IFERROR(__xludf.DUMMYFUNCTION("""COMPUTED_VALUE"""),"")</f>
        <v/>
      </c>
      <c r="J1259">
        <f>IFERROR(__xludf.DUMMYFUNCTION("""COMPUTED_VALUE"""),0.0)</f>
        <v>0</v>
      </c>
      <c r="L1259" s="250" t="str">
        <f>IFERROR(__xludf.DUMMYFUNCTION("""COMPUTED_VALUE"""),"")</f>
        <v/>
      </c>
      <c r="M1259" s="250" t="str">
        <f>IFERROR(__xludf.DUMMYFUNCTION("""COMPUTED_VALUE"""),"")</f>
        <v/>
      </c>
      <c r="N1259" s="250" t="str">
        <f>IFERROR(__xludf.DUMMYFUNCTION("""COMPUTED_VALUE"""),"")</f>
        <v/>
      </c>
      <c r="O1259" s="250" t="str">
        <f>IFERROR(__xludf.DUMMYFUNCTION("""COMPUTED_VALUE"""),"")</f>
        <v/>
      </c>
      <c r="P1259" s="250" t="str">
        <f>IFERROR(__xludf.DUMMYFUNCTION("""COMPUTED_VALUE"""),"")</f>
        <v/>
      </c>
      <c r="Q1259" s="250" t="str">
        <f>IFERROR(__xludf.DUMMYFUNCTION("""COMPUTED_VALUE"""),"")</f>
        <v/>
      </c>
      <c r="R1259" s="250" t="str">
        <f>IFERROR(__xludf.DUMMYFUNCTION("""COMPUTED_VALUE"""),"")</f>
        <v/>
      </c>
      <c r="U1259" s="250" t="str">
        <f>IFERROR(__xludf.DUMMYFUNCTION("""COMPUTED_VALUE"""),"#N/A")</f>
        <v>#N/A</v>
      </c>
      <c r="V1259" s="250" t="str">
        <f>IFERROR(__xludf.DUMMYFUNCTION("""COMPUTED_VALUE"""),"#N/A")</f>
        <v>#N/A</v>
      </c>
      <c r="W1259" s="250" t="str">
        <f>IFERROR(__xludf.DUMMYFUNCTION("""COMPUTED_VALUE"""),"#N/A")</f>
        <v>#N/A</v>
      </c>
      <c r="X1259" t="b">
        <f t="shared" ref="X1259:Z1259" si="2494">ISBLANK(K1259)</f>
        <v>1</v>
      </c>
      <c r="Y1259" t="b">
        <f t="shared" si="2494"/>
        <v>0</v>
      </c>
      <c r="Z1259" t="b">
        <f t="shared" si="2494"/>
        <v>0</v>
      </c>
      <c r="AA1259">
        <f t="shared" ref="AA1259:AC1259" si="2495">IF(X1259=FALSE,1,0)</f>
        <v>0</v>
      </c>
      <c r="AB1259">
        <f t="shared" si="2495"/>
        <v>1</v>
      </c>
      <c r="AC1259">
        <f t="shared" si="2495"/>
        <v>1</v>
      </c>
      <c r="AD1259">
        <f t="shared" si="6"/>
        <v>2</v>
      </c>
      <c r="AE1259">
        <f t="shared" si="7"/>
        <v>1</v>
      </c>
    </row>
    <row r="1260">
      <c r="B1260" t="str">
        <f>IFERROR(__xludf.DUMMYFUNCTION("""COMPUTED_VALUE"""),"")</f>
        <v/>
      </c>
      <c r="C1260" t="str">
        <f>IFERROR(__xludf.DUMMYFUNCTION("""COMPUTED_VALUE"""),"")</f>
        <v/>
      </c>
      <c r="D1260" t="str">
        <f>IFERROR(__xludf.DUMMYFUNCTION("""COMPUTED_VALUE"""),"")</f>
        <v/>
      </c>
      <c r="E1260" t="str">
        <f>IFERROR(__xludf.DUMMYFUNCTION("""COMPUTED_VALUE"""),"")</f>
        <v/>
      </c>
      <c r="F1260" t="str">
        <f>IFERROR(__xludf.DUMMYFUNCTION("""COMPUTED_VALUE"""),"")</f>
        <v/>
      </c>
      <c r="G1260" t="str">
        <f>IFERROR(__xludf.DUMMYFUNCTION("""COMPUTED_VALUE"""),"")</f>
        <v/>
      </c>
      <c r="H1260" t="str">
        <f>IFERROR(__xludf.DUMMYFUNCTION("""COMPUTED_VALUE"""),"")</f>
        <v/>
      </c>
      <c r="I1260" t="str">
        <f>IFERROR(__xludf.DUMMYFUNCTION("""COMPUTED_VALUE"""),"")</f>
        <v/>
      </c>
      <c r="J1260">
        <f>IFERROR(__xludf.DUMMYFUNCTION("""COMPUTED_VALUE"""),0.0)</f>
        <v>0</v>
      </c>
      <c r="L1260" s="250" t="str">
        <f>IFERROR(__xludf.DUMMYFUNCTION("""COMPUTED_VALUE"""),"")</f>
        <v/>
      </c>
      <c r="M1260" s="250" t="str">
        <f>IFERROR(__xludf.DUMMYFUNCTION("""COMPUTED_VALUE"""),"")</f>
        <v/>
      </c>
      <c r="N1260" s="250" t="str">
        <f>IFERROR(__xludf.DUMMYFUNCTION("""COMPUTED_VALUE"""),"")</f>
        <v/>
      </c>
      <c r="O1260" s="250" t="str">
        <f>IFERROR(__xludf.DUMMYFUNCTION("""COMPUTED_VALUE"""),"")</f>
        <v/>
      </c>
      <c r="P1260" s="250" t="str">
        <f>IFERROR(__xludf.DUMMYFUNCTION("""COMPUTED_VALUE"""),"")</f>
        <v/>
      </c>
      <c r="Q1260" s="250" t="str">
        <f>IFERROR(__xludf.DUMMYFUNCTION("""COMPUTED_VALUE"""),"")</f>
        <v/>
      </c>
      <c r="R1260" s="250" t="str">
        <f>IFERROR(__xludf.DUMMYFUNCTION("""COMPUTED_VALUE"""),"")</f>
        <v/>
      </c>
      <c r="U1260" s="250" t="str">
        <f>IFERROR(__xludf.DUMMYFUNCTION("""COMPUTED_VALUE"""),"#N/A")</f>
        <v>#N/A</v>
      </c>
      <c r="V1260" s="250" t="str">
        <f>IFERROR(__xludf.DUMMYFUNCTION("""COMPUTED_VALUE"""),"#N/A")</f>
        <v>#N/A</v>
      </c>
      <c r="W1260" s="250" t="str">
        <f>IFERROR(__xludf.DUMMYFUNCTION("""COMPUTED_VALUE"""),"#N/A")</f>
        <v>#N/A</v>
      </c>
      <c r="X1260" t="b">
        <f t="shared" ref="X1260:Z1260" si="2496">ISBLANK(K1260)</f>
        <v>1</v>
      </c>
      <c r="Y1260" t="b">
        <f t="shared" si="2496"/>
        <v>0</v>
      </c>
      <c r="Z1260" t="b">
        <f t="shared" si="2496"/>
        <v>0</v>
      </c>
      <c r="AA1260">
        <f t="shared" ref="AA1260:AC1260" si="2497">IF(X1260=FALSE,1,0)</f>
        <v>0</v>
      </c>
      <c r="AB1260">
        <f t="shared" si="2497"/>
        <v>1</v>
      </c>
      <c r="AC1260">
        <f t="shared" si="2497"/>
        <v>1</v>
      </c>
      <c r="AD1260">
        <f t="shared" si="6"/>
        <v>2</v>
      </c>
      <c r="AE1260">
        <f t="shared" si="7"/>
        <v>1</v>
      </c>
    </row>
    <row r="1261">
      <c r="B1261" t="str">
        <f>IFERROR(__xludf.DUMMYFUNCTION("""COMPUTED_VALUE"""),"")</f>
        <v/>
      </c>
      <c r="C1261" t="str">
        <f>IFERROR(__xludf.DUMMYFUNCTION("""COMPUTED_VALUE"""),"")</f>
        <v/>
      </c>
      <c r="D1261" t="str">
        <f>IFERROR(__xludf.DUMMYFUNCTION("""COMPUTED_VALUE"""),"")</f>
        <v/>
      </c>
      <c r="E1261" t="str">
        <f>IFERROR(__xludf.DUMMYFUNCTION("""COMPUTED_VALUE"""),"")</f>
        <v/>
      </c>
      <c r="F1261" t="str">
        <f>IFERROR(__xludf.DUMMYFUNCTION("""COMPUTED_VALUE"""),"")</f>
        <v/>
      </c>
      <c r="G1261" t="str">
        <f>IFERROR(__xludf.DUMMYFUNCTION("""COMPUTED_VALUE"""),"")</f>
        <v/>
      </c>
      <c r="H1261" t="str">
        <f>IFERROR(__xludf.DUMMYFUNCTION("""COMPUTED_VALUE"""),"")</f>
        <v/>
      </c>
      <c r="I1261" t="str">
        <f>IFERROR(__xludf.DUMMYFUNCTION("""COMPUTED_VALUE"""),"")</f>
        <v/>
      </c>
      <c r="J1261">
        <f>IFERROR(__xludf.DUMMYFUNCTION("""COMPUTED_VALUE"""),0.0)</f>
        <v>0</v>
      </c>
      <c r="L1261" s="250" t="str">
        <f>IFERROR(__xludf.DUMMYFUNCTION("""COMPUTED_VALUE"""),"")</f>
        <v/>
      </c>
      <c r="M1261" s="250" t="str">
        <f>IFERROR(__xludf.DUMMYFUNCTION("""COMPUTED_VALUE"""),"")</f>
        <v/>
      </c>
      <c r="N1261" s="250" t="str">
        <f>IFERROR(__xludf.DUMMYFUNCTION("""COMPUTED_VALUE"""),"")</f>
        <v/>
      </c>
      <c r="O1261" s="250" t="str">
        <f>IFERROR(__xludf.DUMMYFUNCTION("""COMPUTED_VALUE"""),"")</f>
        <v/>
      </c>
      <c r="P1261" s="250" t="str">
        <f>IFERROR(__xludf.DUMMYFUNCTION("""COMPUTED_VALUE"""),"")</f>
        <v/>
      </c>
      <c r="Q1261" s="250" t="str">
        <f>IFERROR(__xludf.DUMMYFUNCTION("""COMPUTED_VALUE"""),"")</f>
        <v/>
      </c>
      <c r="R1261" s="250" t="str">
        <f>IFERROR(__xludf.DUMMYFUNCTION("""COMPUTED_VALUE"""),"")</f>
        <v/>
      </c>
      <c r="U1261" s="250" t="str">
        <f>IFERROR(__xludf.DUMMYFUNCTION("""COMPUTED_VALUE"""),"#N/A")</f>
        <v>#N/A</v>
      </c>
      <c r="V1261" s="250" t="str">
        <f>IFERROR(__xludf.DUMMYFUNCTION("""COMPUTED_VALUE"""),"#N/A")</f>
        <v>#N/A</v>
      </c>
      <c r="W1261" s="250" t="str">
        <f>IFERROR(__xludf.DUMMYFUNCTION("""COMPUTED_VALUE"""),"#N/A")</f>
        <v>#N/A</v>
      </c>
      <c r="X1261" t="b">
        <f t="shared" ref="X1261:Z1261" si="2498">ISBLANK(K1261)</f>
        <v>1</v>
      </c>
      <c r="Y1261" t="b">
        <f t="shared" si="2498"/>
        <v>0</v>
      </c>
      <c r="Z1261" t="b">
        <f t="shared" si="2498"/>
        <v>0</v>
      </c>
      <c r="AA1261">
        <f t="shared" ref="AA1261:AC1261" si="2499">IF(X1261=FALSE,1,0)</f>
        <v>0</v>
      </c>
      <c r="AB1261">
        <f t="shared" si="2499"/>
        <v>1</v>
      </c>
      <c r="AC1261">
        <f t="shared" si="2499"/>
        <v>1</v>
      </c>
      <c r="AD1261">
        <f t="shared" si="6"/>
        <v>2</v>
      </c>
      <c r="AE1261">
        <f t="shared" si="7"/>
        <v>1</v>
      </c>
    </row>
    <row r="1262">
      <c r="B1262" t="str">
        <f>IFERROR(__xludf.DUMMYFUNCTION("""COMPUTED_VALUE"""),"")</f>
        <v/>
      </c>
      <c r="C1262" t="str">
        <f>IFERROR(__xludf.DUMMYFUNCTION("""COMPUTED_VALUE"""),"")</f>
        <v/>
      </c>
      <c r="D1262" t="str">
        <f>IFERROR(__xludf.DUMMYFUNCTION("""COMPUTED_VALUE"""),"")</f>
        <v/>
      </c>
      <c r="E1262" t="str">
        <f>IFERROR(__xludf.DUMMYFUNCTION("""COMPUTED_VALUE"""),"")</f>
        <v/>
      </c>
      <c r="F1262" t="str">
        <f>IFERROR(__xludf.DUMMYFUNCTION("""COMPUTED_VALUE"""),"")</f>
        <v/>
      </c>
      <c r="G1262" t="str">
        <f>IFERROR(__xludf.DUMMYFUNCTION("""COMPUTED_VALUE"""),"")</f>
        <v/>
      </c>
      <c r="H1262" t="str">
        <f>IFERROR(__xludf.DUMMYFUNCTION("""COMPUTED_VALUE"""),"")</f>
        <v/>
      </c>
      <c r="I1262" t="str">
        <f>IFERROR(__xludf.DUMMYFUNCTION("""COMPUTED_VALUE"""),"")</f>
        <v/>
      </c>
      <c r="J1262">
        <f>IFERROR(__xludf.DUMMYFUNCTION("""COMPUTED_VALUE"""),0.0)</f>
        <v>0</v>
      </c>
      <c r="L1262" s="250" t="str">
        <f>IFERROR(__xludf.DUMMYFUNCTION("""COMPUTED_VALUE"""),"")</f>
        <v/>
      </c>
      <c r="M1262" s="250" t="str">
        <f>IFERROR(__xludf.DUMMYFUNCTION("""COMPUTED_VALUE"""),"")</f>
        <v/>
      </c>
      <c r="N1262" s="250" t="str">
        <f>IFERROR(__xludf.DUMMYFUNCTION("""COMPUTED_VALUE"""),"")</f>
        <v/>
      </c>
      <c r="O1262" s="250" t="str">
        <f>IFERROR(__xludf.DUMMYFUNCTION("""COMPUTED_VALUE"""),"")</f>
        <v/>
      </c>
      <c r="P1262" s="250" t="str">
        <f>IFERROR(__xludf.DUMMYFUNCTION("""COMPUTED_VALUE"""),"")</f>
        <v/>
      </c>
      <c r="Q1262" s="250" t="str">
        <f>IFERROR(__xludf.DUMMYFUNCTION("""COMPUTED_VALUE"""),"")</f>
        <v/>
      </c>
      <c r="R1262" s="250" t="str">
        <f>IFERROR(__xludf.DUMMYFUNCTION("""COMPUTED_VALUE"""),"")</f>
        <v/>
      </c>
      <c r="U1262" s="250" t="str">
        <f>IFERROR(__xludf.DUMMYFUNCTION("""COMPUTED_VALUE"""),"#N/A")</f>
        <v>#N/A</v>
      </c>
      <c r="V1262" s="250" t="str">
        <f>IFERROR(__xludf.DUMMYFUNCTION("""COMPUTED_VALUE"""),"#N/A")</f>
        <v>#N/A</v>
      </c>
      <c r="W1262" s="250" t="str">
        <f>IFERROR(__xludf.DUMMYFUNCTION("""COMPUTED_VALUE"""),"#N/A")</f>
        <v>#N/A</v>
      </c>
      <c r="X1262" t="b">
        <f t="shared" ref="X1262:Z1262" si="2500">ISBLANK(K1262)</f>
        <v>1</v>
      </c>
      <c r="Y1262" t="b">
        <f t="shared" si="2500"/>
        <v>0</v>
      </c>
      <c r="Z1262" t="b">
        <f t="shared" si="2500"/>
        <v>0</v>
      </c>
      <c r="AA1262">
        <f t="shared" ref="AA1262:AC1262" si="2501">IF(X1262=FALSE,1,0)</f>
        <v>0</v>
      </c>
      <c r="AB1262">
        <f t="shared" si="2501"/>
        <v>1</v>
      </c>
      <c r="AC1262">
        <f t="shared" si="2501"/>
        <v>1</v>
      </c>
      <c r="AD1262">
        <f t="shared" si="6"/>
        <v>2</v>
      </c>
      <c r="AE1262">
        <f t="shared" si="7"/>
        <v>1</v>
      </c>
    </row>
    <row r="1263">
      <c r="B1263" t="str">
        <f>IFERROR(__xludf.DUMMYFUNCTION("""COMPUTED_VALUE"""),"")</f>
        <v/>
      </c>
      <c r="C1263" t="str">
        <f>IFERROR(__xludf.DUMMYFUNCTION("""COMPUTED_VALUE"""),"")</f>
        <v/>
      </c>
      <c r="D1263" t="str">
        <f>IFERROR(__xludf.DUMMYFUNCTION("""COMPUTED_VALUE"""),"")</f>
        <v/>
      </c>
      <c r="E1263" t="str">
        <f>IFERROR(__xludf.DUMMYFUNCTION("""COMPUTED_VALUE"""),"")</f>
        <v/>
      </c>
      <c r="F1263" t="str">
        <f>IFERROR(__xludf.DUMMYFUNCTION("""COMPUTED_VALUE"""),"")</f>
        <v/>
      </c>
      <c r="G1263" t="str">
        <f>IFERROR(__xludf.DUMMYFUNCTION("""COMPUTED_VALUE"""),"")</f>
        <v/>
      </c>
      <c r="H1263" t="str">
        <f>IFERROR(__xludf.DUMMYFUNCTION("""COMPUTED_VALUE"""),"")</f>
        <v/>
      </c>
      <c r="I1263" t="str">
        <f>IFERROR(__xludf.DUMMYFUNCTION("""COMPUTED_VALUE"""),"")</f>
        <v/>
      </c>
      <c r="J1263">
        <f>IFERROR(__xludf.DUMMYFUNCTION("""COMPUTED_VALUE"""),0.0)</f>
        <v>0</v>
      </c>
      <c r="L1263" s="250" t="str">
        <f>IFERROR(__xludf.DUMMYFUNCTION("""COMPUTED_VALUE"""),"")</f>
        <v/>
      </c>
      <c r="M1263" s="250" t="str">
        <f>IFERROR(__xludf.DUMMYFUNCTION("""COMPUTED_VALUE"""),"")</f>
        <v/>
      </c>
      <c r="N1263" s="250" t="str">
        <f>IFERROR(__xludf.DUMMYFUNCTION("""COMPUTED_VALUE"""),"")</f>
        <v/>
      </c>
      <c r="O1263" s="250" t="str">
        <f>IFERROR(__xludf.DUMMYFUNCTION("""COMPUTED_VALUE"""),"")</f>
        <v/>
      </c>
      <c r="P1263" s="250" t="str">
        <f>IFERROR(__xludf.DUMMYFUNCTION("""COMPUTED_VALUE"""),"")</f>
        <v/>
      </c>
      <c r="Q1263" s="250" t="str">
        <f>IFERROR(__xludf.DUMMYFUNCTION("""COMPUTED_VALUE"""),"")</f>
        <v/>
      </c>
      <c r="R1263" s="250" t="str">
        <f>IFERROR(__xludf.DUMMYFUNCTION("""COMPUTED_VALUE"""),"")</f>
        <v/>
      </c>
      <c r="U1263" s="250" t="str">
        <f>IFERROR(__xludf.DUMMYFUNCTION("""COMPUTED_VALUE"""),"#N/A")</f>
        <v>#N/A</v>
      </c>
      <c r="V1263" s="250" t="str">
        <f>IFERROR(__xludf.DUMMYFUNCTION("""COMPUTED_VALUE"""),"#N/A")</f>
        <v>#N/A</v>
      </c>
      <c r="W1263" s="250" t="str">
        <f>IFERROR(__xludf.DUMMYFUNCTION("""COMPUTED_VALUE"""),"#N/A")</f>
        <v>#N/A</v>
      </c>
      <c r="X1263" t="b">
        <f t="shared" ref="X1263:Z1263" si="2502">ISBLANK(K1263)</f>
        <v>1</v>
      </c>
      <c r="Y1263" t="b">
        <f t="shared" si="2502"/>
        <v>0</v>
      </c>
      <c r="Z1263" t="b">
        <f t="shared" si="2502"/>
        <v>0</v>
      </c>
      <c r="AA1263">
        <f t="shared" ref="AA1263:AC1263" si="2503">IF(X1263=FALSE,1,0)</f>
        <v>0</v>
      </c>
      <c r="AB1263">
        <f t="shared" si="2503"/>
        <v>1</v>
      </c>
      <c r="AC1263">
        <f t="shared" si="2503"/>
        <v>1</v>
      </c>
      <c r="AD1263">
        <f t="shared" si="6"/>
        <v>2</v>
      </c>
      <c r="AE1263">
        <f t="shared" si="7"/>
        <v>1</v>
      </c>
    </row>
    <row r="1264">
      <c r="B1264" t="str">
        <f>IFERROR(__xludf.DUMMYFUNCTION("""COMPUTED_VALUE"""),"")</f>
        <v/>
      </c>
      <c r="C1264" t="str">
        <f>IFERROR(__xludf.DUMMYFUNCTION("""COMPUTED_VALUE"""),"")</f>
        <v/>
      </c>
      <c r="D1264" t="str">
        <f>IFERROR(__xludf.DUMMYFUNCTION("""COMPUTED_VALUE"""),"")</f>
        <v/>
      </c>
      <c r="E1264" t="str">
        <f>IFERROR(__xludf.DUMMYFUNCTION("""COMPUTED_VALUE"""),"")</f>
        <v/>
      </c>
      <c r="F1264" t="str">
        <f>IFERROR(__xludf.DUMMYFUNCTION("""COMPUTED_VALUE"""),"")</f>
        <v/>
      </c>
      <c r="G1264" t="str">
        <f>IFERROR(__xludf.DUMMYFUNCTION("""COMPUTED_VALUE"""),"")</f>
        <v/>
      </c>
      <c r="H1264" t="str">
        <f>IFERROR(__xludf.DUMMYFUNCTION("""COMPUTED_VALUE"""),"")</f>
        <v/>
      </c>
      <c r="I1264" t="str">
        <f>IFERROR(__xludf.DUMMYFUNCTION("""COMPUTED_VALUE"""),"")</f>
        <v/>
      </c>
      <c r="J1264">
        <f>IFERROR(__xludf.DUMMYFUNCTION("""COMPUTED_VALUE"""),0.0)</f>
        <v>0</v>
      </c>
      <c r="L1264" s="250" t="str">
        <f>IFERROR(__xludf.DUMMYFUNCTION("""COMPUTED_VALUE"""),"")</f>
        <v/>
      </c>
      <c r="M1264" s="250" t="str">
        <f>IFERROR(__xludf.DUMMYFUNCTION("""COMPUTED_VALUE"""),"")</f>
        <v/>
      </c>
      <c r="N1264" s="250" t="str">
        <f>IFERROR(__xludf.DUMMYFUNCTION("""COMPUTED_VALUE"""),"")</f>
        <v/>
      </c>
      <c r="O1264" s="250" t="str">
        <f>IFERROR(__xludf.DUMMYFUNCTION("""COMPUTED_VALUE"""),"")</f>
        <v/>
      </c>
      <c r="P1264" s="250" t="str">
        <f>IFERROR(__xludf.DUMMYFUNCTION("""COMPUTED_VALUE"""),"")</f>
        <v/>
      </c>
      <c r="Q1264" s="250" t="str">
        <f>IFERROR(__xludf.DUMMYFUNCTION("""COMPUTED_VALUE"""),"")</f>
        <v/>
      </c>
      <c r="R1264" s="250" t="str">
        <f>IFERROR(__xludf.DUMMYFUNCTION("""COMPUTED_VALUE"""),"")</f>
        <v/>
      </c>
      <c r="U1264" s="250" t="str">
        <f>IFERROR(__xludf.DUMMYFUNCTION("""COMPUTED_VALUE"""),"#N/A")</f>
        <v>#N/A</v>
      </c>
      <c r="V1264" s="250" t="str">
        <f>IFERROR(__xludf.DUMMYFUNCTION("""COMPUTED_VALUE"""),"#N/A")</f>
        <v>#N/A</v>
      </c>
      <c r="W1264" s="250" t="str">
        <f>IFERROR(__xludf.DUMMYFUNCTION("""COMPUTED_VALUE"""),"#N/A")</f>
        <v>#N/A</v>
      </c>
      <c r="X1264" t="b">
        <f t="shared" ref="X1264:Z1264" si="2504">ISBLANK(K1264)</f>
        <v>1</v>
      </c>
      <c r="Y1264" t="b">
        <f t="shared" si="2504"/>
        <v>0</v>
      </c>
      <c r="Z1264" t="b">
        <f t="shared" si="2504"/>
        <v>0</v>
      </c>
      <c r="AA1264">
        <f t="shared" ref="AA1264:AC1264" si="2505">IF(X1264=FALSE,1,0)</f>
        <v>0</v>
      </c>
      <c r="AB1264">
        <f t="shared" si="2505"/>
        <v>1</v>
      </c>
      <c r="AC1264">
        <f t="shared" si="2505"/>
        <v>1</v>
      </c>
      <c r="AD1264">
        <f t="shared" si="6"/>
        <v>2</v>
      </c>
      <c r="AE1264">
        <f t="shared" si="7"/>
        <v>1</v>
      </c>
    </row>
    <row r="1265">
      <c r="B1265" t="str">
        <f>IFERROR(__xludf.DUMMYFUNCTION("""COMPUTED_VALUE"""),"")</f>
        <v/>
      </c>
      <c r="C1265" t="str">
        <f>IFERROR(__xludf.DUMMYFUNCTION("""COMPUTED_VALUE"""),"")</f>
        <v/>
      </c>
      <c r="D1265" t="str">
        <f>IFERROR(__xludf.DUMMYFUNCTION("""COMPUTED_VALUE"""),"")</f>
        <v/>
      </c>
      <c r="E1265" t="str">
        <f>IFERROR(__xludf.DUMMYFUNCTION("""COMPUTED_VALUE"""),"")</f>
        <v/>
      </c>
      <c r="F1265" t="str">
        <f>IFERROR(__xludf.DUMMYFUNCTION("""COMPUTED_VALUE"""),"")</f>
        <v/>
      </c>
      <c r="G1265" t="str">
        <f>IFERROR(__xludf.DUMMYFUNCTION("""COMPUTED_VALUE"""),"")</f>
        <v/>
      </c>
      <c r="H1265" t="str">
        <f>IFERROR(__xludf.DUMMYFUNCTION("""COMPUTED_VALUE"""),"")</f>
        <v/>
      </c>
      <c r="I1265" t="str">
        <f>IFERROR(__xludf.DUMMYFUNCTION("""COMPUTED_VALUE"""),"")</f>
        <v/>
      </c>
      <c r="J1265">
        <f>IFERROR(__xludf.DUMMYFUNCTION("""COMPUTED_VALUE"""),0.0)</f>
        <v>0</v>
      </c>
      <c r="L1265" s="250" t="str">
        <f>IFERROR(__xludf.DUMMYFUNCTION("""COMPUTED_VALUE"""),"")</f>
        <v/>
      </c>
      <c r="M1265" s="250" t="str">
        <f>IFERROR(__xludf.DUMMYFUNCTION("""COMPUTED_VALUE"""),"")</f>
        <v/>
      </c>
      <c r="N1265" s="250" t="str">
        <f>IFERROR(__xludf.DUMMYFUNCTION("""COMPUTED_VALUE"""),"")</f>
        <v/>
      </c>
      <c r="O1265" s="250" t="str">
        <f>IFERROR(__xludf.DUMMYFUNCTION("""COMPUTED_VALUE"""),"")</f>
        <v/>
      </c>
      <c r="P1265" s="250" t="str">
        <f>IFERROR(__xludf.DUMMYFUNCTION("""COMPUTED_VALUE"""),"")</f>
        <v/>
      </c>
      <c r="Q1265" s="250" t="str">
        <f>IFERROR(__xludf.DUMMYFUNCTION("""COMPUTED_VALUE"""),"")</f>
        <v/>
      </c>
      <c r="R1265" s="250" t="str">
        <f>IFERROR(__xludf.DUMMYFUNCTION("""COMPUTED_VALUE"""),"")</f>
        <v/>
      </c>
      <c r="U1265" s="250" t="str">
        <f>IFERROR(__xludf.DUMMYFUNCTION("""COMPUTED_VALUE"""),"#N/A")</f>
        <v>#N/A</v>
      </c>
      <c r="V1265" s="250" t="str">
        <f>IFERROR(__xludf.DUMMYFUNCTION("""COMPUTED_VALUE"""),"#N/A")</f>
        <v>#N/A</v>
      </c>
      <c r="W1265" s="250" t="str">
        <f>IFERROR(__xludf.DUMMYFUNCTION("""COMPUTED_VALUE"""),"#N/A")</f>
        <v>#N/A</v>
      </c>
      <c r="X1265" t="b">
        <f t="shared" ref="X1265:Z1265" si="2506">ISBLANK(K1265)</f>
        <v>1</v>
      </c>
      <c r="Y1265" t="b">
        <f t="shared" si="2506"/>
        <v>0</v>
      </c>
      <c r="Z1265" t="b">
        <f t="shared" si="2506"/>
        <v>0</v>
      </c>
      <c r="AA1265">
        <f t="shared" ref="AA1265:AC1265" si="2507">IF(X1265=FALSE,1,0)</f>
        <v>0</v>
      </c>
      <c r="AB1265">
        <f t="shared" si="2507"/>
        <v>1</v>
      </c>
      <c r="AC1265">
        <f t="shared" si="2507"/>
        <v>1</v>
      </c>
      <c r="AD1265">
        <f t="shared" si="6"/>
        <v>2</v>
      </c>
      <c r="AE1265">
        <f t="shared" si="7"/>
        <v>1</v>
      </c>
    </row>
    <row r="1266">
      <c r="B1266" t="str">
        <f>IFERROR(__xludf.DUMMYFUNCTION("""COMPUTED_VALUE"""),"")</f>
        <v/>
      </c>
      <c r="C1266" t="str">
        <f>IFERROR(__xludf.DUMMYFUNCTION("""COMPUTED_VALUE"""),"")</f>
        <v/>
      </c>
      <c r="D1266" t="str">
        <f>IFERROR(__xludf.DUMMYFUNCTION("""COMPUTED_VALUE"""),"")</f>
        <v/>
      </c>
      <c r="E1266" t="str">
        <f>IFERROR(__xludf.DUMMYFUNCTION("""COMPUTED_VALUE"""),"")</f>
        <v/>
      </c>
      <c r="F1266" t="str">
        <f>IFERROR(__xludf.DUMMYFUNCTION("""COMPUTED_VALUE"""),"")</f>
        <v/>
      </c>
      <c r="G1266" t="str">
        <f>IFERROR(__xludf.DUMMYFUNCTION("""COMPUTED_VALUE"""),"")</f>
        <v/>
      </c>
      <c r="H1266" t="str">
        <f>IFERROR(__xludf.DUMMYFUNCTION("""COMPUTED_VALUE"""),"")</f>
        <v/>
      </c>
      <c r="I1266" t="str">
        <f>IFERROR(__xludf.DUMMYFUNCTION("""COMPUTED_VALUE"""),"")</f>
        <v/>
      </c>
      <c r="J1266">
        <f>IFERROR(__xludf.DUMMYFUNCTION("""COMPUTED_VALUE"""),0.0)</f>
        <v>0</v>
      </c>
      <c r="L1266" s="250" t="str">
        <f>IFERROR(__xludf.DUMMYFUNCTION("""COMPUTED_VALUE"""),"")</f>
        <v/>
      </c>
      <c r="M1266" s="250" t="str">
        <f>IFERROR(__xludf.DUMMYFUNCTION("""COMPUTED_VALUE"""),"")</f>
        <v/>
      </c>
      <c r="N1266" s="250" t="str">
        <f>IFERROR(__xludf.DUMMYFUNCTION("""COMPUTED_VALUE"""),"")</f>
        <v/>
      </c>
      <c r="O1266" s="250" t="str">
        <f>IFERROR(__xludf.DUMMYFUNCTION("""COMPUTED_VALUE"""),"")</f>
        <v/>
      </c>
      <c r="P1266" s="250" t="str">
        <f>IFERROR(__xludf.DUMMYFUNCTION("""COMPUTED_VALUE"""),"")</f>
        <v/>
      </c>
      <c r="Q1266" s="250" t="str">
        <f>IFERROR(__xludf.DUMMYFUNCTION("""COMPUTED_VALUE"""),"")</f>
        <v/>
      </c>
      <c r="R1266" s="250" t="str">
        <f>IFERROR(__xludf.DUMMYFUNCTION("""COMPUTED_VALUE"""),"")</f>
        <v/>
      </c>
      <c r="U1266" s="250" t="str">
        <f>IFERROR(__xludf.DUMMYFUNCTION("""COMPUTED_VALUE"""),"#N/A")</f>
        <v>#N/A</v>
      </c>
      <c r="V1266" s="250" t="str">
        <f>IFERROR(__xludf.DUMMYFUNCTION("""COMPUTED_VALUE"""),"#N/A")</f>
        <v>#N/A</v>
      </c>
      <c r="W1266" s="250" t="str">
        <f>IFERROR(__xludf.DUMMYFUNCTION("""COMPUTED_VALUE"""),"#N/A")</f>
        <v>#N/A</v>
      </c>
      <c r="X1266" t="b">
        <f t="shared" ref="X1266:Z1266" si="2508">ISBLANK(K1266)</f>
        <v>1</v>
      </c>
      <c r="Y1266" t="b">
        <f t="shared" si="2508"/>
        <v>0</v>
      </c>
      <c r="Z1266" t="b">
        <f t="shared" si="2508"/>
        <v>0</v>
      </c>
      <c r="AA1266">
        <f t="shared" ref="AA1266:AC1266" si="2509">IF(X1266=FALSE,1,0)</f>
        <v>0</v>
      </c>
      <c r="AB1266">
        <f t="shared" si="2509"/>
        <v>1</v>
      </c>
      <c r="AC1266">
        <f t="shared" si="2509"/>
        <v>1</v>
      </c>
      <c r="AD1266">
        <f t="shared" si="6"/>
        <v>2</v>
      </c>
      <c r="AE1266">
        <f t="shared" si="7"/>
        <v>1</v>
      </c>
    </row>
    <row r="1267">
      <c r="B1267" t="str">
        <f>IFERROR(__xludf.DUMMYFUNCTION("""COMPUTED_VALUE"""),"")</f>
        <v/>
      </c>
      <c r="C1267" t="str">
        <f>IFERROR(__xludf.DUMMYFUNCTION("""COMPUTED_VALUE"""),"")</f>
        <v/>
      </c>
      <c r="D1267" t="str">
        <f>IFERROR(__xludf.DUMMYFUNCTION("""COMPUTED_VALUE"""),"")</f>
        <v/>
      </c>
      <c r="E1267" t="str">
        <f>IFERROR(__xludf.DUMMYFUNCTION("""COMPUTED_VALUE"""),"")</f>
        <v/>
      </c>
      <c r="F1267" t="str">
        <f>IFERROR(__xludf.DUMMYFUNCTION("""COMPUTED_VALUE"""),"")</f>
        <v/>
      </c>
      <c r="G1267" t="str">
        <f>IFERROR(__xludf.DUMMYFUNCTION("""COMPUTED_VALUE"""),"")</f>
        <v/>
      </c>
      <c r="H1267" t="str">
        <f>IFERROR(__xludf.DUMMYFUNCTION("""COMPUTED_VALUE"""),"")</f>
        <v/>
      </c>
      <c r="I1267" t="str">
        <f>IFERROR(__xludf.DUMMYFUNCTION("""COMPUTED_VALUE"""),"")</f>
        <v/>
      </c>
      <c r="J1267">
        <f>IFERROR(__xludf.DUMMYFUNCTION("""COMPUTED_VALUE"""),0.0)</f>
        <v>0</v>
      </c>
      <c r="L1267" s="250" t="str">
        <f>IFERROR(__xludf.DUMMYFUNCTION("""COMPUTED_VALUE"""),"")</f>
        <v/>
      </c>
      <c r="M1267" s="250" t="str">
        <f>IFERROR(__xludf.DUMMYFUNCTION("""COMPUTED_VALUE"""),"")</f>
        <v/>
      </c>
      <c r="N1267" s="250" t="str">
        <f>IFERROR(__xludf.DUMMYFUNCTION("""COMPUTED_VALUE"""),"")</f>
        <v/>
      </c>
      <c r="O1267" s="250" t="str">
        <f>IFERROR(__xludf.DUMMYFUNCTION("""COMPUTED_VALUE"""),"")</f>
        <v/>
      </c>
      <c r="P1267" s="250" t="str">
        <f>IFERROR(__xludf.DUMMYFUNCTION("""COMPUTED_VALUE"""),"")</f>
        <v/>
      </c>
      <c r="Q1267" s="250" t="str">
        <f>IFERROR(__xludf.DUMMYFUNCTION("""COMPUTED_VALUE"""),"")</f>
        <v/>
      </c>
      <c r="R1267" s="250" t="str">
        <f>IFERROR(__xludf.DUMMYFUNCTION("""COMPUTED_VALUE"""),"")</f>
        <v/>
      </c>
      <c r="U1267" s="250" t="str">
        <f>IFERROR(__xludf.DUMMYFUNCTION("""COMPUTED_VALUE"""),"#N/A")</f>
        <v>#N/A</v>
      </c>
      <c r="V1267" s="250" t="str">
        <f>IFERROR(__xludf.DUMMYFUNCTION("""COMPUTED_VALUE"""),"#N/A")</f>
        <v>#N/A</v>
      </c>
      <c r="W1267" s="250" t="str">
        <f>IFERROR(__xludf.DUMMYFUNCTION("""COMPUTED_VALUE"""),"#N/A")</f>
        <v>#N/A</v>
      </c>
      <c r="X1267" t="b">
        <f t="shared" ref="X1267:Z1267" si="2510">ISBLANK(K1267)</f>
        <v>1</v>
      </c>
      <c r="Y1267" t="b">
        <f t="shared" si="2510"/>
        <v>0</v>
      </c>
      <c r="Z1267" t="b">
        <f t="shared" si="2510"/>
        <v>0</v>
      </c>
      <c r="AA1267">
        <f t="shared" ref="AA1267:AC1267" si="2511">IF(X1267=FALSE,1,0)</f>
        <v>0</v>
      </c>
      <c r="AB1267">
        <f t="shared" si="2511"/>
        <v>1</v>
      </c>
      <c r="AC1267">
        <f t="shared" si="2511"/>
        <v>1</v>
      </c>
      <c r="AD1267">
        <f t="shared" si="6"/>
        <v>2</v>
      </c>
      <c r="AE1267">
        <f t="shared" si="7"/>
        <v>1</v>
      </c>
    </row>
    <row r="1268">
      <c r="B1268" t="str">
        <f>IFERROR(__xludf.DUMMYFUNCTION("""COMPUTED_VALUE"""),"")</f>
        <v/>
      </c>
      <c r="C1268" t="str">
        <f>IFERROR(__xludf.DUMMYFUNCTION("""COMPUTED_VALUE"""),"")</f>
        <v/>
      </c>
      <c r="D1268" t="str">
        <f>IFERROR(__xludf.DUMMYFUNCTION("""COMPUTED_VALUE"""),"")</f>
        <v/>
      </c>
      <c r="E1268" t="str">
        <f>IFERROR(__xludf.DUMMYFUNCTION("""COMPUTED_VALUE"""),"")</f>
        <v/>
      </c>
      <c r="F1268" t="str">
        <f>IFERROR(__xludf.DUMMYFUNCTION("""COMPUTED_VALUE"""),"")</f>
        <v/>
      </c>
      <c r="G1268" t="str">
        <f>IFERROR(__xludf.DUMMYFUNCTION("""COMPUTED_VALUE"""),"")</f>
        <v/>
      </c>
      <c r="H1268" t="str">
        <f>IFERROR(__xludf.DUMMYFUNCTION("""COMPUTED_VALUE"""),"")</f>
        <v/>
      </c>
      <c r="I1268" t="str">
        <f>IFERROR(__xludf.DUMMYFUNCTION("""COMPUTED_VALUE"""),"")</f>
        <v/>
      </c>
      <c r="J1268">
        <f>IFERROR(__xludf.DUMMYFUNCTION("""COMPUTED_VALUE"""),0.0)</f>
        <v>0</v>
      </c>
      <c r="L1268" s="250" t="str">
        <f>IFERROR(__xludf.DUMMYFUNCTION("""COMPUTED_VALUE"""),"")</f>
        <v/>
      </c>
      <c r="M1268" s="250" t="str">
        <f>IFERROR(__xludf.DUMMYFUNCTION("""COMPUTED_VALUE"""),"")</f>
        <v/>
      </c>
      <c r="N1268" s="250" t="str">
        <f>IFERROR(__xludf.DUMMYFUNCTION("""COMPUTED_VALUE"""),"")</f>
        <v/>
      </c>
      <c r="O1268" s="250" t="str">
        <f>IFERROR(__xludf.DUMMYFUNCTION("""COMPUTED_VALUE"""),"")</f>
        <v/>
      </c>
      <c r="P1268" s="250" t="str">
        <f>IFERROR(__xludf.DUMMYFUNCTION("""COMPUTED_VALUE"""),"")</f>
        <v/>
      </c>
      <c r="Q1268" s="250" t="str">
        <f>IFERROR(__xludf.DUMMYFUNCTION("""COMPUTED_VALUE"""),"")</f>
        <v/>
      </c>
      <c r="R1268" s="250" t="str">
        <f>IFERROR(__xludf.DUMMYFUNCTION("""COMPUTED_VALUE"""),"")</f>
        <v/>
      </c>
      <c r="U1268" s="250" t="str">
        <f>IFERROR(__xludf.DUMMYFUNCTION("""COMPUTED_VALUE"""),"#N/A")</f>
        <v>#N/A</v>
      </c>
      <c r="V1268" s="250" t="str">
        <f>IFERROR(__xludf.DUMMYFUNCTION("""COMPUTED_VALUE"""),"#N/A")</f>
        <v>#N/A</v>
      </c>
      <c r="W1268" s="250" t="str">
        <f>IFERROR(__xludf.DUMMYFUNCTION("""COMPUTED_VALUE"""),"#N/A")</f>
        <v>#N/A</v>
      </c>
      <c r="X1268" t="b">
        <f t="shared" ref="X1268:Z1268" si="2512">ISBLANK(K1268)</f>
        <v>1</v>
      </c>
      <c r="Y1268" t="b">
        <f t="shared" si="2512"/>
        <v>0</v>
      </c>
      <c r="Z1268" t="b">
        <f t="shared" si="2512"/>
        <v>0</v>
      </c>
      <c r="AA1268">
        <f t="shared" ref="AA1268:AC1268" si="2513">IF(X1268=FALSE,1,0)</f>
        <v>0</v>
      </c>
      <c r="AB1268">
        <f t="shared" si="2513"/>
        <v>1</v>
      </c>
      <c r="AC1268">
        <f t="shared" si="2513"/>
        <v>1</v>
      </c>
      <c r="AD1268">
        <f t="shared" si="6"/>
        <v>2</v>
      </c>
      <c r="AE1268">
        <f t="shared" si="7"/>
        <v>1</v>
      </c>
    </row>
    <row r="1269">
      <c r="B1269" t="str">
        <f>IFERROR(__xludf.DUMMYFUNCTION("""COMPUTED_VALUE"""),"")</f>
        <v/>
      </c>
      <c r="C1269" t="str">
        <f>IFERROR(__xludf.DUMMYFUNCTION("""COMPUTED_VALUE"""),"")</f>
        <v/>
      </c>
      <c r="D1269" t="str">
        <f>IFERROR(__xludf.DUMMYFUNCTION("""COMPUTED_VALUE"""),"")</f>
        <v/>
      </c>
      <c r="E1269" t="str">
        <f>IFERROR(__xludf.DUMMYFUNCTION("""COMPUTED_VALUE"""),"")</f>
        <v/>
      </c>
      <c r="F1269" t="str">
        <f>IFERROR(__xludf.DUMMYFUNCTION("""COMPUTED_VALUE"""),"")</f>
        <v/>
      </c>
      <c r="G1269" t="str">
        <f>IFERROR(__xludf.DUMMYFUNCTION("""COMPUTED_VALUE"""),"")</f>
        <v/>
      </c>
      <c r="H1269" t="str">
        <f>IFERROR(__xludf.DUMMYFUNCTION("""COMPUTED_VALUE"""),"")</f>
        <v/>
      </c>
      <c r="I1269" t="str">
        <f>IFERROR(__xludf.DUMMYFUNCTION("""COMPUTED_VALUE"""),"")</f>
        <v/>
      </c>
      <c r="J1269">
        <f>IFERROR(__xludf.DUMMYFUNCTION("""COMPUTED_VALUE"""),0.0)</f>
        <v>0</v>
      </c>
      <c r="L1269" s="250" t="str">
        <f>IFERROR(__xludf.DUMMYFUNCTION("""COMPUTED_VALUE"""),"")</f>
        <v/>
      </c>
      <c r="M1269" s="250" t="str">
        <f>IFERROR(__xludf.DUMMYFUNCTION("""COMPUTED_VALUE"""),"")</f>
        <v/>
      </c>
      <c r="N1269" s="250" t="str">
        <f>IFERROR(__xludf.DUMMYFUNCTION("""COMPUTED_VALUE"""),"")</f>
        <v/>
      </c>
      <c r="O1269" s="250" t="str">
        <f>IFERROR(__xludf.DUMMYFUNCTION("""COMPUTED_VALUE"""),"")</f>
        <v/>
      </c>
      <c r="P1269" s="250" t="str">
        <f>IFERROR(__xludf.DUMMYFUNCTION("""COMPUTED_VALUE"""),"")</f>
        <v/>
      </c>
      <c r="Q1269" s="250" t="str">
        <f>IFERROR(__xludf.DUMMYFUNCTION("""COMPUTED_VALUE"""),"")</f>
        <v/>
      </c>
      <c r="R1269" s="250" t="str">
        <f>IFERROR(__xludf.DUMMYFUNCTION("""COMPUTED_VALUE"""),"")</f>
        <v/>
      </c>
      <c r="U1269" s="250" t="str">
        <f>IFERROR(__xludf.DUMMYFUNCTION("""COMPUTED_VALUE"""),"#N/A")</f>
        <v>#N/A</v>
      </c>
      <c r="V1269" s="250" t="str">
        <f>IFERROR(__xludf.DUMMYFUNCTION("""COMPUTED_VALUE"""),"#N/A")</f>
        <v>#N/A</v>
      </c>
      <c r="W1269" s="250" t="str">
        <f>IFERROR(__xludf.DUMMYFUNCTION("""COMPUTED_VALUE"""),"#N/A")</f>
        <v>#N/A</v>
      </c>
      <c r="X1269" t="b">
        <f t="shared" ref="X1269:Z1269" si="2514">ISBLANK(K1269)</f>
        <v>1</v>
      </c>
      <c r="Y1269" t="b">
        <f t="shared" si="2514"/>
        <v>0</v>
      </c>
      <c r="Z1269" t="b">
        <f t="shared" si="2514"/>
        <v>0</v>
      </c>
      <c r="AA1269">
        <f t="shared" ref="AA1269:AC1269" si="2515">IF(X1269=FALSE,1,0)</f>
        <v>0</v>
      </c>
      <c r="AB1269">
        <f t="shared" si="2515"/>
        <v>1</v>
      </c>
      <c r="AC1269">
        <f t="shared" si="2515"/>
        <v>1</v>
      </c>
      <c r="AD1269">
        <f t="shared" si="6"/>
        <v>2</v>
      </c>
      <c r="AE1269">
        <f t="shared" si="7"/>
        <v>1</v>
      </c>
    </row>
    <row r="1270">
      <c r="B1270" t="str">
        <f>IFERROR(__xludf.DUMMYFUNCTION("""COMPUTED_VALUE"""),"")</f>
        <v/>
      </c>
      <c r="C1270" t="str">
        <f>IFERROR(__xludf.DUMMYFUNCTION("""COMPUTED_VALUE"""),"")</f>
        <v/>
      </c>
      <c r="D1270" t="str">
        <f>IFERROR(__xludf.DUMMYFUNCTION("""COMPUTED_VALUE"""),"")</f>
        <v/>
      </c>
      <c r="E1270" t="str">
        <f>IFERROR(__xludf.DUMMYFUNCTION("""COMPUTED_VALUE"""),"")</f>
        <v/>
      </c>
      <c r="F1270" t="str">
        <f>IFERROR(__xludf.DUMMYFUNCTION("""COMPUTED_VALUE"""),"")</f>
        <v/>
      </c>
      <c r="G1270" t="str">
        <f>IFERROR(__xludf.DUMMYFUNCTION("""COMPUTED_VALUE"""),"")</f>
        <v/>
      </c>
      <c r="H1270" t="str">
        <f>IFERROR(__xludf.DUMMYFUNCTION("""COMPUTED_VALUE"""),"")</f>
        <v/>
      </c>
      <c r="I1270" t="str">
        <f>IFERROR(__xludf.DUMMYFUNCTION("""COMPUTED_VALUE"""),"")</f>
        <v/>
      </c>
      <c r="J1270">
        <f>IFERROR(__xludf.DUMMYFUNCTION("""COMPUTED_VALUE"""),0.0)</f>
        <v>0</v>
      </c>
      <c r="L1270" s="250" t="str">
        <f>IFERROR(__xludf.DUMMYFUNCTION("""COMPUTED_VALUE"""),"")</f>
        <v/>
      </c>
      <c r="M1270" s="250" t="str">
        <f>IFERROR(__xludf.DUMMYFUNCTION("""COMPUTED_VALUE"""),"")</f>
        <v/>
      </c>
      <c r="N1270" s="250" t="str">
        <f>IFERROR(__xludf.DUMMYFUNCTION("""COMPUTED_VALUE"""),"")</f>
        <v/>
      </c>
      <c r="O1270" s="250" t="str">
        <f>IFERROR(__xludf.DUMMYFUNCTION("""COMPUTED_VALUE"""),"")</f>
        <v/>
      </c>
      <c r="P1270" s="250" t="str">
        <f>IFERROR(__xludf.DUMMYFUNCTION("""COMPUTED_VALUE"""),"")</f>
        <v/>
      </c>
      <c r="Q1270" s="250" t="str">
        <f>IFERROR(__xludf.DUMMYFUNCTION("""COMPUTED_VALUE"""),"")</f>
        <v/>
      </c>
      <c r="R1270" s="250" t="str">
        <f>IFERROR(__xludf.DUMMYFUNCTION("""COMPUTED_VALUE"""),"")</f>
        <v/>
      </c>
      <c r="U1270" s="250" t="str">
        <f>IFERROR(__xludf.DUMMYFUNCTION("""COMPUTED_VALUE"""),"#N/A")</f>
        <v>#N/A</v>
      </c>
      <c r="V1270" s="250" t="str">
        <f>IFERROR(__xludf.DUMMYFUNCTION("""COMPUTED_VALUE"""),"#N/A")</f>
        <v>#N/A</v>
      </c>
      <c r="W1270" s="250" t="str">
        <f>IFERROR(__xludf.DUMMYFUNCTION("""COMPUTED_VALUE"""),"#N/A")</f>
        <v>#N/A</v>
      </c>
      <c r="X1270" t="b">
        <f t="shared" ref="X1270:Z1270" si="2516">ISBLANK(K1270)</f>
        <v>1</v>
      </c>
      <c r="Y1270" t="b">
        <f t="shared" si="2516"/>
        <v>0</v>
      </c>
      <c r="Z1270" t="b">
        <f t="shared" si="2516"/>
        <v>0</v>
      </c>
      <c r="AA1270">
        <f t="shared" ref="AA1270:AC1270" si="2517">IF(X1270=FALSE,1,0)</f>
        <v>0</v>
      </c>
      <c r="AB1270">
        <f t="shared" si="2517"/>
        <v>1</v>
      </c>
      <c r="AC1270">
        <f t="shared" si="2517"/>
        <v>1</v>
      </c>
      <c r="AD1270">
        <f t="shared" si="6"/>
        <v>2</v>
      </c>
      <c r="AE1270">
        <f t="shared" si="7"/>
        <v>1</v>
      </c>
    </row>
    <row r="1271">
      <c r="B1271" t="str">
        <f>IFERROR(__xludf.DUMMYFUNCTION("""COMPUTED_VALUE"""),"")</f>
        <v/>
      </c>
      <c r="C1271" t="str">
        <f>IFERROR(__xludf.DUMMYFUNCTION("""COMPUTED_VALUE"""),"")</f>
        <v/>
      </c>
      <c r="D1271" t="str">
        <f>IFERROR(__xludf.DUMMYFUNCTION("""COMPUTED_VALUE"""),"")</f>
        <v/>
      </c>
      <c r="E1271" t="str">
        <f>IFERROR(__xludf.DUMMYFUNCTION("""COMPUTED_VALUE"""),"")</f>
        <v/>
      </c>
      <c r="F1271" t="str">
        <f>IFERROR(__xludf.DUMMYFUNCTION("""COMPUTED_VALUE"""),"")</f>
        <v/>
      </c>
      <c r="G1271" t="str">
        <f>IFERROR(__xludf.DUMMYFUNCTION("""COMPUTED_VALUE"""),"")</f>
        <v/>
      </c>
      <c r="H1271" t="str">
        <f>IFERROR(__xludf.DUMMYFUNCTION("""COMPUTED_VALUE"""),"")</f>
        <v/>
      </c>
      <c r="I1271" t="str">
        <f>IFERROR(__xludf.DUMMYFUNCTION("""COMPUTED_VALUE"""),"")</f>
        <v/>
      </c>
      <c r="J1271">
        <f>IFERROR(__xludf.DUMMYFUNCTION("""COMPUTED_VALUE"""),0.0)</f>
        <v>0</v>
      </c>
      <c r="L1271" s="250" t="str">
        <f>IFERROR(__xludf.DUMMYFUNCTION("""COMPUTED_VALUE"""),"")</f>
        <v/>
      </c>
      <c r="M1271" s="250" t="str">
        <f>IFERROR(__xludf.DUMMYFUNCTION("""COMPUTED_VALUE"""),"")</f>
        <v/>
      </c>
      <c r="N1271" s="250" t="str">
        <f>IFERROR(__xludf.DUMMYFUNCTION("""COMPUTED_VALUE"""),"")</f>
        <v/>
      </c>
      <c r="O1271" s="250" t="str">
        <f>IFERROR(__xludf.DUMMYFUNCTION("""COMPUTED_VALUE"""),"")</f>
        <v/>
      </c>
      <c r="P1271" s="250" t="str">
        <f>IFERROR(__xludf.DUMMYFUNCTION("""COMPUTED_VALUE"""),"")</f>
        <v/>
      </c>
      <c r="Q1271" s="250" t="str">
        <f>IFERROR(__xludf.DUMMYFUNCTION("""COMPUTED_VALUE"""),"")</f>
        <v/>
      </c>
      <c r="R1271" s="250" t="str">
        <f>IFERROR(__xludf.DUMMYFUNCTION("""COMPUTED_VALUE"""),"")</f>
        <v/>
      </c>
      <c r="U1271" s="250" t="str">
        <f>IFERROR(__xludf.DUMMYFUNCTION("""COMPUTED_VALUE"""),"#N/A")</f>
        <v>#N/A</v>
      </c>
      <c r="V1271" s="250" t="str">
        <f>IFERROR(__xludf.DUMMYFUNCTION("""COMPUTED_VALUE"""),"#N/A")</f>
        <v>#N/A</v>
      </c>
      <c r="W1271" s="250" t="str">
        <f>IFERROR(__xludf.DUMMYFUNCTION("""COMPUTED_VALUE"""),"#N/A")</f>
        <v>#N/A</v>
      </c>
      <c r="X1271" t="b">
        <f t="shared" ref="X1271:Z1271" si="2518">ISBLANK(K1271)</f>
        <v>1</v>
      </c>
      <c r="Y1271" t="b">
        <f t="shared" si="2518"/>
        <v>0</v>
      </c>
      <c r="Z1271" t="b">
        <f t="shared" si="2518"/>
        <v>0</v>
      </c>
      <c r="AA1271">
        <f t="shared" ref="AA1271:AC1271" si="2519">IF(X1271=FALSE,1,0)</f>
        <v>0</v>
      </c>
      <c r="AB1271">
        <f t="shared" si="2519"/>
        <v>1</v>
      </c>
      <c r="AC1271">
        <f t="shared" si="2519"/>
        <v>1</v>
      </c>
      <c r="AD1271">
        <f t="shared" si="6"/>
        <v>2</v>
      </c>
      <c r="AE1271">
        <f t="shared" si="7"/>
        <v>1</v>
      </c>
    </row>
    <row r="1272">
      <c r="B1272" t="str">
        <f>IFERROR(__xludf.DUMMYFUNCTION("""COMPUTED_VALUE"""),"")</f>
        <v/>
      </c>
      <c r="C1272" t="str">
        <f>IFERROR(__xludf.DUMMYFUNCTION("""COMPUTED_VALUE"""),"")</f>
        <v/>
      </c>
      <c r="D1272" t="str">
        <f>IFERROR(__xludf.DUMMYFUNCTION("""COMPUTED_VALUE"""),"")</f>
        <v/>
      </c>
      <c r="E1272" t="str">
        <f>IFERROR(__xludf.DUMMYFUNCTION("""COMPUTED_VALUE"""),"")</f>
        <v/>
      </c>
      <c r="F1272" t="str">
        <f>IFERROR(__xludf.DUMMYFUNCTION("""COMPUTED_VALUE"""),"")</f>
        <v/>
      </c>
      <c r="G1272" t="str">
        <f>IFERROR(__xludf.DUMMYFUNCTION("""COMPUTED_VALUE"""),"")</f>
        <v/>
      </c>
      <c r="H1272" t="str">
        <f>IFERROR(__xludf.DUMMYFUNCTION("""COMPUTED_VALUE"""),"")</f>
        <v/>
      </c>
      <c r="I1272" t="str">
        <f>IFERROR(__xludf.DUMMYFUNCTION("""COMPUTED_VALUE"""),"")</f>
        <v/>
      </c>
      <c r="J1272">
        <f>IFERROR(__xludf.DUMMYFUNCTION("""COMPUTED_VALUE"""),0.0)</f>
        <v>0</v>
      </c>
      <c r="L1272" s="250" t="str">
        <f>IFERROR(__xludf.DUMMYFUNCTION("""COMPUTED_VALUE"""),"")</f>
        <v/>
      </c>
      <c r="M1272" s="250" t="str">
        <f>IFERROR(__xludf.DUMMYFUNCTION("""COMPUTED_VALUE"""),"")</f>
        <v/>
      </c>
      <c r="N1272" s="250" t="str">
        <f>IFERROR(__xludf.DUMMYFUNCTION("""COMPUTED_VALUE"""),"")</f>
        <v/>
      </c>
      <c r="O1272" s="250" t="str">
        <f>IFERROR(__xludf.DUMMYFUNCTION("""COMPUTED_VALUE"""),"")</f>
        <v/>
      </c>
      <c r="P1272" s="250" t="str">
        <f>IFERROR(__xludf.DUMMYFUNCTION("""COMPUTED_VALUE"""),"")</f>
        <v/>
      </c>
      <c r="Q1272" s="250" t="str">
        <f>IFERROR(__xludf.DUMMYFUNCTION("""COMPUTED_VALUE"""),"")</f>
        <v/>
      </c>
      <c r="R1272" s="250" t="str">
        <f>IFERROR(__xludf.DUMMYFUNCTION("""COMPUTED_VALUE"""),"")</f>
        <v/>
      </c>
      <c r="U1272" s="250" t="str">
        <f>IFERROR(__xludf.DUMMYFUNCTION("""COMPUTED_VALUE"""),"#N/A")</f>
        <v>#N/A</v>
      </c>
      <c r="V1272" s="250" t="str">
        <f>IFERROR(__xludf.DUMMYFUNCTION("""COMPUTED_VALUE"""),"#N/A")</f>
        <v>#N/A</v>
      </c>
      <c r="W1272" s="250" t="str">
        <f>IFERROR(__xludf.DUMMYFUNCTION("""COMPUTED_VALUE"""),"#N/A")</f>
        <v>#N/A</v>
      </c>
      <c r="X1272" t="b">
        <f t="shared" ref="X1272:Z1272" si="2520">ISBLANK(K1272)</f>
        <v>1</v>
      </c>
      <c r="Y1272" t="b">
        <f t="shared" si="2520"/>
        <v>0</v>
      </c>
      <c r="Z1272" t="b">
        <f t="shared" si="2520"/>
        <v>0</v>
      </c>
      <c r="AA1272">
        <f t="shared" ref="AA1272:AC1272" si="2521">IF(X1272=FALSE,1,0)</f>
        <v>0</v>
      </c>
      <c r="AB1272">
        <f t="shared" si="2521"/>
        <v>1</v>
      </c>
      <c r="AC1272">
        <f t="shared" si="2521"/>
        <v>1</v>
      </c>
      <c r="AD1272">
        <f t="shared" si="6"/>
        <v>2</v>
      </c>
      <c r="AE1272">
        <f t="shared" si="7"/>
        <v>1</v>
      </c>
    </row>
    <row r="1273">
      <c r="B1273" t="str">
        <f>IFERROR(__xludf.DUMMYFUNCTION("""COMPUTED_VALUE"""),"")</f>
        <v/>
      </c>
      <c r="C1273" t="str">
        <f>IFERROR(__xludf.DUMMYFUNCTION("""COMPUTED_VALUE"""),"")</f>
        <v/>
      </c>
      <c r="D1273" t="str">
        <f>IFERROR(__xludf.DUMMYFUNCTION("""COMPUTED_VALUE"""),"")</f>
        <v/>
      </c>
      <c r="E1273" t="str">
        <f>IFERROR(__xludf.DUMMYFUNCTION("""COMPUTED_VALUE"""),"")</f>
        <v/>
      </c>
      <c r="F1273" t="str">
        <f>IFERROR(__xludf.DUMMYFUNCTION("""COMPUTED_VALUE"""),"")</f>
        <v/>
      </c>
      <c r="G1273" t="str">
        <f>IFERROR(__xludf.DUMMYFUNCTION("""COMPUTED_VALUE"""),"")</f>
        <v/>
      </c>
      <c r="H1273" t="str">
        <f>IFERROR(__xludf.DUMMYFUNCTION("""COMPUTED_VALUE"""),"")</f>
        <v/>
      </c>
      <c r="I1273" t="str">
        <f>IFERROR(__xludf.DUMMYFUNCTION("""COMPUTED_VALUE"""),"")</f>
        <v/>
      </c>
      <c r="J1273">
        <f>IFERROR(__xludf.DUMMYFUNCTION("""COMPUTED_VALUE"""),0.0)</f>
        <v>0</v>
      </c>
      <c r="L1273" s="250" t="str">
        <f>IFERROR(__xludf.DUMMYFUNCTION("""COMPUTED_VALUE"""),"")</f>
        <v/>
      </c>
      <c r="M1273" s="250" t="str">
        <f>IFERROR(__xludf.DUMMYFUNCTION("""COMPUTED_VALUE"""),"")</f>
        <v/>
      </c>
      <c r="N1273" s="250" t="str">
        <f>IFERROR(__xludf.DUMMYFUNCTION("""COMPUTED_VALUE"""),"")</f>
        <v/>
      </c>
      <c r="O1273" s="250" t="str">
        <f>IFERROR(__xludf.DUMMYFUNCTION("""COMPUTED_VALUE"""),"")</f>
        <v/>
      </c>
      <c r="P1273" s="250" t="str">
        <f>IFERROR(__xludf.DUMMYFUNCTION("""COMPUTED_VALUE"""),"")</f>
        <v/>
      </c>
      <c r="Q1273" s="250" t="str">
        <f>IFERROR(__xludf.DUMMYFUNCTION("""COMPUTED_VALUE"""),"")</f>
        <v/>
      </c>
      <c r="R1273" s="250" t="str">
        <f>IFERROR(__xludf.DUMMYFUNCTION("""COMPUTED_VALUE"""),"")</f>
        <v/>
      </c>
      <c r="U1273" s="250" t="str">
        <f>IFERROR(__xludf.DUMMYFUNCTION("""COMPUTED_VALUE"""),"#N/A")</f>
        <v>#N/A</v>
      </c>
      <c r="V1273" s="250" t="str">
        <f>IFERROR(__xludf.DUMMYFUNCTION("""COMPUTED_VALUE"""),"#N/A")</f>
        <v>#N/A</v>
      </c>
      <c r="W1273" s="250" t="str">
        <f>IFERROR(__xludf.DUMMYFUNCTION("""COMPUTED_VALUE"""),"#N/A")</f>
        <v>#N/A</v>
      </c>
      <c r="X1273" t="b">
        <f t="shared" ref="X1273:Z1273" si="2522">ISBLANK(K1273)</f>
        <v>1</v>
      </c>
      <c r="Y1273" t="b">
        <f t="shared" si="2522"/>
        <v>0</v>
      </c>
      <c r="Z1273" t="b">
        <f t="shared" si="2522"/>
        <v>0</v>
      </c>
      <c r="AA1273">
        <f t="shared" ref="AA1273:AC1273" si="2523">IF(X1273=FALSE,1,0)</f>
        <v>0</v>
      </c>
      <c r="AB1273">
        <f t="shared" si="2523"/>
        <v>1</v>
      </c>
      <c r="AC1273">
        <f t="shared" si="2523"/>
        <v>1</v>
      </c>
      <c r="AD1273">
        <f t="shared" si="6"/>
        <v>2</v>
      </c>
      <c r="AE1273">
        <f t="shared" si="7"/>
        <v>1</v>
      </c>
    </row>
    <row r="1274">
      <c r="B1274" t="str">
        <f>IFERROR(__xludf.DUMMYFUNCTION("""COMPUTED_VALUE"""),"")</f>
        <v/>
      </c>
      <c r="C1274" t="str">
        <f>IFERROR(__xludf.DUMMYFUNCTION("""COMPUTED_VALUE"""),"")</f>
        <v/>
      </c>
      <c r="D1274" t="str">
        <f>IFERROR(__xludf.DUMMYFUNCTION("""COMPUTED_VALUE"""),"")</f>
        <v/>
      </c>
      <c r="E1274" t="str">
        <f>IFERROR(__xludf.DUMMYFUNCTION("""COMPUTED_VALUE"""),"")</f>
        <v/>
      </c>
      <c r="F1274" t="str">
        <f>IFERROR(__xludf.DUMMYFUNCTION("""COMPUTED_VALUE"""),"")</f>
        <v/>
      </c>
      <c r="G1274" t="str">
        <f>IFERROR(__xludf.DUMMYFUNCTION("""COMPUTED_VALUE"""),"")</f>
        <v/>
      </c>
      <c r="H1274" t="str">
        <f>IFERROR(__xludf.DUMMYFUNCTION("""COMPUTED_VALUE"""),"")</f>
        <v/>
      </c>
      <c r="I1274" t="str">
        <f>IFERROR(__xludf.DUMMYFUNCTION("""COMPUTED_VALUE"""),"")</f>
        <v/>
      </c>
      <c r="J1274">
        <f>IFERROR(__xludf.DUMMYFUNCTION("""COMPUTED_VALUE"""),0.0)</f>
        <v>0</v>
      </c>
      <c r="L1274" s="250" t="str">
        <f>IFERROR(__xludf.DUMMYFUNCTION("""COMPUTED_VALUE"""),"")</f>
        <v/>
      </c>
      <c r="M1274" s="250" t="str">
        <f>IFERROR(__xludf.DUMMYFUNCTION("""COMPUTED_VALUE"""),"")</f>
        <v/>
      </c>
      <c r="N1274" s="250" t="str">
        <f>IFERROR(__xludf.DUMMYFUNCTION("""COMPUTED_VALUE"""),"")</f>
        <v/>
      </c>
      <c r="O1274" s="250" t="str">
        <f>IFERROR(__xludf.DUMMYFUNCTION("""COMPUTED_VALUE"""),"")</f>
        <v/>
      </c>
      <c r="P1274" s="250" t="str">
        <f>IFERROR(__xludf.DUMMYFUNCTION("""COMPUTED_VALUE"""),"")</f>
        <v/>
      </c>
      <c r="Q1274" s="250" t="str">
        <f>IFERROR(__xludf.DUMMYFUNCTION("""COMPUTED_VALUE"""),"")</f>
        <v/>
      </c>
      <c r="R1274" s="250" t="str">
        <f>IFERROR(__xludf.DUMMYFUNCTION("""COMPUTED_VALUE"""),"")</f>
        <v/>
      </c>
      <c r="U1274" s="250" t="str">
        <f>IFERROR(__xludf.DUMMYFUNCTION("""COMPUTED_VALUE"""),"#N/A")</f>
        <v>#N/A</v>
      </c>
      <c r="V1274" s="250" t="str">
        <f>IFERROR(__xludf.DUMMYFUNCTION("""COMPUTED_VALUE"""),"#N/A")</f>
        <v>#N/A</v>
      </c>
      <c r="W1274" s="250" t="str">
        <f>IFERROR(__xludf.DUMMYFUNCTION("""COMPUTED_VALUE"""),"#N/A")</f>
        <v>#N/A</v>
      </c>
      <c r="X1274" t="b">
        <f t="shared" ref="X1274:Z1274" si="2524">ISBLANK(K1274)</f>
        <v>1</v>
      </c>
      <c r="Y1274" t="b">
        <f t="shared" si="2524"/>
        <v>0</v>
      </c>
      <c r="Z1274" t="b">
        <f t="shared" si="2524"/>
        <v>0</v>
      </c>
      <c r="AA1274">
        <f t="shared" ref="AA1274:AC1274" si="2525">IF(X1274=FALSE,1,0)</f>
        <v>0</v>
      </c>
      <c r="AB1274">
        <f t="shared" si="2525"/>
        <v>1</v>
      </c>
      <c r="AC1274">
        <f t="shared" si="2525"/>
        <v>1</v>
      </c>
      <c r="AD1274">
        <f t="shared" si="6"/>
        <v>2</v>
      </c>
      <c r="AE1274">
        <f t="shared" si="7"/>
        <v>1</v>
      </c>
    </row>
    <row r="1275">
      <c r="B1275" t="str">
        <f>IFERROR(__xludf.DUMMYFUNCTION("""COMPUTED_VALUE"""),"")</f>
        <v/>
      </c>
      <c r="C1275" t="str">
        <f>IFERROR(__xludf.DUMMYFUNCTION("""COMPUTED_VALUE"""),"")</f>
        <v/>
      </c>
      <c r="D1275" t="str">
        <f>IFERROR(__xludf.DUMMYFUNCTION("""COMPUTED_VALUE"""),"")</f>
        <v/>
      </c>
      <c r="E1275" t="str">
        <f>IFERROR(__xludf.DUMMYFUNCTION("""COMPUTED_VALUE"""),"")</f>
        <v/>
      </c>
      <c r="F1275" t="str">
        <f>IFERROR(__xludf.DUMMYFUNCTION("""COMPUTED_VALUE"""),"")</f>
        <v/>
      </c>
      <c r="G1275" t="str">
        <f>IFERROR(__xludf.DUMMYFUNCTION("""COMPUTED_VALUE"""),"")</f>
        <v/>
      </c>
      <c r="H1275" t="str">
        <f>IFERROR(__xludf.DUMMYFUNCTION("""COMPUTED_VALUE"""),"")</f>
        <v/>
      </c>
      <c r="I1275" t="str">
        <f>IFERROR(__xludf.DUMMYFUNCTION("""COMPUTED_VALUE"""),"")</f>
        <v/>
      </c>
      <c r="J1275">
        <f>IFERROR(__xludf.DUMMYFUNCTION("""COMPUTED_VALUE"""),0.0)</f>
        <v>0</v>
      </c>
      <c r="L1275" s="250" t="str">
        <f>IFERROR(__xludf.DUMMYFUNCTION("""COMPUTED_VALUE"""),"")</f>
        <v/>
      </c>
      <c r="M1275" s="250" t="str">
        <f>IFERROR(__xludf.DUMMYFUNCTION("""COMPUTED_VALUE"""),"")</f>
        <v/>
      </c>
      <c r="N1275" s="250" t="str">
        <f>IFERROR(__xludf.DUMMYFUNCTION("""COMPUTED_VALUE"""),"")</f>
        <v/>
      </c>
      <c r="O1275" s="250" t="str">
        <f>IFERROR(__xludf.DUMMYFUNCTION("""COMPUTED_VALUE"""),"")</f>
        <v/>
      </c>
      <c r="P1275" s="250" t="str">
        <f>IFERROR(__xludf.DUMMYFUNCTION("""COMPUTED_VALUE"""),"")</f>
        <v/>
      </c>
      <c r="Q1275" s="250" t="str">
        <f>IFERROR(__xludf.DUMMYFUNCTION("""COMPUTED_VALUE"""),"")</f>
        <v/>
      </c>
      <c r="R1275" s="250" t="str">
        <f>IFERROR(__xludf.DUMMYFUNCTION("""COMPUTED_VALUE"""),"")</f>
        <v/>
      </c>
      <c r="U1275" s="250" t="str">
        <f>IFERROR(__xludf.DUMMYFUNCTION("""COMPUTED_VALUE"""),"#N/A")</f>
        <v>#N/A</v>
      </c>
      <c r="V1275" s="250" t="str">
        <f>IFERROR(__xludf.DUMMYFUNCTION("""COMPUTED_VALUE"""),"#N/A")</f>
        <v>#N/A</v>
      </c>
      <c r="W1275" s="250" t="str">
        <f>IFERROR(__xludf.DUMMYFUNCTION("""COMPUTED_VALUE"""),"#N/A")</f>
        <v>#N/A</v>
      </c>
      <c r="X1275" t="b">
        <f t="shared" ref="X1275:Z1275" si="2526">ISBLANK(K1275)</f>
        <v>1</v>
      </c>
      <c r="Y1275" t="b">
        <f t="shared" si="2526"/>
        <v>0</v>
      </c>
      <c r="Z1275" t="b">
        <f t="shared" si="2526"/>
        <v>0</v>
      </c>
      <c r="AA1275">
        <f t="shared" ref="AA1275:AC1275" si="2527">IF(X1275=FALSE,1,0)</f>
        <v>0</v>
      </c>
      <c r="AB1275">
        <f t="shared" si="2527"/>
        <v>1</v>
      </c>
      <c r="AC1275">
        <f t="shared" si="2527"/>
        <v>1</v>
      </c>
      <c r="AD1275">
        <f t="shared" si="6"/>
        <v>2</v>
      </c>
      <c r="AE1275">
        <f t="shared" si="7"/>
        <v>1</v>
      </c>
    </row>
    <row r="1276">
      <c r="B1276" t="str">
        <f>IFERROR(__xludf.DUMMYFUNCTION("""COMPUTED_VALUE"""),"")</f>
        <v/>
      </c>
      <c r="C1276" t="str">
        <f>IFERROR(__xludf.DUMMYFUNCTION("""COMPUTED_VALUE"""),"")</f>
        <v/>
      </c>
      <c r="D1276" t="str">
        <f>IFERROR(__xludf.DUMMYFUNCTION("""COMPUTED_VALUE"""),"")</f>
        <v/>
      </c>
      <c r="E1276" t="str">
        <f>IFERROR(__xludf.DUMMYFUNCTION("""COMPUTED_VALUE"""),"")</f>
        <v/>
      </c>
      <c r="F1276" t="str">
        <f>IFERROR(__xludf.DUMMYFUNCTION("""COMPUTED_VALUE"""),"")</f>
        <v/>
      </c>
      <c r="G1276" t="str">
        <f>IFERROR(__xludf.DUMMYFUNCTION("""COMPUTED_VALUE"""),"")</f>
        <v/>
      </c>
      <c r="H1276" t="str">
        <f>IFERROR(__xludf.DUMMYFUNCTION("""COMPUTED_VALUE"""),"")</f>
        <v/>
      </c>
      <c r="I1276" t="str">
        <f>IFERROR(__xludf.DUMMYFUNCTION("""COMPUTED_VALUE"""),"")</f>
        <v/>
      </c>
      <c r="J1276">
        <f>IFERROR(__xludf.DUMMYFUNCTION("""COMPUTED_VALUE"""),0.0)</f>
        <v>0</v>
      </c>
      <c r="L1276" s="250" t="str">
        <f>IFERROR(__xludf.DUMMYFUNCTION("""COMPUTED_VALUE"""),"")</f>
        <v/>
      </c>
      <c r="M1276" s="250" t="str">
        <f>IFERROR(__xludf.DUMMYFUNCTION("""COMPUTED_VALUE"""),"")</f>
        <v/>
      </c>
      <c r="N1276" s="250" t="str">
        <f>IFERROR(__xludf.DUMMYFUNCTION("""COMPUTED_VALUE"""),"")</f>
        <v/>
      </c>
      <c r="O1276" s="250" t="str">
        <f>IFERROR(__xludf.DUMMYFUNCTION("""COMPUTED_VALUE"""),"")</f>
        <v/>
      </c>
      <c r="P1276" s="250" t="str">
        <f>IFERROR(__xludf.DUMMYFUNCTION("""COMPUTED_VALUE"""),"")</f>
        <v/>
      </c>
      <c r="Q1276" s="250" t="str">
        <f>IFERROR(__xludf.DUMMYFUNCTION("""COMPUTED_VALUE"""),"")</f>
        <v/>
      </c>
      <c r="R1276" s="250" t="str">
        <f>IFERROR(__xludf.DUMMYFUNCTION("""COMPUTED_VALUE"""),"")</f>
        <v/>
      </c>
      <c r="U1276" s="250" t="str">
        <f>IFERROR(__xludf.DUMMYFUNCTION("""COMPUTED_VALUE"""),"#N/A")</f>
        <v>#N/A</v>
      </c>
      <c r="V1276" s="250" t="str">
        <f>IFERROR(__xludf.DUMMYFUNCTION("""COMPUTED_VALUE"""),"#N/A")</f>
        <v>#N/A</v>
      </c>
      <c r="W1276" s="250" t="str">
        <f>IFERROR(__xludf.DUMMYFUNCTION("""COMPUTED_VALUE"""),"#N/A")</f>
        <v>#N/A</v>
      </c>
      <c r="X1276" t="b">
        <f t="shared" ref="X1276:Z1276" si="2528">ISBLANK(K1276)</f>
        <v>1</v>
      </c>
      <c r="Y1276" t="b">
        <f t="shared" si="2528"/>
        <v>0</v>
      </c>
      <c r="Z1276" t="b">
        <f t="shared" si="2528"/>
        <v>0</v>
      </c>
      <c r="AA1276">
        <f t="shared" ref="AA1276:AC1276" si="2529">IF(X1276=FALSE,1,0)</f>
        <v>0</v>
      </c>
      <c r="AB1276">
        <f t="shared" si="2529"/>
        <v>1</v>
      </c>
      <c r="AC1276">
        <f t="shared" si="2529"/>
        <v>1</v>
      </c>
      <c r="AD1276">
        <f t="shared" si="6"/>
        <v>2</v>
      </c>
      <c r="AE1276">
        <f t="shared" si="7"/>
        <v>1</v>
      </c>
    </row>
    <row r="1277">
      <c r="B1277" t="str">
        <f>IFERROR(__xludf.DUMMYFUNCTION("""COMPUTED_VALUE"""),"")</f>
        <v/>
      </c>
      <c r="C1277" t="str">
        <f>IFERROR(__xludf.DUMMYFUNCTION("""COMPUTED_VALUE"""),"")</f>
        <v/>
      </c>
      <c r="D1277" t="str">
        <f>IFERROR(__xludf.DUMMYFUNCTION("""COMPUTED_VALUE"""),"")</f>
        <v/>
      </c>
      <c r="E1277" t="str">
        <f>IFERROR(__xludf.DUMMYFUNCTION("""COMPUTED_VALUE"""),"")</f>
        <v/>
      </c>
      <c r="F1277" t="str">
        <f>IFERROR(__xludf.DUMMYFUNCTION("""COMPUTED_VALUE"""),"")</f>
        <v/>
      </c>
      <c r="G1277" t="str">
        <f>IFERROR(__xludf.DUMMYFUNCTION("""COMPUTED_VALUE"""),"")</f>
        <v/>
      </c>
      <c r="H1277" t="str">
        <f>IFERROR(__xludf.DUMMYFUNCTION("""COMPUTED_VALUE"""),"")</f>
        <v/>
      </c>
      <c r="I1277" t="str">
        <f>IFERROR(__xludf.DUMMYFUNCTION("""COMPUTED_VALUE"""),"")</f>
        <v/>
      </c>
      <c r="J1277">
        <f>IFERROR(__xludf.DUMMYFUNCTION("""COMPUTED_VALUE"""),0.0)</f>
        <v>0</v>
      </c>
      <c r="L1277" s="250" t="str">
        <f>IFERROR(__xludf.DUMMYFUNCTION("""COMPUTED_VALUE"""),"")</f>
        <v/>
      </c>
      <c r="M1277" s="250" t="str">
        <f>IFERROR(__xludf.DUMMYFUNCTION("""COMPUTED_VALUE"""),"")</f>
        <v/>
      </c>
      <c r="N1277" s="250" t="str">
        <f>IFERROR(__xludf.DUMMYFUNCTION("""COMPUTED_VALUE"""),"")</f>
        <v/>
      </c>
      <c r="O1277" s="250" t="str">
        <f>IFERROR(__xludf.DUMMYFUNCTION("""COMPUTED_VALUE"""),"")</f>
        <v/>
      </c>
      <c r="P1277" s="250" t="str">
        <f>IFERROR(__xludf.DUMMYFUNCTION("""COMPUTED_VALUE"""),"")</f>
        <v/>
      </c>
      <c r="Q1277" s="250" t="str">
        <f>IFERROR(__xludf.DUMMYFUNCTION("""COMPUTED_VALUE"""),"")</f>
        <v/>
      </c>
      <c r="R1277" s="250" t="str">
        <f>IFERROR(__xludf.DUMMYFUNCTION("""COMPUTED_VALUE"""),"")</f>
        <v/>
      </c>
      <c r="U1277" s="250" t="str">
        <f>IFERROR(__xludf.DUMMYFUNCTION("""COMPUTED_VALUE"""),"#N/A")</f>
        <v>#N/A</v>
      </c>
      <c r="V1277" s="250" t="str">
        <f>IFERROR(__xludf.DUMMYFUNCTION("""COMPUTED_VALUE"""),"#N/A")</f>
        <v>#N/A</v>
      </c>
      <c r="W1277" s="250" t="str">
        <f>IFERROR(__xludf.DUMMYFUNCTION("""COMPUTED_VALUE"""),"#N/A")</f>
        <v>#N/A</v>
      </c>
      <c r="X1277" t="b">
        <f t="shared" ref="X1277:Z1277" si="2530">ISBLANK(K1277)</f>
        <v>1</v>
      </c>
      <c r="Y1277" t="b">
        <f t="shared" si="2530"/>
        <v>0</v>
      </c>
      <c r="Z1277" t="b">
        <f t="shared" si="2530"/>
        <v>0</v>
      </c>
      <c r="AA1277">
        <f t="shared" ref="AA1277:AC1277" si="2531">IF(X1277=FALSE,1,0)</f>
        <v>0</v>
      </c>
      <c r="AB1277">
        <f t="shared" si="2531"/>
        <v>1</v>
      </c>
      <c r="AC1277">
        <f t="shared" si="2531"/>
        <v>1</v>
      </c>
      <c r="AD1277">
        <f t="shared" si="6"/>
        <v>2</v>
      </c>
      <c r="AE1277">
        <f t="shared" si="7"/>
        <v>1</v>
      </c>
    </row>
    <row r="1278">
      <c r="B1278" t="str">
        <f>IFERROR(__xludf.DUMMYFUNCTION("""COMPUTED_VALUE"""),"")</f>
        <v/>
      </c>
      <c r="C1278" t="str">
        <f>IFERROR(__xludf.DUMMYFUNCTION("""COMPUTED_VALUE"""),"")</f>
        <v/>
      </c>
      <c r="D1278" t="str">
        <f>IFERROR(__xludf.DUMMYFUNCTION("""COMPUTED_VALUE"""),"")</f>
        <v/>
      </c>
      <c r="E1278" t="str">
        <f>IFERROR(__xludf.DUMMYFUNCTION("""COMPUTED_VALUE"""),"")</f>
        <v/>
      </c>
      <c r="F1278" t="str">
        <f>IFERROR(__xludf.DUMMYFUNCTION("""COMPUTED_VALUE"""),"")</f>
        <v/>
      </c>
      <c r="G1278" t="str">
        <f>IFERROR(__xludf.DUMMYFUNCTION("""COMPUTED_VALUE"""),"")</f>
        <v/>
      </c>
      <c r="H1278" t="str">
        <f>IFERROR(__xludf.DUMMYFUNCTION("""COMPUTED_VALUE"""),"")</f>
        <v/>
      </c>
      <c r="I1278" t="str">
        <f>IFERROR(__xludf.DUMMYFUNCTION("""COMPUTED_VALUE"""),"")</f>
        <v/>
      </c>
      <c r="J1278">
        <f>IFERROR(__xludf.DUMMYFUNCTION("""COMPUTED_VALUE"""),0.0)</f>
        <v>0</v>
      </c>
      <c r="L1278" s="250" t="str">
        <f>IFERROR(__xludf.DUMMYFUNCTION("""COMPUTED_VALUE"""),"")</f>
        <v/>
      </c>
      <c r="M1278" s="250" t="str">
        <f>IFERROR(__xludf.DUMMYFUNCTION("""COMPUTED_VALUE"""),"")</f>
        <v/>
      </c>
      <c r="N1278" s="250" t="str">
        <f>IFERROR(__xludf.DUMMYFUNCTION("""COMPUTED_VALUE"""),"")</f>
        <v/>
      </c>
      <c r="O1278" s="250" t="str">
        <f>IFERROR(__xludf.DUMMYFUNCTION("""COMPUTED_VALUE"""),"")</f>
        <v/>
      </c>
      <c r="P1278" s="250" t="str">
        <f>IFERROR(__xludf.DUMMYFUNCTION("""COMPUTED_VALUE"""),"")</f>
        <v/>
      </c>
      <c r="Q1278" s="250" t="str">
        <f>IFERROR(__xludf.DUMMYFUNCTION("""COMPUTED_VALUE"""),"")</f>
        <v/>
      </c>
      <c r="R1278" s="250" t="str">
        <f>IFERROR(__xludf.DUMMYFUNCTION("""COMPUTED_VALUE"""),"")</f>
        <v/>
      </c>
      <c r="U1278" s="250" t="str">
        <f>IFERROR(__xludf.DUMMYFUNCTION("""COMPUTED_VALUE"""),"#N/A")</f>
        <v>#N/A</v>
      </c>
      <c r="V1278" s="250" t="str">
        <f>IFERROR(__xludf.DUMMYFUNCTION("""COMPUTED_VALUE"""),"#N/A")</f>
        <v>#N/A</v>
      </c>
      <c r="W1278" s="250" t="str">
        <f>IFERROR(__xludf.DUMMYFUNCTION("""COMPUTED_VALUE"""),"#N/A")</f>
        <v>#N/A</v>
      </c>
      <c r="X1278" t="b">
        <f t="shared" ref="X1278:Z1278" si="2532">ISBLANK(K1278)</f>
        <v>1</v>
      </c>
      <c r="Y1278" t="b">
        <f t="shared" si="2532"/>
        <v>0</v>
      </c>
      <c r="Z1278" t="b">
        <f t="shared" si="2532"/>
        <v>0</v>
      </c>
      <c r="AA1278">
        <f t="shared" ref="AA1278:AC1278" si="2533">IF(X1278=FALSE,1,0)</f>
        <v>0</v>
      </c>
      <c r="AB1278">
        <f t="shared" si="2533"/>
        <v>1</v>
      </c>
      <c r="AC1278">
        <f t="shared" si="2533"/>
        <v>1</v>
      </c>
      <c r="AD1278">
        <f t="shared" si="6"/>
        <v>2</v>
      </c>
      <c r="AE1278">
        <f t="shared" si="7"/>
        <v>1</v>
      </c>
    </row>
    <row r="1279">
      <c r="B1279" t="str">
        <f>IFERROR(__xludf.DUMMYFUNCTION("""COMPUTED_VALUE"""),"")</f>
        <v/>
      </c>
      <c r="C1279" t="str">
        <f>IFERROR(__xludf.DUMMYFUNCTION("""COMPUTED_VALUE"""),"")</f>
        <v/>
      </c>
      <c r="D1279" t="str">
        <f>IFERROR(__xludf.DUMMYFUNCTION("""COMPUTED_VALUE"""),"")</f>
        <v/>
      </c>
      <c r="E1279" t="str">
        <f>IFERROR(__xludf.DUMMYFUNCTION("""COMPUTED_VALUE"""),"")</f>
        <v/>
      </c>
      <c r="F1279" t="str">
        <f>IFERROR(__xludf.DUMMYFUNCTION("""COMPUTED_VALUE"""),"")</f>
        <v/>
      </c>
      <c r="G1279" t="str">
        <f>IFERROR(__xludf.DUMMYFUNCTION("""COMPUTED_VALUE"""),"")</f>
        <v/>
      </c>
      <c r="H1279" t="str">
        <f>IFERROR(__xludf.DUMMYFUNCTION("""COMPUTED_VALUE"""),"")</f>
        <v/>
      </c>
      <c r="I1279" t="str">
        <f>IFERROR(__xludf.DUMMYFUNCTION("""COMPUTED_VALUE"""),"")</f>
        <v/>
      </c>
      <c r="J1279">
        <f>IFERROR(__xludf.DUMMYFUNCTION("""COMPUTED_VALUE"""),0.0)</f>
        <v>0</v>
      </c>
      <c r="L1279" s="250" t="str">
        <f>IFERROR(__xludf.DUMMYFUNCTION("""COMPUTED_VALUE"""),"")</f>
        <v/>
      </c>
      <c r="M1279" s="250" t="str">
        <f>IFERROR(__xludf.DUMMYFUNCTION("""COMPUTED_VALUE"""),"")</f>
        <v/>
      </c>
      <c r="N1279" s="250" t="str">
        <f>IFERROR(__xludf.DUMMYFUNCTION("""COMPUTED_VALUE"""),"")</f>
        <v/>
      </c>
      <c r="O1279" s="250" t="str">
        <f>IFERROR(__xludf.DUMMYFUNCTION("""COMPUTED_VALUE"""),"")</f>
        <v/>
      </c>
      <c r="P1279" s="250" t="str">
        <f>IFERROR(__xludf.DUMMYFUNCTION("""COMPUTED_VALUE"""),"")</f>
        <v/>
      </c>
      <c r="Q1279" s="250" t="str">
        <f>IFERROR(__xludf.DUMMYFUNCTION("""COMPUTED_VALUE"""),"")</f>
        <v/>
      </c>
      <c r="R1279" s="250" t="str">
        <f>IFERROR(__xludf.DUMMYFUNCTION("""COMPUTED_VALUE"""),"")</f>
        <v/>
      </c>
      <c r="U1279" s="250" t="str">
        <f>IFERROR(__xludf.DUMMYFUNCTION("""COMPUTED_VALUE"""),"#N/A")</f>
        <v>#N/A</v>
      </c>
      <c r="V1279" s="250" t="str">
        <f>IFERROR(__xludf.DUMMYFUNCTION("""COMPUTED_VALUE"""),"#N/A")</f>
        <v>#N/A</v>
      </c>
      <c r="W1279" s="250" t="str">
        <f>IFERROR(__xludf.DUMMYFUNCTION("""COMPUTED_VALUE"""),"#N/A")</f>
        <v>#N/A</v>
      </c>
      <c r="X1279" t="b">
        <f t="shared" ref="X1279:Z1279" si="2534">ISBLANK(K1279)</f>
        <v>1</v>
      </c>
      <c r="Y1279" t="b">
        <f t="shared" si="2534"/>
        <v>0</v>
      </c>
      <c r="Z1279" t="b">
        <f t="shared" si="2534"/>
        <v>0</v>
      </c>
      <c r="AA1279">
        <f t="shared" ref="AA1279:AC1279" si="2535">IF(X1279=FALSE,1,0)</f>
        <v>0</v>
      </c>
      <c r="AB1279">
        <f t="shared" si="2535"/>
        <v>1</v>
      </c>
      <c r="AC1279">
        <f t="shared" si="2535"/>
        <v>1</v>
      </c>
      <c r="AD1279">
        <f t="shared" si="6"/>
        <v>2</v>
      </c>
      <c r="AE1279">
        <f t="shared" si="7"/>
        <v>1</v>
      </c>
    </row>
    <row r="1280">
      <c r="B1280" t="str">
        <f>IFERROR(__xludf.DUMMYFUNCTION("""COMPUTED_VALUE"""),"")</f>
        <v/>
      </c>
      <c r="C1280" t="str">
        <f>IFERROR(__xludf.DUMMYFUNCTION("""COMPUTED_VALUE"""),"")</f>
        <v/>
      </c>
      <c r="D1280" t="str">
        <f>IFERROR(__xludf.DUMMYFUNCTION("""COMPUTED_VALUE"""),"")</f>
        <v/>
      </c>
      <c r="E1280" t="str">
        <f>IFERROR(__xludf.DUMMYFUNCTION("""COMPUTED_VALUE"""),"")</f>
        <v/>
      </c>
      <c r="F1280" t="str">
        <f>IFERROR(__xludf.DUMMYFUNCTION("""COMPUTED_VALUE"""),"")</f>
        <v/>
      </c>
      <c r="G1280" t="str">
        <f>IFERROR(__xludf.DUMMYFUNCTION("""COMPUTED_VALUE"""),"")</f>
        <v/>
      </c>
      <c r="H1280" t="str">
        <f>IFERROR(__xludf.DUMMYFUNCTION("""COMPUTED_VALUE"""),"")</f>
        <v/>
      </c>
      <c r="I1280" t="str">
        <f>IFERROR(__xludf.DUMMYFUNCTION("""COMPUTED_VALUE"""),"")</f>
        <v/>
      </c>
      <c r="J1280">
        <f>IFERROR(__xludf.DUMMYFUNCTION("""COMPUTED_VALUE"""),0.0)</f>
        <v>0</v>
      </c>
      <c r="L1280" s="250" t="str">
        <f>IFERROR(__xludf.DUMMYFUNCTION("""COMPUTED_VALUE"""),"")</f>
        <v/>
      </c>
      <c r="M1280" s="250" t="str">
        <f>IFERROR(__xludf.DUMMYFUNCTION("""COMPUTED_VALUE"""),"")</f>
        <v/>
      </c>
      <c r="N1280" s="250" t="str">
        <f>IFERROR(__xludf.DUMMYFUNCTION("""COMPUTED_VALUE"""),"")</f>
        <v/>
      </c>
      <c r="O1280" s="250" t="str">
        <f>IFERROR(__xludf.DUMMYFUNCTION("""COMPUTED_VALUE"""),"")</f>
        <v/>
      </c>
      <c r="P1280" s="250" t="str">
        <f>IFERROR(__xludf.DUMMYFUNCTION("""COMPUTED_VALUE"""),"")</f>
        <v/>
      </c>
      <c r="Q1280" s="250" t="str">
        <f>IFERROR(__xludf.DUMMYFUNCTION("""COMPUTED_VALUE"""),"")</f>
        <v/>
      </c>
      <c r="R1280" s="250" t="str">
        <f>IFERROR(__xludf.DUMMYFUNCTION("""COMPUTED_VALUE"""),"")</f>
        <v/>
      </c>
      <c r="U1280" s="250" t="str">
        <f>IFERROR(__xludf.DUMMYFUNCTION("""COMPUTED_VALUE"""),"#N/A")</f>
        <v>#N/A</v>
      </c>
      <c r="V1280" s="250" t="str">
        <f>IFERROR(__xludf.DUMMYFUNCTION("""COMPUTED_VALUE"""),"#N/A")</f>
        <v>#N/A</v>
      </c>
      <c r="W1280" s="250" t="str">
        <f>IFERROR(__xludf.DUMMYFUNCTION("""COMPUTED_VALUE"""),"#N/A")</f>
        <v>#N/A</v>
      </c>
      <c r="X1280" t="b">
        <f t="shared" ref="X1280:Z1280" si="2536">ISBLANK(K1280)</f>
        <v>1</v>
      </c>
      <c r="Y1280" t="b">
        <f t="shared" si="2536"/>
        <v>0</v>
      </c>
      <c r="Z1280" t="b">
        <f t="shared" si="2536"/>
        <v>0</v>
      </c>
      <c r="AA1280">
        <f t="shared" ref="AA1280:AC1280" si="2537">IF(X1280=FALSE,1,0)</f>
        <v>0</v>
      </c>
      <c r="AB1280">
        <f t="shared" si="2537"/>
        <v>1</v>
      </c>
      <c r="AC1280">
        <f t="shared" si="2537"/>
        <v>1</v>
      </c>
      <c r="AD1280">
        <f t="shared" si="6"/>
        <v>2</v>
      </c>
      <c r="AE1280">
        <f t="shared" si="7"/>
        <v>1</v>
      </c>
    </row>
    <row r="1281">
      <c r="B1281" t="str">
        <f>IFERROR(__xludf.DUMMYFUNCTION("""COMPUTED_VALUE"""),"")</f>
        <v/>
      </c>
      <c r="C1281" t="str">
        <f>IFERROR(__xludf.DUMMYFUNCTION("""COMPUTED_VALUE"""),"")</f>
        <v/>
      </c>
      <c r="D1281" t="str">
        <f>IFERROR(__xludf.DUMMYFUNCTION("""COMPUTED_VALUE"""),"")</f>
        <v/>
      </c>
      <c r="E1281" t="str">
        <f>IFERROR(__xludf.DUMMYFUNCTION("""COMPUTED_VALUE"""),"")</f>
        <v/>
      </c>
      <c r="F1281" t="str">
        <f>IFERROR(__xludf.DUMMYFUNCTION("""COMPUTED_VALUE"""),"")</f>
        <v/>
      </c>
      <c r="G1281" t="str">
        <f>IFERROR(__xludf.DUMMYFUNCTION("""COMPUTED_VALUE"""),"")</f>
        <v/>
      </c>
      <c r="H1281" t="str">
        <f>IFERROR(__xludf.DUMMYFUNCTION("""COMPUTED_VALUE"""),"")</f>
        <v/>
      </c>
      <c r="I1281" t="str">
        <f>IFERROR(__xludf.DUMMYFUNCTION("""COMPUTED_VALUE"""),"")</f>
        <v/>
      </c>
      <c r="J1281">
        <f>IFERROR(__xludf.DUMMYFUNCTION("""COMPUTED_VALUE"""),0.0)</f>
        <v>0</v>
      </c>
      <c r="L1281" s="250" t="str">
        <f>IFERROR(__xludf.DUMMYFUNCTION("""COMPUTED_VALUE"""),"")</f>
        <v/>
      </c>
      <c r="M1281" s="250" t="str">
        <f>IFERROR(__xludf.DUMMYFUNCTION("""COMPUTED_VALUE"""),"")</f>
        <v/>
      </c>
      <c r="N1281" s="250" t="str">
        <f>IFERROR(__xludf.DUMMYFUNCTION("""COMPUTED_VALUE"""),"")</f>
        <v/>
      </c>
      <c r="O1281" s="250" t="str">
        <f>IFERROR(__xludf.DUMMYFUNCTION("""COMPUTED_VALUE"""),"")</f>
        <v/>
      </c>
      <c r="P1281" s="250" t="str">
        <f>IFERROR(__xludf.DUMMYFUNCTION("""COMPUTED_VALUE"""),"")</f>
        <v/>
      </c>
      <c r="Q1281" s="250" t="str">
        <f>IFERROR(__xludf.DUMMYFUNCTION("""COMPUTED_VALUE"""),"")</f>
        <v/>
      </c>
      <c r="R1281" s="250" t="str">
        <f>IFERROR(__xludf.DUMMYFUNCTION("""COMPUTED_VALUE"""),"")</f>
        <v/>
      </c>
      <c r="U1281" s="250" t="str">
        <f>IFERROR(__xludf.DUMMYFUNCTION("""COMPUTED_VALUE"""),"#N/A")</f>
        <v>#N/A</v>
      </c>
      <c r="V1281" s="250" t="str">
        <f>IFERROR(__xludf.DUMMYFUNCTION("""COMPUTED_VALUE"""),"#N/A")</f>
        <v>#N/A</v>
      </c>
      <c r="W1281" s="250" t="str">
        <f>IFERROR(__xludf.DUMMYFUNCTION("""COMPUTED_VALUE"""),"#N/A")</f>
        <v>#N/A</v>
      </c>
      <c r="X1281" t="b">
        <f t="shared" ref="X1281:Z1281" si="2538">ISBLANK(K1281)</f>
        <v>1</v>
      </c>
      <c r="Y1281" t="b">
        <f t="shared" si="2538"/>
        <v>0</v>
      </c>
      <c r="Z1281" t="b">
        <f t="shared" si="2538"/>
        <v>0</v>
      </c>
      <c r="AA1281">
        <f t="shared" ref="AA1281:AC1281" si="2539">IF(X1281=FALSE,1,0)</f>
        <v>0</v>
      </c>
      <c r="AB1281">
        <f t="shared" si="2539"/>
        <v>1</v>
      </c>
      <c r="AC1281">
        <f t="shared" si="2539"/>
        <v>1</v>
      </c>
      <c r="AD1281">
        <f t="shared" si="6"/>
        <v>2</v>
      </c>
      <c r="AE1281">
        <f t="shared" si="7"/>
        <v>1</v>
      </c>
    </row>
    <row r="1282">
      <c r="B1282" t="str">
        <f>IFERROR(__xludf.DUMMYFUNCTION("""COMPUTED_VALUE"""),"")</f>
        <v/>
      </c>
      <c r="C1282" t="str">
        <f>IFERROR(__xludf.DUMMYFUNCTION("""COMPUTED_VALUE"""),"")</f>
        <v/>
      </c>
      <c r="D1282" t="str">
        <f>IFERROR(__xludf.DUMMYFUNCTION("""COMPUTED_VALUE"""),"")</f>
        <v/>
      </c>
      <c r="E1282" t="str">
        <f>IFERROR(__xludf.DUMMYFUNCTION("""COMPUTED_VALUE"""),"")</f>
        <v/>
      </c>
      <c r="F1282" t="str">
        <f>IFERROR(__xludf.DUMMYFUNCTION("""COMPUTED_VALUE"""),"")</f>
        <v/>
      </c>
      <c r="G1282" t="str">
        <f>IFERROR(__xludf.DUMMYFUNCTION("""COMPUTED_VALUE"""),"")</f>
        <v/>
      </c>
      <c r="H1282" t="str">
        <f>IFERROR(__xludf.DUMMYFUNCTION("""COMPUTED_VALUE"""),"")</f>
        <v/>
      </c>
      <c r="I1282" t="str">
        <f>IFERROR(__xludf.DUMMYFUNCTION("""COMPUTED_VALUE"""),"")</f>
        <v/>
      </c>
      <c r="J1282">
        <f>IFERROR(__xludf.DUMMYFUNCTION("""COMPUTED_VALUE"""),0.0)</f>
        <v>0</v>
      </c>
      <c r="L1282" s="250" t="str">
        <f>IFERROR(__xludf.DUMMYFUNCTION("""COMPUTED_VALUE"""),"")</f>
        <v/>
      </c>
      <c r="M1282" s="250" t="str">
        <f>IFERROR(__xludf.DUMMYFUNCTION("""COMPUTED_VALUE"""),"")</f>
        <v/>
      </c>
      <c r="N1282" s="250" t="str">
        <f>IFERROR(__xludf.DUMMYFUNCTION("""COMPUTED_VALUE"""),"")</f>
        <v/>
      </c>
      <c r="O1282" s="250" t="str">
        <f>IFERROR(__xludf.DUMMYFUNCTION("""COMPUTED_VALUE"""),"")</f>
        <v/>
      </c>
      <c r="P1282" s="250" t="str">
        <f>IFERROR(__xludf.DUMMYFUNCTION("""COMPUTED_VALUE"""),"")</f>
        <v/>
      </c>
      <c r="Q1282" s="250" t="str">
        <f>IFERROR(__xludf.DUMMYFUNCTION("""COMPUTED_VALUE"""),"")</f>
        <v/>
      </c>
      <c r="R1282" s="250" t="str">
        <f>IFERROR(__xludf.DUMMYFUNCTION("""COMPUTED_VALUE"""),"")</f>
        <v/>
      </c>
      <c r="U1282" s="250" t="str">
        <f>IFERROR(__xludf.DUMMYFUNCTION("""COMPUTED_VALUE"""),"#N/A")</f>
        <v>#N/A</v>
      </c>
      <c r="V1282" s="250" t="str">
        <f>IFERROR(__xludf.DUMMYFUNCTION("""COMPUTED_VALUE"""),"#N/A")</f>
        <v>#N/A</v>
      </c>
      <c r="W1282" s="250" t="str">
        <f>IFERROR(__xludf.DUMMYFUNCTION("""COMPUTED_VALUE"""),"#N/A")</f>
        <v>#N/A</v>
      </c>
      <c r="X1282" t="b">
        <f t="shared" ref="X1282:Z1282" si="2540">ISBLANK(K1282)</f>
        <v>1</v>
      </c>
      <c r="Y1282" t="b">
        <f t="shared" si="2540"/>
        <v>0</v>
      </c>
      <c r="Z1282" t="b">
        <f t="shared" si="2540"/>
        <v>0</v>
      </c>
      <c r="AA1282">
        <f t="shared" ref="AA1282:AC1282" si="2541">IF(X1282=FALSE,1,0)</f>
        <v>0</v>
      </c>
      <c r="AB1282">
        <f t="shared" si="2541"/>
        <v>1</v>
      </c>
      <c r="AC1282">
        <f t="shared" si="2541"/>
        <v>1</v>
      </c>
      <c r="AD1282">
        <f t="shared" si="6"/>
        <v>2</v>
      </c>
      <c r="AE1282">
        <f t="shared" si="7"/>
        <v>1</v>
      </c>
    </row>
    <row r="1283">
      <c r="B1283" t="str">
        <f>IFERROR(__xludf.DUMMYFUNCTION("""COMPUTED_VALUE"""),"")</f>
        <v/>
      </c>
      <c r="C1283" t="str">
        <f>IFERROR(__xludf.DUMMYFUNCTION("""COMPUTED_VALUE"""),"")</f>
        <v/>
      </c>
      <c r="D1283" t="str">
        <f>IFERROR(__xludf.DUMMYFUNCTION("""COMPUTED_VALUE"""),"")</f>
        <v/>
      </c>
      <c r="E1283" t="str">
        <f>IFERROR(__xludf.DUMMYFUNCTION("""COMPUTED_VALUE"""),"")</f>
        <v/>
      </c>
      <c r="F1283" t="str">
        <f>IFERROR(__xludf.DUMMYFUNCTION("""COMPUTED_VALUE"""),"")</f>
        <v/>
      </c>
      <c r="G1283" t="str">
        <f>IFERROR(__xludf.DUMMYFUNCTION("""COMPUTED_VALUE"""),"")</f>
        <v/>
      </c>
      <c r="H1283" t="str">
        <f>IFERROR(__xludf.DUMMYFUNCTION("""COMPUTED_VALUE"""),"")</f>
        <v/>
      </c>
      <c r="I1283" t="str">
        <f>IFERROR(__xludf.DUMMYFUNCTION("""COMPUTED_VALUE"""),"")</f>
        <v/>
      </c>
      <c r="J1283">
        <f>IFERROR(__xludf.DUMMYFUNCTION("""COMPUTED_VALUE"""),0.0)</f>
        <v>0</v>
      </c>
      <c r="L1283" s="250" t="str">
        <f>IFERROR(__xludf.DUMMYFUNCTION("""COMPUTED_VALUE"""),"")</f>
        <v/>
      </c>
      <c r="M1283" s="250" t="str">
        <f>IFERROR(__xludf.DUMMYFUNCTION("""COMPUTED_VALUE"""),"")</f>
        <v/>
      </c>
      <c r="N1283" s="250" t="str">
        <f>IFERROR(__xludf.DUMMYFUNCTION("""COMPUTED_VALUE"""),"")</f>
        <v/>
      </c>
      <c r="O1283" s="250" t="str">
        <f>IFERROR(__xludf.DUMMYFUNCTION("""COMPUTED_VALUE"""),"")</f>
        <v/>
      </c>
      <c r="P1283" s="250" t="str">
        <f>IFERROR(__xludf.DUMMYFUNCTION("""COMPUTED_VALUE"""),"")</f>
        <v/>
      </c>
      <c r="Q1283" s="250" t="str">
        <f>IFERROR(__xludf.DUMMYFUNCTION("""COMPUTED_VALUE"""),"")</f>
        <v/>
      </c>
      <c r="R1283" s="250" t="str">
        <f>IFERROR(__xludf.DUMMYFUNCTION("""COMPUTED_VALUE"""),"")</f>
        <v/>
      </c>
      <c r="U1283" s="250" t="str">
        <f>IFERROR(__xludf.DUMMYFUNCTION("""COMPUTED_VALUE"""),"#N/A")</f>
        <v>#N/A</v>
      </c>
      <c r="V1283" s="250" t="str">
        <f>IFERROR(__xludf.DUMMYFUNCTION("""COMPUTED_VALUE"""),"#N/A")</f>
        <v>#N/A</v>
      </c>
      <c r="W1283" s="250" t="str">
        <f>IFERROR(__xludf.DUMMYFUNCTION("""COMPUTED_VALUE"""),"#N/A")</f>
        <v>#N/A</v>
      </c>
      <c r="X1283" t="b">
        <f t="shared" ref="X1283:Z1283" si="2542">ISBLANK(K1283)</f>
        <v>1</v>
      </c>
      <c r="Y1283" t="b">
        <f t="shared" si="2542"/>
        <v>0</v>
      </c>
      <c r="Z1283" t="b">
        <f t="shared" si="2542"/>
        <v>0</v>
      </c>
      <c r="AA1283">
        <f t="shared" ref="AA1283:AC1283" si="2543">IF(X1283=FALSE,1,0)</f>
        <v>0</v>
      </c>
      <c r="AB1283">
        <f t="shared" si="2543"/>
        <v>1</v>
      </c>
      <c r="AC1283">
        <f t="shared" si="2543"/>
        <v>1</v>
      </c>
      <c r="AD1283">
        <f t="shared" si="6"/>
        <v>2</v>
      </c>
      <c r="AE1283">
        <f t="shared" si="7"/>
        <v>1</v>
      </c>
    </row>
    <row r="1284">
      <c r="B1284" t="str">
        <f>IFERROR(__xludf.DUMMYFUNCTION("""COMPUTED_VALUE"""),"")</f>
        <v/>
      </c>
      <c r="C1284" t="str">
        <f>IFERROR(__xludf.DUMMYFUNCTION("""COMPUTED_VALUE"""),"")</f>
        <v/>
      </c>
      <c r="D1284" t="str">
        <f>IFERROR(__xludf.DUMMYFUNCTION("""COMPUTED_VALUE"""),"")</f>
        <v/>
      </c>
      <c r="E1284" t="str">
        <f>IFERROR(__xludf.DUMMYFUNCTION("""COMPUTED_VALUE"""),"")</f>
        <v/>
      </c>
      <c r="F1284" t="str">
        <f>IFERROR(__xludf.DUMMYFUNCTION("""COMPUTED_VALUE"""),"")</f>
        <v/>
      </c>
      <c r="G1284" t="str">
        <f>IFERROR(__xludf.DUMMYFUNCTION("""COMPUTED_VALUE"""),"")</f>
        <v/>
      </c>
      <c r="H1284" t="str">
        <f>IFERROR(__xludf.DUMMYFUNCTION("""COMPUTED_VALUE"""),"")</f>
        <v/>
      </c>
      <c r="I1284" t="str">
        <f>IFERROR(__xludf.DUMMYFUNCTION("""COMPUTED_VALUE"""),"")</f>
        <v/>
      </c>
      <c r="J1284">
        <f>IFERROR(__xludf.DUMMYFUNCTION("""COMPUTED_VALUE"""),0.0)</f>
        <v>0</v>
      </c>
      <c r="L1284" s="250" t="str">
        <f>IFERROR(__xludf.DUMMYFUNCTION("""COMPUTED_VALUE"""),"")</f>
        <v/>
      </c>
      <c r="M1284" s="250" t="str">
        <f>IFERROR(__xludf.DUMMYFUNCTION("""COMPUTED_VALUE"""),"")</f>
        <v/>
      </c>
      <c r="N1284" s="250" t="str">
        <f>IFERROR(__xludf.DUMMYFUNCTION("""COMPUTED_VALUE"""),"")</f>
        <v/>
      </c>
      <c r="O1284" s="250" t="str">
        <f>IFERROR(__xludf.DUMMYFUNCTION("""COMPUTED_VALUE"""),"")</f>
        <v/>
      </c>
      <c r="P1284" s="250" t="str">
        <f>IFERROR(__xludf.DUMMYFUNCTION("""COMPUTED_VALUE"""),"")</f>
        <v/>
      </c>
      <c r="Q1284" s="250" t="str">
        <f>IFERROR(__xludf.DUMMYFUNCTION("""COMPUTED_VALUE"""),"")</f>
        <v/>
      </c>
      <c r="R1284" s="250" t="str">
        <f>IFERROR(__xludf.DUMMYFUNCTION("""COMPUTED_VALUE"""),"")</f>
        <v/>
      </c>
      <c r="U1284" s="250" t="str">
        <f>IFERROR(__xludf.DUMMYFUNCTION("""COMPUTED_VALUE"""),"#N/A")</f>
        <v>#N/A</v>
      </c>
      <c r="V1284" s="250" t="str">
        <f>IFERROR(__xludf.DUMMYFUNCTION("""COMPUTED_VALUE"""),"#N/A")</f>
        <v>#N/A</v>
      </c>
      <c r="W1284" s="250" t="str">
        <f>IFERROR(__xludf.DUMMYFUNCTION("""COMPUTED_VALUE"""),"#N/A")</f>
        <v>#N/A</v>
      </c>
      <c r="X1284" t="b">
        <f t="shared" ref="X1284:Z1284" si="2544">ISBLANK(K1284)</f>
        <v>1</v>
      </c>
      <c r="Y1284" t="b">
        <f t="shared" si="2544"/>
        <v>0</v>
      </c>
      <c r="Z1284" t="b">
        <f t="shared" si="2544"/>
        <v>0</v>
      </c>
      <c r="AA1284">
        <f t="shared" ref="AA1284:AC1284" si="2545">IF(X1284=FALSE,1,0)</f>
        <v>0</v>
      </c>
      <c r="AB1284">
        <f t="shared" si="2545"/>
        <v>1</v>
      </c>
      <c r="AC1284">
        <f t="shared" si="2545"/>
        <v>1</v>
      </c>
      <c r="AD1284">
        <f t="shared" si="6"/>
        <v>2</v>
      </c>
      <c r="AE1284">
        <f t="shared" si="7"/>
        <v>1</v>
      </c>
    </row>
    <row r="1285">
      <c r="B1285" t="str">
        <f>IFERROR(__xludf.DUMMYFUNCTION("""COMPUTED_VALUE"""),"")</f>
        <v/>
      </c>
      <c r="C1285" t="str">
        <f>IFERROR(__xludf.DUMMYFUNCTION("""COMPUTED_VALUE"""),"")</f>
        <v/>
      </c>
      <c r="D1285" t="str">
        <f>IFERROR(__xludf.DUMMYFUNCTION("""COMPUTED_VALUE"""),"")</f>
        <v/>
      </c>
      <c r="E1285" t="str">
        <f>IFERROR(__xludf.DUMMYFUNCTION("""COMPUTED_VALUE"""),"")</f>
        <v/>
      </c>
      <c r="F1285" t="str">
        <f>IFERROR(__xludf.DUMMYFUNCTION("""COMPUTED_VALUE"""),"")</f>
        <v/>
      </c>
      <c r="G1285" t="str">
        <f>IFERROR(__xludf.DUMMYFUNCTION("""COMPUTED_VALUE"""),"")</f>
        <v/>
      </c>
      <c r="H1285" t="str">
        <f>IFERROR(__xludf.DUMMYFUNCTION("""COMPUTED_VALUE"""),"")</f>
        <v/>
      </c>
      <c r="I1285" t="str">
        <f>IFERROR(__xludf.DUMMYFUNCTION("""COMPUTED_VALUE"""),"")</f>
        <v/>
      </c>
      <c r="J1285">
        <f>IFERROR(__xludf.DUMMYFUNCTION("""COMPUTED_VALUE"""),0.0)</f>
        <v>0</v>
      </c>
      <c r="L1285" s="250" t="str">
        <f>IFERROR(__xludf.DUMMYFUNCTION("""COMPUTED_VALUE"""),"")</f>
        <v/>
      </c>
      <c r="M1285" s="250" t="str">
        <f>IFERROR(__xludf.DUMMYFUNCTION("""COMPUTED_VALUE"""),"")</f>
        <v/>
      </c>
      <c r="N1285" s="250" t="str">
        <f>IFERROR(__xludf.DUMMYFUNCTION("""COMPUTED_VALUE"""),"")</f>
        <v/>
      </c>
      <c r="O1285" s="250" t="str">
        <f>IFERROR(__xludf.DUMMYFUNCTION("""COMPUTED_VALUE"""),"")</f>
        <v/>
      </c>
      <c r="P1285" s="250" t="str">
        <f>IFERROR(__xludf.DUMMYFUNCTION("""COMPUTED_VALUE"""),"")</f>
        <v/>
      </c>
      <c r="Q1285" s="250" t="str">
        <f>IFERROR(__xludf.DUMMYFUNCTION("""COMPUTED_VALUE"""),"")</f>
        <v/>
      </c>
      <c r="R1285" s="250" t="str">
        <f>IFERROR(__xludf.DUMMYFUNCTION("""COMPUTED_VALUE"""),"")</f>
        <v/>
      </c>
      <c r="U1285" s="250" t="str">
        <f>IFERROR(__xludf.DUMMYFUNCTION("""COMPUTED_VALUE"""),"#N/A")</f>
        <v>#N/A</v>
      </c>
      <c r="V1285" s="250" t="str">
        <f>IFERROR(__xludf.DUMMYFUNCTION("""COMPUTED_VALUE"""),"#N/A")</f>
        <v>#N/A</v>
      </c>
      <c r="W1285" s="250" t="str">
        <f>IFERROR(__xludf.DUMMYFUNCTION("""COMPUTED_VALUE"""),"#N/A")</f>
        <v>#N/A</v>
      </c>
      <c r="X1285" t="b">
        <f t="shared" ref="X1285:Z1285" si="2546">ISBLANK(K1285)</f>
        <v>1</v>
      </c>
      <c r="Y1285" t="b">
        <f t="shared" si="2546"/>
        <v>0</v>
      </c>
      <c r="Z1285" t="b">
        <f t="shared" si="2546"/>
        <v>0</v>
      </c>
      <c r="AA1285">
        <f t="shared" ref="AA1285:AC1285" si="2547">IF(X1285=FALSE,1,0)</f>
        <v>0</v>
      </c>
      <c r="AB1285">
        <f t="shared" si="2547"/>
        <v>1</v>
      </c>
      <c r="AC1285">
        <f t="shared" si="2547"/>
        <v>1</v>
      </c>
      <c r="AD1285">
        <f t="shared" si="6"/>
        <v>2</v>
      </c>
      <c r="AE1285">
        <f t="shared" si="7"/>
        <v>1</v>
      </c>
    </row>
    <row r="1286">
      <c r="B1286" t="str">
        <f>IFERROR(__xludf.DUMMYFUNCTION("""COMPUTED_VALUE"""),"")</f>
        <v/>
      </c>
      <c r="C1286" t="str">
        <f>IFERROR(__xludf.DUMMYFUNCTION("""COMPUTED_VALUE"""),"")</f>
        <v/>
      </c>
      <c r="D1286" t="str">
        <f>IFERROR(__xludf.DUMMYFUNCTION("""COMPUTED_VALUE"""),"")</f>
        <v/>
      </c>
      <c r="E1286" t="str">
        <f>IFERROR(__xludf.DUMMYFUNCTION("""COMPUTED_VALUE"""),"")</f>
        <v/>
      </c>
      <c r="F1286" t="str">
        <f>IFERROR(__xludf.DUMMYFUNCTION("""COMPUTED_VALUE"""),"")</f>
        <v/>
      </c>
      <c r="G1286" t="str">
        <f>IFERROR(__xludf.DUMMYFUNCTION("""COMPUTED_VALUE"""),"")</f>
        <v/>
      </c>
      <c r="H1286" t="str">
        <f>IFERROR(__xludf.DUMMYFUNCTION("""COMPUTED_VALUE"""),"")</f>
        <v/>
      </c>
      <c r="I1286" t="str">
        <f>IFERROR(__xludf.DUMMYFUNCTION("""COMPUTED_VALUE"""),"")</f>
        <v/>
      </c>
      <c r="J1286">
        <f>IFERROR(__xludf.DUMMYFUNCTION("""COMPUTED_VALUE"""),0.0)</f>
        <v>0</v>
      </c>
      <c r="L1286" s="250" t="str">
        <f>IFERROR(__xludf.DUMMYFUNCTION("""COMPUTED_VALUE"""),"")</f>
        <v/>
      </c>
      <c r="M1286" s="250" t="str">
        <f>IFERROR(__xludf.DUMMYFUNCTION("""COMPUTED_VALUE"""),"")</f>
        <v/>
      </c>
      <c r="N1286" s="250" t="str">
        <f>IFERROR(__xludf.DUMMYFUNCTION("""COMPUTED_VALUE"""),"")</f>
        <v/>
      </c>
      <c r="O1286" s="250" t="str">
        <f>IFERROR(__xludf.DUMMYFUNCTION("""COMPUTED_VALUE"""),"")</f>
        <v/>
      </c>
      <c r="P1286" s="250" t="str">
        <f>IFERROR(__xludf.DUMMYFUNCTION("""COMPUTED_VALUE"""),"")</f>
        <v/>
      </c>
      <c r="Q1286" s="250" t="str">
        <f>IFERROR(__xludf.DUMMYFUNCTION("""COMPUTED_VALUE"""),"")</f>
        <v/>
      </c>
      <c r="R1286" s="250" t="str">
        <f>IFERROR(__xludf.DUMMYFUNCTION("""COMPUTED_VALUE"""),"")</f>
        <v/>
      </c>
      <c r="U1286" s="250" t="str">
        <f>IFERROR(__xludf.DUMMYFUNCTION("""COMPUTED_VALUE"""),"#N/A")</f>
        <v>#N/A</v>
      </c>
      <c r="V1286" s="250" t="str">
        <f>IFERROR(__xludf.DUMMYFUNCTION("""COMPUTED_VALUE"""),"#N/A")</f>
        <v>#N/A</v>
      </c>
      <c r="W1286" s="250" t="str">
        <f>IFERROR(__xludf.DUMMYFUNCTION("""COMPUTED_VALUE"""),"#N/A")</f>
        <v>#N/A</v>
      </c>
      <c r="X1286" t="b">
        <f t="shared" ref="X1286:Z1286" si="2548">ISBLANK(K1286)</f>
        <v>1</v>
      </c>
      <c r="Y1286" t="b">
        <f t="shared" si="2548"/>
        <v>0</v>
      </c>
      <c r="Z1286" t="b">
        <f t="shared" si="2548"/>
        <v>0</v>
      </c>
      <c r="AA1286">
        <f t="shared" ref="AA1286:AC1286" si="2549">IF(X1286=FALSE,1,0)</f>
        <v>0</v>
      </c>
      <c r="AB1286">
        <f t="shared" si="2549"/>
        <v>1</v>
      </c>
      <c r="AC1286">
        <f t="shared" si="2549"/>
        <v>1</v>
      </c>
      <c r="AD1286">
        <f t="shared" si="6"/>
        <v>2</v>
      </c>
      <c r="AE1286">
        <f t="shared" si="7"/>
        <v>1</v>
      </c>
    </row>
    <row r="1287">
      <c r="B1287" t="str">
        <f>IFERROR(__xludf.DUMMYFUNCTION("""COMPUTED_VALUE"""),"")</f>
        <v/>
      </c>
      <c r="C1287" t="str">
        <f>IFERROR(__xludf.DUMMYFUNCTION("""COMPUTED_VALUE"""),"")</f>
        <v/>
      </c>
      <c r="D1287" t="str">
        <f>IFERROR(__xludf.DUMMYFUNCTION("""COMPUTED_VALUE"""),"")</f>
        <v/>
      </c>
      <c r="E1287" t="str">
        <f>IFERROR(__xludf.DUMMYFUNCTION("""COMPUTED_VALUE"""),"")</f>
        <v/>
      </c>
      <c r="F1287" t="str">
        <f>IFERROR(__xludf.DUMMYFUNCTION("""COMPUTED_VALUE"""),"")</f>
        <v/>
      </c>
      <c r="G1287" t="str">
        <f>IFERROR(__xludf.DUMMYFUNCTION("""COMPUTED_VALUE"""),"")</f>
        <v/>
      </c>
      <c r="H1287" t="str">
        <f>IFERROR(__xludf.DUMMYFUNCTION("""COMPUTED_VALUE"""),"")</f>
        <v/>
      </c>
      <c r="I1287" t="str">
        <f>IFERROR(__xludf.DUMMYFUNCTION("""COMPUTED_VALUE"""),"")</f>
        <v/>
      </c>
      <c r="J1287">
        <f>IFERROR(__xludf.DUMMYFUNCTION("""COMPUTED_VALUE"""),0.0)</f>
        <v>0</v>
      </c>
      <c r="L1287" s="250" t="str">
        <f>IFERROR(__xludf.DUMMYFUNCTION("""COMPUTED_VALUE"""),"")</f>
        <v/>
      </c>
      <c r="M1287" s="250" t="str">
        <f>IFERROR(__xludf.DUMMYFUNCTION("""COMPUTED_VALUE"""),"")</f>
        <v/>
      </c>
      <c r="N1287" s="250" t="str">
        <f>IFERROR(__xludf.DUMMYFUNCTION("""COMPUTED_VALUE"""),"")</f>
        <v/>
      </c>
      <c r="O1287" s="250" t="str">
        <f>IFERROR(__xludf.DUMMYFUNCTION("""COMPUTED_VALUE"""),"")</f>
        <v/>
      </c>
      <c r="P1287" s="250" t="str">
        <f>IFERROR(__xludf.DUMMYFUNCTION("""COMPUTED_VALUE"""),"")</f>
        <v/>
      </c>
      <c r="Q1287" s="250" t="str">
        <f>IFERROR(__xludf.DUMMYFUNCTION("""COMPUTED_VALUE"""),"")</f>
        <v/>
      </c>
      <c r="R1287" s="250" t="str">
        <f>IFERROR(__xludf.DUMMYFUNCTION("""COMPUTED_VALUE"""),"")</f>
        <v/>
      </c>
      <c r="U1287" s="250" t="str">
        <f>IFERROR(__xludf.DUMMYFUNCTION("""COMPUTED_VALUE"""),"#N/A")</f>
        <v>#N/A</v>
      </c>
      <c r="V1287" s="250" t="str">
        <f>IFERROR(__xludf.DUMMYFUNCTION("""COMPUTED_VALUE"""),"#N/A")</f>
        <v>#N/A</v>
      </c>
      <c r="W1287" s="250" t="str">
        <f>IFERROR(__xludf.DUMMYFUNCTION("""COMPUTED_VALUE"""),"#N/A")</f>
        <v>#N/A</v>
      </c>
      <c r="X1287" t="b">
        <f t="shared" ref="X1287:Z1287" si="2550">ISBLANK(K1287)</f>
        <v>1</v>
      </c>
      <c r="Y1287" t="b">
        <f t="shared" si="2550"/>
        <v>0</v>
      </c>
      <c r="Z1287" t="b">
        <f t="shared" si="2550"/>
        <v>0</v>
      </c>
      <c r="AA1287">
        <f t="shared" ref="AA1287:AC1287" si="2551">IF(X1287=FALSE,1,0)</f>
        <v>0</v>
      </c>
      <c r="AB1287">
        <f t="shared" si="2551"/>
        <v>1</v>
      </c>
      <c r="AC1287">
        <f t="shared" si="2551"/>
        <v>1</v>
      </c>
      <c r="AD1287">
        <f t="shared" si="6"/>
        <v>2</v>
      </c>
      <c r="AE1287">
        <f t="shared" si="7"/>
        <v>1</v>
      </c>
    </row>
    <row r="1288">
      <c r="B1288" t="str">
        <f>IFERROR(__xludf.DUMMYFUNCTION("""COMPUTED_VALUE"""),"")</f>
        <v/>
      </c>
      <c r="C1288" t="str">
        <f>IFERROR(__xludf.DUMMYFUNCTION("""COMPUTED_VALUE"""),"")</f>
        <v/>
      </c>
      <c r="D1288" t="str">
        <f>IFERROR(__xludf.DUMMYFUNCTION("""COMPUTED_VALUE"""),"")</f>
        <v/>
      </c>
      <c r="E1288" t="str">
        <f>IFERROR(__xludf.DUMMYFUNCTION("""COMPUTED_VALUE"""),"")</f>
        <v/>
      </c>
      <c r="F1288" t="str">
        <f>IFERROR(__xludf.DUMMYFUNCTION("""COMPUTED_VALUE"""),"")</f>
        <v/>
      </c>
      <c r="G1288" t="str">
        <f>IFERROR(__xludf.DUMMYFUNCTION("""COMPUTED_VALUE"""),"")</f>
        <v/>
      </c>
      <c r="H1288" t="str">
        <f>IFERROR(__xludf.DUMMYFUNCTION("""COMPUTED_VALUE"""),"")</f>
        <v/>
      </c>
      <c r="I1288" t="str">
        <f>IFERROR(__xludf.DUMMYFUNCTION("""COMPUTED_VALUE"""),"")</f>
        <v/>
      </c>
      <c r="J1288">
        <f>IFERROR(__xludf.DUMMYFUNCTION("""COMPUTED_VALUE"""),0.0)</f>
        <v>0</v>
      </c>
      <c r="L1288" s="250" t="str">
        <f>IFERROR(__xludf.DUMMYFUNCTION("""COMPUTED_VALUE"""),"")</f>
        <v/>
      </c>
      <c r="M1288" s="250" t="str">
        <f>IFERROR(__xludf.DUMMYFUNCTION("""COMPUTED_VALUE"""),"")</f>
        <v/>
      </c>
      <c r="N1288" s="250" t="str">
        <f>IFERROR(__xludf.DUMMYFUNCTION("""COMPUTED_VALUE"""),"")</f>
        <v/>
      </c>
      <c r="O1288" s="250" t="str">
        <f>IFERROR(__xludf.DUMMYFUNCTION("""COMPUTED_VALUE"""),"")</f>
        <v/>
      </c>
      <c r="P1288" s="250" t="str">
        <f>IFERROR(__xludf.DUMMYFUNCTION("""COMPUTED_VALUE"""),"")</f>
        <v/>
      </c>
      <c r="Q1288" s="250" t="str">
        <f>IFERROR(__xludf.DUMMYFUNCTION("""COMPUTED_VALUE"""),"")</f>
        <v/>
      </c>
      <c r="R1288" s="250" t="str">
        <f>IFERROR(__xludf.DUMMYFUNCTION("""COMPUTED_VALUE"""),"")</f>
        <v/>
      </c>
      <c r="U1288" s="250" t="str">
        <f>IFERROR(__xludf.DUMMYFUNCTION("""COMPUTED_VALUE"""),"#N/A")</f>
        <v>#N/A</v>
      </c>
      <c r="V1288" s="250" t="str">
        <f>IFERROR(__xludf.DUMMYFUNCTION("""COMPUTED_VALUE"""),"#N/A")</f>
        <v>#N/A</v>
      </c>
      <c r="W1288" s="250" t="str">
        <f>IFERROR(__xludf.DUMMYFUNCTION("""COMPUTED_VALUE"""),"#N/A")</f>
        <v>#N/A</v>
      </c>
      <c r="X1288" t="b">
        <f t="shared" ref="X1288:Z1288" si="2552">ISBLANK(K1288)</f>
        <v>1</v>
      </c>
      <c r="Y1288" t="b">
        <f t="shared" si="2552"/>
        <v>0</v>
      </c>
      <c r="Z1288" t="b">
        <f t="shared" si="2552"/>
        <v>0</v>
      </c>
      <c r="AA1288">
        <f t="shared" ref="AA1288:AC1288" si="2553">IF(X1288=FALSE,1,0)</f>
        <v>0</v>
      </c>
      <c r="AB1288">
        <f t="shared" si="2553"/>
        <v>1</v>
      </c>
      <c r="AC1288">
        <f t="shared" si="2553"/>
        <v>1</v>
      </c>
      <c r="AD1288">
        <f t="shared" si="6"/>
        <v>2</v>
      </c>
      <c r="AE1288">
        <f t="shared" si="7"/>
        <v>1</v>
      </c>
    </row>
    <row r="1289">
      <c r="B1289" t="str">
        <f>IFERROR(__xludf.DUMMYFUNCTION("""COMPUTED_VALUE"""),"")</f>
        <v/>
      </c>
      <c r="C1289" t="str">
        <f>IFERROR(__xludf.DUMMYFUNCTION("""COMPUTED_VALUE"""),"")</f>
        <v/>
      </c>
      <c r="D1289" t="str">
        <f>IFERROR(__xludf.DUMMYFUNCTION("""COMPUTED_VALUE"""),"")</f>
        <v/>
      </c>
      <c r="E1289" t="str">
        <f>IFERROR(__xludf.DUMMYFUNCTION("""COMPUTED_VALUE"""),"")</f>
        <v/>
      </c>
      <c r="F1289" t="str">
        <f>IFERROR(__xludf.DUMMYFUNCTION("""COMPUTED_VALUE"""),"")</f>
        <v/>
      </c>
      <c r="G1289" t="str">
        <f>IFERROR(__xludf.DUMMYFUNCTION("""COMPUTED_VALUE"""),"")</f>
        <v/>
      </c>
      <c r="H1289" t="str">
        <f>IFERROR(__xludf.DUMMYFUNCTION("""COMPUTED_VALUE"""),"")</f>
        <v/>
      </c>
      <c r="I1289" t="str">
        <f>IFERROR(__xludf.DUMMYFUNCTION("""COMPUTED_VALUE"""),"")</f>
        <v/>
      </c>
      <c r="J1289">
        <f>IFERROR(__xludf.DUMMYFUNCTION("""COMPUTED_VALUE"""),0.0)</f>
        <v>0</v>
      </c>
      <c r="L1289" s="250" t="str">
        <f>IFERROR(__xludf.DUMMYFUNCTION("""COMPUTED_VALUE"""),"")</f>
        <v/>
      </c>
      <c r="M1289" s="250" t="str">
        <f>IFERROR(__xludf.DUMMYFUNCTION("""COMPUTED_VALUE"""),"")</f>
        <v/>
      </c>
      <c r="N1289" s="250" t="str">
        <f>IFERROR(__xludf.DUMMYFUNCTION("""COMPUTED_VALUE"""),"")</f>
        <v/>
      </c>
      <c r="O1289" s="250" t="str">
        <f>IFERROR(__xludf.DUMMYFUNCTION("""COMPUTED_VALUE"""),"")</f>
        <v/>
      </c>
      <c r="P1289" s="250" t="str">
        <f>IFERROR(__xludf.DUMMYFUNCTION("""COMPUTED_VALUE"""),"")</f>
        <v/>
      </c>
      <c r="Q1289" s="250" t="str">
        <f>IFERROR(__xludf.DUMMYFUNCTION("""COMPUTED_VALUE"""),"")</f>
        <v/>
      </c>
      <c r="R1289" s="250" t="str">
        <f>IFERROR(__xludf.DUMMYFUNCTION("""COMPUTED_VALUE"""),"")</f>
        <v/>
      </c>
      <c r="U1289" s="250" t="str">
        <f>IFERROR(__xludf.DUMMYFUNCTION("""COMPUTED_VALUE"""),"#N/A")</f>
        <v>#N/A</v>
      </c>
      <c r="V1289" s="250" t="str">
        <f>IFERROR(__xludf.DUMMYFUNCTION("""COMPUTED_VALUE"""),"#N/A")</f>
        <v>#N/A</v>
      </c>
      <c r="W1289" s="250" t="str">
        <f>IFERROR(__xludf.DUMMYFUNCTION("""COMPUTED_VALUE"""),"#N/A")</f>
        <v>#N/A</v>
      </c>
      <c r="X1289" t="b">
        <f t="shared" ref="X1289:Z1289" si="2554">ISBLANK(K1289)</f>
        <v>1</v>
      </c>
      <c r="Y1289" t="b">
        <f t="shared" si="2554"/>
        <v>0</v>
      </c>
      <c r="Z1289" t="b">
        <f t="shared" si="2554"/>
        <v>0</v>
      </c>
      <c r="AA1289">
        <f t="shared" ref="AA1289:AC1289" si="2555">IF(X1289=FALSE,1,0)</f>
        <v>0</v>
      </c>
      <c r="AB1289">
        <f t="shared" si="2555"/>
        <v>1</v>
      </c>
      <c r="AC1289">
        <f t="shared" si="2555"/>
        <v>1</v>
      </c>
      <c r="AD1289">
        <f t="shared" si="6"/>
        <v>2</v>
      </c>
      <c r="AE1289">
        <f t="shared" si="7"/>
        <v>1</v>
      </c>
    </row>
    <row r="1290">
      <c r="B1290" t="str">
        <f>IFERROR(__xludf.DUMMYFUNCTION("""COMPUTED_VALUE"""),"")</f>
        <v/>
      </c>
      <c r="C1290" t="str">
        <f>IFERROR(__xludf.DUMMYFUNCTION("""COMPUTED_VALUE"""),"")</f>
        <v/>
      </c>
      <c r="D1290" t="str">
        <f>IFERROR(__xludf.DUMMYFUNCTION("""COMPUTED_VALUE"""),"")</f>
        <v/>
      </c>
      <c r="E1290" t="str">
        <f>IFERROR(__xludf.DUMMYFUNCTION("""COMPUTED_VALUE"""),"")</f>
        <v/>
      </c>
      <c r="F1290" t="str">
        <f>IFERROR(__xludf.DUMMYFUNCTION("""COMPUTED_VALUE"""),"")</f>
        <v/>
      </c>
      <c r="G1290" t="str">
        <f>IFERROR(__xludf.DUMMYFUNCTION("""COMPUTED_VALUE"""),"")</f>
        <v/>
      </c>
      <c r="H1290" t="str">
        <f>IFERROR(__xludf.DUMMYFUNCTION("""COMPUTED_VALUE"""),"")</f>
        <v/>
      </c>
      <c r="I1290" t="str">
        <f>IFERROR(__xludf.DUMMYFUNCTION("""COMPUTED_VALUE"""),"")</f>
        <v/>
      </c>
      <c r="J1290">
        <f>IFERROR(__xludf.DUMMYFUNCTION("""COMPUTED_VALUE"""),0.0)</f>
        <v>0</v>
      </c>
      <c r="L1290" s="250" t="str">
        <f>IFERROR(__xludf.DUMMYFUNCTION("""COMPUTED_VALUE"""),"")</f>
        <v/>
      </c>
      <c r="M1290" s="250" t="str">
        <f>IFERROR(__xludf.DUMMYFUNCTION("""COMPUTED_VALUE"""),"")</f>
        <v/>
      </c>
      <c r="N1290" s="250" t="str">
        <f>IFERROR(__xludf.DUMMYFUNCTION("""COMPUTED_VALUE"""),"")</f>
        <v/>
      </c>
      <c r="O1290" s="250" t="str">
        <f>IFERROR(__xludf.DUMMYFUNCTION("""COMPUTED_VALUE"""),"")</f>
        <v/>
      </c>
      <c r="P1290" s="250" t="str">
        <f>IFERROR(__xludf.DUMMYFUNCTION("""COMPUTED_VALUE"""),"")</f>
        <v/>
      </c>
      <c r="Q1290" s="250" t="str">
        <f>IFERROR(__xludf.DUMMYFUNCTION("""COMPUTED_VALUE"""),"")</f>
        <v/>
      </c>
      <c r="R1290" s="250" t="str">
        <f>IFERROR(__xludf.DUMMYFUNCTION("""COMPUTED_VALUE"""),"")</f>
        <v/>
      </c>
      <c r="U1290" s="250" t="str">
        <f>IFERROR(__xludf.DUMMYFUNCTION("""COMPUTED_VALUE"""),"#N/A")</f>
        <v>#N/A</v>
      </c>
      <c r="V1290" s="250" t="str">
        <f>IFERROR(__xludf.DUMMYFUNCTION("""COMPUTED_VALUE"""),"#N/A")</f>
        <v>#N/A</v>
      </c>
      <c r="W1290" s="250" t="str">
        <f>IFERROR(__xludf.DUMMYFUNCTION("""COMPUTED_VALUE"""),"#N/A")</f>
        <v>#N/A</v>
      </c>
      <c r="X1290" t="b">
        <f t="shared" ref="X1290:Z1290" si="2556">ISBLANK(K1290)</f>
        <v>1</v>
      </c>
      <c r="Y1290" t="b">
        <f t="shared" si="2556"/>
        <v>0</v>
      </c>
      <c r="Z1290" t="b">
        <f t="shared" si="2556"/>
        <v>0</v>
      </c>
      <c r="AA1290">
        <f t="shared" ref="AA1290:AC1290" si="2557">IF(X1290=FALSE,1,0)</f>
        <v>0</v>
      </c>
      <c r="AB1290">
        <f t="shared" si="2557"/>
        <v>1</v>
      </c>
      <c r="AC1290">
        <f t="shared" si="2557"/>
        <v>1</v>
      </c>
      <c r="AD1290">
        <f t="shared" si="6"/>
        <v>2</v>
      </c>
      <c r="AE1290">
        <f t="shared" si="7"/>
        <v>1</v>
      </c>
    </row>
    <row r="1291">
      <c r="B1291" t="str">
        <f>IFERROR(__xludf.DUMMYFUNCTION("""COMPUTED_VALUE"""),"")</f>
        <v/>
      </c>
      <c r="C1291" t="str">
        <f>IFERROR(__xludf.DUMMYFUNCTION("""COMPUTED_VALUE"""),"")</f>
        <v/>
      </c>
      <c r="D1291" t="str">
        <f>IFERROR(__xludf.DUMMYFUNCTION("""COMPUTED_VALUE"""),"")</f>
        <v/>
      </c>
      <c r="E1291" t="str">
        <f>IFERROR(__xludf.DUMMYFUNCTION("""COMPUTED_VALUE"""),"")</f>
        <v/>
      </c>
      <c r="F1291" t="str">
        <f>IFERROR(__xludf.DUMMYFUNCTION("""COMPUTED_VALUE"""),"")</f>
        <v/>
      </c>
      <c r="G1291" t="str">
        <f>IFERROR(__xludf.DUMMYFUNCTION("""COMPUTED_VALUE"""),"")</f>
        <v/>
      </c>
      <c r="H1291" t="str">
        <f>IFERROR(__xludf.DUMMYFUNCTION("""COMPUTED_VALUE"""),"")</f>
        <v/>
      </c>
      <c r="I1291" t="str">
        <f>IFERROR(__xludf.DUMMYFUNCTION("""COMPUTED_VALUE"""),"")</f>
        <v/>
      </c>
      <c r="J1291">
        <f>IFERROR(__xludf.DUMMYFUNCTION("""COMPUTED_VALUE"""),0.0)</f>
        <v>0</v>
      </c>
      <c r="L1291" s="250" t="str">
        <f>IFERROR(__xludf.DUMMYFUNCTION("""COMPUTED_VALUE"""),"")</f>
        <v/>
      </c>
      <c r="M1291" s="250" t="str">
        <f>IFERROR(__xludf.DUMMYFUNCTION("""COMPUTED_VALUE"""),"")</f>
        <v/>
      </c>
      <c r="N1291" s="250" t="str">
        <f>IFERROR(__xludf.DUMMYFUNCTION("""COMPUTED_VALUE"""),"")</f>
        <v/>
      </c>
      <c r="O1291" s="250" t="str">
        <f>IFERROR(__xludf.DUMMYFUNCTION("""COMPUTED_VALUE"""),"")</f>
        <v/>
      </c>
      <c r="P1291" s="250" t="str">
        <f>IFERROR(__xludf.DUMMYFUNCTION("""COMPUTED_VALUE"""),"")</f>
        <v/>
      </c>
      <c r="Q1291" s="250" t="str">
        <f>IFERROR(__xludf.DUMMYFUNCTION("""COMPUTED_VALUE"""),"")</f>
        <v/>
      </c>
      <c r="R1291" s="250" t="str">
        <f>IFERROR(__xludf.DUMMYFUNCTION("""COMPUTED_VALUE"""),"")</f>
        <v/>
      </c>
      <c r="U1291" s="250" t="str">
        <f>IFERROR(__xludf.DUMMYFUNCTION("""COMPUTED_VALUE"""),"#N/A")</f>
        <v>#N/A</v>
      </c>
      <c r="V1291" s="250" t="str">
        <f>IFERROR(__xludf.DUMMYFUNCTION("""COMPUTED_VALUE"""),"#N/A")</f>
        <v>#N/A</v>
      </c>
      <c r="W1291" s="250" t="str">
        <f>IFERROR(__xludf.DUMMYFUNCTION("""COMPUTED_VALUE"""),"#N/A")</f>
        <v>#N/A</v>
      </c>
      <c r="X1291" t="b">
        <f t="shared" ref="X1291:Z1291" si="2558">ISBLANK(K1291)</f>
        <v>1</v>
      </c>
      <c r="Y1291" t="b">
        <f t="shared" si="2558"/>
        <v>0</v>
      </c>
      <c r="Z1291" t="b">
        <f t="shared" si="2558"/>
        <v>0</v>
      </c>
      <c r="AA1291">
        <f t="shared" ref="AA1291:AC1291" si="2559">IF(X1291=FALSE,1,0)</f>
        <v>0</v>
      </c>
      <c r="AB1291">
        <f t="shared" si="2559"/>
        <v>1</v>
      </c>
      <c r="AC1291">
        <f t="shared" si="2559"/>
        <v>1</v>
      </c>
      <c r="AD1291">
        <f t="shared" si="6"/>
        <v>2</v>
      </c>
      <c r="AE1291">
        <f t="shared" si="7"/>
        <v>1</v>
      </c>
    </row>
    <row r="1292">
      <c r="B1292" t="str">
        <f>IFERROR(__xludf.DUMMYFUNCTION("""COMPUTED_VALUE"""),"")</f>
        <v/>
      </c>
      <c r="C1292" t="str">
        <f>IFERROR(__xludf.DUMMYFUNCTION("""COMPUTED_VALUE"""),"")</f>
        <v/>
      </c>
      <c r="D1292" t="str">
        <f>IFERROR(__xludf.DUMMYFUNCTION("""COMPUTED_VALUE"""),"")</f>
        <v/>
      </c>
      <c r="E1292" t="str">
        <f>IFERROR(__xludf.DUMMYFUNCTION("""COMPUTED_VALUE"""),"")</f>
        <v/>
      </c>
      <c r="F1292" t="str">
        <f>IFERROR(__xludf.DUMMYFUNCTION("""COMPUTED_VALUE"""),"")</f>
        <v/>
      </c>
      <c r="G1292" t="str">
        <f>IFERROR(__xludf.DUMMYFUNCTION("""COMPUTED_VALUE"""),"")</f>
        <v/>
      </c>
      <c r="H1292" t="str">
        <f>IFERROR(__xludf.DUMMYFUNCTION("""COMPUTED_VALUE"""),"")</f>
        <v/>
      </c>
      <c r="I1292" t="str">
        <f>IFERROR(__xludf.DUMMYFUNCTION("""COMPUTED_VALUE"""),"")</f>
        <v/>
      </c>
      <c r="J1292">
        <f>IFERROR(__xludf.DUMMYFUNCTION("""COMPUTED_VALUE"""),0.0)</f>
        <v>0</v>
      </c>
      <c r="L1292" s="250" t="str">
        <f>IFERROR(__xludf.DUMMYFUNCTION("""COMPUTED_VALUE"""),"")</f>
        <v/>
      </c>
      <c r="M1292" s="250" t="str">
        <f>IFERROR(__xludf.DUMMYFUNCTION("""COMPUTED_VALUE"""),"")</f>
        <v/>
      </c>
      <c r="N1292" s="250" t="str">
        <f>IFERROR(__xludf.DUMMYFUNCTION("""COMPUTED_VALUE"""),"")</f>
        <v/>
      </c>
      <c r="O1292" s="250" t="str">
        <f>IFERROR(__xludf.DUMMYFUNCTION("""COMPUTED_VALUE"""),"")</f>
        <v/>
      </c>
      <c r="P1292" s="250" t="str">
        <f>IFERROR(__xludf.DUMMYFUNCTION("""COMPUTED_VALUE"""),"")</f>
        <v/>
      </c>
      <c r="Q1292" s="250" t="str">
        <f>IFERROR(__xludf.DUMMYFUNCTION("""COMPUTED_VALUE"""),"")</f>
        <v/>
      </c>
      <c r="R1292" s="250" t="str">
        <f>IFERROR(__xludf.DUMMYFUNCTION("""COMPUTED_VALUE"""),"")</f>
        <v/>
      </c>
      <c r="U1292" s="250" t="str">
        <f>IFERROR(__xludf.DUMMYFUNCTION("""COMPUTED_VALUE"""),"#N/A")</f>
        <v>#N/A</v>
      </c>
      <c r="V1292" s="250" t="str">
        <f>IFERROR(__xludf.DUMMYFUNCTION("""COMPUTED_VALUE"""),"#N/A")</f>
        <v>#N/A</v>
      </c>
      <c r="W1292" s="250" t="str">
        <f>IFERROR(__xludf.DUMMYFUNCTION("""COMPUTED_VALUE"""),"#N/A")</f>
        <v>#N/A</v>
      </c>
      <c r="X1292" t="b">
        <f t="shared" ref="X1292:Z1292" si="2560">ISBLANK(K1292)</f>
        <v>1</v>
      </c>
      <c r="Y1292" t="b">
        <f t="shared" si="2560"/>
        <v>0</v>
      </c>
      <c r="Z1292" t="b">
        <f t="shared" si="2560"/>
        <v>0</v>
      </c>
      <c r="AA1292">
        <f t="shared" ref="AA1292:AC1292" si="2561">IF(X1292=FALSE,1,0)</f>
        <v>0</v>
      </c>
      <c r="AB1292">
        <f t="shared" si="2561"/>
        <v>1</v>
      </c>
      <c r="AC1292">
        <f t="shared" si="2561"/>
        <v>1</v>
      </c>
      <c r="AD1292">
        <f t="shared" si="6"/>
        <v>2</v>
      </c>
      <c r="AE1292">
        <f t="shared" si="7"/>
        <v>1</v>
      </c>
    </row>
    <row r="1293">
      <c r="B1293" t="str">
        <f>IFERROR(__xludf.DUMMYFUNCTION("""COMPUTED_VALUE"""),"")</f>
        <v/>
      </c>
      <c r="C1293" t="str">
        <f>IFERROR(__xludf.DUMMYFUNCTION("""COMPUTED_VALUE"""),"")</f>
        <v/>
      </c>
      <c r="D1293" t="str">
        <f>IFERROR(__xludf.DUMMYFUNCTION("""COMPUTED_VALUE"""),"")</f>
        <v/>
      </c>
      <c r="E1293" t="str">
        <f>IFERROR(__xludf.DUMMYFUNCTION("""COMPUTED_VALUE"""),"")</f>
        <v/>
      </c>
      <c r="F1293" t="str">
        <f>IFERROR(__xludf.DUMMYFUNCTION("""COMPUTED_VALUE"""),"")</f>
        <v/>
      </c>
      <c r="G1293" t="str">
        <f>IFERROR(__xludf.DUMMYFUNCTION("""COMPUTED_VALUE"""),"")</f>
        <v/>
      </c>
      <c r="H1293" t="str">
        <f>IFERROR(__xludf.DUMMYFUNCTION("""COMPUTED_VALUE"""),"")</f>
        <v/>
      </c>
      <c r="I1293" t="str">
        <f>IFERROR(__xludf.DUMMYFUNCTION("""COMPUTED_VALUE"""),"")</f>
        <v/>
      </c>
      <c r="J1293">
        <f>IFERROR(__xludf.DUMMYFUNCTION("""COMPUTED_VALUE"""),0.0)</f>
        <v>0</v>
      </c>
      <c r="L1293" s="250" t="str">
        <f>IFERROR(__xludf.DUMMYFUNCTION("""COMPUTED_VALUE"""),"")</f>
        <v/>
      </c>
      <c r="M1293" s="250" t="str">
        <f>IFERROR(__xludf.DUMMYFUNCTION("""COMPUTED_VALUE"""),"")</f>
        <v/>
      </c>
      <c r="N1293" s="250" t="str">
        <f>IFERROR(__xludf.DUMMYFUNCTION("""COMPUTED_VALUE"""),"")</f>
        <v/>
      </c>
      <c r="O1293" s="250" t="str">
        <f>IFERROR(__xludf.DUMMYFUNCTION("""COMPUTED_VALUE"""),"")</f>
        <v/>
      </c>
      <c r="P1293" s="250" t="str">
        <f>IFERROR(__xludf.DUMMYFUNCTION("""COMPUTED_VALUE"""),"")</f>
        <v/>
      </c>
      <c r="Q1293" s="250" t="str">
        <f>IFERROR(__xludf.DUMMYFUNCTION("""COMPUTED_VALUE"""),"")</f>
        <v/>
      </c>
      <c r="R1293" s="250" t="str">
        <f>IFERROR(__xludf.DUMMYFUNCTION("""COMPUTED_VALUE"""),"")</f>
        <v/>
      </c>
      <c r="U1293" s="250" t="str">
        <f>IFERROR(__xludf.DUMMYFUNCTION("""COMPUTED_VALUE"""),"#N/A")</f>
        <v>#N/A</v>
      </c>
      <c r="V1293" s="250" t="str">
        <f>IFERROR(__xludf.DUMMYFUNCTION("""COMPUTED_VALUE"""),"#N/A")</f>
        <v>#N/A</v>
      </c>
      <c r="W1293" s="250" t="str">
        <f>IFERROR(__xludf.DUMMYFUNCTION("""COMPUTED_VALUE"""),"#N/A")</f>
        <v>#N/A</v>
      </c>
      <c r="X1293" t="b">
        <f t="shared" ref="X1293:Z1293" si="2562">ISBLANK(K1293)</f>
        <v>1</v>
      </c>
      <c r="Y1293" t="b">
        <f t="shared" si="2562"/>
        <v>0</v>
      </c>
      <c r="Z1293" t="b">
        <f t="shared" si="2562"/>
        <v>0</v>
      </c>
      <c r="AA1293">
        <f t="shared" ref="AA1293:AC1293" si="2563">IF(X1293=FALSE,1,0)</f>
        <v>0</v>
      </c>
      <c r="AB1293">
        <f t="shared" si="2563"/>
        <v>1</v>
      </c>
      <c r="AC1293">
        <f t="shared" si="2563"/>
        <v>1</v>
      </c>
      <c r="AD1293">
        <f t="shared" si="6"/>
        <v>2</v>
      </c>
      <c r="AE1293">
        <f t="shared" si="7"/>
        <v>1</v>
      </c>
    </row>
    <row r="1294">
      <c r="B1294" t="str">
        <f>IFERROR(__xludf.DUMMYFUNCTION("""COMPUTED_VALUE"""),"")</f>
        <v/>
      </c>
      <c r="C1294" t="str">
        <f>IFERROR(__xludf.DUMMYFUNCTION("""COMPUTED_VALUE"""),"")</f>
        <v/>
      </c>
      <c r="D1294" t="str">
        <f>IFERROR(__xludf.DUMMYFUNCTION("""COMPUTED_VALUE"""),"")</f>
        <v/>
      </c>
      <c r="E1294" t="str">
        <f>IFERROR(__xludf.DUMMYFUNCTION("""COMPUTED_VALUE"""),"")</f>
        <v/>
      </c>
      <c r="F1294" t="str">
        <f>IFERROR(__xludf.DUMMYFUNCTION("""COMPUTED_VALUE"""),"")</f>
        <v/>
      </c>
      <c r="G1294" t="str">
        <f>IFERROR(__xludf.DUMMYFUNCTION("""COMPUTED_VALUE"""),"")</f>
        <v/>
      </c>
      <c r="H1294" t="str">
        <f>IFERROR(__xludf.DUMMYFUNCTION("""COMPUTED_VALUE"""),"")</f>
        <v/>
      </c>
      <c r="I1294" t="str">
        <f>IFERROR(__xludf.DUMMYFUNCTION("""COMPUTED_VALUE"""),"")</f>
        <v/>
      </c>
      <c r="J1294">
        <f>IFERROR(__xludf.DUMMYFUNCTION("""COMPUTED_VALUE"""),0.0)</f>
        <v>0</v>
      </c>
      <c r="L1294" s="250" t="str">
        <f>IFERROR(__xludf.DUMMYFUNCTION("""COMPUTED_VALUE"""),"")</f>
        <v/>
      </c>
      <c r="M1294" s="250" t="str">
        <f>IFERROR(__xludf.DUMMYFUNCTION("""COMPUTED_VALUE"""),"")</f>
        <v/>
      </c>
      <c r="N1294" s="250" t="str">
        <f>IFERROR(__xludf.DUMMYFUNCTION("""COMPUTED_VALUE"""),"")</f>
        <v/>
      </c>
      <c r="O1294" s="250" t="str">
        <f>IFERROR(__xludf.DUMMYFUNCTION("""COMPUTED_VALUE"""),"")</f>
        <v/>
      </c>
      <c r="P1294" s="250" t="str">
        <f>IFERROR(__xludf.DUMMYFUNCTION("""COMPUTED_VALUE"""),"")</f>
        <v/>
      </c>
      <c r="Q1294" s="250" t="str">
        <f>IFERROR(__xludf.DUMMYFUNCTION("""COMPUTED_VALUE"""),"")</f>
        <v/>
      </c>
      <c r="R1294" s="250" t="str">
        <f>IFERROR(__xludf.DUMMYFUNCTION("""COMPUTED_VALUE"""),"")</f>
        <v/>
      </c>
      <c r="U1294" s="250" t="str">
        <f>IFERROR(__xludf.DUMMYFUNCTION("""COMPUTED_VALUE"""),"#N/A")</f>
        <v>#N/A</v>
      </c>
      <c r="V1294" s="250" t="str">
        <f>IFERROR(__xludf.DUMMYFUNCTION("""COMPUTED_VALUE"""),"#N/A")</f>
        <v>#N/A</v>
      </c>
      <c r="W1294" s="250" t="str">
        <f>IFERROR(__xludf.DUMMYFUNCTION("""COMPUTED_VALUE"""),"#N/A")</f>
        <v>#N/A</v>
      </c>
      <c r="X1294" t="b">
        <f t="shared" ref="X1294:Z1294" si="2564">ISBLANK(K1294)</f>
        <v>1</v>
      </c>
      <c r="Y1294" t="b">
        <f t="shared" si="2564"/>
        <v>0</v>
      </c>
      <c r="Z1294" t="b">
        <f t="shared" si="2564"/>
        <v>0</v>
      </c>
      <c r="AA1294">
        <f t="shared" ref="AA1294:AC1294" si="2565">IF(X1294=FALSE,1,0)</f>
        <v>0</v>
      </c>
      <c r="AB1294">
        <f t="shared" si="2565"/>
        <v>1</v>
      </c>
      <c r="AC1294">
        <f t="shared" si="2565"/>
        <v>1</v>
      </c>
      <c r="AD1294">
        <f t="shared" si="6"/>
        <v>2</v>
      </c>
      <c r="AE1294">
        <f t="shared" si="7"/>
        <v>1</v>
      </c>
    </row>
    <row r="1295">
      <c r="B1295" t="str">
        <f>IFERROR(__xludf.DUMMYFUNCTION("""COMPUTED_VALUE"""),"")</f>
        <v/>
      </c>
      <c r="C1295" t="str">
        <f>IFERROR(__xludf.DUMMYFUNCTION("""COMPUTED_VALUE"""),"")</f>
        <v/>
      </c>
      <c r="D1295" t="str">
        <f>IFERROR(__xludf.DUMMYFUNCTION("""COMPUTED_VALUE"""),"")</f>
        <v/>
      </c>
      <c r="E1295" t="str">
        <f>IFERROR(__xludf.DUMMYFUNCTION("""COMPUTED_VALUE"""),"")</f>
        <v/>
      </c>
      <c r="F1295" t="str">
        <f>IFERROR(__xludf.DUMMYFUNCTION("""COMPUTED_VALUE"""),"")</f>
        <v/>
      </c>
      <c r="G1295" t="str">
        <f>IFERROR(__xludf.DUMMYFUNCTION("""COMPUTED_VALUE"""),"")</f>
        <v/>
      </c>
      <c r="H1295" t="str">
        <f>IFERROR(__xludf.DUMMYFUNCTION("""COMPUTED_VALUE"""),"")</f>
        <v/>
      </c>
      <c r="I1295" t="str">
        <f>IFERROR(__xludf.DUMMYFUNCTION("""COMPUTED_VALUE"""),"")</f>
        <v/>
      </c>
      <c r="J1295">
        <f>IFERROR(__xludf.DUMMYFUNCTION("""COMPUTED_VALUE"""),0.0)</f>
        <v>0</v>
      </c>
      <c r="L1295" s="250" t="str">
        <f>IFERROR(__xludf.DUMMYFUNCTION("""COMPUTED_VALUE"""),"")</f>
        <v/>
      </c>
      <c r="M1295" s="250" t="str">
        <f>IFERROR(__xludf.DUMMYFUNCTION("""COMPUTED_VALUE"""),"")</f>
        <v/>
      </c>
      <c r="N1295" s="250" t="str">
        <f>IFERROR(__xludf.DUMMYFUNCTION("""COMPUTED_VALUE"""),"")</f>
        <v/>
      </c>
      <c r="O1295" s="250" t="str">
        <f>IFERROR(__xludf.DUMMYFUNCTION("""COMPUTED_VALUE"""),"")</f>
        <v/>
      </c>
      <c r="P1295" s="250" t="str">
        <f>IFERROR(__xludf.DUMMYFUNCTION("""COMPUTED_VALUE"""),"")</f>
        <v/>
      </c>
      <c r="Q1295" s="250" t="str">
        <f>IFERROR(__xludf.DUMMYFUNCTION("""COMPUTED_VALUE"""),"")</f>
        <v/>
      </c>
      <c r="R1295" s="250" t="str">
        <f>IFERROR(__xludf.DUMMYFUNCTION("""COMPUTED_VALUE"""),"")</f>
        <v/>
      </c>
      <c r="U1295" s="250" t="str">
        <f>IFERROR(__xludf.DUMMYFUNCTION("""COMPUTED_VALUE"""),"#N/A")</f>
        <v>#N/A</v>
      </c>
      <c r="V1295" s="250" t="str">
        <f>IFERROR(__xludf.DUMMYFUNCTION("""COMPUTED_VALUE"""),"#N/A")</f>
        <v>#N/A</v>
      </c>
      <c r="W1295" s="250" t="str">
        <f>IFERROR(__xludf.DUMMYFUNCTION("""COMPUTED_VALUE"""),"#N/A")</f>
        <v>#N/A</v>
      </c>
      <c r="X1295" t="b">
        <f t="shared" ref="X1295:Z1295" si="2566">ISBLANK(K1295)</f>
        <v>1</v>
      </c>
      <c r="Y1295" t="b">
        <f t="shared" si="2566"/>
        <v>0</v>
      </c>
      <c r="Z1295" t="b">
        <f t="shared" si="2566"/>
        <v>0</v>
      </c>
      <c r="AA1295">
        <f t="shared" ref="AA1295:AC1295" si="2567">IF(X1295=FALSE,1,0)</f>
        <v>0</v>
      </c>
      <c r="AB1295">
        <f t="shared" si="2567"/>
        <v>1</v>
      </c>
      <c r="AC1295">
        <f t="shared" si="2567"/>
        <v>1</v>
      </c>
      <c r="AD1295">
        <f t="shared" si="6"/>
        <v>2</v>
      </c>
      <c r="AE1295">
        <f t="shared" si="7"/>
        <v>1</v>
      </c>
    </row>
    <row r="1296">
      <c r="B1296" t="str">
        <f>IFERROR(__xludf.DUMMYFUNCTION("""COMPUTED_VALUE"""),"")</f>
        <v/>
      </c>
      <c r="C1296" t="str">
        <f>IFERROR(__xludf.DUMMYFUNCTION("""COMPUTED_VALUE"""),"")</f>
        <v/>
      </c>
      <c r="D1296" t="str">
        <f>IFERROR(__xludf.DUMMYFUNCTION("""COMPUTED_VALUE"""),"")</f>
        <v/>
      </c>
      <c r="E1296" t="str">
        <f>IFERROR(__xludf.DUMMYFUNCTION("""COMPUTED_VALUE"""),"")</f>
        <v/>
      </c>
      <c r="F1296" t="str">
        <f>IFERROR(__xludf.DUMMYFUNCTION("""COMPUTED_VALUE"""),"")</f>
        <v/>
      </c>
      <c r="G1296" t="str">
        <f>IFERROR(__xludf.DUMMYFUNCTION("""COMPUTED_VALUE"""),"")</f>
        <v/>
      </c>
      <c r="H1296" t="str">
        <f>IFERROR(__xludf.DUMMYFUNCTION("""COMPUTED_VALUE"""),"")</f>
        <v/>
      </c>
      <c r="I1296" t="str">
        <f>IFERROR(__xludf.DUMMYFUNCTION("""COMPUTED_VALUE"""),"")</f>
        <v/>
      </c>
      <c r="J1296">
        <f>IFERROR(__xludf.DUMMYFUNCTION("""COMPUTED_VALUE"""),0.0)</f>
        <v>0</v>
      </c>
      <c r="L1296" s="250" t="str">
        <f>IFERROR(__xludf.DUMMYFUNCTION("""COMPUTED_VALUE"""),"")</f>
        <v/>
      </c>
      <c r="M1296" s="250" t="str">
        <f>IFERROR(__xludf.DUMMYFUNCTION("""COMPUTED_VALUE"""),"")</f>
        <v/>
      </c>
      <c r="N1296" s="250" t="str">
        <f>IFERROR(__xludf.DUMMYFUNCTION("""COMPUTED_VALUE"""),"")</f>
        <v/>
      </c>
      <c r="O1296" s="250" t="str">
        <f>IFERROR(__xludf.DUMMYFUNCTION("""COMPUTED_VALUE"""),"")</f>
        <v/>
      </c>
      <c r="P1296" s="250" t="str">
        <f>IFERROR(__xludf.DUMMYFUNCTION("""COMPUTED_VALUE"""),"")</f>
        <v/>
      </c>
      <c r="Q1296" s="250" t="str">
        <f>IFERROR(__xludf.DUMMYFUNCTION("""COMPUTED_VALUE"""),"")</f>
        <v/>
      </c>
      <c r="R1296" s="250" t="str">
        <f>IFERROR(__xludf.DUMMYFUNCTION("""COMPUTED_VALUE"""),"")</f>
        <v/>
      </c>
      <c r="U1296" s="250" t="str">
        <f>IFERROR(__xludf.DUMMYFUNCTION("""COMPUTED_VALUE"""),"#N/A")</f>
        <v>#N/A</v>
      </c>
      <c r="V1296" s="250" t="str">
        <f>IFERROR(__xludf.DUMMYFUNCTION("""COMPUTED_VALUE"""),"#N/A")</f>
        <v>#N/A</v>
      </c>
      <c r="W1296" s="250" t="str">
        <f>IFERROR(__xludf.DUMMYFUNCTION("""COMPUTED_VALUE"""),"#N/A")</f>
        <v>#N/A</v>
      </c>
      <c r="X1296" t="b">
        <f t="shared" ref="X1296:Z1296" si="2568">ISBLANK(K1296)</f>
        <v>1</v>
      </c>
      <c r="Y1296" t="b">
        <f t="shared" si="2568"/>
        <v>0</v>
      </c>
      <c r="Z1296" t="b">
        <f t="shared" si="2568"/>
        <v>0</v>
      </c>
      <c r="AA1296">
        <f t="shared" ref="AA1296:AC1296" si="2569">IF(X1296=FALSE,1,0)</f>
        <v>0</v>
      </c>
      <c r="AB1296">
        <f t="shared" si="2569"/>
        <v>1</v>
      </c>
      <c r="AC1296">
        <f t="shared" si="2569"/>
        <v>1</v>
      </c>
      <c r="AD1296">
        <f t="shared" si="6"/>
        <v>2</v>
      </c>
      <c r="AE1296">
        <f t="shared" si="7"/>
        <v>1</v>
      </c>
    </row>
    <row r="1297">
      <c r="B1297" t="str">
        <f>IFERROR(__xludf.DUMMYFUNCTION("""COMPUTED_VALUE"""),"")</f>
        <v/>
      </c>
      <c r="C1297" t="str">
        <f>IFERROR(__xludf.DUMMYFUNCTION("""COMPUTED_VALUE"""),"")</f>
        <v/>
      </c>
      <c r="D1297" t="str">
        <f>IFERROR(__xludf.DUMMYFUNCTION("""COMPUTED_VALUE"""),"")</f>
        <v/>
      </c>
      <c r="E1297" t="str">
        <f>IFERROR(__xludf.DUMMYFUNCTION("""COMPUTED_VALUE"""),"")</f>
        <v/>
      </c>
      <c r="F1297" t="str">
        <f>IFERROR(__xludf.DUMMYFUNCTION("""COMPUTED_VALUE"""),"")</f>
        <v/>
      </c>
      <c r="G1297" t="str">
        <f>IFERROR(__xludf.DUMMYFUNCTION("""COMPUTED_VALUE"""),"")</f>
        <v/>
      </c>
      <c r="H1297" t="str">
        <f>IFERROR(__xludf.DUMMYFUNCTION("""COMPUTED_VALUE"""),"")</f>
        <v/>
      </c>
      <c r="I1297" t="str">
        <f>IFERROR(__xludf.DUMMYFUNCTION("""COMPUTED_VALUE"""),"")</f>
        <v/>
      </c>
      <c r="J1297">
        <f>IFERROR(__xludf.DUMMYFUNCTION("""COMPUTED_VALUE"""),0.0)</f>
        <v>0</v>
      </c>
      <c r="L1297" s="250" t="str">
        <f>IFERROR(__xludf.DUMMYFUNCTION("""COMPUTED_VALUE"""),"")</f>
        <v/>
      </c>
      <c r="M1297" s="250" t="str">
        <f>IFERROR(__xludf.DUMMYFUNCTION("""COMPUTED_VALUE"""),"")</f>
        <v/>
      </c>
      <c r="N1297" s="250" t="str">
        <f>IFERROR(__xludf.DUMMYFUNCTION("""COMPUTED_VALUE"""),"")</f>
        <v/>
      </c>
      <c r="O1297" s="250" t="str">
        <f>IFERROR(__xludf.DUMMYFUNCTION("""COMPUTED_VALUE"""),"")</f>
        <v/>
      </c>
      <c r="P1297" s="250" t="str">
        <f>IFERROR(__xludf.DUMMYFUNCTION("""COMPUTED_VALUE"""),"")</f>
        <v/>
      </c>
      <c r="Q1297" s="250" t="str">
        <f>IFERROR(__xludf.DUMMYFUNCTION("""COMPUTED_VALUE"""),"")</f>
        <v/>
      </c>
      <c r="R1297" s="250" t="str">
        <f>IFERROR(__xludf.DUMMYFUNCTION("""COMPUTED_VALUE"""),"")</f>
        <v/>
      </c>
      <c r="U1297" s="250" t="str">
        <f>IFERROR(__xludf.DUMMYFUNCTION("""COMPUTED_VALUE"""),"#N/A")</f>
        <v>#N/A</v>
      </c>
      <c r="V1297" s="250" t="str">
        <f>IFERROR(__xludf.DUMMYFUNCTION("""COMPUTED_VALUE"""),"#N/A")</f>
        <v>#N/A</v>
      </c>
      <c r="W1297" s="250" t="str">
        <f>IFERROR(__xludf.DUMMYFUNCTION("""COMPUTED_VALUE"""),"#N/A")</f>
        <v>#N/A</v>
      </c>
      <c r="X1297" t="b">
        <f t="shared" ref="X1297:Z1297" si="2570">ISBLANK(K1297)</f>
        <v>1</v>
      </c>
      <c r="Y1297" t="b">
        <f t="shared" si="2570"/>
        <v>0</v>
      </c>
      <c r="Z1297" t="b">
        <f t="shared" si="2570"/>
        <v>0</v>
      </c>
      <c r="AA1297">
        <f t="shared" ref="AA1297:AC1297" si="2571">IF(X1297=FALSE,1,0)</f>
        <v>0</v>
      </c>
      <c r="AB1297">
        <f t="shared" si="2571"/>
        <v>1</v>
      </c>
      <c r="AC1297">
        <f t="shared" si="2571"/>
        <v>1</v>
      </c>
      <c r="AD1297">
        <f t="shared" si="6"/>
        <v>2</v>
      </c>
      <c r="AE1297">
        <f t="shared" si="7"/>
        <v>1</v>
      </c>
    </row>
    <row r="1298">
      <c r="B1298" t="str">
        <f>IFERROR(__xludf.DUMMYFUNCTION("""COMPUTED_VALUE"""),"")</f>
        <v/>
      </c>
      <c r="C1298" t="str">
        <f>IFERROR(__xludf.DUMMYFUNCTION("""COMPUTED_VALUE"""),"")</f>
        <v/>
      </c>
      <c r="D1298" t="str">
        <f>IFERROR(__xludf.DUMMYFUNCTION("""COMPUTED_VALUE"""),"")</f>
        <v/>
      </c>
      <c r="E1298" t="str">
        <f>IFERROR(__xludf.DUMMYFUNCTION("""COMPUTED_VALUE"""),"")</f>
        <v/>
      </c>
      <c r="F1298" t="str">
        <f>IFERROR(__xludf.DUMMYFUNCTION("""COMPUTED_VALUE"""),"")</f>
        <v/>
      </c>
      <c r="G1298" t="str">
        <f>IFERROR(__xludf.DUMMYFUNCTION("""COMPUTED_VALUE"""),"")</f>
        <v/>
      </c>
      <c r="H1298" t="str">
        <f>IFERROR(__xludf.DUMMYFUNCTION("""COMPUTED_VALUE"""),"")</f>
        <v/>
      </c>
      <c r="I1298" t="str">
        <f>IFERROR(__xludf.DUMMYFUNCTION("""COMPUTED_VALUE"""),"")</f>
        <v/>
      </c>
      <c r="J1298">
        <f>IFERROR(__xludf.DUMMYFUNCTION("""COMPUTED_VALUE"""),0.0)</f>
        <v>0</v>
      </c>
      <c r="L1298" s="250" t="str">
        <f>IFERROR(__xludf.DUMMYFUNCTION("""COMPUTED_VALUE"""),"")</f>
        <v/>
      </c>
      <c r="M1298" s="250" t="str">
        <f>IFERROR(__xludf.DUMMYFUNCTION("""COMPUTED_VALUE"""),"")</f>
        <v/>
      </c>
      <c r="N1298" s="250" t="str">
        <f>IFERROR(__xludf.DUMMYFUNCTION("""COMPUTED_VALUE"""),"")</f>
        <v/>
      </c>
      <c r="O1298" s="250" t="str">
        <f>IFERROR(__xludf.DUMMYFUNCTION("""COMPUTED_VALUE"""),"")</f>
        <v/>
      </c>
      <c r="P1298" s="250" t="str">
        <f>IFERROR(__xludf.DUMMYFUNCTION("""COMPUTED_VALUE"""),"")</f>
        <v/>
      </c>
      <c r="Q1298" s="250" t="str">
        <f>IFERROR(__xludf.DUMMYFUNCTION("""COMPUTED_VALUE"""),"")</f>
        <v/>
      </c>
      <c r="R1298" s="250" t="str">
        <f>IFERROR(__xludf.DUMMYFUNCTION("""COMPUTED_VALUE"""),"")</f>
        <v/>
      </c>
      <c r="U1298" s="250" t="str">
        <f>IFERROR(__xludf.DUMMYFUNCTION("""COMPUTED_VALUE"""),"#N/A")</f>
        <v>#N/A</v>
      </c>
      <c r="V1298" s="250" t="str">
        <f>IFERROR(__xludf.DUMMYFUNCTION("""COMPUTED_VALUE"""),"#N/A")</f>
        <v>#N/A</v>
      </c>
      <c r="W1298" s="250" t="str">
        <f>IFERROR(__xludf.DUMMYFUNCTION("""COMPUTED_VALUE"""),"#N/A")</f>
        <v>#N/A</v>
      </c>
      <c r="X1298" t="b">
        <f t="shared" ref="X1298:Z1298" si="2572">ISBLANK(K1298)</f>
        <v>1</v>
      </c>
      <c r="Y1298" t="b">
        <f t="shared" si="2572"/>
        <v>0</v>
      </c>
      <c r="Z1298" t="b">
        <f t="shared" si="2572"/>
        <v>0</v>
      </c>
      <c r="AA1298">
        <f t="shared" ref="AA1298:AC1298" si="2573">IF(X1298=FALSE,1,0)</f>
        <v>0</v>
      </c>
      <c r="AB1298">
        <f t="shared" si="2573"/>
        <v>1</v>
      </c>
      <c r="AC1298">
        <f t="shared" si="2573"/>
        <v>1</v>
      </c>
      <c r="AD1298">
        <f t="shared" si="6"/>
        <v>2</v>
      </c>
      <c r="AE1298">
        <f t="shared" si="7"/>
        <v>1</v>
      </c>
    </row>
    <row r="1299">
      <c r="B1299" t="str">
        <f>IFERROR(__xludf.DUMMYFUNCTION("""COMPUTED_VALUE"""),"")</f>
        <v/>
      </c>
      <c r="C1299" t="str">
        <f>IFERROR(__xludf.DUMMYFUNCTION("""COMPUTED_VALUE"""),"")</f>
        <v/>
      </c>
      <c r="D1299" t="str">
        <f>IFERROR(__xludf.DUMMYFUNCTION("""COMPUTED_VALUE"""),"")</f>
        <v/>
      </c>
      <c r="E1299" t="str">
        <f>IFERROR(__xludf.DUMMYFUNCTION("""COMPUTED_VALUE"""),"")</f>
        <v/>
      </c>
      <c r="F1299" t="str">
        <f>IFERROR(__xludf.DUMMYFUNCTION("""COMPUTED_VALUE"""),"")</f>
        <v/>
      </c>
      <c r="G1299" t="str">
        <f>IFERROR(__xludf.DUMMYFUNCTION("""COMPUTED_VALUE"""),"")</f>
        <v/>
      </c>
      <c r="H1299" t="str">
        <f>IFERROR(__xludf.DUMMYFUNCTION("""COMPUTED_VALUE"""),"")</f>
        <v/>
      </c>
      <c r="I1299" t="str">
        <f>IFERROR(__xludf.DUMMYFUNCTION("""COMPUTED_VALUE"""),"")</f>
        <v/>
      </c>
      <c r="J1299">
        <f>IFERROR(__xludf.DUMMYFUNCTION("""COMPUTED_VALUE"""),0.0)</f>
        <v>0</v>
      </c>
      <c r="L1299" s="250" t="str">
        <f>IFERROR(__xludf.DUMMYFUNCTION("""COMPUTED_VALUE"""),"")</f>
        <v/>
      </c>
      <c r="M1299" s="250" t="str">
        <f>IFERROR(__xludf.DUMMYFUNCTION("""COMPUTED_VALUE"""),"")</f>
        <v/>
      </c>
      <c r="N1299" s="250" t="str">
        <f>IFERROR(__xludf.DUMMYFUNCTION("""COMPUTED_VALUE"""),"")</f>
        <v/>
      </c>
      <c r="O1299" s="250" t="str">
        <f>IFERROR(__xludf.DUMMYFUNCTION("""COMPUTED_VALUE"""),"")</f>
        <v/>
      </c>
      <c r="P1299" s="250" t="str">
        <f>IFERROR(__xludf.DUMMYFUNCTION("""COMPUTED_VALUE"""),"")</f>
        <v/>
      </c>
      <c r="Q1299" s="250" t="str">
        <f>IFERROR(__xludf.DUMMYFUNCTION("""COMPUTED_VALUE"""),"")</f>
        <v/>
      </c>
      <c r="R1299" s="250" t="str">
        <f>IFERROR(__xludf.DUMMYFUNCTION("""COMPUTED_VALUE"""),"")</f>
        <v/>
      </c>
      <c r="U1299" s="250" t="str">
        <f>IFERROR(__xludf.DUMMYFUNCTION("""COMPUTED_VALUE"""),"#N/A")</f>
        <v>#N/A</v>
      </c>
      <c r="V1299" s="250" t="str">
        <f>IFERROR(__xludf.DUMMYFUNCTION("""COMPUTED_VALUE"""),"#N/A")</f>
        <v>#N/A</v>
      </c>
      <c r="W1299" s="250" t="str">
        <f>IFERROR(__xludf.DUMMYFUNCTION("""COMPUTED_VALUE"""),"#N/A")</f>
        <v>#N/A</v>
      </c>
      <c r="X1299" t="b">
        <f t="shared" ref="X1299:Z1299" si="2574">ISBLANK(K1299)</f>
        <v>1</v>
      </c>
      <c r="Y1299" t="b">
        <f t="shared" si="2574"/>
        <v>0</v>
      </c>
      <c r="Z1299" t="b">
        <f t="shared" si="2574"/>
        <v>0</v>
      </c>
      <c r="AA1299">
        <f t="shared" ref="AA1299:AC1299" si="2575">IF(X1299=FALSE,1,0)</f>
        <v>0</v>
      </c>
      <c r="AB1299">
        <f t="shared" si="2575"/>
        <v>1</v>
      </c>
      <c r="AC1299">
        <f t="shared" si="2575"/>
        <v>1</v>
      </c>
      <c r="AD1299">
        <f t="shared" si="6"/>
        <v>2</v>
      </c>
      <c r="AE1299">
        <f t="shared" si="7"/>
        <v>1</v>
      </c>
    </row>
    <row r="1300">
      <c r="B1300" t="str">
        <f>IFERROR(__xludf.DUMMYFUNCTION("""COMPUTED_VALUE"""),"")</f>
        <v/>
      </c>
      <c r="C1300" t="str">
        <f>IFERROR(__xludf.DUMMYFUNCTION("""COMPUTED_VALUE"""),"")</f>
        <v/>
      </c>
      <c r="D1300" t="str">
        <f>IFERROR(__xludf.DUMMYFUNCTION("""COMPUTED_VALUE"""),"")</f>
        <v/>
      </c>
      <c r="E1300" t="str">
        <f>IFERROR(__xludf.DUMMYFUNCTION("""COMPUTED_VALUE"""),"")</f>
        <v/>
      </c>
      <c r="F1300" t="str">
        <f>IFERROR(__xludf.DUMMYFUNCTION("""COMPUTED_VALUE"""),"")</f>
        <v/>
      </c>
      <c r="G1300" t="str">
        <f>IFERROR(__xludf.DUMMYFUNCTION("""COMPUTED_VALUE"""),"")</f>
        <v/>
      </c>
      <c r="H1300" t="str">
        <f>IFERROR(__xludf.DUMMYFUNCTION("""COMPUTED_VALUE"""),"")</f>
        <v/>
      </c>
      <c r="I1300" t="str">
        <f>IFERROR(__xludf.DUMMYFUNCTION("""COMPUTED_VALUE"""),"")</f>
        <v/>
      </c>
      <c r="J1300">
        <f>IFERROR(__xludf.DUMMYFUNCTION("""COMPUTED_VALUE"""),0.0)</f>
        <v>0</v>
      </c>
      <c r="L1300" s="250" t="str">
        <f>IFERROR(__xludf.DUMMYFUNCTION("""COMPUTED_VALUE"""),"")</f>
        <v/>
      </c>
      <c r="M1300" s="250" t="str">
        <f>IFERROR(__xludf.DUMMYFUNCTION("""COMPUTED_VALUE"""),"")</f>
        <v/>
      </c>
      <c r="N1300" s="250" t="str">
        <f>IFERROR(__xludf.DUMMYFUNCTION("""COMPUTED_VALUE"""),"")</f>
        <v/>
      </c>
      <c r="O1300" s="250" t="str">
        <f>IFERROR(__xludf.DUMMYFUNCTION("""COMPUTED_VALUE"""),"")</f>
        <v/>
      </c>
      <c r="P1300" s="250" t="str">
        <f>IFERROR(__xludf.DUMMYFUNCTION("""COMPUTED_VALUE"""),"")</f>
        <v/>
      </c>
      <c r="Q1300" s="250" t="str">
        <f>IFERROR(__xludf.DUMMYFUNCTION("""COMPUTED_VALUE"""),"")</f>
        <v/>
      </c>
      <c r="R1300" s="250" t="str">
        <f>IFERROR(__xludf.DUMMYFUNCTION("""COMPUTED_VALUE"""),"")</f>
        <v/>
      </c>
      <c r="U1300" s="250" t="str">
        <f>IFERROR(__xludf.DUMMYFUNCTION("""COMPUTED_VALUE"""),"#N/A")</f>
        <v>#N/A</v>
      </c>
      <c r="V1300" s="250" t="str">
        <f>IFERROR(__xludf.DUMMYFUNCTION("""COMPUTED_VALUE"""),"#N/A")</f>
        <v>#N/A</v>
      </c>
      <c r="W1300" s="250" t="str">
        <f>IFERROR(__xludf.DUMMYFUNCTION("""COMPUTED_VALUE"""),"#N/A")</f>
        <v>#N/A</v>
      </c>
      <c r="X1300" t="b">
        <f t="shared" ref="X1300:Z1300" si="2576">ISBLANK(K1300)</f>
        <v>1</v>
      </c>
      <c r="Y1300" t="b">
        <f t="shared" si="2576"/>
        <v>0</v>
      </c>
      <c r="Z1300" t="b">
        <f t="shared" si="2576"/>
        <v>0</v>
      </c>
      <c r="AA1300">
        <f t="shared" ref="AA1300:AC1300" si="2577">IF(X1300=FALSE,1,0)</f>
        <v>0</v>
      </c>
      <c r="AB1300">
        <f t="shared" si="2577"/>
        <v>1</v>
      </c>
      <c r="AC1300">
        <f t="shared" si="2577"/>
        <v>1</v>
      </c>
      <c r="AD1300">
        <f t="shared" si="6"/>
        <v>2</v>
      </c>
      <c r="AE1300">
        <f t="shared" si="7"/>
        <v>1</v>
      </c>
    </row>
    <row r="1301">
      <c r="B1301" t="str">
        <f>IFERROR(__xludf.DUMMYFUNCTION("""COMPUTED_VALUE"""),"")</f>
        <v/>
      </c>
      <c r="C1301" t="str">
        <f>IFERROR(__xludf.DUMMYFUNCTION("""COMPUTED_VALUE"""),"")</f>
        <v/>
      </c>
      <c r="D1301" t="str">
        <f>IFERROR(__xludf.DUMMYFUNCTION("""COMPUTED_VALUE"""),"")</f>
        <v/>
      </c>
      <c r="E1301" t="str">
        <f>IFERROR(__xludf.DUMMYFUNCTION("""COMPUTED_VALUE"""),"")</f>
        <v/>
      </c>
      <c r="F1301" t="str">
        <f>IFERROR(__xludf.DUMMYFUNCTION("""COMPUTED_VALUE"""),"")</f>
        <v/>
      </c>
      <c r="G1301" t="str">
        <f>IFERROR(__xludf.DUMMYFUNCTION("""COMPUTED_VALUE"""),"")</f>
        <v/>
      </c>
      <c r="H1301" t="str">
        <f>IFERROR(__xludf.DUMMYFUNCTION("""COMPUTED_VALUE"""),"")</f>
        <v/>
      </c>
      <c r="I1301" t="str">
        <f>IFERROR(__xludf.DUMMYFUNCTION("""COMPUTED_VALUE"""),"")</f>
        <v/>
      </c>
      <c r="J1301">
        <f>IFERROR(__xludf.DUMMYFUNCTION("""COMPUTED_VALUE"""),0.0)</f>
        <v>0</v>
      </c>
      <c r="L1301" s="250" t="str">
        <f>IFERROR(__xludf.DUMMYFUNCTION("""COMPUTED_VALUE"""),"")</f>
        <v/>
      </c>
      <c r="M1301" s="250" t="str">
        <f>IFERROR(__xludf.DUMMYFUNCTION("""COMPUTED_VALUE"""),"")</f>
        <v/>
      </c>
      <c r="N1301" s="250" t="str">
        <f>IFERROR(__xludf.DUMMYFUNCTION("""COMPUTED_VALUE"""),"")</f>
        <v/>
      </c>
      <c r="O1301" s="250" t="str">
        <f>IFERROR(__xludf.DUMMYFUNCTION("""COMPUTED_VALUE"""),"")</f>
        <v/>
      </c>
      <c r="P1301" s="250" t="str">
        <f>IFERROR(__xludf.DUMMYFUNCTION("""COMPUTED_VALUE"""),"")</f>
        <v/>
      </c>
      <c r="Q1301" s="250" t="str">
        <f>IFERROR(__xludf.DUMMYFUNCTION("""COMPUTED_VALUE"""),"")</f>
        <v/>
      </c>
      <c r="R1301" s="250" t="str">
        <f>IFERROR(__xludf.DUMMYFUNCTION("""COMPUTED_VALUE"""),"")</f>
        <v/>
      </c>
      <c r="U1301" s="250" t="str">
        <f>IFERROR(__xludf.DUMMYFUNCTION("""COMPUTED_VALUE"""),"#N/A")</f>
        <v>#N/A</v>
      </c>
      <c r="V1301" s="250" t="str">
        <f>IFERROR(__xludf.DUMMYFUNCTION("""COMPUTED_VALUE"""),"#N/A")</f>
        <v>#N/A</v>
      </c>
      <c r="W1301" s="250" t="str">
        <f>IFERROR(__xludf.DUMMYFUNCTION("""COMPUTED_VALUE"""),"#N/A")</f>
        <v>#N/A</v>
      </c>
      <c r="X1301" t="b">
        <f t="shared" ref="X1301:Z1301" si="2578">ISBLANK(K1301)</f>
        <v>1</v>
      </c>
      <c r="Y1301" t="b">
        <f t="shared" si="2578"/>
        <v>0</v>
      </c>
      <c r="Z1301" t="b">
        <f t="shared" si="2578"/>
        <v>0</v>
      </c>
      <c r="AA1301">
        <f t="shared" ref="AA1301:AC1301" si="2579">IF(X1301=FALSE,1,0)</f>
        <v>0</v>
      </c>
      <c r="AB1301">
        <f t="shared" si="2579"/>
        <v>1</v>
      </c>
      <c r="AC1301">
        <f t="shared" si="2579"/>
        <v>1</v>
      </c>
      <c r="AD1301">
        <f t="shared" si="6"/>
        <v>2</v>
      </c>
      <c r="AE1301">
        <f t="shared" si="7"/>
        <v>1</v>
      </c>
    </row>
    <row r="1302">
      <c r="B1302" t="str">
        <f>IFERROR(__xludf.DUMMYFUNCTION("""COMPUTED_VALUE"""),"")</f>
        <v/>
      </c>
      <c r="C1302" t="str">
        <f>IFERROR(__xludf.DUMMYFUNCTION("""COMPUTED_VALUE"""),"")</f>
        <v/>
      </c>
      <c r="D1302" t="str">
        <f>IFERROR(__xludf.DUMMYFUNCTION("""COMPUTED_VALUE"""),"")</f>
        <v/>
      </c>
      <c r="E1302" t="str">
        <f>IFERROR(__xludf.DUMMYFUNCTION("""COMPUTED_VALUE"""),"")</f>
        <v/>
      </c>
      <c r="F1302" t="str">
        <f>IFERROR(__xludf.DUMMYFUNCTION("""COMPUTED_VALUE"""),"")</f>
        <v/>
      </c>
      <c r="G1302" t="str">
        <f>IFERROR(__xludf.DUMMYFUNCTION("""COMPUTED_VALUE"""),"")</f>
        <v/>
      </c>
      <c r="H1302" t="str">
        <f>IFERROR(__xludf.DUMMYFUNCTION("""COMPUTED_VALUE"""),"")</f>
        <v/>
      </c>
      <c r="I1302" t="str">
        <f>IFERROR(__xludf.DUMMYFUNCTION("""COMPUTED_VALUE"""),"")</f>
        <v/>
      </c>
      <c r="J1302">
        <f>IFERROR(__xludf.DUMMYFUNCTION("""COMPUTED_VALUE"""),0.0)</f>
        <v>0</v>
      </c>
      <c r="L1302" s="250" t="str">
        <f>IFERROR(__xludf.DUMMYFUNCTION("""COMPUTED_VALUE"""),"")</f>
        <v/>
      </c>
      <c r="M1302" s="250" t="str">
        <f>IFERROR(__xludf.DUMMYFUNCTION("""COMPUTED_VALUE"""),"")</f>
        <v/>
      </c>
      <c r="N1302" s="250" t="str">
        <f>IFERROR(__xludf.DUMMYFUNCTION("""COMPUTED_VALUE"""),"")</f>
        <v/>
      </c>
      <c r="O1302" s="250" t="str">
        <f>IFERROR(__xludf.DUMMYFUNCTION("""COMPUTED_VALUE"""),"")</f>
        <v/>
      </c>
      <c r="P1302" s="250" t="str">
        <f>IFERROR(__xludf.DUMMYFUNCTION("""COMPUTED_VALUE"""),"")</f>
        <v/>
      </c>
      <c r="Q1302" s="250" t="str">
        <f>IFERROR(__xludf.DUMMYFUNCTION("""COMPUTED_VALUE"""),"")</f>
        <v/>
      </c>
      <c r="R1302" s="250" t="str">
        <f>IFERROR(__xludf.DUMMYFUNCTION("""COMPUTED_VALUE"""),"")</f>
        <v/>
      </c>
      <c r="U1302" s="250" t="str">
        <f>IFERROR(__xludf.DUMMYFUNCTION("""COMPUTED_VALUE"""),"#N/A")</f>
        <v>#N/A</v>
      </c>
      <c r="V1302" s="250" t="str">
        <f>IFERROR(__xludf.DUMMYFUNCTION("""COMPUTED_VALUE"""),"#N/A")</f>
        <v>#N/A</v>
      </c>
      <c r="W1302" s="250" t="str">
        <f>IFERROR(__xludf.DUMMYFUNCTION("""COMPUTED_VALUE"""),"#N/A")</f>
        <v>#N/A</v>
      </c>
      <c r="X1302" t="b">
        <f t="shared" ref="X1302:Z1302" si="2580">ISBLANK(K1302)</f>
        <v>1</v>
      </c>
      <c r="Y1302" t="b">
        <f t="shared" si="2580"/>
        <v>0</v>
      </c>
      <c r="Z1302" t="b">
        <f t="shared" si="2580"/>
        <v>0</v>
      </c>
      <c r="AA1302">
        <f t="shared" ref="AA1302:AC1302" si="2581">IF(X1302=FALSE,1,0)</f>
        <v>0</v>
      </c>
      <c r="AB1302">
        <f t="shared" si="2581"/>
        <v>1</v>
      </c>
      <c r="AC1302">
        <f t="shared" si="2581"/>
        <v>1</v>
      </c>
      <c r="AD1302">
        <f t="shared" si="6"/>
        <v>2</v>
      </c>
      <c r="AE1302">
        <f t="shared" si="7"/>
        <v>1</v>
      </c>
    </row>
    <row r="1303">
      <c r="B1303" t="str">
        <f>IFERROR(__xludf.DUMMYFUNCTION("""COMPUTED_VALUE"""),"")</f>
        <v/>
      </c>
      <c r="C1303" t="str">
        <f>IFERROR(__xludf.DUMMYFUNCTION("""COMPUTED_VALUE"""),"")</f>
        <v/>
      </c>
      <c r="D1303" t="str">
        <f>IFERROR(__xludf.DUMMYFUNCTION("""COMPUTED_VALUE"""),"")</f>
        <v/>
      </c>
      <c r="E1303" t="str">
        <f>IFERROR(__xludf.DUMMYFUNCTION("""COMPUTED_VALUE"""),"")</f>
        <v/>
      </c>
      <c r="F1303" t="str">
        <f>IFERROR(__xludf.DUMMYFUNCTION("""COMPUTED_VALUE"""),"")</f>
        <v/>
      </c>
      <c r="G1303" t="str">
        <f>IFERROR(__xludf.DUMMYFUNCTION("""COMPUTED_VALUE"""),"")</f>
        <v/>
      </c>
      <c r="H1303" t="str">
        <f>IFERROR(__xludf.DUMMYFUNCTION("""COMPUTED_VALUE"""),"")</f>
        <v/>
      </c>
      <c r="I1303" t="str">
        <f>IFERROR(__xludf.DUMMYFUNCTION("""COMPUTED_VALUE"""),"")</f>
        <v/>
      </c>
      <c r="J1303">
        <f>IFERROR(__xludf.DUMMYFUNCTION("""COMPUTED_VALUE"""),0.0)</f>
        <v>0</v>
      </c>
      <c r="L1303" s="250" t="str">
        <f>IFERROR(__xludf.DUMMYFUNCTION("""COMPUTED_VALUE"""),"")</f>
        <v/>
      </c>
      <c r="M1303" s="250" t="str">
        <f>IFERROR(__xludf.DUMMYFUNCTION("""COMPUTED_VALUE"""),"")</f>
        <v/>
      </c>
      <c r="N1303" s="250" t="str">
        <f>IFERROR(__xludf.DUMMYFUNCTION("""COMPUTED_VALUE"""),"")</f>
        <v/>
      </c>
      <c r="O1303" s="250" t="str">
        <f>IFERROR(__xludf.DUMMYFUNCTION("""COMPUTED_VALUE"""),"")</f>
        <v/>
      </c>
      <c r="P1303" s="250" t="str">
        <f>IFERROR(__xludf.DUMMYFUNCTION("""COMPUTED_VALUE"""),"")</f>
        <v/>
      </c>
      <c r="Q1303" s="250" t="str">
        <f>IFERROR(__xludf.DUMMYFUNCTION("""COMPUTED_VALUE"""),"")</f>
        <v/>
      </c>
      <c r="R1303" s="250" t="str">
        <f>IFERROR(__xludf.DUMMYFUNCTION("""COMPUTED_VALUE"""),"")</f>
        <v/>
      </c>
      <c r="U1303" s="250" t="str">
        <f>IFERROR(__xludf.DUMMYFUNCTION("""COMPUTED_VALUE"""),"#N/A")</f>
        <v>#N/A</v>
      </c>
      <c r="V1303" s="250" t="str">
        <f>IFERROR(__xludf.DUMMYFUNCTION("""COMPUTED_VALUE"""),"#N/A")</f>
        <v>#N/A</v>
      </c>
      <c r="W1303" s="250" t="str">
        <f>IFERROR(__xludf.DUMMYFUNCTION("""COMPUTED_VALUE"""),"#N/A")</f>
        <v>#N/A</v>
      </c>
      <c r="X1303" t="b">
        <f t="shared" ref="X1303:Z1303" si="2582">ISBLANK(K1303)</f>
        <v>1</v>
      </c>
      <c r="Y1303" t="b">
        <f t="shared" si="2582"/>
        <v>0</v>
      </c>
      <c r="Z1303" t="b">
        <f t="shared" si="2582"/>
        <v>0</v>
      </c>
      <c r="AA1303">
        <f t="shared" ref="AA1303:AC1303" si="2583">IF(X1303=FALSE,1,0)</f>
        <v>0</v>
      </c>
      <c r="AB1303">
        <f t="shared" si="2583"/>
        <v>1</v>
      </c>
      <c r="AC1303">
        <f t="shared" si="2583"/>
        <v>1</v>
      </c>
      <c r="AD1303">
        <f t="shared" si="6"/>
        <v>2</v>
      </c>
      <c r="AE1303">
        <f t="shared" si="7"/>
        <v>1</v>
      </c>
    </row>
    <row r="1304">
      <c r="B1304" t="str">
        <f>IFERROR(__xludf.DUMMYFUNCTION("""COMPUTED_VALUE"""),"")</f>
        <v/>
      </c>
      <c r="C1304" t="str">
        <f>IFERROR(__xludf.DUMMYFUNCTION("""COMPUTED_VALUE"""),"")</f>
        <v/>
      </c>
      <c r="D1304" t="str">
        <f>IFERROR(__xludf.DUMMYFUNCTION("""COMPUTED_VALUE"""),"")</f>
        <v/>
      </c>
      <c r="E1304" t="str">
        <f>IFERROR(__xludf.DUMMYFUNCTION("""COMPUTED_VALUE"""),"")</f>
        <v/>
      </c>
      <c r="F1304" t="str">
        <f>IFERROR(__xludf.DUMMYFUNCTION("""COMPUTED_VALUE"""),"")</f>
        <v/>
      </c>
      <c r="G1304" t="str">
        <f>IFERROR(__xludf.DUMMYFUNCTION("""COMPUTED_VALUE"""),"")</f>
        <v/>
      </c>
      <c r="H1304" t="str">
        <f>IFERROR(__xludf.DUMMYFUNCTION("""COMPUTED_VALUE"""),"")</f>
        <v/>
      </c>
      <c r="I1304" t="str">
        <f>IFERROR(__xludf.DUMMYFUNCTION("""COMPUTED_VALUE"""),"")</f>
        <v/>
      </c>
      <c r="J1304">
        <f>IFERROR(__xludf.DUMMYFUNCTION("""COMPUTED_VALUE"""),0.0)</f>
        <v>0</v>
      </c>
      <c r="L1304" s="250" t="str">
        <f>IFERROR(__xludf.DUMMYFUNCTION("""COMPUTED_VALUE"""),"")</f>
        <v/>
      </c>
      <c r="M1304" s="250" t="str">
        <f>IFERROR(__xludf.DUMMYFUNCTION("""COMPUTED_VALUE"""),"")</f>
        <v/>
      </c>
      <c r="N1304" s="250" t="str">
        <f>IFERROR(__xludf.DUMMYFUNCTION("""COMPUTED_VALUE"""),"")</f>
        <v/>
      </c>
      <c r="O1304" s="250" t="str">
        <f>IFERROR(__xludf.DUMMYFUNCTION("""COMPUTED_VALUE"""),"")</f>
        <v/>
      </c>
      <c r="P1304" s="250" t="str">
        <f>IFERROR(__xludf.DUMMYFUNCTION("""COMPUTED_VALUE"""),"")</f>
        <v/>
      </c>
      <c r="Q1304" s="250" t="str">
        <f>IFERROR(__xludf.DUMMYFUNCTION("""COMPUTED_VALUE"""),"")</f>
        <v/>
      </c>
      <c r="R1304" s="250" t="str">
        <f>IFERROR(__xludf.DUMMYFUNCTION("""COMPUTED_VALUE"""),"")</f>
        <v/>
      </c>
      <c r="U1304" s="250" t="str">
        <f>IFERROR(__xludf.DUMMYFUNCTION("""COMPUTED_VALUE"""),"#N/A")</f>
        <v>#N/A</v>
      </c>
      <c r="V1304" s="250" t="str">
        <f>IFERROR(__xludf.DUMMYFUNCTION("""COMPUTED_VALUE"""),"#N/A")</f>
        <v>#N/A</v>
      </c>
      <c r="W1304" s="250" t="str">
        <f>IFERROR(__xludf.DUMMYFUNCTION("""COMPUTED_VALUE"""),"#N/A")</f>
        <v>#N/A</v>
      </c>
      <c r="X1304" t="b">
        <f t="shared" ref="X1304:Z1304" si="2584">ISBLANK(K1304)</f>
        <v>1</v>
      </c>
      <c r="Y1304" t="b">
        <f t="shared" si="2584"/>
        <v>0</v>
      </c>
      <c r="Z1304" t="b">
        <f t="shared" si="2584"/>
        <v>0</v>
      </c>
      <c r="AA1304">
        <f t="shared" ref="AA1304:AC1304" si="2585">IF(X1304=FALSE,1,0)</f>
        <v>0</v>
      </c>
      <c r="AB1304">
        <f t="shared" si="2585"/>
        <v>1</v>
      </c>
      <c r="AC1304">
        <f t="shared" si="2585"/>
        <v>1</v>
      </c>
      <c r="AD1304">
        <f t="shared" si="6"/>
        <v>2</v>
      </c>
      <c r="AE1304">
        <f t="shared" si="7"/>
        <v>1</v>
      </c>
    </row>
    <row r="1305">
      <c r="B1305" t="str">
        <f>IFERROR(__xludf.DUMMYFUNCTION("""COMPUTED_VALUE"""),"")</f>
        <v/>
      </c>
      <c r="C1305" t="str">
        <f>IFERROR(__xludf.DUMMYFUNCTION("""COMPUTED_VALUE"""),"")</f>
        <v/>
      </c>
      <c r="D1305" t="str">
        <f>IFERROR(__xludf.DUMMYFUNCTION("""COMPUTED_VALUE"""),"")</f>
        <v/>
      </c>
      <c r="E1305" t="str">
        <f>IFERROR(__xludf.DUMMYFUNCTION("""COMPUTED_VALUE"""),"")</f>
        <v/>
      </c>
      <c r="F1305" t="str">
        <f>IFERROR(__xludf.DUMMYFUNCTION("""COMPUTED_VALUE"""),"")</f>
        <v/>
      </c>
      <c r="G1305" t="str">
        <f>IFERROR(__xludf.DUMMYFUNCTION("""COMPUTED_VALUE"""),"")</f>
        <v/>
      </c>
      <c r="H1305" t="str">
        <f>IFERROR(__xludf.DUMMYFUNCTION("""COMPUTED_VALUE"""),"")</f>
        <v/>
      </c>
      <c r="I1305" t="str">
        <f>IFERROR(__xludf.DUMMYFUNCTION("""COMPUTED_VALUE"""),"")</f>
        <v/>
      </c>
      <c r="J1305">
        <f>IFERROR(__xludf.DUMMYFUNCTION("""COMPUTED_VALUE"""),0.0)</f>
        <v>0</v>
      </c>
      <c r="L1305" s="250" t="str">
        <f>IFERROR(__xludf.DUMMYFUNCTION("""COMPUTED_VALUE"""),"")</f>
        <v/>
      </c>
      <c r="M1305" s="250" t="str">
        <f>IFERROR(__xludf.DUMMYFUNCTION("""COMPUTED_VALUE"""),"")</f>
        <v/>
      </c>
      <c r="N1305" s="250" t="str">
        <f>IFERROR(__xludf.DUMMYFUNCTION("""COMPUTED_VALUE"""),"")</f>
        <v/>
      </c>
      <c r="O1305" s="250" t="str">
        <f>IFERROR(__xludf.DUMMYFUNCTION("""COMPUTED_VALUE"""),"")</f>
        <v/>
      </c>
      <c r="P1305" s="250" t="str">
        <f>IFERROR(__xludf.DUMMYFUNCTION("""COMPUTED_VALUE"""),"")</f>
        <v/>
      </c>
      <c r="Q1305" s="250" t="str">
        <f>IFERROR(__xludf.DUMMYFUNCTION("""COMPUTED_VALUE"""),"")</f>
        <v/>
      </c>
      <c r="R1305" s="250" t="str">
        <f>IFERROR(__xludf.DUMMYFUNCTION("""COMPUTED_VALUE"""),"")</f>
        <v/>
      </c>
      <c r="U1305" s="250" t="str">
        <f>IFERROR(__xludf.DUMMYFUNCTION("""COMPUTED_VALUE"""),"#N/A")</f>
        <v>#N/A</v>
      </c>
      <c r="V1305" s="250" t="str">
        <f>IFERROR(__xludf.DUMMYFUNCTION("""COMPUTED_VALUE"""),"#N/A")</f>
        <v>#N/A</v>
      </c>
      <c r="W1305" s="250" t="str">
        <f>IFERROR(__xludf.DUMMYFUNCTION("""COMPUTED_VALUE"""),"#N/A")</f>
        <v>#N/A</v>
      </c>
      <c r="X1305" t="b">
        <f t="shared" ref="X1305:Z1305" si="2586">ISBLANK(K1305)</f>
        <v>1</v>
      </c>
      <c r="Y1305" t="b">
        <f t="shared" si="2586"/>
        <v>0</v>
      </c>
      <c r="Z1305" t="b">
        <f t="shared" si="2586"/>
        <v>0</v>
      </c>
      <c r="AA1305">
        <f t="shared" ref="AA1305:AC1305" si="2587">IF(X1305=FALSE,1,0)</f>
        <v>0</v>
      </c>
      <c r="AB1305">
        <f t="shared" si="2587"/>
        <v>1</v>
      </c>
      <c r="AC1305">
        <f t="shared" si="2587"/>
        <v>1</v>
      </c>
      <c r="AD1305">
        <f t="shared" si="6"/>
        <v>2</v>
      </c>
      <c r="AE1305">
        <f t="shared" si="7"/>
        <v>1</v>
      </c>
    </row>
    <row r="1306">
      <c r="B1306" t="str">
        <f>IFERROR(__xludf.DUMMYFUNCTION("""COMPUTED_VALUE"""),"")</f>
        <v/>
      </c>
      <c r="C1306" t="str">
        <f>IFERROR(__xludf.DUMMYFUNCTION("""COMPUTED_VALUE"""),"")</f>
        <v/>
      </c>
      <c r="D1306" t="str">
        <f>IFERROR(__xludf.DUMMYFUNCTION("""COMPUTED_VALUE"""),"")</f>
        <v/>
      </c>
      <c r="E1306" t="str">
        <f>IFERROR(__xludf.DUMMYFUNCTION("""COMPUTED_VALUE"""),"")</f>
        <v/>
      </c>
      <c r="F1306" t="str">
        <f>IFERROR(__xludf.DUMMYFUNCTION("""COMPUTED_VALUE"""),"")</f>
        <v/>
      </c>
      <c r="G1306" t="str">
        <f>IFERROR(__xludf.DUMMYFUNCTION("""COMPUTED_VALUE"""),"")</f>
        <v/>
      </c>
      <c r="H1306" t="str">
        <f>IFERROR(__xludf.DUMMYFUNCTION("""COMPUTED_VALUE"""),"")</f>
        <v/>
      </c>
      <c r="I1306" t="str">
        <f>IFERROR(__xludf.DUMMYFUNCTION("""COMPUTED_VALUE"""),"")</f>
        <v/>
      </c>
      <c r="J1306">
        <f>IFERROR(__xludf.DUMMYFUNCTION("""COMPUTED_VALUE"""),0.0)</f>
        <v>0</v>
      </c>
      <c r="L1306" s="250" t="str">
        <f>IFERROR(__xludf.DUMMYFUNCTION("""COMPUTED_VALUE"""),"")</f>
        <v/>
      </c>
      <c r="M1306" s="250" t="str">
        <f>IFERROR(__xludf.DUMMYFUNCTION("""COMPUTED_VALUE"""),"")</f>
        <v/>
      </c>
      <c r="N1306" s="250" t="str">
        <f>IFERROR(__xludf.DUMMYFUNCTION("""COMPUTED_VALUE"""),"")</f>
        <v/>
      </c>
      <c r="O1306" s="250" t="str">
        <f>IFERROR(__xludf.DUMMYFUNCTION("""COMPUTED_VALUE"""),"")</f>
        <v/>
      </c>
      <c r="P1306" s="250" t="str">
        <f>IFERROR(__xludf.DUMMYFUNCTION("""COMPUTED_VALUE"""),"")</f>
        <v/>
      </c>
      <c r="Q1306" s="250" t="str">
        <f>IFERROR(__xludf.DUMMYFUNCTION("""COMPUTED_VALUE"""),"")</f>
        <v/>
      </c>
      <c r="R1306" s="250" t="str">
        <f>IFERROR(__xludf.DUMMYFUNCTION("""COMPUTED_VALUE"""),"")</f>
        <v/>
      </c>
      <c r="U1306" s="250" t="str">
        <f>IFERROR(__xludf.DUMMYFUNCTION("""COMPUTED_VALUE"""),"#N/A")</f>
        <v>#N/A</v>
      </c>
      <c r="V1306" s="250" t="str">
        <f>IFERROR(__xludf.DUMMYFUNCTION("""COMPUTED_VALUE"""),"#N/A")</f>
        <v>#N/A</v>
      </c>
      <c r="W1306" s="250" t="str">
        <f>IFERROR(__xludf.DUMMYFUNCTION("""COMPUTED_VALUE"""),"#N/A")</f>
        <v>#N/A</v>
      </c>
      <c r="X1306" t="b">
        <f t="shared" ref="X1306:Z1306" si="2588">ISBLANK(K1306)</f>
        <v>1</v>
      </c>
      <c r="Y1306" t="b">
        <f t="shared" si="2588"/>
        <v>0</v>
      </c>
      <c r="Z1306" t="b">
        <f t="shared" si="2588"/>
        <v>0</v>
      </c>
      <c r="AA1306">
        <f t="shared" ref="AA1306:AC1306" si="2589">IF(X1306=FALSE,1,0)</f>
        <v>0</v>
      </c>
      <c r="AB1306">
        <f t="shared" si="2589"/>
        <v>1</v>
      </c>
      <c r="AC1306">
        <f t="shared" si="2589"/>
        <v>1</v>
      </c>
      <c r="AD1306">
        <f t="shared" si="6"/>
        <v>2</v>
      </c>
      <c r="AE1306">
        <f t="shared" si="7"/>
        <v>1</v>
      </c>
    </row>
    <row r="1307">
      <c r="B1307" t="str">
        <f>IFERROR(__xludf.DUMMYFUNCTION("""COMPUTED_VALUE"""),"")</f>
        <v/>
      </c>
      <c r="C1307" t="str">
        <f>IFERROR(__xludf.DUMMYFUNCTION("""COMPUTED_VALUE"""),"")</f>
        <v/>
      </c>
      <c r="D1307" t="str">
        <f>IFERROR(__xludf.DUMMYFUNCTION("""COMPUTED_VALUE"""),"")</f>
        <v/>
      </c>
      <c r="E1307" t="str">
        <f>IFERROR(__xludf.DUMMYFUNCTION("""COMPUTED_VALUE"""),"")</f>
        <v/>
      </c>
      <c r="F1307" t="str">
        <f>IFERROR(__xludf.DUMMYFUNCTION("""COMPUTED_VALUE"""),"")</f>
        <v/>
      </c>
      <c r="G1307" t="str">
        <f>IFERROR(__xludf.DUMMYFUNCTION("""COMPUTED_VALUE"""),"")</f>
        <v/>
      </c>
      <c r="H1307" t="str">
        <f>IFERROR(__xludf.DUMMYFUNCTION("""COMPUTED_VALUE"""),"")</f>
        <v/>
      </c>
      <c r="I1307" t="str">
        <f>IFERROR(__xludf.DUMMYFUNCTION("""COMPUTED_VALUE"""),"")</f>
        <v/>
      </c>
      <c r="J1307">
        <f>IFERROR(__xludf.DUMMYFUNCTION("""COMPUTED_VALUE"""),0.0)</f>
        <v>0</v>
      </c>
      <c r="L1307" s="250" t="str">
        <f>IFERROR(__xludf.DUMMYFUNCTION("""COMPUTED_VALUE"""),"")</f>
        <v/>
      </c>
      <c r="M1307" s="250" t="str">
        <f>IFERROR(__xludf.DUMMYFUNCTION("""COMPUTED_VALUE"""),"")</f>
        <v/>
      </c>
      <c r="N1307" s="250" t="str">
        <f>IFERROR(__xludf.DUMMYFUNCTION("""COMPUTED_VALUE"""),"")</f>
        <v/>
      </c>
      <c r="O1307" s="250" t="str">
        <f>IFERROR(__xludf.DUMMYFUNCTION("""COMPUTED_VALUE"""),"")</f>
        <v/>
      </c>
      <c r="P1307" s="250" t="str">
        <f>IFERROR(__xludf.DUMMYFUNCTION("""COMPUTED_VALUE"""),"")</f>
        <v/>
      </c>
      <c r="Q1307" s="250" t="str">
        <f>IFERROR(__xludf.DUMMYFUNCTION("""COMPUTED_VALUE"""),"")</f>
        <v/>
      </c>
      <c r="R1307" s="250" t="str">
        <f>IFERROR(__xludf.DUMMYFUNCTION("""COMPUTED_VALUE"""),"")</f>
        <v/>
      </c>
      <c r="U1307" s="250" t="str">
        <f>IFERROR(__xludf.DUMMYFUNCTION("""COMPUTED_VALUE"""),"#N/A")</f>
        <v>#N/A</v>
      </c>
      <c r="V1307" s="250" t="str">
        <f>IFERROR(__xludf.DUMMYFUNCTION("""COMPUTED_VALUE"""),"#N/A")</f>
        <v>#N/A</v>
      </c>
      <c r="W1307" s="250" t="str">
        <f>IFERROR(__xludf.DUMMYFUNCTION("""COMPUTED_VALUE"""),"#N/A")</f>
        <v>#N/A</v>
      </c>
      <c r="X1307" t="b">
        <f t="shared" ref="X1307:Z1307" si="2590">ISBLANK(K1307)</f>
        <v>1</v>
      </c>
      <c r="Y1307" t="b">
        <f t="shared" si="2590"/>
        <v>0</v>
      </c>
      <c r="Z1307" t="b">
        <f t="shared" si="2590"/>
        <v>0</v>
      </c>
      <c r="AA1307">
        <f t="shared" ref="AA1307:AC1307" si="2591">IF(X1307=FALSE,1,0)</f>
        <v>0</v>
      </c>
      <c r="AB1307">
        <f t="shared" si="2591"/>
        <v>1</v>
      </c>
      <c r="AC1307">
        <f t="shared" si="2591"/>
        <v>1</v>
      </c>
      <c r="AD1307">
        <f t="shared" si="6"/>
        <v>2</v>
      </c>
      <c r="AE1307">
        <f t="shared" si="7"/>
        <v>1</v>
      </c>
    </row>
    <row r="1308">
      <c r="B1308" t="str">
        <f>IFERROR(__xludf.DUMMYFUNCTION("""COMPUTED_VALUE"""),"")</f>
        <v/>
      </c>
      <c r="C1308" t="str">
        <f>IFERROR(__xludf.DUMMYFUNCTION("""COMPUTED_VALUE"""),"")</f>
        <v/>
      </c>
      <c r="D1308" t="str">
        <f>IFERROR(__xludf.DUMMYFUNCTION("""COMPUTED_VALUE"""),"")</f>
        <v/>
      </c>
      <c r="E1308" t="str">
        <f>IFERROR(__xludf.DUMMYFUNCTION("""COMPUTED_VALUE"""),"")</f>
        <v/>
      </c>
      <c r="F1308" t="str">
        <f>IFERROR(__xludf.DUMMYFUNCTION("""COMPUTED_VALUE"""),"")</f>
        <v/>
      </c>
      <c r="G1308" t="str">
        <f>IFERROR(__xludf.DUMMYFUNCTION("""COMPUTED_VALUE"""),"")</f>
        <v/>
      </c>
      <c r="H1308" t="str">
        <f>IFERROR(__xludf.DUMMYFUNCTION("""COMPUTED_VALUE"""),"")</f>
        <v/>
      </c>
      <c r="I1308" t="str">
        <f>IFERROR(__xludf.DUMMYFUNCTION("""COMPUTED_VALUE"""),"")</f>
        <v/>
      </c>
      <c r="J1308">
        <f>IFERROR(__xludf.DUMMYFUNCTION("""COMPUTED_VALUE"""),0.0)</f>
        <v>0</v>
      </c>
      <c r="L1308" s="250" t="str">
        <f>IFERROR(__xludf.DUMMYFUNCTION("""COMPUTED_VALUE"""),"")</f>
        <v/>
      </c>
      <c r="M1308" s="250" t="str">
        <f>IFERROR(__xludf.DUMMYFUNCTION("""COMPUTED_VALUE"""),"")</f>
        <v/>
      </c>
      <c r="N1308" s="250" t="str">
        <f>IFERROR(__xludf.DUMMYFUNCTION("""COMPUTED_VALUE"""),"")</f>
        <v/>
      </c>
      <c r="O1308" s="250" t="str">
        <f>IFERROR(__xludf.DUMMYFUNCTION("""COMPUTED_VALUE"""),"")</f>
        <v/>
      </c>
      <c r="P1308" s="250" t="str">
        <f>IFERROR(__xludf.DUMMYFUNCTION("""COMPUTED_VALUE"""),"")</f>
        <v/>
      </c>
      <c r="Q1308" s="250" t="str">
        <f>IFERROR(__xludf.DUMMYFUNCTION("""COMPUTED_VALUE"""),"")</f>
        <v/>
      </c>
      <c r="R1308" s="250" t="str">
        <f>IFERROR(__xludf.DUMMYFUNCTION("""COMPUTED_VALUE"""),"")</f>
        <v/>
      </c>
      <c r="U1308" s="250" t="str">
        <f>IFERROR(__xludf.DUMMYFUNCTION("""COMPUTED_VALUE"""),"#N/A")</f>
        <v>#N/A</v>
      </c>
      <c r="V1308" s="250" t="str">
        <f>IFERROR(__xludf.DUMMYFUNCTION("""COMPUTED_VALUE"""),"#N/A")</f>
        <v>#N/A</v>
      </c>
      <c r="W1308" s="250" t="str">
        <f>IFERROR(__xludf.DUMMYFUNCTION("""COMPUTED_VALUE"""),"#N/A")</f>
        <v>#N/A</v>
      </c>
      <c r="X1308" t="b">
        <f t="shared" ref="X1308:Z1308" si="2592">ISBLANK(K1308)</f>
        <v>1</v>
      </c>
      <c r="Y1308" t="b">
        <f t="shared" si="2592"/>
        <v>0</v>
      </c>
      <c r="Z1308" t="b">
        <f t="shared" si="2592"/>
        <v>0</v>
      </c>
      <c r="AA1308">
        <f t="shared" ref="AA1308:AC1308" si="2593">IF(X1308=FALSE,1,0)</f>
        <v>0</v>
      </c>
      <c r="AB1308">
        <f t="shared" si="2593"/>
        <v>1</v>
      </c>
      <c r="AC1308">
        <f t="shared" si="2593"/>
        <v>1</v>
      </c>
      <c r="AD1308">
        <f t="shared" si="6"/>
        <v>2</v>
      </c>
      <c r="AE1308">
        <f t="shared" si="7"/>
        <v>1</v>
      </c>
    </row>
    <row r="1309">
      <c r="B1309" t="str">
        <f>IFERROR(__xludf.DUMMYFUNCTION("""COMPUTED_VALUE"""),"")</f>
        <v/>
      </c>
      <c r="C1309" t="str">
        <f>IFERROR(__xludf.DUMMYFUNCTION("""COMPUTED_VALUE"""),"")</f>
        <v/>
      </c>
      <c r="D1309" t="str">
        <f>IFERROR(__xludf.DUMMYFUNCTION("""COMPUTED_VALUE"""),"")</f>
        <v/>
      </c>
      <c r="E1309" t="str">
        <f>IFERROR(__xludf.DUMMYFUNCTION("""COMPUTED_VALUE"""),"")</f>
        <v/>
      </c>
      <c r="F1309" t="str">
        <f>IFERROR(__xludf.DUMMYFUNCTION("""COMPUTED_VALUE"""),"")</f>
        <v/>
      </c>
      <c r="G1309" t="str">
        <f>IFERROR(__xludf.DUMMYFUNCTION("""COMPUTED_VALUE"""),"")</f>
        <v/>
      </c>
      <c r="H1309" t="str">
        <f>IFERROR(__xludf.DUMMYFUNCTION("""COMPUTED_VALUE"""),"")</f>
        <v/>
      </c>
      <c r="I1309" t="str">
        <f>IFERROR(__xludf.DUMMYFUNCTION("""COMPUTED_VALUE"""),"")</f>
        <v/>
      </c>
      <c r="J1309">
        <f>IFERROR(__xludf.DUMMYFUNCTION("""COMPUTED_VALUE"""),0.0)</f>
        <v>0</v>
      </c>
      <c r="L1309" s="250" t="str">
        <f>IFERROR(__xludf.DUMMYFUNCTION("""COMPUTED_VALUE"""),"")</f>
        <v/>
      </c>
      <c r="M1309" s="250" t="str">
        <f>IFERROR(__xludf.DUMMYFUNCTION("""COMPUTED_VALUE"""),"")</f>
        <v/>
      </c>
      <c r="N1309" s="250" t="str">
        <f>IFERROR(__xludf.DUMMYFUNCTION("""COMPUTED_VALUE"""),"")</f>
        <v/>
      </c>
      <c r="O1309" s="250" t="str">
        <f>IFERROR(__xludf.DUMMYFUNCTION("""COMPUTED_VALUE"""),"")</f>
        <v/>
      </c>
      <c r="P1309" s="250" t="str">
        <f>IFERROR(__xludf.DUMMYFUNCTION("""COMPUTED_VALUE"""),"")</f>
        <v/>
      </c>
      <c r="Q1309" s="250" t="str">
        <f>IFERROR(__xludf.DUMMYFUNCTION("""COMPUTED_VALUE"""),"")</f>
        <v/>
      </c>
      <c r="R1309" s="250" t="str">
        <f>IFERROR(__xludf.DUMMYFUNCTION("""COMPUTED_VALUE"""),"")</f>
        <v/>
      </c>
      <c r="U1309" s="250" t="str">
        <f>IFERROR(__xludf.DUMMYFUNCTION("""COMPUTED_VALUE"""),"#N/A")</f>
        <v>#N/A</v>
      </c>
      <c r="V1309" s="250" t="str">
        <f>IFERROR(__xludf.DUMMYFUNCTION("""COMPUTED_VALUE"""),"#N/A")</f>
        <v>#N/A</v>
      </c>
      <c r="W1309" s="250" t="str">
        <f>IFERROR(__xludf.DUMMYFUNCTION("""COMPUTED_VALUE"""),"#N/A")</f>
        <v>#N/A</v>
      </c>
      <c r="X1309" t="b">
        <f t="shared" ref="X1309:Z1309" si="2594">ISBLANK(K1309)</f>
        <v>1</v>
      </c>
      <c r="Y1309" t="b">
        <f t="shared" si="2594"/>
        <v>0</v>
      </c>
      <c r="Z1309" t="b">
        <f t="shared" si="2594"/>
        <v>0</v>
      </c>
      <c r="AA1309">
        <f t="shared" ref="AA1309:AC1309" si="2595">IF(X1309=FALSE,1,0)</f>
        <v>0</v>
      </c>
      <c r="AB1309">
        <f t="shared" si="2595"/>
        <v>1</v>
      </c>
      <c r="AC1309">
        <f t="shared" si="2595"/>
        <v>1</v>
      </c>
      <c r="AD1309">
        <f t="shared" si="6"/>
        <v>2</v>
      </c>
      <c r="AE1309">
        <f t="shared" si="7"/>
        <v>1</v>
      </c>
    </row>
    <row r="1310">
      <c r="B1310" t="str">
        <f>IFERROR(__xludf.DUMMYFUNCTION("""COMPUTED_VALUE"""),"")</f>
        <v/>
      </c>
      <c r="C1310" t="str">
        <f>IFERROR(__xludf.DUMMYFUNCTION("""COMPUTED_VALUE"""),"")</f>
        <v/>
      </c>
      <c r="D1310" t="str">
        <f>IFERROR(__xludf.DUMMYFUNCTION("""COMPUTED_VALUE"""),"")</f>
        <v/>
      </c>
      <c r="E1310" t="str">
        <f>IFERROR(__xludf.DUMMYFUNCTION("""COMPUTED_VALUE"""),"")</f>
        <v/>
      </c>
      <c r="F1310" t="str">
        <f>IFERROR(__xludf.DUMMYFUNCTION("""COMPUTED_VALUE"""),"")</f>
        <v/>
      </c>
      <c r="G1310" t="str">
        <f>IFERROR(__xludf.DUMMYFUNCTION("""COMPUTED_VALUE"""),"")</f>
        <v/>
      </c>
      <c r="H1310" t="str">
        <f>IFERROR(__xludf.DUMMYFUNCTION("""COMPUTED_VALUE"""),"")</f>
        <v/>
      </c>
      <c r="I1310" t="str">
        <f>IFERROR(__xludf.DUMMYFUNCTION("""COMPUTED_VALUE"""),"")</f>
        <v/>
      </c>
      <c r="J1310">
        <f>IFERROR(__xludf.DUMMYFUNCTION("""COMPUTED_VALUE"""),0.0)</f>
        <v>0</v>
      </c>
      <c r="L1310" s="250" t="str">
        <f>IFERROR(__xludf.DUMMYFUNCTION("""COMPUTED_VALUE"""),"")</f>
        <v/>
      </c>
      <c r="M1310" s="250" t="str">
        <f>IFERROR(__xludf.DUMMYFUNCTION("""COMPUTED_VALUE"""),"")</f>
        <v/>
      </c>
      <c r="N1310" s="250" t="str">
        <f>IFERROR(__xludf.DUMMYFUNCTION("""COMPUTED_VALUE"""),"")</f>
        <v/>
      </c>
      <c r="O1310" s="250" t="str">
        <f>IFERROR(__xludf.DUMMYFUNCTION("""COMPUTED_VALUE"""),"")</f>
        <v/>
      </c>
      <c r="P1310" s="250" t="str">
        <f>IFERROR(__xludf.DUMMYFUNCTION("""COMPUTED_VALUE"""),"")</f>
        <v/>
      </c>
      <c r="Q1310" s="250" t="str">
        <f>IFERROR(__xludf.DUMMYFUNCTION("""COMPUTED_VALUE"""),"")</f>
        <v/>
      </c>
      <c r="R1310" s="250" t="str">
        <f>IFERROR(__xludf.DUMMYFUNCTION("""COMPUTED_VALUE"""),"")</f>
        <v/>
      </c>
      <c r="U1310" s="250" t="str">
        <f>IFERROR(__xludf.DUMMYFUNCTION("""COMPUTED_VALUE"""),"#N/A")</f>
        <v>#N/A</v>
      </c>
      <c r="V1310" s="250" t="str">
        <f>IFERROR(__xludf.DUMMYFUNCTION("""COMPUTED_VALUE"""),"#N/A")</f>
        <v>#N/A</v>
      </c>
      <c r="W1310" s="250" t="str">
        <f>IFERROR(__xludf.DUMMYFUNCTION("""COMPUTED_VALUE"""),"#N/A")</f>
        <v>#N/A</v>
      </c>
      <c r="X1310" t="b">
        <f t="shared" ref="X1310:Z1310" si="2596">ISBLANK(K1310)</f>
        <v>1</v>
      </c>
      <c r="Y1310" t="b">
        <f t="shared" si="2596"/>
        <v>0</v>
      </c>
      <c r="Z1310" t="b">
        <f t="shared" si="2596"/>
        <v>0</v>
      </c>
      <c r="AA1310">
        <f t="shared" ref="AA1310:AC1310" si="2597">IF(X1310=FALSE,1,0)</f>
        <v>0</v>
      </c>
      <c r="AB1310">
        <f t="shared" si="2597"/>
        <v>1</v>
      </c>
      <c r="AC1310">
        <f t="shared" si="2597"/>
        <v>1</v>
      </c>
      <c r="AD1310">
        <f t="shared" si="6"/>
        <v>2</v>
      </c>
      <c r="AE1310">
        <f t="shared" si="7"/>
        <v>1</v>
      </c>
    </row>
    <row r="1311">
      <c r="B1311" t="str">
        <f>IFERROR(__xludf.DUMMYFUNCTION("""COMPUTED_VALUE"""),"")</f>
        <v/>
      </c>
      <c r="C1311" t="str">
        <f>IFERROR(__xludf.DUMMYFUNCTION("""COMPUTED_VALUE"""),"")</f>
        <v/>
      </c>
      <c r="D1311" t="str">
        <f>IFERROR(__xludf.DUMMYFUNCTION("""COMPUTED_VALUE"""),"")</f>
        <v/>
      </c>
      <c r="E1311" t="str">
        <f>IFERROR(__xludf.DUMMYFUNCTION("""COMPUTED_VALUE"""),"")</f>
        <v/>
      </c>
      <c r="F1311" t="str">
        <f>IFERROR(__xludf.DUMMYFUNCTION("""COMPUTED_VALUE"""),"")</f>
        <v/>
      </c>
      <c r="G1311" t="str">
        <f>IFERROR(__xludf.DUMMYFUNCTION("""COMPUTED_VALUE"""),"")</f>
        <v/>
      </c>
      <c r="H1311" t="str">
        <f>IFERROR(__xludf.DUMMYFUNCTION("""COMPUTED_VALUE"""),"")</f>
        <v/>
      </c>
      <c r="I1311" t="str">
        <f>IFERROR(__xludf.DUMMYFUNCTION("""COMPUTED_VALUE"""),"")</f>
        <v/>
      </c>
      <c r="J1311">
        <f>IFERROR(__xludf.DUMMYFUNCTION("""COMPUTED_VALUE"""),0.0)</f>
        <v>0</v>
      </c>
      <c r="L1311" s="250" t="str">
        <f>IFERROR(__xludf.DUMMYFUNCTION("""COMPUTED_VALUE"""),"")</f>
        <v/>
      </c>
      <c r="M1311" s="250" t="str">
        <f>IFERROR(__xludf.DUMMYFUNCTION("""COMPUTED_VALUE"""),"")</f>
        <v/>
      </c>
      <c r="N1311" s="250" t="str">
        <f>IFERROR(__xludf.DUMMYFUNCTION("""COMPUTED_VALUE"""),"")</f>
        <v/>
      </c>
      <c r="O1311" s="250" t="str">
        <f>IFERROR(__xludf.DUMMYFUNCTION("""COMPUTED_VALUE"""),"")</f>
        <v/>
      </c>
      <c r="P1311" s="250" t="str">
        <f>IFERROR(__xludf.DUMMYFUNCTION("""COMPUTED_VALUE"""),"")</f>
        <v/>
      </c>
      <c r="Q1311" s="250" t="str">
        <f>IFERROR(__xludf.DUMMYFUNCTION("""COMPUTED_VALUE"""),"")</f>
        <v/>
      </c>
      <c r="R1311" s="250" t="str">
        <f>IFERROR(__xludf.DUMMYFUNCTION("""COMPUTED_VALUE"""),"")</f>
        <v/>
      </c>
      <c r="U1311" s="250" t="str">
        <f>IFERROR(__xludf.DUMMYFUNCTION("""COMPUTED_VALUE"""),"#N/A")</f>
        <v>#N/A</v>
      </c>
      <c r="V1311" s="250" t="str">
        <f>IFERROR(__xludf.DUMMYFUNCTION("""COMPUTED_VALUE"""),"#N/A")</f>
        <v>#N/A</v>
      </c>
      <c r="W1311" s="250" t="str">
        <f>IFERROR(__xludf.DUMMYFUNCTION("""COMPUTED_VALUE"""),"#N/A")</f>
        <v>#N/A</v>
      </c>
      <c r="X1311" t="b">
        <f t="shared" ref="X1311:Z1311" si="2598">ISBLANK(K1311)</f>
        <v>1</v>
      </c>
      <c r="Y1311" t="b">
        <f t="shared" si="2598"/>
        <v>0</v>
      </c>
      <c r="Z1311" t="b">
        <f t="shared" si="2598"/>
        <v>0</v>
      </c>
      <c r="AA1311">
        <f t="shared" ref="AA1311:AC1311" si="2599">IF(X1311=FALSE,1,0)</f>
        <v>0</v>
      </c>
      <c r="AB1311">
        <f t="shared" si="2599"/>
        <v>1</v>
      </c>
      <c r="AC1311">
        <f t="shared" si="2599"/>
        <v>1</v>
      </c>
      <c r="AD1311">
        <f t="shared" si="6"/>
        <v>2</v>
      </c>
      <c r="AE1311">
        <f t="shared" si="7"/>
        <v>1</v>
      </c>
    </row>
    <row r="1312">
      <c r="B1312" t="str">
        <f>IFERROR(__xludf.DUMMYFUNCTION("""COMPUTED_VALUE"""),"")</f>
        <v/>
      </c>
      <c r="C1312" t="str">
        <f>IFERROR(__xludf.DUMMYFUNCTION("""COMPUTED_VALUE"""),"")</f>
        <v/>
      </c>
      <c r="D1312" t="str">
        <f>IFERROR(__xludf.DUMMYFUNCTION("""COMPUTED_VALUE"""),"")</f>
        <v/>
      </c>
      <c r="E1312" t="str">
        <f>IFERROR(__xludf.DUMMYFUNCTION("""COMPUTED_VALUE"""),"")</f>
        <v/>
      </c>
      <c r="F1312" t="str">
        <f>IFERROR(__xludf.DUMMYFUNCTION("""COMPUTED_VALUE"""),"")</f>
        <v/>
      </c>
      <c r="G1312" t="str">
        <f>IFERROR(__xludf.DUMMYFUNCTION("""COMPUTED_VALUE"""),"")</f>
        <v/>
      </c>
      <c r="H1312" t="str">
        <f>IFERROR(__xludf.DUMMYFUNCTION("""COMPUTED_VALUE"""),"")</f>
        <v/>
      </c>
      <c r="I1312" t="str">
        <f>IFERROR(__xludf.DUMMYFUNCTION("""COMPUTED_VALUE"""),"")</f>
        <v/>
      </c>
      <c r="J1312">
        <f>IFERROR(__xludf.DUMMYFUNCTION("""COMPUTED_VALUE"""),0.0)</f>
        <v>0</v>
      </c>
      <c r="L1312" s="250" t="str">
        <f>IFERROR(__xludf.DUMMYFUNCTION("""COMPUTED_VALUE"""),"")</f>
        <v/>
      </c>
      <c r="M1312" s="250" t="str">
        <f>IFERROR(__xludf.DUMMYFUNCTION("""COMPUTED_VALUE"""),"")</f>
        <v/>
      </c>
      <c r="N1312" s="250" t="str">
        <f>IFERROR(__xludf.DUMMYFUNCTION("""COMPUTED_VALUE"""),"")</f>
        <v/>
      </c>
      <c r="O1312" s="250" t="str">
        <f>IFERROR(__xludf.DUMMYFUNCTION("""COMPUTED_VALUE"""),"")</f>
        <v/>
      </c>
      <c r="P1312" s="250" t="str">
        <f>IFERROR(__xludf.DUMMYFUNCTION("""COMPUTED_VALUE"""),"")</f>
        <v/>
      </c>
      <c r="Q1312" s="250" t="str">
        <f>IFERROR(__xludf.DUMMYFUNCTION("""COMPUTED_VALUE"""),"")</f>
        <v/>
      </c>
      <c r="R1312" s="250" t="str">
        <f>IFERROR(__xludf.DUMMYFUNCTION("""COMPUTED_VALUE"""),"")</f>
        <v/>
      </c>
      <c r="U1312" s="250" t="str">
        <f>IFERROR(__xludf.DUMMYFUNCTION("""COMPUTED_VALUE"""),"#N/A")</f>
        <v>#N/A</v>
      </c>
      <c r="V1312" s="250" t="str">
        <f>IFERROR(__xludf.DUMMYFUNCTION("""COMPUTED_VALUE"""),"#N/A")</f>
        <v>#N/A</v>
      </c>
      <c r="W1312" s="250" t="str">
        <f>IFERROR(__xludf.DUMMYFUNCTION("""COMPUTED_VALUE"""),"#N/A")</f>
        <v>#N/A</v>
      </c>
      <c r="X1312" t="b">
        <f t="shared" ref="X1312:Z1312" si="2600">ISBLANK(K1312)</f>
        <v>1</v>
      </c>
      <c r="Y1312" t="b">
        <f t="shared" si="2600"/>
        <v>0</v>
      </c>
      <c r="Z1312" t="b">
        <f t="shared" si="2600"/>
        <v>0</v>
      </c>
      <c r="AA1312">
        <f t="shared" ref="AA1312:AC1312" si="2601">IF(X1312=FALSE,1,0)</f>
        <v>0</v>
      </c>
      <c r="AB1312">
        <f t="shared" si="2601"/>
        <v>1</v>
      </c>
      <c r="AC1312">
        <f t="shared" si="2601"/>
        <v>1</v>
      </c>
      <c r="AD1312">
        <f t="shared" si="6"/>
        <v>2</v>
      </c>
      <c r="AE1312">
        <f t="shared" si="7"/>
        <v>1</v>
      </c>
    </row>
    <row r="1313">
      <c r="B1313" t="str">
        <f>IFERROR(__xludf.DUMMYFUNCTION("""COMPUTED_VALUE"""),"")</f>
        <v/>
      </c>
      <c r="C1313" t="str">
        <f>IFERROR(__xludf.DUMMYFUNCTION("""COMPUTED_VALUE"""),"")</f>
        <v/>
      </c>
      <c r="D1313" t="str">
        <f>IFERROR(__xludf.DUMMYFUNCTION("""COMPUTED_VALUE"""),"")</f>
        <v/>
      </c>
      <c r="E1313" t="str">
        <f>IFERROR(__xludf.DUMMYFUNCTION("""COMPUTED_VALUE"""),"")</f>
        <v/>
      </c>
      <c r="F1313" t="str">
        <f>IFERROR(__xludf.DUMMYFUNCTION("""COMPUTED_VALUE"""),"")</f>
        <v/>
      </c>
      <c r="G1313" t="str">
        <f>IFERROR(__xludf.DUMMYFUNCTION("""COMPUTED_VALUE"""),"")</f>
        <v/>
      </c>
      <c r="H1313" t="str">
        <f>IFERROR(__xludf.DUMMYFUNCTION("""COMPUTED_VALUE"""),"")</f>
        <v/>
      </c>
      <c r="I1313" t="str">
        <f>IFERROR(__xludf.DUMMYFUNCTION("""COMPUTED_VALUE"""),"")</f>
        <v/>
      </c>
      <c r="J1313">
        <f>IFERROR(__xludf.DUMMYFUNCTION("""COMPUTED_VALUE"""),0.0)</f>
        <v>0</v>
      </c>
      <c r="L1313" s="250" t="str">
        <f>IFERROR(__xludf.DUMMYFUNCTION("""COMPUTED_VALUE"""),"")</f>
        <v/>
      </c>
      <c r="M1313" s="250" t="str">
        <f>IFERROR(__xludf.DUMMYFUNCTION("""COMPUTED_VALUE"""),"")</f>
        <v/>
      </c>
      <c r="N1313" s="250" t="str">
        <f>IFERROR(__xludf.DUMMYFUNCTION("""COMPUTED_VALUE"""),"")</f>
        <v/>
      </c>
      <c r="O1313" s="250" t="str">
        <f>IFERROR(__xludf.DUMMYFUNCTION("""COMPUTED_VALUE"""),"")</f>
        <v/>
      </c>
      <c r="P1313" s="250" t="str">
        <f>IFERROR(__xludf.DUMMYFUNCTION("""COMPUTED_VALUE"""),"")</f>
        <v/>
      </c>
      <c r="Q1313" s="250" t="str">
        <f>IFERROR(__xludf.DUMMYFUNCTION("""COMPUTED_VALUE"""),"")</f>
        <v/>
      </c>
      <c r="R1313" s="250" t="str">
        <f>IFERROR(__xludf.DUMMYFUNCTION("""COMPUTED_VALUE"""),"")</f>
        <v/>
      </c>
      <c r="U1313" s="250" t="str">
        <f>IFERROR(__xludf.DUMMYFUNCTION("""COMPUTED_VALUE"""),"#N/A")</f>
        <v>#N/A</v>
      </c>
      <c r="V1313" s="250" t="str">
        <f>IFERROR(__xludf.DUMMYFUNCTION("""COMPUTED_VALUE"""),"#N/A")</f>
        <v>#N/A</v>
      </c>
      <c r="W1313" s="250" t="str">
        <f>IFERROR(__xludf.DUMMYFUNCTION("""COMPUTED_VALUE"""),"#N/A")</f>
        <v>#N/A</v>
      </c>
      <c r="X1313" t="b">
        <f t="shared" ref="X1313:Z1313" si="2602">ISBLANK(K1313)</f>
        <v>1</v>
      </c>
      <c r="Y1313" t="b">
        <f t="shared" si="2602"/>
        <v>0</v>
      </c>
      <c r="Z1313" t="b">
        <f t="shared" si="2602"/>
        <v>0</v>
      </c>
      <c r="AA1313">
        <f t="shared" ref="AA1313:AC1313" si="2603">IF(X1313=FALSE,1,0)</f>
        <v>0</v>
      </c>
      <c r="AB1313">
        <f t="shared" si="2603"/>
        <v>1</v>
      </c>
      <c r="AC1313">
        <f t="shared" si="2603"/>
        <v>1</v>
      </c>
      <c r="AD1313">
        <f t="shared" si="6"/>
        <v>2</v>
      </c>
      <c r="AE1313">
        <f t="shared" si="7"/>
        <v>1</v>
      </c>
    </row>
    <row r="1314">
      <c r="B1314" t="str">
        <f>IFERROR(__xludf.DUMMYFUNCTION("""COMPUTED_VALUE"""),"")</f>
        <v/>
      </c>
      <c r="C1314" t="str">
        <f>IFERROR(__xludf.DUMMYFUNCTION("""COMPUTED_VALUE"""),"")</f>
        <v/>
      </c>
      <c r="D1314" t="str">
        <f>IFERROR(__xludf.DUMMYFUNCTION("""COMPUTED_VALUE"""),"")</f>
        <v/>
      </c>
      <c r="E1314" t="str">
        <f>IFERROR(__xludf.DUMMYFUNCTION("""COMPUTED_VALUE"""),"")</f>
        <v/>
      </c>
      <c r="F1314" t="str">
        <f>IFERROR(__xludf.DUMMYFUNCTION("""COMPUTED_VALUE"""),"")</f>
        <v/>
      </c>
      <c r="G1314" t="str">
        <f>IFERROR(__xludf.DUMMYFUNCTION("""COMPUTED_VALUE"""),"")</f>
        <v/>
      </c>
      <c r="H1314" t="str">
        <f>IFERROR(__xludf.DUMMYFUNCTION("""COMPUTED_VALUE"""),"")</f>
        <v/>
      </c>
      <c r="I1314" t="str">
        <f>IFERROR(__xludf.DUMMYFUNCTION("""COMPUTED_VALUE"""),"")</f>
        <v/>
      </c>
      <c r="J1314">
        <f>IFERROR(__xludf.DUMMYFUNCTION("""COMPUTED_VALUE"""),0.0)</f>
        <v>0</v>
      </c>
      <c r="L1314" s="250" t="str">
        <f>IFERROR(__xludf.DUMMYFUNCTION("""COMPUTED_VALUE"""),"")</f>
        <v/>
      </c>
      <c r="M1314" s="250" t="str">
        <f>IFERROR(__xludf.DUMMYFUNCTION("""COMPUTED_VALUE"""),"")</f>
        <v/>
      </c>
      <c r="N1314" s="250" t="str">
        <f>IFERROR(__xludf.DUMMYFUNCTION("""COMPUTED_VALUE"""),"")</f>
        <v/>
      </c>
      <c r="O1314" s="250" t="str">
        <f>IFERROR(__xludf.DUMMYFUNCTION("""COMPUTED_VALUE"""),"")</f>
        <v/>
      </c>
      <c r="P1314" s="250" t="str">
        <f>IFERROR(__xludf.DUMMYFUNCTION("""COMPUTED_VALUE"""),"")</f>
        <v/>
      </c>
      <c r="Q1314" s="250" t="str">
        <f>IFERROR(__xludf.DUMMYFUNCTION("""COMPUTED_VALUE"""),"")</f>
        <v/>
      </c>
      <c r="R1314" s="250" t="str">
        <f>IFERROR(__xludf.DUMMYFUNCTION("""COMPUTED_VALUE"""),"")</f>
        <v/>
      </c>
      <c r="U1314" s="250" t="str">
        <f>IFERROR(__xludf.DUMMYFUNCTION("""COMPUTED_VALUE"""),"#N/A")</f>
        <v>#N/A</v>
      </c>
      <c r="V1314" s="250" t="str">
        <f>IFERROR(__xludf.DUMMYFUNCTION("""COMPUTED_VALUE"""),"#N/A")</f>
        <v>#N/A</v>
      </c>
      <c r="W1314" s="250" t="str">
        <f>IFERROR(__xludf.DUMMYFUNCTION("""COMPUTED_VALUE"""),"#N/A")</f>
        <v>#N/A</v>
      </c>
      <c r="X1314" t="b">
        <f t="shared" ref="X1314:Z1314" si="2604">ISBLANK(K1314)</f>
        <v>1</v>
      </c>
      <c r="Y1314" t="b">
        <f t="shared" si="2604"/>
        <v>0</v>
      </c>
      <c r="Z1314" t="b">
        <f t="shared" si="2604"/>
        <v>0</v>
      </c>
      <c r="AA1314">
        <f t="shared" ref="AA1314:AC1314" si="2605">IF(X1314=FALSE,1,0)</f>
        <v>0</v>
      </c>
      <c r="AB1314">
        <f t="shared" si="2605"/>
        <v>1</v>
      </c>
      <c r="AC1314">
        <f t="shared" si="2605"/>
        <v>1</v>
      </c>
      <c r="AD1314">
        <f t="shared" si="6"/>
        <v>2</v>
      </c>
      <c r="AE1314">
        <f t="shared" si="7"/>
        <v>1</v>
      </c>
    </row>
    <row r="1315">
      <c r="B1315" t="str">
        <f>IFERROR(__xludf.DUMMYFUNCTION("""COMPUTED_VALUE"""),"")</f>
        <v/>
      </c>
      <c r="C1315" t="str">
        <f>IFERROR(__xludf.DUMMYFUNCTION("""COMPUTED_VALUE"""),"")</f>
        <v/>
      </c>
      <c r="D1315" t="str">
        <f>IFERROR(__xludf.DUMMYFUNCTION("""COMPUTED_VALUE"""),"")</f>
        <v/>
      </c>
      <c r="E1315" t="str">
        <f>IFERROR(__xludf.DUMMYFUNCTION("""COMPUTED_VALUE"""),"")</f>
        <v/>
      </c>
      <c r="F1315" t="str">
        <f>IFERROR(__xludf.DUMMYFUNCTION("""COMPUTED_VALUE"""),"")</f>
        <v/>
      </c>
      <c r="G1315" t="str">
        <f>IFERROR(__xludf.DUMMYFUNCTION("""COMPUTED_VALUE"""),"")</f>
        <v/>
      </c>
      <c r="H1315" t="str">
        <f>IFERROR(__xludf.DUMMYFUNCTION("""COMPUTED_VALUE"""),"")</f>
        <v/>
      </c>
      <c r="I1315" t="str">
        <f>IFERROR(__xludf.DUMMYFUNCTION("""COMPUTED_VALUE"""),"")</f>
        <v/>
      </c>
      <c r="J1315">
        <f>IFERROR(__xludf.DUMMYFUNCTION("""COMPUTED_VALUE"""),0.0)</f>
        <v>0</v>
      </c>
      <c r="L1315" s="250" t="str">
        <f>IFERROR(__xludf.DUMMYFUNCTION("""COMPUTED_VALUE"""),"")</f>
        <v/>
      </c>
      <c r="M1315" s="250" t="str">
        <f>IFERROR(__xludf.DUMMYFUNCTION("""COMPUTED_VALUE"""),"")</f>
        <v/>
      </c>
      <c r="N1315" s="250" t="str">
        <f>IFERROR(__xludf.DUMMYFUNCTION("""COMPUTED_VALUE"""),"")</f>
        <v/>
      </c>
      <c r="O1315" s="250" t="str">
        <f>IFERROR(__xludf.DUMMYFUNCTION("""COMPUTED_VALUE"""),"")</f>
        <v/>
      </c>
      <c r="P1315" s="250" t="str">
        <f>IFERROR(__xludf.DUMMYFUNCTION("""COMPUTED_VALUE"""),"")</f>
        <v/>
      </c>
      <c r="Q1315" s="250" t="str">
        <f>IFERROR(__xludf.DUMMYFUNCTION("""COMPUTED_VALUE"""),"")</f>
        <v/>
      </c>
      <c r="R1315" s="250" t="str">
        <f>IFERROR(__xludf.DUMMYFUNCTION("""COMPUTED_VALUE"""),"")</f>
        <v/>
      </c>
      <c r="U1315" s="250" t="str">
        <f>IFERROR(__xludf.DUMMYFUNCTION("""COMPUTED_VALUE"""),"#N/A")</f>
        <v>#N/A</v>
      </c>
      <c r="V1315" s="250" t="str">
        <f>IFERROR(__xludf.DUMMYFUNCTION("""COMPUTED_VALUE"""),"#N/A")</f>
        <v>#N/A</v>
      </c>
      <c r="W1315" s="250" t="str">
        <f>IFERROR(__xludf.DUMMYFUNCTION("""COMPUTED_VALUE"""),"#N/A")</f>
        <v>#N/A</v>
      </c>
      <c r="X1315" t="b">
        <f t="shared" ref="X1315:Z1315" si="2606">ISBLANK(K1315)</f>
        <v>1</v>
      </c>
      <c r="Y1315" t="b">
        <f t="shared" si="2606"/>
        <v>0</v>
      </c>
      <c r="Z1315" t="b">
        <f t="shared" si="2606"/>
        <v>0</v>
      </c>
      <c r="AA1315">
        <f t="shared" ref="AA1315:AC1315" si="2607">IF(X1315=FALSE,1,0)</f>
        <v>0</v>
      </c>
      <c r="AB1315">
        <f t="shared" si="2607"/>
        <v>1</v>
      </c>
      <c r="AC1315">
        <f t="shared" si="2607"/>
        <v>1</v>
      </c>
      <c r="AD1315">
        <f t="shared" si="6"/>
        <v>2</v>
      </c>
      <c r="AE1315">
        <f t="shared" si="7"/>
        <v>1</v>
      </c>
    </row>
    <row r="1316">
      <c r="B1316" t="str">
        <f>IFERROR(__xludf.DUMMYFUNCTION("""COMPUTED_VALUE"""),"")</f>
        <v/>
      </c>
      <c r="C1316" t="str">
        <f>IFERROR(__xludf.DUMMYFUNCTION("""COMPUTED_VALUE"""),"")</f>
        <v/>
      </c>
      <c r="D1316" t="str">
        <f>IFERROR(__xludf.DUMMYFUNCTION("""COMPUTED_VALUE"""),"")</f>
        <v/>
      </c>
      <c r="E1316" t="str">
        <f>IFERROR(__xludf.DUMMYFUNCTION("""COMPUTED_VALUE"""),"")</f>
        <v/>
      </c>
      <c r="F1316" t="str">
        <f>IFERROR(__xludf.DUMMYFUNCTION("""COMPUTED_VALUE"""),"")</f>
        <v/>
      </c>
      <c r="G1316" t="str">
        <f>IFERROR(__xludf.DUMMYFUNCTION("""COMPUTED_VALUE"""),"")</f>
        <v/>
      </c>
      <c r="H1316" t="str">
        <f>IFERROR(__xludf.DUMMYFUNCTION("""COMPUTED_VALUE"""),"")</f>
        <v/>
      </c>
      <c r="I1316" t="str">
        <f>IFERROR(__xludf.DUMMYFUNCTION("""COMPUTED_VALUE"""),"")</f>
        <v/>
      </c>
      <c r="J1316">
        <f>IFERROR(__xludf.DUMMYFUNCTION("""COMPUTED_VALUE"""),0.0)</f>
        <v>0</v>
      </c>
      <c r="L1316" s="250" t="str">
        <f>IFERROR(__xludf.DUMMYFUNCTION("""COMPUTED_VALUE"""),"")</f>
        <v/>
      </c>
      <c r="M1316" s="250" t="str">
        <f>IFERROR(__xludf.DUMMYFUNCTION("""COMPUTED_VALUE"""),"")</f>
        <v/>
      </c>
      <c r="N1316" s="250" t="str">
        <f>IFERROR(__xludf.DUMMYFUNCTION("""COMPUTED_VALUE"""),"")</f>
        <v/>
      </c>
      <c r="O1316" s="250" t="str">
        <f>IFERROR(__xludf.DUMMYFUNCTION("""COMPUTED_VALUE"""),"")</f>
        <v/>
      </c>
      <c r="P1316" s="250" t="str">
        <f>IFERROR(__xludf.DUMMYFUNCTION("""COMPUTED_VALUE"""),"")</f>
        <v/>
      </c>
      <c r="Q1316" s="250" t="str">
        <f>IFERROR(__xludf.DUMMYFUNCTION("""COMPUTED_VALUE"""),"")</f>
        <v/>
      </c>
      <c r="R1316" s="250" t="str">
        <f>IFERROR(__xludf.DUMMYFUNCTION("""COMPUTED_VALUE"""),"")</f>
        <v/>
      </c>
      <c r="U1316" s="250" t="str">
        <f>IFERROR(__xludf.DUMMYFUNCTION("""COMPUTED_VALUE"""),"#N/A")</f>
        <v>#N/A</v>
      </c>
      <c r="V1316" s="250" t="str">
        <f>IFERROR(__xludf.DUMMYFUNCTION("""COMPUTED_VALUE"""),"#N/A")</f>
        <v>#N/A</v>
      </c>
      <c r="W1316" s="250" t="str">
        <f>IFERROR(__xludf.DUMMYFUNCTION("""COMPUTED_VALUE"""),"#N/A")</f>
        <v>#N/A</v>
      </c>
      <c r="X1316" t="b">
        <f t="shared" ref="X1316:Z1316" si="2608">ISBLANK(K1316)</f>
        <v>1</v>
      </c>
      <c r="Y1316" t="b">
        <f t="shared" si="2608"/>
        <v>0</v>
      </c>
      <c r="Z1316" t="b">
        <f t="shared" si="2608"/>
        <v>0</v>
      </c>
      <c r="AA1316">
        <f t="shared" ref="AA1316:AC1316" si="2609">IF(X1316=FALSE,1,0)</f>
        <v>0</v>
      </c>
      <c r="AB1316">
        <f t="shared" si="2609"/>
        <v>1</v>
      </c>
      <c r="AC1316">
        <f t="shared" si="2609"/>
        <v>1</v>
      </c>
      <c r="AD1316">
        <f t="shared" si="6"/>
        <v>2</v>
      </c>
      <c r="AE1316">
        <f t="shared" si="7"/>
        <v>1</v>
      </c>
    </row>
    <row r="1317">
      <c r="B1317" t="str">
        <f>IFERROR(__xludf.DUMMYFUNCTION("""COMPUTED_VALUE"""),"")</f>
        <v/>
      </c>
      <c r="C1317" t="str">
        <f>IFERROR(__xludf.DUMMYFUNCTION("""COMPUTED_VALUE"""),"")</f>
        <v/>
      </c>
      <c r="D1317" t="str">
        <f>IFERROR(__xludf.DUMMYFUNCTION("""COMPUTED_VALUE"""),"")</f>
        <v/>
      </c>
      <c r="E1317" t="str">
        <f>IFERROR(__xludf.DUMMYFUNCTION("""COMPUTED_VALUE"""),"")</f>
        <v/>
      </c>
      <c r="F1317" t="str">
        <f>IFERROR(__xludf.DUMMYFUNCTION("""COMPUTED_VALUE"""),"")</f>
        <v/>
      </c>
      <c r="G1317" t="str">
        <f>IFERROR(__xludf.DUMMYFUNCTION("""COMPUTED_VALUE"""),"")</f>
        <v/>
      </c>
      <c r="H1317" t="str">
        <f>IFERROR(__xludf.DUMMYFUNCTION("""COMPUTED_VALUE"""),"")</f>
        <v/>
      </c>
      <c r="I1317" t="str">
        <f>IFERROR(__xludf.DUMMYFUNCTION("""COMPUTED_VALUE"""),"")</f>
        <v/>
      </c>
      <c r="J1317">
        <f>IFERROR(__xludf.DUMMYFUNCTION("""COMPUTED_VALUE"""),0.0)</f>
        <v>0</v>
      </c>
      <c r="L1317" s="250" t="str">
        <f>IFERROR(__xludf.DUMMYFUNCTION("""COMPUTED_VALUE"""),"")</f>
        <v/>
      </c>
      <c r="M1317" s="250" t="str">
        <f>IFERROR(__xludf.DUMMYFUNCTION("""COMPUTED_VALUE"""),"")</f>
        <v/>
      </c>
      <c r="N1317" s="250" t="str">
        <f>IFERROR(__xludf.DUMMYFUNCTION("""COMPUTED_VALUE"""),"")</f>
        <v/>
      </c>
      <c r="O1317" s="250" t="str">
        <f>IFERROR(__xludf.DUMMYFUNCTION("""COMPUTED_VALUE"""),"")</f>
        <v/>
      </c>
      <c r="P1317" s="250" t="str">
        <f>IFERROR(__xludf.DUMMYFUNCTION("""COMPUTED_VALUE"""),"")</f>
        <v/>
      </c>
      <c r="Q1317" s="250" t="str">
        <f>IFERROR(__xludf.DUMMYFUNCTION("""COMPUTED_VALUE"""),"")</f>
        <v/>
      </c>
      <c r="R1317" s="250" t="str">
        <f>IFERROR(__xludf.DUMMYFUNCTION("""COMPUTED_VALUE"""),"")</f>
        <v/>
      </c>
      <c r="U1317" s="250" t="str">
        <f>IFERROR(__xludf.DUMMYFUNCTION("""COMPUTED_VALUE"""),"#N/A")</f>
        <v>#N/A</v>
      </c>
      <c r="V1317" s="250" t="str">
        <f>IFERROR(__xludf.DUMMYFUNCTION("""COMPUTED_VALUE"""),"#N/A")</f>
        <v>#N/A</v>
      </c>
      <c r="W1317" s="250" t="str">
        <f>IFERROR(__xludf.DUMMYFUNCTION("""COMPUTED_VALUE"""),"#N/A")</f>
        <v>#N/A</v>
      </c>
      <c r="X1317" t="b">
        <f t="shared" ref="X1317:Z1317" si="2610">ISBLANK(K1317)</f>
        <v>1</v>
      </c>
      <c r="Y1317" t="b">
        <f t="shared" si="2610"/>
        <v>0</v>
      </c>
      <c r="Z1317" t="b">
        <f t="shared" si="2610"/>
        <v>0</v>
      </c>
      <c r="AA1317">
        <f t="shared" ref="AA1317:AC1317" si="2611">IF(X1317=FALSE,1,0)</f>
        <v>0</v>
      </c>
      <c r="AB1317">
        <f t="shared" si="2611"/>
        <v>1</v>
      </c>
      <c r="AC1317">
        <f t="shared" si="2611"/>
        <v>1</v>
      </c>
      <c r="AD1317">
        <f t="shared" si="6"/>
        <v>2</v>
      </c>
      <c r="AE1317">
        <f t="shared" si="7"/>
        <v>1</v>
      </c>
    </row>
    <row r="1318">
      <c r="B1318" t="str">
        <f>IFERROR(__xludf.DUMMYFUNCTION("""COMPUTED_VALUE"""),"")</f>
        <v/>
      </c>
      <c r="C1318" t="str">
        <f>IFERROR(__xludf.DUMMYFUNCTION("""COMPUTED_VALUE"""),"")</f>
        <v/>
      </c>
      <c r="D1318" t="str">
        <f>IFERROR(__xludf.DUMMYFUNCTION("""COMPUTED_VALUE"""),"")</f>
        <v/>
      </c>
      <c r="E1318" t="str">
        <f>IFERROR(__xludf.DUMMYFUNCTION("""COMPUTED_VALUE"""),"")</f>
        <v/>
      </c>
      <c r="F1318" t="str">
        <f>IFERROR(__xludf.DUMMYFUNCTION("""COMPUTED_VALUE"""),"")</f>
        <v/>
      </c>
      <c r="G1318" t="str">
        <f>IFERROR(__xludf.DUMMYFUNCTION("""COMPUTED_VALUE"""),"")</f>
        <v/>
      </c>
      <c r="H1318" t="str">
        <f>IFERROR(__xludf.DUMMYFUNCTION("""COMPUTED_VALUE"""),"")</f>
        <v/>
      </c>
      <c r="I1318" t="str">
        <f>IFERROR(__xludf.DUMMYFUNCTION("""COMPUTED_VALUE"""),"")</f>
        <v/>
      </c>
      <c r="J1318">
        <f>IFERROR(__xludf.DUMMYFUNCTION("""COMPUTED_VALUE"""),0.0)</f>
        <v>0</v>
      </c>
      <c r="L1318" s="250" t="str">
        <f>IFERROR(__xludf.DUMMYFUNCTION("""COMPUTED_VALUE"""),"")</f>
        <v/>
      </c>
      <c r="M1318" s="250" t="str">
        <f>IFERROR(__xludf.DUMMYFUNCTION("""COMPUTED_VALUE"""),"")</f>
        <v/>
      </c>
      <c r="N1318" s="250" t="str">
        <f>IFERROR(__xludf.DUMMYFUNCTION("""COMPUTED_VALUE"""),"")</f>
        <v/>
      </c>
      <c r="O1318" s="250" t="str">
        <f>IFERROR(__xludf.DUMMYFUNCTION("""COMPUTED_VALUE"""),"")</f>
        <v/>
      </c>
      <c r="P1318" s="250" t="str">
        <f>IFERROR(__xludf.DUMMYFUNCTION("""COMPUTED_VALUE"""),"")</f>
        <v/>
      </c>
      <c r="Q1318" s="250" t="str">
        <f>IFERROR(__xludf.DUMMYFUNCTION("""COMPUTED_VALUE"""),"")</f>
        <v/>
      </c>
      <c r="R1318" s="250" t="str">
        <f>IFERROR(__xludf.DUMMYFUNCTION("""COMPUTED_VALUE"""),"")</f>
        <v/>
      </c>
      <c r="U1318" s="250" t="str">
        <f>IFERROR(__xludf.DUMMYFUNCTION("""COMPUTED_VALUE"""),"#N/A")</f>
        <v>#N/A</v>
      </c>
      <c r="V1318" s="250" t="str">
        <f>IFERROR(__xludf.DUMMYFUNCTION("""COMPUTED_VALUE"""),"#N/A")</f>
        <v>#N/A</v>
      </c>
      <c r="W1318" s="250" t="str">
        <f>IFERROR(__xludf.DUMMYFUNCTION("""COMPUTED_VALUE"""),"#N/A")</f>
        <v>#N/A</v>
      </c>
      <c r="X1318" t="b">
        <f t="shared" ref="X1318:Z1318" si="2612">ISBLANK(K1318)</f>
        <v>1</v>
      </c>
      <c r="Y1318" t="b">
        <f t="shared" si="2612"/>
        <v>0</v>
      </c>
      <c r="Z1318" t="b">
        <f t="shared" si="2612"/>
        <v>0</v>
      </c>
      <c r="AA1318">
        <f t="shared" ref="AA1318:AC1318" si="2613">IF(X1318=FALSE,1,0)</f>
        <v>0</v>
      </c>
      <c r="AB1318">
        <f t="shared" si="2613"/>
        <v>1</v>
      </c>
      <c r="AC1318">
        <f t="shared" si="2613"/>
        <v>1</v>
      </c>
      <c r="AD1318">
        <f t="shared" si="6"/>
        <v>2</v>
      </c>
      <c r="AE1318">
        <f t="shared" si="7"/>
        <v>1</v>
      </c>
    </row>
    <row r="1319">
      <c r="B1319" t="str">
        <f>IFERROR(__xludf.DUMMYFUNCTION("""COMPUTED_VALUE"""),"")</f>
        <v/>
      </c>
      <c r="C1319" t="str">
        <f>IFERROR(__xludf.DUMMYFUNCTION("""COMPUTED_VALUE"""),"")</f>
        <v/>
      </c>
      <c r="D1319" t="str">
        <f>IFERROR(__xludf.DUMMYFUNCTION("""COMPUTED_VALUE"""),"")</f>
        <v/>
      </c>
      <c r="E1319" t="str">
        <f>IFERROR(__xludf.DUMMYFUNCTION("""COMPUTED_VALUE"""),"")</f>
        <v/>
      </c>
      <c r="F1319" t="str">
        <f>IFERROR(__xludf.DUMMYFUNCTION("""COMPUTED_VALUE"""),"")</f>
        <v/>
      </c>
      <c r="G1319" t="str">
        <f>IFERROR(__xludf.DUMMYFUNCTION("""COMPUTED_VALUE"""),"")</f>
        <v/>
      </c>
      <c r="H1319" t="str">
        <f>IFERROR(__xludf.DUMMYFUNCTION("""COMPUTED_VALUE"""),"")</f>
        <v/>
      </c>
      <c r="I1319" t="str">
        <f>IFERROR(__xludf.DUMMYFUNCTION("""COMPUTED_VALUE"""),"")</f>
        <v/>
      </c>
      <c r="J1319">
        <f>IFERROR(__xludf.DUMMYFUNCTION("""COMPUTED_VALUE"""),0.0)</f>
        <v>0</v>
      </c>
      <c r="L1319" s="250" t="str">
        <f>IFERROR(__xludf.DUMMYFUNCTION("""COMPUTED_VALUE"""),"")</f>
        <v/>
      </c>
      <c r="M1319" s="250" t="str">
        <f>IFERROR(__xludf.DUMMYFUNCTION("""COMPUTED_VALUE"""),"")</f>
        <v/>
      </c>
      <c r="N1319" s="250" t="str">
        <f>IFERROR(__xludf.DUMMYFUNCTION("""COMPUTED_VALUE"""),"")</f>
        <v/>
      </c>
      <c r="O1319" s="250" t="str">
        <f>IFERROR(__xludf.DUMMYFUNCTION("""COMPUTED_VALUE"""),"")</f>
        <v/>
      </c>
      <c r="P1319" s="250" t="str">
        <f>IFERROR(__xludf.DUMMYFUNCTION("""COMPUTED_VALUE"""),"")</f>
        <v/>
      </c>
      <c r="Q1319" s="250" t="str">
        <f>IFERROR(__xludf.DUMMYFUNCTION("""COMPUTED_VALUE"""),"")</f>
        <v/>
      </c>
      <c r="R1319" s="250" t="str">
        <f>IFERROR(__xludf.DUMMYFUNCTION("""COMPUTED_VALUE"""),"")</f>
        <v/>
      </c>
      <c r="U1319" s="250" t="str">
        <f>IFERROR(__xludf.DUMMYFUNCTION("""COMPUTED_VALUE"""),"#N/A")</f>
        <v>#N/A</v>
      </c>
      <c r="V1319" s="250" t="str">
        <f>IFERROR(__xludf.DUMMYFUNCTION("""COMPUTED_VALUE"""),"#N/A")</f>
        <v>#N/A</v>
      </c>
      <c r="W1319" s="250" t="str">
        <f>IFERROR(__xludf.DUMMYFUNCTION("""COMPUTED_VALUE"""),"#N/A")</f>
        <v>#N/A</v>
      </c>
      <c r="X1319" t="b">
        <f t="shared" ref="X1319:Z1319" si="2614">ISBLANK(K1319)</f>
        <v>1</v>
      </c>
      <c r="Y1319" t="b">
        <f t="shared" si="2614"/>
        <v>0</v>
      </c>
      <c r="Z1319" t="b">
        <f t="shared" si="2614"/>
        <v>0</v>
      </c>
      <c r="AA1319">
        <f t="shared" ref="AA1319:AC1319" si="2615">IF(X1319=FALSE,1,0)</f>
        <v>0</v>
      </c>
      <c r="AB1319">
        <f t="shared" si="2615"/>
        <v>1</v>
      </c>
      <c r="AC1319">
        <f t="shared" si="2615"/>
        <v>1</v>
      </c>
      <c r="AD1319">
        <f t="shared" si="6"/>
        <v>2</v>
      </c>
      <c r="AE1319">
        <f t="shared" si="7"/>
        <v>1</v>
      </c>
    </row>
    <row r="1320">
      <c r="B1320" t="str">
        <f>IFERROR(__xludf.DUMMYFUNCTION("""COMPUTED_VALUE"""),"")</f>
        <v/>
      </c>
      <c r="C1320" t="str">
        <f>IFERROR(__xludf.DUMMYFUNCTION("""COMPUTED_VALUE"""),"")</f>
        <v/>
      </c>
      <c r="D1320" t="str">
        <f>IFERROR(__xludf.DUMMYFUNCTION("""COMPUTED_VALUE"""),"")</f>
        <v/>
      </c>
      <c r="E1320" t="str">
        <f>IFERROR(__xludf.DUMMYFUNCTION("""COMPUTED_VALUE"""),"")</f>
        <v/>
      </c>
      <c r="F1320" t="str">
        <f>IFERROR(__xludf.DUMMYFUNCTION("""COMPUTED_VALUE"""),"")</f>
        <v/>
      </c>
      <c r="G1320" t="str">
        <f>IFERROR(__xludf.DUMMYFUNCTION("""COMPUTED_VALUE"""),"")</f>
        <v/>
      </c>
      <c r="H1320" t="str">
        <f>IFERROR(__xludf.DUMMYFUNCTION("""COMPUTED_VALUE"""),"")</f>
        <v/>
      </c>
      <c r="I1320" t="str">
        <f>IFERROR(__xludf.DUMMYFUNCTION("""COMPUTED_VALUE"""),"")</f>
        <v/>
      </c>
      <c r="J1320">
        <f>IFERROR(__xludf.DUMMYFUNCTION("""COMPUTED_VALUE"""),0.0)</f>
        <v>0</v>
      </c>
      <c r="L1320" s="250" t="str">
        <f>IFERROR(__xludf.DUMMYFUNCTION("""COMPUTED_VALUE"""),"")</f>
        <v/>
      </c>
      <c r="M1320" s="250" t="str">
        <f>IFERROR(__xludf.DUMMYFUNCTION("""COMPUTED_VALUE"""),"")</f>
        <v/>
      </c>
      <c r="N1320" s="250" t="str">
        <f>IFERROR(__xludf.DUMMYFUNCTION("""COMPUTED_VALUE"""),"")</f>
        <v/>
      </c>
      <c r="O1320" s="250" t="str">
        <f>IFERROR(__xludf.DUMMYFUNCTION("""COMPUTED_VALUE"""),"")</f>
        <v/>
      </c>
      <c r="P1320" s="250" t="str">
        <f>IFERROR(__xludf.DUMMYFUNCTION("""COMPUTED_VALUE"""),"")</f>
        <v/>
      </c>
      <c r="Q1320" s="250" t="str">
        <f>IFERROR(__xludf.DUMMYFUNCTION("""COMPUTED_VALUE"""),"")</f>
        <v/>
      </c>
      <c r="R1320" s="250" t="str">
        <f>IFERROR(__xludf.DUMMYFUNCTION("""COMPUTED_VALUE"""),"")</f>
        <v/>
      </c>
      <c r="U1320" s="250" t="str">
        <f>IFERROR(__xludf.DUMMYFUNCTION("""COMPUTED_VALUE"""),"#N/A")</f>
        <v>#N/A</v>
      </c>
      <c r="V1320" s="250" t="str">
        <f>IFERROR(__xludf.DUMMYFUNCTION("""COMPUTED_VALUE"""),"#N/A")</f>
        <v>#N/A</v>
      </c>
      <c r="W1320" s="250" t="str">
        <f>IFERROR(__xludf.DUMMYFUNCTION("""COMPUTED_VALUE"""),"#N/A")</f>
        <v>#N/A</v>
      </c>
      <c r="X1320" t="b">
        <f t="shared" ref="X1320:Z1320" si="2616">ISBLANK(K1320)</f>
        <v>1</v>
      </c>
      <c r="Y1320" t="b">
        <f t="shared" si="2616"/>
        <v>0</v>
      </c>
      <c r="Z1320" t="b">
        <f t="shared" si="2616"/>
        <v>0</v>
      </c>
      <c r="AA1320">
        <f t="shared" ref="AA1320:AC1320" si="2617">IF(X1320=FALSE,1,0)</f>
        <v>0</v>
      </c>
      <c r="AB1320">
        <f t="shared" si="2617"/>
        <v>1</v>
      </c>
      <c r="AC1320">
        <f t="shared" si="2617"/>
        <v>1</v>
      </c>
      <c r="AD1320">
        <f t="shared" si="6"/>
        <v>2</v>
      </c>
      <c r="AE1320">
        <f t="shared" si="7"/>
        <v>1</v>
      </c>
    </row>
    <row r="1321">
      <c r="B1321" t="str">
        <f>IFERROR(__xludf.DUMMYFUNCTION("""COMPUTED_VALUE"""),"")</f>
        <v/>
      </c>
      <c r="C1321" t="str">
        <f>IFERROR(__xludf.DUMMYFUNCTION("""COMPUTED_VALUE"""),"")</f>
        <v/>
      </c>
      <c r="D1321" t="str">
        <f>IFERROR(__xludf.DUMMYFUNCTION("""COMPUTED_VALUE"""),"")</f>
        <v/>
      </c>
      <c r="E1321" t="str">
        <f>IFERROR(__xludf.DUMMYFUNCTION("""COMPUTED_VALUE"""),"")</f>
        <v/>
      </c>
      <c r="F1321" t="str">
        <f>IFERROR(__xludf.DUMMYFUNCTION("""COMPUTED_VALUE"""),"")</f>
        <v/>
      </c>
      <c r="G1321" t="str">
        <f>IFERROR(__xludf.DUMMYFUNCTION("""COMPUTED_VALUE"""),"")</f>
        <v/>
      </c>
      <c r="H1321" t="str">
        <f>IFERROR(__xludf.DUMMYFUNCTION("""COMPUTED_VALUE"""),"")</f>
        <v/>
      </c>
      <c r="I1321" t="str">
        <f>IFERROR(__xludf.DUMMYFUNCTION("""COMPUTED_VALUE"""),"")</f>
        <v/>
      </c>
      <c r="J1321">
        <f>IFERROR(__xludf.DUMMYFUNCTION("""COMPUTED_VALUE"""),0.0)</f>
        <v>0</v>
      </c>
      <c r="L1321" s="250" t="str">
        <f>IFERROR(__xludf.DUMMYFUNCTION("""COMPUTED_VALUE"""),"")</f>
        <v/>
      </c>
      <c r="M1321" s="250" t="str">
        <f>IFERROR(__xludf.DUMMYFUNCTION("""COMPUTED_VALUE"""),"")</f>
        <v/>
      </c>
      <c r="N1321" s="250" t="str">
        <f>IFERROR(__xludf.DUMMYFUNCTION("""COMPUTED_VALUE"""),"")</f>
        <v/>
      </c>
      <c r="O1321" s="250" t="str">
        <f>IFERROR(__xludf.DUMMYFUNCTION("""COMPUTED_VALUE"""),"")</f>
        <v/>
      </c>
      <c r="P1321" s="250" t="str">
        <f>IFERROR(__xludf.DUMMYFUNCTION("""COMPUTED_VALUE"""),"")</f>
        <v/>
      </c>
      <c r="Q1321" s="250" t="str">
        <f>IFERROR(__xludf.DUMMYFUNCTION("""COMPUTED_VALUE"""),"")</f>
        <v/>
      </c>
      <c r="R1321" s="250" t="str">
        <f>IFERROR(__xludf.DUMMYFUNCTION("""COMPUTED_VALUE"""),"")</f>
        <v/>
      </c>
      <c r="U1321" s="250" t="str">
        <f>IFERROR(__xludf.DUMMYFUNCTION("""COMPUTED_VALUE"""),"#N/A")</f>
        <v>#N/A</v>
      </c>
      <c r="V1321" s="250" t="str">
        <f>IFERROR(__xludf.DUMMYFUNCTION("""COMPUTED_VALUE"""),"#N/A")</f>
        <v>#N/A</v>
      </c>
      <c r="W1321" s="250" t="str">
        <f>IFERROR(__xludf.DUMMYFUNCTION("""COMPUTED_VALUE"""),"#N/A")</f>
        <v>#N/A</v>
      </c>
      <c r="X1321" t="b">
        <f t="shared" ref="X1321:Z1321" si="2618">ISBLANK(K1321)</f>
        <v>1</v>
      </c>
      <c r="Y1321" t="b">
        <f t="shared" si="2618"/>
        <v>0</v>
      </c>
      <c r="Z1321" t="b">
        <f t="shared" si="2618"/>
        <v>0</v>
      </c>
      <c r="AA1321">
        <f t="shared" ref="AA1321:AC1321" si="2619">IF(X1321=FALSE,1,0)</f>
        <v>0</v>
      </c>
      <c r="AB1321">
        <f t="shared" si="2619"/>
        <v>1</v>
      </c>
      <c r="AC1321">
        <f t="shared" si="2619"/>
        <v>1</v>
      </c>
      <c r="AD1321">
        <f t="shared" si="6"/>
        <v>2</v>
      </c>
      <c r="AE1321">
        <f t="shared" si="7"/>
        <v>1</v>
      </c>
    </row>
    <row r="1322">
      <c r="B1322" t="str">
        <f>IFERROR(__xludf.DUMMYFUNCTION("""COMPUTED_VALUE"""),"")</f>
        <v/>
      </c>
      <c r="C1322" t="str">
        <f>IFERROR(__xludf.DUMMYFUNCTION("""COMPUTED_VALUE"""),"")</f>
        <v/>
      </c>
      <c r="D1322" t="str">
        <f>IFERROR(__xludf.DUMMYFUNCTION("""COMPUTED_VALUE"""),"")</f>
        <v/>
      </c>
      <c r="E1322" t="str">
        <f>IFERROR(__xludf.DUMMYFUNCTION("""COMPUTED_VALUE"""),"")</f>
        <v/>
      </c>
      <c r="F1322" t="str">
        <f>IFERROR(__xludf.DUMMYFUNCTION("""COMPUTED_VALUE"""),"")</f>
        <v/>
      </c>
      <c r="G1322" t="str">
        <f>IFERROR(__xludf.DUMMYFUNCTION("""COMPUTED_VALUE"""),"")</f>
        <v/>
      </c>
      <c r="H1322" t="str">
        <f>IFERROR(__xludf.DUMMYFUNCTION("""COMPUTED_VALUE"""),"")</f>
        <v/>
      </c>
      <c r="I1322" t="str">
        <f>IFERROR(__xludf.DUMMYFUNCTION("""COMPUTED_VALUE"""),"")</f>
        <v/>
      </c>
      <c r="J1322">
        <f>IFERROR(__xludf.DUMMYFUNCTION("""COMPUTED_VALUE"""),0.0)</f>
        <v>0</v>
      </c>
      <c r="L1322" s="250" t="str">
        <f>IFERROR(__xludf.DUMMYFUNCTION("""COMPUTED_VALUE"""),"")</f>
        <v/>
      </c>
      <c r="M1322" s="250" t="str">
        <f>IFERROR(__xludf.DUMMYFUNCTION("""COMPUTED_VALUE"""),"")</f>
        <v/>
      </c>
      <c r="N1322" s="250" t="str">
        <f>IFERROR(__xludf.DUMMYFUNCTION("""COMPUTED_VALUE"""),"")</f>
        <v/>
      </c>
      <c r="O1322" s="250" t="str">
        <f>IFERROR(__xludf.DUMMYFUNCTION("""COMPUTED_VALUE"""),"")</f>
        <v/>
      </c>
      <c r="P1322" s="250" t="str">
        <f>IFERROR(__xludf.DUMMYFUNCTION("""COMPUTED_VALUE"""),"")</f>
        <v/>
      </c>
      <c r="Q1322" s="250" t="str">
        <f>IFERROR(__xludf.DUMMYFUNCTION("""COMPUTED_VALUE"""),"")</f>
        <v/>
      </c>
      <c r="R1322" s="250" t="str">
        <f>IFERROR(__xludf.DUMMYFUNCTION("""COMPUTED_VALUE"""),"")</f>
        <v/>
      </c>
      <c r="U1322" s="250" t="str">
        <f>IFERROR(__xludf.DUMMYFUNCTION("""COMPUTED_VALUE"""),"#N/A")</f>
        <v>#N/A</v>
      </c>
      <c r="V1322" s="250" t="str">
        <f>IFERROR(__xludf.DUMMYFUNCTION("""COMPUTED_VALUE"""),"#N/A")</f>
        <v>#N/A</v>
      </c>
      <c r="W1322" s="250" t="str">
        <f>IFERROR(__xludf.DUMMYFUNCTION("""COMPUTED_VALUE"""),"#N/A")</f>
        <v>#N/A</v>
      </c>
      <c r="X1322" t="b">
        <f t="shared" ref="X1322:Z1322" si="2620">ISBLANK(K1322)</f>
        <v>1</v>
      </c>
      <c r="Y1322" t="b">
        <f t="shared" si="2620"/>
        <v>0</v>
      </c>
      <c r="Z1322" t="b">
        <f t="shared" si="2620"/>
        <v>0</v>
      </c>
      <c r="AA1322">
        <f t="shared" ref="AA1322:AC1322" si="2621">IF(X1322=FALSE,1,0)</f>
        <v>0</v>
      </c>
      <c r="AB1322">
        <f t="shared" si="2621"/>
        <v>1</v>
      </c>
      <c r="AC1322">
        <f t="shared" si="2621"/>
        <v>1</v>
      </c>
      <c r="AD1322">
        <f t="shared" si="6"/>
        <v>2</v>
      </c>
      <c r="AE1322">
        <f t="shared" si="7"/>
        <v>1</v>
      </c>
    </row>
    <row r="1323">
      <c r="B1323" t="str">
        <f>IFERROR(__xludf.DUMMYFUNCTION("""COMPUTED_VALUE"""),"")</f>
        <v/>
      </c>
      <c r="C1323" t="str">
        <f>IFERROR(__xludf.DUMMYFUNCTION("""COMPUTED_VALUE"""),"")</f>
        <v/>
      </c>
      <c r="D1323" t="str">
        <f>IFERROR(__xludf.DUMMYFUNCTION("""COMPUTED_VALUE"""),"")</f>
        <v/>
      </c>
      <c r="E1323" t="str">
        <f>IFERROR(__xludf.DUMMYFUNCTION("""COMPUTED_VALUE"""),"")</f>
        <v/>
      </c>
      <c r="F1323" t="str">
        <f>IFERROR(__xludf.DUMMYFUNCTION("""COMPUTED_VALUE"""),"")</f>
        <v/>
      </c>
      <c r="G1323" t="str">
        <f>IFERROR(__xludf.DUMMYFUNCTION("""COMPUTED_VALUE"""),"")</f>
        <v/>
      </c>
      <c r="H1323" t="str">
        <f>IFERROR(__xludf.DUMMYFUNCTION("""COMPUTED_VALUE"""),"")</f>
        <v/>
      </c>
      <c r="I1323" t="str">
        <f>IFERROR(__xludf.DUMMYFUNCTION("""COMPUTED_VALUE"""),"")</f>
        <v/>
      </c>
      <c r="J1323">
        <f>IFERROR(__xludf.DUMMYFUNCTION("""COMPUTED_VALUE"""),0.0)</f>
        <v>0</v>
      </c>
      <c r="L1323" s="250" t="str">
        <f>IFERROR(__xludf.DUMMYFUNCTION("""COMPUTED_VALUE"""),"")</f>
        <v/>
      </c>
      <c r="M1323" s="250" t="str">
        <f>IFERROR(__xludf.DUMMYFUNCTION("""COMPUTED_VALUE"""),"")</f>
        <v/>
      </c>
      <c r="N1323" s="250" t="str">
        <f>IFERROR(__xludf.DUMMYFUNCTION("""COMPUTED_VALUE"""),"")</f>
        <v/>
      </c>
      <c r="O1323" s="250" t="str">
        <f>IFERROR(__xludf.DUMMYFUNCTION("""COMPUTED_VALUE"""),"")</f>
        <v/>
      </c>
      <c r="P1323" s="250" t="str">
        <f>IFERROR(__xludf.DUMMYFUNCTION("""COMPUTED_VALUE"""),"")</f>
        <v/>
      </c>
      <c r="Q1323" s="250" t="str">
        <f>IFERROR(__xludf.DUMMYFUNCTION("""COMPUTED_VALUE"""),"")</f>
        <v/>
      </c>
      <c r="R1323" s="250" t="str">
        <f>IFERROR(__xludf.DUMMYFUNCTION("""COMPUTED_VALUE"""),"")</f>
        <v/>
      </c>
      <c r="U1323" s="250" t="str">
        <f>IFERROR(__xludf.DUMMYFUNCTION("""COMPUTED_VALUE"""),"#N/A")</f>
        <v>#N/A</v>
      </c>
      <c r="V1323" s="250" t="str">
        <f>IFERROR(__xludf.DUMMYFUNCTION("""COMPUTED_VALUE"""),"#N/A")</f>
        <v>#N/A</v>
      </c>
      <c r="W1323" s="250" t="str">
        <f>IFERROR(__xludf.DUMMYFUNCTION("""COMPUTED_VALUE"""),"#N/A")</f>
        <v>#N/A</v>
      </c>
      <c r="X1323" t="b">
        <f t="shared" ref="X1323:Z1323" si="2622">ISBLANK(K1323)</f>
        <v>1</v>
      </c>
      <c r="Y1323" t="b">
        <f t="shared" si="2622"/>
        <v>0</v>
      </c>
      <c r="Z1323" t="b">
        <f t="shared" si="2622"/>
        <v>0</v>
      </c>
      <c r="AA1323">
        <f t="shared" ref="AA1323:AC1323" si="2623">IF(X1323=FALSE,1,0)</f>
        <v>0</v>
      </c>
      <c r="AB1323">
        <f t="shared" si="2623"/>
        <v>1</v>
      </c>
      <c r="AC1323">
        <f t="shared" si="2623"/>
        <v>1</v>
      </c>
      <c r="AD1323">
        <f t="shared" si="6"/>
        <v>2</v>
      </c>
      <c r="AE1323">
        <f t="shared" si="7"/>
        <v>1</v>
      </c>
    </row>
    <row r="1324">
      <c r="B1324" t="str">
        <f>IFERROR(__xludf.DUMMYFUNCTION("""COMPUTED_VALUE"""),"")</f>
        <v/>
      </c>
      <c r="C1324" t="str">
        <f>IFERROR(__xludf.DUMMYFUNCTION("""COMPUTED_VALUE"""),"")</f>
        <v/>
      </c>
      <c r="D1324" t="str">
        <f>IFERROR(__xludf.DUMMYFUNCTION("""COMPUTED_VALUE"""),"")</f>
        <v/>
      </c>
      <c r="E1324" t="str">
        <f>IFERROR(__xludf.DUMMYFUNCTION("""COMPUTED_VALUE"""),"")</f>
        <v/>
      </c>
      <c r="F1324" t="str">
        <f>IFERROR(__xludf.DUMMYFUNCTION("""COMPUTED_VALUE"""),"")</f>
        <v/>
      </c>
      <c r="G1324" t="str">
        <f>IFERROR(__xludf.DUMMYFUNCTION("""COMPUTED_VALUE"""),"")</f>
        <v/>
      </c>
      <c r="H1324" t="str">
        <f>IFERROR(__xludf.DUMMYFUNCTION("""COMPUTED_VALUE"""),"")</f>
        <v/>
      </c>
      <c r="I1324" t="str">
        <f>IFERROR(__xludf.DUMMYFUNCTION("""COMPUTED_VALUE"""),"")</f>
        <v/>
      </c>
      <c r="J1324">
        <f>IFERROR(__xludf.DUMMYFUNCTION("""COMPUTED_VALUE"""),0.0)</f>
        <v>0</v>
      </c>
      <c r="L1324" s="250" t="str">
        <f>IFERROR(__xludf.DUMMYFUNCTION("""COMPUTED_VALUE"""),"")</f>
        <v/>
      </c>
      <c r="M1324" s="250" t="str">
        <f>IFERROR(__xludf.DUMMYFUNCTION("""COMPUTED_VALUE"""),"")</f>
        <v/>
      </c>
      <c r="N1324" s="250" t="str">
        <f>IFERROR(__xludf.DUMMYFUNCTION("""COMPUTED_VALUE"""),"")</f>
        <v/>
      </c>
      <c r="O1324" s="250" t="str">
        <f>IFERROR(__xludf.DUMMYFUNCTION("""COMPUTED_VALUE"""),"")</f>
        <v/>
      </c>
      <c r="P1324" s="250" t="str">
        <f>IFERROR(__xludf.DUMMYFUNCTION("""COMPUTED_VALUE"""),"")</f>
        <v/>
      </c>
      <c r="Q1324" s="250" t="str">
        <f>IFERROR(__xludf.DUMMYFUNCTION("""COMPUTED_VALUE"""),"")</f>
        <v/>
      </c>
      <c r="R1324" s="250" t="str">
        <f>IFERROR(__xludf.DUMMYFUNCTION("""COMPUTED_VALUE"""),"")</f>
        <v/>
      </c>
      <c r="U1324" s="250" t="str">
        <f>IFERROR(__xludf.DUMMYFUNCTION("""COMPUTED_VALUE"""),"#N/A")</f>
        <v>#N/A</v>
      </c>
      <c r="V1324" s="250" t="str">
        <f>IFERROR(__xludf.DUMMYFUNCTION("""COMPUTED_VALUE"""),"#N/A")</f>
        <v>#N/A</v>
      </c>
      <c r="W1324" s="250" t="str">
        <f>IFERROR(__xludf.DUMMYFUNCTION("""COMPUTED_VALUE"""),"#N/A")</f>
        <v>#N/A</v>
      </c>
      <c r="X1324" t="b">
        <f t="shared" ref="X1324:Z1324" si="2624">ISBLANK(K1324)</f>
        <v>1</v>
      </c>
      <c r="Y1324" t="b">
        <f t="shared" si="2624"/>
        <v>0</v>
      </c>
      <c r="Z1324" t="b">
        <f t="shared" si="2624"/>
        <v>0</v>
      </c>
      <c r="AA1324">
        <f t="shared" ref="AA1324:AC1324" si="2625">IF(X1324=FALSE,1,0)</f>
        <v>0</v>
      </c>
      <c r="AB1324">
        <f t="shared" si="2625"/>
        <v>1</v>
      </c>
      <c r="AC1324">
        <f t="shared" si="2625"/>
        <v>1</v>
      </c>
      <c r="AD1324">
        <f t="shared" si="6"/>
        <v>2</v>
      </c>
      <c r="AE1324">
        <f t="shared" si="7"/>
        <v>1</v>
      </c>
    </row>
    <row r="1325">
      <c r="B1325" t="str">
        <f>IFERROR(__xludf.DUMMYFUNCTION("""COMPUTED_VALUE"""),"")</f>
        <v/>
      </c>
      <c r="C1325" t="str">
        <f>IFERROR(__xludf.DUMMYFUNCTION("""COMPUTED_VALUE"""),"")</f>
        <v/>
      </c>
      <c r="D1325" t="str">
        <f>IFERROR(__xludf.DUMMYFUNCTION("""COMPUTED_VALUE"""),"")</f>
        <v/>
      </c>
      <c r="E1325" t="str">
        <f>IFERROR(__xludf.DUMMYFUNCTION("""COMPUTED_VALUE"""),"")</f>
        <v/>
      </c>
      <c r="F1325" t="str">
        <f>IFERROR(__xludf.DUMMYFUNCTION("""COMPUTED_VALUE"""),"")</f>
        <v/>
      </c>
      <c r="G1325" t="str">
        <f>IFERROR(__xludf.DUMMYFUNCTION("""COMPUTED_VALUE"""),"")</f>
        <v/>
      </c>
      <c r="H1325" t="str">
        <f>IFERROR(__xludf.DUMMYFUNCTION("""COMPUTED_VALUE"""),"")</f>
        <v/>
      </c>
      <c r="I1325" t="str">
        <f>IFERROR(__xludf.DUMMYFUNCTION("""COMPUTED_VALUE"""),"")</f>
        <v/>
      </c>
      <c r="J1325">
        <f>IFERROR(__xludf.DUMMYFUNCTION("""COMPUTED_VALUE"""),0.0)</f>
        <v>0</v>
      </c>
      <c r="L1325" s="250" t="str">
        <f>IFERROR(__xludf.DUMMYFUNCTION("""COMPUTED_VALUE"""),"")</f>
        <v/>
      </c>
      <c r="M1325" s="250" t="str">
        <f>IFERROR(__xludf.DUMMYFUNCTION("""COMPUTED_VALUE"""),"")</f>
        <v/>
      </c>
      <c r="N1325" s="250" t="str">
        <f>IFERROR(__xludf.DUMMYFUNCTION("""COMPUTED_VALUE"""),"")</f>
        <v/>
      </c>
      <c r="O1325" s="250" t="str">
        <f>IFERROR(__xludf.DUMMYFUNCTION("""COMPUTED_VALUE"""),"")</f>
        <v/>
      </c>
      <c r="P1325" s="250" t="str">
        <f>IFERROR(__xludf.DUMMYFUNCTION("""COMPUTED_VALUE"""),"")</f>
        <v/>
      </c>
      <c r="Q1325" s="250" t="str">
        <f>IFERROR(__xludf.DUMMYFUNCTION("""COMPUTED_VALUE"""),"")</f>
        <v/>
      </c>
      <c r="R1325" s="250" t="str">
        <f>IFERROR(__xludf.DUMMYFUNCTION("""COMPUTED_VALUE"""),"")</f>
        <v/>
      </c>
      <c r="U1325" s="250" t="str">
        <f>IFERROR(__xludf.DUMMYFUNCTION("""COMPUTED_VALUE"""),"#N/A")</f>
        <v>#N/A</v>
      </c>
      <c r="V1325" s="250" t="str">
        <f>IFERROR(__xludf.DUMMYFUNCTION("""COMPUTED_VALUE"""),"#N/A")</f>
        <v>#N/A</v>
      </c>
      <c r="W1325" s="250" t="str">
        <f>IFERROR(__xludf.DUMMYFUNCTION("""COMPUTED_VALUE"""),"#N/A")</f>
        <v>#N/A</v>
      </c>
      <c r="X1325" t="b">
        <f t="shared" ref="X1325:Z1325" si="2626">ISBLANK(K1325)</f>
        <v>1</v>
      </c>
      <c r="Y1325" t="b">
        <f t="shared" si="2626"/>
        <v>0</v>
      </c>
      <c r="Z1325" t="b">
        <f t="shared" si="2626"/>
        <v>0</v>
      </c>
      <c r="AA1325">
        <f t="shared" ref="AA1325:AC1325" si="2627">IF(X1325=FALSE,1,0)</f>
        <v>0</v>
      </c>
      <c r="AB1325">
        <f t="shared" si="2627"/>
        <v>1</v>
      </c>
      <c r="AC1325">
        <f t="shared" si="2627"/>
        <v>1</v>
      </c>
      <c r="AD1325">
        <f t="shared" si="6"/>
        <v>2</v>
      </c>
      <c r="AE1325">
        <f t="shared" si="7"/>
        <v>1</v>
      </c>
    </row>
    <row r="1326">
      <c r="B1326" t="str">
        <f>IFERROR(__xludf.DUMMYFUNCTION("""COMPUTED_VALUE"""),"")</f>
        <v/>
      </c>
      <c r="C1326" t="str">
        <f>IFERROR(__xludf.DUMMYFUNCTION("""COMPUTED_VALUE"""),"")</f>
        <v/>
      </c>
      <c r="D1326" t="str">
        <f>IFERROR(__xludf.DUMMYFUNCTION("""COMPUTED_VALUE"""),"")</f>
        <v/>
      </c>
      <c r="E1326" t="str">
        <f>IFERROR(__xludf.DUMMYFUNCTION("""COMPUTED_VALUE"""),"")</f>
        <v/>
      </c>
      <c r="F1326" t="str">
        <f>IFERROR(__xludf.DUMMYFUNCTION("""COMPUTED_VALUE"""),"")</f>
        <v/>
      </c>
      <c r="G1326" t="str">
        <f>IFERROR(__xludf.DUMMYFUNCTION("""COMPUTED_VALUE"""),"")</f>
        <v/>
      </c>
      <c r="H1326" t="str">
        <f>IFERROR(__xludf.DUMMYFUNCTION("""COMPUTED_VALUE"""),"")</f>
        <v/>
      </c>
      <c r="I1326" t="str">
        <f>IFERROR(__xludf.DUMMYFUNCTION("""COMPUTED_VALUE"""),"")</f>
        <v/>
      </c>
      <c r="J1326">
        <f>IFERROR(__xludf.DUMMYFUNCTION("""COMPUTED_VALUE"""),0.0)</f>
        <v>0</v>
      </c>
      <c r="L1326" s="250" t="str">
        <f>IFERROR(__xludf.DUMMYFUNCTION("""COMPUTED_VALUE"""),"")</f>
        <v/>
      </c>
      <c r="M1326" s="250" t="str">
        <f>IFERROR(__xludf.DUMMYFUNCTION("""COMPUTED_VALUE"""),"")</f>
        <v/>
      </c>
      <c r="N1326" s="250" t="str">
        <f>IFERROR(__xludf.DUMMYFUNCTION("""COMPUTED_VALUE"""),"")</f>
        <v/>
      </c>
      <c r="O1326" s="250" t="str">
        <f>IFERROR(__xludf.DUMMYFUNCTION("""COMPUTED_VALUE"""),"")</f>
        <v/>
      </c>
      <c r="P1326" s="250" t="str">
        <f>IFERROR(__xludf.DUMMYFUNCTION("""COMPUTED_VALUE"""),"")</f>
        <v/>
      </c>
      <c r="Q1326" s="250" t="str">
        <f>IFERROR(__xludf.DUMMYFUNCTION("""COMPUTED_VALUE"""),"")</f>
        <v/>
      </c>
      <c r="R1326" s="250" t="str">
        <f>IFERROR(__xludf.DUMMYFUNCTION("""COMPUTED_VALUE"""),"")</f>
        <v/>
      </c>
      <c r="U1326" s="250" t="str">
        <f>IFERROR(__xludf.DUMMYFUNCTION("""COMPUTED_VALUE"""),"#N/A")</f>
        <v>#N/A</v>
      </c>
      <c r="V1326" s="250" t="str">
        <f>IFERROR(__xludf.DUMMYFUNCTION("""COMPUTED_VALUE"""),"#N/A")</f>
        <v>#N/A</v>
      </c>
      <c r="W1326" s="250" t="str">
        <f>IFERROR(__xludf.DUMMYFUNCTION("""COMPUTED_VALUE"""),"#N/A")</f>
        <v>#N/A</v>
      </c>
      <c r="X1326" t="b">
        <f t="shared" ref="X1326:Z1326" si="2628">ISBLANK(K1326)</f>
        <v>1</v>
      </c>
      <c r="Y1326" t="b">
        <f t="shared" si="2628"/>
        <v>0</v>
      </c>
      <c r="Z1326" t="b">
        <f t="shared" si="2628"/>
        <v>0</v>
      </c>
      <c r="AA1326">
        <f t="shared" ref="AA1326:AC1326" si="2629">IF(X1326=FALSE,1,0)</f>
        <v>0</v>
      </c>
      <c r="AB1326">
        <f t="shared" si="2629"/>
        <v>1</v>
      </c>
      <c r="AC1326">
        <f t="shared" si="2629"/>
        <v>1</v>
      </c>
      <c r="AD1326">
        <f t="shared" si="6"/>
        <v>2</v>
      </c>
      <c r="AE1326">
        <f t="shared" si="7"/>
        <v>1</v>
      </c>
    </row>
    <row r="1327">
      <c r="B1327" t="str">
        <f>IFERROR(__xludf.DUMMYFUNCTION("""COMPUTED_VALUE"""),"")</f>
        <v/>
      </c>
      <c r="C1327" t="str">
        <f>IFERROR(__xludf.DUMMYFUNCTION("""COMPUTED_VALUE"""),"")</f>
        <v/>
      </c>
      <c r="D1327" t="str">
        <f>IFERROR(__xludf.DUMMYFUNCTION("""COMPUTED_VALUE"""),"")</f>
        <v/>
      </c>
      <c r="E1327" t="str">
        <f>IFERROR(__xludf.DUMMYFUNCTION("""COMPUTED_VALUE"""),"")</f>
        <v/>
      </c>
      <c r="F1327" t="str">
        <f>IFERROR(__xludf.DUMMYFUNCTION("""COMPUTED_VALUE"""),"")</f>
        <v/>
      </c>
      <c r="G1327" t="str">
        <f>IFERROR(__xludf.DUMMYFUNCTION("""COMPUTED_VALUE"""),"")</f>
        <v/>
      </c>
      <c r="H1327" t="str">
        <f>IFERROR(__xludf.DUMMYFUNCTION("""COMPUTED_VALUE"""),"")</f>
        <v/>
      </c>
      <c r="I1327" t="str">
        <f>IFERROR(__xludf.DUMMYFUNCTION("""COMPUTED_VALUE"""),"")</f>
        <v/>
      </c>
      <c r="J1327">
        <f>IFERROR(__xludf.DUMMYFUNCTION("""COMPUTED_VALUE"""),0.0)</f>
        <v>0</v>
      </c>
      <c r="L1327" s="250" t="str">
        <f>IFERROR(__xludf.DUMMYFUNCTION("""COMPUTED_VALUE"""),"")</f>
        <v/>
      </c>
      <c r="M1327" s="250" t="str">
        <f>IFERROR(__xludf.DUMMYFUNCTION("""COMPUTED_VALUE"""),"")</f>
        <v/>
      </c>
      <c r="N1327" s="250" t="str">
        <f>IFERROR(__xludf.DUMMYFUNCTION("""COMPUTED_VALUE"""),"")</f>
        <v/>
      </c>
      <c r="O1327" s="250" t="str">
        <f>IFERROR(__xludf.DUMMYFUNCTION("""COMPUTED_VALUE"""),"")</f>
        <v/>
      </c>
      <c r="P1327" s="250" t="str">
        <f>IFERROR(__xludf.DUMMYFUNCTION("""COMPUTED_VALUE"""),"")</f>
        <v/>
      </c>
      <c r="Q1327" s="250" t="str">
        <f>IFERROR(__xludf.DUMMYFUNCTION("""COMPUTED_VALUE"""),"")</f>
        <v/>
      </c>
      <c r="R1327" s="250" t="str">
        <f>IFERROR(__xludf.DUMMYFUNCTION("""COMPUTED_VALUE"""),"")</f>
        <v/>
      </c>
      <c r="U1327" s="250" t="str">
        <f>IFERROR(__xludf.DUMMYFUNCTION("""COMPUTED_VALUE"""),"#N/A")</f>
        <v>#N/A</v>
      </c>
      <c r="V1327" s="250" t="str">
        <f>IFERROR(__xludf.DUMMYFUNCTION("""COMPUTED_VALUE"""),"#N/A")</f>
        <v>#N/A</v>
      </c>
      <c r="W1327" s="250" t="str">
        <f>IFERROR(__xludf.DUMMYFUNCTION("""COMPUTED_VALUE"""),"#N/A")</f>
        <v>#N/A</v>
      </c>
      <c r="X1327" t="b">
        <f t="shared" ref="X1327:Z1327" si="2630">ISBLANK(K1327)</f>
        <v>1</v>
      </c>
      <c r="Y1327" t="b">
        <f t="shared" si="2630"/>
        <v>0</v>
      </c>
      <c r="Z1327" t="b">
        <f t="shared" si="2630"/>
        <v>0</v>
      </c>
      <c r="AA1327">
        <f t="shared" ref="AA1327:AC1327" si="2631">IF(X1327=FALSE,1,0)</f>
        <v>0</v>
      </c>
      <c r="AB1327">
        <f t="shared" si="2631"/>
        <v>1</v>
      </c>
      <c r="AC1327">
        <f t="shared" si="2631"/>
        <v>1</v>
      </c>
      <c r="AD1327">
        <f t="shared" si="6"/>
        <v>2</v>
      </c>
      <c r="AE1327">
        <f t="shared" si="7"/>
        <v>1</v>
      </c>
    </row>
    <row r="1328">
      <c r="B1328" t="str">
        <f>IFERROR(__xludf.DUMMYFUNCTION("""COMPUTED_VALUE"""),"")</f>
        <v/>
      </c>
      <c r="C1328" t="str">
        <f>IFERROR(__xludf.DUMMYFUNCTION("""COMPUTED_VALUE"""),"")</f>
        <v/>
      </c>
      <c r="D1328" t="str">
        <f>IFERROR(__xludf.DUMMYFUNCTION("""COMPUTED_VALUE"""),"")</f>
        <v/>
      </c>
      <c r="E1328" t="str">
        <f>IFERROR(__xludf.DUMMYFUNCTION("""COMPUTED_VALUE"""),"")</f>
        <v/>
      </c>
      <c r="F1328" t="str">
        <f>IFERROR(__xludf.DUMMYFUNCTION("""COMPUTED_VALUE"""),"")</f>
        <v/>
      </c>
      <c r="G1328" t="str">
        <f>IFERROR(__xludf.DUMMYFUNCTION("""COMPUTED_VALUE"""),"")</f>
        <v/>
      </c>
      <c r="H1328" t="str">
        <f>IFERROR(__xludf.DUMMYFUNCTION("""COMPUTED_VALUE"""),"")</f>
        <v/>
      </c>
      <c r="I1328" t="str">
        <f>IFERROR(__xludf.DUMMYFUNCTION("""COMPUTED_VALUE"""),"")</f>
        <v/>
      </c>
      <c r="J1328">
        <f>IFERROR(__xludf.DUMMYFUNCTION("""COMPUTED_VALUE"""),0.0)</f>
        <v>0</v>
      </c>
      <c r="L1328" s="250" t="str">
        <f>IFERROR(__xludf.DUMMYFUNCTION("""COMPUTED_VALUE"""),"")</f>
        <v/>
      </c>
      <c r="M1328" s="250" t="str">
        <f>IFERROR(__xludf.DUMMYFUNCTION("""COMPUTED_VALUE"""),"")</f>
        <v/>
      </c>
      <c r="N1328" s="250" t="str">
        <f>IFERROR(__xludf.DUMMYFUNCTION("""COMPUTED_VALUE"""),"")</f>
        <v/>
      </c>
      <c r="O1328" s="250" t="str">
        <f>IFERROR(__xludf.DUMMYFUNCTION("""COMPUTED_VALUE"""),"")</f>
        <v/>
      </c>
      <c r="P1328" s="250" t="str">
        <f>IFERROR(__xludf.DUMMYFUNCTION("""COMPUTED_VALUE"""),"")</f>
        <v/>
      </c>
      <c r="Q1328" s="250" t="str">
        <f>IFERROR(__xludf.DUMMYFUNCTION("""COMPUTED_VALUE"""),"")</f>
        <v/>
      </c>
      <c r="R1328" s="250" t="str">
        <f>IFERROR(__xludf.DUMMYFUNCTION("""COMPUTED_VALUE"""),"")</f>
        <v/>
      </c>
      <c r="U1328" s="250" t="str">
        <f>IFERROR(__xludf.DUMMYFUNCTION("""COMPUTED_VALUE"""),"#N/A")</f>
        <v>#N/A</v>
      </c>
      <c r="V1328" s="250" t="str">
        <f>IFERROR(__xludf.DUMMYFUNCTION("""COMPUTED_VALUE"""),"#N/A")</f>
        <v>#N/A</v>
      </c>
      <c r="W1328" s="250" t="str">
        <f>IFERROR(__xludf.DUMMYFUNCTION("""COMPUTED_VALUE"""),"#N/A")</f>
        <v>#N/A</v>
      </c>
      <c r="X1328" t="b">
        <f t="shared" ref="X1328:Z1328" si="2632">ISBLANK(K1328)</f>
        <v>1</v>
      </c>
      <c r="Y1328" t="b">
        <f t="shared" si="2632"/>
        <v>0</v>
      </c>
      <c r="Z1328" t="b">
        <f t="shared" si="2632"/>
        <v>0</v>
      </c>
      <c r="AA1328">
        <f t="shared" ref="AA1328:AC1328" si="2633">IF(X1328=FALSE,1,0)</f>
        <v>0</v>
      </c>
      <c r="AB1328">
        <f t="shared" si="2633"/>
        <v>1</v>
      </c>
      <c r="AC1328">
        <f t="shared" si="2633"/>
        <v>1</v>
      </c>
      <c r="AD1328">
        <f t="shared" si="6"/>
        <v>2</v>
      </c>
      <c r="AE1328">
        <f t="shared" si="7"/>
        <v>1</v>
      </c>
    </row>
    <row r="1329">
      <c r="B1329" t="str">
        <f>IFERROR(__xludf.DUMMYFUNCTION("""COMPUTED_VALUE"""),"")</f>
        <v/>
      </c>
      <c r="C1329" t="str">
        <f>IFERROR(__xludf.DUMMYFUNCTION("""COMPUTED_VALUE"""),"")</f>
        <v/>
      </c>
      <c r="D1329" t="str">
        <f>IFERROR(__xludf.DUMMYFUNCTION("""COMPUTED_VALUE"""),"")</f>
        <v/>
      </c>
      <c r="E1329" t="str">
        <f>IFERROR(__xludf.DUMMYFUNCTION("""COMPUTED_VALUE"""),"")</f>
        <v/>
      </c>
      <c r="F1329" t="str">
        <f>IFERROR(__xludf.DUMMYFUNCTION("""COMPUTED_VALUE"""),"")</f>
        <v/>
      </c>
      <c r="G1329" t="str">
        <f>IFERROR(__xludf.DUMMYFUNCTION("""COMPUTED_VALUE"""),"")</f>
        <v/>
      </c>
      <c r="H1329" t="str">
        <f>IFERROR(__xludf.DUMMYFUNCTION("""COMPUTED_VALUE"""),"")</f>
        <v/>
      </c>
      <c r="I1329" t="str">
        <f>IFERROR(__xludf.DUMMYFUNCTION("""COMPUTED_VALUE"""),"")</f>
        <v/>
      </c>
      <c r="J1329">
        <f>IFERROR(__xludf.DUMMYFUNCTION("""COMPUTED_VALUE"""),0.0)</f>
        <v>0</v>
      </c>
      <c r="L1329" s="250" t="str">
        <f>IFERROR(__xludf.DUMMYFUNCTION("""COMPUTED_VALUE"""),"")</f>
        <v/>
      </c>
      <c r="M1329" s="250" t="str">
        <f>IFERROR(__xludf.DUMMYFUNCTION("""COMPUTED_VALUE"""),"")</f>
        <v/>
      </c>
      <c r="N1329" s="250" t="str">
        <f>IFERROR(__xludf.DUMMYFUNCTION("""COMPUTED_VALUE"""),"")</f>
        <v/>
      </c>
      <c r="O1329" s="250" t="str">
        <f>IFERROR(__xludf.DUMMYFUNCTION("""COMPUTED_VALUE"""),"")</f>
        <v/>
      </c>
      <c r="P1329" s="250" t="str">
        <f>IFERROR(__xludf.DUMMYFUNCTION("""COMPUTED_VALUE"""),"")</f>
        <v/>
      </c>
      <c r="Q1329" s="250" t="str">
        <f>IFERROR(__xludf.DUMMYFUNCTION("""COMPUTED_VALUE"""),"")</f>
        <v/>
      </c>
      <c r="R1329" s="250" t="str">
        <f>IFERROR(__xludf.DUMMYFUNCTION("""COMPUTED_VALUE"""),"")</f>
        <v/>
      </c>
      <c r="U1329" s="250" t="str">
        <f>IFERROR(__xludf.DUMMYFUNCTION("""COMPUTED_VALUE"""),"#N/A")</f>
        <v>#N/A</v>
      </c>
      <c r="V1329" s="250" t="str">
        <f>IFERROR(__xludf.DUMMYFUNCTION("""COMPUTED_VALUE"""),"#N/A")</f>
        <v>#N/A</v>
      </c>
      <c r="W1329" s="250" t="str">
        <f>IFERROR(__xludf.DUMMYFUNCTION("""COMPUTED_VALUE"""),"#N/A")</f>
        <v>#N/A</v>
      </c>
      <c r="X1329" t="b">
        <f t="shared" ref="X1329:Z1329" si="2634">ISBLANK(K1329)</f>
        <v>1</v>
      </c>
      <c r="Y1329" t="b">
        <f t="shared" si="2634"/>
        <v>0</v>
      </c>
      <c r="Z1329" t="b">
        <f t="shared" si="2634"/>
        <v>0</v>
      </c>
      <c r="AA1329">
        <f t="shared" ref="AA1329:AC1329" si="2635">IF(X1329=FALSE,1,0)</f>
        <v>0</v>
      </c>
      <c r="AB1329">
        <f t="shared" si="2635"/>
        <v>1</v>
      </c>
      <c r="AC1329">
        <f t="shared" si="2635"/>
        <v>1</v>
      </c>
      <c r="AD1329">
        <f t="shared" si="6"/>
        <v>2</v>
      </c>
      <c r="AE1329">
        <f t="shared" si="7"/>
        <v>1</v>
      </c>
    </row>
    <row r="1330">
      <c r="B1330" t="str">
        <f>IFERROR(__xludf.DUMMYFUNCTION("""COMPUTED_VALUE"""),"")</f>
        <v/>
      </c>
      <c r="C1330" t="str">
        <f>IFERROR(__xludf.DUMMYFUNCTION("""COMPUTED_VALUE"""),"")</f>
        <v/>
      </c>
      <c r="D1330" t="str">
        <f>IFERROR(__xludf.DUMMYFUNCTION("""COMPUTED_VALUE"""),"")</f>
        <v/>
      </c>
      <c r="E1330" t="str">
        <f>IFERROR(__xludf.DUMMYFUNCTION("""COMPUTED_VALUE"""),"")</f>
        <v/>
      </c>
      <c r="F1330" t="str">
        <f>IFERROR(__xludf.DUMMYFUNCTION("""COMPUTED_VALUE"""),"")</f>
        <v/>
      </c>
      <c r="G1330" t="str">
        <f>IFERROR(__xludf.DUMMYFUNCTION("""COMPUTED_VALUE"""),"")</f>
        <v/>
      </c>
      <c r="H1330" t="str">
        <f>IFERROR(__xludf.DUMMYFUNCTION("""COMPUTED_VALUE"""),"")</f>
        <v/>
      </c>
      <c r="I1330" t="str">
        <f>IFERROR(__xludf.DUMMYFUNCTION("""COMPUTED_VALUE"""),"")</f>
        <v/>
      </c>
      <c r="J1330">
        <f>IFERROR(__xludf.DUMMYFUNCTION("""COMPUTED_VALUE"""),0.0)</f>
        <v>0</v>
      </c>
      <c r="L1330" s="250" t="str">
        <f>IFERROR(__xludf.DUMMYFUNCTION("""COMPUTED_VALUE"""),"")</f>
        <v/>
      </c>
      <c r="M1330" s="250" t="str">
        <f>IFERROR(__xludf.DUMMYFUNCTION("""COMPUTED_VALUE"""),"")</f>
        <v/>
      </c>
      <c r="N1330" s="250" t="str">
        <f>IFERROR(__xludf.DUMMYFUNCTION("""COMPUTED_VALUE"""),"")</f>
        <v/>
      </c>
      <c r="O1330" s="250" t="str">
        <f>IFERROR(__xludf.DUMMYFUNCTION("""COMPUTED_VALUE"""),"")</f>
        <v/>
      </c>
      <c r="P1330" s="250" t="str">
        <f>IFERROR(__xludf.DUMMYFUNCTION("""COMPUTED_VALUE"""),"")</f>
        <v/>
      </c>
      <c r="Q1330" s="250" t="str">
        <f>IFERROR(__xludf.DUMMYFUNCTION("""COMPUTED_VALUE"""),"")</f>
        <v/>
      </c>
      <c r="R1330" s="250" t="str">
        <f>IFERROR(__xludf.DUMMYFUNCTION("""COMPUTED_VALUE"""),"")</f>
        <v/>
      </c>
      <c r="U1330" s="250" t="str">
        <f>IFERROR(__xludf.DUMMYFUNCTION("""COMPUTED_VALUE"""),"#N/A")</f>
        <v>#N/A</v>
      </c>
      <c r="V1330" s="250" t="str">
        <f>IFERROR(__xludf.DUMMYFUNCTION("""COMPUTED_VALUE"""),"#N/A")</f>
        <v>#N/A</v>
      </c>
      <c r="W1330" s="250" t="str">
        <f>IFERROR(__xludf.DUMMYFUNCTION("""COMPUTED_VALUE"""),"#N/A")</f>
        <v>#N/A</v>
      </c>
      <c r="X1330" t="b">
        <f t="shared" ref="X1330:Z1330" si="2636">ISBLANK(K1330)</f>
        <v>1</v>
      </c>
      <c r="Y1330" t="b">
        <f t="shared" si="2636"/>
        <v>0</v>
      </c>
      <c r="Z1330" t="b">
        <f t="shared" si="2636"/>
        <v>0</v>
      </c>
      <c r="AA1330">
        <f t="shared" ref="AA1330:AC1330" si="2637">IF(X1330=FALSE,1,0)</f>
        <v>0</v>
      </c>
      <c r="AB1330">
        <f t="shared" si="2637"/>
        <v>1</v>
      </c>
      <c r="AC1330">
        <f t="shared" si="2637"/>
        <v>1</v>
      </c>
      <c r="AD1330">
        <f t="shared" si="6"/>
        <v>2</v>
      </c>
      <c r="AE1330">
        <f t="shared" si="7"/>
        <v>1</v>
      </c>
    </row>
    <row r="1331">
      <c r="B1331" t="str">
        <f>IFERROR(__xludf.DUMMYFUNCTION("""COMPUTED_VALUE"""),"")</f>
        <v/>
      </c>
      <c r="C1331" t="str">
        <f>IFERROR(__xludf.DUMMYFUNCTION("""COMPUTED_VALUE"""),"")</f>
        <v/>
      </c>
      <c r="D1331" t="str">
        <f>IFERROR(__xludf.DUMMYFUNCTION("""COMPUTED_VALUE"""),"")</f>
        <v/>
      </c>
      <c r="E1331" t="str">
        <f>IFERROR(__xludf.DUMMYFUNCTION("""COMPUTED_VALUE"""),"")</f>
        <v/>
      </c>
      <c r="F1331" t="str">
        <f>IFERROR(__xludf.DUMMYFUNCTION("""COMPUTED_VALUE"""),"")</f>
        <v/>
      </c>
      <c r="G1331" t="str">
        <f>IFERROR(__xludf.DUMMYFUNCTION("""COMPUTED_VALUE"""),"")</f>
        <v/>
      </c>
      <c r="H1331" t="str">
        <f>IFERROR(__xludf.DUMMYFUNCTION("""COMPUTED_VALUE"""),"")</f>
        <v/>
      </c>
      <c r="I1331" t="str">
        <f>IFERROR(__xludf.DUMMYFUNCTION("""COMPUTED_VALUE"""),"")</f>
        <v/>
      </c>
      <c r="J1331">
        <f>IFERROR(__xludf.DUMMYFUNCTION("""COMPUTED_VALUE"""),0.0)</f>
        <v>0</v>
      </c>
      <c r="L1331" s="250" t="str">
        <f>IFERROR(__xludf.DUMMYFUNCTION("""COMPUTED_VALUE"""),"")</f>
        <v/>
      </c>
      <c r="M1331" s="250" t="str">
        <f>IFERROR(__xludf.DUMMYFUNCTION("""COMPUTED_VALUE"""),"")</f>
        <v/>
      </c>
      <c r="N1331" s="250" t="str">
        <f>IFERROR(__xludf.DUMMYFUNCTION("""COMPUTED_VALUE"""),"")</f>
        <v/>
      </c>
      <c r="O1331" s="250" t="str">
        <f>IFERROR(__xludf.DUMMYFUNCTION("""COMPUTED_VALUE"""),"")</f>
        <v/>
      </c>
      <c r="P1331" s="250" t="str">
        <f>IFERROR(__xludf.DUMMYFUNCTION("""COMPUTED_VALUE"""),"")</f>
        <v/>
      </c>
      <c r="Q1331" s="250" t="str">
        <f>IFERROR(__xludf.DUMMYFUNCTION("""COMPUTED_VALUE"""),"")</f>
        <v/>
      </c>
      <c r="R1331" s="250" t="str">
        <f>IFERROR(__xludf.DUMMYFUNCTION("""COMPUTED_VALUE"""),"")</f>
        <v/>
      </c>
      <c r="U1331" s="250" t="str">
        <f>IFERROR(__xludf.DUMMYFUNCTION("""COMPUTED_VALUE"""),"#N/A")</f>
        <v>#N/A</v>
      </c>
      <c r="V1331" s="250" t="str">
        <f>IFERROR(__xludf.DUMMYFUNCTION("""COMPUTED_VALUE"""),"#N/A")</f>
        <v>#N/A</v>
      </c>
      <c r="W1331" s="250" t="str">
        <f>IFERROR(__xludf.DUMMYFUNCTION("""COMPUTED_VALUE"""),"#N/A")</f>
        <v>#N/A</v>
      </c>
      <c r="X1331" t="b">
        <f t="shared" ref="X1331:Z1331" si="2638">ISBLANK(K1331)</f>
        <v>1</v>
      </c>
      <c r="Y1331" t="b">
        <f t="shared" si="2638"/>
        <v>0</v>
      </c>
      <c r="Z1331" t="b">
        <f t="shared" si="2638"/>
        <v>0</v>
      </c>
      <c r="AA1331">
        <f t="shared" ref="AA1331:AC1331" si="2639">IF(X1331=FALSE,1,0)</f>
        <v>0</v>
      </c>
      <c r="AB1331">
        <f t="shared" si="2639"/>
        <v>1</v>
      </c>
      <c r="AC1331">
        <f t="shared" si="2639"/>
        <v>1</v>
      </c>
      <c r="AD1331">
        <f t="shared" si="6"/>
        <v>2</v>
      </c>
      <c r="AE1331">
        <f t="shared" si="7"/>
        <v>1</v>
      </c>
    </row>
    <row r="1332">
      <c r="B1332" t="str">
        <f>IFERROR(__xludf.DUMMYFUNCTION("""COMPUTED_VALUE"""),"")</f>
        <v/>
      </c>
      <c r="C1332" t="str">
        <f>IFERROR(__xludf.DUMMYFUNCTION("""COMPUTED_VALUE"""),"")</f>
        <v/>
      </c>
      <c r="D1332" t="str">
        <f>IFERROR(__xludf.DUMMYFUNCTION("""COMPUTED_VALUE"""),"")</f>
        <v/>
      </c>
      <c r="E1332" t="str">
        <f>IFERROR(__xludf.DUMMYFUNCTION("""COMPUTED_VALUE"""),"")</f>
        <v/>
      </c>
      <c r="F1332" t="str">
        <f>IFERROR(__xludf.DUMMYFUNCTION("""COMPUTED_VALUE"""),"")</f>
        <v/>
      </c>
      <c r="G1332" t="str">
        <f>IFERROR(__xludf.DUMMYFUNCTION("""COMPUTED_VALUE"""),"")</f>
        <v/>
      </c>
      <c r="H1332" t="str">
        <f>IFERROR(__xludf.DUMMYFUNCTION("""COMPUTED_VALUE"""),"")</f>
        <v/>
      </c>
      <c r="I1332" t="str">
        <f>IFERROR(__xludf.DUMMYFUNCTION("""COMPUTED_VALUE"""),"")</f>
        <v/>
      </c>
      <c r="J1332">
        <f>IFERROR(__xludf.DUMMYFUNCTION("""COMPUTED_VALUE"""),0.0)</f>
        <v>0</v>
      </c>
      <c r="L1332" s="250" t="str">
        <f>IFERROR(__xludf.DUMMYFUNCTION("""COMPUTED_VALUE"""),"")</f>
        <v/>
      </c>
      <c r="M1332" s="250" t="str">
        <f>IFERROR(__xludf.DUMMYFUNCTION("""COMPUTED_VALUE"""),"")</f>
        <v/>
      </c>
      <c r="N1332" s="250" t="str">
        <f>IFERROR(__xludf.DUMMYFUNCTION("""COMPUTED_VALUE"""),"")</f>
        <v/>
      </c>
      <c r="O1332" s="250" t="str">
        <f>IFERROR(__xludf.DUMMYFUNCTION("""COMPUTED_VALUE"""),"")</f>
        <v/>
      </c>
      <c r="P1332" s="250" t="str">
        <f>IFERROR(__xludf.DUMMYFUNCTION("""COMPUTED_VALUE"""),"")</f>
        <v/>
      </c>
      <c r="Q1332" s="250" t="str">
        <f>IFERROR(__xludf.DUMMYFUNCTION("""COMPUTED_VALUE"""),"")</f>
        <v/>
      </c>
      <c r="R1332" s="250" t="str">
        <f>IFERROR(__xludf.DUMMYFUNCTION("""COMPUTED_VALUE"""),"")</f>
        <v/>
      </c>
      <c r="U1332" s="250" t="str">
        <f>IFERROR(__xludf.DUMMYFUNCTION("""COMPUTED_VALUE"""),"#N/A")</f>
        <v>#N/A</v>
      </c>
      <c r="V1332" s="250" t="str">
        <f>IFERROR(__xludf.DUMMYFUNCTION("""COMPUTED_VALUE"""),"#N/A")</f>
        <v>#N/A</v>
      </c>
      <c r="W1332" s="250" t="str">
        <f>IFERROR(__xludf.DUMMYFUNCTION("""COMPUTED_VALUE"""),"#N/A")</f>
        <v>#N/A</v>
      </c>
      <c r="X1332" t="b">
        <f t="shared" ref="X1332:Z1332" si="2640">ISBLANK(K1332)</f>
        <v>1</v>
      </c>
      <c r="Y1332" t="b">
        <f t="shared" si="2640"/>
        <v>0</v>
      </c>
      <c r="Z1332" t="b">
        <f t="shared" si="2640"/>
        <v>0</v>
      </c>
      <c r="AA1332">
        <f t="shared" ref="AA1332:AC1332" si="2641">IF(X1332=FALSE,1,0)</f>
        <v>0</v>
      </c>
      <c r="AB1332">
        <f t="shared" si="2641"/>
        <v>1</v>
      </c>
      <c r="AC1332">
        <f t="shared" si="2641"/>
        <v>1</v>
      </c>
      <c r="AD1332">
        <f t="shared" si="6"/>
        <v>2</v>
      </c>
      <c r="AE1332">
        <f t="shared" si="7"/>
        <v>1</v>
      </c>
    </row>
    <row r="1333">
      <c r="B1333" t="str">
        <f>IFERROR(__xludf.DUMMYFUNCTION("""COMPUTED_VALUE"""),"")</f>
        <v/>
      </c>
      <c r="C1333" t="str">
        <f>IFERROR(__xludf.DUMMYFUNCTION("""COMPUTED_VALUE"""),"")</f>
        <v/>
      </c>
      <c r="D1333" t="str">
        <f>IFERROR(__xludf.DUMMYFUNCTION("""COMPUTED_VALUE"""),"")</f>
        <v/>
      </c>
      <c r="E1333" t="str">
        <f>IFERROR(__xludf.DUMMYFUNCTION("""COMPUTED_VALUE"""),"")</f>
        <v/>
      </c>
      <c r="F1333" t="str">
        <f>IFERROR(__xludf.DUMMYFUNCTION("""COMPUTED_VALUE"""),"")</f>
        <v/>
      </c>
      <c r="G1333" t="str">
        <f>IFERROR(__xludf.DUMMYFUNCTION("""COMPUTED_VALUE"""),"")</f>
        <v/>
      </c>
      <c r="H1333" t="str">
        <f>IFERROR(__xludf.DUMMYFUNCTION("""COMPUTED_VALUE"""),"")</f>
        <v/>
      </c>
      <c r="I1333" t="str">
        <f>IFERROR(__xludf.DUMMYFUNCTION("""COMPUTED_VALUE"""),"")</f>
        <v/>
      </c>
      <c r="J1333">
        <f>IFERROR(__xludf.DUMMYFUNCTION("""COMPUTED_VALUE"""),0.0)</f>
        <v>0</v>
      </c>
      <c r="L1333" s="250" t="str">
        <f>IFERROR(__xludf.DUMMYFUNCTION("""COMPUTED_VALUE"""),"")</f>
        <v/>
      </c>
      <c r="M1333" s="250" t="str">
        <f>IFERROR(__xludf.DUMMYFUNCTION("""COMPUTED_VALUE"""),"")</f>
        <v/>
      </c>
      <c r="N1333" s="250" t="str">
        <f>IFERROR(__xludf.DUMMYFUNCTION("""COMPUTED_VALUE"""),"")</f>
        <v/>
      </c>
      <c r="O1333" s="250" t="str">
        <f>IFERROR(__xludf.DUMMYFUNCTION("""COMPUTED_VALUE"""),"")</f>
        <v/>
      </c>
      <c r="P1333" s="250" t="str">
        <f>IFERROR(__xludf.DUMMYFUNCTION("""COMPUTED_VALUE"""),"")</f>
        <v/>
      </c>
      <c r="Q1333" s="250" t="str">
        <f>IFERROR(__xludf.DUMMYFUNCTION("""COMPUTED_VALUE"""),"")</f>
        <v/>
      </c>
      <c r="R1333" s="250" t="str">
        <f>IFERROR(__xludf.DUMMYFUNCTION("""COMPUTED_VALUE"""),"")</f>
        <v/>
      </c>
      <c r="U1333" s="250" t="str">
        <f>IFERROR(__xludf.DUMMYFUNCTION("""COMPUTED_VALUE"""),"#N/A")</f>
        <v>#N/A</v>
      </c>
      <c r="V1333" s="250" t="str">
        <f>IFERROR(__xludf.DUMMYFUNCTION("""COMPUTED_VALUE"""),"#N/A")</f>
        <v>#N/A</v>
      </c>
      <c r="W1333" s="250" t="str">
        <f>IFERROR(__xludf.DUMMYFUNCTION("""COMPUTED_VALUE"""),"#N/A")</f>
        <v>#N/A</v>
      </c>
      <c r="X1333" t="b">
        <f t="shared" ref="X1333:Z1333" si="2642">ISBLANK(K1333)</f>
        <v>1</v>
      </c>
      <c r="Y1333" t="b">
        <f t="shared" si="2642"/>
        <v>0</v>
      </c>
      <c r="Z1333" t="b">
        <f t="shared" si="2642"/>
        <v>0</v>
      </c>
      <c r="AA1333">
        <f t="shared" ref="AA1333:AC1333" si="2643">IF(X1333=FALSE,1,0)</f>
        <v>0</v>
      </c>
      <c r="AB1333">
        <f t="shared" si="2643"/>
        <v>1</v>
      </c>
      <c r="AC1333">
        <f t="shared" si="2643"/>
        <v>1</v>
      </c>
      <c r="AD1333">
        <f t="shared" si="6"/>
        <v>2</v>
      </c>
      <c r="AE1333">
        <f t="shared" si="7"/>
        <v>1</v>
      </c>
    </row>
    <row r="1334">
      <c r="B1334" t="str">
        <f>IFERROR(__xludf.DUMMYFUNCTION("""COMPUTED_VALUE"""),"")</f>
        <v/>
      </c>
      <c r="C1334" t="str">
        <f>IFERROR(__xludf.DUMMYFUNCTION("""COMPUTED_VALUE"""),"")</f>
        <v/>
      </c>
      <c r="D1334" t="str">
        <f>IFERROR(__xludf.DUMMYFUNCTION("""COMPUTED_VALUE"""),"")</f>
        <v/>
      </c>
      <c r="E1334" t="str">
        <f>IFERROR(__xludf.DUMMYFUNCTION("""COMPUTED_VALUE"""),"")</f>
        <v/>
      </c>
      <c r="F1334" t="str">
        <f>IFERROR(__xludf.DUMMYFUNCTION("""COMPUTED_VALUE"""),"")</f>
        <v/>
      </c>
      <c r="G1334" t="str">
        <f>IFERROR(__xludf.DUMMYFUNCTION("""COMPUTED_VALUE"""),"")</f>
        <v/>
      </c>
      <c r="H1334" t="str">
        <f>IFERROR(__xludf.DUMMYFUNCTION("""COMPUTED_VALUE"""),"")</f>
        <v/>
      </c>
      <c r="I1334" t="str">
        <f>IFERROR(__xludf.DUMMYFUNCTION("""COMPUTED_VALUE"""),"")</f>
        <v/>
      </c>
      <c r="J1334">
        <f>IFERROR(__xludf.DUMMYFUNCTION("""COMPUTED_VALUE"""),0.0)</f>
        <v>0</v>
      </c>
      <c r="L1334" s="250" t="str">
        <f>IFERROR(__xludf.DUMMYFUNCTION("""COMPUTED_VALUE"""),"")</f>
        <v/>
      </c>
      <c r="M1334" s="250" t="str">
        <f>IFERROR(__xludf.DUMMYFUNCTION("""COMPUTED_VALUE"""),"")</f>
        <v/>
      </c>
      <c r="N1334" s="250" t="str">
        <f>IFERROR(__xludf.DUMMYFUNCTION("""COMPUTED_VALUE"""),"")</f>
        <v/>
      </c>
      <c r="O1334" s="250" t="str">
        <f>IFERROR(__xludf.DUMMYFUNCTION("""COMPUTED_VALUE"""),"")</f>
        <v/>
      </c>
      <c r="P1334" s="250" t="str">
        <f>IFERROR(__xludf.DUMMYFUNCTION("""COMPUTED_VALUE"""),"")</f>
        <v/>
      </c>
      <c r="Q1334" s="250" t="str">
        <f>IFERROR(__xludf.DUMMYFUNCTION("""COMPUTED_VALUE"""),"")</f>
        <v/>
      </c>
      <c r="R1334" s="250" t="str">
        <f>IFERROR(__xludf.DUMMYFUNCTION("""COMPUTED_VALUE"""),"")</f>
        <v/>
      </c>
      <c r="U1334" s="250" t="str">
        <f>IFERROR(__xludf.DUMMYFUNCTION("""COMPUTED_VALUE"""),"#N/A")</f>
        <v>#N/A</v>
      </c>
      <c r="V1334" s="250" t="str">
        <f>IFERROR(__xludf.DUMMYFUNCTION("""COMPUTED_VALUE"""),"#N/A")</f>
        <v>#N/A</v>
      </c>
      <c r="W1334" s="250" t="str">
        <f>IFERROR(__xludf.DUMMYFUNCTION("""COMPUTED_VALUE"""),"#N/A")</f>
        <v>#N/A</v>
      </c>
      <c r="X1334" t="b">
        <f t="shared" ref="X1334:Z1334" si="2644">ISBLANK(K1334)</f>
        <v>1</v>
      </c>
      <c r="Y1334" t="b">
        <f t="shared" si="2644"/>
        <v>0</v>
      </c>
      <c r="Z1334" t="b">
        <f t="shared" si="2644"/>
        <v>0</v>
      </c>
      <c r="AA1334">
        <f t="shared" ref="AA1334:AC1334" si="2645">IF(X1334=FALSE,1,0)</f>
        <v>0</v>
      </c>
      <c r="AB1334">
        <f t="shared" si="2645"/>
        <v>1</v>
      </c>
      <c r="AC1334">
        <f t="shared" si="2645"/>
        <v>1</v>
      </c>
      <c r="AD1334">
        <f t="shared" si="6"/>
        <v>2</v>
      </c>
      <c r="AE1334">
        <f t="shared" si="7"/>
        <v>1</v>
      </c>
    </row>
    <row r="1335">
      <c r="B1335" t="str">
        <f>IFERROR(__xludf.DUMMYFUNCTION("""COMPUTED_VALUE"""),"")</f>
        <v/>
      </c>
      <c r="C1335" t="str">
        <f>IFERROR(__xludf.DUMMYFUNCTION("""COMPUTED_VALUE"""),"")</f>
        <v/>
      </c>
      <c r="D1335" t="str">
        <f>IFERROR(__xludf.DUMMYFUNCTION("""COMPUTED_VALUE"""),"")</f>
        <v/>
      </c>
      <c r="E1335" t="str">
        <f>IFERROR(__xludf.DUMMYFUNCTION("""COMPUTED_VALUE"""),"")</f>
        <v/>
      </c>
      <c r="F1335" t="str">
        <f>IFERROR(__xludf.DUMMYFUNCTION("""COMPUTED_VALUE"""),"")</f>
        <v/>
      </c>
      <c r="G1335" t="str">
        <f>IFERROR(__xludf.DUMMYFUNCTION("""COMPUTED_VALUE"""),"")</f>
        <v/>
      </c>
      <c r="H1335" t="str">
        <f>IFERROR(__xludf.DUMMYFUNCTION("""COMPUTED_VALUE"""),"")</f>
        <v/>
      </c>
      <c r="I1335" t="str">
        <f>IFERROR(__xludf.DUMMYFUNCTION("""COMPUTED_VALUE"""),"")</f>
        <v/>
      </c>
      <c r="J1335">
        <f>IFERROR(__xludf.DUMMYFUNCTION("""COMPUTED_VALUE"""),0.0)</f>
        <v>0</v>
      </c>
      <c r="L1335" s="250" t="str">
        <f>IFERROR(__xludf.DUMMYFUNCTION("""COMPUTED_VALUE"""),"")</f>
        <v/>
      </c>
      <c r="M1335" s="250" t="str">
        <f>IFERROR(__xludf.DUMMYFUNCTION("""COMPUTED_VALUE"""),"")</f>
        <v/>
      </c>
      <c r="N1335" s="250" t="str">
        <f>IFERROR(__xludf.DUMMYFUNCTION("""COMPUTED_VALUE"""),"")</f>
        <v/>
      </c>
      <c r="O1335" s="250" t="str">
        <f>IFERROR(__xludf.DUMMYFUNCTION("""COMPUTED_VALUE"""),"")</f>
        <v/>
      </c>
      <c r="P1335" s="250" t="str">
        <f>IFERROR(__xludf.DUMMYFUNCTION("""COMPUTED_VALUE"""),"")</f>
        <v/>
      </c>
      <c r="Q1335" s="250" t="str">
        <f>IFERROR(__xludf.DUMMYFUNCTION("""COMPUTED_VALUE"""),"")</f>
        <v/>
      </c>
      <c r="R1335" s="250" t="str">
        <f>IFERROR(__xludf.DUMMYFUNCTION("""COMPUTED_VALUE"""),"")</f>
        <v/>
      </c>
      <c r="U1335" s="250" t="str">
        <f>IFERROR(__xludf.DUMMYFUNCTION("""COMPUTED_VALUE"""),"#N/A")</f>
        <v>#N/A</v>
      </c>
      <c r="V1335" s="250" t="str">
        <f>IFERROR(__xludf.DUMMYFUNCTION("""COMPUTED_VALUE"""),"#N/A")</f>
        <v>#N/A</v>
      </c>
      <c r="W1335" s="250" t="str">
        <f>IFERROR(__xludf.DUMMYFUNCTION("""COMPUTED_VALUE"""),"#N/A")</f>
        <v>#N/A</v>
      </c>
      <c r="X1335" t="b">
        <f t="shared" ref="X1335:Z1335" si="2646">ISBLANK(K1335)</f>
        <v>1</v>
      </c>
      <c r="Y1335" t="b">
        <f t="shared" si="2646"/>
        <v>0</v>
      </c>
      <c r="Z1335" t="b">
        <f t="shared" si="2646"/>
        <v>0</v>
      </c>
      <c r="AA1335">
        <f t="shared" ref="AA1335:AC1335" si="2647">IF(X1335=FALSE,1,0)</f>
        <v>0</v>
      </c>
      <c r="AB1335">
        <f t="shared" si="2647"/>
        <v>1</v>
      </c>
      <c r="AC1335">
        <f t="shared" si="2647"/>
        <v>1</v>
      </c>
      <c r="AD1335">
        <f t="shared" si="6"/>
        <v>2</v>
      </c>
      <c r="AE1335">
        <f t="shared" si="7"/>
        <v>1</v>
      </c>
    </row>
    <row r="1336">
      <c r="B1336" t="str">
        <f>IFERROR(__xludf.DUMMYFUNCTION("""COMPUTED_VALUE"""),"")</f>
        <v/>
      </c>
      <c r="C1336" t="str">
        <f>IFERROR(__xludf.DUMMYFUNCTION("""COMPUTED_VALUE"""),"")</f>
        <v/>
      </c>
      <c r="D1336" t="str">
        <f>IFERROR(__xludf.DUMMYFUNCTION("""COMPUTED_VALUE"""),"")</f>
        <v/>
      </c>
      <c r="E1336" t="str">
        <f>IFERROR(__xludf.DUMMYFUNCTION("""COMPUTED_VALUE"""),"")</f>
        <v/>
      </c>
      <c r="F1336" t="str">
        <f>IFERROR(__xludf.DUMMYFUNCTION("""COMPUTED_VALUE"""),"")</f>
        <v/>
      </c>
      <c r="G1336" t="str">
        <f>IFERROR(__xludf.DUMMYFUNCTION("""COMPUTED_VALUE"""),"")</f>
        <v/>
      </c>
      <c r="H1336" t="str">
        <f>IFERROR(__xludf.DUMMYFUNCTION("""COMPUTED_VALUE"""),"")</f>
        <v/>
      </c>
      <c r="I1336" t="str">
        <f>IFERROR(__xludf.DUMMYFUNCTION("""COMPUTED_VALUE"""),"")</f>
        <v/>
      </c>
      <c r="J1336">
        <f>IFERROR(__xludf.DUMMYFUNCTION("""COMPUTED_VALUE"""),0.0)</f>
        <v>0</v>
      </c>
      <c r="L1336" s="250" t="str">
        <f>IFERROR(__xludf.DUMMYFUNCTION("""COMPUTED_VALUE"""),"")</f>
        <v/>
      </c>
      <c r="M1336" s="250" t="str">
        <f>IFERROR(__xludf.DUMMYFUNCTION("""COMPUTED_VALUE"""),"")</f>
        <v/>
      </c>
      <c r="N1336" s="250" t="str">
        <f>IFERROR(__xludf.DUMMYFUNCTION("""COMPUTED_VALUE"""),"")</f>
        <v/>
      </c>
      <c r="O1336" s="250" t="str">
        <f>IFERROR(__xludf.DUMMYFUNCTION("""COMPUTED_VALUE"""),"")</f>
        <v/>
      </c>
      <c r="P1336" s="250" t="str">
        <f>IFERROR(__xludf.DUMMYFUNCTION("""COMPUTED_VALUE"""),"")</f>
        <v/>
      </c>
      <c r="Q1336" s="250" t="str">
        <f>IFERROR(__xludf.DUMMYFUNCTION("""COMPUTED_VALUE"""),"")</f>
        <v/>
      </c>
      <c r="R1336" s="250" t="str">
        <f>IFERROR(__xludf.DUMMYFUNCTION("""COMPUTED_VALUE"""),"")</f>
        <v/>
      </c>
      <c r="U1336" s="250" t="str">
        <f>IFERROR(__xludf.DUMMYFUNCTION("""COMPUTED_VALUE"""),"#N/A")</f>
        <v>#N/A</v>
      </c>
      <c r="V1336" s="250" t="str">
        <f>IFERROR(__xludf.DUMMYFUNCTION("""COMPUTED_VALUE"""),"#N/A")</f>
        <v>#N/A</v>
      </c>
      <c r="W1336" s="250" t="str">
        <f>IFERROR(__xludf.DUMMYFUNCTION("""COMPUTED_VALUE"""),"#N/A")</f>
        <v>#N/A</v>
      </c>
      <c r="X1336" t="b">
        <f t="shared" ref="X1336:Z1336" si="2648">ISBLANK(K1336)</f>
        <v>1</v>
      </c>
      <c r="Y1336" t="b">
        <f t="shared" si="2648"/>
        <v>0</v>
      </c>
      <c r="Z1336" t="b">
        <f t="shared" si="2648"/>
        <v>0</v>
      </c>
      <c r="AA1336">
        <f t="shared" ref="AA1336:AC1336" si="2649">IF(X1336=FALSE,1,0)</f>
        <v>0</v>
      </c>
      <c r="AB1336">
        <f t="shared" si="2649"/>
        <v>1</v>
      </c>
      <c r="AC1336">
        <f t="shared" si="2649"/>
        <v>1</v>
      </c>
      <c r="AD1336">
        <f t="shared" si="6"/>
        <v>2</v>
      </c>
      <c r="AE1336">
        <f t="shared" si="7"/>
        <v>1</v>
      </c>
    </row>
    <row r="1337">
      <c r="B1337" t="str">
        <f>IFERROR(__xludf.DUMMYFUNCTION("""COMPUTED_VALUE"""),"")</f>
        <v/>
      </c>
      <c r="C1337" t="str">
        <f>IFERROR(__xludf.DUMMYFUNCTION("""COMPUTED_VALUE"""),"")</f>
        <v/>
      </c>
      <c r="D1337" t="str">
        <f>IFERROR(__xludf.DUMMYFUNCTION("""COMPUTED_VALUE"""),"")</f>
        <v/>
      </c>
      <c r="E1337" t="str">
        <f>IFERROR(__xludf.DUMMYFUNCTION("""COMPUTED_VALUE"""),"")</f>
        <v/>
      </c>
      <c r="F1337" t="str">
        <f>IFERROR(__xludf.DUMMYFUNCTION("""COMPUTED_VALUE"""),"")</f>
        <v/>
      </c>
      <c r="G1337" t="str">
        <f>IFERROR(__xludf.DUMMYFUNCTION("""COMPUTED_VALUE"""),"")</f>
        <v/>
      </c>
      <c r="H1337" t="str">
        <f>IFERROR(__xludf.DUMMYFUNCTION("""COMPUTED_VALUE"""),"")</f>
        <v/>
      </c>
      <c r="I1337" t="str">
        <f>IFERROR(__xludf.DUMMYFUNCTION("""COMPUTED_VALUE"""),"")</f>
        <v/>
      </c>
      <c r="J1337">
        <f>IFERROR(__xludf.DUMMYFUNCTION("""COMPUTED_VALUE"""),0.0)</f>
        <v>0</v>
      </c>
      <c r="L1337" s="250" t="str">
        <f>IFERROR(__xludf.DUMMYFUNCTION("""COMPUTED_VALUE"""),"")</f>
        <v/>
      </c>
      <c r="M1337" s="250" t="str">
        <f>IFERROR(__xludf.DUMMYFUNCTION("""COMPUTED_VALUE"""),"")</f>
        <v/>
      </c>
      <c r="N1337" s="250" t="str">
        <f>IFERROR(__xludf.DUMMYFUNCTION("""COMPUTED_VALUE"""),"")</f>
        <v/>
      </c>
      <c r="O1337" s="250" t="str">
        <f>IFERROR(__xludf.DUMMYFUNCTION("""COMPUTED_VALUE"""),"")</f>
        <v/>
      </c>
      <c r="P1337" s="250" t="str">
        <f>IFERROR(__xludf.DUMMYFUNCTION("""COMPUTED_VALUE"""),"")</f>
        <v/>
      </c>
      <c r="Q1337" s="250" t="str">
        <f>IFERROR(__xludf.DUMMYFUNCTION("""COMPUTED_VALUE"""),"")</f>
        <v/>
      </c>
      <c r="R1337" s="250" t="str">
        <f>IFERROR(__xludf.DUMMYFUNCTION("""COMPUTED_VALUE"""),"")</f>
        <v/>
      </c>
      <c r="U1337" s="250" t="str">
        <f>IFERROR(__xludf.DUMMYFUNCTION("""COMPUTED_VALUE"""),"#N/A")</f>
        <v>#N/A</v>
      </c>
      <c r="V1337" s="250" t="str">
        <f>IFERROR(__xludf.DUMMYFUNCTION("""COMPUTED_VALUE"""),"#N/A")</f>
        <v>#N/A</v>
      </c>
      <c r="W1337" s="250" t="str">
        <f>IFERROR(__xludf.DUMMYFUNCTION("""COMPUTED_VALUE"""),"#N/A")</f>
        <v>#N/A</v>
      </c>
      <c r="X1337" t="b">
        <f t="shared" ref="X1337:Z1337" si="2650">ISBLANK(K1337)</f>
        <v>1</v>
      </c>
      <c r="Y1337" t="b">
        <f t="shared" si="2650"/>
        <v>0</v>
      </c>
      <c r="Z1337" t="b">
        <f t="shared" si="2650"/>
        <v>0</v>
      </c>
      <c r="AA1337">
        <f t="shared" ref="AA1337:AC1337" si="2651">IF(X1337=FALSE,1,0)</f>
        <v>0</v>
      </c>
      <c r="AB1337">
        <f t="shared" si="2651"/>
        <v>1</v>
      </c>
      <c r="AC1337">
        <f t="shared" si="2651"/>
        <v>1</v>
      </c>
      <c r="AD1337">
        <f t="shared" si="6"/>
        <v>2</v>
      </c>
      <c r="AE1337">
        <f t="shared" si="7"/>
        <v>1</v>
      </c>
    </row>
    <row r="1338">
      <c r="B1338" t="str">
        <f>IFERROR(__xludf.DUMMYFUNCTION("""COMPUTED_VALUE"""),"")</f>
        <v/>
      </c>
      <c r="C1338" t="str">
        <f>IFERROR(__xludf.DUMMYFUNCTION("""COMPUTED_VALUE"""),"")</f>
        <v/>
      </c>
      <c r="D1338" t="str">
        <f>IFERROR(__xludf.DUMMYFUNCTION("""COMPUTED_VALUE"""),"")</f>
        <v/>
      </c>
      <c r="E1338" t="str">
        <f>IFERROR(__xludf.DUMMYFUNCTION("""COMPUTED_VALUE"""),"")</f>
        <v/>
      </c>
      <c r="F1338" t="str">
        <f>IFERROR(__xludf.DUMMYFUNCTION("""COMPUTED_VALUE"""),"")</f>
        <v/>
      </c>
      <c r="G1338" t="str">
        <f>IFERROR(__xludf.DUMMYFUNCTION("""COMPUTED_VALUE"""),"")</f>
        <v/>
      </c>
      <c r="H1338" t="str">
        <f>IFERROR(__xludf.DUMMYFUNCTION("""COMPUTED_VALUE"""),"")</f>
        <v/>
      </c>
      <c r="I1338" t="str">
        <f>IFERROR(__xludf.DUMMYFUNCTION("""COMPUTED_VALUE"""),"")</f>
        <v/>
      </c>
      <c r="J1338">
        <f>IFERROR(__xludf.DUMMYFUNCTION("""COMPUTED_VALUE"""),0.0)</f>
        <v>0</v>
      </c>
      <c r="L1338" s="250" t="str">
        <f>IFERROR(__xludf.DUMMYFUNCTION("""COMPUTED_VALUE"""),"")</f>
        <v/>
      </c>
      <c r="M1338" s="250" t="str">
        <f>IFERROR(__xludf.DUMMYFUNCTION("""COMPUTED_VALUE"""),"")</f>
        <v/>
      </c>
      <c r="N1338" s="250" t="str">
        <f>IFERROR(__xludf.DUMMYFUNCTION("""COMPUTED_VALUE"""),"")</f>
        <v/>
      </c>
      <c r="O1338" s="250" t="str">
        <f>IFERROR(__xludf.DUMMYFUNCTION("""COMPUTED_VALUE"""),"")</f>
        <v/>
      </c>
      <c r="P1338" s="250" t="str">
        <f>IFERROR(__xludf.DUMMYFUNCTION("""COMPUTED_VALUE"""),"")</f>
        <v/>
      </c>
      <c r="Q1338" s="250" t="str">
        <f>IFERROR(__xludf.DUMMYFUNCTION("""COMPUTED_VALUE"""),"")</f>
        <v/>
      </c>
      <c r="R1338" s="250" t="str">
        <f>IFERROR(__xludf.DUMMYFUNCTION("""COMPUTED_VALUE"""),"")</f>
        <v/>
      </c>
      <c r="U1338" s="250" t="str">
        <f>IFERROR(__xludf.DUMMYFUNCTION("""COMPUTED_VALUE"""),"#N/A")</f>
        <v>#N/A</v>
      </c>
      <c r="V1338" s="250" t="str">
        <f>IFERROR(__xludf.DUMMYFUNCTION("""COMPUTED_VALUE"""),"#N/A")</f>
        <v>#N/A</v>
      </c>
      <c r="W1338" s="250" t="str">
        <f>IFERROR(__xludf.DUMMYFUNCTION("""COMPUTED_VALUE"""),"#N/A")</f>
        <v>#N/A</v>
      </c>
      <c r="X1338" t="b">
        <f t="shared" ref="X1338:Z1338" si="2652">ISBLANK(K1338)</f>
        <v>1</v>
      </c>
      <c r="Y1338" t="b">
        <f t="shared" si="2652"/>
        <v>0</v>
      </c>
      <c r="Z1338" t="b">
        <f t="shared" si="2652"/>
        <v>0</v>
      </c>
      <c r="AA1338">
        <f t="shared" ref="AA1338:AC1338" si="2653">IF(X1338=FALSE,1,0)</f>
        <v>0</v>
      </c>
      <c r="AB1338">
        <f t="shared" si="2653"/>
        <v>1</v>
      </c>
      <c r="AC1338">
        <f t="shared" si="2653"/>
        <v>1</v>
      </c>
      <c r="AD1338">
        <f t="shared" si="6"/>
        <v>2</v>
      </c>
      <c r="AE1338">
        <f t="shared" si="7"/>
        <v>1</v>
      </c>
    </row>
    <row r="1339">
      <c r="B1339" t="str">
        <f>IFERROR(__xludf.DUMMYFUNCTION("""COMPUTED_VALUE"""),"")</f>
        <v/>
      </c>
      <c r="C1339" t="str">
        <f>IFERROR(__xludf.DUMMYFUNCTION("""COMPUTED_VALUE"""),"")</f>
        <v/>
      </c>
      <c r="D1339" t="str">
        <f>IFERROR(__xludf.DUMMYFUNCTION("""COMPUTED_VALUE"""),"")</f>
        <v/>
      </c>
      <c r="E1339" t="str">
        <f>IFERROR(__xludf.DUMMYFUNCTION("""COMPUTED_VALUE"""),"")</f>
        <v/>
      </c>
      <c r="F1339" t="str">
        <f>IFERROR(__xludf.DUMMYFUNCTION("""COMPUTED_VALUE"""),"")</f>
        <v/>
      </c>
      <c r="G1339" t="str">
        <f>IFERROR(__xludf.DUMMYFUNCTION("""COMPUTED_VALUE"""),"")</f>
        <v/>
      </c>
      <c r="H1339" t="str">
        <f>IFERROR(__xludf.DUMMYFUNCTION("""COMPUTED_VALUE"""),"")</f>
        <v/>
      </c>
      <c r="I1339" t="str">
        <f>IFERROR(__xludf.DUMMYFUNCTION("""COMPUTED_VALUE"""),"")</f>
        <v/>
      </c>
      <c r="J1339">
        <f>IFERROR(__xludf.DUMMYFUNCTION("""COMPUTED_VALUE"""),0.0)</f>
        <v>0</v>
      </c>
      <c r="L1339" s="250" t="str">
        <f>IFERROR(__xludf.DUMMYFUNCTION("""COMPUTED_VALUE"""),"")</f>
        <v/>
      </c>
      <c r="M1339" s="250" t="str">
        <f>IFERROR(__xludf.DUMMYFUNCTION("""COMPUTED_VALUE"""),"")</f>
        <v/>
      </c>
      <c r="N1339" s="250" t="str">
        <f>IFERROR(__xludf.DUMMYFUNCTION("""COMPUTED_VALUE"""),"")</f>
        <v/>
      </c>
      <c r="O1339" s="250" t="str">
        <f>IFERROR(__xludf.DUMMYFUNCTION("""COMPUTED_VALUE"""),"")</f>
        <v/>
      </c>
      <c r="P1339" s="250" t="str">
        <f>IFERROR(__xludf.DUMMYFUNCTION("""COMPUTED_VALUE"""),"")</f>
        <v/>
      </c>
      <c r="Q1339" s="250" t="str">
        <f>IFERROR(__xludf.DUMMYFUNCTION("""COMPUTED_VALUE"""),"")</f>
        <v/>
      </c>
      <c r="R1339" s="250" t="str">
        <f>IFERROR(__xludf.DUMMYFUNCTION("""COMPUTED_VALUE"""),"")</f>
        <v/>
      </c>
      <c r="U1339" s="250" t="str">
        <f>IFERROR(__xludf.DUMMYFUNCTION("""COMPUTED_VALUE"""),"#N/A")</f>
        <v>#N/A</v>
      </c>
      <c r="V1339" s="250" t="str">
        <f>IFERROR(__xludf.DUMMYFUNCTION("""COMPUTED_VALUE"""),"#N/A")</f>
        <v>#N/A</v>
      </c>
      <c r="W1339" s="250" t="str">
        <f>IFERROR(__xludf.DUMMYFUNCTION("""COMPUTED_VALUE"""),"#N/A")</f>
        <v>#N/A</v>
      </c>
      <c r="X1339" t="b">
        <f t="shared" ref="X1339:Z1339" si="2654">ISBLANK(K1339)</f>
        <v>1</v>
      </c>
      <c r="Y1339" t="b">
        <f t="shared" si="2654"/>
        <v>0</v>
      </c>
      <c r="Z1339" t="b">
        <f t="shared" si="2654"/>
        <v>0</v>
      </c>
      <c r="AA1339">
        <f t="shared" ref="AA1339:AC1339" si="2655">IF(X1339=FALSE,1,0)</f>
        <v>0</v>
      </c>
      <c r="AB1339">
        <f t="shared" si="2655"/>
        <v>1</v>
      </c>
      <c r="AC1339">
        <f t="shared" si="2655"/>
        <v>1</v>
      </c>
      <c r="AD1339">
        <f t="shared" si="6"/>
        <v>2</v>
      </c>
      <c r="AE1339">
        <f t="shared" si="7"/>
        <v>1</v>
      </c>
    </row>
    <row r="1340">
      <c r="B1340" t="str">
        <f>IFERROR(__xludf.DUMMYFUNCTION("""COMPUTED_VALUE"""),"")</f>
        <v/>
      </c>
      <c r="C1340" t="str">
        <f>IFERROR(__xludf.DUMMYFUNCTION("""COMPUTED_VALUE"""),"")</f>
        <v/>
      </c>
      <c r="D1340" t="str">
        <f>IFERROR(__xludf.DUMMYFUNCTION("""COMPUTED_VALUE"""),"")</f>
        <v/>
      </c>
      <c r="E1340" t="str">
        <f>IFERROR(__xludf.DUMMYFUNCTION("""COMPUTED_VALUE"""),"")</f>
        <v/>
      </c>
      <c r="F1340" t="str">
        <f>IFERROR(__xludf.DUMMYFUNCTION("""COMPUTED_VALUE"""),"")</f>
        <v/>
      </c>
      <c r="G1340" t="str">
        <f>IFERROR(__xludf.DUMMYFUNCTION("""COMPUTED_VALUE"""),"")</f>
        <v/>
      </c>
      <c r="H1340" t="str">
        <f>IFERROR(__xludf.DUMMYFUNCTION("""COMPUTED_VALUE"""),"")</f>
        <v/>
      </c>
      <c r="I1340" t="str">
        <f>IFERROR(__xludf.DUMMYFUNCTION("""COMPUTED_VALUE"""),"")</f>
        <v/>
      </c>
      <c r="J1340">
        <f>IFERROR(__xludf.DUMMYFUNCTION("""COMPUTED_VALUE"""),0.0)</f>
        <v>0</v>
      </c>
      <c r="L1340" s="250" t="str">
        <f>IFERROR(__xludf.DUMMYFUNCTION("""COMPUTED_VALUE"""),"")</f>
        <v/>
      </c>
      <c r="M1340" s="250" t="str">
        <f>IFERROR(__xludf.DUMMYFUNCTION("""COMPUTED_VALUE"""),"")</f>
        <v/>
      </c>
      <c r="N1340" s="250" t="str">
        <f>IFERROR(__xludf.DUMMYFUNCTION("""COMPUTED_VALUE"""),"")</f>
        <v/>
      </c>
      <c r="O1340" s="250" t="str">
        <f>IFERROR(__xludf.DUMMYFUNCTION("""COMPUTED_VALUE"""),"")</f>
        <v/>
      </c>
      <c r="P1340" s="250" t="str">
        <f>IFERROR(__xludf.DUMMYFUNCTION("""COMPUTED_VALUE"""),"")</f>
        <v/>
      </c>
      <c r="Q1340" s="250" t="str">
        <f>IFERROR(__xludf.DUMMYFUNCTION("""COMPUTED_VALUE"""),"")</f>
        <v/>
      </c>
      <c r="R1340" s="250" t="str">
        <f>IFERROR(__xludf.DUMMYFUNCTION("""COMPUTED_VALUE"""),"")</f>
        <v/>
      </c>
      <c r="U1340" s="250" t="str">
        <f>IFERROR(__xludf.DUMMYFUNCTION("""COMPUTED_VALUE"""),"#N/A")</f>
        <v>#N/A</v>
      </c>
      <c r="V1340" s="250" t="str">
        <f>IFERROR(__xludf.DUMMYFUNCTION("""COMPUTED_VALUE"""),"#N/A")</f>
        <v>#N/A</v>
      </c>
      <c r="W1340" s="250" t="str">
        <f>IFERROR(__xludf.DUMMYFUNCTION("""COMPUTED_VALUE"""),"#N/A")</f>
        <v>#N/A</v>
      </c>
      <c r="X1340" t="b">
        <f t="shared" ref="X1340:Z1340" si="2656">ISBLANK(K1340)</f>
        <v>1</v>
      </c>
      <c r="Y1340" t="b">
        <f t="shared" si="2656"/>
        <v>0</v>
      </c>
      <c r="Z1340" t="b">
        <f t="shared" si="2656"/>
        <v>0</v>
      </c>
      <c r="AA1340">
        <f t="shared" ref="AA1340:AC1340" si="2657">IF(X1340=FALSE,1,0)</f>
        <v>0</v>
      </c>
      <c r="AB1340">
        <f t="shared" si="2657"/>
        <v>1</v>
      </c>
      <c r="AC1340">
        <f t="shared" si="2657"/>
        <v>1</v>
      </c>
      <c r="AD1340">
        <f t="shared" si="6"/>
        <v>2</v>
      </c>
      <c r="AE1340">
        <f t="shared" si="7"/>
        <v>1</v>
      </c>
    </row>
    <row r="1341">
      <c r="B1341" t="str">
        <f>IFERROR(__xludf.DUMMYFUNCTION("""COMPUTED_VALUE"""),"")</f>
        <v/>
      </c>
      <c r="C1341" t="str">
        <f>IFERROR(__xludf.DUMMYFUNCTION("""COMPUTED_VALUE"""),"")</f>
        <v/>
      </c>
      <c r="D1341" t="str">
        <f>IFERROR(__xludf.DUMMYFUNCTION("""COMPUTED_VALUE"""),"")</f>
        <v/>
      </c>
      <c r="E1341" t="str">
        <f>IFERROR(__xludf.DUMMYFUNCTION("""COMPUTED_VALUE"""),"")</f>
        <v/>
      </c>
      <c r="F1341" t="str">
        <f>IFERROR(__xludf.DUMMYFUNCTION("""COMPUTED_VALUE"""),"")</f>
        <v/>
      </c>
      <c r="G1341" t="str">
        <f>IFERROR(__xludf.DUMMYFUNCTION("""COMPUTED_VALUE"""),"")</f>
        <v/>
      </c>
      <c r="H1341" t="str">
        <f>IFERROR(__xludf.DUMMYFUNCTION("""COMPUTED_VALUE"""),"")</f>
        <v/>
      </c>
      <c r="I1341" t="str">
        <f>IFERROR(__xludf.DUMMYFUNCTION("""COMPUTED_VALUE"""),"")</f>
        <v/>
      </c>
      <c r="J1341">
        <f>IFERROR(__xludf.DUMMYFUNCTION("""COMPUTED_VALUE"""),0.0)</f>
        <v>0</v>
      </c>
      <c r="L1341" s="250" t="str">
        <f>IFERROR(__xludf.DUMMYFUNCTION("""COMPUTED_VALUE"""),"")</f>
        <v/>
      </c>
      <c r="M1341" s="250" t="str">
        <f>IFERROR(__xludf.DUMMYFUNCTION("""COMPUTED_VALUE"""),"")</f>
        <v/>
      </c>
      <c r="N1341" s="250" t="str">
        <f>IFERROR(__xludf.DUMMYFUNCTION("""COMPUTED_VALUE"""),"")</f>
        <v/>
      </c>
      <c r="O1341" s="250" t="str">
        <f>IFERROR(__xludf.DUMMYFUNCTION("""COMPUTED_VALUE"""),"")</f>
        <v/>
      </c>
      <c r="P1341" s="250" t="str">
        <f>IFERROR(__xludf.DUMMYFUNCTION("""COMPUTED_VALUE"""),"")</f>
        <v/>
      </c>
      <c r="Q1341" s="250" t="str">
        <f>IFERROR(__xludf.DUMMYFUNCTION("""COMPUTED_VALUE"""),"")</f>
        <v/>
      </c>
      <c r="R1341" s="250" t="str">
        <f>IFERROR(__xludf.DUMMYFUNCTION("""COMPUTED_VALUE"""),"")</f>
        <v/>
      </c>
      <c r="U1341" s="250" t="str">
        <f>IFERROR(__xludf.DUMMYFUNCTION("""COMPUTED_VALUE"""),"#N/A")</f>
        <v>#N/A</v>
      </c>
      <c r="V1341" s="250" t="str">
        <f>IFERROR(__xludf.DUMMYFUNCTION("""COMPUTED_VALUE"""),"#N/A")</f>
        <v>#N/A</v>
      </c>
      <c r="W1341" s="250" t="str">
        <f>IFERROR(__xludf.DUMMYFUNCTION("""COMPUTED_VALUE"""),"#N/A")</f>
        <v>#N/A</v>
      </c>
      <c r="X1341" t="b">
        <f t="shared" ref="X1341:Z1341" si="2658">ISBLANK(K1341)</f>
        <v>1</v>
      </c>
      <c r="Y1341" t="b">
        <f t="shared" si="2658"/>
        <v>0</v>
      </c>
      <c r="Z1341" t="b">
        <f t="shared" si="2658"/>
        <v>0</v>
      </c>
      <c r="AA1341">
        <f t="shared" ref="AA1341:AC1341" si="2659">IF(X1341=FALSE,1,0)</f>
        <v>0</v>
      </c>
      <c r="AB1341">
        <f t="shared" si="2659"/>
        <v>1</v>
      </c>
      <c r="AC1341">
        <f t="shared" si="2659"/>
        <v>1</v>
      </c>
      <c r="AD1341">
        <f t="shared" si="6"/>
        <v>2</v>
      </c>
      <c r="AE1341">
        <f t="shared" si="7"/>
        <v>1</v>
      </c>
    </row>
    <row r="1342">
      <c r="B1342" t="str">
        <f>IFERROR(__xludf.DUMMYFUNCTION("""COMPUTED_VALUE"""),"")</f>
        <v/>
      </c>
      <c r="C1342" t="str">
        <f>IFERROR(__xludf.DUMMYFUNCTION("""COMPUTED_VALUE"""),"")</f>
        <v/>
      </c>
      <c r="D1342" t="str">
        <f>IFERROR(__xludf.DUMMYFUNCTION("""COMPUTED_VALUE"""),"")</f>
        <v/>
      </c>
      <c r="E1342" t="str">
        <f>IFERROR(__xludf.DUMMYFUNCTION("""COMPUTED_VALUE"""),"")</f>
        <v/>
      </c>
      <c r="F1342" t="str">
        <f>IFERROR(__xludf.DUMMYFUNCTION("""COMPUTED_VALUE"""),"")</f>
        <v/>
      </c>
      <c r="G1342" t="str">
        <f>IFERROR(__xludf.DUMMYFUNCTION("""COMPUTED_VALUE"""),"")</f>
        <v/>
      </c>
      <c r="H1342" t="str">
        <f>IFERROR(__xludf.DUMMYFUNCTION("""COMPUTED_VALUE"""),"")</f>
        <v/>
      </c>
      <c r="I1342" t="str">
        <f>IFERROR(__xludf.DUMMYFUNCTION("""COMPUTED_VALUE"""),"")</f>
        <v/>
      </c>
      <c r="J1342">
        <f>IFERROR(__xludf.DUMMYFUNCTION("""COMPUTED_VALUE"""),0.0)</f>
        <v>0</v>
      </c>
      <c r="L1342" s="250" t="str">
        <f>IFERROR(__xludf.DUMMYFUNCTION("""COMPUTED_VALUE"""),"")</f>
        <v/>
      </c>
      <c r="M1342" s="250" t="str">
        <f>IFERROR(__xludf.DUMMYFUNCTION("""COMPUTED_VALUE"""),"")</f>
        <v/>
      </c>
      <c r="N1342" s="250" t="str">
        <f>IFERROR(__xludf.DUMMYFUNCTION("""COMPUTED_VALUE"""),"")</f>
        <v/>
      </c>
      <c r="O1342" s="250" t="str">
        <f>IFERROR(__xludf.DUMMYFUNCTION("""COMPUTED_VALUE"""),"")</f>
        <v/>
      </c>
      <c r="P1342" s="250" t="str">
        <f>IFERROR(__xludf.DUMMYFUNCTION("""COMPUTED_VALUE"""),"")</f>
        <v/>
      </c>
      <c r="Q1342" s="250" t="str">
        <f>IFERROR(__xludf.DUMMYFUNCTION("""COMPUTED_VALUE"""),"")</f>
        <v/>
      </c>
      <c r="R1342" s="250" t="str">
        <f>IFERROR(__xludf.DUMMYFUNCTION("""COMPUTED_VALUE"""),"")</f>
        <v/>
      </c>
      <c r="U1342" s="250" t="str">
        <f>IFERROR(__xludf.DUMMYFUNCTION("""COMPUTED_VALUE"""),"#N/A")</f>
        <v>#N/A</v>
      </c>
      <c r="V1342" s="250" t="str">
        <f>IFERROR(__xludf.DUMMYFUNCTION("""COMPUTED_VALUE"""),"#N/A")</f>
        <v>#N/A</v>
      </c>
      <c r="W1342" s="250" t="str">
        <f>IFERROR(__xludf.DUMMYFUNCTION("""COMPUTED_VALUE"""),"#N/A")</f>
        <v>#N/A</v>
      </c>
      <c r="X1342" t="b">
        <f t="shared" ref="X1342:Z1342" si="2660">ISBLANK(K1342)</f>
        <v>1</v>
      </c>
      <c r="Y1342" t="b">
        <f t="shared" si="2660"/>
        <v>0</v>
      </c>
      <c r="Z1342" t="b">
        <f t="shared" si="2660"/>
        <v>0</v>
      </c>
      <c r="AA1342">
        <f t="shared" ref="AA1342:AC1342" si="2661">IF(X1342=FALSE,1,0)</f>
        <v>0</v>
      </c>
      <c r="AB1342">
        <f t="shared" si="2661"/>
        <v>1</v>
      </c>
      <c r="AC1342">
        <f t="shared" si="2661"/>
        <v>1</v>
      </c>
      <c r="AD1342">
        <f t="shared" si="6"/>
        <v>2</v>
      </c>
      <c r="AE1342">
        <f t="shared" si="7"/>
        <v>1</v>
      </c>
    </row>
    <row r="1343">
      <c r="B1343" t="str">
        <f>IFERROR(__xludf.DUMMYFUNCTION("""COMPUTED_VALUE"""),"")</f>
        <v/>
      </c>
      <c r="C1343" t="str">
        <f>IFERROR(__xludf.DUMMYFUNCTION("""COMPUTED_VALUE"""),"")</f>
        <v/>
      </c>
      <c r="D1343" t="str">
        <f>IFERROR(__xludf.DUMMYFUNCTION("""COMPUTED_VALUE"""),"")</f>
        <v/>
      </c>
      <c r="E1343" t="str">
        <f>IFERROR(__xludf.DUMMYFUNCTION("""COMPUTED_VALUE"""),"")</f>
        <v/>
      </c>
      <c r="F1343" t="str">
        <f>IFERROR(__xludf.DUMMYFUNCTION("""COMPUTED_VALUE"""),"")</f>
        <v/>
      </c>
      <c r="G1343" t="str">
        <f>IFERROR(__xludf.DUMMYFUNCTION("""COMPUTED_VALUE"""),"")</f>
        <v/>
      </c>
      <c r="H1343" t="str">
        <f>IFERROR(__xludf.DUMMYFUNCTION("""COMPUTED_VALUE"""),"")</f>
        <v/>
      </c>
      <c r="I1343" t="str">
        <f>IFERROR(__xludf.DUMMYFUNCTION("""COMPUTED_VALUE"""),"")</f>
        <v/>
      </c>
      <c r="J1343">
        <f>IFERROR(__xludf.DUMMYFUNCTION("""COMPUTED_VALUE"""),0.0)</f>
        <v>0</v>
      </c>
      <c r="L1343" s="250" t="str">
        <f>IFERROR(__xludf.DUMMYFUNCTION("""COMPUTED_VALUE"""),"")</f>
        <v/>
      </c>
      <c r="M1343" s="250" t="str">
        <f>IFERROR(__xludf.DUMMYFUNCTION("""COMPUTED_VALUE"""),"")</f>
        <v/>
      </c>
      <c r="N1343" s="250" t="str">
        <f>IFERROR(__xludf.DUMMYFUNCTION("""COMPUTED_VALUE"""),"")</f>
        <v/>
      </c>
      <c r="O1343" s="250" t="str">
        <f>IFERROR(__xludf.DUMMYFUNCTION("""COMPUTED_VALUE"""),"")</f>
        <v/>
      </c>
      <c r="P1343" s="250" t="str">
        <f>IFERROR(__xludf.DUMMYFUNCTION("""COMPUTED_VALUE"""),"")</f>
        <v/>
      </c>
      <c r="Q1343" s="250" t="str">
        <f>IFERROR(__xludf.DUMMYFUNCTION("""COMPUTED_VALUE"""),"")</f>
        <v/>
      </c>
      <c r="R1343" s="250" t="str">
        <f>IFERROR(__xludf.DUMMYFUNCTION("""COMPUTED_VALUE"""),"")</f>
        <v/>
      </c>
      <c r="U1343" s="250" t="str">
        <f>IFERROR(__xludf.DUMMYFUNCTION("""COMPUTED_VALUE"""),"#N/A")</f>
        <v>#N/A</v>
      </c>
      <c r="V1343" s="250" t="str">
        <f>IFERROR(__xludf.DUMMYFUNCTION("""COMPUTED_VALUE"""),"#N/A")</f>
        <v>#N/A</v>
      </c>
      <c r="W1343" s="250" t="str">
        <f>IFERROR(__xludf.DUMMYFUNCTION("""COMPUTED_VALUE"""),"#N/A")</f>
        <v>#N/A</v>
      </c>
      <c r="X1343" t="b">
        <f t="shared" ref="X1343:Z1343" si="2662">ISBLANK(K1343)</f>
        <v>1</v>
      </c>
      <c r="Y1343" t="b">
        <f t="shared" si="2662"/>
        <v>0</v>
      </c>
      <c r="Z1343" t="b">
        <f t="shared" si="2662"/>
        <v>0</v>
      </c>
      <c r="AA1343">
        <f t="shared" ref="AA1343:AC1343" si="2663">IF(X1343=FALSE,1,0)</f>
        <v>0</v>
      </c>
      <c r="AB1343">
        <f t="shared" si="2663"/>
        <v>1</v>
      </c>
      <c r="AC1343">
        <f t="shared" si="2663"/>
        <v>1</v>
      </c>
      <c r="AD1343">
        <f t="shared" si="6"/>
        <v>2</v>
      </c>
      <c r="AE1343">
        <f t="shared" si="7"/>
        <v>1</v>
      </c>
    </row>
    <row r="1344">
      <c r="B1344" t="str">
        <f>IFERROR(__xludf.DUMMYFUNCTION("""COMPUTED_VALUE"""),"")</f>
        <v/>
      </c>
      <c r="C1344" t="str">
        <f>IFERROR(__xludf.DUMMYFUNCTION("""COMPUTED_VALUE"""),"")</f>
        <v/>
      </c>
      <c r="D1344" t="str">
        <f>IFERROR(__xludf.DUMMYFUNCTION("""COMPUTED_VALUE"""),"")</f>
        <v/>
      </c>
      <c r="E1344" t="str">
        <f>IFERROR(__xludf.DUMMYFUNCTION("""COMPUTED_VALUE"""),"")</f>
        <v/>
      </c>
      <c r="F1344" t="str">
        <f>IFERROR(__xludf.DUMMYFUNCTION("""COMPUTED_VALUE"""),"")</f>
        <v/>
      </c>
      <c r="G1344" t="str">
        <f>IFERROR(__xludf.DUMMYFUNCTION("""COMPUTED_VALUE"""),"")</f>
        <v/>
      </c>
      <c r="H1344" t="str">
        <f>IFERROR(__xludf.DUMMYFUNCTION("""COMPUTED_VALUE"""),"")</f>
        <v/>
      </c>
      <c r="I1344" t="str">
        <f>IFERROR(__xludf.DUMMYFUNCTION("""COMPUTED_VALUE"""),"")</f>
        <v/>
      </c>
      <c r="J1344">
        <f>IFERROR(__xludf.DUMMYFUNCTION("""COMPUTED_VALUE"""),0.0)</f>
        <v>0</v>
      </c>
      <c r="L1344" s="250" t="str">
        <f>IFERROR(__xludf.DUMMYFUNCTION("""COMPUTED_VALUE"""),"")</f>
        <v/>
      </c>
      <c r="M1344" s="250" t="str">
        <f>IFERROR(__xludf.DUMMYFUNCTION("""COMPUTED_VALUE"""),"")</f>
        <v/>
      </c>
      <c r="N1344" s="250" t="str">
        <f>IFERROR(__xludf.DUMMYFUNCTION("""COMPUTED_VALUE"""),"")</f>
        <v/>
      </c>
      <c r="O1344" s="250" t="str">
        <f>IFERROR(__xludf.DUMMYFUNCTION("""COMPUTED_VALUE"""),"")</f>
        <v/>
      </c>
      <c r="P1344" s="250" t="str">
        <f>IFERROR(__xludf.DUMMYFUNCTION("""COMPUTED_VALUE"""),"")</f>
        <v/>
      </c>
      <c r="Q1344" s="250" t="str">
        <f>IFERROR(__xludf.DUMMYFUNCTION("""COMPUTED_VALUE"""),"")</f>
        <v/>
      </c>
      <c r="R1344" s="250" t="str">
        <f>IFERROR(__xludf.DUMMYFUNCTION("""COMPUTED_VALUE"""),"")</f>
        <v/>
      </c>
      <c r="U1344" s="250" t="str">
        <f>IFERROR(__xludf.DUMMYFUNCTION("""COMPUTED_VALUE"""),"#N/A")</f>
        <v>#N/A</v>
      </c>
      <c r="V1344" s="250" t="str">
        <f>IFERROR(__xludf.DUMMYFUNCTION("""COMPUTED_VALUE"""),"#N/A")</f>
        <v>#N/A</v>
      </c>
      <c r="W1344" s="250" t="str">
        <f>IFERROR(__xludf.DUMMYFUNCTION("""COMPUTED_VALUE"""),"#N/A")</f>
        <v>#N/A</v>
      </c>
      <c r="X1344" t="b">
        <f t="shared" ref="X1344:Z1344" si="2664">ISBLANK(K1344)</f>
        <v>1</v>
      </c>
      <c r="Y1344" t="b">
        <f t="shared" si="2664"/>
        <v>0</v>
      </c>
      <c r="Z1344" t="b">
        <f t="shared" si="2664"/>
        <v>0</v>
      </c>
      <c r="AA1344">
        <f t="shared" ref="AA1344:AC1344" si="2665">IF(X1344=FALSE,1,0)</f>
        <v>0</v>
      </c>
      <c r="AB1344">
        <f t="shared" si="2665"/>
        <v>1</v>
      </c>
      <c r="AC1344">
        <f t="shared" si="2665"/>
        <v>1</v>
      </c>
      <c r="AD1344">
        <f t="shared" si="6"/>
        <v>2</v>
      </c>
      <c r="AE1344">
        <f t="shared" si="7"/>
        <v>1</v>
      </c>
    </row>
    <row r="1345">
      <c r="B1345" t="str">
        <f>IFERROR(__xludf.DUMMYFUNCTION("""COMPUTED_VALUE"""),"")</f>
        <v/>
      </c>
      <c r="C1345" t="str">
        <f>IFERROR(__xludf.DUMMYFUNCTION("""COMPUTED_VALUE"""),"")</f>
        <v/>
      </c>
      <c r="D1345" t="str">
        <f>IFERROR(__xludf.DUMMYFUNCTION("""COMPUTED_VALUE"""),"")</f>
        <v/>
      </c>
      <c r="E1345" t="str">
        <f>IFERROR(__xludf.DUMMYFUNCTION("""COMPUTED_VALUE"""),"")</f>
        <v/>
      </c>
      <c r="F1345" t="str">
        <f>IFERROR(__xludf.DUMMYFUNCTION("""COMPUTED_VALUE"""),"")</f>
        <v/>
      </c>
      <c r="G1345" t="str">
        <f>IFERROR(__xludf.DUMMYFUNCTION("""COMPUTED_VALUE"""),"")</f>
        <v/>
      </c>
      <c r="H1345" t="str">
        <f>IFERROR(__xludf.DUMMYFUNCTION("""COMPUTED_VALUE"""),"")</f>
        <v/>
      </c>
      <c r="I1345" t="str">
        <f>IFERROR(__xludf.DUMMYFUNCTION("""COMPUTED_VALUE"""),"")</f>
        <v/>
      </c>
      <c r="J1345">
        <f>IFERROR(__xludf.DUMMYFUNCTION("""COMPUTED_VALUE"""),0.0)</f>
        <v>0</v>
      </c>
      <c r="L1345" s="250" t="str">
        <f>IFERROR(__xludf.DUMMYFUNCTION("""COMPUTED_VALUE"""),"")</f>
        <v/>
      </c>
      <c r="M1345" s="250" t="str">
        <f>IFERROR(__xludf.DUMMYFUNCTION("""COMPUTED_VALUE"""),"")</f>
        <v/>
      </c>
      <c r="N1345" s="250" t="str">
        <f>IFERROR(__xludf.DUMMYFUNCTION("""COMPUTED_VALUE"""),"")</f>
        <v/>
      </c>
      <c r="O1345" s="250" t="str">
        <f>IFERROR(__xludf.DUMMYFUNCTION("""COMPUTED_VALUE"""),"")</f>
        <v/>
      </c>
      <c r="P1345" s="250" t="str">
        <f>IFERROR(__xludf.DUMMYFUNCTION("""COMPUTED_VALUE"""),"")</f>
        <v/>
      </c>
      <c r="Q1345" s="250" t="str">
        <f>IFERROR(__xludf.DUMMYFUNCTION("""COMPUTED_VALUE"""),"")</f>
        <v/>
      </c>
      <c r="R1345" s="250" t="str">
        <f>IFERROR(__xludf.DUMMYFUNCTION("""COMPUTED_VALUE"""),"")</f>
        <v/>
      </c>
      <c r="U1345" s="250" t="str">
        <f>IFERROR(__xludf.DUMMYFUNCTION("""COMPUTED_VALUE"""),"#N/A")</f>
        <v>#N/A</v>
      </c>
      <c r="V1345" s="250" t="str">
        <f>IFERROR(__xludf.DUMMYFUNCTION("""COMPUTED_VALUE"""),"#N/A")</f>
        <v>#N/A</v>
      </c>
      <c r="W1345" s="250" t="str">
        <f>IFERROR(__xludf.DUMMYFUNCTION("""COMPUTED_VALUE"""),"#N/A")</f>
        <v>#N/A</v>
      </c>
      <c r="X1345" t="b">
        <f t="shared" ref="X1345:Z1345" si="2666">ISBLANK(K1345)</f>
        <v>1</v>
      </c>
      <c r="Y1345" t="b">
        <f t="shared" si="2666"/>
        <v>0</v>
      </c>
      <c r="Z1345" t="b">
        <f t="shared" si="2666"/>
        <v>0</v>
      </c>
      <c r="AA1345">
        <f t="shared" ref="AA1345:AC1345" si="2667">IF(X1345=FALSE,1,0)</f>
        <v>0</v>
      </c>
      <c r="AB1345">
        <f t="shared" si="2667"/>
        <v>1</v>
      </c>
      <c r="AC1345">
        <f t="shared" si="2667"/>
        <v>1</v>
      </c>
      <c r="AD1345">
        <f t="shared" si="6"/>
        <v>2</v>
      </c>
      <c r="AE1345">
        <f t="shared" si="7"/>
        <v>1</v>
      </c>
    </row>
    <row r="1346">
      <c r="B1346" t="str">
        <f>IFERROR(__xludf.DUMMYFUNCTION("""COMPUTED_VALUE"""),"")</f>
        <v/>
      </c>
      <c r="C1346" t="str">
        <f>IFERROR(__xludf.DUMMYFUNCTION("""COMPUTED_VALUE"""),"")</f>
        <v/>
      </c>
      <c r="D1346" t="str">
        <f>IFERROR(__xludf.DUMMYFUNCTION("""COMPUTED_VALUE"""),"")</f>
        <v/>
      </c>
      <c r="E1346" t="str">
        <f>IFERROR(__xludf.DUMMYFUNCTION("""COMPUTED_VALUE"""),"")</f>
        <v/>
      </c>
      <c r="F1346" t="str">
        <f>IFERROR(__xludf.DUMMYFUNCTION("""COMPUTED_VALUE"""),"")</f>
        <v/>
      </c>
      <c r="G1346" t="str">
        <f>IFERROR(__xludf.DUMMYFUNCTION("""COMPUTED_VALUE"""),"")</f>
        <v/>
      </c>
      <c r="H1346" t="str">
        <f>IFERROR(__xludf.DUMMYFUNCTION("""COMPUTED_VALUE"""),"")</f>
        <v/>
      </c>
      <c r="I1346" t="str">
        <f>IFERROR(__xludf.DUMMYFUNCTION("""COMPUTED_VALUE"""),"")</f>
        <v/>
      </c>
      <c r="J1346">
        <f>IFERROR(__xludf.DUMMYFUNCTION("""COMPUTED_VALUE"""),0.0)</f>
        <v>0</v>
      </c>
      <c r="L1346" s="250" t="str">
        <f>IFERROR(__xludf.DUMMYFUNCTION("""COMPUTED_VALUE"""),"")</f>
        <v/>
      </c>
      <c r="M1346" s="250" t="str">
        <f>IFERROR(__xludf.DUMMYFUNCTION("""COMPUTED_VALUE"""),"")</f>
        <v/>
      </c>
      <c r="N1346" s="250" t="str">
        <f>IFERROR(__xludf.DUMMYFUNCTION("""COMPUTED_VALUE"""),"")</f>
        <v/>
      </c>
      <c r="O1346" s="250" t="str">
        <f>IFERROR(__xludf.DUMMYFUNCTION("""COMPUTED_VALUE"""),"")</f>
        <v/>
      </c>
      <c r="P1346" s="250" t="str">
        <f>IFERROR(__xludf.DUMMYFUNCTION("""COMPUTED_VALUE"""),"")</f>
        <v/>
      </c>
      <c r="Q1346" s="250" t="str">
        <f>IFERROR(__xludf.DUMMYFUNCTION("""COMPUTED_VALUE"""),"")</f>
        <v/>
      </c>
      <c r="R1346" s="250" t="str">
        <f>IFERROR(__xludf.DUMMYFUNCTION("""COMPUTED_VALUE"""),"")</f>
        <v/>
      </c>
      <c r="U1346" s="250" t="str">
        <f>IFERROR(__xludf.DUMMYFUNCTION("""COMPUTED_VALUE"""),"#N/A")</f>
        <v>#N/A</v>
      </c>
      <c r="V1346" s="250" t="str">
        <f>IFERROR(__xludf.DUMMYFUNCTION("""COMPUTED_VALUE"""),"#N/A")</f>
        <v>#N/A</v>
      </c>
      <c r="W1346" s="250" t="str">
        <f>IFERROR(__xludf.DUMMYFUNCTION("""COMPUTED_VALUE"""),"#N/A")</f>
        <v>#N/A</v>
      </c>
      <c r="X1346" t="b">
        <f t="shared" ref="X1346:Z1346" si="2668">ISBLANK(K1346)</f>
        <v>1</v>
      </c>
      <c r="Y1346" t="b">
        <f t="shared" si="2668"/>
        <v>0</v>
      </c>
      <c r="Z1346" t="b">
        <f t="shared" si="2668"/>
        <v>0</v>
      </c>
      <c r="AA1346">
        <f t="shared" ref="AA1346:AC1346" si="2669">IF(X1346=FALSE,1,0)</f>
        <v>0</v>
      </c>
      <c r="AB1346">
        <f t="shared" si="2669"/>
        <v>1</v>
      </c>
      <c r="AC1346">
        <f t="shared" si="2669"/>
        <v>1</v>
      </c>
      <c r="AD1346">
        <f t="shared" si="6"/>
        <v>2</v>
      </c>
      <c r="AE1346">
        <f t="shared" si="7"/>
        <v>1</v>
      </c>
    </row>
    <row r="1347">
      <c r="B1347" t="str">
        <f>IFERROR(__xludf.DUMMYFUNCTION("""COMPUTED_VALUE"""),"")</f>
        <v/>
      </c>
      <c r="C1347" t="str">
        <f>IFERROR(__xludf.DUMMYFUNCTION("""COMPUTED_VALUE"""),"")</f>
        <v/>
      </c>
      <c r="D1347" t="str">
        <f>IFERROR(__xludf.DUMMYFUNCTION("""COMPUTED_VALUE"""),"")</f>
        <v/>
      </c>
      <c r="E1347" t="str">
        <f>IFERROR(__xludf.DUMMYFUNCTION("""COMPUTED_VALUE"""),"")</f>
        <v/>
      </c>
      <c r="F1347" t="str">
        <f>IFERROR(__xludf.DUMMYFUNCTION("""COMPUTED_VALUE"""),"")</f>
        <v/>
      </c>
      <c r="G1347" t="str">
        <f>IFERROR(__xludf.DUMMYFUNCTION("""COMPUTED_VALUE"""),"")</f>
        <v/>
      </c>
      <c r="H1347" t="str">
        <f>IFERROR(__xludf.DUMMYFUNCTION("""COMPUTED_VALUE"""),"")</f>
        <v/>
      </c>
      <c r="I1347" t="str">
        <f>IFERROR(__xludf.DUMMYFUNCTION("""COMPUTED_VALUE"""),"")</f>
        <v/>
      </c>
      <c r="J1347">
        <f>IFERROR(__xludf.DUMMYFUNCTION("""COMPUTED_VALUE"""),0.0)</f>
        <v>0</v>
      </c>
      <c r="L1347" s="250" t="str">
        <f>IFERROR(__xludf.DUMMYFUNCTION("""COMPUTED_VALUE"""),"")</f>
        <v/>
      </c>
      <c r="M1347" s="250" t="str">
        <f>IFERROR(__xludf.DUMMYFUNCTION("""COMPUTED_VALUE"""),"")</f>
        <v/>
      </c>
      <c r="N1347" s="250" t="str">
        <f>IFERROR(__xludf.DUMMYFUNCTION("""COMPUTED_VALUE"""),"")</f>
        <v/>
      </c>
      <c r="O1347" s="250" t="str">
        <f>IFERROR(__xludf.DUMMYFUNCTION("""COMPUTED_VALUE"""),"")</f>
        <v/>
      </c>
      <c r="P1347" s="250" t="str">
        <f>IFERROR(__xludf.DUMMYFUNCTION("""COMPUTED_VALUE"""),"")</f>
        <v/>
      </c>
      <c r="Q1347" s="250" t="str">
        <f>IFERROR(__xludf.DUMMYFUNCTION("""COMPUTED_VALUE"""),"")</f>
        <v/>
      </c>
      <c r="R1347" s="250" t="str">
        <f>IFERROR(__xludf.DUMMYFUNCTION("""COMPUTED_VALUE"""),"")</f>
        <v/>
      </c>
      <c r="U1347" s="250" t="str">
        <f>IFERROR(__xludf.DUMMYFUNCTION("""COMPUTED_VALUE"""),"#N/A")</f>
        <v>#N/A</v>
      </c>
      <c r="V1347" s="250" t="str">
        <f>IFERROR(__xludf.DUMMYFUNCTION("""COMPUTED_VALUE"""),"#N/A")</f>
        <v>#N/A</v>
      </c>
      <c r="W1347" s="250" t="str">
        <f>IFERROR(__xludf.DUMMYFUNCTION("""COMPUTED_VALUE"""),"#N/A")</f>
        <v>#N/A</v>
      </c>
      <c r="X1347" t="b">
        <f t="shared" ref="X1347:Z1347" si="2670">ISBLANK(K1347)</f>
        <v>1</v>
      </c>
      <c r="Y1347" t="b">
        <f t="shared" si="2670"/>
        <v>0</v>
      </c>
      <c r="Z1347" t="b">
        <f t="shared" si="2670"/>
        <v>0</v>
      </c>
      <c r="AA1347">
        <f t="shared" ref="AA1347:AC1347" si="2671">IF(X1347=FALSE,1,0)</f>
        <v>0</v>
      </c>
      <c r="AB1347">
        <f t="shared" si="2671"/>
        <v>1</v>
      </c>
      <c r="AC1347">
        <f t="shared" si="2671"/>
        <v>1</v>
      </c>
      <c r="AD1347">
        <f t="shared" si="6"/>
        <v>2</v>
      </c>
      <c r="AE1347">
        <f t="shared" si="7"/>
        <v>1</v>
      </c>
    </row>
    <row r="1348">
      <c r="B1348" t="str">
        <f>IFERROR(__xludf.DUMMYFUNCTION("""COMPUTED_VALUE"""),"")</f>
        <v/>
      </c>
      <c r="C1348" t="str">
        <f>IFERROR(__xludf.DUMMYFUNCTION("""COMPUTED_VALUE"""),"")</f>
        <v/>
      </c>
      <c r="D1348" t="str">
        <f>IFERROR(__xludf.DUMMYFUNCTION("""COMPUTED_VALUE"""),"")</f>
        <v/>
      </c>
      <c r="E1348" t="str">
        <f>IFERROR(__xludf.DUMMYFUNCTION("""COMPUTED_VALUE"""),"")</f>
        <v/>
      </c>
      <c r="F1348" t="str">
        <f>IFERROR(__xludf.DUMMYFUNCTION("""COMPUTED_VALUE"""),"")</f>
        <v/>
      </c>
      <c r="G1348" t="str">
        <f>IFERROR(__xludf.DUMMYFUNCTION("""COMPUTED_VALUE"""),"")</f>
        <v/>
      </c>
      <c r="H1348" t="str">
        <f>IFERROR(__xludf.DUMMYFUNCTION("""COMPUTED_VALUE"""),"")</f>
        <v/>
      </c>
      <c r="I1348" t="str">
        <f>IFERROR(__xludf.DUMMYFUNCTION("""COMPUTED_VALUE"""),"")</f>
        <v/>
      </c>
      <c r="J1348">
        <f>IFERROR(__xludf.DUMMYFUNCTION("""COMPUTED_VALUE"""),0.0)</f>
        <v>0</v>
      </c>
      <c r="L1348" s="250" t="str">
        <f>IFERROR(__xludf.DUMMYFUNCTION("""COMPUTED_VALUE"""),"")</f>
        <v/>
      </c>
      <c r="M1348" s="250" t="str">
        <f>IFERROR(__xludf.DUMMYFUNCTION("""COMPUTED_VALUE"""),"")</f>
        <v/>
      </c>
      <c r="N1348" s="250" t="str">
        <f>IFERROR(__xludf.DUMMYFUNCTION("""COMPUTED_VALUE"""),"")</f>
        <v/>
      </c>
      <c r="O1348" s="250" t="str">
        <f>IFERROR(__xludf.DUMMYFUNCTION("""COMPUTED_VALUE"""),"")</f>
        <v/>
      </c>
      <c r="P1348" s="250" t="str">
        <f>IFERROR(__xludf.DUMMYFUNCTION("""COMPUTED_VALUE"""),"")</f>
        <v/>
      </c>
      <c r="Q1348" s="250" t="str">
        <f>IFERROR(__xludf.DUMMYFUNCTION("""COMPUTED_VALUE"""),"")</f>
        <v/>
      </c>
      <c r="R1348" s="250" t="str">
        <f>IFERROR(__xludf.DUMMYFUNCTION("""COMPUTED_VALUE"""),"")</f>
        <v/>
      </c>
      <c r="U1348" s="250" t="str">
        <f>IFERROR(__xludf.DUMMYFUNCTION("""COMPUTED_VALUE"""),"#N/A")</f>
        <v>#N/A</v>
      </c>
      <c r="V1348" s="250" t="str">
        <f>IFERROR(__xludf.DUMMYFUNCTION("""COMPUTED_VALUE"""),"#N/A")</f>
        <v>#N/A</v>
      </c>
      <c r="W1348" s="250" t="str">
        <f>IFERROR(__xludf.DUMMYFUNCTION("""COMPUTED_VALUE"""),"#N/A")</f>
        <v>#N/A</v>
      </c>
      <c r="X1348" t="b">
        <f t="shared" ref="X1348:Z1348" si="2672">ISBLANK(K1348)</f>
        <v>1</v>
      </c>
      <c r="Y1348" t="b">
        <f t="shared" si="2672"/>
        <v>0</v>
      </c>
      <c r="Z1348" t="b">
        <f t="shared" si="2672"/>
        <v>0</v>
      </c>
      <c r="AA1348">
        <f t="shared" ref="AA1348:AC1348" si="2673">IF(X1348=FALSE,1,0)</f>
        <v>0</v>
      </c>
      <c r="AB1348">
        <f t="shared" si="2673"/>
        <v>1</v>
      </c>
      <c r="AC1348">
        <f t="shared" si="2673"/>
        <v>1</v>
      </c>
      <c r="AD1348">
        <f t="shared" si="6"/>
        <v>2</v>
      </c>
      <c r="AE1348">
        <f t="shared" si="7"/>
        <v>1</v>
      </c>
    </row>
    <row r="1349">
      <c r="B1349" t="str">
        <f>IFERROR(__xludf.DUMMYFUNCTION("""COMPUTED_VALUE"""),"")</f>
        <v/>
      </c>
      <c r="C1349" t="str">
        <f>IFERROR(__xludf.DUMMYFUNCTION("""COMPUTED_VALUE"""),"")</f>
        <v/>
      </c>
      <c r="D1349" t="str">
        <f>IFERROR(__xludf.DUMMYFUNCTION("""COMPUTED_VALUE"""),"")</f>
        <v/>
      </c>
      <c r="E1349" t="str">
        <f>IFERROR(__xludf.DUMMYFUNCTION("""COMPUTED_VALUE"""),"")</f>
        <v/>
      </c>
      <c r="F1349" t="str">
        <f>IFERROR(__xludf.DUMMYFUNCTION("""COMPUTED_VALUE"""),"")</f>
        <v/>
      </c>
      <c r="G1349" t="str">
        <f>IFERROR(__xludf.DUMMYFUNCTION("""COMPUTED_VALUE"""),"")</f>
        <v/>
      </c>
      <c r="H1349" t="str">
        <f>IFERROR(__xludf.DUMMYFUNCTION("""COMPUTED_VALUE"""),"")</f>
        <v/>
      </c>
      <c r="I1349" t="str">
        <f>IFERROR(__xludf.DUMMYFUNCTION("""COMPUTED_VALUE"""),"")</f>
        <v/>
      </c>
      <c r="J1349">
        <f>IFERROR(__xludf.DUMMYFUNCTION("""COMPUTED_VALUE"""),0.0)</f>
        <v>0</v>
      </c>
      <c r="L1349" s="250" t="str">
        <f>IFERROR(__xludf.DUMMYFUNCTION("""COMPUTED_VALUE"""),"")</f>
        <v/>
      </c>
      <c r="M1349" s="250" t="str">
        <f>IFERROR(__xludf.DUMMYFUNCTION("""COMPUTED_VALUE"""),"")</f>
        <v/>
      </c>
      <c r="N1349" s="250" t="str">
        <f>IFERROR(__xludf.DUMMYFUNCTION("""COMPUTED_VALUE"""),"")</f>
        <v/>
      </c>
      <c r="O1349" s="250" t="str">
        <f>IFERROR(__xludf.DUMMYFUNCTION("""COMPUTED_VALUE"""),"")</f>
        <v/>
      </c>
      <c r="P1349" s="250" t="str">
        <f>IFERROR(__xludf.DUMMYFUNCTION("""COMPUTED_VALUE"""),"")</f>
        <v/>
      </c>
      <c r="Q1349" s="250" t="str">
        <f>IFERROR(__xludf.DUMMYFUNCTION("""COMPUTED_VALUE"""),"")</f>
        <v/>
      </c>
      <c r="R1349" s="250" t="str">
        <f>IFERROR(__xludf.DUMMYFUNCTION("""COMPUTED_VALUE"""),"")</f>
        <v/>
      </c>
      <c r="U1349" s="250" t="str">
        <f>IFERROR(__xludf.DUMMYFUNCTION("""COMPUTED_VALUE"""),"#N/A")</f>
        <v>#N/A</v>
      </c>
      <c r="V1349" s="250" t="str">
        <f>IFERROR(__xludf.DUMMYFUNCTION("""COMPUTED_VALUE"""),"#N/A")</f>
        <v>#N/A</v>
      </c>
      <c r="W1349" s="250" t="str">
        <f>IFERROR(__xludf.DUMMYFUNCTION("""COMPUTED_VALUE"""),"#N/A")</f>
        <v>#N/A</v>
      </c>
      <c r="X1349" t="b">
        <f t="shared" ref="X1349:Z1349" si="2674">ISBLANK(K1349)</f>
        <v>1</v>
      </c>
      <c r="Y1349" t="b">
        <f t="shared" si="2674"/>
        <v>0</v>
      </c>
      <c r="Z1349" t="b">
        <f t="shared" si="2674"/>
        <v>0</v>
      </c>
      <c r="AA1349">
        <f t="shared" ref="AA1349:AC1349" si="2675">IF(X1349=FALSE,1,0)</f>
        <v>0</v>
      </c>
      <c r="AB1349">
        <f t="shared" si="2675"/>
        <v>1</v>
      </c>
      <c r="AC1349">
        <f t="shared" si="2675"/>
        <v>1</v>
      </c>
      <c r="AD1349">
        <f t="shared" si="6"/>
        <v>2</v>
      </c>
      <c r="AE1349">
        <f t="shared" si="7"/>
        <v>1</v>
      </c>
    </row>
    <row r="1350">
      <c r="B1350" t="str">
        <f>IFERROR(__xludf.DUMMYFUNCTION("""COMPUTED_VALUE"""),"")</f>
        <v/>
      </c>
      <c r="C1350" t="str">
        <f>IFERROR(__xludf.DUMMYFUNCTION("""COMPUTED_VALUE"""),"")</f>
        <v/>
      </c>
      <c r="D1350" t="str">
        <f>IFERROR(__xludf.DUMMYFUNCTION("""COMPUTED_VALUE"""),"")</f>
        <v/>
      </c>
      <c r="E1350" t="str">
        <f>IFERROR(__xludf.DUMMYFUNCTION("""COMPUTED_VALUE"""),"")</f>
        <v/>
      </c>
      <c r="F1350" t="str">
        <f>IFERROR(__xludf.DUMMYFUNCTION("""COMPUTED_VALUE"""),"")</f>
        <v/>
      </c>
      <c r="G1350" t="str">
        <f>IFERROR(__xludf.DUMMYFUNCTION("""COMPUTED_VALUE"""),"")</f>
        <v/>
      </c>
      <c r="H1350" t="str">
        <f>IFERROR(__xludf.DUMMYFUNCTION("""COMPUTED_VALUE"""),"")</f>
        <v/>
      </c>
      <c r="I1350" t="str">
        <f>IFERROR(__xludf.DUMMYFUNCTION("""COMPUTED_VALUE"""),"")</f>
        <v/>
      </c>
      <c r="J1350">
        <f>IFERROR(__xludf.DUMMYFUNCTION("""COMPUTED_VALUE"""),0.0)</f>
        <v>0</v>
      </c>
      <c r="L1350" s="250" t="str">
        <f>IFERROR(__xludf.DUMMYFUNCTION("""COMPUTED_VALUE"""),"")</f>
        <v/>
      </c>
      <c r="M1350" s="250" t="str">
        <f>IFERROR(__xludf.DUMMYFUNCTION("""COMPUTED_VALUE"""),"")</f>
        <v/>
      </c>
      <c r="N1350" s="250" t="str">
        <f>IFERROR(__xludf.DUMMYFUNCTION("""COMPUTED_VALUE"""),"")</f>
        <v/>
      </c>
      <c r="O1350" s="250" t="str">
        <f>IFERROR(__xludf.DUMMYFUNCTION("""COMPUTED_VALUE"""),"")</f>
        <v/>
      </c>
      <c r="P1350" s="250" t="str">
        <f>IFERROR(__xludf.DUMMYFUNCTION("""COMPUTED_VALUE"""),"")</f>
        <v/>
      </c>
      <c r="Q1350" s="250" t="str">
        <f>IFERROR(__xludf.DUMMYFUNCTION("""COMPUTED_VALUE"""),"")</f>
        <v/>
      </c>
      <c r="R1350" s="250" t="str">
        <f>IFERROR(__xludf.DUMMYFUNCTION("""COMPUTED_VALUE"""),"")</f>
        <v/>
      </c>
      <c r="U1350" s="250" t="str">
        <f>IFERROR(__xludf.DUMMYFUNCTION("""COMPUTED_VALUE"""),"#N/A")</f>
        <v>#N/A</v>
      </c>
      <c r="V1350" s="250" t="str">
        <f>IFERROR(__xludf.DUMMYFUNCTION("""COMPUTED_VALUE"""),"#N/A")</f>
        <v>#N/A</v>
      </c>
      <c r="W1350" s="250" t="str">
        <f>IFERROR(__xludf.DUMMYFUNCTION("""COMPUTED_VALUE"""),"#N/A")</f>
        <v>#N/A</v>
      </c>
      <c r="X1350" t="b">
        <f t="shared" ref="X1350:Z1350" si="2676">ISBLANK(K1350)</f>
        <v>1</v>
      </c>
      <c r="Y1350" t="b">
        <f t="shared" si="2676"/>
        <v>0</v>
      </c>
      <c r="Z1350" t="b">
        <f t="shared" si="2676"/>
        <v>0</v>
      </c>
      <c r="AA1350">
        <f t="shared" ref="AA1350:AC1350" si="2677">IF(X1350=FALSE,1,0)</f>
        <v>0</v>
      </c>
      <c r="AB1350">
        <f t="shared" si="2677"/>
        <v>1</v>
      </c>
      <c r="AC1350">
        <f t="shared" si="2677"/>
        <v>1</v>
      </c>
      <c r="AD1350">
        <f t="shared" si="6"/>
        <v>2</v>
      </c>
      <c r="AE1350">
        <f t="shared" si="7"/>
        <v>1</v>
      </c>
    </row>
    <row r="1351">
      <c r="B1351" t="str">
        <f>IFERROR(__xludf.DUMMYFUNCTION("""COMPUTED_VALUE"""),"")</f>
        <v/>
      </c>
      <c r="C1351" t="str">
        <f>IFERROR(__xludf.DUMMYFUNCTION("""COMPUTED_VALUE"""),"")</f>
        <v/>
      </c>
      <c r="D1351" t="str">
        <f>IFERROR(__xludf.DUMMYFUNCTION("""COMPUTED_VALUE"""),"")</f>
        <v/>
      </c>
      <c r="E1351" t="str">
        <f>IFERROR(__xludf.DUMMYFUNCTION("""COMPUTED_VALUE"""),"")</f>
        <v/>
      </c>
      <c r="F1351" t="str">
        <f>IFERROR(__xludf.DUMMYFUNCTION("""COMPUTED_VALUE"""),"")</f>
        <v/>
      </c>
      <c r="G1351" t="str">
        <f>IFERROR(__xludf.DUMMYFUNCTION("""COMPUTED_VALUE"""),"")</f>
        <v/>
      </c>
      <c r="H1351" t="str">
        <f>IFERROR(__xludf.DUMMYFUNCTION("""COMPUTED_VALUE"""),"")</f>
        <v/>
      </c>
      <c r="I1351" t="str">
        <f>IFERROR(__xludf.DUMMYFUNCTION("""COMPUTED_VALUE"""),"")</f>
        <v/>
      </c>
      <c r="J1351">
        <f>IFERROR(__xludf.DUMMYFUNCTION("""COMPUTED_VALUE"""),0.0)</f>
        <v>0</v>
      </c>
      <c r="L1351" s="250" t="str">
        <f>IFERROR(__xludf.DUMMYFUNCTION("""COMPUTED_VALUE"""),"")</f>
        <v/>
      </c>
      <c r="M1351" s="250" t="str">
        <f>IFERROR(__xludf.DUMMYFUNCTION("""COMPUTED_VALUE"""),"")</f>
        <v/>
      </c>
      <c r="N1351" s="250" t="str">
        <f>IFERROR(__xludf.DUMMYFUNCTION("""COMPUTED_VALUE"""),"")</f>
        <v/>
      </c>
      <c r="O1351" s="250" t="str">
        <f>IFERROR(__xludf.DUMMYFUNCTION("""COMPUTED_VALUE"""),"")</f>
        <v/>
      </c>
      <c r="P1351" s="250" t="str">
        <f>IFERROR(__xludf.DUMMYFUNCTION("""COMPUTED_VALUE"""),"")</f>
        <v/>
      </c>
      <c r="Q1351" s="250" t="str">
        <f>IFERROR(__xludf.DUMMYFUNCTION("""COMPUTED_VALUE"""),"")</f>
        <v/>
      </c>
      <c r="R1351" s="250" t="str">
        <f>IFERROR(__xludf.DUMMYFUNCTION("""COMPUTED_VALUE"""),"")</f>
        <v/>
      </c>
      <c r="U1351" s="250" t="str">
        <f>IFERROR(__xludf.DUMMYFUNCTION("""COMPUTED_VALUE"""),"#N/A")</f>
        <v>#N/A</v>
      </c>
      <c r="V1351" s="250" t="str">
        <f>IFERROR(__xludf.DUMMYFUNCTION("""COMPUTED_VALUE"""),"#N/A")</f>
        <v>#N/A</v>
      </c>
      <c r="W1351" s="250" t="str">
        <f>IFERROR(__xludf.DUMMYFUNCTION("""COMPUTED_VALUE"""),"#N/A")</f>
        <v>#N/A</v>
      </c>
      <c r="X1351" t="b">
        <f t="shared" ref="X1351:Z1351" si="2678">ISBLANK(K1351)</f>
        <v>1</v>
      </c>
      <c r="Y1351" t="b">
        <f t="shared" si="2678"/>
        <v>0</v>
      </c>
      <c r="Z1351" t="b">
        <f t="shared" si="2678"/>
        <v>0</v>
      </c>
      <c r="AA1351">
        <f t="shared" ref="AA1351:AC1351" si="2679">IF(X1351=FALSE,1,0)</f>
        <v>0</v>
      </c>
      <c r="AB1351">
        <f t="shared" si="2679"/>
        <v>1</v>
      </c>
      <c r="AC1351">
        <f t="shared" si="2679"/>
        <v>1</v>
      </c>
      <c r="AD1351">
        <f t="shared" si="6"/>
        <v>2</v>
      </c>
      <c r="AE1351">
        <f t="shared" si="7"/>
        <v>1</v>
      </c>
    </row>
    <row r="1352">
      <c r="B1352" t="str">
        <f>IFERROR(__xludf.DUMMYFUNCTION("""COMPUTED_VALUE"""),"")</f>
        <v/>
      </c>
      <c r="C1352" t="str">
        <f>IFERROR(__xludf.DUMMYFUNCTION("""COMPUTED_VALUE"""),"")</f>
        <v/>
      </c>
      <c r="D1352" t="str">
        <f>IFERROR(__xludf.DUMMYFUNCTION("""COMPUTED_VALUE"""),"")</f>
        <v/>
      </c>
      <c r="E1352" t="str">
        <f>IFERROR(__xludf.DUMMYFUNCTION("""COMPUTED_VALUE"""),"")</f>
        <v/>
      </c>
      <c r="F1352" t="str">
        <f>IFERROR(__xludf.DUMMYFUNCTION("""COMPUTED_VALUE"""),"")</f>
        <v/>
      </c>
      <c r="G1352" t="str">
        <f>IFERROR(__xludf.DUMMYFUNCTION("""COMPUTED_VALUE"""),"")</f>
        <v/>
      </c>
      <c r="H1352" t="str">
        <f>IFERROR(__xludf.DUMMYFUNCTION("""COMPUTED_VALUE"""),"")</f>
        <v/>
      </c>
      <c r="I1352" t="str">
        <f>IFERROR(__xludf.DUMMYFUNCTION("""COMPUTED_VALUE"""),"")</f>
        <v/>
      </c>
      <c r="J1352">
        <f>IFERROR(__xludf.DUMMYFUNCTION("""COMPUTED_VALUE"""),0.0)</f>
        <v>0</v>
      </c>
      <c r="L1352" s="250" t="str">
        <f>IFERROR(__xludf.DUMMYFUNCTION("""COMPUTED_VALUE"""),"")</f>
        <v/>
      </c>
      <c r="M1352" s="250" t="str">
        <f>IFERROR(__xludf.DUMMYFUNCTION("""COMPUTED_VALUE"""),"")</f>
        <v/>
      </c>
      <c r="N1352" s="250" t="str">
        <f>IFERROR(__xludf.DUMMYFUNCTION("""COMPUTED_VALUE"""),"")</f>
        <v/>
      </c>
      <c r="O1352" s="250" t="str">
        <f>IFERROR(__xludf.DUMMYFUNCTION("""COMPUTED_VALUE"""),"")</f>
        <v/>
      </c>
      <c r="P1352" s="250" t="str">
        <f>IFERROR(__xludf.DUMMYFUNCTION("""COMPUTED_VALUE"""),"")</f>
        <v/>
      </c>
      <c r="Q1352" s="250" t="str">
        <f>IFERROR(__xludf.DUMMYFUNCTION("""COMPUTED_VALUE"""),"")</f>
        <v/>
      </c>
      <c r="R1352" s="250" t="str">
        <f>IFERROR(__xludf.DUMMYFUNCTION("""COMPUTED_VALUE"""),"")</f>
        <v/>
      </c>
      <c r="U1352" s="250" t="str">
        <f>IFERROR(__xludf.DUMMYFUNCTION("""COMPUTED_VALUE"""),"#N/A")</f>
        <v>#N/A</v>
      </c>
      <c r="V1352" s="250" t="str">
        <f>IFERROR(__xludf.DUMMYFUNCTION("""COMPUTED_VALUE"""),"#N/A")</f>
        <v>#N/A</v>
      </c>
      <c r="W1352" s="250" t="str">
        <f>IFERROR(__xludf.DUMMYFUNCTION("""COMPUTED_VALUE"""),"#N/A")</f>
        <v>#N/A</v>
      </c>
      <c r="X1352" t="b">
        <f t="shared" ref="X1352:Z1352" si="2680">ISBLANK(K1352)</f>
        <v>1</v>
      </c>
      <c r="Y1352" t="b">
        <f t="shared" si="2680"/>
        <v>0</v>
      </c>
      <c r="Z1352" t="b">
        <f t="shared" si="2680"/>
        <v>0</v>
      </c>
      <c r="AA1352">
        <f t="shared" ref="AA1352:AC1352" si="2681">IF(X1352=FALSE,1,0)</f>
        <v>0</v>
      </c>
      <c r="AB1352">
        <f t="shared" si="2681"/>
        <v>1</v>
      </c>
      <c r="AC1352">
        <f t="shared" si="2681"/>
        <v>1</v>
      </c>
      <c r="AD1352">
        <f t="shared" si="6"/>
        <v>2</v>
      </c>
      <c r="AE1352">
        <f t="shared" si="7"/>
        <v>1</v>
      </c>
    </row>
    <row r="1353">
      <c r="B1353" t="str">
        <f>IFERROR(__xludf.DUMMYFUNCTION("""COMPUTED_VALUE"""),"")</f>
        <v/>
      </c>
      <c r="C1353" t="str">
        <f>IFERROR(__xludf.DUMMYFUNCTION("""COMPUTED_VALUE"""),"")</f>
        <v/>
      </c>
      <c r="D1353" t="str">
        <f>IFERROR(__xludf.DUMMYFUNCTION("""COMPUTED_VALUE"""),"")</f>
        <v/>
      </c>
      <c r="E1353" t="str">
        <f>IFERROR(__xludf.DUMMYFUNCTION("""COMPUTED_VALUE"""),"")</f>
        <v/>
      </c>
      <c r="F1353" t="str">
        <f>IFERROR(__xludf.DUMMYFUNCTION("""COMPUTED_VALUE"""),"")</f>
        <v/>
      </c>
      <c r="G1353" t="str">
        <f>IFERROR(__xludf.DUMMYFUNCTION("""COMPUTED_VALUE"""),"")</f>
        <v/>
      </c>
      <c r="H1353" t="str">
        <f>IFERROR(__xludf.DUMMYFUNCTION("""COMPUTED_VALUE"""),"")</f>
        <v/>
      </c>
      <c r="I1353" t="str">
        <f>IFERROR(__xludf.DUMMYFUNCTION("""COMPUTED_VALUE"""),"")</f>
        <v/>
      </c>
      <c r="J1353">
        <f>IFERROR(__xludf.DUMMYFUNCTION("""COMPUTED_VALUE"""),0.0)</f>
        <v>0</v>
      </c>
      <c r="L1353" s="250" t="str">
        <f>IFERROR(__xludf.DUMMYFUNCTION("""COMPUTED_VALUE"""),"")</f>
        <v/>
      </c>
      <c r="M1353" s="250" t="str">
        <f>IFERROR(__xludf.DUMMYFUNCTION("""COMPUTED_VALUE"""),"")</f>
        <v/>
      </c>
      <c r="N1353" s="250" t="str">
        <f>IFERROR(__xludf.DUMMYFUNCTION("""COMPUTED_VALUE"""),"")</f>
        <v/>
      </c>
      <c r="O1353" s="250" t="str">
        <f>IFERROR(__xludf.DUMMYFUNCTION("""COMPUTED_VALUE"""),"")</f>
        <v/>
      </c>
      <c r="P1353" s="250" t="str">
        <f>IFERROR(__xludf.DUMMYFUNCTION("""COMPUTED_VALUE"""),"")</f>
        <v/>
      </c>
      <c r="Q1353" s="250" t="str">
        <f>IFERROR(__xludf.DUMMYFUNCTION("""COMPUTED_VALUE"""),"")</f>
        <v/>
      </c>
      <c r="R1353" s="250" t="str">
        <f>IFERROR(__xludf.DUMMYFUNCTION("""COMPUTED_VALUE"""),"")</f>
        <v/>
      </c>
      <c r="U1353" s="250" t="str">
        <f>IFERROR(__xludf.DUMMYFUNCTION("""COMPUTED_VALUE"""),"#N/A")</f>
        <v>#N/A</v>
      </c>
      <c r="V1353" s="250" t="str">
        <f>IFERROR(__xludf.DUMMYFUNCTION("""COMPUTED_VALUE"""),"#N/A")</f>
        <v>#N/A</v>
      </c>
      <c r="W1353" s="250" t="str">
        <f>IFERROR(__xludf.DUMMYFUNCTION("""COMPUTED_VALUE"""),"#N/A")</f>
        <v>#N/A</v>
      </c>
      <c r="X1353" t="b">
        <f t="shared" ref="X1353:Z1353" si="2682">ISBLANK(K1353)</f>
        <v>1</v>
      </c>
      <c r="Y1353" t="b">
        <f t="shared" si="2682"/>
        <v>0</v>
      </c>
      <c r="Z1353" t="b">
        <f t="shared" si="2682"/>
        <v>0</v>
      </c>
      <c r="AA1353">
        <f t="shared" ref="AA1353:AC1353" si="2683">IF(X1353=FALSE,1,0)</f>
        <v>0</v>
      </c>
      <c r="AB1353">
        <f t="shared" si="2683"/>
        <v>1</v>
      </c>
      <c r="AC1353">
        <f t="shared" si="2683"/>
        <v>1</v>
      </c>
      <c r="AD1353">
        <f t="shared" si="6"/>
        <v>2</v>
      </c>
      <c r="AE1353">
        <f t="shared" si="7"/>
        <v>1</v>
      </c>
    </row>
    <row r="1354">
      <c r="B1354" t="str">
        <f>IFERROR(__xludf.DUMMYFUNCTION("""COMPUTED_VALUE"""),"")</f>
        <v/>
      </c>
      <c r="C1354" t="str">
        <f>IFERROR(__xludf.DUMMYFUNCTION("""COMPUTED_VALUE"""),"")</f>
        <v/>
      </c>
      <c r="D1354" t="str">
        <f>IFERROR(__xludf.DUMMYFUNCTION("""COMPUTED_VALUE"""),"")</f>
        <v/>
      </c>
      <c r="E1354" t="str">
        <f>IFERROR(__xludf.DUMMYFUNCTION("""COMPUTED_VALUE"""),"")</f>
        <v/>
      </c>
      <c r="F1354" t="str">
        <f>IFERROR(__xludf.DUMMYFUNCTION("""COMPUTED_VALUE"""),"")</f>
        <v/>
      </c>
      <c r="G1354" t="str">
        <f>IFERROR(__xludf.DUMMYFUNCTION("""COMPUTED_VALUE"""),"")</f>
        <v/>
      </c>
      <c r="H1354" t="str">
        <f>IFERROR(__xludf.DUMMYFUNCTION("""COMPUTED_VALUE"""),"")</f>
        <v/>
      </c>
      <c r="I1354" t="str">
        <f>IFERROR(__xludf.DUMMYFUNCTION("""COMPUTED_VALUE"""),"")</f>
        <v/>
      </c>
      <c r="J1354">
        <f>IFERROR(__xludf.DUMMYFUNCTION("""COMPUTED_VALUE"""),0.0)</f>
        <v>0</v>
      </c>
      <c r="L1354" s="250" t="str">
        <f>IFERROR(__xludf.DUMMYFUNCTION("""COMPUTED_VALUE"""),"")</f>
        <v/>
      </c>
      <c r="M1354" s="250" t="str">
        <f>IFERROR(__xludf.DUMMYFUNCTION("""COMPUTED_VALUE"""),"")</f>
        <v/>
      </c>
      <c r="N1354" s="250" t="str">
        <f>IFERROR(__xludf.DUMMYFUNCTION("""COMPUTED_VALUE"""),"")</f>
        <v/>
      </c>
      <c r="O1354" s="250" t="str">
        <f>IFERROR(__xludf.DUMMYFUNCTION("""COMPUTED_VALUE"""),"")</f>
        <v/>
      </c>
      <c r="P1354" s="250" t="str">
        <f>IFERROR(__xludf.DUMMYFUNCTION("""COMPUTED_VALUE"""),"")</f>
        <v/>
      </c>
      <c r="Q1354" s="250" t="str">
        <f>IFERROR(__xludf.DUMMYFUNCTION("""COMPUTED_VALUE"""),"")</f>
        <v/>
      </c>
      <c r="R1354" s="250" t="str">
        <f>IFERROR(__xludf.DUMMYFUNCTION("""COMPUTED_VALUE"""),"")</f>
        <v/>
      </c>
      <c r="U1354" s="250" t="str">
        <f>IFERROR(__xludf.DUMMYFUNCTION("""COMPUTED_VALUE"""),"#N/A")</f>
        <v>#N/A</v>
      </c>
      <c r="V1354" s="250" t="str">
        <f>IFERROR(__xludf.DUMMYFUNCTION("""COMPUTED_VALUE"""),"#N/A")</f>
        <v>#N/A</v>
      </c>
      <c r="W1354" s="250" t="str">
        <f>IFERROR(__xludf.DUMMYFUNCTION("""COMPUTED_VALUE"""),"#N/A")</f>
        <v>#N/A</v>
      </c>
      <c r="X1354" t="b">
        <f t="shared" ref="X1354:Z1354" si="2684">ISBLANK(K1354)</f>
        <v>1</v>
      </c>
      <c r="Y1354" t="b">
        <f t="shared" si="2684"/>
        <v>0</v>
      </c>
      <c r="Z1354" t="b">
        <f t="shared" si="2684"/>
        <v>0</v>
      </c>
      <c r="AA1354">
        <f t="shared" ref="AA1354:AC1354" si="2685">IF(X1354=FALSE,1,0)</f>
        <v>0</v>
      </c>
      <c r="AB1354">
        <f t="shared" si="2685"/>
        <v>1</v>
      </c>
      <c r="AC1354">
        <f t="shared" si="2685"/>
        <v>1</v>
      </c>
      <c r="AD1354">
        <f t="shared" si="6"/>
        <v>2</v>
      </c>
      <c r="AE1354">
        <f t="shared" si="7"/>
        <v>1</v>
      </c>
    </row>
    <row r="1355">
      <c r="B1355" t="str">
        <f>IFERROR(__xludf.DUMMYFUNCTION("""COMPUTED_VALUE"""),"")</f>
        <v/>
      </c>
      <c r="C1355" t="str">
        <f>IFERROR(__xludf.DUMMYFUNCTION("""COMPUTED_VALUE"""),"")</f>
        <v/>
      </c>
      <c r="D1355" t="str">
        <f>IFERROR(__xludf.DUMMYFUNCTION("""COMPUTED_VALUE"""),"")</f>
        <v/>
      </c>
      <c r="E1355" t="str">
        <f>IFERROR(__xludf.DUMMYFUNCTION("""COMPUTED_VALUE"""),"")</f>
        <v/>
      </c>
      <c r="F1355" t="str">
        <f>IFERROR(__xludf.DUMMYFUNCTION("""COMPUTED_VALUE"""),"")</f>
        <v/>
      </c>
      <c r="G1355" t="str">
        <f>IFERROR(__xludf.DUMMYFUNCTION("""COMPUTED_VALUE"""),"")</f>
        <v/>
      </c>
      <c r="H1355" t="str">
        <f>IFERROR(__xludf.DUMMYFUNCTION("""COMPUTED_VALUE"""),"")</f>
        <v/>
      </c>
      <c r="I1355" t="str">
        <f>IFERROR(__xludf.DUMMYFUNCTION("""COMPUTED_VALUE"""),"")</f>
        <v/>
      </c>
      <c r="J1355">
        <f>IFERROR(__xludf.DUMMYFUNCTION("""COMPUTED_VALUE"""),0.0)</f>
        <v>0</v>
      </c>
      <c r="L1355" s="250" t="str">
        <f>IFERROR(__xludf.DUMMYFUNCTION("""COMPUTED_VALUE"""),"")</f>
        <v/>
      </c>
      <c r="M1355" s="250" t="str">
        <f>IFERROR(__xludf.DUMMYFUNCTION("""COMPUTED_VALUE"""),"")</f>
        <v/>
      </c>
      <c r="N1355" s="250" t="str">
        <f>IFERROR(__xludf.DUMMYFUNCTION("""COMPUTED_VALUE"""),"")</f>
        <v/>
      </c>
      <c r="O1355" s="250" t="str">
        <f>IFERROR(__xludf.DUMMYFUNCTION("""COMPUTED_VALUE"""),"")</f>
        <v/>
      </c>
      <c r="P1355" s="250" t="str">
        <f>IFERROR(__xludf.DUMMYFUNCTION("""COMPUTED_VALUE"""),"")</f>
        <v/>
      </c>
      <c r="Q1355" s="250" t="str">
        <f>IFERROR(__xludf.DUMMYFUNCTION("""COMPUTED_VALUE"""),"")</f>
        <v/>
      </c>
      <c r="R1355" s="250" t="str">
        <f>IFERROR(__xludf.DUMMYFUNCTION("""COMPUTED_VALUE"""),"")</f>
        <v/>
      </c>
      <c r="U1355" s="250" t="str">
        <f>IFERROR(__xludf.DUMMYFUNCTION("""COMPUTED_VALUE"""),"#N/A")</f>
        <v>#N/A</v>
      </c>
      <c r="V1355" s="250" t="str">
        <f>IFERROR(__xludf.DUMMYFUNCTION("""COMPUTED_VALUE"""),"#N/A")</f>
        <v>#N/A</v>
      </c>
      <c r="W1355" s="250" t="str">
        <f>IFERROR(__xludf.DUMMYFUNCTION("""COMPUTED_VALUE"""),"#N/A")</f>
        <v>#N/A</v>
      </c>
      <c r="X1355" t="b">
        <f t="shared" ref="X1355:Z1355" si="2686">ISBLANK(K1355)</f>
        <v>1</v>
      </c>
      <c r="Y1355" t="b">
        <f t="shared" si="2686"/>
        <v>0</v>
      </c>
      <c r="Z1355" t="b">
        <f t="shared" si="2686"/>
        <v>0</v>
      </c>
      <c r="AA1355">
        <f t="shared" ref="AA1355:AC1355" si="2687">IF(X1355=FALSE,1,0)</f>
        <v>0</v>
      </c>
      <c r="AB1355">
        <f t="shared" si="2687"/>
        <v>1</v>
      </c>
      <c r="AC1355">
        <f t="shared" si="2687"/>
        <v>1</v>
      </c>
      <c r="AD1355">
        <f t="shared" si="6"/>
        <v>2</v>
      </c>
      <c r="AE1355">
        <f t="shared" si="7"/>
        <v>1</v>
      </c>
    </row>
    <row r="1356">
      <c r="B1356" t="str">
        <f>IFERROR(__xludf.DUMMYFUNCTION("""COMPUTED_VALUE"""),"")</f>
        <v/>
      </c>
      <c r="C1356" t="str">
        <f>IFERROR(__xludf.DUMMYFUNCTION("""COMPUTED_VALUE"""),"")</f>
        <v/>
      </c>
      <c r="D1356" t="str">
        <f>IFERROR(__xludf.DUMMYFUNCTION("""COMPUTED_VALUE"""),"")</f>
        <v/>
      </c>
      <c r="E1356" t="str">
        <f>IFERROR(__xludf.DUMMYFUNCTION("""COMPUTED_VALUE"""),"")</f>
        <v/>
      </c>
      <c r="F1356" t="str">
        <f>IFERROR(__xludf.DUMMYFUNCTION("""COMPUTED_VALUE"""),"")</f>
        <v/>
      </c>
      <c r="G1356" t="str">
        <f>IFERROR(__xludf.DUMMYFUNCTION("""COMPUTED_VALUE"""),"")</f>
        <v/>
      </c>
      <c r="H1356" t="str">
        <f>IFERROR(__xludf.DUMMYFUNCTION("""COMPUTED_VALUE"""),"")</f>
        <v/>
      </c>
      <c r="I1356" t="str">
        <f>IFERROR(__xludf.DUMMYFUNCTION("""COMPUTED_VALUE"""),"")</f>
        <v/>
      </c>
      <c r="J1356">
        <f>IFERROR(__xludf.DUMMYFUNCTION("""COMPUTED_VALUE"""),0.0)</f>
        <v>0</v>
      </c>
      <c r="L1356" s="250" t="str">
        <f>IFERROR(__xludf.DUMMYFUNCTION("""COMPUTED_VALUE"""),"")</f>
        <v/>
      </c>
      <c r="M1356" s="250" t="str">
        <f>IFERROR(__xludf.DUMMYFUNCTION("""COMPUTED_VALUE"""),"")</f>
        <v/>
      </c>
      <c r="N1356" s="250" t="str">
        <f>IFERROR(__xludf.DUMMYFUNCTION("""COMPUTED_VALUE"""),"")</f>
        <v/>
      </c>
      <c r="O1356" s="250" t="str">
        <f>IFERROR(__xludf.DUMMYFUNCTION("""COMPUTED_VALUE"""),"")</f>
        <v/>
      </c>
      <c r="P1356" s="250" t="str">
        <f>IFERROR(__xludf.DUMMYFUNCTION("""COMPUTED_VALUE"""),"")</f>
        <v/>
      </c>
      <c r="Q1356" s="250" t="str">
        <f>IFERROR(__xludf.DUMMYFUNCTION("""COMPUTED_VALUE"""),"")</f>
        <v/>
      </c>
      <c r="R1356" s="250" t="str">
        <f>IFERROR(__xludf.DUMMYFUNCTION("""COMPUTED_VALUE"""),"")</f>
        <v/>
      </c>
      <c r="U1356" s="250" t="str">
        <f>IFERROR(__xludf.DUMMYFUNCTION("""COMPUTED_VALUE"""),"#N/A")</f>
        <v>#N/A</v>
      </c>
      <c r="V1356" s="250" t="str">
        <f>IFERROR(__xludf.DUMMYFUNCTION("""COMPUTED_VALUE"""),"#N/A")</f>
        <v>#N/A</v>
      </c>
      <c r="W1356" s="250" t="str">
        <f>IFERROR(__xludf.DUMMYFUNCTION("""COMPUTED_VALUE"""),"#N/A")</f>
        <v>#N/A</v>
      </c>
      <c r="X1356" t="b">
        <f t="shared" ref="X1356:Z1356" si="2688">ISBLANK(K1356)</f>
        <v>1</v>
      </c>
      <c r="Y1356" t="b">
        <f t="shared" si="2688"/>
        <v>0</v>
      </c>
      <c r="Z1356" t="b">
        <f t="shared" si="2688"/>
        <v>0</v>
      </c>
      <c r="AA1356">
        <f t="shared" ref="AA1356:AC1356" si="2689">IF(X1356=FALSE,1,0)</f>
        <v>0</v>
      </c>
      <c r="AB1356">
        <f t="shared" si="2689"/>
        <v>1</v>
      </c>
      <c r="AC1356">
        <f t="shared" si="2689"/>
        <v>1</v>
      </c>
      <c r="AD1356">
        <f t="shared" si="6"/>
        <v>2</v>
      </c>
      <c r="AE1356">
        <f t="shared" si="7"/>
        <v>1</v>
      </c>
    </row>
    <row r="1357">
      <c r="B1357" t="str">
        <f>IFERROR(__xludf.DUMMYFUNCTION("""COMPUTED_VALUE"""),"")</f>
        <v/>
      </c>
      <c r="C1357" t="str">
        <f>IFERROR(__xludf.DUMMYFUNCTION("""COMPUTED_VALUE"""),"")</f>
        <v/>
      </c>
      <c r="D1357" t="str">
        <f>IFERROR(__xludf.DUMMYFUNCTION("""COMPUTED_VALUE"""),"")</f>
        <v/>
      </c>
      <c r="E1357" t="str">
        <f>IFERROR(__xludf.DUMMYFUNCTION("""COMPUTED_VALUE"""),"")</f>
        <v/>
      </c>
      <c r="F1357" t="str">
        <f>IFERROR(__xludf.DUMMYFUNCTION("""COMPUTED_VALUE"""),"")</f>
        <v/>
      </c>
      <c r="G1357" t="str">
        <f>IFERROR(__xludf.DUMMYFUNCTION("""COMPUTED_VALUE"""),"")</f>
        <v/>
      </c>
      <c r="H1357" t="str">
        <f>IFERROR(__xludf.DUMMYFUNCTION("""COMPUTED_VALUE"""),"")</f>
        <v/>
      </c>
      <c r="I1357" t="str">
        <f>IFERROR(__xludf.DUMMYFUNCTION("""COMPUTED_VALUE"""),"")</f>
        <v/>
      </c>
      <c r="J1357">
        <f>IFERROR(__xludf.DUMMYFUNCTION("""COMPUTED_VALUE"""),0.0)</f>
        <v>0</v>
      </c>
      <c r="L1357" s="250" t="str">
        <f>IFERROR(__xludf.DUMMYFUNCTION("""COMPUTED_VALUE"""),"")</f>
        <v/>
      </c>
      <c r="M1357" s="250" t="str">
        <f>IFERROR(__xludf.DUMMYFUNCTION("""COMPUTED_VALUE"""),"")</f>
        <v/>
      </c>
      <c r="N1357" s="250" t="str">
        <f>IFERROR(__xludf.DUMMYFUNCTION("""COMPUTED_VALUE"""),"")</f>
        <v/>
      </c>
      <c r="O1357" s="250" t="str">
        <f>IFERROR(__xludf.DUMMYFUNCTION("""COMPUTED_VALUE"""),"")</f>
        <v/>
      </c>
      <c r="P1357" s="250" t="str">
        <f>IFERROR(__xludf.DUMMYFUNCTION("""COMPUTED_VALUE"""),"")</f>
        <v/>
      </c>
      <c r="Q1357" s="250" t="str">
        <f>IFERROR(__xludf.DUMMYFUNCTION("""COMPUTED_VALUE"""),"")</f>
        <v/>
      </c>
      <c r="R1357" s="250" t="str">
        <f>IFERROR(__xludf.DUMMYFUNCTION("""COMPUTED_VALUE"""),"")</f>
        <v/>
      </c>
      <c r="U1357" s="250" t="str">
        <f>IFERROR(__xludf.DUMMYFUNCTION("""COMPUTED_VALUE"""),"#N/A")</f>
        <v>#N/A</v>
      </c>
      <c r="V1357" s="250" t="str">
        <f>IFERROR(__xludf.DUMMYFUNCTION("""COMPUTED_VALUE"""),"#N/A")</f>
        <v>#N/A</v>
      </c>
      <c r="W1357" s="250" t="str">
        <f>IFERROR(__xludf.DUMMYFUNCTION("""COMPUTED_VALUE"""),"#N/A")</f>
        <v>#N/A</v>
      </c>
      <c r="X1357" t="b">
        <f t="shared" ref="X1357:Z1357" si="2690">ISBLANK(K1357)</f>
        <v>1</v>
      </c>
      <c r="Y1357" t="b">
        <f t="shared" si="2690"/>
        <v>0</v>
      </c>
      <c r="Z1357" t="b">
        <f t="shared" si="2690"/>
        <v>0</v>
      </c>
      <c r="AA1357">
        <f t="shared" ref="AA1357:AC1357" si="2691">IF(X1357=FALSE,1,0)</f>
        <v>0</v>
      </c>
      <c r="AB1357">
        <f t="shared" si="2691"/>
        <v>1</v>
      </c>
      <c r="AC1357">
        <f t="shared" si="2691"/>
        <v>1</v>
      </c>
      <c r="AD1357">
        <f t="shared" si="6"/>
        <v>2</v>
      </c>
      <c r="AE1357">
        <f t="shared" si="7"/>
        <v>1</v>
      </c>
    </row>
    <row r="1358">
      <c r="B1358" t="str">
        <f>IFERROR(__xludf.DUMMYFUNCTION("""COMPUTED_VALUE"""),"")</f>
        <v/>
      </c>
      <c r="C1358" t="str">
        <f>IFERROR(__xludf.DUMMYFUNCTION("""COMPUTED_VALUE"""),"")</f>
        <v/>
      </c>
      <c r="D1358" t="str">
        <f>IFERROR(__xludf.DUMMYFUNCTION("""COMPUTED_VALUE"""),"")</f>
        <v/>
      </c>
      <c r="E1358" t="str">
        <f>IFERROR(__xludf.DUMMYFUNCTION("""COMPUTED_VALUE"""),"")</f>
        <v/>
      </c>
      <c r="F1358" t="str">
        <f>IFERROR(__xludf.DUMMYFUNCTION("""COMPUTED_VALUE"""),"")</f>
        <v/>
      </c>
      <c r="G1358" t="str">
        <f>IFERROR(__xludf.DUMMYFUNCTION("""COMPUTED_VALUE"""),"")</f>
        <v/>
      </c>
      <c r="H1358" t="str">
        <f>IFERROR(__xludf.DUMMYFUNCTION("""COMPUTED_VALUE"""),"")</f>
        <v/>
      </c>
      <c r="I1358" t="str">
        <f>IFERROR(__xludf.DUMMYFUNCTION("""COMPUTED_VALUE"""),"")</f>
        <v/>
      </c>
      <c r="J1358">
        <f>IFERROR(__xludf.DUMMYFUNCTION("""COMPUTED_VALUE"""),0.0)</f>
        <v>0</v>
      </c>
      <c r="L1358" s="250" t="str">
        <f>IFERROR(__xludf.DUMMYFUNCTION("""COMPUTED_VALUE"""),"")</f>
        <v/>
      </c>
      <c r="M1358" s="250" t="str">
        <f>IFERROR(__xludf.DUMMYFUNCTION("""COMPUTED_VALUE"""),"")</f>
        <v/>
      </c>
      <c r="N1358" s="250" t="str">
        <f>IFERROR(__xludf.DUMMYFUNCTION("""COMPUTED_VALUE"""),"")</f>
        <v/>
      </c>
      <c r="O1358" s="250" t="str">
        <f>IFERROR(__xludf.DUMMYFUNCTION("""COMPUTED_VALUE"""),"")</f>
        <v/>
      </c>
      <c r="P1358" s="250" t="str">
        <f>IFERROR(__xludf.DUMMYFUNCTION("""COMPUTED_VALUE"""),"")</f>
        <v/>
      </c>
      <c r="Q1358" s="250" t="str">
        <f>IFERROR(__xludf.DUMMYFUNCTION("""COMPUTED_VALUE"""),"")</f>
        <v/>
      </c>
      <c r="R1358" s="250" t="str">
        <f>IFERROR(__xludf.DUMMYFUNCTION("""COMPUTED_VALUE"""),"")</f>
        <v/>
      </c>
      <c r="U1358" s="250" t="str">
        <f>IFERROR(__xludf.DUMMYFUNCTION("""COMPUTED_VALUE"""),"#N/A")</f>
        <v>#N/A</v>
      </c>
      <c r="V1358" s="250" t="str">
        <f>IFERROR(__xludf.DUMMYFUNCTION("""COMPUTED_VALUE"""),"#N/A")</f>
        <v>#N/A</v>
      </c>
      <c r="W1358" s="250" t="str">
        <f>IFERROR(__xludf.DUMMYFUNCTION("""COMPUTED_VALUE"""),"#N/A")</f>
        <v>#N/A</v>
      </c>
      <c r="X1358" t="b">
        <f t="shared" ref="X1358:Z1358" si="2692">ISBLANK(K1358)</f>
        <v>1</v>
      </c>
      <c r="Y1358" t="b">
        <f t="shared" si="2692"/>
        <v>0</v>
      </c>
      <c r="Z1358" t="b">
        <f t="shared" si="2692"/>
        <v>0</v>
      </c>
      <c r="AA1358">
        <f t="shared" ref="AA1358:AC1358" si="2693">IF(X1358=FALSE,1,0)</f>
        <v>0</v>
      </c>
      <c r="AB1358">
        <f t="shared" si="2693"/>
        <v>1</v>
      </c>
      <c r="AC1358">
        <f t="shared" si="2693"/>
        <v>1</v>
      </c>
      <c r="AD1358">
        <f t="shared" si="6"/>
        <v>2</v>
      </c>
      <c r="AE1358">
        <f t="shared" si="7"/>
        <v>1</v>
      </c>
    </row>
    <row r="1359">
      <c r="B1359" t="str">
        <f>IFERROR(__xludf.DUMMYFUNCTION("""COMPUTED_VALUE"""),"")</f>
        <v/>
      </c>
      <c r="C1359" t="str">
        <f>IFERROR(__xludf.DUMMYFUNCTION("""COMPUTED_VALUE"""),"")</f>
        <v/>
      </c>
      <c r="D1359" t="str">
        <f>IFERROR(__xludf.DUMMYFUNCTION("""COMPUTED_VALUE"""),"")</f>
        <v/>
      </c>
      <c r="E1359" t="str">
        <f>IFERROR(__xludf.DUMMYFUNCTION("""COMPUTED_VALUE"""),"")</f>
        <v/>
      </c>
      <c r="F1359" t="str">
        <f>IFERROR(__xludf.DUMMYFUNCTION("""COMPUTED_VALUE"""),"")</f>
        <v/>
      </c>
      <c r="G1359" t="str">
        <f>IFERROR(__xludf.DUMMYFUNCTION("""COMPUTED_VALUE"""),"")</f>
        <v/>
      </c>
      <c r="H1359" t="str">
        <f>IFERROR(__xludf.DUMMYFUNCTION("""COMPUTED_VALUE"""),"")</f>
        <v/>
      </c>
      <c r="I1359" t="str">
        <f>IFERROR(__xludf.DUMMYFUNCTION("""COMPUTED_VALUE"""),"")</f>
        <v/>
      </c>
      <c r="J1359">
        <f>IFERROR(__xludf.DUMMYFUNCTION("""COMPUTED_VALUE"""),0.0)</f>
        <v>0</v>
      </c>
      <c r="L1359" s="250" t="str">
        <f>IFERROR(__xludf.DUMMYFUNCTION("""COMPUTED_VALUE"""),"")</f>
        <v/>
      </c>
      <c r="M1359" s="250" t="str">
        <f>IFERROR(__xludf.DUMMYFUNCTION("""COMPUTED_VALUE"""),"")</f>
        <v/>
      </c>
      <c r="N1359" s="250" t="str">
        <f>IFERROR(__xludf.DUMMYFUNCTION("""COMPUTED_VALUE"""),"")</f>
        <v/>
      </c>
      <c r="O1359" s="250" t="str">
        <f>IFERROR(__xludf.DUMMYFUNCTION("""COMPUTED_VALUE"""),"")</f>
        <v/>
      </c>
      <c r="P1359" s="250" t="str">
        <f>IFERROR(__xludf.DUMMYFUNCTION("""COMPUTED_VALUE"""),"")</f>
        <v/>
      </c>
      <c r="Q1359" s="250" t="str">
        <f>IFERROR(__xludf.DUMMYFUNCTION("""COMPUTED_VALUE"""),"")</f>
        <v/>
      </c>
      <c r="R1359" s="250" t="str">
        <f>IFERROR(__xludf.DUMMYFUNCTION("""COMPUTED_VALUE"""),"")</f>
        <v/>
      </c>
      <c r="U1359" s="250" t="str">
        <f>IFERROR(__xludf.DUMMYFUNCTION("""COMPUTED_VALUE"""),"#N/A")</f>
        <v>#N/A</v>
      </c>
      <c r="V1359" s="250" t="str">
        <f>IFERROR(__xludf.DUMMYFUNCTION("""COMPUTED_VALUE"""),"#N/A")</f>
        <v>#N/A</v>
      </c>
      <c r="W1359" s="250" t="str">
        <f>IFERROR(__xludf.DUMMYFUNCTION("""COMPUTED_VALUE"""),"#N/A")</f>
        <v>#N/A</v>
      </c>
      <c r="X1359" t="b">
        <f t="shared" ref="X1359:Z1359" si="2694">ISBLANK(K1359)</f>
        <v>1</v>
      </c>
      <c r="Y1359" t="b">
        <f t="shared" si="2694"/>
        <v>0</v>
      </c>
      <c r="Z1359" t="b">
        <f t="shared" si="2694"/>
        <v>0</v>
      </c>
      <c r="AA1359">
        <f t="shared" ref="AA1359:AC1359" si="2695">IF(X1359=FALSE,1,0)</f>
        <v>0</v>
      </c>
      <c r="AB1359">
        <f t="shared" si="2695"/>
        <v>1</v>
      </c>
      <c r="AC1359">
        <f t="shared" si="2695"/>
        <v>1</v>
      </c>
      <c r="AD1359">
        <f t="shared" si="6"/>
        <v>2</v>
      </c>
      <c r="AE1359">
        <f t="shared" si="7"/>
        <v>1</v>
      </c>
    </row>
    <row r="1360">
      <c r="B1360" t="str">
        <f>IFERROR(__xludf.DUMMYFUNCTION("""COMPUTED_VALUE"""),"")</f>
        <v/>
      </c>
      <c r="C1360" t="str">
        <f>IFERROR(__xludf.DUMMYFUNCTION("""COMPUTED_VALUE"""),"")</f>
        <v/>
      </c>
      <c r="D1360" t="str">
        <f>IFERROR(__xludf.DUMMYFUNCTION("""COMPUTED_VALUE"""),"")</f>
        <v/>
      </c>
      <c r="E1360" t="str">
        <f>IFERROR(__xludf.DUMMYFUNCTION("""COMPUTED_VALUE"""),"")</f>
        <v/>
      </c>
      <c r="F1360" t="str">
        <f>IFERROR(__xludf.DUMMYFUNCTION("""COMPUTED_VALUE"""),"")</f>
        <v/>
      </c>
      <c r="G1360" t="str">
        <f>IFERROR(__xludf.DUMMYFUNCTION("""COMPUTED_VALUE"""),"")</f>
        <v/>
      </c>
      <c r="H1360" t="str">
        <f>IFERROR(__xludf.DUMMYFUNCTION("""COMPUTED_VALUE"""),"")</f>
        <v/>
      </c>
      <c r="I1360" t="str">
        <f>IFERROR(__xludf.DUMMYFUNCTION("""COMPUTED_VALUE"""),"")</f>
        <v/>
      </c>
      <c r="J1360">
        <f>IFERROR(__xludf.DUMMYFUNCTION("""COMPUTED_VALUE"""),0.0)</f>
        <v>0</v>
      </c>
      <c r="L1360" s="250" t="str">
        <f>IFERROR(__xludf.DUMMYFUNCTION("""COMPUTED_VALUE"""),"")</f>
        <v/>
      </c>
      <c r="M1360" s="250" t="str">
        <f>IFERROR(__xludf.DUMMYFUNCTION("""COMPUTED_VALUE"""),"")</f>
        <v/>
      </c>
      <c r="N1360" s="250" t="str">
        <f>IFERROR(__xludf.DUMMYFUNCTION("""COMPUTED_VALUE"""),"")</f>
        <v/>
      </c>
      <c r="O1360" s="250" t="str">
        <f>IFERROR(__xludf.DUMMYFUNCTION("""COMPUTED_VALUE"""),"")</f>
        <v/>
      </c>
      <c r="P1360" s="250" t="str">
        <f>IFERROR(__xludf.DUMMYFUNCTION("""COMPUTED_VALUE"""),"")</f>
        <v/>
      </c>
      <c r="Q1360" s="250" t="str">
        <f>IFERROR(__xludf.DUMMYFUNCTION("""COMPUTED_VALUE"""),"")</f>
        <v/>
      </c>
      <c r="R1360" s="250" t="str">
        <f>IFERROR(__xludf.DUMMYFUNCTION("""COMPUTED_VALUE"""),"")</f>
        <v/>
      </c>
      <c r="U1360" s="250" t="str">
        <f>IFERROR(__xludf.DUMMYFUNCTION("""COMPUTED_VALUE"""),"#N/A")</f>
        <v>#N/A</v>
      </c>
      <c r="V1360" s="250" t="str">
        <f>IFERROR(__xludf.DUMMYFUNCTION("""COMPUTED_VALUE"""),"#N/A")</f>
        <v>#N/A</v>
      </c>
      <c r="W1360" s="250" t="str">
        <f>IFERROR(__xludf.DUMMYFUNCTION("""COMPUTED_VALUE"""),"#N/A")</f>
        <v>#N/A</v>
      </c>
      <c r="X1360" t="b">
        <f t="shared" ref="X1360:Z1360" si="2696">ISBLANK(K1360)</f>
        <v>1</v>
      </c>
      <c r="Y1360" t="b">
        <f t="shared" si="2696"/>
        <v>0</v>
      </c>
      <c r="Z1360" t="b">
        <f t="shared" si="2696"/>
        <v>0</v>
      </c>
      <c r="AA1360">
        <f t="shared" ref="AA1360:AC1360" si="2697">IF(X1360=FALSE,1,0)</f>
        <v>0</v>
      </c>
      <c r="AB1360">
        <f t="shared" si="2697"/>
        <v>1</v>
      </c>
      <c r="AC1360">
        <f t="shared" si="2697"/>
        <v>1</v>
      </c>
      <c r="AD1360">
        <f t="shared" si="6"/>
        <v>2</v>
      </c>
      <c r="AE1360">
        <f t="shared" si="7"/>
        <v>1</v>
      </c>
    </row>
    <row r="1361">
      <c r="B1361" t="str">
        <f>IFERROR(__xludf.DUMMYFUNCTION("""COMPUTED_VALUE"""),"")</f>
        <v/>
      </c>
      <c r="C1361" t="str">
        <f>IFERROR(__xludf.DUMMYFUNCTION("""COMPUTED_VALUE"""),"")</f>
        <v/>
      </c>
      <c r="D1361" t="str">
        <f>IFERROR(__xludf.DUMMYFUNCTION("""COMPUTED_VALUE"""),"")</f>
        <v/>
      </c>
      <c r="E1361" t="str">
        <f>IFERROR(__xludf.DUMMYFUNCTION("""COMPUTED_VALUE"""),"")</f>
        <v/>
      </c>
      <c r="F1361" t="str">
        <f>IFERROR(__xludf.DUMMYFUNCTION("""COMPUTED_VALUE"""),"")</f>
        <v/>
      </c>
      <c r="G1361" t="str">
        <f>IFERROR(__xludf.DUMMYFUNCTION("""COMPUTED_VALUE"""),"")</f>
        <v/>
      </c>
      <c r="H1361" t="str">
        <f>IFERROR(__xludf.DUMMYFUNCTION("""COMPUTED_VALUE"""),"")</f>
        <v/>
      </c>
      <c r="I1361" t="str">
        <f>IFERROR(__xludf.DUMMYFUNCTION("""COMPUTED_VALUE"""),"")</f>
        <v/>
      </c>
      <c r="J1361">
        <f>IFERROR(__xludf.DUMMYFUNCTION("""COMPUTED_VALUE"""),0.0)</f>
        <v>0</v>
      </c>
      <c r="L1361" s="250" t="str">
        <f>IFERROR(__xludf.DUMMYFUNCTION("""COMPUTED_VALUE"""),"")</f>
        <v/>
      </c>
      <c r="M1361" s="250" t="str">
        <f>IFERROR(__xludf.DUMMYFUNCTION("""COMPUTED_VALUE"""),"")</f>
        <v/>
      </c>
      <c r="N1361" s="250" t="str">
        <f>IFERROR(__xludf.DUMMYFUNCTION("""COMPUTED_VALUE"""),"")</f>
        <v/>
      </c>
      <c r="O1361" s="250" t="str">
        <f>IFERROR(__xludf.DUMMYFUNCTION("""COMPUTED_VALUE"""),"")</f>
        <v/>
      </c>
      <c r="P1361" s="250" t="str">
        <f>IFERROR(__xludf.DUMMYFUNCTION("""COMPUTED_VALUE"""),"")</f>
        <v/>
      </c>
      <c r="Q1361" s="250" t="str">
        <f>IFERROR(__xludf.DUMMYFUNCTION("""COMPUTED_VALUE"""),"")</f>
        <v/>
      </c>
      <c r="R1361" s="250" t="str">
        <f>IFERROR(__xludf.DUMMYFUNCTION("""COMPUTED_VALUE"""),"")</f>
        <v/>
      </c>
      <c r="U1361" s="250" t="str">
        <f>IFERROR(__xludf.DUMMYFUNCTION("""COMPUTED_VALUE"""),"#N/A")</f>
        <v>#N/A</v>
      </c>
      <c r="V1361" s="250" t="str">
        <f>IFERROR(__xludf.DUMMYFUNCTION("""COMPUTED_VALUE"""),"#N/A")</f>
        <v>#N/A</v>
      </c>
      <c r="W1361" s="250" t="str">
        <f>IFERROR(__xludf.DUMMYFUNCTION("""COMPUTED_VALUE"""),"#N/A")</f>
        <v>#N/A</v>
      </c>
      <c r="X1361" t="b">
        <f t="shared" ref="X1361:Z1361" si="2698">ISBLANK(K1361)</f>
        <v>1</v>
      </c>
      <c r="Y1361" t="b">
        <f t="shared" si="2698"/>
        <v>0</v>
      </c>
      <c r="Z1361" t="b">
        <f t="shared" si="2698"/>
        <v>0</v>
      </c>
      <c r="AA1361">
        <f t="shared" ref="AA1361:AC1361" si="2699">IF(X1361=FALSE,1,0)</f>
        <v>0</v>
      </c>
      <c r="AB1361">
        <f t="shared" si="2699"/>
        <v>1</v>
      </c>
      <c r="AC1361">
        <f t="shared" si="2699"/>
        <v>1</v>
      </c>
      <c r="AD1361">
        <f t="shared" si="6"/>
        <v>2</v>
      </c>
      <c r="AE1361">
        <f t="shared" si="7"/>
        <v>1</v>
      </c>
    </row>
    <row r="1362">
      <c r="B1362" t="str">
        <f>IFERROR(__xludf.DUMMYFUNCTION("""COMPUTED_VALUE"""),"")</f>
        <v/>
      </c>
      <c r="C1362" t="str">
        <f>IFERROR(__xludf.DUMMYFUNCTION("""COMPUTED_VALUE"""),"")</f>
        <v/>
      </c>
      <c r="D1362" t="str">
        <f>IFERROR(__xludf.DUMMYFUNCTION("""COMPUTED_VALUE"""),"")</f>
        <v/>
      </c>
      <c r="E1362" t="str">
        <f>IFERROR(__xludf.DUMMYFUNCTION("""COMPUTED_VALUE"""),"")</f>
        <v/>
      </c>
      <c r="F1362" t="str">
        <f>IFERROR(__xludf.DUMMYFUNCTION("""COMPUTED_VALUE"""),"")</f>
        <v/>
      </c>
      <c r="G1362" t="str">
        <f>IFERROR(__xludf.DUMMYFUNCTION("""COMPUTED_VALUE"""),"")</f>
        <v/>
      </c>
      <c r="H1362" t="str">
        <f>IFERROR(__xludf.DUMMYFUNCTION("""COMPUTED_VALUE"""),"")</f>
        <v/>
      </c>
      <c r="I1362" t="str">
        <f>IFERROR(__xludf.DUMMYFUNCTION("""COMPUTED_VALUE"""),"")</f>
        <v/>
      </c>
      <c r="J1362">
        <f>IFERROR(__xludf.DUMMYFUNCTION("""COMPUTED_VALUE"""),0.0)</f>
        <v>0</v>
      </c>
      <c r="L1362" s="250" t="str">
        <f>IFERROR(__xludf.DUMMYFUNCTION("""COMPUTED_VALUE"""),"")</f>
        <v/>
      </c>
      <c r="M1362" s="250" t="str">
        <f>IFERROR(__xludf.DUMMYFUNCTION("""COMPUTED_VALUE"""),"")</f>
        <v/>
      </c>
      <c r="N1362" s="250" t="str">
        <f>IFERROR(__xludf.DUMMYFUNCTION("""COMPUTED_VALUE"""),"")</f>
        <v/>
      </c>
      <c r="O1362" s="250" t="str">
        <f>IFERROR(__xludf.DUMMYFUNCTION("""COMPUTED_VALUE"""),"")</f>
        <v/>
      </c>
      <c r="P1362" s="250" t="str">
        <f>IFERROR(__xludf.DUMMYFUNCTION("""COMPUTED_VALUE"""),"")</f>
        <v/>
      </c>
      <c r="Q1362" s="250" t="str">
        <f>IFERROR(__xludf.DUMMYFUNCTION("""COMPUTED_VALUE"""),"")</f>
        <v/>
      </c>
      <c r="R1362" s="250" t="str">
        <f>IFERROR(__xludf.DUMMYFUNCTION("""COMPUTED_VALUE"""),"")</f>
        <v/>
      </c>
      <c r="U1362" s="250" t="str">
        <f>IFERROR(__xludf.DUMMYFUNCTION("""COMPUTED_VALUE"""),"#N/A")</f>
        <v>#N/A</v>
      </c>
      <c r="V1362" s="250" t="str">
        <f>IFERROR(__xludf.DUMMYFUNCTION("""COMPUTED_VALUE"""),"#N/A")</f>
        <v>#N/A</v>
      </c>
      <c r="W1362" s="250" t="str">
        <f>IFERROR(__xludf.DUMMYFUNCTION("""COMPUTED_VALUE"""),"#N/A")</f>
        <v>#N/A</v>
      </c>
      <c r="X1362" t="b">
        <f t="shared" ref="X1362:Z1362" si="2700">ISBLANK(K1362)</f>
        <v>1</v>
      </c>
      <c r="Y1362" t="b">
        <f t="shared" si="2700"/>
        <v>0</v>
      </c>
      <c r="Z1362" t="b">
        <f t="shared" si="2700"/>
        <v>0</v>
      </c>
      <c r="AA1362">
        <f t="shared" ref="AA1362:AC1362" si="2701">IF(X1362=FALSE,1,0)</f>
        <v>0</v>
      </c>
      <c r="AB1362">
        <f t="shared" si="2701"/>
        <v>1</v>
      </c>
      <c r="AC1362">
        <f t="shared" si="2701"/>
        <v>1</v>
      </c>
      <c r="AD1362">
        <f t="shared" si="6"/>
        <v>2</v>
      </c>
      <c r="AE1362">
        <f t="shared" si="7"/>
        <v>1</v>
      </c>
    </row>
    <row r="1363">
      <c r="B1363" t="str">
        <f>IFERROR(__xludf.DUMMYFUNCTION("""COMPUTED_VALUE"""),"")</f>
        <v/>
      </c>
      <c r="C1363" t="str">
        <f>IFERROR(__xludf.DUMMYFUNCTION("""COMPUTED_VALUE"""),"")</f>
        <v/>
      </c>
      <c r="D1363" t="str">
        <f>IFERROR(__xludf.DUMMYFUNCTION("""COMPUTED_VALUE"""),"")</f>
        <v/>
      </c>
      <c r="E1363" t="str">
        <f>IFERROR(__xludf.DUMMYFUNCTION("""COMPUTED_VALUE"""),"")</f>
        <v/>
      </c>
      <c r="F1363" t="str">
        <f>IFERROR(__xludf.DUMMYFUNCTION("""COMPUTED_VALUE"""),"")</f>
        <v/>
      </c>
      <c r="G1363" t="str">
        <f>IFERROR(__xludf.DUMMYFUNCTION("""COMPUTED_VALUE"""),"")</f>
        <v/>
      </c>
      <c r="H1363" t="str">
        <f>IFERROR(__xludf.DUMMYFUNCTION("""COMPUTED_VALUE"""),"")</f>
        <v/>
      </c>
      <c r="I1363" t="str">
        <f>IFERROR(__xludf.DUMMYFUNCTION("""COMPUTED_VALUE"""),"")</f>
        <v/>
      </c>
      <c r="J1363">
        <f>IFERROR(__xludf.DUMMYFUNCTION("""COMPUTED_VALUE"""),0.0)</f>
        <v>0</v>
      </c>
      <c r="L1363" s="250" t="str">
        <f>IFERROR(__xludf.DUMMYFUNCTION("""COMPUTED_VALUE"""),"")</f>
        <v/>
      </c>
      <c r="M1363" s="250" t="str">
        <f>IFERROR(__xludf.DUMMYFUNCTION("""COMPUTED_VALUE"""),"")</f>
        <v/>
      </c>
      <c r="N1363" s="250" t="str">
        <f>IFERROR(__xludf.DUMMYFUNCTION("""COMPUTED_VALUE"""),"")</f>
        <v/>
      </c>
      <c r="O1363" s="250" t="str">
        <f>IFERROR(__xludf.DUMMYFUNCTION("""COMPUTED_VALUE"""),"")</f>
        <v/>
      </c>
      <c r="P1363" s="250" t="str">
        <f>IFERROR(__xludf.DUMMYFUNCTION("""COMPUTED_VALUE"""),"")</f>
        <v/>
      </c>
      <c r="Q1363" s="250" t="str">
        <f>IFERROR(__xludf.DUMMYFUNCTION("""COMPUTED_VALUE"""),"")</f>
        <v/>
      </c>
      <c r="R1363" s="250" t="str">
        <f>IFERROR(__xludf.DUMMYFUNCTION("""COMPUTED_VALUE"""),"")</f>
        <v/>
      </c>
      <c r="U1363" s="250" t="str">
        <f>IFERROR(__xludf.DUMMYFUNCTION("""COMPUTED_VALUE"""),"#N/A")</f>
        <v>#N/A</v>
      </c>
      <c r="V1363" s="250" t="str">
        <f>IFERROR(__xludf.DUMMYFUNCTION("""COMPUTED_VALUE"""),"#N/A")</f>
        <v>#N/A</v>
      </c>
      <c r="W1363" s="250" t="str">
        <f>IFERROR(__xludf.DUMMYFUNCTION("""COMPUTED_VALUE"""),"#N/A")</f>
        <v>#N/A</v>
      </c>
      <c r="X1363" t="b">
        <f t="shared" ref="X1363:Z1363" si="2702">ISBLANK(K1363)</f>
        <v>1</v>
      </c>
      <c r="Y1363" t="b">
        <f t="shared" si="2702"/>
        <v>0</v>
      </c>
      <c r="Z1363" t="b">
        <f t="shared" si="2702"/>
        <v>0</v>
      </c>
      <c r="AA1363">
        <f t="shared" ref="AA1363:AC1363" si="2703">IF(X1363=FALSE,1,0)</f>
        <v>0</v>
      </c>
      <c r="AB1363">
        <f t="shared" si="2703"/>
        <v>1</v>
      </c>
      <c r="AC1363">
        <f t="shared" si="2703"/>
        <v>1</v>
      </c>
      <c r="AD1363">
        <f t="shared" si="6"/>
        <v>2</v>
      </c>
      <c r="AE1363">
        <f t="shared" si="7"/>
        <v>1</v>
      </c>
    </row>
    <row r="1364">
      <c r="B1364" t="str">
        <f>IFERROR(__xludf.DUMMYFUNCTION("""COMPUTED_VALUE"""),"")</f>
        <v/>
      </c>
      <c r="C1364" t="str">
        <f>IFERROR(__xludf.DUMMYFUNCTION("""COMPUTED_VALUE"""),"")</f>
        <v/>
      </c>
      <c r="D1364" t="str">
        <f>IFERROR(__xludf.DUMMYFUNCTION("""COMPUTED_VALUE"""),"")</f>
        <v/>
      </c>
      <c r="E1364" t="str">
        <f>IFERROR(__xludf.DUMMYFUNCTION("""COMPUTED_VALUE"""),"")</f>
        <v/>
      </c>
      <c r="F1364" t="str">
        <f>IFERROR(__xludf.DUMMYFUNCTION("""COMPUTED_VALUE"""),"")</f>
        <v/>
      </c>
      <c r="G1364" t="str">
        <f>IFERROR(__xludf.DUMMYFUNCTION("""COMPUTED_VALUE"""),"")</f>
        <v/>
      </c>
      <c r="H1364" t="str">
        <f>IFERROR(__xludf.DUMMYFUNCTION("""COMPUTED_VALUE"""),"")</f>
        <v/>
      </c>
      <c r="I1364" t="str">
        <f>IFERROR(__xludf.DUMMYFUNCTION("""COMPUTED_VALUE"""),"")</f>
        <v/>
      </c>
      <c r="J1364">
        <f>IFERROR(__xludf.DUMMYFUNCTION("""COMPUTED_VALUE"""),0.0)</f>
        <v>0</v>
      </c>
      <c r="L1364" s="250" t="str">
        <f>IFERROR(__xludf.DUMMYFUNCTION("""COMPUTED_VALUE"""),"")</f>
        <v/>
      </c>
      <c r="M1364" s="250" t="str">
        <f>IFERROR(__xludf.DUMMYFUNCTION("""COMPUTED_VALUE"""),"")</f>
        <v/>
      </c>
      <c r="N1364" s="250" t="str">
        <f>IFERROR(__xludf.DUMMYFUNCTION("""COMPUTED_VALUE"""),"")</f>
        <v/>
      </c>
      <c r="O1364" s="250" t="str">
        <f>IFERROR(__xludf.DUMMYFUNCTION("""COMPUTED_VALUE"""),"")</f>
        <v/>
      </c>
      <c r="P1364" s="250" t="str">
        <f>IFERROR(__xludf.DUMMYFUNCTION("""COMPUTED_VALUE"""),"")</f>
        <v/>
      </c>
      <c r="Q1364" s="250" t="str">
        <f>IFERROR(__xludf.DUMMYFUNCTION("""COMPUTED_VALUE"""),"")</f>
        <v/>
      </c>
      <c r="R1364" s="250" t="str">
        <f>IFERROR(__xludf.DUMMYFUNCTION("""COMPUTED_VALUE"""),"")</f>
        <v/>
      </c>
      <c r="U1364" s="250" t="str">
        <f>IFERROR(__xludf.DUMMYFUNCTION("""COMPUTED_VALUE"""),"#N/A")</f>
        <v>#N/A</v>
      </c>
      <c r="V1364" s="250" t="str">
        <f>IFERROR(__xludf.DUMMYFUNCTION("""COMPUTED_VALUE"""),"#N/A")</f>
        <v>#N/A</v>
      </c>
      <c r="W1364" s="250" t="str">
        <f>IFERROR(__xludf.DUMMYFUNCTION("""COMPUTED_VALUE"""),"#N/A")</f>
        <v>#N/A</v>
      </c>
      <c r="X1364" t="b">
        <f t="shared" ref="X1364:Z1364" si="2704">ISBLANK(K1364)</f>
        <v>1</v>
      </c>
      <c r="Y1364" t="b">
        <f t="shared" si="2704"/>
        <v>0</v>
      </c>
      <c r="Z1364" t="b">
        <f t="shared" si="2704"/>
        <v>0</v>
      </c>
      <c r="AA1364">
        <f t="shared" ref="AA1364:AC1364" si="2705">IF(X1364=FALSE,1,0)</f>
        <v>0</v>
      </c>
      <c r="AB1364">
        <f t="shared" si="2705"/>
        <v>1</v>
      </c>
      <c r="AC1364">
        <f t="shared" si="2705"/>
        <v>1</v>
      </c>
      <c r="AD1364">
        <f t="shared" si="6"/>
        <v>2</v>
      </c>
      <c r="AE1364">
        <f t="shared" si="7"/>
        <v>1</v>
      </c>
    </row>
    <row r="1365">
      <c r="B1365" t="str">
        <f>IFERROR(__xludf.DUMMYFUNCTION("""COMPUTED_VALUE"""),"")</f>
        <v/>
      </c>
      <c r="C1365" t="str">
        <f>IFERROR(__xludf.DUMMYFUNCTION("""COMPUTED_VALUE"""),"")</f>
        <v/>
      </c>
      <c r="D1365" t="str">
        <f>IFERROR(__xludf.DUMMYFUNCTION("""COMPUTED_VALUE"""),"")</f>
        <v/>
      </c>
      <c r="E1365" t="str">
        <f>IFERROR(__xludf.DUMMYFUNCTION("""COMPUTED_VALUE"""),"")</f>
        <v/>
      </c>
      <c r="F1365" t="str">
        <f>IFERROR(__xludf.DUMMYFUNCTION("""COMPUTED_VALUE"""),"")</f>
        <v/>
      </c>
      <c r="G1365" t="str">
        <f>IFERROR(__xludf.DUMMYFUNCTION("""COMPUTED_VALUE"""),"")</f>
        <v/>
      </c>
      <c r="H1365" t="str">
        <f>IFERROR(__xludf.DUMMYFUNCTION("""COMPUTED_VALUE"""),"")</f>
        <v/>
      </c>
      <c r="I1365" t="str">
        <f>IFERROR(__xludf.DUMMYFUNCTION("""COMPUTED_VALUE"""),"")</f>
        <v/>
      </c>
      <c r="J1365">
        <f>IFERROR(__xludf.DUMMYFUNCTION("""COMPUTED_VALUE"""),0.0)</f>
        <v>0</v>
      </c>
      <c r="L1365" s="250" t="str">
        <f>IFERROR(__xludf.DUMMYFUNCTION("""COMPUTED_VALUE"""),"")</f>
        <v/>
      </c>
      <c r="M1365" s="250" t="str">
        <f>IFERROR(__xludf.DUMMYFUNCTION("""COMPUTED_VALUE"""),"")</f>
        <v/>
      </c>
      <c r="N1365" s="250" t="str">
        <f>IFERROR(__xludf.DUMMYFUNCTION("""COMPUTED_VALUE"""),"")</f>
        <v/>
      </c>
      <c r="O1365" s="250" t="str">
        <f>IFERROR(__xludf.DUMMYFUNCTION("""COMPUTED_VALUE"""),"")</f>
        <v/>
      </c>
      <c r="P1365" s="250" t="str">
        <f>IFERROR(__xludf.DUMMYFUNCTION("""COMPUTED_VALUE"""),"")</f>
        <v/>
      </c>
      <c r="Q1365" s="250" t="str">
        <f>IFERROR(__xludf.DUMMYFUNCTION("""COMPUTED_VALUE"""),"")</f>
        <v/>
      </c>
      <c r="R1365" s="250" t="str">
        <f>IFERROR(__xludf.DUMMYFUNCTION("""COMPUTED_VALUE"""),"")</f>
        <v/>
      </c>
      <c r="U1365" s="250" t="str">
        <f>IFERROR(__xludf.DUMMYFUNCTION("""COMPUTED_VALUE"""),"#N/A")</f>
        <v>#N/A</v>
      </c>
      <c r="V1365" s="250" t="str">
        <f>IFERROR(__xludf.DUMMYFUNCTION("""COMPUTED_VALUE"""),"#N/A")</f>
        <v>#N/A</v>
      </c>
      <c r="W1365" s="250" t="str">
        <f>IFERROR(__xludf.DUMMYFUNCTION("""COMPUTED_VALUE"""),"#N/A")</f>
        <v>#N/A</v>
      </c>
      <c r="X1365" t="b">
        <f t="shared" ref="X1365:Z1365" si="2706">ISBLANK(K1365)</f>
        <v>1</v>
      </c>
      <c r="Y1365" t="b">
        <f t="shared" si="2706"/>
        <v>0</v>
      </c>
      <c r="Z1365" t="b">
        <f t="shared" si="2706"/>
        <v>0</v>
      </c>
      <c r="AA1365">
        <f t="shared" ref="AA1365:AC1365" si="2707">IF(X1365=FALSE,1,0)</f>
        <v>0</v>
      </c>
      <c r="AB1365">
        <f t="shared" si="2707"/>
        <v>1</v>
      </c>
      <c r="AC1365">
        <f t="shared" si="2707"/>
        <v>1</v>
      </c>
      <c r="AD1365">
        <f t="shared" si="6"/>
        <v>2</v>
      </c>
      <c r="AE1365">
        <f t="shared" si="7"/>
        <v>1</v>
      </c>
    </row>
    <row r="1366">
      <c r="B1366" t="str">
        <f>IFERROR(__xludf.DUMMYFUNCTION("""COMPUTED_VALUE"""),"")</f>
        <v/>
      </c>
      <c r="C1366" t="str">
        <f>IFERROR(__xludf.DUMMYFUNCTION("""COMPUTED_VALUE"""),"")</f>
        <v/>
      </c>
      <c r="D1366" t="str">
        <f>IFERROR(__xludf.DUMMYFUNCTION("""COMPUTED_VALUE"""),"")</f>
        <v/>
      </c>
      <c r="E1366" t="str">
        <f>IFERROR(__xludf.DUMMYFUNCTION("""COMPUTED_VALUE"""),"")</f>
        <v/>
      </c>
      <c r="F1366" t="str">
        <f>IFERROR(__xludf.DUMMYFUNCTION("""COMPUTED_VALUE"""),"")</f>
        <v/>
      </c>
      <c r="G1366" t="str">
        <f>IFERROR(__xludf.DUMMYFUNCTION("""COMPUTED_VALUE"""),"")</f>
        <v/>
      </c>
      <c r="H1366" t="str">
        <f>IFERROR(__xludf.DUMMYFUNCTION("""COMPUTED_VALUE"""),"")</f>
        <v/>
      </c>
      <c r="I1366" t="str">
        <f>IFERROR(__xludf.DUMMYFUNCTION("""COMPUTED_VALUE"""),"")</f>
        <v/>
      </c>
      <c r="J1366">
        <f>IFERROR(__xludf.DUMMYFUNCTION("""COMPUTED_VALUE"""),0.0)</f>
        <v>0</v>
      </c>
      <c r="L1366" s="250" t="str">
        <f>IFERROR(__xludf.DUMMYFUNCTION("""COMPUTED_VALUE"""),"")</f>
        <v/>
      </c>
      <c r="M1366" s="250" t="str">
        <f>IFERROR(__xludf.DUMMYFUNCTION("""COMPUTED_VALUE"""),"")</f>
        <v/>
      </c>
      <c r="N1366" s="250" t="str">
        <f>IFERROR(__xludf.DUMMYFUNCTION("""COMPUTED_VALUE"""),"")</f>
        <v/>
      </c>
      <c r="O1366" s="250" t="str">
        <f>IFERROR(__xludf.DUMMYFUNCTION("""COMPUTED_VALUE"""),"")</f>
        <v/>
      </c>
      <c r="P1366" s="250" t="str">
        <f>IFERROR(__xludf.DUMMYFUNCTION("""COMPUTED_VALUE"""),"")</f>
        <v/>
      </c>
      <c r="Q1366" s="250" t="str">
        <f>IFERROR(__xludf.DUMMYFUNCTION("""COMPUTED_VALUE"""),"")</f>
        <v/>
      </c>
      <c r="R1366" s="250" t="str">
        <f>IFERROR(__xludf.DUMMYFUNCTION("""COMPUTED_VALUE"""),"")</f>
        <v/>
      </c>
      <c r="U1366" s="250" t="str">
        <f>IFERROR(__xludf.DUMMYFUNCTION("""COMPUTED_VALUE"""),"#N/A")</f>
        <v>#N/A</v>
      </c>
      <c r="V1366" s="250" t="str">
        <f>IFERROR(__xludf.DUMMYFUNCTION("""COMPUTED_VALUE"""),"#N/A")</f>
        <v>#N/A</v>
      </c>
      <c r="W1366" s="250" t="str">
        <f>IFERROR(__xludf.DUMMYFUNCTION("""COMPUTED_VALUE"""),"#N/A")</f>
        <v>#N/A</v>
      </c>
      <c r="X1366" t="b">
        <f t="shared" ref="X1366:Z1366" si="2708">ISBLANK(K1366)</f>
        <v>1</v>
      </c>
      <c r="Y1366" t="b">
        <f t="shared" si="2708"/>
        <v>0</v>
      </c>
      <c r="Z1366" t="b">
        <f t="shared" si="2708"/>
        <v>0</v>
      </c>
      <c r="AA1366">
        <f t="shared" ref="AA1366:AC1366" si="2709">IF(X1366=FALSE,1,0)</f>
        <v>0</v>
      </c>
      <c r="AB1366">
        <f t="shared" si="2709"/>
        <v>1</v>
      </c>
      <c r="AC1366">
        <f t="shared" si="2709"/>
        <v>1</v>
      </c>
      <c r="AD1366">
        <f t="shared" si="6"/>
        <v>2</v>
      </c>
      <c r="AE1366">
        <f t="shared" si="7"/>
        <v>1</v>
      </c>
    </row>
    <row r="1367">
      <c r="B1367" t="str">
        <f>IFERROR(__xludf.DUMMYFUNCTION("""COMPUTED_VALUE"""),"")</f>
        <v/>
      </c>
      <c r="C1367" t="str">
        <f>IFERROR(__xludf.DUMMYFUNCTION("""COMPUTED_VALUE"""),"")</f>
        <v/>
      </c>
      <c r="D1367" t="str">
        <f>IFERROR(__xludf.DUMMYFUNCTION("""COMPUTED_VALUE"""),"")</f>
        <v/>
      </c>
      <c r="E1367" t="str">
        <f>IFERROR(__xludf.DUMMYFUNCTION("""COMPUTED_VALUE"""),"")</f>
        <v/>
      </c>
      <c r="F1367" t="str">
        <f>IFERROR(__xludf.DUMMYFUNCTION("""COMPUTED_VALUE"""),"")</f>
        <v/>
      </c>
      <c r="G1367" t="str">
        <f>IFERROR(__xludf.DUMMYFUNCTION("""COMPUTED_VALUE"""),"")</f>
        <v/>
      </c>
      <c r="H1367" t="str">
        <f>IFERROR(__xludf.DUMMYFUNCTION("""COMPUTED_VALUE"""),"")</f>
        <v/>
      </c>
      <c r="I1367" t="str">
        <f>IFERROR(__xludf.DUMMYFUNCTION("""COMPUTED_VALUE"""),"")</f>
        <v/>
      </c>
      <c r="J1367">
        <f>IFERROR(__xludf.DUMMYFUNCTION("""COMPUTED_VALUE"""),0.0)</f>
        <v>0</v>
      </c>
      <c r="L1367" s="250" t="str">
        <f>IFERROR(__xludf.DUMMYFUNCTION("""COMPUTED_VALUE"""),"")</f>
        <v/>
      </c>
      <c r="M1367" s="250" t="str">
        <f>IFERROR(__xludf.DUMMYFUNCTION("""COMPUTED_VALUE"""),"")</f>
        <v/>
      </c>
      <c r="N1367" s="250" t="str">
        <f>IFERROR(__xludf.DUMMYFUNCTION("""COMPUTED_VALUE"""),"")</f>
        <v/>
      </c>
      <c r="O1367" s="250" t="str">
        <f>IFERROR(__xludf.DUMMYFUNCTION("""COMPUTED_VALUE"""),"")</f>
        <v/>
      </c>
      <c r="P1367" s="250" t="str">
        <f>IFERROR(__xludf.DUMMYFUNCTION("""COMPUTED_VALUE"""),"")</f>
        <v/>
      </c>
      <c r="Q1367" s="250" t="str">
        <f>IFERROR(__xludf.DUMMYFUNCTION("""COMPUTED_VALUE"""),"")</f>
        <v/>
      </c>
      <c r="R1367" s="250" t="str">
        <f>IFERROR(__xludf.DUMMYFUNCTION("""COMPUTED_VALUE"""),"")</f>
        <v/>
      </c>
      <c r="U1367" s="250" t="str">
        <f>IFERROR(__xludf.DUMMYFUNCTION("""COMPUTED_VALUE"""),"#N/A")</f>
        <v>#N/A</v>
      </c>
      <c r="V1367" s="250" t="str">
        <f>IFERROR(__xludf.DUMMYFUNCTION("""COMPUTED_VALUE"""),"#N/A")</f>
        <v>#N/A</v>
      </c>
      <c r="W1367" s="250" t="str">
        <f>IFERROR(__xludf.DUMMYFUNCTION("""COMPUTED_VALUE"""),"#N/A")</f>
        <v>#N/A</v>
      </c>
      <c r="X1367" t="b">
        <f t="shared" ref="X1367:Z1367" si="2710">ISBLANK(K1367)</f>
        <v>1</v>
      </c>
      <c r="Y1367" t="b">
        <f t="shared" si="2710"/>
        <v>0</v>
      </c>
      <c r="Z1367" t="b">
        <f t="shared" si="2710"/>
        <v>0</v>
      </c>
      <c r="AA1367">
        <f t="shared" ref="AA1367:AC1367" si="2711">IF(X1367=FALSE,1,0)</f>
        <v>0</v>
      </c>
      <c r="AB1367">
        <f t="shared" si="2711"/>
        <v>1</v>
      </c>
      <c r="AC1367">
        <f t="shared" si="2711"/>
        <v>1</v>
      </c>
      <c r="AD1367">
        <f t="shared" si="6"/>
        <v>2</v>
      </c>
      <c r="AE1367">
        <f t="shared" si="7"/>
        <v>1</v>
      </c>
    </row>
    <row r="1368">
      <c r="B1368" t="str">
        <f>IFERROR(__xludf.DUMMYFUNCTION("""COMPUTED_VALUE"""),"")</f>
        <v/>
      </c>
      <c r="C1368" t="str">
        <f>IFERROR(__xludf.DUMMYFUNCTION("""COMPUTED_VALUE"""),"")</f>
        <v/>
      </c>
      <c r="D1368" t="str">
        <f>IFERROR(__xludf.DUMMYFUNCTION("""COMPUTED_VALUE"""),"")</f>
        <v/>
      </c>
      <c r="E1368" t="str">
        <f>IFERROR(__xludf.DUMMYFUNCTION("""COMPUTED_VALUE"""),"")</f>
        <v/>
      </c>
      <c r="F1368" t="str">
        <f>IFERROR(__xludf.DUMMYFUNCTION("""COMPUTED_VALUE"""),"")</f>
        <v/>
      </c>
      <c r="G1368" t="str">
        <f>IFERROR(__xludf.DUMMYFUNCTION("""COMPUTED_VALUE"""),"")</f>
        <v/>
      </c>
      <c r="H1368" t="str">
        <f>IFERROR(__xludf.DUMMYFUNCTION("""COMPUTED_VALUE"""),"")</f>
        <v/>
      </c>
      <c r="I1368" t="str">
        <f>IFERROR(__xludf.DUMMYFUNCTION("""COMPUTED_VALUE"""),"")</f>
        <v/>
      </c>
      <c r="J1368">
        <f>IFERROR(__xludf.DUMMYFUNCTION("""COMPUTED_VALUE"""),0.0)</f>
        <v>0</v>
      </c>
      <c r="L1368" s="250" t="str">
        <f>IFERROR(__xludf.DUMMYFUNCTION("""COMPUTED_VALUE"""),"")</f>
        <v/>
      </c>
      <c r="M1368" s="250" t="str">
        <f>IFERROR(__xludf.DUMMYFUNCTION("""COMPUTED_VALUE"""),"")</f>
        <v/>
      </c>
      <c r="N1368" s="250" t="str">
        <f>IFERROR(__xludf.DUMMYFUNCTION("""COMPUTED_VALUE"""),"")</f>
        <v/>
      </c>
      <c r="O1368" s="250" t="str">
        <f>IFERROR(__xludf.DUMMYFUNCTION("""COMPUTED_VALUE"""),"")</f>
        <v/>
      </c>
      <c r="P1368" s="250" t="str">
        <f>IFERROR(__xludf.DUMMYFUNCTION("""COMPUTED_VALUE"""),"")</f>
        <v/>
      </c>
      <c r="Q1368" s="250" t="str">
        <f>IFERROR(__xludf.DUMMYFUNCTION("""COMPUTED_VALUE"""),"")</f>
        <v/>
      </c>
      <c r="R1368" s="250" t="str">
        <f>IFERROR(__xludf.DUMMYFUNCTION("""COMPUTED_VALUE"""),"")</f>
        <v/>
      </c>
      <c r="U1368" s="250" t="str">
        <f>IFERROR(__xludf.DUMMYFUNCTION("""COMPUTED_VALUE"""),"#N/A")</f>
        <v>#N/A</v>
      </c>
      <c r="V1368" s="250" t="str">
        <f>IFERROR(__xludf.DUMMYFUNCTION("""COMPUTED_VALUE"""),"#N/A")</f>
        <v>#N/A</v>
      </c>
      <c r="W1368" s="250" t="str">
        <f>IFERROR(__xludf.DUMMYFUNCTION("""COMPUTED_VALUE"""),"#N/A")</f>
        <v>#N/A</v>
      </c>
      <c r="X1368" t="b">
        <f t="shared" ref="X1368:Z1368" si="2712">ISBLANK(K1368)</f>
        <v>1</v>
      </c>
      <c r="Y1368" t="b">
        <f t="shared" si="2712"/>
        <v>0</v>
      </c>
      <c r="Z1368" t="b">
        <f t="shared" si="2712"/>
        <v>0</v>
      </c>
      <c r="AA1368">
        <f t="shared" ref="AA1368:AC1368" si="2713">IF(X1368=FALSE,1,0)</f>
        <v>0</v>
      </c>
      <c r="AB1368">
        <f t="shared" si="2713"/>
        <v>1</v>
      </c>
      <c r="AC1368">
        <f t="shared" si="2713"/>
        <v>1</v>
      </c>
      <c r="AD1368">
        <f t="shared" si="6"/>
        <v>2</v>
      </c>
      <c r="AE1368">
        <f t="shared" si="7"/>
        <v>1</v>
      </c>
    </row>
    <row r="1369">
      <c r="B1369" t="str">
        <f>IFERROR(__xludf.DUMMYFUNCTION("""COMPUTED_VALUE"""),"")</f>
        <v/>
      </c>
      <c r="C1369" t="str">
        <f>IFERROR(__xludf.DUMMYFUNCTION("""COMPUTED_VALUE"""),"")</f>
        <v/>
      </c>
      <c r="D1369" t="str">
        <f>IFERROR(__xludf.DUMMYFUNCTION("""COMPUTED_VALUE"""),"")</f>
        <v/>
      </c>
      <c r="E1369" t="str">
        <f>IFERROR(__xludf.DUMMYFUNCTION("""COMPUTED_VALUE"""),"")</f>
        <v/>
      </c>
      <c r="F1369" t="str">
        <f>IFERROR(__xludf.DUMMYFUNCTION("""COMPUTED_VALUE"""),"")</f>
        <v/>
      </c>
      <c r="G1369" t="str">
        <f>IFERROR(__xludf.DUMMYFUNCTION("""COMPUTED_VALUE"""),"")</f>
        <v/>
      </c>
      <c r="H1369" t="str">
        <f>IFERROR(__xludf.DUMMYFUNCTION("""COMPUTED_VALUE"""),"")</f>
        <v/>
      </c>
      <c r="I1369" t="str">
        <f>IFERROR(__xludf.DUMMYFUNCTION("""COMPUTED_VALUE"""),"")</f>
        <v/>
      </c>
      <c r="J1369">
        <f>IFERROR(__xludf.DUMMYFUNCTION("""COMPUTED_VALUE"""),0.0)</f>
        <v>0</v>
      </c>
      <c r="L1369" s="250" t="str">
        <f>IFERROR(__xludf.DUMMYFUNCTION("""COMPUTED_VALUE"""),"")</f>
        <v/>
      </c>
      <c r="M1369" s="250" t="str">
        <f>IFERROR(__xludf.DUMMYFUNCTION("""COMPUTED_VALUE"""),"")</f>
        <v/>
      </c>
      <c r="N1369" s="250" t="str">
        <f>IFERROR(__xludf.DUMMYFUNCTION("""COMPUTED_VALUE"""),"")</f>
        <v/>
      </c>
      <c r="O1369" s="250" t="str">
        <f>IFERROR(__xludf.DUMMYFUNCTION("""COMPUTED_VALUE"""),"")</f>
        <v/>
      </c>
      <c r="P1369" s="250" t="str">
        <f>IFERROR(__xludf.DUMMYFUNCTION("""COMPUTED_VALUE"""),"")</f>
        <v/>
      </c>
      <c r="Q1369" s="250" t="str">
        <f>IFERROR(__xludf.DUMMYFUNCTION("""COMPUTED_VALUE"""),"")</f>
        <v/>
      </c>
      <c r="R1369" s="250" t="str">
        <f>IFERROR(__xludf.DUMMYFUNCTION("""COMPUTED_VALUE"""),"")</f>
        <v/>
      </c>
      <c r="U1369" s="250" t="str">
        <f>IFERROR(__xludf.DUMMYFUNCTION("""COMPUTED_VALUE"""),"#N/A")</f>
        <v>#N/A</v>
      </c>
      <c r="V1369" s="250" t="str">
        <f>IFERROR(__xludf.DUMMYFUNCTION("""COMPUTED_VALUE"""),"#N/A")</f>
        <v>#N/A</v>
      </c>
      <c r="W1369" s="250" t="str">
        <f>IFERROR(__xludf.DUMMYFUNCTION("""COMPUTED_VALUE"""),"#N/A")</f>
        <v>#N/A</v>
      </c>
      <c r="X1369" t="b">
        <f t="shared" ref="X1369:Z1369" si="2714">ISBLANK(K1369)</f>
        <v>1</v>
      </c>
      <c r="Y1369" t="b">
        <f t="shared" si="2714"/>
        <v>0</v>
      </c>
      <c r="Z1369" t="b">
        <f t="shared" si="2714"/>
        <v>0</v>
      </c>
      <c r="AA1369">
        <f t="shared" ref="AA1369:AC1369" si="2715">IF(X1369=FALSE,1,0)</f>
        <v>0</v>
      </c>
      <c r="AB1369">
        <f t="shared" si="2715"/>
        <v>1</v>
      </c>
      <c r="AC1369">
        <f t="shared" si="2715"/>
        <v>1</v>
      </c>
      <c r="AD1369">
        <f t="shared" si="6"/>
        <v>2</v>
      </c>
      <c r="AE1369">
        <f t="shared" si="7"/>
        <v>1</v>
      </c>
    </row>
    <row r="1370">
      <c r="B1370" t="str">
        <f>IFERROR(__xludf.DUMMYFUNCTION("""COMPUTED_VALUE"""),"")</f>
        <v/>
      </c>
      <c r="C1370" t="str">
        <f>IFERROR(__xludf.DUMMYFUNCTION("""COMPUTED_VALUE"""),"")</f>
        <v/>
      </c>
      <c r="D1370" t="str">
        <f>IFERROR(__xludf.DUMMYFUNCTION("""COMPUTED_VALUE"""),"")</f>
        <v/>
      </c>
      <c r="E1370" t="str">
        <f>IFERROR(__xludf.DUMMYFUNCTION("""COMPUTED_VALUE"""),"")</f>
        <v/>
      </c>
      <c r="F1370" t="str">
        <f>IFERROR(__xludf.DUMMYFUNCTION("""COMPUTED_VALUE"""),"")</f>
        <v/>
      </c>
      <c r="G1370" t="str">
        <f>IFERROR(__xludf.DUMMYFUNCTION("""COMPUTED_VALUE"""),"")</f>
        <v/>
      </c>
      <c r="H1370" t="str">
        <f>IFERROR(__xludf.DUMMYFUNCTION("""COMPUTED_VALUE"""),"")</f>
        <v/>
      </c>
      <c r="I1370" t="str">
        <f>IFERROR(__xludf.DUMMYFUNCTION("""COMPUTED_VALUE"""),"")</f>
        <v/>
      </c>
      <c r="J1370">
        <f>IFERROR(__xludf.DUMMYFUNCTION("""COMPUTED_VALUE"""),0.0)</f>
        <v>0</v>
      </c>
      <c r="L1370" s="250" t="str">
        <f>IFERROR(__xludf.DUMMYFUNCTION("""COMPUTED_VALUE"""),"")</f>
        <v/>
      </c>
      <c r="M1370" s="250" t="str">
        <f>IFERROR(__xludf.DUMMYFUNCTION("""COMPUTED_VALUE"""),"")</f>
        <v/>
      </c>
      <c r="N1370" s="250" t="str">
        <f>IFERROR(__xludf.DUMMYFUNCTION("""COMPUTED_VALUE"""),"")</f>
        <v/>
      </c>
      <c r="O1370" s="250" t="str">
        <f>IFERROR(__xludf.DUMMYFUNCTION("""COMPUTED_VALUE"""),"")</f>
        <v/>
      </c>
      <c r="P1370" s="250" t="str">
        <f>IFERROR(__xludf.DUMMYFUNCTION("""COMPUTED_VALUE"""),"")</f>
        <v/>
      </c>
      <c r="Q1370" s="250" t="str">
        <f>IFERROR(__xludf.DUMMYFUNCTION("""COMPUTED_VALUE"""),"")</f>
        <v/>
      </c>
      <c r="R1370" s="250" t="str">
        <f>IFERROR(__xludf.DUMMYFUNCTION("""COMPUTED_VALUE"""),"")</f>
        <v/>
      </c>
      <c r="U1370" s="250" t="str">
        <f>IFERROR(__xludf.DUMMYFUNCTION("""COMPUTED_VALUE"""),"#N/A")</f>
        <v>#N/A</v>
      </c>
      <c r="V1370" s="250" t="str">
        <f>IFERROR(__xludf.DUMMYFUNCTION("""COMPUTED_VALUE"""),"#N/A")</f>
        <v>#N/A</v>
      </c>
      <c r="W1370" s="250" t="str">
        <f>IFERROR(__xludf.DUMMYFUNCTION("""COMPUTED_VALUE"""),"#N/A")</f>
        <v>#N/A</v>
      </c>
      <c r="X1370" t="b">
        <f t="shared" ref="X1370:Z1370" si="2716">ISBLANK(K1370)</f>
        <v>1</v>
      </c>
      <c r="Y1370" t="b">
        <f t="shared" si="2716"/>
        <v>0</v>
      </c>
      <c r="Z1370" t="b">
        <f t="shared" si="2716"/>
        <v>0</v>
      </c>
      <c r="AA1370">
        <f t="shared" ref="AA1370:AC1370" si="2717">IF(X1370=FALSE,1,0)</f>
        <v>0</v>
      </c>
      <c r="AB1370">
        <f t="shared" si="2717"/>
        <v>1</v>
      </c>
      <c r="AC1370">
        <f t="shared" si="2717"/>
        <v>1</v>
      </c>
      <c r="AD1370">
        <f t="shared" si="6"/>
        <v>2</v>
      </c>
      <c r="AE1370">
        <f t="shared" si="7"/>
        <v>1</v>
      </c>
    </row>
    <row r="1371">
      <c r="B1371" t="str">
        <f>IFERROR(__xludf.DUMMYFUNCTION("""COMPUTED_VALUE"""),"")</f>
        <v/>
      </c>
      <c r="C1371" t="str">
        <f>IFERROR(__xludf.DUMMYFUNCTION("""COMPUTED_VALUE"""),"")</f>
        <v/>
      </c>
      <c r="D1371" t="str">
        <f>IFERROR(__xludf.DUMMYFUNCTION("""COMPUTED_VALUE"""),"")</f>
        <v/>
      </c>
      <c r="E1371" t="str">
        <f>IFERROR(__xludf.DUMMYFUNCTION("""COMPUTED_VALUE"""),"")</f>
        <v/>
      </c>
      <c r="F1371" t="str">
        <f>IFERROR(__xludf.DUMMYFUNCTION("""COMPUTED_VALUE"""),"")</f>
        <v/>
      </c>
      <c r="G1371" t="str">
        <f>IFERROR(__xludf.DUMMYFUNCTION("""COMPUTED_VALUE"""),"")</f>
        <v/>
      </c>
      <c r="H1371" t="str">
        <f>IFERROR(__xludf.DUMMYFUNCTION("""COMPUTED_VALUE"""),"")</f>
        <v/>
      </c>
      <c r="I1371" t="str">
        <f>IFERROR(__xludf.DUMMYFUNCTION("""COMPUTED_VALUE"""),"")</f>
        <v/>
      </c>
      <c r="J1371">
        <f>IFERROR(__xludf.DUMMYFUNCTION("""COMPUTED_VALUE"""),0.0)</f>
        <v>0</v>
      </c>
      <c r="L1371" s="250" t="str">
        <f>IFERROR(__xludf.DUMMYFUNCTION("""COMPUTED_VALUE"""),"")</f>
        <v/>
      </c>
      <c r="M1371" s="250" t="str">
        <f>IFERROR(__xludf.DUMMYFUNCTION("""COMPUTED_VALUE"""),"")</f>
        <v/>
      </c>
      <c r="N1371" s="250" t="str">
        <f>IFERROR(__xludf.DUMMYFUNCTION("""COMPUTED_VALUE"""),"")</f>
        <v/>
      </c>
      <c r="O1371" s="250" t="str">
        <f>IFERROR(__xludf.DUMMYFUNCTION("""COMPUTED_VALUE"""),"")</f>
        <v/>
      </c>
      <c r="P1371" s="250" t="str">
        <f>IFERROR(__xludf.DUMMYFUNCTION("""COMPUTED_VALUE"""),"")</f>
        <v/>
      </c>
      <c r="Q1371" s="250" t="str">
        <f>IFERROR(__xludf.DUMMYFUNCTION("""COMPUTED_VALUE"""),"")</f>
        <v/>
      </c>
      <c r="R1371" s="250" t="str">
        <f>IFERROR(__xludf.DUMMYFUNCTION("""COMPUTED_VALUE"""),"")</f>
        <v/>
      </c>
      <c r="U1371" s="250" t="str">
        <f>IFERROR(__xludf.DUMMYFUNCTION("""COMPUTED_VALUE"""),"#N/A")</f>
        <v>#N/A</v>
      </c>
      <c r="V1371" s="250" t="str">
        <f>IFERROR(__xludf.DUMMYFUNCTION("""COMPUTED_VALUE"""),"#N/A")</f>
        <v>#N/A</v>
      </c>
      <c r="W1371" s="250" t="str">
        <f>IFERROR(__xludf.DUMMYFUNCTION("""COMPUTED_VALUE"""),"#N/A")</f>
        <v>#N/A</v>
      </c>
      <c r="X1371" t="b">
        <f t="shared" ref="X1371:Z1371" si="2718">ISBLANK(K1371)</f>
        <v>1</v>
      </c>
      <c r="Y1371" t="b">
        <f t="shared" si="2718"/>
        <v>0</v>
      </c>
      <c r="Z1371" t="b">
        <f t="shared" si="2718"/>
        <v>0</v>
      </c>
      <c r="AA1371">
        <f t="shared" ref="AA1371:AC1371" si="2719">IF(X1371=FALSE,1,0)</f>
        <v>0</v>
      </c>
      <c r="AB1371">
        <f t="shared" si="2719"/>
        <v>1</v>
      </c>
      <c r="AC1371">
        <f t="shared" si="2719"/>
        <v>1</v>
      </c>
      <c r="AD1371">
        <f t="shared" si="6"/>
        <v>2</v>
      </c>
      <c r="AE1371">
        <f t="shared" si="7"/>
        <v>1</v>
      </c>
    </row>
    <row r="1372">
      <c r="B1372" t="str">
        <f>IFERROR(__xludf.DUMMYFUNCTION("""COMPUTED_VALUE"""),"")</f>
        <v/>
      </c>
      <c r="C1372" t="str">
        <f>IFERROR(__xludf.DUMMYFUNCTION("""COMPUTED_VALUE"""),"")</f>
        <v/>
      </c>
      <c r="D1372" t="str">
        <f>IFERROR(__xludf.DUMMYFUNCTION("""COMPUTED_VALUE"""),"")</f>
        <v/>
      </c>
      <c r="E1372" t="str">
        <f>IFERROR(__xludf.DUMMYFUNCTION("""COMPUTED_VALUE"""),"")</f>
        <v/>
      </c>
      <c r="F1372" t="str">
        <f>IFERROR(__xludf.DUMMYFUNCTION("""COMPUTED_VALUE"""),"")</f>
        <v/>
      </c>
      <c r="G1372" t="str">
        <f>IFERROR(__xludf.DUMMYFUNCTION("""COMPUTED_VALUE"""),"")</f>
        <v/>
      </c>
      <c r="H1372" t="str">
        <f>IFERROR(__xludf.DUMMYFUNCTION("""COMPUTED_VALUE"""),"")</f>
        <v/>
      </c>
      <c r="I1372" t="str">
        <f>IFERROR(__xludf.DUMMYFUNCTION("""COMPUTED_VALUE"""),"")</f>
        <v/>
      </c>
      <c r="J1372">
        <f>IFERROR(__xludf.DUMMYFUNCTION("""COMPUTED_VALUE"""),0.0)</f>
        <v>0</v>
      </c>
      <c r="L1372" s="250" t="str">
        <f>IFERROR(__xludf.DUMMYFUNCTION("""COMPUTED_VALUE"""),"")</f>
        <v/>
      </c>
      <c r="M1372" s="250" t="str">
        <f>IFERROR(__xludf.DUMMYFUNCTION("""COMPUTED_VALUE"""),"")</f>
        <v/>
      </c>
      <c r="N1372" s="250" t="str">
        <f>IFERROR(__xludf.DUMMYFUNCTION("""COMPUTED_VALUE"""),"")</f>
        <v/>
      </c>
      <c r="O1372" s="250" t="str">
        <f>IFERROR(__xludf.DUMMYFUNCTION("""COMPUTED_VALUE"""),"")</f>
        <v/>
      </c>
      <c r="P1372" s="250" t="str">
        <f>IFERROR(__xludf.DUMMYFUNCTION("""COMPUTED_VALUE"""),"")</f>
        <v/>
      </c>
      <c r="Q1372" s="250" t="str">
        <f>IFERROR(__xludf.DUMMYFUNCTION("""COMPUTED_VALUE"""),"")</f>
        <v/>
      </c>
      <c r="R1372" s="250" t="str">
        <f>IFERROR(__xludf.DUMMYFUNCTION("""COMPUTED_VALUE"""),"")</f>
        <v/>
      </c>
      <c r="U1372" s="250" t="str">
        <f>IFERROR(__xludf.DUMMYFUNCTION("""COMPUTED_VALUE"""),"#N/A")</f>
        <v>#N/A</v>
      </c>
      <c r="V1372" s="250" t="str">
        <f>IFERROR(__xludf.DUMMYFUNCTION("""COMPUTED_VALUE"""),"#N/A")</f>
        <v>#N/A</v>
      </c>
      <c r="W1372" s="250" t="str">
        <f>IFERROR(__xludf.DUMMYFUNCTION("""COMPUTED_VALUE"""),"#N/A")</f>
        <v>#N/A</v>
      </c>
      <c r="X1372" t="b">
        <f t="shared" ref="X1372:Z1372" si="2720">ISBLANK(K1372)</f>
        <v>1</v>
      </c>
      <c r="Y1372" t="b">
        <f t="shared" si="2720"/>
        <v>0</v>
      </c>
      <c r="Z1372" t="b">
        <f t="shared" si="2720"/>
        <v>0</v>
      </c>
      <c r="AA1372">
        <f t="shared" ref="AA1372:AC1372" si="2721">IF(X1372=FALSE,1,0)</f>
        <v>0</v>
      </c>
      <c r="AB1372">
        <f t="shared" si="2721"/>
        <v>1</v>
      </c>
      <c r="AC1372">
        <f t="shared" si="2721"/>
        <v>1</v>
      </c>
      <c r="AD1372">
        <f t="shared" si="6"/>
        <v>2</v>
      </c>
      <c r="AE1372">
        <f t="shared" si="7"/>
        <v>1</v>
      </c>
    </row>
    <row r="1373">
      <c r="B1373" t="str">
        <f>IFERROR(__xludf.DUMMYFUNCTION("""COMPUTED_VALUE"""),"")</f>
        <v/>
      </c>
      <c r="C1373" t="str">
        <f>IFERROR(__xludf.DUMMYFUNCTION("""COMPUTED_VALUE"""),"")</f>
        <v/>
      </c>
      <c r="D1373" t="str">
        <f>IFERROR(__xludf.DUMMYFUNCTION("""COMPUTED_VALUE"""),"")</f>
        <v/>
      </c>
      <c r="E1373" t="str">
        <f>IFERROR(__xludf.DUMMYFUNCTION("""COMPUTED_VALUE"""),"")</f>
        <v/>
      </c>
      <c r="F1373" t="str">
        <f>IFERROR(__xludf.DUMMYFUNCTION("""COMPUTED_VALUE"""),"")</f>
        <v/>
      </c>
      <c r="G1373" t="str">
        <f>IFERROR(__xludf.DUMMYFUNCTION("""COMPUTED_VALUE"""),"")</f>
        <v/>
      </c>
      <c r="H1373" t="str">
        <f>IFERROR(__xludf.DUMMYFUNCTION("""COMPUTED_VALUE"""),"")</f>
        <v/>
      </c>
      <c r="I1373" t="str">
        <f>IFERROR(__xludf.DUMMYFUNCTION("""COMPUTED_VALUE"""),"")</f>
        <v/>
      </c>
      <c r="J1373">
        <f>IFERROR(__xludf.DUMMYFUNCTION("""COMPUTED_VALUE"""),0.0)</f>
        <v>0</v>
      </c>
      <c r="L1373" s="250" t="str">
        <f>IFERROR(__xludf.DUMMYFUNCTION("""COMPUTED_VALUE"""),"")</f>
        <v/>
      </c>
      <c r="M1373" s="250" t="str">
        <f>IFERROR(__xludf.DUMMYFUNCTION("""COMPUTED_VALUE"""),"")</f>
        <v/>
      </c>
      <c r="N1373" s="250" t="str">
        <f>IFERROR(__xludf.DUMMYFUNCTION("""COMPUTED_VALUE"""),"")</f>
        <v/>
      </c>
      <c r="O1373" s="250" t="str">
        <f>IFERROR(__xludf.DUMMYFUNCTION("""COMPUTED_VALUE"""),"")</f>
        <v/>
      </c>
      <c r="P1373" s="250" t="str">
        <f>IFERROR(__xludf.DUMMYFUNCTION("""COMPUTED_VALUE"""),"")</f>
        <v/>
      </c>
      <c r="Q1373" s="250" t="str">
        <f>IFERROR(__xludf.DUMMYFUNCTION("""COMPUTED_VALUE"""),"")</f>
        <v/>
      </c>
      <c r="R1373" s="250" t="str">
        <f>IFERROR(__xludf.DUMMYFUNCTION("""COMPUTED_VALUE"""),"")</f>
        <v/>
      </c>
      <c r="U1373" s="250" t="str">
        <f>IFERROR(__xludf.DUMMYFUNCTION("""COMPUTED_VALUE"""),"#N/A")</f>
        <v>#N/A</v>
      </c>
      <c r="V1373" s="250" t="str">
        <f>IFERROR(__xludf.DUMMYFUNCTION("""COMPUTED_VALUE"""),"#N/A")</f>
        <v>#N/A</v>
      </c>
      <c r="W1373" s="250" t="str">
        <f>IFERROR(__xludf.DUMMYFUNCTION("""COMPUTED_VALUE"""),"#N/A")</f>
        <v>#N/A</v>
      </c>
      <c r="X1373" t="b">
        <f t="shared" ref="X1373:Z1373" si="2722">ISBLANK(K1373)</f>
        <v>1</v>
      </c>
      <c r="Y1373" t="b">
        <f t="shared" si="2722"/>
        <v>0</v>
      </c>
      <c r="Z1373" t="b">
        <f t="shared" si="2722"/>
        <v>0</v>
      </c>
      <c r="AA1373">
        <f t="shared" ref="AA1373:AC1373" si="2723">IF(X1373=FALSE,1,0)</f>
        <v>0</v>
      </c>
      <c r="AB1373">
        <f t="shared" si="2723"/>
        <v>1</v>
      </c>
      <c r="AC1373">
        <f t="shared" si="2723"/>
        <v>1</v>
      </c>
      <c r="AD1373">
        <f t="shared" si="6"/>
        <v>2</v>
      </c>
      <c r="AE1373">
        <f t="shared" si="7"/>
        <v>1</v>
      </c>
    </row>
    <row r="1374">
      <c r="B1374" t="str">
        <f>IFERROR(__xludf.DUMMYFUNCTION("""COMPUTED_VALUE"""),"")</f>
        <v/>
      </c>
      <c r="C1374" t="str">
        <f>IFERROR(__xludf.DUMMYFUNCTION("""COMPUTED_VALUE"""),"")</f>
        <v/>
      </c>
      <c r="D1374" t="str">
        <f>IFERROR(__xludf.DUMMYFUNCTION("""COMPUTED_VALUE"""),"")</f>
        <v/>
      </c>
      <c r="E1374" t="str">
        <f>IFERROR(__xludf.DUMMYFUNCTION("""COMPUTED_VALUE"""),"")</f>
        <v/>
      </c>
      <c r="F1374" t="str">
        <f>IFERROR(__xludf.DUMMYFUNCTION("""COMPUTED_VALUE"""),"")</f>
        <v/>
      </c>
      <c r="G1374" t="str">
        <f>IFERROR(__xludf.DUMMYFUNCTION("""COMPUTED_VALUE"""),"")</f>
        <v/>
      </c>
      <c r="H1374" t="str">
        <f>IFERROR(__xludf.DUMMYFUNCTION("""COMPUTED_VALUE"""),"")</f>
        <v/>
      </c>
      <c r="I1374" t="str">
        <f>IFERROR(__xludf.DUMMYFUNCTION("""COMPUTED_VALUE"""),"")</f>
        <v/>
      </c>
      <c r="J1374">
        <f>IFERROR(__xludf.DUMMYFUNCTION("""COMPUTED_VALUE"""),0.0)</f>
        <v>0</v>
      </c>
      <c r="L1374" s="250" t="str">
        <f>IFERROR(__xludf.DUMMYFUNCTION("""COMPUTED_VALUE"""),"")</f>
        <v/>
      </c>
      <c r="M1374" s="250" t="str">
        <f>IFERROR(__xludf.DUMMYFUNCTION("""COMPUTED_VALUE"""),"")</f>
        <v/>
      </c>
      <c r="N1374" s="250" t="str">
        <f>IFERROR(__xludf.DUMMYFUNCTION("""COMPUTED_VALUE"""),"")</f>
        <v/>
      </c>
      <c r="O1374" s="250" t="str">
        <f>IFERROR(__xludf.DUMMYFUNCTION("""COMPUTED_VALUE"""),"")</f>
        <v/>
      </c>
      <c r="P1374" s="250" t="str">
        <f>IFERROR(__xludf.DUMMYFUNCTION("""COMPUTED_VALUE"""),"")</f>
        <v/>
      </c>
      <c r="Q1374" s="250" t="str">
        <f>IFERROR(__xludf.DUMMYFUNCTION("""COMPUTED_VALUE"""),"")</f>
        <v/>
      </c>
      <c r="R1374" s="250" t="str">
        <f>IFERROR(__xludf.DUMMYFUNCTION("""COMPUTED_VALUE"""),"")</f>
        <v/>
      </c>
      <c r="U1374" s="250" t="str">
        <f>IFERROR(__xludf.DUMMYFUNCTION("""COMPUTED_VALUE"""),"#N/A")</f>
        <v>#N/A</v>
      </c>
      <c r="V1374" s="250" t="str">
        <f>IFERROR(__xludf.DUMMYFUNCTION("""COMPUTED_VALUE"""),"#N/A")</f>
        <v>#N/A</v>
      </c>
      <c r="W1374" s="250" t="str">
        <f>IFERROR(__xludf.DUMMYFUNCTION("""COMPUTED_VALUE"""),"#N/A")</f>
        <v>#N/A</v>
      </c>
      <c r="X1374" t="b">
        <f t="shared" ref="X1374:Z1374" si="2724">ISBLANK(K1374)</f>
        <v>1</v>
      </c>
      <c r="Y1374" t="b">
        <f t="shared" si="2724"/>
        <v>0</v>
      </c>
      <c r="Z1374" t="b">
        <f t="shared" si="2724"/>
        <v>0</v>
      </c>
      <c r="AA1374">
        <f t="shared" ref="AA1374:AC1374" si="2725">IF(X1374=FALSE,1,0)</f>
        <v>0</v>
      </c>
      <c r="AB1374">
        <f t="shared" si="2725"/>
        <v>1</v>
      </c>
      <c r="AC1374">
        <f t="shared" si="2725"/>
        <v>1</v>
      </c>
      <c r="AD1374">
        <f t="shared" si="6"/>
        <v>2</v>
      </c>
      <c r="AE1374">
        <f t="shared" si="7"/>
        <v>1</v>
      </c>
    </row>
    <row r="1375">
      <c r="B1375" t="str">
        <f>IFERROR(__xludf.DUMMYFUNCTION("""COMPUTED_VALUE"""),"")</f>
        <v/>
      </c>
      <c r="C1375" t="str">
        <f>IFERROR(__xludf.DUMMYFUNCTION("""COMPUTED_VALUE"""),"")</f>
        <v/>
      </c>
      <c r="D1375" t="str">
        <f>IFERROR(__xludf.DUMMYFUNCTION("""COMPUTED_VALUE"""),"")</f>
        <v/>
      </c>
      <c r="E1375" t="str">
        <f>IFERROR(__xludf.DUMMYFUNCTION("""COMPUTED_VALUE"""),"")</f>
        <v/>
      </c>
      <c r="F1375" t="str">
        <f>IFERROR(__xludf.DUMMYFUNCTION("""COMPUTED_VALUE"""),"")</f>
        <v/>
      </c>
      <c r="G1375" t="str">
        <f>IFERROR(__xludf.DUMMYFUNCTION("""COMPUTED_VALUE"""),"")</f>
        <v/>
      </c>
      <c r="H1375" t="str">
        <f>IFERROR(__xludf.DUMMYFUNCTION("""COMPUTED_VALUE"""),"")</f>
        <v/>
      </c>
      <c r="I1375" t="str">
        <f>IFERROR(__xludf.DUMMYFUNCTION("""COMPUTED_VALUE"""),"")</f>
        <v/>
      </c>
      <c r="J1375">
        <f>IFERROR(__xludf.DUMMYFUNCTION("""COMPUTED_VALUE"""),0.0)</f>
        <v>0</v>
      </c>
      <c r="L1375" s="250" t="str">
        <f>IFERROR(__xludf.DUMMYFUNCTION("""COMPUTED_VALUE"""),"")</f>
        <v/>
      </c>
      <c r="M1375" s="250" t="str">
        <f>IFERROR(__xludf.DUMMYFUNCTION("""COMPUTED_VALUE"""),"")</f>
        <v/>
      </c>
      <c r="N1375" s="250" t="str">
        <f>IFERROR(__xludf.DUMMYFUNCTION("""COMPUTED_VALUE"""),"")</f>
        <v/>
      </c>
      <c r="O1375" s="250" t="str">
        <f>IFERROR(__xludf.DUMMYFUNCTION("""COMPUTED_VALUE"""),"")</f>
        <v/>
      </c>
      <c r="P1375" s="250" t="str">
        <f>IFERROR(__xludf.DUMMYFUNCTION("""COMPUTED_VALUE"""),"")</f>
        <v/>
      </c>
      <c r="Q1375" s="250" t="str">
        <f>IFERROR(__xludf.DUMMYFUNCTION("""COMPUTED_VALUE"""),"")</f>
        <v/>
      </c>
      <c r="R1375" s="250" t="str">
        <f>IFERROR(__xludf.DUMMYFUNCTION("""COMPUTED_VALUE"""),"")</f>
        <v/>
      </c>
      <c r="U1375" s="250" t="str">
        <f>IFERROR(__xludf.DUMMYFUNCTION("""COMPUTED_VALUE"""),"#N/A")</f>
        <v>#N/A</v>
      </c>
      <c r="V1375" s="250" t="str">
        <f>IFERROR(__xludf.DUMMYFUNCTION("""COMPUTED_VALUE"""),"#N/A")</f>
        <v>#N/A</v>
      </c>
      <c r="W1375" s="250" t="str">
        <f>IFERROR(__xludf.DUMMYFUNCTION("""COMPUTED_VALUE"""),"#N/A")</f>
        <v>#N/A</v>
      </c>
      <c r="X1375" t="b">
        <f t="shared" ref="X1375:Z1375" si="2726">ISBLANK(K1375)</f>
        <v>1</v>
      </c>
      <c r="Y1375" t="b">
        <f t="shared" si="2726"/>
        <v>0</v>
      </c>
      <c r="Z1375" t="b">
        <f t="shared" si="2726"/>
        <v>0</v>
      </c>
      <c r="AA1375">
        <f t="shared" ref="AA1375:AC1375" si="2727">IF(X1375=FALSE,1,0)</f>
        <v>0</v>
      </c>
      <c r="AB1375">
        <f t="shared" si="2727"/>
        <v>1</v>
      </c>
      <c r="AC1375">
        <f t="shared" si="2727"/>
        <v>1</v>
      </c>
      <c r="AD1375">
        <f t="shared" si="6"/>
        <v>2</v>
      </c>
      <c r="AE1375">
        <f t="shared" si="7"/>
        <v>1</v>
      </c>
    </row>
    <row r="1376">
      <c r="B1376" t="str">
        <f>IFERROR(__xludf.DUMMYFUNCTION("""COMPUTED_VALUE"""),"")</f>
        <v/>
      </c>
      <c r="C1376" t="str">
        <f>IFERROR(__xludf.DUMMYFUNCTION("""COMPUTED_VALUE"""),"")</f>
        <v/>
      </c>
      <c r="D1376" t="str">
        <f>IFERROR(__xludf.DUMMYFUNCTION("""COMPUTED_VALUE"""),"")</f>
        <v/>
      </c>
      <c r="E1376" t="str">
        <f>IFERROR(__xludf.DUMMYFUNCTION("""COMPUTED_VALUE"""),"")</f>
        <v/>
      </c>
      <c r="F1376" t="str">
        <f>IFERROR(__xludf.DUMMYFUNCTION("""COMPUTED_VALUE"""),"")</f>
        <v/>
      </c>
      <c r="G1376" t="str">
        <f>IFERROR(__xludf.DUMMYFUNCTION("""COMPUTED_VALUE"""),"")</f>
        <v/>
      </c>
      <c r="H1376" t="str">
        <f>IFERROR(__xludf.DUMMYFUNCTION("""COMPUTED_VALUE"""),"")</f>
        <v/>
      </c>
      <c r="I1376" t="str">
        <f>IFERROR(__xludf.DUMMYFUNCTION("""COMPUTED_VALUE"""),"")</f>
        <v/>
      </c>
      <c r="J1376">
        <f>IFERROR(__xludf.DUMMYFUNCTION("""COMPUTED_VALUE"""),0.0)</f>
        <v>0</v>
      </c>
      <c r="L1376" s="250" t="str">
        <f>IFERROR(__xludf.DUMMYFUNCTION("""COMPUTED_VALUE"""),"")</f>
        <v/>
      </c>
      <c r="M1376" s="250" t="str">
        <f>IFERROR(__xludf.DUMMYFUNCTION("""COMPUTED_VALUE"""),"")</f>
        <v/>
      </c>
      <c r="N1376" s="250" t="str">
        <f>IFERROR(__xludf.DUMMYFUNCTION("""COMPUTED_VALUE"""),"")</f>
        <v/>
      </c>
      <c r="O1376" s="250" t="str">
        <f>IFERROR(__xludf.DUMMYFUNCTION("""COMPUTED_VALUE"""),"")</f>
        <v/>
      </c>
      <c r="P1376" s="250" t="str">
        <f>IFERROR(__xludf.DUMMYFUNCTION("""COMPUTED_VALUE"""),"")</f>
        <v/>
      </c>
      <c r="Q1376" s="250" t="str">
        <f>IFERROR(__xludf.DUMMYFUNCTION("""COMPUTED_VALUE"""),"")</f>
        <v/>
      </c>
      <c r="R1376" s="250" t="str">
        <f>IFERROR(__xludf.DUMMYFUNCTION("""COMPUTED_VALUE"""),"")</f>
        <v/>
      </c>
      <c r="U1376" s="250" t="str">
        <f>IFERROR(__xludf.DUMMYFUNCTION("""COMPUTED_VALUE"""),"#N/A")</f>
        <v>#N/A</v>
      </c>
      <c r="V1376" s="250" t="str">
        <f>IFERROR(__xludf.DUMMYFUNCTION("""COMPUTED_VALUE"""),"#N/A")</f>
        <v>#N/A</v>
      </c>
      <c r="W1376" s="250" t="str">
        <f>IFERROR(__xludf.DUMMYFUNCTION("""COMPUTED_VALUE"""),"#N/A")</f>
        <v>#N/A</v>
      </c>
      <c r="X1376" t="b">
        <f t="shared" ref="X1376:Z1376" si="2728">ISBLANK(K1376)</f>
        <v>1</v>
      </c>
      <c r="Y1376" t="b">
        <f t="shared" si="2728"/>
        <v>0</v>
      </c>
      <c r="Z1376" t="b">
        <f t="shared" si="2728"/>
        <v>0</v>
      </c>
      <c r="AA1376">
        <f t="shared" ref="AA1376:AC1376" si="2729">IF(X1376=FALSE,1,0)</f>
        <v>0</v>
      </c>
      <c r="AB1376">
        <f t="shared" si="2729"/>
        <v>1</v>
      </c>
      <c r="AC1376">
        <f t="shared" si="2729"/>
        <v>1</v>
      </c>
      <c r="AD1376">
        <f t="shared" si="6"/>
        <v>2</v>
      </c>
      <c r="AE1376">
        <f t="shared" si="7"/>
        <v>1</v>
      </c>
    </row>
    <row r="1377">
      <c r="B1377" t="str">
        <f>IFERROR(__xludf.DUMMYFUNCTION("""COMPUTED_VALUE"""),"")</f>
        <v/>
      </c>
      <c r="C1377" t="str">
        <f>IFERROR(__xludf.DUMMYFUNCTION("""COMPUTED_VALUE"""),"")</f>
        <v/>
      </c>
      <c r="D1377" t="str">
        <f>IFERROR(__xludf.DUMMYFUNCTION("""COMPUTED_VALUE"""),"")</f>
        <v/>
      </c>
      <c r="E1377" t="str">
        <f>IFERROR(__xludf.DUMMYFUNCTION("""COMPUTED_VALUE"""),"")</f>
        <v/>
      </c>
      <c r="F1377" t="str">
        <f>IFERROR(__xludf.DUMMYFUNCTION("""COMPUTED_VALUE"""),"")</f>
        <v/>
      </c>
      <c r="G1377" t="str">
        <f>IFERROR(__xludf.DUMMYFUNCTION("""COMPUTED_VALUE"""),"")</f>
        <v/>
      </c>
      <c r="H1377" t="str">
        <f>IFERROR(__xludf.DUMMYFUNCTION("""COMPUTED_VALUE"""),"")</f>
        <v/>
      </c>
      <c r="I1377" t="str">
        <f>IFERROR(__xludf.DUMMYFUNCTION("""COMPUTED_VALUE"""),"")</f>
        <v/>
      </c>
      <c r="J1377">
        <f>IFERROR(__xludf.DUMMYFUNCTION("""COMPUTED_VALUE"""),0.0)</f>
        <v>0</v>
      </c>
      <c r="L1377" s="250" t="str">
        <f>IFERROR(__xludf.DUMMYFUNCTION("""COMPUTED_VALUE"""),"")</f>
        <v/>
      </c>
      <c r="M1377" s="250" t="str">
        <f>IFERROR(__xludf.DUMMYFUNCTION("""COMPUTED_VALUE"""),"")</f>
        <v/>
      </c>
      <c r="N1377" s="250" t="str">
        <f>IFERROR(__xludf.DUMMYFUNCTION("""COMPUTED_VALUE"""),"")</f>
        <v/>
      </c>
      <c r="O1377" s="250" t="str">
        <f>IFERROR(__xludf.DUMMYFUNCTION("""COMPUTED_VALUE"""),"")</f>
        <v/>
      </c>
      <c r="P1377" s="250" t="str">
        <f>IFERROR(__xludf.DUMMYFUNCTION("""COMPUTED_VALUE"""),"")</f>
        <v/>
      </c>
      <c r="Q1377" s="250" t="str">
        <f>IFERROR(__xludf.DUMMYFUNCTION("""COMPUTED_VALUE"""),"")</f>
        <v/>
      </c>
      <c r="R1377" s="250" t="str">
        <f>IFERROR(__xludf.DUMMYFUNCTION("""COMPUTED_VALUE"""),"")</f>
        <v/>
      </c>
      <c r="U1377" s="250" t="str">
        <f>IFERROR(__xludf.DUMMYFUNCTION("""COMPUTED_VALUE"""),"#N/A")</f>
        <v>#N/A</v>
      </c>
      <c r="V1377" s="250" t="str">
        <f>IFERROR(__xludf.DUMMYFUNCTION("""COMPUTED_VALUE"""),"#N/A")</f>
        <v>#N/A</v>
      </c>
      <c r="W1377" s="250" t="str">
        <f>IFERROR(__xludf.DUMMYFUNCTION("""COMPUTED_VALUE"""),"#N/A")</f>
        <v>#N/A</v>
      </c>
      <c r="X1377" t="b">
        <f t="shared" ref="X1377:Z1377" si="2730">ISBLANK(K1377)</f>
        <v>1</v>
      </c>
      <c r="Y1377" t="b">
        <f t="shared" si="2730"/>
        <v>0</v>
      </c>
      <c r="Z1377" t="b">
        <f t="shared" si="2730"/>
        <v>0</v>
      </c>
      <c r="AA1377">
        <f t="shared" ref="AA1377:AC1377" si="2731">IF(X1377=FALSE,1,0)</f>
        <v>0</v>
      </c>
      <c r="AB1377">
        <f t="shared" si="2731"/>
        <v>1</v>
      </c>
      <c r="AC1377">
        <f t="shared" si="2731"/>
        <v>1</v>
      </c>
      <c r="AD1377">
        <f t="shared" si="6"/>
        <v>2</v>
      </c>
      <c r="AE1377">
        <f t="shared" si="7"/>
        <v>1</v>
      </c>
    </row>
    <row r="1378">
      <c r="B1378" t="str">
        <f>IFERROR(__xludf.DUMMYFUNCTION("""COMPUTED_VALUE"""),"")</f>
        <v/>
      </c>
      <c r="C1378" t="str">
        <f>IFERROR(__xludf.DUMMYFUNCTION("""COMPUTED_VALUE"""),"")</f>
        <v/>
      </c>
      <c r="D1378" t="str">
        <f>IFERROR(__xludf.DUMMYFUNCTION("""COMPUTED_VALUE"""),"")</f>
        <v/>
      </c>
      <c r="E1378" t="str">
        <f>IFERROR(__xludf.DUMMYFUNCTION("""COMPUTED_VALUE"""),"")</f>
        <v/>
      </c>
      <c r="F1378" t="str">
        <f>IFERROR(__xludf.DUMMYFUNCTION("""COMPUTED_VALUE"""),"")</f>
        <v/>
      </c>
      <c r="G1378" t="str">
        <f>IFERROR(__xludf.DUMMYFUNCTION("""COMPUTED_VALUE"""),"")</f>
        <v/>
      </c>
      <c r="H1378" t="str">
        <f>IFERROR(__xludf.DUMMYFUNCTION("""COMPUTED_VALUE"""),"")</f>
        <v/>
      </c>
      <c r="I1378" t="str">
        <f>IFERROR(__xludf.DUMMYFUNCTION("""COMPUTED_VALUE"""),"")</f>
        <v/>
      </c>
      <c r="J1378">
        <f>IFERROR(__xludf.DUMMYFUNCTION("""COMPUTED_VALUE"""),0.0)</f>
        <v>0</v>
      </c>
      <c r="L1378" s="250" t="str">
        <f>IFERROR(__xludf.DUMMYFUNCTION("""COMPUTED_VALUE"""),"")</f>
        <v/>
      </c>
      <c r="M1378" s="250" t="str">
        <f>IFERROR(__xludf.DUMMYFUNCTION("""COMPUTED_VALUE"""),"")</f>
        <v/>
      </c>
      <c r="N1378" s="250" t="str">
        <f>IFERROR(__xludf.DUMMYFUNCTION("""COMPUTED_VALUE"""),"")</f>
        <v/>
      </c>
      <c r="O1378" s="250" t="str">
        <f>IFERROR(__xludf.DUMMYFUNCTION("""COMPUTED_VALUE"""),"")</f>
        <v/>
      </c>
      <c r="P1378" s="250" t="str">
        <f>IFERROR(__xludf.DUMMYFUNCTION("""COMPUTED_VALUE"""),"")</f>
        <v/>
      </c>
      <c r="Q1378" s="250" t="str">
        <f>IFERROR(__xludf.DUMMYFUNCTION("""COMPUTED_VALUE"""),"")</f>
        <v/>
      </c>
      <c r="R1378" s="250" t="str">
        <f>IFERROR(__xludf.DUMMYFUNCTION("""COMPUTED_VALUE"""),"")</f>
        <v/>
      </c>
      <c r="U1378" s="250" t="str">
        <f>IFERROR(__xludf.DUMMYFUNCTION("""COMPUTED_VALUE"""),"#N/A")</f>
        <v>#N/A</v>
      </c>
      <c r="V1378" s="250" t="str">
        <f>IFERROR(__xludf.DUMMYFUNCTION("""COMPUTED_VALUE"""),"#N/A")</f>
        <v>#N/A</v>
      </c>
      <c r="W1378" s="250" t="str">
        <f>IFERROR(__xludf.DUMMYFUNCTION("""COMPUTED_VALUE"""),"#N/A")</f>
        <v>#N/A</v>
      </c>
      <c r="X1378" t="b">
        <f t="shared" ref="X1378:Z1378" si="2732">ISBLANK(K1378)</f>
        <v>1</v>
      </c>
      <c r="Y1378" t="b">
        <f t="shared" si="2732"/>
        <v>0</v>
      </c>
      <c r="Z1378" t="b">
        <f t="shared" si="2732"/>
        <v>0</v>
      </c>
      <c r="AA1378">
        <f t="shared" ref="AA1378:AC1378" si="2733">IF(X1378=FALSE,1,0)</f>
        <v>0</v>
      </c>
      <c r="AB1378">
        <f t="shared" si="2733"/>
        <v>1</v>
      </c>
      <c r="AC1378">
        <f t="shared" si="2733"/>
        <v>1</v>
      </c>
      <c r="AD1378">
        <f t="shared" si="6"/>
        <v>2</v>
      </c>
      <c r="AE1378">
        <f t="shared" si="7"/>
        <v>1</v>
      </c>
    </row>
    <row r="1379">
      <c r="B1379" t="str">
        <f>IFERROR(__xludf.DUMMYFUNCTION("""COMPUTED_VALUE"""),"")</f>
        <v/>
      </c>
      <c r="C1379" t="str">
        <f>IFERROR(__xludf.DUMMYFUNCTION("""COMPUTED_VALUE"""),"")</f>
        <v/>
      </c>
      <c r="D1379" t="str">
        <f>IFERROR(__xludf.DUMMYFUNCTION("""COMPUTED_VALUE"""),"")</f>
        <v/>
      </c>
      <c r="E1379" t="str">
        <f>IFERROR(__xludf.DUMMYFUNCTION("""COMPUTED_VALUE"""),"")</f>
        <v/>
      </c>
      <c r="F1379" t="str">
        <f>IFERROR(__xludf.DUMMYFUNCTION("""COMPUTED_VALUE"""),"")</f>
        <v/>
      </c>
      <c r="G1379" t="str">
        <f>IFERROR(__xludf.DUMMYFUNCTION("""COMPUTED_VALUE"""),"")</f>
        <v/>
      </c>
      <c r="H1379" t="str">
        <f>IFERROR(__xludf.DUMMYFUNCTION("""COMPUTED_VALUE"""),"")</f>
        <v/>
      </c>
      <c r="I1379" t="str">
        <f>IFERROR(__xludf.DUMMYFUNCTION("""COMPUTED_VALUE"""),"")</f>
        <v/>
      </c>
      <c r="J1379">
        <f>IFERROR(__xludf.DUMMYFUNCTION("""COMPUTED_VALUE"""),0.0)</f>
        <v>0</v>
      </c>
      <c r="L1379" s="250" t="str">
        <f>IFERROR(__xludf.DUMMYFUNCTION("""COMPUTED_VALUE"""),"")</f>
        <v/>
      </c>
      <c r="M1379" s="250" t="str">
        <f>IFERROR(__xludf.DUMMYFUNCTION("""COMPUTED_VALUE"""),"")</f>
        <v/>
      </c>
      <c r="N1379" s="250" t="str">
        <f>IFERROR(__xludf.DUMMYFUNCTION("""COMPUTED_VALUE"""),"")</f>
        <v/>
      </c>
      <c r="O1379" s="250" t="str">
        <f>IFERROR(__xludf.DUMMYFUNCTION("""COMPUTED_VALUE"""),"")</f>
        <v/>
      </c>
      <c r="P1379" s="250" t="str">
        <f>IFERROR(__xludf.DUMMYFUNCTION("""COMPUTED_VALUE"""),"")</f>
        <v/>
      </c>
      <c r="Q1379" s="250" t="str">
        <f>IFERROR(__xludf.DUMMYFUNCTION("""COMPUTED_VALUE"""),"")</f>
        <v/>
      </c>
      <c r="R1379" s="250" t="str">
        <f>IFERROR(__xludf.DUMMYFUNCTION("""COMPUTED_VALUE"""),"")</f>
        <v/>
      </c>
      <c r="U1379" s="250" t="str">
        <f>IFERROR(__xludf.DUMMYFUNCTION("""COMPUTED_VALUE"""),"#N/A")</f>
        <v>#N/A</v>
      </c>
      <c r="V1379" s="250" t="str">
        <f>IFERROR(__xludf.DUMMYFUNCTION("""COMPUTED_VALUE"""),"#N/A")</f>
        <v>#N/A</v>
      </c>
      <c r="W1379" s="250" t="str">
        <f>IFERROR(__xludf.DUMMYFUNCTION("""COMPUTED_VALUE"""),"#N/A")</f>
        <v>#N/A</v>
      </c>
      <c r="X1379" t="b">
        <f t="shared" ref="X1379:Z1379" si="2734">ISBLANK(K1379)</f>
        <v>1</v>
      </c>
      <c r="Y1379" t="b">
        <f t="shared" si="2734"/>
        <v>0</v>
      </c>
      <c r="Z1379" t="b">
        <f t="shared" si="2734"/>
        <v>0</v>
      </c>
      <c r="AA1379">
        <f t="shared" ref="AA1379:AC1379" si="2735">IF(X1379=FALSE,1,0)</f>
        <v>0</v>
      </c>
      <c r="AB1379">
        <f t="shared" si="2735"/>
        <v>1</v>
      </c>
      <c r="AC1379">
        <f t="shared" si="2735"/>
        <v>1</v>
      </c>
      <c r="AD1379">
        <f t="shared" si="6"/>
        <v>2</v>
      </c>
      <c r="AE1379">
        <f t="shared" si="7"/>
        <v>1</v>
      </c>
    </row>
    <row r="1380">
      <c r="B1380" t="str">
        <f>IFERROR(__xludf.DUMMYFUNCTION("""COMPUTED_VALUE"""),"")</f>
        <v/>
      </c>
      <c r="C1380" t="str">
        <f>IFERROR(__xludf.DUMMYFUNCTION("""COMPUTED_VALUE"""),"")</f>
        <v/>
      </c>
      <c r="D1380" t="str">
        <f>IFERROR(__xludf.DUMMYFUNCTION("""COMPUTED_VALUE"""),"")</f>
        <v/>
      </c>
      <c r="E1380" t="str">
        <f>IFERROR(__xludf.DUMMYFUNCTION("""COMPUTED_VALUE"""),"")</f>
        <v/>
      </c>
      <c r="F1380" t="str">
        <f>IFERROR(__xludf.DUMMYFUNCTION("""COMPUTED_VALUE"""),"")</f>
        <v/>
      </c>
      <c r="G1380" t="str">
        <f>IFERROR(__xludf.DUMMYFUNCTION("""COMPUTED_VALUE"""),"")</f>
        <v/>
      </c>
      <c r="H1380" t="str">
        <f>IFERROR(__xludf.DUMMYFUNCTION("""COMPUTED_VALUE"""),"")</f>
        <v/>
      </c>
      <c r="I1380" t="str">
        <f>IFERROR(__xludf.DUMMYFUNCTION("""COMPUTED_VALUE"""),"")</f>
        <v/>
      </c>
      <c r="J1380">
        <f>IFERROR(__xludf.DUMMYFUNCTION("""COMPUTED_VALUE"""),0.0)</f>
        <v>0</v>
      </c>
      <c r="L1380" s="250" t="str">
        <f>IFERROR(__xludf.DUMMYFUNCTION("""COMPUTED_VALUE"""),"")</f>
        <v/>
      </c>
      <c r="M1380" s="250" t="str">
        <f>IFERROR(__xludf.DUMMYFUNCTION("""COMPUTED_VALUE"""),"")</f>
        <v/>
      </c>
      <c r="N1380" s="250" t="str">
        <f>IFERROR(__xludf.DUMMYFUNCTION("""COMPUTED_VALUE"""),"")</f>
        <v/>
      </c>
      <c r="O1380" s="250" t="str">
        <f>IFERROR(__xludf.DUMMYFUNCTION("""COMPUTED_VALUE"""),"")</f>
        <v/>
      </c>
      <c r="P1380" s="250" t="str">
        <f>IFERROR(__xludf.DUMMYFUNCTION("""COMPUTED_VALUE"""),"")</f>
        <v/>
      </c>
      <c r="Q1380" s="250" t="str">
        <f>IFERROR(__xludf.DUMMYFUNCTION("""COMPUTED_VALUE"""),"")</f>
        <v/>
      </c>
      <c r="R1380" s="250" t="str">
        <f>IFERROR(__xludf.DUMMYFUNCTION("""COMPUTED_VALUE"""),"")</f>
        <v/>
      </c>
      <c r="U1380" s="250" t="str">
        <f>IFERROR(__xludf.DUMMYFUNCTION("""COMPUTED_VALUE"""),"#N/A")</f>
        <v>#N/A</v>
      </c>
      <c r="V1380" s="250" t="str">
        <f>IFERROR(__xludf.DUMMYFUNCTION("""COMPUTED_VALUE"""),"#N/A")</f>
        <v>#N/A</v>
      </c>
      <c r="W1380" s="250" t="str">
        <f>IFERROR(__xludf.DUMMYFUNCTION("""COMPUTED_VALUE"""),"#N/A")</f>
        <v>#N/A</v>
      </c>
      <c r="X1380" t="b">
        <f t="shared" ref="X1380:Z1380" si="2736">ISBLANK(K1380)</f>
        <v>1</v>
      </c>
      <c r="Y1380" t="b">
        <f t="shared" si="2736"/>
        <v>0</v>
      </c>
      <c r="Z1380" t="b">
        <f t="shared" si="2736"/>
        <v>0</v>
      </c>
      <c r="AA1380">
        <f t="shared" ref="AA1380:AC1380" si="2737">IF(X1380=FALSE,1,0)</f>
        <v>0</v>
      </c>
      <c r="AB1380">
        <f t="shared" si="2737"/>
        <v>1</v>
      </c>
      <c r="AC1380">
        <f t="shared" si="2737"/>
        <v>1</v>
      </c>
      <c r="AD1380">
        <f t="shared" si="6"/>
        <v>2</v>
      </c>
      <c r="AE1380">
        <f t="shared" si="7"/>
        <v>1</v>
      </c>
    </row>
    <row r="1381">
      <c r="B1381" t="str">
        <f>IFERROR(__xludf.DUMMYFUNCTION("""COMPUTED_VALUE"""),"")</f>
        <v/>
      </c>
      <c r="C1381" t="str">
        <f>IFERROR(__xludf.DUMMYFUNCTION("""COMPUTED_VALUE"""),"")</f>
        <v/>
      </c>
      <c r="D1381" t="str">
        <f>IFERROR(__xludf.DUMMYFUNCTION("""COMPUTED_VALUE"""),"")</f>
        <v/>
      </c>
      <c r="E1381" t="str">
        <f>IFERROR(__xludf.DUMMYFUNCTION("""COMPUTED_VALUE"""),"")</f>
        <v/>
      </c>
      <c r="F1381" t="str">
        <f>IFERROR(__xludf.DUMMYFUNCTION("""COMPUTED_VALUE"""),"")</f>
        <v/>
      </c>
      <c r="G1381" t="str">
        <f>IFERROR(__xludf.DUMMYFUNCTION("""COMPUTED_VALUE"""),"")</f>
        <v/>
      </c>
      <c r="H1381" t="str">
        <f>IFERROR(__xludf.DUMMYFUNCTION("""COMPUTED_VALUE"""),"")</f>
        <v/>
      </c>
      <c r="I1381" t="str">
        <f>IFERROR(__xludf.DUMMYFUNCTION("""COMPUTED_VALUE"""),"")</f>
        <v/>
      </c>
      <c r="J1381">
        <f>IFERROR(__xludf.DUMMYFUNCTION("""COMPUTED_VALUE"""),0.0)</f>
        <v>0</v>
      </c>
      <c r="L1381" s="250" t="str">
        <f>IFERROR(__xludf.DUMMYFUNCTION("""COMPUTED_VALUE"""),"")</f>
        <v/>
      </c>
      <c r="M1381" s="250" t="str">
        <f>IFERROR(__xludf.DUMMYFUNCTION("""COMPUTED_VALUE"""),"")</f>
        <v/>
      </c>
      <c r="N1381" s="250" t="str">
        <f>IFERROR(__xludf.DUMMYFUNCTION("""COMPUTED_VALUE"""),"")</f>
        <v/>
      </c>
      <c r="O1381" s="250" t="str">
        <f>IFERROR(__xludf.DUMMYFUNCTION("""COMPUTED_VALUE"""),"")</f>
        <v/>
      </c>
      <c r="P1381" s="250" t="str">
        <f>IFERROR(__xludf.DUMMYFUNCTION("""COMPUTED_VALUE"""),"")</f>
        <v/>
      </c>
      <c r="Q1381" s="250" t="str">
        <f>IFERROR(__xludf.DUMMYFUNCTION("""COMPUTED_VALUE"""),"")</f>
        <v/>
      </c>
      <c r="R1381" s="250" t="str">
        <f>IFERROR(__xludf.DUMMYFUNCTION("""COMPUTED_VALUE"""),"")</f>
        <v/>
      </c>
      <c r="U1381" s="250" t="str">
        <f>IFERROR(__xludf.DUMMYFUNCTION("""COMPUTED_VALUE"""),"#N/A")</f>
        <v>#N/A</v>
      </c>
      <c r="V1381" s="250" t="str">
        <f>IFERROR(__xludf.DUMMYFUNCTION("""COMPUTED_VALUE"""),"#N/A")</f>
        <v>#N/A</v>
      </c>
      <c r="W1381" s="250" t="str">
        <f>IFERROR(__xludf.DUMMYFUNCTION("""COMPUTED_VALUE"""),"#N/A")</f>
        <v>#N/A</v>
      </c>
      <c r="X1381" t="b">
        <f t="shared" ref="X1381:Z1381" si="2738">ISBLANK(K1381)</f>
        <v>1</v>
      </c>
      <c r="Y1381" t="b">
        <f t="shared" si="2738"/>
        <v>0</v>
      </c>
      <c r="Z1381" t="b">
        <f t="shared" si="2738"/>
        <v>0</v>
      </c>
      <c r="AA1381">
        <f t="shared" ref="AA1381:AC1381" si="2739">IF(X1381=FALSE,1,0)</f>
        <v>0</v>
      </c>
      <c r="AB1381">
        <f t="shared" si="2739"/>
        <v>1</v>
      </c>
      <c r="AC1381">
        <f t="shared" si="2739"/>
        <v>1</v>
      </c>
      <c r="AD1381">
        <f t="shared" si="6"/>
        <v>2</v>
      </c>
      <c r="AE1381">
        <f t="shared" si="7"/>
        <v>1</v>
      </c>
    </row>
    <row r="1382">
      <c r="B1382" t="str">
        <f>IFERROR(__xludf.DUMMYFUNCTION("""COMPUTED_VALUE"""),"")</f>
        <v/>
      </c>
      <c r="C1382" t="str">
        <f>IFERROR(__xludf.DUMMYFUNCTION("""COMPUTED_VALUE"""),"")</f>
        <v/>
      </c>
      <c r="D1382" t="str">
        <f>IFERROR(__xludf.DUMMYFUNCTION("""COMPUTED_VALUE"""),"")</f>
        <v/>
      </c>
      <c r="E1382" t="str">
        <f>IFERROR(__xludf.DUMMYFUNCTION("""COMPUTED_VALUE"""),"")</f>
        <v/>
      </c>
      <c r="F1382" t="str">
        <f>IFERROR(__xludf.DUMMYFUNCTION("""COMPUTED_VALUE"""),"")</f>
        <v/>
      </c>
      <c r="G1382" t="str">
        <f>IFERROR(__xludf.DUMMYFUNCTION("""COMPUTED_VALUE"""),"")</f>
        <v/>
      </c>
      <c r="H1382" t="str">
        <f>IFERROR(__xludf.DUMMYFUNCTION("""COMPUTED_VALUE"""),"")</f>
        <v/>
      </c>
      <c r="I1382" t="str">
        <f>IFERROR(__xludf.DUMMYFUNCTION("""COMPUTED_VALUE"""),"")</f>
        <v/>
      </c>
      <c r="J1382">
        <f>IFERROR(__xludf.DUMMYFUNCTION("""COMPUTED_VALUE"""),0.0)</f>
        <v>0</v>
      </c>
      <c r="L1382" s="250" t="str">
        <f>IFERROR(__xludf.DUMMYFUNCTION("""COMPUTED_VALUE"""),"")</f>
        <v/>
      </c>
      <c r="M1382" s="250" t="str">
        <f>IFERROR(__xludf.DUMMYFUNCTION("""COMPUTED_VALUE"""),"")</f>
        <v/>
      </c>
      <c r="N1382" s="250" t="str">
        <f>IFERROR(__xludf.DUMMYFUNCTION("""COMPUTED_VALUE"""),"")</f>
        <v/>
      </c>
      <c r="O1382" s="250" t="str">
        <f>IFERROR(__xludf.DUMMYFUNCTION("""COMPUTED_VALUE"""),"")</f>
        <v/>
      </c>
      <c r="P1382" s="250" t="str">
        <f>IFERROR(__xludf.DUMMYFUNCTION("""COMPUTED_VALUE"""),"")</f>
        <v/>
      </c>
      <c r="Q1382" s="250" t="str">
        <f>IFERROR(__xludf.DUMMYFUNCTION("""COMPUTED_VALUE"""),"")</f>
        <v/>
      </c>
      <c r="R1382" s="250" t="str">
        <f>IFERROR(__xludf.DUMMYFUNCTION("""COMPUTED_VALUE"""),"")</f>
        <v/>
      </c>
      <c r="U1382" s="250" t="str">
        <f>IFERROR(__xludf.DUMMYFUNCTION("""COMPUTED_VALUE"""),"#N/A")</f>
        <v>#N/A</v>
      </c>
      <c r="V1382" s="250" t="str">
        <f>IFERROR(__xludf.DUMMYFUNCTION("""COMPUTED_VALUE"""),"#N/A")</f>
        <v>#N/A</v>
      </c>
      <c r="W1382" s="250" t="str">
        <f>IFERROR(__xludf.DUMMYFUNCTION("""COMPUTED_VALUE"""),"#N/A")</f>
        <v>#N/A</v>
      </c>
      <c r="X1382" t="b">
        <f t="shared" ref="X1382:Z1382" si="2740">ISBLANK(K1382)</f>
        <v>1</v>
      </c>
      <c r="Y1382" t="b">
        <f t="shared" si="2740"/>
        <v>0</v>
      </c>
      <c r="Z1382" t="b">
        <f t="shared" si="2740"/>
        <v>0</v>
      </c>
      <c r="AA1382">
        <f t="shared" ref="AA1382:AC1382" si="2741">IF(X1382=FALSE,1,0)</f>
        <v>0</v>
      </c>
      <c r="AB1382">
        <f t="shared" si="2741"/>
        <v>1</v>
      </c>
      <c r="AC1382">
        <f t="shared" si="2741"/>
        <v>1</v>
      </c>
      <c r="AD1382">
        <f t="shared" si="6"/>
        <v>2</v>
      </c>
      <c r="AE1382">
        <f t="shared" si="7"/>
        <v>1</v>
      </c>
    </row>
    <row r="1383">
      <c r="B1383" t="str">
        <f>IFERROR(__xludf.DUMMYFUNCTION("""COMPUTED_VALUE"""),"")</f>
        <v/>
      </c>
      <c r="C1383" t="str">
        <f>IFERROR(__xludf.DUMMYFUNCTION("""COMPUTED_VALUE"""),"")</f>
        <v/>
      </c>
      <c r="D1383" t="str">
        <f>IFERROR(__xludf.DUMMYFUNCTION("""COMPUTED_VALUE"""),"")</f>
        <v/>
      </c>
      <c r="E1383" t="str">
        <f>IFERROR(__xludf.DUMMYFUNCTION("""COMPUTED_VALUE"""),"")</f>
        <v/>
      </c>
      <c r="F1383" t="str">
        <f>IFERROR(__xludf.DUMMYFUNCTION("""COMPUTED_VALUE"""),"")</f>
        <v/>
      </c>
      <c r="G1383" t="str">
        <f>IFERROR(__xludf.DUMMYFUNCTION("""COMPUTED_VALUE"""),"")</f>
        <v/>
      </c>
      <c r="H1383" t="str">
        <f>IFERROR(__xludf.DUMMYFUNCTION("""COMPUTED_VALUE"""),"")</f>
        <v/>
      </c>
      <c r="I1383" t="str">
        <f>IFERROR(__xludf.DUMMYFUNCTION("""COMPUTED_VALUE"""),"")</f>
        <v/>
      </c>
      <c r="J1383">
        <f>IFERROR(__xludf.DUMMYFUNCTION("""COMPUTED_VALUE"""),0.0)</f>
        <v>0</v>
      </c>
      <c r="L1383" s="250" t="str">
        <f>IFERROR(__xludf.DUMMYFUNCTION("""COMPUTED_VALUE"""),"")</f>
        <v/>
      </c>
      <c r="M1383" s="250" t="str">
        <f>IFERROR(__xludf.DUMMYFUNCTION("""COMPUTED_VALUE"""),"")</f>
        <v/>
      </c>
      <c r="N1383" s="250" t="str">
        <f>IFERROR(__xludf.DUMMYFUNCTION("""COMPUTED_VALUE"""),"")</f>
        <v/>
      </c>
      <c r="O1383" s="250" t="str">
        <f>IFERROR(__xludf.DUMMYFUNCTION("""COMPUTED_VALUE"""),"")</f>
        <v/>
      </c>
      <c r="P1383" s="250" t="str">
        <f>IFERROR(__xludf.DUMMYFUNCTION("""COMPUTED_VALUE"""),"")</f>
        <v/>
      </c>
      <c r="Q1383" s="250" t="str">
        <f>IFERROR(__xludf.DUMMYFUNCTION("""COMPUTED_VALUE"""),"")</f>
        <v/>
      </c>
      <c r="R1383" s="250" t="str">
        <f>IFERROR(__xludf.DUMMYFUNCTION("""COMPUTED_VALUE"""),"")</f>
        <v/>
      </c>
      <c r="U1383" s="250" t="str">
        <f>IFERROR(__xludf.DUMMYFUNCTION("""COMPUTED_VALUE"""),"#N/A")</f>
        <v>#N/A</v>
      </c>
      <c r="V1383" s="250" t="str">
        <f>IFERROR(__xludf.DUMMYFUNCTION("""COMPUTED_VALUE"""),"#N/A")</f>
        <v>#N/A</v>
      </c>
      <c r="W1383" s="250" t="str">
        <f>IFERROR(__xludf.DUMMYFUNCTION("""COMPUTED_VALUE"""),"#N/A")</f>
        <v>#N/A</v>
      </c>
      <c r="X1383" t="b">
        <f t="shared" ref="X1383:Z1383" si="2742">ISBLANK(K1383)</f>
        <v>1</v>
      </c>
      <c r="Y1383" t="b">
        <f t="shared" si="2742"/>
        <v>0</v>
      </c>
      <c r="Z1383" t="b">
        <f t="shared" si="2742"/>
        <v>0</v>
      </c>
      <c r="AA1383">
        <f t="shared" ref="AA1383:AC1383" si="2743">IF(X1383=FALSE,1,0)</f>
        <v>0</v>
      </c>
      <c r="AB1383">
        <f t="shared" si="2743"/>
        <v>1</v>
      </c>
      <c r="AC1383">
        <f t="shared" si="2743"/>
        <v>1</v>
      </c>
      <c r="AD1383">
        <f t="shared" si="6"/>
        <v>2</v>
      </c>
      <c r="AE1383">
        <f t="shared" si="7"/>
        <v>1</v>
      </c>
    </row>
    <row r="1384">
      <c r="B1384" t="str">
        <f>IFERROR(__xludf.DUMMYFUNCTION("""COMPUTED_VALUE"""),"")</f>
        <v/>
      </c>
      <c r="C1384" t="str">
        <f>IFERROR(__xludf.DUMMYFUNCTION("""COMPUTED_VALUE"""),"")</f>
        <v/>
      </c>
      <c r="D1384" t="str">
        <f>IFERROR(__xludf.DUMMYFUNCTION("""COMPUTED_VALUE"""),"")</f>
        <v/>
      </c>
      <c r="E1384" t="str">
        <f>IFERROR(__xludf.DUMMYFUNCTION("""COMPUTED_VALUE"""),"")</f>
        <v/>
      </c>
      <c r="F1384" t="str">
        <f>IFERROR(__xludf.DUMMYFUNCTION("""COMPUTED_VALUE"""),"")</f>
        <v/>
      </c>
      <c r="G1384" t="str">
        <f>IFERROR(__xludf.DUMMYFUNCTION("""COMPUTED_VALUE"""),"")</f>
        <v/>
      </c>
      <c r="H1384" t="str">
        <f>IFERROR(__xludf.DUMMYFUNCTION("""COMPUTED_VALUE"""),"")</f>
        <v/>
      </c>
      <c r="I1384" t="str">
        <f>IFERROR(__xludf.DUMMYFUNCTION("""COMPUTED_VALUE"""),"")</f>
        <v/>
      </c>
      <c r="J1384">
        <f>IFERROR(__xludf.DUMMYFUNCTION("""COMPUTED_VALUE"""),0.0)</f>
        <v>0</v>
      </c>
      <c r="L1384" s="250" t="str">
        <f>IFERROR(__xludf.DUMMYFUNCTION("""COMPUTED_VALUE"""),"")</f>
        <v/>
      </c>
      <c r="M1384" s="250" t="str">
        <f>IFERROR(__xludf.DUMMYFUNCTION("""COMPUTED_VALUE"""),"")</f>
        <v/>
      </c>
      <c r="N1384" s="250" t="str">
        <f>IFERROR(__xludf.DUMMYFUNCTION("""COMPUTED_VALUE"""),"")</f>
        <v/>
      </c>
      <c r="O1384" s="250" t="str">
        <f>IFERROR(__xludf.DUMMYFUNCTION("""COMPUTED_VALUE"""),"")</f>
        <v/>
      </c>
      <c r="P1384" s="250" t="str">
        <f>IFERROR(__xludf.DUMMYFUNCTION("""COMPUTED_VALUE"""),"")</f>
        <v/>
      </c>
      <c r="Q1384" s="250" t="str">
        <f>IFERROR(__xludf.DUMMYFUNCTION("""COMPUTED_VALUE"""),"")</f>
        <v/>
      </c>
      <c r="R1384" s="250" t="str">
        <f>IFERROR(__xludf.DUMMYFUNCTION("""COMPUTED_VALUE"""),"")</f>
        <v/>
      </c>
      <c r="U1384" s="250" t="str">
        <f>IFERROR(__xludf.DUMMYFUNCTION("""COMPUTED_VALUE"""),"#N/A")</f>
        <v>#N/A</v>
      </c>
      <c r="V1384" s="250" t="str">
        <f>IFERROR(__xludf.DUMMYFUNCTION("""COMPUTED_VALUE"""),"#N/A")</f>
        <v>#N/A</v>
      </c>
      <c r="W1384" s="250" t="str">
        <f>IFERROR(__xludf.DUMMYFUNCTION("""COMPUTED_VALUE"""),"#N/A")</f>
        <v>#N/A</v>
      </c>
      <c r="X1384" t="b">
        <f t="shared" ref="X1384:Z1384" si="2744">ISBLANK(K1384)</f>
        <v>1</v>
      </c>
      <c r="Y1384" t="b">
        <f t="shared" si="2744"/>
        <v>0</v>
      </c>
      <c r="Z1384" t="b">
        <f t="shared" si="2744"/>
        <v>0</v>
      </c>
      <c r="AA1384">
        <f t="shared" ref="AA1384:AC1384" si="2745">IF(X1384=FALSE,1,0)</f>
        <v>0</v>
      </c>
      <c r="AB1384">
        <f t="shared" si="2745"/>
        <v>1</v>
      </c>
      <c r="AC1384">
        <f t="shared" si="2745"/>
        <v>1</v>
      </c>
      <c r="AD1384">
        <f t="shared" si="6"/>
        <v>2</v>
      </c>
      <c r="AE1384">
        <f t="shared" si="7"/>
        <v>1</v>
      </c>
    </row>
    <row r="1385">
      <c r="B1385" t="str">
        <f>IFERROR(__xludf.DUMMYFUNCTION("""COMPUTED_VALUE"""),"")</f>
        <v/>
      </c>
      <c r="C1385" t="str">
        <f>IFERROR(__xludf.DUMMYFUNCTION("""COMPUTED_VALUE"""),"")</f>
        <v/>
      </c>
      <c r="D1385" t="str">
        <f>IFERROR(__xludf.DUMMYFUNCTION("""COMPUTED_VALUE"""),"")</f>
        <v/>
      </c>
      <c r="E1385" t="str">
        <f>IFERROR(__xludf.DUMMYFUNCTION("""COMPUTED_VALUE"""),"")</f>
        <v/>
      </c>
      <c r="F1385" t="str">
        <f>IFERROR(__xludf.DUMMYFUNCTION("""COMPUTED_VALUE"""),"")</f>
        <v/>
      </c>
      <c r="G1385" t="str">
        <f>IFERROR(__xludf.DUMMYFUNCTION("""COMPUTED_VALUE"""),"")</f>
        <v/>
      </c>
      <c r="H1385" t="str">
        <f>IFERROR(__xludf.DUMMYFUNCTION("""COMPUTED_VALUE"""),"")</f>
        <v/>
      </c>
      <c r="I1385" t="str">
        <f>IFERROR(__xludf.DUMMYFUNCTION("""COMPUTED_VALUE"""),"")</f>
        <v/>
      </c>
      <c r="J1385">
        <f>IFERROR(__xludf.DUMMYFUNCTION("""COMPUTED_VALUE"""),0.0)</f>
        <v>0</v>
      </c>
      <c r="L1385" s="250" t="str">
        <f>IFERROR(__xludf.DUMMYFUNCTION("""COMPUTED_VALUE"""),"")</f>
        <v/>
      </c>
      <c r="M1385" s="250" t="str">
        <f>IFERROR(__xludf.DUMMYFUNCTION("""COMPUTED_VALUE"""),"")</f>
        <v/>
      </c>
      <c r="N1385" s="250" t="str">
        <f>IFERROR(__xludf.DUMMYFUNCTION("""COMPUTED_VALUE"""),"")</f>
        <v/>
      </c>
      <c r="O1385" s="250" t="str">
        <f>IFERROR(__xludf.DUMMYFUNCTION("""COMPUTED_VALUE"""),"")</f>
        <v/>
      </c>
      <c r="P1385" s="250" t="str">
        <f>IFERROR(__xludf.DUMMYFUNCTION("""COMPUTED_VALUE"""),"")</f>
        <v/>
      </c>
      <c r="Q1385" s="250" t="str">
        <f>IFERROR(__xludf.DUMMYFUNCTION("""COMPUTED_VALUE"""),"")</f>
        <v/>
      </c>
      <c r="R1385" s="250" t="str">
        <f>IFERROR(__xludf.DUMMYFUNCTION("""COMPUTED_VALUE"""),"")</f>
        <v/>
      </c>
      <c r="U1385" s="250" t="str">
        <f>IFERROR(__xludf.DUMMYFUNCTION("""COMPUTED_VALUE"""),"#N/A")</f>
        <v>#N/A</v>
      </c>
      <c r="V1385" s="250" t="str">
        <f>IFERROR(__xludf.DUMMYFUNCTION("""COMPUTED_VALUE"""),"#N/A")</f>
        <v>#N/A</v>
      </c>
      <c r="W1385" s="250" t="str">
        <f>IFERROR(__xludf.DUMMYFUNCTION("""COMPUTED_VALUE"""),"#N/A")</f>
        <v>#N/A</v>
      </c>
      <c r="X1385" t="b">
        <f t="shared" ref="X1385:Z1385" si="2746">ISBLANK(K1385)</f>
        <v>1</v>
      </c>
      <c r="Y1385" t="b">
        <f t="shared" si="2746"/>
        <v>0</v>
      </c>
      <c r="Z1385" t="b">
        <f t="shared" si="2746"/>
        <v>0</v>
      </c>
      <c r="AA1385">
        <f t="shared" ref="AA1385:AC1385" si="2747">IF(X1385=FALSE,1,0)</f>
        <v>0</v>
      </c>
      <c r="AB1385">
        <f t="shared" si="2747"/>
        <v>1</v>
      </c>
      <c r="AC1385">
        <f t="shared" si="2747"/>
        <v>1</v>
      </c>
      <c r="AD1385">
        <f t="shared" si="6"/>
        <v>2</v>
      </c>
      <c r="AE1385">
        <f t="shared" si="7"/>
        <v>1</v>
      </c>
    </row>
    <row r="1386">
      <c r="B1386" t="str">
        <f>IFERROR(__xludf.DUMMYFUNCTION("""COMPUTED_VALUE"""),"")</f>
        <v/>
      </c>
      <c r="C1386" t="str">
        <f>IFERROR(__xludf.DUMMYFUNCTION("""COMPUTED_VALUE"""),"")</f>
        <v/>
      </c>
      <c r="D1386" t="str">
        <f>IFERROR(__xludf.DUMMYFUNCTION("""COMPUTED_VALUE"""),"")</f>
        <v/>
      </c>
      <c r="E1386" t="str">
        <f>IFERROR(__xludf.DUMMYFUNCTION("""COMPUTED_VALUE"""),"")</f>
        <v/>
      </c>
      <c r="F1386" t="str">
        <f>IFERROR(__xludf.DUMMYFUNCTION("""COMPUTED_VALUE"""),"")</f>
        <v/>
      </c>
      <c r="G1386" t="str">
        <f>IFERROR(__xludf.DUMMYFUNCTION("""COMPUTED_VALUE"""),"")</f>
        <v/>
      </c>
      <c r="H1386" t="str">
        <f>IFERROR(__xludf.DUMMYFUNCTION("""COMPUTED_VALUE"""),"")</f>
        <v/>
      </c>
      <c r="I1386" t="str">
        <f>IFERROR(__xludf.DUMMYFUNCTION("""COMPUTED_VALUE"""),"")</f>
        <v/>
      </c>
      <c r="J1386">
        <f>IFERROR(__xludf.DUMMYFUNCTION("""COMPUTED_VALUE"""),0.0)</f>
        <v>0</v>
      </c>
      <c r="L1386" s="250" t="str">
        <f>IFERROR(__xludf.DUMMYFUNCTION("""COMPUTED_VALUE"""),"")</f>
        <v/>
      </c>
      <c r="M1386" s="250" t="str">
        <f>IFERROR(__xludf.DUMMYFUNCTION("""COMPUTED_VALUE"""),"")</f>
        <v/>
      </c>
      <c r="N1386" s="250" t="str">
        <f>IFERROR(__xludf.DUMMYFUNCTION("""COMPUTED_VALUE"""),"")</f>
        <v/>
      </c>
      <c r="O1386" s="250" t="str">
        <f>IFERROR(__xludf.DUMMYFUNCTION("""COMPUTED_VALUE"""),"")</f>
        <v/>
      </c>
      <c r="P1386" s="250" t="str">
        <f>IFERROR(__xludf.DUMMYFUNCTION("""COMPUTED_VALUE"""),"")</f>
        <v/>
      </c>
      <c r="Q1386" s="250" t="str">
        <f>IFERROR(__xludf.DUMMYFUNCTION("""COMPUTED_VALUE"""),"")</f>
        <v/>
      </c>
      <c r="R1386" s="250" t="str">
        <f>IFERROR(__xludf.DUMMYFUNCTION("""COMPUTED_VALUE"""),"")</f>
        <v/>
      </c>
      <c r="U1386" s="250" t="str">
        <f>IFERROR(__xludf.DUMMYFUNCTION("""COMPUTED_VALUE"""),"#N/A")</f>
        <v>#N/A</v>
      </c>
      <c r="V1386" s="250" t="str">
        <f>IFERROR(__xludf.DUMMYFUNCTION("""COMPUTED_VALUE"""),"#N/A")</f>
        <v>#N/A</v>
      </c>
      <c r="W1386" s="250" t="str">
        <f>IFERROR(__xludf.DUMMYFUNCTION("""COMPUTED_VALUE"""),"#N/A")</f>
        <v>#N/A</v>
      </c>
      <c r="X1386" t="b">
        <f t="shared" ref="X1386:Z1386" si="2748">ISBLANK(K1386)</f>
        <v>1</v>
      </c>
      <c r="Y1386" t="b">
        <f t="shared" si="2748"/>
        <v>0</v>
      </c>
      <c r="Z1386" t="b">
        <f t="shared" si="2748"/>
        <v>0</v>
      </c>
      <c r="AA1386">
        <f t="shared" ref="AA1386:AC1386" si="2749">IF(X1386=FALSE,1,0)</f>
        <v>0</v>
      </c>
      <c r="AB1386">
        <f t="shared" si="2749"/>
        <v>1</v>
      </c>
      <c r="AC1386">
        <f t="shared" si="2749"/>
        <v>1</v>
      </c>
      <c r="AD1386">
        <f t="shared" si="6"/>
        <v>2</v>
      </c>
      <c r="AE1386">
        <f t="shared" si="7"/>
        <v>1</v>
      </c>
    </row>
    <row r="1387">
      <c r="B1387" t="str">
        <f>IFERROR(__xludf.DUMMYFUNCTION("""COMPUTED_VALUE"""),"")</f>
        <v/>
      </c>
      <c r="C1387" t="str">
        <f>IFERROR(__xludf.DUMMYFUNCTION("""COMPUTED_VALUE"""),"")</f>
        <v/>
      </c>
      <c r="D1387" t="str">
        <f>IFERROR(__xludf.DUMMYFUNCTION("""COMPUTED_VALUE"""),"")</f>
        <v/>
      </c>
      <c r="E1387" t="str">
        <f>IFERROR(__xludf.DUMMYFUNCTION("""COMPUTED_VALUE"""),"")</f>
        <v/>
      </c>
      <c r="F1387" t="str">
        <f>IFERROR(__xludf.DUMMYFUNCTION("""COMPUTED_VALUE"""),"")</f>
        <v/>
      </c>
      <c r="G1387" t="str">
        <f>IFERROR(__xludf.DUMMYFUNCTION("""COMPUTED_VALUE"""),"")</f>
        <v/>
      </c>
      <c r="H1387" t="str">
        <f>IFERROR(__xludf.DUMMYFUNCTION("""COMPUTED_VALUE"""),"")</f>
        <v/>
      </c>
      <c r="I1387" t="str">
        <f>IFERROR(__xludf.DUMMYFUNCTION("""COMPUTED_VALUE"""),"")</f>
        <v/>
      </c>
      <c r="J1387">
        <f>IFERROR(__xludf.DUMMYFUNCTION("""COMPUTED_VALUE"""),0.0)</f>
        <v>0</v>
      </c>
      <c r="L1387" s="250" t="str">
        <f>IFERROR(__xludf.DUMMYFUNCTION("""COMPUTED_VALUE"""),"")</f>
        <v/>
      </c>
      <c r="M1387" s="250" t="str">
        <f>IFERROR(__xludf.DUMMYFUNCTION("""COMPUTED_VALUE"""),"")</f>
        <v/>
      </c>
      <c r="N1387" s="250" t="str">
        <f>IFERROR(__xludf.DUMMYFUNCTION("""COMPUTED_VALUE"""),"")</f>
        <v/>
      </c>
      <c r="O1387" s="250" t="str">
        <f>IFERROR(__xludf.DUMMYFUNCTION("""COMPUTED_VALUE"""),"")</f>
        <v/>
      </c>
      <c r="P1387" s="250" t="str">
        <f>IFERROR(__xludf.DUMMYFUNCTION("""COMPUTED_VALUE"""),"")</f>
        <v/>
      </c>
      <c r="Q1387" s="250" t="str">
        <f>IFERROR(__xludf.DUMMYFUNCTION("""COMPUTED_VALUE"""),"")</f>
        <v/>
      </c>
      <c r="R1387" s="250" t="str">
        <f>IFERROR(__xludf.DUMMYFUNCTION("""COMPUTED_VALUE"""),"")</f>
        <v/>
      </c>
      <c r="U1387" s="250" t="str">
        <f>IFERROR(__xludf.DUMMYFUNCTION("""COMPUTED_VALUE"""),"#N/A")</f>
        <v>#N/A</v>
      </c>
      <c r="V1387" s="250" t="str">
        <f>IFERROR(__xludf.DUMMYFUNCTION("""COMPUTED_VALUE"""),"#N/A")</f>
        <v>#N/A</v>
      </c>
      <c r="W1387" s="250" t="str">
        <f>IFERROR(__xludf.DUMMYFUNCTION("""COMPUTED_VALUE"""),"#N/A")</f>
        <v>#N/A</v>
      </c>
      <c r="X1387" t="b">
        <f t="shared" ref="X1387:Z1387" si="2750">ISBLANK(K1387)</f>
        <v>1</v>
      </c>
      <c r="Y1387" t="b">
        <f t="shared" si="2750"/>
        <v>0</v>
      </c>
      <c r="Z1387" t="b">
        <f t="shared" si="2750"/>
        <v>0</v>
      </c>
      <c r="AA1387">
        <f t="shared" ref="AA1387:AC1387" si="2751">IF(X1387=FALSE,1,0)</f>
        <v>0</v>
      </c>
      <c r="AB1387">
        <f t="shared" si="2751"/>
        <v>1</v>
      </c>
      <c r="AC1387">
        <f t="shared" si="2751"/>
        <v>1</v>
      </c>
      <c r="AD1387">
        <f t="shared" si="6"/>
        <v>2</v>
      </c>
      <c r="AE1387">
        <f t="shared" si="7"/>
        <v>1</v>
      </c>
    </row>
    <row r="1388">
      <c r="B1388" t="str">
        <f>IFERROR(__xludf.DUMMYFUNCTION("""COMPUTED_VALUE"""),"")</f>
        <v/>
      </c>
      <c r="C1388" t="str">
        <f>IFERROR(__xludf.DUMMYFUNCTION("""COMPUTED_VALUE"""),"")</f>
        <v/>
      </c>
      <c r="D1388" t="str">
        <f>IFERROR(__xludf.DUMMYFUNCTION("""COMPUTED_VALUE"""),"")</f>
        <v/>
      </c>
      <c r="E1388" t="str">
        <f>IFERROR(__xludf.DUMMYFUNCTION("""COMPUTED_VALUE"""),"")</f>
        <v/>
      </c>
      <c r="F1388" t="str">
        <f>IFERROR(__xludf.DUMMYFUNCTION("""COMPUTED_VALUE"""),"")</f>
        <v/>
      </c>
      <c r="G1388" t="str">
        <f>IFERROR(__xludf.DUMMYFUNCTION("""COMPUTED_VALUE"""),"")</f>
        <v/>
      </c>
      <c r="H1388" t="str">
        <f>IFERROR(__xludf.DUMMYFUNCTION("""COMPUTED_VALUE"""),"")</f>
        <v/>
      </c>
      <c r="I1388" t="str">
        <f>IFERROR(__xludf.DUMMYFUNCTION("""COMPUTED_VALUE"""),"")</f>
        <v/>
      </c>
      <c r="J1388">
        <f>IFERROR(__xludf.DUMMYFUNCTION("""COMPUTED_VALUE"""),0.0)</f>
        <v>0</v>
      </c>
      <c r="L1388" s="250" t="str">
        <f>IFERROR(__xludf.DUMMYFUNCTION("""COMPUTED_VALUE"""),"")</f>
        <v/>
      </c>
      <c r="M1388" s="250" t="str">
        <f>IFERROR(__xludf.DUMMYFUNCTION("""COMPUTED_VALUE"""),"")</f>
        <v/>
      </c>
      <c r="N1388" s="250" t="str">
        <f>IFERROR(__xludf.DUMMYFUNCTION("""COMPUTED_VALUE"""),"")</f>
        <v/>
      </c>
      <c r="O1388" s="250" t="str">
        <f>IFERROR(__xludf.DUMMYFUNCTION("""COMPUTED_VALUE"""),"")</f>
        <v/>
      </c>
      <c r="P1388" s="250" t="str">
        <f>IFERROR(__xludf.DUMMYFUNCTION("""COMPUTED_VALUE"""),"")</f>
        <v/>
      </c>
      <c r="Q1388" s="250" t="str">
        <f>IFERROR(__xludf.DUMMYFUNCTION("""COMPUTED_VALUE"""),"")</f>
        <v/>
      </c>
      <c r="R1388" s="250" t="str">
        <f>IFERROR(__xludf.DUMMYFUNCTION("""COMPUTED_VALUE"""),"")</f>
        <v/>
      </c>
      <c r="U1388" s="250" t="str">
        <f>IFERROR(__xludf.DUMMYFUNCTION("""COMPUTED_VALUE"""),"#N/A")</f>
        <v>#N/A</v>
      </c>
      <c r="V1388" s="250" t="str">
        <f>IFERROR(__xludf.DUMMYFUNCTION("""COMPUTED_VALUE"""),"#N/A")</f>
        <v>#N/A</v>
      </c>
      <c r="W1388" s="250" t="str">
        <f>IFERROR(__xludf.DUMMYFUNCTION("""COMPUTED_VALUE"""),"#N/A")</f>
        <v>#N/A</v>
      </c>
      <c r="X1388" t="b">
        <f t="shared" ref="X1388:Z1388" si="2752">ISBLANK(K1388)</f>
        <v>1</v>
      </c>
      <c r="Y1388" t="b">
        <f t="shared" si="2752"/>
        <v>0</v>
      </c>
      <c r="Z1388" t="b">
        <f t="shared" si="2752"/>
        <v>0</v>
      </c>
      <c r="AA1388">
        <f t="shared" ref="AA1388:AC1388" si="2753">IF(X1388=FALSE,1,0)</f>
        <v>0</v>
      </c>
      <c r="AB1388">
        <f t="shared" si="2753"/>
        <v>1</v>
      </c>
      <c r="AC1388">
        <f t="shared" si="2753"/>
        <v>1</v>
      </c>
      <c r="AD1388">
        <f t="shared" si="6"/>
        <v>2</v>
      </c>
      <c r="AE1388">
        <f t="shared" si="7"/>
        <v>1</v>
      </c>
    </row>
    <row r="1389">
      <c r="B1389" t="str">
        <f>IFERROR(__xludf.DUMMYFUNCTION("""COMPUTED_VALUE"""),"")</f>
        <v/>
      </c>
      <c r="C1389" t="str">
        <f>IFERROR(__xludf.DUMMYFUNCTION("""COMPUTED_VALUE"""),"")</f>
        <v/>
      </c>
      <c r="D1389" t="str">
        <f>IFERROR(__xludf.DUMMYFUNCTION("""COMPUTED_VALUE"""),"")</f>
        <v/>
      </c>
      <c r="E1389" t="str">
        <f>IFERROR(__xludf.DUMMYFUNCTION("""COMPUTED_VALUE"""),"")</f>
        <v/>
      </c>
      <c r="F1389" t="str">
        <f>IFERROR(__xludf.DUMMYFUNCTION("""COMPUTED_VALUE"""),"")</f>
        <v/>
      </c>
      <c r="G1389" t="str">
        <f>IFERROR(__xludf.DUMMYFUNCTION("""COMPUTED_VALUE"""),"")</f>
        <v/>
      </c>
      <c r="H1389" t="str">
        <f>IFERROR(__xludf.DUMMYFUNCTION("""COMPUTED_VALUE"""),"")</f>
        <v/>
      </c>
      <c r="I1389" t="str">
        <f>IFERROR(__xludf.DUMMYFUNCTION("""COMPUTED_VALUE"""),"")</f>
        <v/>
      </c>
      <c r="J1389">
        <f>IFERROR(__xludf.DUMMYFUNCTION("""COMPUTED_VALUE"""),0.0)</f>
        <v>0</v>
      </c>
      <c r="L1389" s="250" t="str">
        <f>IFERROR(__xludf.DUMMYFUNCTION("""COMPUTED_VALUE"""),"")</f>
        <v/>
      </c>
      <c r="M1389" s="250" t="str">
        <f>IFERROR(__xludf.DUMMYFUNCTION("""COMPUTED_VALUE"""),"")</f>
        <v/>
      </c>
      <c r="N1389" s="250" t="str">
        <f>IFERROR(__xludf.DUMMYFUNCTION("""COMPUTED_VALUE"""),"")</f>
        <v/>
      </c>
      <c r="O1389" s="250" t="str">
        <f>IFERROR(__xludf.DUMMYFUNCTION("""COMPUTED_VALUE"""),"")</f>
        <v/>
      </c>
      <c r="P1389" s="250" t="str">
        <f>IFERROR(__xludf.DUMMYFUNCTION("""COMPUTED_VALUE"""),"")</f>
        <v/>
      </c>
      <c r="Q1389" s="250" t="str">
        <f>IFERROR(__xludf.DUMMYFUNCTION("""COMPUTED_VALUE"""),"")</f>
        <v/>
      </c>
      <c r="R1389" s="250" t="str">
        <f>IFERROR(__xludf.DUMMYFUNCTION("""COMPUTED_VALUE"""),"")</f>
        <v/>
      </c>
      <c r="U1389" s="250" t="str">
        <f>IFERROR(__xludf.DUMMYFUNCTION("""COMPUTED_VALUE"""),"#N/A")</f>
        <v>#N/A</v>
      </c>
      <c r="V1389" s="250" t="str">
        <f>IFERROR(__xludf.DUMMYFUNCTION("""COMPUTED_VALUE"""),"#N/A")</f>
        <v>#N/A</v>
      </c>
      <c r="W1389" s="250" t="str">
        <f>IFERROR(__xludf.DUMMYFUNCTION("""COMPUTED_VALUE"""),"#N/A")</f>
        <v>#N/A</v>
      </c>
      <c r="X1389" t="b">
        <f t="shared" ref="X1389:Z1389" si="2754">ISBLANK(K1389)</f>
        <v>1</v>
      </c>
      <c r="Y1389" t="b">
        <f t="shared" si="2754"/>
        <v>0</v>
      </c>
      <c r="Z1389" t="b">
        <f t="shared" si="2754"/>
        <v>0</v>
      </c>
      <c r="AA1389">
        <f t="shared" ref="AA1389:AC1389" si="2755">IF(X1389=FALSE,1,0)</f>
        <v>0</v>
      </c>
      <c r="AB1389">
        <f t="shared" si="2755"/>
        <v>1</v>
      </c>
      <c r="AC1389">
        <f t="shared" si="2755"/>
        <v>1</v>
      </c>
      <c r="AD1389">
        <f t="shared" si="6"/>
        <v>2</v>
      </c>
      <c r="AE1389">
        <f t="shared" si="7"/>
        <v>1</v>
      </c>
    </row>
    <row r="1390">
      <c r="B1390" t="str">
        <f>IFERROR(__xludf.DUMMYFUNCTION("""COMPUTED_VALUE"""),"")</f>
        <v/>
      </c>
      <c r="C1390" t="str">
        <f>IFERROR(__xludf.DUMMYFUNCTION("""COMPUTED_VALUE"""),"")</f>
        <v/>
      </c>
      <c r="D1390" t="str">
        <f>IFERROR(__xludf.DUMMYFUNCTION("""COMPUTED_VALUE"""),"")</f>
        <v/>
      </c>
      <c r="E1390" t="str">
        <f>IFERROR(__xludf.DUMMYFUNCTION("""COMPUTED_VALUE"""),"")</f>
        <v/>
      </c>
      <c r="F1390" t="str">
        <f>IFERROR(__xludf.DUMMYFUNCTION("""COMPUTED_VALUE"""),"")</f>
        <v/>
      </c>
      <c r="G1390" t="str">
        <f>IFERROR(__xludf.DUMMYFUNCTION("""COMPUTED_VALUE"""),"")</f>
        <v/>
      </c>
      <c r="H1390" t="str">
        <f>IFERROR(__xludf.DUMMYFUNCTION("""COMPUTED_VALUE"""),"")</f>
        <v/>
      </c>
      <c r="I1390" t="str">
        <f>IFERROR(__xludf.DUMMYFUNCTION("""COMPUTED_VALUE"""),"")</f>
        <v/>
      </c>
      <c r="J1390">
        <f>IFERROR(__xludf.DUMMYFUNCTION("""COMPUTED_VALUE"""),0.0)</f>
        <v>0</v>
      </c>
      <c r="L1390" s="250" t="str">
        <f>IFERROR(__xludf.DUMMYFUNCTION("""COMPUTED_VALUE"""),"")</f>
        <v/>
      </c>
      <c r="M1390" s="250" t="str">
        <f>IFERROR(__xludf.DUMMYFUNCTION("""COMPUTED_VALUE"""),"")</f>
        <v/>
      </c>
      <c r="N1390" s="250" t="str">
        <f>IFERROR(__xludf.DUMMYFUNCTION("""COMPUTED_VALUE"""),"")</f>
        <v/>
      </c>
      <c r="O1390" s="250" t="str">
        <f>IFERROR(__xludf.DUMMYFUNCTION("""COMPUTED_VALUE"""),"")</f>
        <v/>
      </c>
      <c r="P1390" s="250" t="str">
        <f>IFERROR(__xludf.DUMMYFUNCTION("""COMPUTED_VALUE"""),"")</f>
        <v/>
      </c>
      <c r="Q1390" s="250" t="str">
        <f>IFERROR(__xludf.DUMMYFUNCTION("""COMPUTED_VALUE"""),"")</f>
        <v/>
      </c>
      <c r="R1390" s="250" t="str">
        <f>IFERROR(__xludf.DUMMYFUNCTION("""COMPUTED_VALUE"""),"")</f>
        <v/>
      </c>
      <c r="U1390" s="250" t="str">
        <f>IFERROR(__xludf.DUMMYFUNCTION("""COMPUTED_VALUE"""),"#N/A")</f>
        <v>#N/A</v>
      </c>
      <c r="V1390" s="250" t="str">
        <f>IFERROR(__xludf.DUMMYFUNCTION("""COMPUTED_VALUE"""),"#N/A")</f>
        <v>#N/A</v>
      </c>
      <c r="W1390" s="250" t="str">
        <f>IFERROR(__xludf.DUMMYFUNCTION("""COMPUTED_VALUE"""),"#N/A")</f>
        <v>#N/A</v>
      </c>
      <c r="X1390" t="b">
        <f t="shared" ref="X1390:Z1390" si="2756">ISBLANK(K1390)</f>
        <v>1</v>
      </c>
      <c r="Y1390" t="b">
        <f t="shared" si="2756"/>
        <v>0</v>
      </c>
      <c r="Z1390" t="b">
        <f t="shared" si="2756"/>
        <v>0</v>
      </c>
      <c r="AA1390">
        <f t="shared" ref="AA1390:AC1390" si="2757">IF(X1390=FALSE,1,0)</f>
        <v>0</v>
      </c>
      <c r="AB1390">
        <f t="shared" si="2757"/>
        <v>1</v>
      </c>
      <c r="AC1390">
        <f t="shared" si="2757"/>
        <v>1</v>
      </c>
      <c r="AD1390">
        <f t="shared" si="6"/>
        <v>2</v>
      </c>
      <c r="AE1390">
        <f t="shared" si="7"/>
        <v>1</v>
      </c>
    </row>
    <row r="1391">
      <c r="B1391" t="str">
        <f>IFERROR(__xludf.DUMMYFUNCTION("""COMPUTED_VALUE"""),"")</f>
        <v/>
      </c>
      <c r="C1391" t="str">
        <f>IFERROR(__xludf.DUMMYFUNCTION("""COMPUTED_VALUE"""),"")</f>
        <v/>
      </c>
      <c r="D1391" t="str">
        <f>IFERROR(__xludf.DUMMYFUNCTION("""COMPUTED_VALUE"""),"")</f>
        <v/>
      </c>
      <c r="E1391" t="str">
        <f>IFERROR(__xludf.DUMMYFUNCTION("""COMPUTED_VALUE"""),"")</f>
        <v/>
      </c>
      <c r="F1391" t="str">
        <f>IFERROR(__xludf.DUMMYFUNCTION("""COMPUTED_VALUE"""),"")</f>
        <v/>
      </c>
      <c r="G1391" t="str">
        <f>IFERROR(__xludf.DUMMYFUNCTION("""COMPUTED_VALUE"""),"")</f>
        <v/>
      </c>
      <c r="H1391" t="str">
        <f>IFERROR(__xludf.DUMMYFUNCTION("""COMPUTED_VALUE"""),"")</f>
        <v/>
      </c>
      <c r="I1391" t="str">
        <f>IFERROR(__xludf.DUMMYFUNCTION("""COMPUTED_VALUE"""),"")</f>
        <v/>
      </c>
      <c r="J1391">
        <f>IFERROR(__xludf.DUMMYFUNCTION("""COMPUTED_VALUE"""),0.0)</f>
        <v>0</v>
      </c>
      <c r="L1391" s="250" t="str">
        <f>IFERROR(__xludf.DUMMYFUNCTION("""COMPUTED_VALUE"""),"")</f>
        <v/>
      </c>
      <c r="M1391" s="250" t="str">
        <f>IFERROR(__xludf.DUMMYFUNCTION("""COMPUTED_VALUE"""),"")</f>
        <v/>
      </c>
      <c r="N1391" s="250" t="str">
        <f>IFERROR(__xludf.DUMMYFUNCTION("""COMPUTED_VALUE"""),"")</f>
        <v/>
      </c>
      <c r="O1391" s="250" t="str">
        <f>IFERROR(__xludf.DUMMYFUNCTION("""COMPUTED_VALUE"""),"")</f>
        <v/>
      </c>
      <c r="P1391" s="250" t="str">
        <f>IFERROR(__xludf.DUMMYFUNCTION("""COMPUTED_VALUE"""),"")</f>
        <v/>
      </c>
      <c r="Q1391" s="250" t="str">
        <f>IFERROR(__xludf.DUMMYFUNCTION("""COMPUTED_VALUE"""),"")</f>
        <v/>
      </c>
      <c r="R1391" s="250" t="str">
        <f>IFERROR(__xludf.DUMMYFUNCTION("""COMPUTED_VALUE"""),"")</f>
        <v/>
      </c>
      <c r="U1391" s="250" t="str">
        <f>IFERROR(__xludf.DUMMYFUNCTION("""COMPUTED_VALUE"""),"#N/A")</f>
        <v>#N/A</v>
      </c>
      <c r="V1391" s="250" t="str">
        <f>IFERROR(__xludf.DUMMYFUNCTION("""COMPUTED_VALUE"""),"#N/A")</f>
        <v>#N/A</v>
      </c>
      <c r="W1391" s="250" t="str">
        <f>IFERROR(__xludf.DUMMYFUNCTION("""COMPUTED_VALUE"""),"#N/A")</f>
        <v>#N/A</v>
      </c>
      <c r="X1391" t="b">
        <f t="shared" ref="X1391:Z1391" si="2758">ISBLANK(K1391)</f>
        <v>1</v>
      </c>
      <c r="Y1391" t="b">
        <f t="shared" si="2758"/>
        <v>0</v>
      </c>
      <c r="Z1391" t="b">
        <f t="shared" si="2758"/>
        <v>0</v>
      </c>
      <c r="AA1391">
        <f t="shared" ref="AA1391:AC1391" si="2759">IF(X1391=FALSE,1,0)</f>
        <v>0</v>
      </c>
      <c r="AB1391">
        <f t="shared" si="2759"/>
        <v>1</v>
      </c>
      <c r="AC1391">
        <f t="shared" si="2759"/>
        <v>1</v>
      </c>
      <c r="AD1391">
        <f t="shared" si="6"/>
        <v>2</v>
      </c>
      <c r="AE1391">
        <f t="shared" si="7"/>
        <v>1</v>
      </c>
    </row>
    <row r="1392">
      <c r="B1392" t="str">
        <f>IFERROR(__xludf.DUMMYFUNCTION("""COMPUTED_VALUE"""),"")</f>
        <v/>
      </c>
      <c r="C1392" t="str">
        <f>IFERROR(__xludf.DUMMYFUNCTION("""COMPUTED_VALUE"""),"")</f>
        <v/>
      </c>
      <c r="D1392" t="str">
        <f>IFERROR(__xludf.DUMMYFUNCTION("""COMPUTED_VALUE"""),"")</f>
        <v/>
      </c>
      <c r="E1392" t="str">
        <f>IFERROR(__xludf.DUMMYFUNCTION("""COMPUTED_VALUE"""),"")</f>
        <v/>
      </c>
      <c r="F1392" t="str">
        <f>IFERROR(__xludf.DUMMYFUNCTION("""COMPUTED_VALUE"""),"")</f>
        <v/>
      </c>
      <c r="G1392" t="str">
        <f>IFERROR(__xludf.DUMMYFUNCTION("""COMPUTED_VALUE"""),"")</f>
        <v/>
      </c>
      <c r="H1392" t="str">
        <f>IFERROR(__xludf.DUMMYFUNCTION("""COMPUTED_VALUE"""),"")</f>
        <v/>
      </c>
      <c r="I1392" t="str">
        <f>IFERROR(__xludf.DUMMYFUNCTION("""COMPUTED_VALUE"""),"")</f>
        <v/>
      </c>
      <c r="J1392">
        <f>IFERROR(__xludf.DUMMYFUNCTION("""COMPUTED_VALUE"""),0.0)</f>
        <v>0</v>
      </c>
      <c r="L1392" s="250" t="str">
        <f>IFERROR(__xludf.DUMMYFUNCTION("""COMPUTED_VALUE"""),"")</f>
        <v/>
      </c>
      <c r="M1392" s="250" t="str">
        <f>IFERROR(__xludf.DUMMYFUNCTION("""COMPUTED_VALUE"""),"")</f>
        <v/>
      </c>
      <c r="N1392" s="250" t="str">
        <f>IFERROR(__xludf.DUMMYFUNCTION("""COMPUTED_VALUE"""),"")</f>
        <v/>
      </c>
      <c r="O1392" s="250" t="str">
        <f>IFERROR(__xludf.DUMMYFUNCTION("""COMPUTED_VALUE"""),"")</f>
        <v/>
      </c>
      <c r="P1392" s="250" t="str">
        <f>IFERROR(__xludf.DUMMYFUNCTION("""COMPUTED_VALUE"""),"")</f>
        <v/>
      </c>
      <c r="Q1392" s="250" t="str">
        <f>IFERROR(__xludf.DUMMYFUNCTION("""COMPUTED_VALUE"""),"")</f>
        <v/>
      </c>
      <c r="R1392" s="250" t="str">
        <f>IFERROR(__xludf.DUMMYFUNCTION("""COMPUTED_VALUE"""),"")</f>
        <v/>
      </c>
      <c r="U1392" s="250" t="str">
        <f>IFERROR(__xludf.DUMMYFUNCTION("""COMPUTED_VALUE"""),"#N/A")</f>
        <v>#N/A</v>
      </c>
      <c r="V1392" s="250" t="str">
        <f>IFERROR(__xludf.DUMMYFUNCTION("""COMPUTED_VALUE"""),"#N/A")</f>
        <v>#N/A</v>
      </c>
      <c r="W1392" s="250" t="str">
        <f>IFERROR(__xludf.DUMMYFUNCTION("""COMPUTED_VALUE"""),"#N/A")</f>
        <v>#N/A</v>
      </c>
      <c r="X1392" t="b">
        <f t="shared" ref="X1392:Z1392" si="2760">ISBLANK(K1392)</f>
        <v>1</v>
      </c>
      <c r="Y1392" t="b">
        <f t="shared" si="2760"/>
        <v>0</v>
      </c>
      <c r="Z1392" t="b">
        <f t="shared" si="2760"/>
        <v>0</v>
      </c>
      <c r="AA1392">
        <f t="shared" ref="AA1392:AC1392" si="2761">IF(X1392=FALSE,1,0)</f>
        <v>0</v>
      </c>
      <c r="AB1392">
        <f t="shared" si="2761"/>
        <v>1</v>
      </c>
      <c r="AC1392">
        <f t="shared" si="2761"/>
        <v>1</v>
      </c>
      <c r="AD1392">
        <f t="shared" si="6"/>
        <v>2</v>
      </c>
      <c r="AE1392">
        <f t="shared" si="7"/>
        <v>1</v>
      </c>
    </row>
    <row r="1393">
      <c r="B1393" t="str">
        <f>IFERROR(__xludf.DUMMYFUNCTION("""COMPUTED_VALUE"""),"")</f>
        <v/>
      </c>
      <c r="C1393" t="str">
        <f>IFERROR(__xludf.DUMMYFUNCTION("""COMPUTED_VALUE"""),"")</f>
        <v/>
      </c>
      <c r="D1393" t="str">
        <f>IFERROR(__xludf.DUMMYFUNCTION("""COMPUTED_VALUE"""),"")</f>
        <v/>
      </c>
      <c r="E1393" t="str">
        <f>IFERROR(__xludf.DUMMYFUNCTION("""COMPUTED_VALUE"""),"")</f>
        <v/>
      </c>
      <c r="F1393" t="str">
        <f>IFERROR(__xludf.DUMMYFUNCTION("""COMPUTED_VALUE"""),"")</f>
        <v/>
      </c>
      <c r="G1393" t="str">
        <f>IFERROR(__xludf.DUMMYFUNCTION("""COMPUTED_VALUE"""),"")</f>
        <v/>
      </c>
      <c r="H1393" t="str">
        <f>IFERROR(__xludf.DUMMYFUNCTION("""COMPUTED_VALUE"""),"")</f>
        <v/>
      </c>
      <c r="I1393" t="str">
        <f>IFERROR(__xludf.DUMMYFUNCTION("""COMPUTED_VALUE"""),"")</f>
        <v/>
      </c>
      <c r="J1393">
        <f>IFERROR(__xludf.DUMMYFUNCTION("""COMPUTED_VALUE"""),0.0)</f>
        <v>0</v>
      </c>
      <c r="L1393" s="250" t="str">
        <f>IFERROR(__xludf.DUMMYFUNCTION("""COMPUTED_VALUE"""),"")</f>
        <v/>
      </c>
      <c r="M1393" s="250" t="str">
        <f>IFERROR(__xludf.DUMMYFUNCTION("""COMPUTED_VALUE"""),"")</f>
        <v/>
      </c>
      <c r="N1393" s="250" t="str">
        <f>IFERROR(__xludf.DUMMYFUNCTION("""COMPUTED_VALUE"""),"")</f>
        <v/>
      </c>
      <c r="O1393" s="250" t="str">
        <f>IFERROR(__xludf.DUMMYFUNCTION("""COMPUTED_VALUE"""),"")</f>
        <v/>
      </c>
      <c r="P1393" s="250" t="str">
        <f>IFERROR(__xludf.DUMMYFUNCTION("""COMPUTED_VALUE"""),"")</f>
        <v/>
      </c>
      <c r="Q1393" s="250" t="str">
        <f>IFERROR(__xludf.DUMMYFUNCTION("""COMPUTED_VALUE"""),"")</f>
        <v/>
      </c>
      <c r="R1393" s="250" t="str">
        <f>IFERROR(__xludf.DUMMYFUNCTION("""COMPUTED_VALUE"""),"")</f>
        <v/>
      </c>
      <c r="U1393" s="250" t="str">
        <f>IFERROR(__xludf.DUMMYFUNCTION("""COMPUTED_VALUE"""),"#N/A")</f>
        <v>#N/A</v>
      </c>
      <c r="V1393" s="250" t="str">
        <f>IFERROR(__xludf.DUMMYFUNCTION("""COMPUTED_VALUE"""),"#N/A")</f>
        <v>#N/A</v>
      </c>
      <c r="W1393" s="250" t="str">
        <f>IFERROR(__xludf.DUMMYFUNCTION("""COMPUTED_VALUE"""),"#N/A")</f>
        <v>#N/A</v>
      </c>
      <c r="X1393" t="b">
        <f t="shared" ref="X1393:Z1393" si="2762">ISBLANK(K1393)</f>
        <v>1</v>
      </c>
      <c r="Y1393" t="b">
        <f t="shared" si="2762"/>
        <v>0</v>
      </c>
      <c r="Z1393" t="b">
        <f t="shared" si="2762"/>
        <v>0</v>
      </c>
      <c r="AA1393">
        <f t="shared" ref="AA1393:AC1393" si="2763">IF(X1393=FALSE,1,0)</f>
        <v>0</v>
      </c>
      <c r="AB1393">
        <f t="shared" si="2763"/>
        <v>1</v>
      </c>
      <c r="AC1393">
        <f t="shared" si="2763"/>
        <v>1</v>
      </c>
      <c r="AD1393">
        <f t="shared" si="6"/>
        <v>2</v>
      </c>
      <c r="AE1393">
        <f t="shared" si="7"/>
        <v>1</v>
      </c>
    </row>
    <row r="1394">
      <c r="B1394" t="str">
        <f>IFERROR(__xludf.DUMMYFUNCTION("""COMPUTED_VALUE"""),"")</f>
        <v/>
      </c>
      <c r="C1394" t="str">
        <f>IFERROR(__xludf.DUMMYFUNCTION("""COMPUTED_VALUE"""),"")</f>
        <v/>
      </c>
      <c r="D1394" t="str">
        <f>IFERROR(__xludf.DUMMYFUNCTION("""COMPUTED_VALUE"""),"")</f>
        <v/>
      </c>
      <c r="E1394" t="str">
        <f>IFERROR(__xludf.DUMMYFUNCTION("""COMPUTED_VALUE"""),"")</f>
        <v/>
      </c>
      <c r="F1394" t="str">
        <f>IFERROR(__xludf.DUMMYFUNCTION("""COMPUTED_VALUE"""),"")</f>
        <v/>
      </c>
      <c r="G1394" t="str">
        <f>IFERROR(__xludf.DUMMYFUNCTION("""COMPUTED_VALUE"""),"")</f>
        <v/>
      </c>
      <c r="H1394" t="str">
        <f>IFERROR(__xludf.DUMMYFUNCTION("""COMPUTED_VALUE"""),"")</f>
        <v/>
      </c>
      <c r="I1394" t="str">
        <f>IFERROR(__xludf.DUMMYFUNCTION("""COMPUTED_VALUE"""),"")</f>
        <v/>
      </c>
      <c r="J1394">
        <f>IFERROR(__xludf.DUMMYFUNCTION("""COMPUTED_VALUE"""),0.0)</f>
        <v>0</v>
      </c>
      <c r="L1394" s="250" t="str">
        <f>IFERROR(__xludf.DUMMYFUNCTION("""COMPUTED_VALUE"""),"")</f>
        <v/>
      </c>
      <c r="M1394" s="250" t="str">
        <f>IFERROR(__xludf.DUMMYFUNCTION("""COMPUTED_VALUE"""),"")</f>
        <v/>
      </c>
      <c r="N1394" s="250" t="str">
        <f>IFERROR(__xludf.DUMMYFUNCTION("""COMPUTED_VALUE"""),"")</f>
        <v/>
      </c>
      <c r="O1394" s="250" t="str">
        <f>IFERROR(__xludf.DUMMYFUNCTION("""COMPUTED_VALUE"""),"")</f>
        <v/>
      </c>
      <c r="P1394" s="250" t="str">
        <f>IFERROR(__xludf.DUMMYFUNCTION("""COMPUTED_VALUE"""),"")</f>
        <v/>
      </c>
      <c r="Q1394" s="250" t="str">
        <f>IFERROR(__xludf.DUMMYFUNCTION("""COMPUTED_VALUE"""),"")</f>
        <v/>
      </c>
      <c r="R1394" s="250" t="str">
        <f>IFERROR(__xludf.DUMMYFUNCTION("""COMPUTED_VALUE"""),"")</f>
        <v/>
      </c>
      <c r="U1394" s="250" t="str">
        <f>IFERROR(__xludf.DUMMYFUNCTION("""COMPUTED_VALUE"""),"#N/A")</f>
        <v>#N/A</v>
      </c>
      <c r="V1394" s="250" t="str">
        <f>IFERROR(__xludf.DUMMYFUNCTION("""COMPUTED_VALUE"""),"#N/A")</f>
        <v>#N/A</v>
      </c>
      <c r="W1394" s="250" t="str">
        <f>IFERROR(__xludf.DUMMYFUNCTION("""COMPUTED_VALUE"""),"#N/A")</f>
        <v>#N/A</v>
      </c>
      <c r="X1394" t="b">
        <f t="shared" ref="X1394:Z1394" si="2764">ISBLANK(K1394)</f>
        <v>1</v>
      </c>
      <c r="Y1394" t="b">
        <f t="shared" si="2764"/>
        <v>0</v>
      </c>
      <c r="Z1394" t="b">
        <f t="shared" si="2764"/>
        <v>0</v>
      </c>
      <c r="AA1394">
        <f t="shared" ref="AA1394:AC1394" si="2765">IF(X1394=FALSE,1,0)</f>
        <v>0</v>
      </c>
      <c r="AB1394">
        <f t="shared" si="2765"/>
        <v>1</v>
      </c>
      <c r="AC1394">
        <f t="shared" si="2765"/>
        <v>1</v>
      </c>
      <c r="AD1394">
        <f t="shared" si="6"/>
        <v>2</v>
      </c>
      <c r="AE1394">
        <f t="shared" si="7"/>
        <v>1</v>
      </c>
    </row>
    <row r="1395">
      <c r="B1395" t="str">
        <f>IFERROR(__xludf.DUMMYFUNCTION("""COMPUTED_VALUE"""),"")</f>
        <v/>
      </c>
      <c r="C1395" t="str">
        <f>IFERROR(__xludf.DUMMYFUNCTION("""COMPUTED_VALUE"""),"")</f>
        <v/>
      </c>
      <c r="D1395" t="str">
        <f>IFERROR(__xludf.DUMMYFUNCTION("""COMPUTED_VALUE"""),"")</f>
        <v/>
      </c>
      <c r="E1395" t="str">
        <f>IFERROR(__xludf.DUMMYFUNCTION("""COMPUTED_VALUE"""),"")</f>
        <v/>
      </c>
      <c r="F1395" t="str">
        <f>IFERROR(__xludf.DUMMYFUNCTION("""COMPUTED_VALUE"""),"")</f>
        <v/>
      </c>
      <c r="G1395" t="str">
        <f>IFERROR(__xludf.DUMMYFUNCTION("""COMPUTED_VALUE"""),"")</f>
        <v/>
      </c>
      <c r="H1395" t="str">
        <f>IFERROR(__xludf.DUMMYFUNCTION("""COMPUTED_VALUE"""),"")</f>
        <v/>
      </c>
      <c r="I1395" t="str">
        <f>IFERROR(__xludf.DUMMYFUNCTION("""COMPUTED_VALUE"""),"")</f>
        <v/>
      </c>
      <c r="J1395">
        <f>IFERROR(__xludf.DUMMYFUNCTION("""COMPUTED_VALUE"""),0.0)</f>
        <v>0</v>
      </c>
      <c r="L1395" s="250" t="str">
        <f>IFERROR(__xludf.DUMMYFUNCTION("""COMPUTED_VALUE"""),"")</f>
        <v/>
      </c>
      <c r="M1395" s="250" t="str">
        <f>IFERROR(__xludf.DUMMYFUNCTION("""COMPUTED_VALUE"""),"")</f>
        <v/>
      </c>
      <c r="N1395" s="250" t="str">
        <f>IFERROR(__xludf.DUMMYFUNCTION("""COMPUTED_VALUE"""),"")</f>
        <v/>
      </c>
      <c r="O1395" s="250" t="str">
        <f>IFERROR(__xludf.DUMMYFUNCTION("""COMPUTED_VALUE"""),"")</f>
        <v/>
      </c>
      <c r="P1395" s="250" t="str">
        <f>IFERROR(__xludf.DUMMYFUNCTION("""COMPUTED_VALUE"""),"")</f>
        <v/>
      </c>
      <c r="Q1395" s="250" t="str">
        <f>IFERROR(__xludf.DUMMYFUNCTION("""COMPUTED_VALUE"""),"")</f>
        <v/>
      </c>
      <c r="R1395" s="250" t="str">
        <f>IFERROR(__xludf.DUMMYFUNCTION("""COMPUTED_VALUE"""),"")</f>
        <v/>
      </c>
      <c r="U1395" s="250" t="str">
        <f>IFERROR(__xludf.DUMMYFUNCTION("""COMPUTED_VALUE"""),"#N/A")</f>
        <v>#N/A</v>
      </c>
      <c r="V1395" s="250" t="str">
        <f>IFERROR(__xludf.DUMMYFUNCTION("""COMPUTED_VALUE"""),"#N/A")</f>
        <v>#N/A</v>
      </c>
      <c r="W1395" s="250" t="str">
        <f>IFERROR(__xludf.DUMMYFUNCTION("""COMPUTED_VALUE"""),"#N/A")</f>
        <v>#N/A</v>
      </c>
      <c r="X1395" t="b">
        <f t="shared" ref="X1395:Z1395" si="2766">ISBLANK(K1395)</f>
        <v>1</v>
      </c>
      <c r="Y1395" t="b">
        <f t="shared" si="2766"/>
        <v>0</v>
      </c>
      <c r="Z1395" t="b">
        <f t="shared" si="2766"/>
        <v>0</v>
      </c>
      <c r="AA1395">
        <f t="shared" ref="AA1395:AC1395" si="2767">IF(X1395=FALSE,1,0)</f>
        <v>0</v>
      </c>
      <c r="AB1395">
        <f t="shared" si="2767"/>
        <v>1</v>
      </c>
      <c r="AC1395">
        <f t="shared" si="2767"/>
        <v>1</v>
      </c>
      <c r="AD1395">
        <f t="shared" si="6"/>
        <v>2</v>
      </c>
      <c r="AE1395">
        <f t="shared" si="7"/>
        <v>1</v>
      </c>
    </row>
    <row r="1396">
      <c r="B1396" t="str">
        <f>IFERROR(__xludf.DUMMYFUNCTION("""COMPUTED_VALUE"""),"")</f>
        <v/>
      </c>
      <c r="C1396" t="str">
        <f>IFERROR(__xludf.DUMMYFUNCTION("""COMPUTED_VALUE"""),"")</f>
        <v/>
      </c>
      <c r="D1396" t="str">
        <f>IFERROR(__xludf.DUMMYFUNCTION("""COMPUTED_VALUE"""),"")</f>
        <v/>
      </c>
      <c r="E1396" t="str">
        <f>IFERROR(__xludf.DUMMYFUNCTION("""COMPUTED_VALUE"""),"")</f>
        <v/>
      </c>
      <c r="F1396" t="str">
        <f>IFERROR(__xludf.DUMMYFUNCTION("""COMPUTED_VALUE"""),"")</f>
        <v/>
      </c>
      <c r="G1396" t="str">
        <f>IFERROR(__xludf.DUMMYFUNCTION("""COMPUTED_VALUE"""),"")</f>
        <v/>
      </c>
      <c r="H1396" t="str">
        <f>IFERROR(__xludf.DUMMYFUNCTION("""COMPUTED_VALUE"""),"")</f>
        <v/>
      </c>
      <c r="I1396" t="str">
        <f>IFERROR(__xludf.DUMMYFUNCTION("""COMPUTED_VALUE"""),"")</f>
        <v/>
      </c>
      <c r="J1396">
        <f>IFERROR(__xludf.DUMMYFUNCTION("""COMPUTED_VALUE"""),0.0)</f>
        <v>0</v>
      </c>
      <c r="L1396" s="250" t="str">
        <f>IFERROR(__xludf.DUMMYFUNCTION("""COMPUTED_VALUE"""),"")</f>
        <v/>
      </c>
      <c r="M1396" s="250" t="str">
        <f>IFERROR(__xludf.DUMMYFUNCTION("""COMPUTED_VALUE"""),"")</f>
        <v/>
      </c>
      <c r="N1396" s="250" t="str">
        <f>IFERROR(__xludf.DUMMYFUNCTION("""COMPUTED_VALUE"""),"")</f>
        <v/>
      </c>
      <c r="O1396" s="250" t="str">
        <f>IFERROR(__xludf.DUMMYFUNCTION("""COMPUTED_VALUE"""),"")</f>
        <v/>
      </c>
      <c r="P1396" s="250" t="str">
        <f>IFERROR(__xludf.DUMMYFUNCTION("""COMPUTED_VALUE"""),"")</f>
        <v/>
      </c>
      <c r="Q1396" s="250" t="str">
        <f>IFERROR(__xludf.DUMMYFUNCTION("""COMPUTED_VALUE"""),"")</f>
        <v/>
      </c>
      <c r="R1396" s="250" t="str">
        <f>IFERROR(__xludf.DUMMYFUNCTION("""COMPUTED_VALUE"""),"")</f>
        <v/>
      </c>
      <c r="U1396" s="250" t="str">
        <f>IFERROR(__xludf.DUMMYFUNCTION("""COMPUTED_VALUE"""),"#N/A")</f>
        <v>#N/A</v>
      </c>
      <c r="V1396" s="250" t="str">
        <f>IFERROR(__xludf.DUMMYFUNCTION("""COMPUTED_VALUE"""),"#N/A")</f>
        <v>#N/A</v>
      </c>
      <c r="W1396" s="250" t="str">
        <f>IFERROR(__xludf.DUMMYFUNCTION("""COMPUTED_VALUE"""),"#N/A")</f>
        <v>#N/A</v>
      </c>
      <c r="X1396" t="b">
        <f t="shared" ref="X1396:Z1396" si="2768">ISBLANK(K1396)</f>
        <v>1</v>
      </c>
      <c r="Y1396" t="b">
        <f t="shared" si="2768"/>
        <v>0</v>
      </c>
      <c r="Z1396" t="b">
        <f t="shared" si="2768"/>
        <v>0</v>
      </c>
      <c r="AA1396">
        <f t="shared" ref="AA1396:AC1396" si="2769">IF(X1396=FALSE,1,0)</f>
        <v>0</v>
      </c>
      <c r="AB1396">
        <f t="shared" si="2769"/>
        <v>1</v>
      </c>
      <c r="AC1396">
        <f t="shared" si="2769"/>
        <v>1</v>
      </c>
      <c r="AD1396">
        <f t="shared" si="6"/>
        <v>2</v>
      </c>
      <c r="AE1396">
        <f t="shared" si="7"/>
        <v>1</v>
      </c>
    </row>
    <row r="1397">
      <c r="B1397" t="str">
        <f>IFERROR(__xludf.DUMMYFUNCTION("""COMPUTED_VALUE"""),"")</f>
        <v/>
      </c>
      <c r="C1397" t="str">
        <f>IFERROR(__xludf.DUMMYFUNCTION("""COMPUTED_VALUE"""),"")</f>
        <v/>
      </c>
      <c r="D1397" t="str">
        <f>IFERROR(__xludf.DUMMYFUNCTION("""COMPUTED_VALUE"""),"")</f>
        <v/>
      </c>
      <c r="E1397" t="str">
        <f>IFERROR(__xludf.DUMMYFUNCTION("""COMPUTED_VALUE"""),"")</f>
        <v/>
      </c>
      <c r="F1397" t="str">
        <f>IFERROR(__xludf.DUMMYFUNCTION("""COMPUTED_VALUE"""),"")</f>
        <v/>
      </c>
      <c r="G1397" t="str">
        <f>IFERROR(__xludf.DUMMYFUNCTION("""COMPUTED_VALUE"""),"")</f>
        <v/>
      </c>
      <c r="H1397" t="str">
        <f>IFERROR(__xludf.DUMMYFUNCTION("""COMPUTED_VALUE"""),"")</f>
        <v/>
      </c>
      <c r="I1397" t="str">
        <f>IFERROR(__xludf.DUMMYFUNCTION("""COMPUTED_VALUE"""),"")</f>
        <v/>
      </c>
      <c r="J1397">
        <f>IFERROR(__xludf.DUMMYFUNCTION("""COMPUTED_VALUE"""),0.0)</f>
        <v>0</v>
      </c>
      <c r="L1397" s="250" t="str">
        <f>IFERROR(__xludf.DUMMYFUNCTION("""COMPUTED_VALUE"""),"")</f>
        <v/>
      </c>
      <c r="M1397" s="250" t="str">
        <f>IFERROR(__xludf.DUMMYFUNCTION("""COMPUTED_VALUE"""),"")</f>
        <v/>
      </c>
      <c r="N1397" s="250" t="str">
        <f>IFERROR(__xludf.DUMMYFUNCTION("""COMPUTED_VALUE"""),"")</f>
        <v/>
      </c>
      <c r="O1397" s="250" t="str">
        <f>IFERROR(__xludf.DUMMYFUNCTION("""COMPUTED_VALUE"""),"")</f>
        <v/>
      </c>
      <c r="P1397" s="250" t="str">
        <f>IFERROR(__xludf.DUMMYFUNCTION("""COMPUTED_VALUE"""),"")</f>
        <v/>
      </c>
      <c r="Q1397" s="250" t="str">
        <f>IFERROR(__xludf.DUMMYFUNCTION("""COMPUTED_VALUE"""),"")</f>
        <v/>
      </c>
      <c r="R1397" s="250" t="str">
        <f>IFERROR(__xludf.DUMMYFUNCTION("""COMPUTED_VALUE"""),"")</f>
        <v/>
      </c>
      <c r="U1397" s="250" t="str">
        <f>IFERROR(__xludf.DUMMYFUNCTION("""COMPUTED_VALUE"""),"#N/A")</f>
        <v>#N/A</v>
      </c>
      <c r="V1397" s="250" t="str">
        <f>IFERROR(__xludf.DUMMYFUNCTION("""COMPUTED_VALUE"""),"#N/A")</f>
        <v>#N/A</v>
      </c>
      <c r="W1397" s="250" t="str">
        <f>IFERROR(__xludf.DUMMYFUNCTION("""COMPUTED_VALUE"""),"#N/A")</f>
        <v>#N/A</v>
      </c>
      <c r="X1397" t="b">
        <f t="shared" ref="X1397:Z1397" si="2770">ISBLANK(K1397)</f>
        <v>1</v>
      </c>
      <c r="Y1397" t="b">
        <f t="shared" si="2770"/>
        <v>0</v>
      </c>
      <c r="Z1397" t="b">
        <f t="shared" si="2770"/>
        <v>0</v>
      </c>
      <c r="AA1397">
        <f t="shared" ref="AA1397:AC1397" si="2771">IF(X1397=FALSE,1,0)</f>
        <v>0</v>
      </c>
      <c r="AB1397">
        <f t="shared" si="2771"/>
        <v>1</v>
      </c>
      <c r="AC1397">
        <f t="shared" si="2771"/>
        <v>1</v>
      </c>
      <c r="AD1397">
        <f t="shared" si="6"/>
        <v>2</v>
      </c>
      <c r="AE1397">
        <f t="shared" si="7"/>
        <v>1</v>
      </c>
    </row>
    <row r="1398">
      <c r="B1398" t="str">
        <f>IFERROR(__xludf.DUMMYFUNCTION("""COMPUTED_VALUE"""),"")</f>
        <v/>
      </c>
      <c r="C1398" t="str">
        <f>IFERROR(__xludf.DUMMYFUNCTION("""COMPUTED_VALUE"""),"")</f>
        <v/>
      </c>
      <c r="D1398" t="str">
        <f>IFERROR(__xludf.DUMMYFUNCTION("""COMPUTED_VALUE"""),"")</f>
        <v/>
      </c>
      <c r="E1398" t="str">
        <f>IFERROR(__xludf.DUMMYFUNCTION("""COMPUTED_VALUE"""),"")</f>
        <v/>
      </c>
      <c r="F1398" t="str">
        <f>IFERROR(__xludf.DUMMYFUNCTION("""COMPUTED_VALUE"""),"")</f>
        <v/>
      </c>
      <c r="G1398" t="str">
        <f>IFERROR(__xludf.DUMMYFUNCTION("""COMPUTED_VALUE"""),"")</f>
        <v/>
      </c>
      <c r="H1398" t="str">
        <f>IFERROR(__xludf.DUMMYFUNCTION("""COMPUTED_VALUE"""),"")</f>
        <v/>
      </c>
      <c r="I1398" t="str">
        <f>IFERROR(__xludf.DUMMYFUNCTION("""COMPUTED_VALUE"""),"")</f>
        <v/>
      </c>
      <c r="J1398">
        <f>IFERROR(__xludf.DUMMYFUNCTION("""COMPUTED_VALUE"""),0.0)</f>
        <v>0</v>
      </c>
      <c r="L1398" s="250" t="str">
        <f>IFERROR(__xludf.DUMMYFUNCTION("""COMPUTED_VALUE"""),"")</f>
        <v/>
      </c>
      <c r="M1398" s="250" t="str">
        <f>IFERROR(__xludf.DUMMYFUNCTION("""COMPUTED_VALUE"""),"")</f>
        <v/>
      </c>
      <c r="N1398" s="250" t="str">
        <f>IFERROR(__xludf.DUMMYFUNCTION("""COMPUTED_VALUE"""),"")</f>
        <v/>
      </c>
      <c r="O1398" s="250" t="str">
        <f>IFERROR(__xludf.DUMMYFUNCTION("""COMPUTED_VALUE"""),"")</f>
        <v/>
      </c>
      <c r="P1398" s="250" t="str">
        <f>IFERROR(__xludf.DUMMYFUNCTION("""COMPUTED_VALUE"""),"")</f>
        <v/>
      </c>
      <c r="Q1398" s="250" t="str">
        <f>IFERROR(__xludf.DUMMYFUNCTION("""COMPUTED_VALUE"""),"")</f>
        <v/>
      </c>
      <c r="R1398" s="250" t="str">
        <f>IFERROR(__xludf.DUMMYFUNCTION("""COMPUTED_VALUE"""),"")</f>
        <v/>
      </c>
      <c r="U1398" s="250" t="str">
        <f>IFERROR(__xludf.DUMMYFUNCTION("""COMPUTED_VALUE"""),"#N/A")</f>
        <v>#N/A</v>
      </c>
      <c r="V1398" s="250" t="str">
        <f>IFERROR(__xludf.DUMMYFUNCTION("""COMPUTED_VALUE"""),"#N/A")</f>
        <v>#N/A</v>
      </c>
      <c r="W1398" s="250" t="str">
        <f>IFERROR(__xludf.DUMMYFUNCTION("""COMPUTED_VALUE"""),"#N/A")</f>
        <v>#N/A</v>
      </c>
      <c r="X1398" t="b">
        <f t="shared" ref="X1398:Z1398" si="2772">ISBLANK(K1398)</f>
        <v>1</v>
      </c>
      <c r="Y1398" t="b">
        <f t="shared" si="2772"/>
        <v>0</v>
      </c>
      <c r="Z1398" t="b">
        <f t="shared" si="2772"/>
        <v>0</v>
      </c>
      <c r="AA1398">
        <f t="shared" ref="AA1398:AC1398" si="2773">IF(X1398=FALSE,1,0)</f>
        <v>0</v>
      </c>
      <c r="AB1398">
        <f t="shared" si="2773"/>
        <v>1</v>
      </c>
      <c r="AC1398">
        <f t="shared" si="2773"/>
        <v>1</v>
      </c>
      <c r="AD1398">
        <f t="shared" si="6"/>
        <v>2</v>
      </c>
      <c r="AE1398">
        <f t="shared" si="7"/>
        <v>1</v>
      </c>
    </row>
    <row r="1399">
      <c r="B1399" t="str">
        <f>IFERROR(__xludf.DUMMYFUNCTION("""COMPUTED_VALUE"""),"")</f>
        <v/>
      </c>
      <c r="C1399" t="str">
        <f>IFERROR(__xludf.DUMMYFUNCTION("""COMPUTED_VALUE"""),"")</f>
        <v/>
      </c>
      <c r="D1399" t="str">
        <f>IFERROR(__xludf.DUMMYFUNCTION("""COMPUTED_VALUE"""),"")</f>
        <v/>
      </c>
      <c r="E1399" t="str">
        <f>IFERROR(__xludf.DUMMYFUNCTION("""COMPUTED_VALUE"""),"")</f>
        <v/>
      </c>
      <c r="F1399" t="str">
        <f>IFERROR(__xludf.DUMMYFUNCTION("""COMPUTED_VALUE"""),"")</f>
        <v/>
      </c>
      <c r="G1399" t="str">
        <f>IFERROR(__xludf.DUMMYFUNCTION("""COMPUTED_VALUE"""),"")</f>
        <v/>
      </c>
      <c r="H1399" t="str">
        <f>IFERROR(__xludf.DUMMYFUNCTION("""COMPUTED_VALUE"""),"")</f>
        <v/>
      </c>
      <c r="I1399" t="str">
        <f>IFERROR(__xludf.DUMMYFUNCTION("""COMPUTED_VALUE"""),"")</f>
        <v/>
      </c>
      <c r="J1399">
        <f>IFERROR(__xludf.DUMMYFUNCTION("""COMPUTED_VALUE"""),0.0)</f>
        <v>0</v>
      </c>
      <c r="L1399" s="250" t="str">
        <f>IFERROR(__xludf.DUMMYFUNCTION("""COMPUTED_VALUE"""),"")</f>
        <v/>
      </c>
      <c r="M1399" s="250" t="str">
        <f>IFERROR(__xludf.DUMMYFUNCTION("""COMPUTED_VALUE"""),"")</f>
        <v/>
      </c>
      <c r="N1399" s="250" t="str">
        <f>IFERROR(__xludf.DUMMYFUNCTION("""COMPUTED_VALUE"""),"")</f>
        <v/>
      </c>
      <c r="O1399" s="250" t="str">
        <f>IFERROR(__xludf.DUMMYFUNCTION("""COMPUTED_VALUE"""),"")</f>
        <v/>
      </c>
      <c r="P1399" s="250" t="str">
        <f>IFERROR(__xludf.DUMMYFUNCTION("""COMPUTED_VALUE"""),"")</f>
        <v/>
      </c>
      <c r="Q1399" s="250" t="str">
        <f>IFERROR(__xludf.DUMMYFUNCTION("""COMPUTED_VALUE"""),"")</f>
        <v/>
      </c>
      <c r="R1399" s="250" t="str">
        <f>IFERROR(__xludf.DUMMYFUNCTION("""COMPUTED_VALUE"""),"")</f>
        <v/>
      </c>
      <c r="U1399" s="250" t="str">
        <f>IFERROR(__xludf.DUMMYFUNCTION("""COMPUTED_VALUE"""),"#N/A")</f>
        <v>#N/A</v>
      </c>
      <c r="V1399" s="250" t="str">
        <f>IFERROR(__xludf.DUMMYFUNCTION("""COMPUTED_VALUE"""),"#N/A")</f>
        <v>#N/A</v>
      </c>
      <c r="W1399" s="250" t="str">
        <f>IFERROR(__xludf.DUMMYFUNCTION("""COMPUTED_VALUE"""),"#N/A")</f>
        <v>#N/A</v>
      </c>
      <c r="X1399" t="b">
        <f t="shared" ref="X1399:Z1399" si="2774">ISBLANK(K1399)</f>
        <v>1</v>
      </c>
      <c r="Y1399" t="b">
        <f t="shared" si="2774"/>
        <v>0</v>
      </c>
      <c r="Z1399" t="b">
        <f t="shared" si="2774"/>
        <v>0</v>
      </c>
      <c r="AA1399">
        <f t="shared" ref="AA1399:AC1399" si="2775">IF(X1399=FALSE,1,0)</f>
        <v>0</v>
      </c>
      <c r="AB1399">
        <f t="shared" si="2775"/>
        <v>1</v>
      </c>
      <c r="AC1399">
        <f t="shared" si="2775"/>
        <v>1</v>
      </c>
      <c r="AD1399">
        <f t="shared" si="6"/>
        <v>2</v>
      </c>
      <c r="AE1399">
        <f t="shared" si="7"/>
        <v>1</v>
      </c>
    </row>
    <row r="1400">
      <c r="B1400" t="str">
        <f>IFERROR(__xludf.DUMMYFUNCTION("""COMPUTED_VALUE"""),"")</f>
        <v/>
      </c>
      <c r="C1400" t="str">
        <f>IFERROR(__xludf.DUMMYFUNCTION("""COMPUTED_VALUE"""),"")</f>
        <v/>
      </c>
      <c r="D1400" t="str">
        <f>IFERROR(__xludf.DUMMYFUNCTION("""COMPUTED_VALUE"""),"")</f>
        <v/>
      </c>
      <c r="E1400" t="str">
        <f>IFERROR(__xludf.DUMMYFUNCTION("""COMPUTED_VALUE"""),"")</f>
        <v/>
      </c>
      <c r="F1400" t="str">
        <f>IFERROR(__xludf.DUMMYFUNCTION("""COMPUTED_VALUE"""),"")</f>
        <v/>
      </c>
      <c r="G1400" t="str">
        <f>IFERROR(__xludf.DUMMYFUNCTION("""COMPUTED_VALUE"""),"")</f>
        <v/>
      </c>
      <c r="H1400" t="str">
        <f>IFERROR(__xludf.DUMMYFUNCTION("""COMPUTED_VALUE"""),"")</f>
        <v/>
      </c>
      <c r="I1400" t="str">
        <f>IFERROR(__xludf.DUMMYFUNCTION("""COMPUTED_VALUE"""),"")</f>
        <v/>
      </c>
      <c r="J1400">
        <f>IFERROR(__xludf.DUMMYFUNCTION("""COMPUTED_VALUE"""),0.0)</f>
        <v>0</v>
      </c>
      <c r="L1400" s="250" t="str">
        <f>IFERROR(__xludf.DUMMYFUNCTION("""COMPUTED_VALUE"""),"")</f>
        <v/>
      </c>
      <c r="M1400" s="250" t="str">
        <f>IFERROR(__xludf.DUMMYFUNCTION("""COMPUTED_VALUE"""),"")</f>
        <v/>
      </c>
      <c r="N1400" s="250" t="str">
        <f>IFERROR(__xludf.DUMMYFUNCTION("""COMPUTED_VALUE"""),"")</f>
        <v/>
      </c>
      <c r="O1400" s="250" t="str">
        <f>IFERROR(__xludf.DUMMYFUNCTION("""COMPUTED_VALUE"""),"")</f>
        <v/>
      </c>
      <c r="P1400" s="250" t="str">
        <f>IFERROR(__xludf.DUMMYFUNCTION("""COMPUTED_VALUE"""),"")</f>
        <v/>
      </c>
      <c r="Q1400" s="250" t="str">
        <f>IFERROR(__xludf.DUMMYFUNCTION("""COMPUTED_VALUE"""),"")</f>
        <v/>
      </c>
      <c r="R1400" s="250" t="str">
        <f>IFERROR(__xludf.DUMMYFUNCTION("""COMPUTED_VALUE"""),"")</f>
        <v/>
      </c>
      <c r="U1400" s="250" t="str">
        <f>IFERROR(__xludf.DUMMYFUNCTION("""COMPUTED_VALUE"""),"#N/A")</f>
        <v>#N/A</v>
      </c>
      <c r="V1400" s="250" t="str">
        <f>IFERROR(__xludf.DUMMYFUNCTION("""COMPUTED_VALUE"""),"#N/A")</f>
        <v>#N/A</v>
      </c>
      <c r="W1400" s="250" t="str">
        <f>IFERROR(__xludf.DUMMYFUNCTION("""COMPUTED_VALUE"""),"#N/A")</f>
        <v>#N/A</v>
      </c>
      <c r="X1400" t="b">
        <f t="shared" ref="X1400:Z1400" si="2776">ISBLANK(K1400)</f>
        <v>1</v>
      </c>
      <c r="Y1400" t="b">
        <f t="shared" si="2776"/>
        <v>0</v>
      </c>
      <c r="Z1400" t="b">
        <f t="shared" si="2776"/>
        <v>0</v>
      </c>
      <c r="AA1400">
        <f t="shared" ref="AA1400:AC1400" si="2777">IF(X1400=FALSE,1,0)</f>
        <v>0</v>
      </c>
      <c r="AB1400">
        <f t="shared" si="2777"/>
        <v>1</v>
      </c>
      <c r="AC1400">
        <f t="shared" si="2777"/>
        <v>1</v>
      </c>
      <c r="AD1400">
        <f t="shared" si="6"/>
        <v>2</v>
      </c>
      <c r="AE1400">
        <f t="shared" si="7"/>
        <v>1</v>
      </c>
    </row>
    <row r="1401">
      <c r="B1401" t="str">
        <f>IFERROR(__xludf.DUMMYFUNCTION("""COMPUTED_VALUE"""),"")</f>
        <v/>
      </c>
      <c r="C1401" t="str">
        <f>IFERROR(__xludf.DUMMYFUNCTION("""COMPUTED_VALUE"""),"")</f>
        <v/>
      </c>
      <c r="D1401" t="str">
        <f>IFERROR(__xludf.DUMMYFUNCTION("""COMPUTED_VALUE"""),"")</f>
        <v/>
      </c>
      <c r="E1401" t="str">
        <f>IFERROR(__xludf.DUMMYFUNCTION("""COMPUTED_VALUE"""),"")</f>
        <v/>
      </c>
      <c r="F1401" t="str">
        <f>IFERROR(__xludf.DUMMYFUNCTION("""COMPUTED_VALUE"""),"")</f>
        <v/>
      </c>
      <c r="G1401" t="str">
        <f>IFERROR(__xludf.DUMMYFUNCTION("""COMPUTED_VALUE"""),"")</f>
        <v/>
      </c>
      <c r="H1401" t="str">
        <f>IFERROR(__xludf.DUMMYFUNCTION("""COMPUTED_VALUE"""),"")</f>
        <v/>
      </c>
      <c r="I1401" t="str">
        <f>IFERROR(__xludf.DUMMYFUNCTION("""COMPUTED_VALUE"""),"")</f>
        <v/>
      </c>
      <c r="J1401">
        <f>IFERROR(__xludf.DUMMYFUNCTION("""COMPUTED_VALUE"""),0.0)</f>
        <v>0</v>
      </c>
      <c r="L1401" s="250" t="str">
        <f>IFERROR(__xludf.DUMMYFUNCTION("""COMPUTED_VALUE"""),"")</f>
        <v/>
      </c>
      <c r="M1401" s="250" t="str">
        <f>IFERROR(__xludf.DUMMYFUNCTION("""COMPUTED_VALUE"""),"")</f>
        <v/>
      </c>
      <c r="N1401" s="250" t="str">
        <f>IFERROR(__xludf.DUMMYFUNCTION("""COMPUTED_VALUE"""),"")</f>
        <v/>
      </c>
      <c r="O1401" s="250" t="str">
        <f>IFERROR(__xludf.DUMMYFUNCTION("""COMPUTED_VALUE"""),"")</f>
        <v/>
      </c>
      <c r="P1401" s="250" t="str">
        <f>IFERROR(__xludf.DUMMYFUNCTION("""COMPUTED_VALUE"""),"")</f>
        <v/>
      </c>
      <c r="Q1401" s="250" t="str">
        <f>IFERROR(__xludf.DUMMYFUNCTION("""COMPUTED_VALUE"""),"")</f>
        <v/>
      </c>
      <c r="R1401" s="250" t="str">
        <f>IFERROR(__xludf.DUMMYFUNCTION("""COMPUTED_VALUE"""),"")</f>
        <v/>
      </c>
      <c r="U1401" s="250" t="str">
        <f>IFERROR(__xludf.DUMMYFUNCTION("""COMPUTED_VALUE"""),"#N/A")</f>
        <v>#N/A</v>
      </c>
      <c r="V1401" s="250" t="str">
        <f>IFERROR(__xludf.DUMMYFUNCTION("""COMPUTED_VALUE"""),"#N/A")</f>
        <v>#N/A</v>
      </c>
      <c r="W1401" s="250" t="str">
        <f>IFERROR(__xludf.DUMMYFUNCTION("""COMPUTED_VALUE"""),"#N/A")</f>
        <v>#N/A</v>
      </c>
      <c r="X1401" t="b">
        <f t="shared" ref="X1401:Z1401" si="2778">ISBLANK(K1401)</f>
        <v>1</v>
      </c>
      <c r="Y1401" t="b">
        <f t="shared" si="2778"/>
        <v>0</v>
      </c>
      <c r="Z1401" t="b">
        <f t="shared" si="2778"/>
        <v>0</v>
      </c>
      <c r="AA1401">
        <f t="shared" ref="AA1401:AC1401" si="2779">IF(X1401=FALSE,1,0)</f>
        <v>0</v>
      </c>
      <c r="AB1401">
        <f t="shared" si="2779"/>
        <v>1</v>
      </c>
      <c r="AC1401">
        <f t="shared" si="2779"/>
        <v>1</v>
      </c>
      <c r="AD1401">
        <f t="shared" si="6"/>
        <v>2</v>
      </c>
      <c r="AE1401">
        <f t="shared" si="7"/>
        <v>1</v>
      </c>
    </row>
    <row r="1402">
      <c r="B1402" t="str">
        <f>IFERROR(__xludf.DUMMYFUNCTION("""COMPUTED_VALUE"""),"")</f>
        <v/>
      </c>
      <c r="C1402" t="str">
        <f>IFERROR(__xludf.DUMMYFUNCTION("""COMPUTED_VALUE"""),"")</f>
        <v/>
      </c>
      <c r="D1402" t="str">
        <f>IFERROR(__xludf.DUMMYFUNCTION("""COMPUTED_VALUE"""),"")</f>
        <v/>
      </c>
      <c r="E1402" t="str">
        <f>IFERROR(__xludf.DUMMYFUNCTION("""COMPUTED_VALUE"""),"")</f>
        <v/>
      </c>
      <c r="F1402" t="str">
        <f>IFERROR(__xludf.DUMMYFUNCTION("""COMPUTED_VALUE"""),"")</f>
        <v/>
      </c>
      <c r="G1402" t="str">
        <f>IFERROR(__xludf.DUMMYFUNCTION("""COMPUTED_VALUE"""),"")</f>
        <v/>
      </c>
      <c r="H1402" t="str">
        <f>IFERROR(__xludf.DUMMYFUNCTION("""COMPUTED_VALUE"""),"")</f>
        <v/>
      </c>
      <c r="I1402" t="str">
        <f>IFERROR(__xludf.DUMMYFUNCTION("""COMPUTED_VALUE"""),"")</f>
        <v/>
      </c>
      <c r="J1402">
        <f>IFERROR(__xludf.DUMMYFUNCTION("""COMPUTED_VALUE"""),0.0)</f>
        <v>0</v>
      </c>
      <c r="L1402" s="250" t="str">
        <f>IFERROR(__xludf.DUMMYFUNCTION("""COMPUTED_VALUE"""),"")</f>
        <v/>
      </c>
      <c r="M1402" s="250" t="str">
        <f>IFERROR(__xludf.DUMMYFUNCTION("""COMPUTED_VALUE"""),"")</f>
        <v/>
      </c>
      <c r="N1402" s="250" t="str">
        <f>IFERROR(__xludf.DUMMYFUNCTION("""COMPUTED_VALUE"""),"")</f>
        <v/>
      </c>
      <c r="O1402" s="250" t="str">
        <f>IFERROR(__xludf.DUMMYFUNCTION("""COMPUTED_VALUE"""),"")</f>
        <v/>
      </c>
      <c r="P1402" s="250" t="str">
        <f>IFERROR(__xludf.DUMMYFUNCTION("""COMPUTED_VALUE"""),"")</f>
        <v/>
      </c>
      <c r="Q1402" s="250" t="str">
        <f>IFERROR(__xludf.DUMMYFUNCTION("""COMPUTED_VALUE"""),"")</f>
        <v/>
      </c>
      <c r="R1402" s="250" t="str">
        <f>IFERROR(__xludf.DUMMYFUNCTION("""COMPUTED_VALUE"""),"")</f>
        <v/>
      </c>
      <c r="U1402" s="250" t="str">
        <f>IFERROR(__xludf.DUMMYFUNCTION("""COMPUTED_VALUE"""),"#N/A")</f>
        <v>#N/A</v>
      </c>
      <c r="V1402" s="250" t="str">
        <f>IFERROR(__xludf.DUMMYFUNCTION("""COMPUTED_VALUE"""),"#N/A")</f>
        <v>#N/A</v>
      </c>
      <c r="W1402" s="250" t="str">
        <f>IFERROR(__xludf.DUMMYFUNCTION("""COMPUTED_VALUE"""),"#N/A")</f>
        <v>#N/A</v>
      </c>
      <c r="X1402" t="b">
        <f t="shared" ref="X1402:Z1402" si="2780">ISBLANK(K1402)</f>
        <v>1</v>
      </c>
      <c r="Y1402" t="b">
        <f t="shared" si="2780"/>
        <v>0</v>
      </c>
      <c r="Z1402" t="b">
        <f t="shared" si="2780"/>
        <v>0</v>
      </c>
      <c r="AA1402">
        <f t="shared" ref="AA1402:AC1402" si="2781">IF(X1402=FALSE,1,0)</f>
        <v>0</v>
      </c>
      <c r="AB1402">
        <f t="shared" si="2781"/>
        <v>1</v>
      </c>
      <c r="AC1402">
        <f t="shared" si="2781"/>
        <v>1</v>
      </c>
      <c r="AD1402">
        <f t="shared" si="6"/>
        <v>2</v>
      </c>
      <c r="AE1402">
        <f t="shared" si="7"/>
        <v>1</v>
      </c>
    </row>
    <row r="1403">
      <c r="B1403" t="str">
        <f>IFERROR(__xludf.DUMMYFUNCTION("""COMPUTED_VALUE"""),"")</f>
        <v/>
      </c>
      <c r="C1403" t="str">
        <f>IFERROR(__xludf.DUMMYFUNCTION("""COMPUTED_VALUE"""),"")</f>
        <v/>
      </c>
      <c r="D1403" t="str">
        <f>IFERROR(__xludf.DUMMYFUNCTION("""COMPUTED_VALUE"""),"")</f>
        <v/>
      </c>
      <c r="E1403" t="str">
        <f>IFERROR(__xludf.DUMMYFUNCTION("""COMPUTED_VALUE"""),"")</f>
        <v/>
      </c>
      <c r="F1403" t="str">
        <f>IFERROR(__xludf.DUMMYFUNCTION("""COMPUTED_VALUE"""),"")</f>
        <v/>
      </c>
      <c r="G1403" t="str">
        <f>IFERROR(__xludf.DUMMYFUNCTION("""COMPUTED_VALUE"""),"")</f>
        <v/>
      </c>
      <c r="H1403" t="str">
        <f>IFERROR(__xludf.DUMMYFUNCTION("""COMPUTED_VALUE"""),"")</f>
        <v/>
      </c>
      <c r="I1403" t="str">
        <f>IFERROR(__xludf.DUMMYFUNCTION("""COMPUTED_VALUE"""),"")</f>
        <v/>
      </c>
      <c r="J1403">
        <f>IFERROR(__xludf.DUMMYFUNCTION("""COMPUTED_VALUE"""),0.0)</f>
        <v>0</v>
      </c>
      <c r="L1403" s="250" t="str">
        <f>IFERROR(__xludf.DUMMYFUNCTION("""COMPUTED_VALUE"""),"")</f>
        <v/>
      </c>
      <c r="M1403" s="250" t="str">
        <f>IFERROR(__xludf.DUMMYFUNCTION("""COMPUTED_VALUE"""),"")</f>
        <v/>
      </c>
      <c r="N1403" s="250" t="str">
        <f>IFERROR(__xludf.DUMMYFUNCTION("""COMPUTED_VALUE"""),"")</f>
        <v/>
      </c>
      <c r="O1403" s="250" t="str">
        <f>IFERROR(__xludf.DUMMYFUNCTION("""COMPUTED_VALUE"""),"")</f>
        <v/>
      </c>
      <c r="P1403" s="250" t="str">
        <f>IFERROR(__xludf.DUMMYFUNCTION("""COMPUTED_VALUE"""),"")</f>
        <v/>
      </c>
      <c r="Q1403" s="250" t="str">
        <f>IFERROR(__xludf.DUMMYFUNCTION("""COMPUTED_VALUE"""),"")</f>
        <v/>
      </c>
      <c r="R1403" s="250" t="str">
        <f>IFERROR(__xludf.DUMMYFUNCTION("""COMPUTED_VALUE"""),"")</f>
        <v/>
      </c>
      <c r="U1403" s="250" t="str">
        <f>IFERROR(__xludf.DUMMYFUNCTION("""COMPUTED_VALUE"""),"#N/A")</f>
        <v>#N/A</v>
      </c>
      <c r="V1403" s="250" t="str">
        <f>IFERROR(__xludf.DUMMYFUNCTION("""COMPUTED_VALUE"""),"#N/A")</f>
        <v>#N/A</v>
      </c>
      <c r="W1403" s="250" t="str">
        <f>IFERROR(__xludf.DUMMYFUNCTION("""COMPUTED_VALUE"""),"#N/A")</f>
        <v>#N/A</v>
      </c>
      <c r="X1403" t="b">
        <f t="shared" ref="X1403:Z1403" si="2782">ISBLANK(K1403)</f>
        <v>1</v>
      </c>
      <c r="Y1403" t="b">
        <f t="shared" si="2782"/>
        <v>0</v>
      </c>
      <c r="Z1403" t="b">
        <f t="shared" si="2782"/>
        <v>0</v>
      </c>
      <c r="AA1403">
        <f t="shared" ref="AA1403:AC1403" si="2783">IF(X1403=FALSE,1,0)</f>
        <v>0</v>
      </c>
      <c r="AB1403">
        <f t="shared" si="2783"/>
        <v>1</v>
      </c>
      <c r="AC1403">
        <f t="shared" si="2783"/>
        <v>1</v>
      </c>
      <c r="AD1403">
        <f t="shared" si="6"/>
        <v>2</v>
      </c>
      <c r="AE1403">
        <f t="shared" si="7"/>
        <v>1</v>
      </c>
    </row>
    <row r="1404">
      <c r="B1404" t="str">
        <f>IFERROR(__xludf.DUMMYFUNCTION("""COMPUTED_VALUE"""),"")</f>
        <v/>
      </c>
      <c r="C1404" t="str">
        <f>IFERROR(__xludf.DUMMYFUNCTION("""COMPUTED_VALUE"""),"")</f>
        <v/>
      </c>
      <c r="D1404" t="str">
        <f>IFERROR(__xludf.DUMMYFUNCTION("""COMPUTED_VALUE"""),"")</f>
        <v/>
      </c>
      <c r="E1404" t="str">
        <f>IFERROR(__xludf.DUMMYFUNCTION("""COMPUTED_VALUE"""),"")</f>
        <v/>
      </c>
      <c r="F1404" t="str">
        <f>IFERROR(__xludf.DUMMYFUNCTION("""COMPUTED_VALUE"""),"")</f>
        <v/>
      </c>
      <c r="G1404" t="str">
        <f>IFERROR(__xludf.DUMMYFUNCTION("""COMPUTED_VALUE"""),"")</f>
        <v/>
      </c>
      <c r="H1404" t="str">
        <f>IFERROR(__xludf.DUMMYFUNCTION("""COMPUTED_VALUE"""),"")</f>
        <v/>
      </c>
      <c r="I1404" t="str">
        <f>IFERROR(__xludf.DUMMYFUNCTION("""COMPUTED_VALUE"""),"")</f>
        <v/>
      </c>
      <c r="J1404">
        <f>IFERROR(__xludf.DUMMYFUNCTION("""COMPUTED_VALUE"""),0.0)</f>
        <v>0</v>
      </c>
      <c r="L1404" s="250" t="str">
        <f>IFERROR(__xludf.DUMMYFUNCTION("""COMPUTED_VALUE"""),"")</f>
        <v/>
      </c>
      <c r="M1404" s="250" t="str">
        <f>IFERROR(__xludf.DUMMYFUNCTION("""COMPUTED_VALUE"""),"")</f>
        <v/>
      </c>
      <c r="N1404" s="250" t="str">
        <f>IFERROR(__xludf.DUMMYFUNCTION("""COMPUTED_VALUE"""),"")</f>
        <v/>
      </c>
      <c r="O1404" s="250" t="str">
        <f>IFERROR(__xludf.DUMMYFUNCTION("""COMPUTED_VALUE"""),"")</f>
        <v/>
      </c>
      <c r="P1404" s="250" t="str">
        <f>IFERROR(__xludf.DUMMYFUNCTION("""COMPUTED_VALUE"""),"")</f>
        <v/>
      </c>
      <c r="Q1404" s="250" t="str">
        <f>IFERROR(__xludf.DUMMYFUNCTION("""COMPUTED_VALUE"""),"")</f>
        <v/>
      </c>
      <c r="R1404" s="250" t="str">
        <f>IFERROR(__xludf.DUMMYFUNCTION("""COMPUTED_VALUE"""),"")</f>
        <v/>
      </c>
      <c r="U1404" s="250" t="str">
        <f>IFERROR(__xludf.DUMMYFUNCTION("""COMPUTED_VALUE"""),"#N/A")</f>
        <v>#N/A</v>
      </c>
      <c r="V1404" s="250" t="str">
        <f>IFERROR(__xludf.DUMMYFUNCTION("""COMPUTED_VALUE"""),"#N/A")</f>
        <v>#N/A</v>
      </c>
      <c r="W1404" s="250" t="str">
        <f>IFERROR(__xludf.DUMMYFUNCTION("""COMPUTED_VALUE"""),"#N/A")</f>
        <v>#N/A</v>
      </c>
      <c r="X1404" t="b">
        <f t="shared" ref="X1404:Z1404" si="2784">ISBLANK(K1404)</f>
        <v>1</v>
      </c>
      <c r="Y1404" t="b">
        <f t="shared" si="2784"/>
        <v>0</v>
      </c>
      <c r="Z1404" t="b">
        <f t="shared" si="2784"/>
        <v>0</v>
      </c>
      <c r="AA1404">
        <f t="shared" ref="AA1404:AC1404" si="2785">IF(X1404=FALSE,1,0)</f>
        <v>0</v>
      </c>
      <c r="AB1404">
        <f t="shared" si="2785"/>
        <v>1</v>
      </c>
      <c r="AC1404">
        <f t="shared" si="2785"/>
        <v>1</v>
      </c>
      <c r="AD1404">
        <f t="shared" si="6"/>
        <v>2</v>
      </c>
      <c r="AE1404">
        <f t="shared" si="7"/>
        <v>1</v>
      </c>
    </row>
    <row r="1405">
      <c r="B1405" t="str">
        <f>IFERROR(__xludf.DUMMYFUNCTION("""COMPUTED_VALUE"""),"")</f>
        <v/>
      </c>
      <c r="C1405" t="str">
        <f>IFERROR(__xludf.DUMMYFUNCTION("""COMPUTED_VALUE"""),"")</f>
        <v/>
      </c>
      <c r="D1405" t="str">
        <f>IFERROR(__xludf.DUMMYFUNCTION("""COMPUTED_VALUE"""),"")</f>
        <v/>
      </c>
      <c r="E1405" t="str">
        <f>IFERROR(__xludf.DUMMYFUNCTION("""COMPUTED_VALUE"""),"")</f>
        <v/>
      </c>
      <c r="F1405" t="str">
        <f>IFERROR(__xludf.DUMMYFUNCTION("""COMPUTED_VALUE"""),"")</f>
        <v/>
      </c>
      <c r="G1405" t="str">
        <f>IFERROR(__xludf.DUMMYFUNCTION("""COMPUTED_VALUE"""),"")</f>
        <v/>
      </c>
      <c r="H1405" t="str">
        <f>IFERROR(__xludf.DUMMYFUNCTION("""COMPUTED_VALUE"""),"")</f>
        <v/>
      </c>
      <c r="I1405" t="str">
        <f>IFERROR(__xludf.DUMMYFUNCTION("""COMPUTED_VALUE"""),"")</f>
        <v/>
      </c>
      <c r="J1405">
        <f>IFERROR(__xludf.DUMMYFUNCTION("""COMPUTED_VALUE"""),0.0)</f>
        <v>0</v>
      </c>
      <c r="L1405" s="250" t="str">
        <f>IFERROR(__xludf.DUMMYFUNCTION("""COMPUTED_VALUE"""),"")</f>
        <v/>
      </c>
      <c r="M1405" s="250" t="str">
        <f>IFERROR(__xludf.DUMMYFUNCTION("""COMPUTED_VALUE"""),"")</f>
        <v/>
      </c>
      <c r="N1405" s="250" t="str">
        <f>IFERROR(__xludf.DUMMYFUNCTION("""COMPUTED_VALUE"""),"")</f>
        <v/>
      </c>
      <c r="O1405" s="250" t="str">
        <f>IFERROR(__xludf.DUMMYFUNCTION("""COMPUTED_VALUE"""),"")</f>
        <v/>
      </c>
      <c r="P1405" s="250" t="str">
        <f>IFERROR(__xludf.DUMMYFUNCTION("""COMPUTED_VALUE"""),"")</f>
        <v/>
      </c>
      <c r="Q1405" s="250" t="str">
        <f>IFERROR(__xludf.DUMMYFUNCTION("""COMPUTED_VALUE"""),"")</f>
        <v/>
      </c>
      <c r="R1405" s="250" t="str">
        <f>IFERROR(__xludf.DUMMYFUNCTION("""COMPUTED_VALUE"""),"")</f>
        <v/>
      </c>
      <c r="U1405" s="250" t="str">
        <f>IFERROR(__xludf.DUMMYFUNCTION("""COMPUTED_VALUE"""),"#N/A")</f>
        <v>#N/A</v>
      </c>
      <c r="V1405" s="250" t="str">
        <f>IFERROR(__xludf.DUMMYFUNCTION("""COMPUTED_VALUE"""),"#N/A")</f>
        <v>#N/A</v>
      </c>
      <c r="W1405" s="250" t="str">
        <f>IFERROR(__xludf.DUMMYFUNCTION("""COMPUTED_VALUE"""),"#N/A")</f>
        <v>#N/A</v>
      </c>
      <c r="X1405" t="b">
        <f t="shared" ref="X1405:Z1405" si="2786">ISBLANK(K1405)</f>
        <v>1</v>
      </c>
      <c r="Y1405" t="b">
        <f t="shared" si="2786"/>
        <v>0</v>
      </c>
      <c r="Z1405" t="b">
        <f t="shared" si="2786"/>
        <v>0</v>
      </c>
      <c r="AA1405">
        <f t="shared" ref="AA1405:AC1405" si="2787">IF(X1405=FALSE,1,0)</f>
        <v>0</v>
      </c>
      <c r="AB1405">
        <f t="shared" si="2787"/>
        <v>1</v>
      </c>
      <c r="AC1405">
        <f t="shared" si="2787"/>
        <v>1</v>
      </c>
      <c r="AD1405">
        <f t="shared" si="6"/>
        <v>2</v>
      </c>
      <c r="AE1405">
        <f t="shared" si="7"/>
        <v>1</v>
      </c>
    </row>
    <row r="1406">
      <c r="B1406" t="str">
        <f>IFERROR(__xludf.DUMMYFUNCTION("""COMPUTED_VALUE"""),"")</f>
        <v/>
      </c>
      <c r="C1406" t="str">
        <f>IFERROR(__xludf.DUMMYFUNCTION("""COMPUTED_VALUE"""),"")</f>
        <v/>
      </c>
      <c r="D1406" t="str">
        <f>IFERROR(__xludf.DUMMYFUNCTION("""COMPUTED_VALUE"""),"")</f>
        <v/>
      </c>
      <c r="E1406" t="str">
        <f>IFERROR(__xludf.DUMMYFUNCTION("""COMPUTED_VALUE"""),"")</f>
        <v/>
      </c>
      <c r="F1406" t="str">
        <f>IFERROR(__xludf.DUMMYFUNCTION("""COMPUTED_VALUE"""),"")</f>
        <v/>
      </c>
      <c r="G1406" t="str">
        <f>IFERROR(__xludf.DUMMYFUNCTION("""COMPUTED_VALUE"""),"")</f>
        <v/>
      </c>
      <c r="H1406" t="str">
        <f>IFERROR(__xludf.DUMMYFUNCTION("""COMPUTED_VALUE"""),"")</f>
        <v/>
      </c>
      <c r="I1406" t="str">
        <f>IFERROR(__xludf.DUMMYFUNCTION("""COMPUTED_VALUE"""),"")</f>
        <v/>
      </c>
      <c r="J1406">
        <f>IFERROR(__xludf.DUMMYFUNCTION("""COMPUTED_VALUE"""),0.0)</f>
        <v>0</v>
      </c>
      <c r="L1406" s="250" t="str">
        <f>IFERROR(__xludf.DUMMYFUNCTION("""COMPUTED_VALUE"""),"")</f>
        <v/>
      </c>
      <c r="M1406" s="250" t="str">
        <f>IFERROR(__xludf.DUMMYFUNCTION("""COMPUTED_VALUE"""),"")</f>
        <v/>
      </c>
      <c r="N1406" s="250" t="str">
        <f>IFERROR(__xludf.DUMMYFUNCTION("""COMPUTED_VALUE"""),"")</f>
        <v/>
      </c>
      <c r="O1406" s="250" t="str">
        <f>IFERROR(__xludf.DUMMYFUNCTION("""COMPUTED_VALUE"""),"")</f>
        <v/>
      </c>
      <c r="P1406" s="250" t="str">
        <f>IFERROR(__xludf.DUMMYFUNCTION("""COMPUTED_VALUE"""),"")</f>
        <v/>
      </c>
      <c r="Q1406" s="250" t="str">
        <f>IFERROR(__xludf.DUMMYFUNCTION("""COMPUTED_VALUE"""),"")</f>
        <v/>
      </c>
      <c r="R1406" s="250" t="str">
        <f>IFERROR(__xludf.DUMMYFUNCTION("""COMPUTED_VALUE"""),"")</f>
        <v/>
      </c>
      <c r="U1406" s="250" t="str">
        <f>IFERROR(__xludf.DUMMYFUNCTION("""COMPUTED_VALUE"""),"#N/A")</f>
        <v>#N/A</v>
      </c>
      <c r="V1406" s="250" t="str">
        <f>IFERROR(__xludf.DUMMYFUNCTION("""COMPUTED_VALUE"""),"#N/A")</f>
        <v>#N/A</v>
      </c>
      <c r="W1406" s="250" t="str">
        <f>IFERROR(__xludf.DUMMYFUNCTION("""COMPUTED_VALUE"""),"#N/A")</f>
        <v>#N/A</v>
      </c>
      <c r="X1406" t="b">
        <f t="shared" ref="X1406:Z1406" si="2788">ISBLANK(K1406)</f>
        <v>1</v>
      </c>
      <c r="Y1406" t="b">
        <f t="shared" si="2788"/>
        <v>0</v>
      </c>
      <c r="Z1406" t="b">
        <f t="shared" si="2788"/>
        <v>0</v>
      </c>
      <c r="AA1406">
        <f t="shared" ref="AA1406:AC1406" si="2789">IF(X1406=FALSE,1,0)</f>
        <v>0</v>
      </c>
      <c r="AB1406">
        <f t="shared" si="2789"/>
        <v>1</v>
      </c>
      <c r="AC1406">
        <f t="shared" si="2789"/>
        <v>1</v>
      </c>
      <c r="AD1406">
        <f t="shared" si="6"/>
        <v>2</v>
      </c>
      <c r="AE1406">
        <f t="shared" si="7"/>
        <v>1</v>
      </c>
    </row>
    <row r="1407">
      <c r="B1407" t="str">
        <f>IFERROR(__xludf.DUMMYFUNCTION("""COMPUTED_VALUE"""),"")</f>
        <v/>
      </c>
      <c r="C1407" t="str">
        <f>IFERROR(__xludf.DUMMYFUNCTION("""COMPUTED_VALUE"""),"")</f>
        <v/>
      </c>
      <c r="D1407" t="str">
        <f>IFERROR(__xludf.DUMMYFUNCTION("""COMPUTED_VALUE"""),"")</f>
        <v/>
      </c>
      <c r="E1407" t="str">
        <f>IFERROR(__xludf.DUMMYFUNCTION("""COMPUTED_VALUE"""),"")</f>
        <v/>
      </c>
      <c r="F1407" t="str">
        <f>IFERROR(__xludf.DUMMYFUNCTION("""COMPUTED_VALUE"""),"")</f>
        <v/>
      </c>
      <c r="G1407" t="str">
        <f>IFERROR(__xludf.DUMMYFUNCTION("""COMPUTED_VALUE"""),"")</f>
        <v/>
      </c>
      <c r="H1407" t="str">
        <f>IFERROR(__xludf.DUMMYFUNCTION("""COMPUTED_VALUE"""),"")</f>
        <v/>
      </c>
      <c r="I1407" t="str">
        <f>IFERROR(__xludf.DUMMYFUNCTION("""COMPUTED_VALUE"""),"")</f>
        <v/>
      </c>
      <c r="J1407">
        <f>IFERROR(__xludf.DUMMYFUNCTION("""COMPUTED_VALUE"""),0.0)</f>
        <v>0</v>
      </c>
      <c r="L1407" s="250" t="str">
        <f>IFERROR(__xludf.DUMMYFUNCTION("""COMPUTED_VALUE"""),"")</f>
        <v/>
      </c>
      <c r="M1407" s="250" t="str">
        <f>IFERROR(__xludf.DUMMYFUNCTION("""COMPUTED_VALUE"""),"")</f>
        <v/>
      </c>
      <c r="N1407" s="250" t="str">
        <f>IFERROR(__xludf.DUMMYFUNCTION("""COMPUTED_VALUE"""),"")</f>
        <v/>
      </c>
      <c r="O1407" s="250" t="str">
        <f>IFERROR(__xludf.DUMMYFUNCTION("""COMPUTED_VALUE"""),"")</f>
        <v/>
      </c>
      <c r="P1407" s="250" t="str">
        <f>IFERROR(__xludf.DUMMYFUNCTION("""COMPUTED_VALUE"""),"")</f>
        <v/>
      </c>
      <c r="Q1407" s="250" t="str">
        <f>IFERROR(__xludf.DUMMYFUNCTION("""COMPUTED_VALUE"""),"")</f>
        <v/>
      </c>
      <c r="R1407" s="250" t="str">
        <f>IFERROR(__xludf.DUMMYFUNCTION("""COMPUTED_VALUE"""),"")</f>
        <v/>
      </c>
      <c r="U1407" s="250" t="str">
        <f>IFERROR(__xludf.DUMMYFUNCTION("""COMPUTED_VALUE"""),"#N/A")</f>
        <v>#N/A</v>
      </c>
      <c r="V1407" s="250" t="str">
        <f>IFERROR(__xludf.DUMMYFUNCTION("""COMPUTED_VALUE"""),"#N/A")</f>
        <v>#N/A</v>
      </c>
      <c r="W1407" s="250" t="str">
        <f>IFERROR(__xludf.DUMMYFUNCTION("""COMPUTED_VALUE"""),"#N/A")</f>
        <v>#N/A</v>
      </c>
      <c r="X1407" t="b">
        <f t="shared" ref="X1407:Z1407" si="2790">ISBLANK(K1407)</f>
        <v>1</v>
      </c>
      <c r="Y1407" t="b">
        <f t="shared" si="2790"/>
        <v>0</v>
      </c>
      <c r="Z1407" t="b">
        <f t="shared" si="2790"/>
        <v>0</v>
      </c>
      <c r="AA1407">
        <f t="shared" ref="AA1407:AC1407" si="2791">IF(X1407=FALSE,1,0)</f>
        <v>0</v>
      </c>
      <c r="AB1407">
        <f t="shared" si="2791"/>
        <v>1</v>
      </c>
      <c r="AC1407">
        <f t="shared" si="2791"/>
        <v>1</v>
      </c>
      <c r="AD1407">
        <f t="shared" si="6"/>
        <v>2</v>
      </c>
      <c r="AE1407">
        <f t="shared" si="7"/>
        <v>1</v>
      </c>
    </row>
    <row r="1408">
      <c r="B1408" t="str">
        <f>IFERROR(__xludf.DUMMYFUNCTION("""COMPUTED_VALUE"""),"")</f>
        <v/>
      </c>
      <c r="C1408" t="str">
        <f>IFERROR(__xludf.DUMMYFUNCTION("""COMPUTED_VALUE"""),"")</f>
        <v/>
      </c>
      <c r="D1408" t="str">
        <f>IFERROR(__xludf.DUMMYFUNCTION("""COMPUTED_VALUE"""),"")</f>
        <v/>
      </c>
      <c r="E1408" t="str">
        <f>IFERROR(__xludf.DUMMYFUNCTION("""COMPUTED_VALUE"""),"")</f>
        <v/>
      </c>
      <c r="F1408" t="str">
        <f>IFERROR(__xludf.DUMMYFUNCTION("""COMPUTED_VALUE"""),"")</f>
        <v/>
      </c>
      <c r="G1408" t="str">
        <f>IFERROR(__xludf.DUMMYFUNCTION("""COMPUTED_VALUE"""),"")</f>
        <v/>
      </c>
      <c r="H1408" t="str">
        <f>IFERROR(__xludf.DUMMYFUNCTION("""COMPUTED_VALUE"""),"")</f>
        <v/>
      </c>
      <c r="I1408" t="str">
        <f>IFERROR(__xludf.DUMMYFUNCTION("""COMPUTED_VALUE"""),"")</f>
        <v/>
      </c>
      <c r="J1408">
        <f>IFERROR(__xludf.DUMMYFUNCTION("""COMPUTED_VALUE"""),0.0)</f>
        <v>0</v>
      </c>
      <c r="L1408" s="250" t="str">
        <f>IFERROR(__xludf.DUMMYFUNCTION("""COMPUTED_VALUE"""),"")</f>
        <v/>
      </c>
      <c r="M1408" s="250" t="str">
        <f>IFERROR(__xludf.DUMMYFUNCTION("""COMPUTED_VALUE"""),"")</f>
        <v/>
      </c>
      <c r="N1408" s="250" t="str">
        <f>IFERROR(__xludf.DUMMYFUNCTION("""COMPUTED_VALUE"""),"")</f>
        <v/>
      </c>
      <c r="O1408" s="250" t="str">
        <f>IFERROR(__xludf.DUMMYFUNCTION("""COMPUTED_VALUE"""),"")</f>
        <v/>
      </c>
      <c r="P1408" s="250" t="str">
        <f>IFERROR(__xludf.DUMMYFUNCTION("""COMPUTED_VALUE"""),"")</f>
        <v/>
      </c>
      <c r="Q1408" s="250" t="str">
        <f>IFERROR(__xludf.DUMMYFUNCTION("""COMPUTED_VALUE"""),"")</f>
        <v/>
      </c>
      <c r="R1408" s="250" t="str">
        <f>IFERROR(__xludf.DUMMYFUNCTION("""COMPUTED_VALUE"""),"")</f>
        <v/>
      </c>
      <c r="U1408" s="250" t="str">
        <f>IFERROR(__xludf.DUMMYFUNCTION("""COMPUTED_VALUE"""),"#N/A")</f>
        <v>#N/A</v>
      </c>
      <c r="V1408" s="250" t="str">
        <f>IFERROR(__xludf.DUMMYFUNCTION("""COMPUTED_VALUE"""),"#N/A")</f>
        <v>#N/A</v>
      </c>
      <c r="W1408" s="250" t="str">
        <f>IFERROR(__xludf.DUMMYFUNCTION("""COMPUTED_VALUE"""),"#N/A")</f>
        <v>#N/A</v>
      </c>
      <c r="X1408" t="b">
        <f t="shared" ref="X1408:Z1408" si="2792">ISBLANK(K1408)</f>
        <v>1</v>
      </c>
      <c r="Y1408" t="b">
        <f t="shared" si="2792"/>
        <v>0</v>
      </c>
      <c r="Z1408" t="b">
        <f t="shared" si="2792"/>
        <v>0</v>
      </c>
      <c r="AA1408">
        <f t="shared" ref="AA1408:AC1408" si="2793">IF(X1408=FALSE,1,0)</f>
        <v>0</v>
      </c>
      <c r="AB1408">
        <f t="shared" si="2793"/>
        <v>1</v>
      </c>
      <c r="AC1408">
        <f t="shared" si="2793"/>
        <v>1</v>
      </c>
      <c r="AD1408">
        <f t="shared" si="6"/>
        <v>2</v>
      </c>
      <c r="AE1408">
        <f t="shared" si="7"/>
        <v>1</v>
      </c>
    </row>
    <row r="1409">
      <c r="B1409" t="str">
        <f>IFERROR(__xludf.DUMMYFUNCTION("""COMPUTED_VALUE"""),"")</f>
        <v/>
      </c>
      <c r="C1409" t="str">
        <f>IFERROR(__xludf.DUMMYFUNCTION("""COMPUTED_VALUE"""),"")</f>
        <v/>
      </c>
      <c r="D1409" t="str">
        <f>IFERROR(__xludf.DUMMYFUNCTION("""COMPUTED_VALUE"""),"")</f>
        <v/>
      </c>
      <c r="E1409" t="str">
        <f>IFERROR(__xludf.DUMMYFUNCTION("""COMPUTED_VALUE"""),"")</f>
        <v/>
      </c>
      <c r="F1409" t="str">
        <f>IFERROR(__xludf.DUMMYFUNCTION("""COMPUTED_VALUE"""),"")</f>
        <v/>
      </c>
      <c r="G1409" t="str">
        <f>IFERROR(__xludf.DUMMYFUNCTION("""COMPUTED_VALUE"""),"")</f>
        <v/>
      </c>
      <c r="H1409" t="str">
        <f>IFERROR(__xludf.DUMMYFUNCTION("""COMPUTED_VALUE"""),"")</f>
        <v/>
      </c>
      <c r="I1409" t="str">
        <f>IFERROR(__xludf.DUMMYFUNCTION("""COMPUTED_VALUE"""),"")</f>
        <v/>
      </c>
      <c r="J1409">
        <f>IFERROR(__xludf.DUMMYFUNCTION("""COMPUTED_VALUE"""),0.0)</f>
        <v>0</v>
      </c>
      <c r="L1409" s="250" t="str">
        <f>IFERROR(__xludf.DUMMYFUNCTION("""COMPUTED_VALUE"""),"")</f>
        <v/>
      </c>
      <c r="M1409" s="250" t="str">
        <f>IFERROR(__xludf.DUMMYFUNCTION("""COMPUTED_VALUE"""),"")</f>
        <v/>
      </c>
      <c r="N1409" s="250" t="str">
        <f>IFERROR(__xludf.DUMMYFUNCTION("""COMPUTED_VALUE"""),"")</f>
        <v/>
      </c>
      <c r="O1409" s="250" t="str">
        <f>IFERROR(__xludf.DUMMYFUNCTION("""COMPUTED_VALUE"""),"")</f>
        <v/>
      </c>
      <c r="P1409" s="250" t="str">
        <f>IFERROR(__xludf.DUMMYFUNCTION("""COMPUTED_VALUE"""),"")</f>
        <v/>
      </c>
      <c r="Q1409" s="250" t="str">
        <f>IFERROR(__xludf.DUMMYFUNCTION("""COMPUTED_VALUE"""),"")</f>
        <v/>
      </c>
      <c r="R1409" s="250" t="str">
        <f>IFERROR(__xludf.DUMMYFUNCTION("""COMPUTED_VALUE"""),"")</f>
        <v/>
      </c>
      <c r="U1409" s="250" t="str">
        <f>IFERROR(__xludf.DUMMYFUNCTION("""COMPUTED_VALUE"""),"#N/A")</f>
        <v>#N/A</v>
      </c>
      <c r="V1409" s="250" t="str">
        <f>IFERROR(__xludf.DUMMYFUNCTION("""COMPUTED_VALUE"""),"#N/A")</f>
        <v>#N/A</v>
      </c>
      <c r="W1409" s="250" t="str">
        <f>IFERROR(__xludf.DUMMYFUNCTION("""COMPUTED_VALUE"""),"#N/A")</f>
        <v>#N/A</v>
      </c>
      <c r="X1409" t="b">
        <f t="shared" ref="X1409:Z1409" si="2794">ISBLANK(K1409)</f>
        <v>1</v>
      </c>
      <c r="Y1409" t="b">
        <f t="shared" si="2794"/>
        <v>0</v>
      </c>
      <c r="Z1409" t="b">
        <f t="shared" si="2794"/>
        <v>0</v>
      </c>
      <c r="AA1409">
        <f t="shared" ref="AA1409:AC1409" si="2795">IF(X1409=FALSE,1,0)</f>
        <v>0</v>
      </c>
      <c r="AB1409">
        <f t="shared" si="2795"/>
        <v>1</v>
      </c>
      <c r="AC1409">
        <f t="shared" si="2795"/>
        <v>1</v>
      </c>
      <c r="AD1409">
        <f t="shared" si="6"/>
        <v>2</v>
      </c>
      <c r="AE1409">
        <f t="shared" si="7"/>
        <v>1</v>
      </c>
    </row>
    <row r="1410">
      <c r="B1410" t="str">
        <f>IFERROR(__xludf.DUMMYFUNCTION("""COMPUTED_VALUE"""),"")</f>
        <v/>
      </c>
      <c r="C1410" t="str">
        <f>IFERROR(__xludf.DUMMYFUNCTION("""COMPUTED_VALUE"""),"")</f>
        <v/>
      </c>
      <c r="D1410" t="str">
        <f>IFERROR(__xludf.DUMMYFUNCTION("""COMPUTED_VALUE"""),"")</f>
        <v/>
      </c>
      <c r="E1410" t="str">
        <f>IFERROR(__xludf.DUMMYFUNCTION("""COMPUTED_VALUE"""),"")</f>
        <v/>
      </c>
      <c r="F1410" t="str">
        <f>IFERROR(__xludf.DUMMYFUNCTION("""COMPUTED_VALUE"""),"")</f>
        <v/>
      </c>
      <c r="G1410" t="str">
        <f>IFERROR(__xludf.DUMMYFUNCTION("""COMPUTED_VALUE"""),"")</f>
        <v/>
      </c>
      <c r="H1410" t="str">
        <f>IFERROR(__xludf.DUMMYFUNCTION("""COMPUTED_VALUE"""),"")</f>
        <v/>
      </c>
      <c r="I1410" t="str">
        <f>IFERROR(__xludf.DUMMYFUNCTION("""COMPUTED_VALUE"""),"")</f>
        <v/>
      </c>
      <c r="J1410">
        <f>IFERROR(__xludf.DUMMYFUNCTION("""COMPUTED_VALUE"""),0.0)</f>
        <v>0</v>
      </c>
      <c r="L1410" s="250" t="str">
        <f>IFERROR(__xludf.DUMMYFUNCTION("""COMPUTED_VALUE"""),"")</f>
        <v/>
      </c>
      <c r="M1410" s="250" t="str">
        <f>IFERROR(__xludf.DUMMYFUNCTION("""COMPUTED_VALUE"""),"")</f>
        <v/>
      </c>
      <c r="N1410" s="250" t="str">
        <f>IFERROR(__xludf.DUMMYFUNCTION("""COMPUTED_VALUE"""),"")</f>
        <v/>
      </c>
      <c r="O1410" s="250" t="str">
        <f>IFERROR(__xludf.DUMMYFUNCTION("""COMPUTED_VALUE"""),"")</f>
        <v/>
      </c>
      <c r="P1410" s="250" t="str">
        <f>IFERROR(__xludf.DUMMYFUNCTION("""COMPUTED_VALUE"""),"")</f>
        <v/>
      </c>
      <c r="Q1410" s="250" t="str">
        <f>IFERROR(__xludf.DUMMYFUNCTION("""COMPUTED_VALUE"""),"")</f>
        <v/>
      </c>
      <c r="R1410" s="250" t="str">
        <f>IFERROR(__xludf.DUMMYFUNCTION("""COMPUTED_VALUE"""),"")</f>
        <v/>
      </c>
      <c r="U1410" s="250" t="str">
        <f>IFERROR(__xludf.DUMMYFUNCTION("""COMPUTED_VALUE"""),"#N/A")</f>
        <v>#N/A</v>
      </c>
      <c r="V1410" s="250" t="str">
        <f>IFERROR(__xludf.DUMMYFUNCTION("""COMPUTED_VALUE"""),"#N/A")</f>
        <v>#N/A</v>
      </c>
      <c r="W1410" s="250" t="str">
        <f>IFERROR(__xludf.DUMMYFUNCTION("""COMPUTED_VALUE"""),"#N/A")</f>
        <v>#N/A</v>
      </c>
      <c r="X1410" t="b">
        <f t="shared" ref="X1410:Z1410" si="2796">ISBLANK(K1410)</f>
        <v>1</v>
      </c>
      <c r="Y1410" t="b">
        <f t="shared" si="2796"/>
        <v>0</v>
      </c>
      <c r="Z1410" t="b">
        <f t="shared" si="2796"/>
        <v>0</v>
      </c>
      <c r="AA1410">
        <f t="shared" ref="AA1410:AC1410" si="2797">IF(X1410=FALSE,1,0)</f>
        <v>0</v>
      </c>
      <c r="AB1410">
        <f t="shared" si="2797"/>
        <v>1</v>
      </c>
      <c r="AC1410">
        <f t="shared" si="2797"/>
        <v>1</v>
      </c>
      <c r="AD1410">
        <f t="shared" si="6"/>
        <v>2</v>
      </c>
      <c r="AE1410">
        <f t="shared" si="7"/>
        <v>1</v>
      </c>
    </row>
    <row r="1411">
      <c r="B1411" t="str">
        <f>IFERROR(__xludf.DUMMYFUNCTION("""COMPUTED_VALUE"""),"")</f>
        <v/>
      </c>
      <c r="C1411" t="str">
        <f>IFERROR(__xludf.DUMMYFUNCTION("""COMPUTED_VALUE"""),"")</f>
        <v/>
      </c>
      <c r="D1411" t="str">
        <f>IFERROR(__xludf.DUMMYFUNCTION("""COMPUTED_VALUE"""),"")</f>
        <v/>
      </c>
      <c r="E1411" t="str">
        <f>IFERROR(__xludf.DUMMYFUNCTION("""COMPUTED_VALUE"""),"")</f>
        <v/>
      </c>
      <c r="F1411" t="str">
        <f>IFERROR(__xludf.DUMMYFUNCTION("""COMPUTED_VALUE"""),"")</f>
        <v/>
      </c>
      <c r="G1411" t="str">
        <f>IFERROR(__xludf.DUMMYFUNCTION("""COMPUTED_VALUE"""),"")</f>
        <v/>
      </c>
      <c r="H1411" t="str">
        <f>IFERROR(__xludf.DUMMYFUNCTION("""COMPUTED_VALUE"""),"")</f>
        <v/>
      </c>
      <c r="I1411" t="str">
        <f>IFERROR(__xludf.DUMMYFUNCTION("""COMPUTED_VALUE"""),"")</f>
        <v/>
      </c>
      <c r="J1411">
        <f>IFERROR(__xludf.DUMMYFUNCTION("""COMPUTED_VALUE"""),0.0)</f>
        <v>0</v>
      </c>
      <c r="L1411" s="250" t="str">
        <f>IFERROR(__xludf.DUMMYFUNCTION("""COMPUTED_VALUE"""),"")</f>
        <v/>
      </c>
      <c r="M1411" s="250" t="str">
        <f>IFERROR(__xludf.DUMMYFUNCTION("""COMPUTED_VALUE"""),"")</f>
        <v/>
      </c>
      <c r="N1411" s="250" t="str">
        <f>IFERROR(__xludf.DUMMYFUNCTION("""COMPUTED_VALUE"""),"")</f>
        <v/>
      </c>
      <c r="O1411" s="250" t="str">
        <f>IFERROR(__xludf.DUMMYFUNCTION("""COMPUTED_VALUE"""),"")</f>
        <v/>
      </c>
      <c r="P1411" s="250" t="str">
        <f>IFERROR(__xludf.DUMMYFUNCTION("""COMPUTED_VALUE"""),"")</f>
        <v/>
      </c>
      <c r="Q1411" s="250" t="str">
        <f>IFERROR(__xludf.DUMMYFUNCTION("""COMPUTED_VALUE"""),"")</f>
        <v/>
      </c>
      <c r="R1411" s="250" t="str">
        <f>IFERROR(__xludf.DUMMYFUNCTION("""COMPUTED_VALUE"""),"")</f>
        <v/>
      </c>
      <c r="U1411" s="250" t="str">
        <f>IFERROR(__xludf.DUMMYFUNCTION("""COMPUTED_VALUE"""),"#N/A")</f>
        <v>#N/A</v>
      </c>
      <c r="V1411" s="250" t="str">
        <f>IFERROR(__xludf.DUMMYFUNCTION("""COMPUTED_VALUE"""),"#N/A")</f>
        <v>#N/A</v>
      </c>
      <c r="W1411" s="250" t="str">
        <f>IFERROR(__xludf.DUMMYFUNCTION("""COMPUTED_VALUE"""),"#N/A")</f>
        <v>#N/A</v>
      </c>
      <c r="X1411" t="b">
        <f t="shared" ref="X1411:Z1411" si="2798">ISBLANK(K1411)</f>
        <v>1</v>
      </c>
      <c r="Y1411" t="b">
        <f t="shared" si="2798"/>
        <v>0</v>
      </c>
      <c r="Z1411" t="b">
        <f t="shared" si="2798"/>
        <v>0</v>
      </c>
      <c r="AA1411">
        <f t="shared" ref="AA1411:AC1411" si="2799">IF(X1411=FALSE,1,0)</f>
        <v>0</v>
      </c>
      <c r="AB1411">
        <f t="shared" si="2799"/>
        <v>1</v>
      </c>
      <c r="AC1411">
        <f t="shared" si="2799"/>
        <v>1</v>
      </c>
      <c r="AD1411">
        <f t="shared" si="6"/>
        <v>2</v>
      </c>
      <c r="AE1411">
        <f t="shared" si="7"/>
        <v>1</v>
      </c>
    </row>
    <row r="1412">
      <c r="B1412" t="str">
        <f>IFERROR(__xludf.DUMMYFUNCTION("""COMPUTED_VALUE"""),"")</f>
        <v/>
      </c>
      <c r="C1412" t="str">
        <f>IFERROR(__xludf.DUMMYFUNCTION("""COMPUTED_VALUE"""),"")</f>
        <v/>
      </c>
      <c r="D1412" t="str">
        <f>IFERROR(__xludf.DUMMYFUNCTION("""COMPUTED_VALUE"""),"")</f>
        <v/>
      </c>
      <c r="E1412" t="str">
        <f>IFERROR(__xludf.DUMMYFUNCTION("""COMPUTED_VALUE"""),"")</f>
        <v/>
      </c>
      <c r="F1412" t="str">
        <f>IFERROR(__xludf.DUMMYFUNCTION("""COMPUTED_VALUE"""),"")</f>
        <v/>
      </c>
      <c r="G1412" t="str">
        <f>IFERROR(__xludf.DUMMYFUNCTION("""COMPUTED_VALUE"""),"")</f>
        <v/>
      </c>
      <c r="H1412" t="str">
        <f>IFERROR(__xludf.DUMMYFUNCTION("""COMPUTED_VALUE"""),"")</f>
        <v/>
      </c>
      <c r="I1412" t="str">
        <f>IFERROR(__xludf.DUMMYFUNCTION("""COMPUTED_VALUE"""),"")</f>
        <v/>
      </c>
      <c r="J1412">
        <f>IFERROR(__xludf.DUMMYFUNCTION("""COMPUTED_VALUE"""),0.0)</f>
        <v>0</v>
      </c>
      <c r="L1412" s="250" t="str">
        <f>IFERROR(__xludf.DUMMYFUNCTION("""COMPUTED_VALUE"""),"")</f>
        <v/>
      </c>
      <c r="M1412" s="250" t="str">
        <f>IFERROR(__xludf.DUMMYFUNCTION("""COMPUTED_VALUE"""),"")</f>
        <v/>
      </c>
      <c r="N1412" s="250" t="str">
        <f>IFERROR(__xludf.DUMMYFUNCTION("""COMPUTED_VALUE"""),"")</f>
        <v/>
      </c>
      <c r="O1412" s="250" t="str">
        <f>IFERROR(__xludf.DUMMYFUNCTION("""COMPUTED_VALUE"""),"")</f>
        <v/>
      </c>
      <c r="P1412" s="250" t="str">
        <f>IFERROR(__xludf.DUMMYFUNCTION("""COMPUTED_VALUE"""),"")</f>
        <v/>
      </c>
      <c r="Q1412" s="250" t="str">
        <f>IFERROR(__xludf.DUMMYFUNCTION("""COMPUTED_VALUE"""),"")</f>
        <v/>
      </c>
      <c r="R1412" s="250" t="str">
        <f>IFERROR(__xludf.DUMMYFUNCTION("""COMPUTED_VALUE"""),"")</f>
        <v/>
      </c>
      <c r="U1412" s="250" t="str">
        <f>IFERROR(__xludf.DUMMYFUNCTION("""COMPUTED_VALUE"""),"#N/A")</f>
        <v>#N/A</v>
      </c>
      <c r="V1412" s="250" t="str">
        <f>IFERROR(__xludf.DUMMYFUNCTION("""COMPUTED_VALUE"""),"#N/A")</f>
        <v>#N/A</v>
      </c>
      <c r="W1412" s="250" t="str">
        <f>IFERROR(__xludf.DUMMYFUNCTION("""COMPUTED_VALUE"""),"#N/A")</f>
        <v>#N/A</v>
      </c>
      <c r="X1412" t="b">
        <f t="shared" ref="X1412:Z1412" si="2800">ISBLANK(K1412)</f>
        <v>1</v>
      </c>
      <c r="Y1412" t="b">
        <f t="shared" si="2800"/>
        <v>0</v>
      </c>
      <c r="Z1412" t="b">
        <f t="shared" si="2800"/>
        <v>0</v>
      </c>
      <c r="AA1412">
        <f t="shared" ref="AA1412:AC1412" si="2801">IF(X1412=FALSE,1,0)</f>
        <v>0</v>
      </c>
      <c r="AB1412">
        <f t="shared" si="2801"/>
        <v>1</v>
      </c>
      <c r="AC1412">
        <f t="shared" si="2801"/>
        <v>1</v>
      </c>
      <c r="AD1412">
        <f t="shared" si="6"/>
        <v>2</v>
      </c>
      <c r="AE1412">
        <f t="shared" si="7"/>
        <v>1</v>
      </c>
    </row>
    <row r="1413">
      <c r="B1413" t="str">
        <f>IFERROR(__xludf.DUMMYFUNCTION("""COMPUTED_VALUE"""),"")</f>
        <v/>
      </c>
      <c r="C1413" t="str">
        <f>IFERROR(__xludf.DUMMYFUNCTION("""COMPUTED_VALUE"""),"")</f>
        <v/>
      </c>
      <c r="D1413" t="str">
        <f>IFERROR(__xludf.DUMMYFUNCTION("""COMPUTED_VALUE"""),"")</f>
        <v/>
      </c>
      <c r="E1413" t="str">
        <f>IFERROR(__xludf.DUMMYFUNCTION("""COMPUTED_VALUE"""),"")</f>
        <v/>
      </c>
      <c r="F1413" t="str">
        <f>IFERROR(__xludf.DUMMYFUNCTION("""COMPUTED_VALUE"""),"")</f>
        <v/>
      </c>
      <c r="G1413" t="str">
        <f>IFERROR(__xludf.DUMMYFUNCTION("""COMPUTED_VALUE"""),"")</f>
        <v/>
      </c>
      <c r="H1413" t="str">
        <f>IFERROR(__xludf.DUMMYFUNCTION("""COMPUTED_VALUE"""),"")</f>
        <v/>
      </c>
      <c r="I1413" t="str">
        <f>IFERROR(__xludf.DUMMYFUNCTION("""COMPUTED_VALUE"""),"")</f>
        <v/>
      </c>
      <c r="J1413">
        <f>IFERROR(__xludf.DUMMYFUNCTION("""COMPUTED_VALUE"""),0.0)</f>
        <v>0</v>
      </c>
      <c r="L1413" s="250" t="str">
        <f>IFERROR(__xludf.DUMMYFUNCTION("""COMPUTED_VALUE"""),"")</f>
        <v/>
      </c>
      <c r="M1413" s="250" t="str">
        <f>IFERROR(__xludf.DUMMYFUNCTION("""COMPUTED_VALUE"""),"")</f>
        <v/>
      </c>
      <c r="N1413" s="250" t="str">
        <f>IFERROR(__xludf.DUMMYFUNCTION("""COMPUTED_VALUE"""),"")</f>
        <v/>
      </c>
      <c r="O1413" s="250" t="str">
        <f>IFERROR(__xludf.DUMMYFUNCTION("""COMPUTED_VALUE"""),"")</f>
        <v/>
      </c>
      <c r="P1413" s="250" t="str">
        <f>IFERROR(__xludf.DUMMYFUNCTION("""COMPUTED_VALUE"""),"")</f>
        <v/>
      </c>
      <c r="Q1413" s="250" t="str">
        <f>IFERROR(__xludf.DUMMYFUNCTION("""COMPUTED_VALUE"""),"")</f>
        <v/>
      </c>
      <c r="R1413" s="250" t="str">
        <f>IFERROR(__xludf.DUMMYFUNCTION("""COMPUTED_VALUE"""),"")</f>
        <v/>
      </c>
      <c r="U1413" s="250" t="str">
        <f>IFERROR(__xludf.DUMMYFUNCTION("""COMPUTED_VALUE"""),"#N/A")</f>
        <v>#N/A</v>
      </c>
      <c r="V1413" s="250" t="str">
        <f>IFERROR(__xludf.DUMMYFUNCTION("""COMPUTED_VALUE"""),"#N/A")</f>
        <v>#N/A</v>
      </c>
      <c r="W1413" s="250" t="str">
        <f>IFERROR(__xludf.DUMMYFUNCTION("""COMPUTED_VALUE"""),"#N/A")</f>
        <v>#N/A</v>
      </c>
      <c r="X1413" t="b">
        <f t="shared" ref="X1413:Z1413" si="2802">ISBLANK(K1413)</f>
        <v>1</v>
      </c>
      <c r="Y1413" t="b">
        <f t="shared" si="2802"/>
        <v>0</v>
      </c>
      <c r="Z1413" t="b">
        <f t="shared" si="2802"/>
        <v>0</v>
      </c>
      <c r="AA1413">
        <f t="shared" ref="AA1413:AC1413" si="2803">IF(X1413=FALSE,1,0)</f>
        <v>0</v>
      </c>
      <c r="AB1413">
        <f t="shared" si="2803"/>
        <v>1</v>
      </c>
      <c r="AC1413">
        <f t="shared" si="2803"/>
        <v>1</v>
      </c>
      <c r="AD1413">
        <f t="shared" si="6"/>
        <v>2</v>
      </c>
      <c r="AE1413">
        <f t="shared" si="7"/>
        <v>1</v>
      </c>
    </row>
    <row r="1414">
      <c r="B1414" t="str">
        <f>IFERROR(__xludf.DUMMYFUNCTION("""COMPUTED_VALUE"""),"")</f>
        <v/>
      </c>
      <c r="C1414" t="str">
        <f>IFERROR(__xludf.DUMMYFUNCTION("""COMPUTED_VALUE"""),"")</f>
        <v/>
      </c>
      <c r="D1414" t="str">
        <f>IFERROR(__xludf.DUMMYFUNCTION("""COMPUTED_VALUE"""),"")</f>
        <v/>
      </c>
      <c r="E1414" t="str">
        <f>IFERROR(__xludf.DUMMYFUNCTION("""COMPUTED_VALUE"""),"")</f>
        <v/>
      </c>
      <c r="F1414" t="str">
        <f>IFERROR(__xludf.DUMMYFUNCTION("""COMPUTED_VALUE"""),"")</f>
        <v/>
      </c>
      <c r="G1414" t="str">
        <f>IFERROR(__xludf.DUMMYFUNCTION("""COMPUTED_VALUE"""),"")</f>
        <v/>
      </c>
      <c r="H1414" t="str">
        <f>IFERROR(__xludf.DUMMYFUNCTION("""COMPUTED_VALUE"""),"")</f>
        <v/>
      </c>
      <c r="I1414" t="str">
        <f>IFERROR(__xludf.DUMMYFUNCTION("""COMPUTED_VALUE"""),"")</f>
        <v/>
      </c>
      <c r="J1414">
        <f>IFERROR(__xludf.DUMMYFUNCTION("""COMPUTED_VALUE"""),0.0)</f>
        <v>0</v>
      </c>
      <c r="L1414" s="250" t="str">
        <f>IFERROR(__xludf.DUMMYFUNCTION("""COMPUTED_VALUE"""),"")</f>
        <v/>
      </c>
      <c r="M1414" s="250" t="str">
        <f>IFERROR(__xludf.DUMMYFUNCTION("""COMPUTED_VALUE"""),"")</f>
        <v/>
      </c>
      <c r="N1414" s="250" t="str">
        <f>IFERROR(__xludf.DUMMYFUNCTION("""COMPUTED_VALUE"""),"")</f>
        <v/>
      </c>
      <c r="O1414" s="250" t="str">
        <f>IFERROR(__xludf.DUMMYFUNCTION("""COMPUTED_VALUE"""),"")</f>
        <v/>
      </c>
      <c r="P1414" s="250" t="str">
        <f>IFERROR(__xludf.DUMMYFUNCTION("""COMPUTED_VALUE"""),"")</f>
        <v/>
      </c>
      <c r="Q1414" s="250" t="str">
        <f>IFERROR(__xludf.DUMMYFUNCTION("""COMPUTED_VALUE"""),"")</f>
        <v/>
      </c>
      <c r="R1414" s="250" t="str">
        <f>IFERROR(__xludf.DUMMYFUNCTION("""COMPUTED_VALUE"""),"")</f>
        <v/>
      </c>
      <c r="U1414" s="250" t="str">
        <f>IFERROR(__xludf.DUMMYFUNCTION("""COMPUTED_VALUE"""),"#N/A")</f>
        <v>#N/A</v>
      </c>
      <c r="V1414" s="250" t="str">
        <f>IFERROR(__xludf.DUMMYFUNCTION("""COMPUTED_VALUE"""),"#N/A")</f>
        <v>#N/A</v>
      </c>
      <c r="W1414" s="250" t="str">
        <f>IFERROR(__xludf.DUMMYFUNCTION("""COMPUTED_VALUE"""),"#N/A")</f>
        <v>#N/A</v>
      </c>
      <c r="X1414" t="b">
        <f t="shared" ref="X1414:Z1414" si="2804">ISBLANK(K1414)</f>
        <v>1</v>
      </c>
      <c r="Y1414" t="b">
        <f t="shared" si="2804"/>
        <v>0</v>
      </c>
      <c r="Z1414" t="b">
        <f t="shared" si="2804"/>
        <v>0</v>
      </c>
      <c r="AA1414">
        <f t="shared" ref="AA1414:AC1414" si="2805">IF(X1414=FALSE,1,0)</f>
        <v>0</v>
      </c>
      <c r="AB1414">
        <f t="shared" si="2805"/>
        <v>1</v>
      </c>
      <c r="AC1414">
        <f t="shared" si="2805"/>
        <v>1</v>
      </c>
      <c r="AD1414">
        <f t="shared" si="6"/>
        <v>2</v>
      </c>
      <c r="AE1414">
        <f t="shared" si="7"/>
        <v>1</v>
      </c>
    </row>
    <row r="1415">
      <c r="B1415" t="str">
        <f>IFERROR(__xludf.DUMMYFUNCTION("""COMPUTED_VALUE"""),"")</f>
        <v/>
      </c>
      <c r="C1415" t="str">
        <f>IFERROR(__xludf.DUMMYFUNCTION("""COMPUTED_VALUE"""),"")</f>
        <v/>
      </c>
      <c r="D1415" t="str">
        <f>IFERROR(__xludf.DUMMYFUNCTION("""COMPUTED_VALUE"""),"")</f>
        <v/>
      </c>
      <c r="E1415" t="str">
        <f>IFERROR(__xludf.DUMMYFUNCTION("""COMPUTED_VALUE"""),"")</f>
        <v/>
      </c>
      <c r="F1415" t="str">
        <f>IFERROR(__xludf.DUMMYFUNCTION("""COMPUTED_VALUE"""),"")</f>
        <v/>
      </c>
      <c r="G1415" t="str">
        <f>IFERROR(__xludf.DUMMYFUNCTION("""COMPUTED_VALUE"""),"")</f>
        <v/>
      </c>
      <c r="H1415" t="str">
        <f>IFERROR(__xludf.DUMMYFUNCTION("""COMPUTED_VALUE"""),"")</f>
        <v/>
      </c>
      <c r="I1415" t="str">
        <f>IFERROR(__xludf.DUMMYFUNCTION("""COMPUTED_VALUE"""),"")</f>
        <v/>
      </c>
      <c r="J1415">
        <f>IFERROR(__xludf.DUMMYFUNCTION("""COMPUTED_VALUE"""),0.0)</f>
        <v>0</v>
      </c>
      <c r="L1415" s="250" t="str">
        <f>IFERROR(__xludf.DUMMYFUNCTION("""COMPUTED_VALUE"""),"")</f>
        <v/>
      </c>
      <c r="M1415" s="250" t="str">
        <f>IFERROR(__xludf.DUMMYFUNCTION("""COMPUTED_VALUE"""),"")</f>
        <v/>
      </c>
      <c r="N1415" s="250" t="str">
        <f>IFERROR(__xludf.DUMMYFUNCTION("""COMPUTED_VALUE"""),"")</f>
        <v/>
      </c>
      <c r="O1415" s="250" t="str">
        <f>IFERROR(__xludf.DUMMYFUNCTION("""COMPUTED_VALUE"""),"")</f>
        <v/>
      </c>
      <c r="P1415" s="250" t="str">
        <f>IFERROR(__xludf.DUMMYFUNCTION("""COMPUTED_VALUE"""),"")</f>
        <v/>
      </c>
      <c r="Q1415" s="250" t="str">
        <f>IFERROR(__xludf.DUMMYFUNCTION("""COMPUTED_VALUE"""),"")</f>
        <v/>
      </c>
      <c r="R1415" s="250" t="str">
        <f>IFERROR(__xludf.DUMMYFUNCTION("""COMPUTED_VALUE"""),"")</f>
        <v/>
      </c>
      <c r="U1415" s="250" t="str">
        <f>IFERROR(__xludf.DUMMYFUNCTION("""COMPUTED_VALUE"""),"#N/A")</f>
        <v>#N/A</v>
      </c>
      <c r="V1415" s="250" t="str">
        <f>IFERROR(__xludf.DUMMYFUNCTION("""COMPUTED_VALUE"""),"#N/A")</f>
        <v>#N/A</v>
      </c>
      <c r="W1415" s="250" t="str">
        <f>IFERROR(__xludf.DUMMYFUNCTION("""COMPUTED_VALUE"""),"#N/A")</f>
        <v>#N/A</v>
      </c>
      <c r="X1415" t="b">
        <f t="shared" ref="X1415:Z1415" si="2806">ISBLANK(K1415)</f>
        <v>1</v>
      </c>
      <c r="Y1415" t="b">
        <f t="shared" si="2806"/>
        <v>0</v>
      </c>
      <c r="Z1415" t="b">
        <f t="shared" si="2806"/>
        <v>0</v>
      </c>
      <c r="AA1415">
        <f t="shared" ref="AA1415:AC1415" si="2807">IF(X1415=FALSE,1,0)</f>
        <v>0</v>
      </c>
      <c r="AB1415">
        <f t="shared" si="2807"/>
        <v>1</v>
      </c>
      <c r="AC1415">
        <f t="shared" si="2807"/>
        <v>1</v>
      </c>
      <c r="AD1415">
        <f t="shared" si="6"/>
        <v>2</v>
      </c>
      <c r="AE1415">
        <f t="shared" si="7"/>
        <v>1</v>
      </c>
    </row>
    <row r="1416">
      <c r="B1416" t="str">
        <f>IFERROR(__xludf.DUMMYFUNCTION("""COMPUTED_VALUE"""),"")</f>
        <v/>
      </c>
      <c r="C1416" t="str">
        <f>IFERROR(__xludf.DUMMYFUNCTION("""COMPUTED_VALUE"""),"")</f>
        <v/>
      </c>
      <c r="D1416" t="str">
        <f>IFERROR(__xludf.DUMMYFUNCTION("""COMPUTED_VALUE"""),"")</f>
        <v/>
      </c>
      <c r="E1416" t="str">
        <f>IFERROR(__xludf.DUMMYFUNCTION("""COMPUTED_VALUE"""),"")</f>
        <v/>
      </c>
      <c r="F1416" t="str">
        <f>IFERROR(__xludf.DUMMYFUNCTION("""COMPUTED_VALUE"""),"")</f>
        <v/>
      </c>
      <c r="G1416" t="str">
        <f>IFERROR(__xludf.DUMMYFUNCTION("""COMPUTED_VALUE"""),"")</f>
        <v/>
      </c>
      <c r="H1416" t="str">
        <f>IFERROR(__xludf.DUMMYFUNCTION("""COMPUTED_VALUE"""),"")</f>
        <v/>
      </c>
      <c r="I1416" t="str">
        <f>IFERROR(__xludf.DUMMYFUNCTION("""COMPUTED_VALUE"""),"")</f>
        <v/>
      </c>
      <c r="J1416">
        <f>IFERROR(__xludf.DUMMYFUNCTION("""COMPUTED_VALUE"""),0.0)</f>
        <v>0</v>
      </c>
      <c r="L1416" s="250" t="str">
        <f>IFERROR(__xludf.DUMMYFUNCTION("""COMPUTED_VALUE"""),"")</f>
        <v/>
      </c>
      <c r="M1416" s="250" t="str">
        <f>IFERROR(__xludf.DUMMYFUNCTION("""COMPUTED_VALUE"""),"")</f>
        <v/>
      </c>
      <c r="N1416" s="250" t="str">
        <f>IFERROR(__xludf.DUMMYFUNCTION("""COMPUTED_VALUE"""),"")</f>
        <v/>
      </c>
      <c r="O1416" s="250" t="str">
        <f>IFERROR(__xludf.DUMMYFUNCTION("""COMPUTED_VALUE"""),"")</f>
        <v/>
      </c>
      <c r="P1416" s="250" t="str">
        <f>IFERROR(__xludf.DUMMYFUNCTION("""COMPUTED_VALUE"""),"")</f>
        <v/>
      </c>
      <c r="Q1416" s="250" t="str">
        <f>IFERROR(__xludf.DUMMYFUNCTION("""COMPUTED_VALUE"""),"")</f>
        <v/>
      </c>
      <c r="R1416" s="250" t="str">
        <f>IFERROR(__xludf.DUMMYFUNCTION("""COMPUTED_VALUE"""),"")</f>
        <v/>
      </c>
      <c r="U1416" s="250" t="str">
        <f>IFERROR(__xludf.DUMMYFUNCTION("""COMPUTED_VALUE"""),"#N/A")</f>
        <v>#N/A</v>
      </c>
      <c r="V1416" s="250" t="str">
        <f>IFERROR(__xludf.DUMMYFUNCTION("""COMPUTED_VALUE"""),"#N/A")</f>
        <v>#N/A</v>
      </c>
      <c r="W1416" s="250" t="str">
        <f>IFERROR(__xludf.DUMMYFUNCTION("""COMPUTED_VALUE"""),"#N/A")</f>
        <v>#N/A</v>
      </c>
      <c r="X1416" t="b">
        <f t="shared" ref="X1416:Z1416" si="2808">ISBLANK(K1416)</f>
        <v>1</v>
      </c>
      <c r="Y1416" t="b">
        <f t="shared" si="2808"/>
        <v>0</v>
      </c>
      <c r="Z1416" t="b">
        <f t="shared" si="2808"/>
        <v>0</v>
      </c>
      <c r="AA1416">
        <f t="shared" ref="AA1416:AC1416" si="2809">IF(X1416=FALSE,1,0)</f>
        <v>0</v>
      </c>
      <c r="AB1416">
        <f t="shared" si="2809"/>
        <v>1</v>
      </c>
      <c r="AC1416">
        <f t="shared" si="2809"/>
        <v>1</v>
      </c>
      <c r="AD1416">
        <f t="shared" si="6"/>
        <v>2</v>
      </c>
      <c r="AE1416">
        <f t="shared" si="7"/>
        <v>1</v>
      </c>
    </row>
    <row r="1417">
      <c r="B1417" t="str">
        <f>IFERROR(__xludf.DUMMYFUNCTION("""COMPUTED_VALUE"""),"")</f>
        <v/>
      </c>
      <c r="C1417" t="str">
        <f>IFERROR(__xludf.DUMMYFUNCTION("""COMPUTED_VALUE"""),"")</f>
        <v/>
      </c>
      <c r="D1417" t="str">
        <f>IFERROR(__xludf.DUMMYFUNCTION("""COMPUTED_VALUE"""),"")</f>
        <v/>
      </c>
      <c r="E1417" t="str">
        <f>IFERROR(__xludf.DUMMYFUNCTION("""COMPUTED_VALUE"""),"")</f>
        <v/>
      </c>
      <c r="F1417" t="str">
        <f>IFERROR(__xludf.DUMMYFUNCTION("""COMPUTED_VALUE"""),"")</f>
        <v/>
      </c>
      <c r="G1417" t="str">
        <f>IFERROR(__xludf.DUMMYFUNCTION("""COMPUTED_VALUE"""),"")</f>
        <v/>
      </c>
      <c r="H1417" t="str">
        <f>IFERROR(__xludf.DUMMYFUNCTION("""COMPUTED_VALUE"""),"")</f>
        <v/>
      </c>
      <c r="I1417" t="str">
        <f>IFERROR(__xludf.DUMMYFUNCTION("""COMPUTED_VALUE"""),"")</f>
        <v/>
      </c>
      <c r="J1417">
        <f>IFERROR(__xludf.DUMMYFUNCTION("""COMPUTED_VALUE"""),0.0)</f>
        <v>0</v>
      </c>
      <c r="L1417" s="250" t="str">
        <f>IFERROR(__xludf.DUMMYFUNCTION("""COMPUTED_VALUE"""),"")</f>
        <v/>
      </c>
      <c r="M1417" s="250" t="str">
        <f>IFERROR(__xludf.DUMMYFUNCTION("""COMPUTED_VALUE"""),"")</f>
        <v/>
      </c>
      <c r="N1417" s="250" t="str">
        <f>IFERROR(__xludf.DUMMYFUNCTION("""COMPUTED_VALUE"""),"")</f>
        <v/>
      </c>
      <c r="O1417" s="250" t="str">
        <f>IFERROR(__xludf.DUMMYFUNCTION("""COMPUTED_VALUE"""),"")</f>
        <v/>
      </c>
      <c r="P1417" s="250" t="str">
        <f>IFERROR(__xludf.DUMMYFUNCTION("""COMPUTED_VALUE"""),"")</f>
        <v/>
      </c>
      <c r="Q1417" s="250" t="str">
        <f>IFERROR(__xludf.DUMMYFUNCTION("""COMPUTED_VALUE"""),"")</f>
        <v/>
      </c>
      <c r="R1417" s="250" t="str">
        <f>IFERROR(__xludf.DUMMYFUNCTION("""COMPUTED_VALUE"""),"")</f>
        <v/>
      </c>
      <c r="U1417" s="250" t="str">
        <f>IFERROR(__xludf.DUMMYFUNCTION("""COMPUTED_VALUE"""),"#N/A")</f>
        <v>#N/A</v>
      </c>
      <c r="V1417" s="250" t="str">
        <f>IFERROR(__xludf.DUMMYFUNCTION("""COMPUTED_VALUE"""),"#N/A")</f>
        <v>#N/A</v>
      </c>
      <c r="W1417" s="250" t="str">
        <f>IFERROR(__xludf.DUMMYFUNCTION("""COMPUTED_VALUE"""),"#N/A")</f>
        <v>#N/A</v>
      </c>
      <c r="X1417" t="b">
        <f t="shared" ref="X1417:Z1417" si="2810">ISBLANK(K1417)</f>
        <v>1</v>
      </c>
      <c r="Y1417" t="b">
        <f t="shared" si="2810"/>
        <v>0</v>
      </c>
      <c r="Z1417" t="b">
        <f t="shared" si="2810"/>
        <v>0</v>
      </c>
      <c r="AA1417">
        <f t="shared" ref="AA1417:AC1417" si="2811">IF(X1417=FALSE,1,0)</f>
        <v>0</v>
      </c>
      <c r="AB1417">
        <f t="shared" si="2811"/>
        <v>1</v>
      </c>
      <c r="AC1417">
        <f t="shared" si="2811"/>
        <v>1</v>
      </c>
      <c r="AD1417">
        <f t="shared" si="6"/>
        <v>2</v>
      </c>
      <c r="AE1417">
        <f t="shared" si="7"/>
        <v>1</v>
      </c>
    </row>
    <row r="1418">
      <c r="B1418" t="str">
        <f>IFERROR(__xludf.DUMMYFUNCTION("""COMPUTED_VALUE"""),"")</f>
        <v/>
      </c>
      <c r="C1418" t="str">
        <f>IFERROR(__xludf.DUMMYFUNCTION("""COMPUTED_VALUE"""),"")</f>
        <v/>
      </c>
      <c r="D1418" t="str">
        <f>IFERROR(__xludf.DUMMYFUNCTION("""COMPUTED_VALUE"""),"")</f>
        <v/>
      </c>
      <c r="E1418" t="str">
        <f>IFERROR(__xludf.DUMMYFUNCTION("""COMPUTED_VALUE"""),"")</f>
        <v/>
      </c>
      <c r="F1418" t="str">
        <f>IFERROR(__xludf.DUMMYFUNCTION("""COMPUTED_VALUE"""),"")</f>
        <v/>
      </c>
      <c r="G1418" t="str">
        <f>IFERROR(__xludf.DUMMYFUNCTION("""COMPUTED_VALUE"""),"")</f>
        <v/>
      </c>
      <c r="H1418" t="str">
        <f>IFERROR(__xludf.DUMMYFUNCTION("""COMPUTED_VALUE"""),"")</f>
        <v/>
      </c>
      <c r="I1418" t="str">
        <f>IFERROR(__xludf.DUMMYFUNCTION("""COMPUTED_VALUE"""),"")</f>
        <v/>
      </c>
      <c r="J1418">
        <f>IFERROR(__xludf.DUMMYFUNCTION("""COMPUTED_VALUE"""),0.0)</f>
        <v>0</v>
      </c>
      <c r="L1418" s="250" t="str">
        <f>IFERROR(__xludf.DUMMYFUNCTION("""COMPUTED_VALUE"""),"")</f>
        <v/>
      </c>
      <c r="M1418" s="250" t="str">
        <f>IFERROR(__xludf.DUMMYFUNCTION("""COMPUTED_VALUE"""),"")</f>
        <v/>
      </c>
      <c r="N1418" s="250" t="str">
        <f>IFERROR(__xludf.DUMMYFUNCTION("""COMPUTED_VALUE"""),"")</f>
        <v/>
      </c>
      <c r="O1418" s="250" t="str">
        <f>IFERROR(__xludf.DUMMYFUNCTION("""COMPUTED_VALUE"""),"")</f>
        <v/>
      </c>
      <c r="P1418" s="250" t="str">
        <f>IFERROR(__xludf.DUMMYFUNCTION("""COMPUTED_VALUE"""),"")</f>
        <v/>
      </c>
      <c r="Q1418" s="250" t="str">
        <f>IFERROR(__xludf.DUMMYFUNCTION("""COMPUTED_VALUE"""),"")</f>
        <v/>
      </c>
      <c r="R1418" s="250" t="str">
        <f>IFERROR(__xludf.DUMMYFUNCTION("""COMPUTED_VALUE"""),"")</f>
        <v/>
      </c>
      <c r="U1418" s="250" t="str">
        <f>IFERROR(__xludf.DUMMYFUNCTION("""COMPUTED_VALUE"""),"#N/A")</f>
        <v>#N/A</v>
      </c>
      <c r="V1418" s="250" t="str">
        <f>IFERROR(__xludf.DUMMYFUNCTION("""COMPUTED_VALUE"""),"#N/A")</f>
        <v>#N/A</v>
      </c>
      <c r="W1418" s="250" t="str">
        <f>IFERROR(__xludf.DUMMYFUNCTION("""COMPUTED_VALUE"""),"#N/A")</f>
        <v>#N/A</v>
      </c>
      <c r="X1418" t="b">
        <f t="shared" ref="X1418:Z1418" si="2812">ISBLANK(K1418)</f>
        <v>1</v>
      </c>
      <c r="Y1418" t="b">
        <f t="shared" si="2812"/>
        <v>0</v>
      </c>
      <c r="Z1418" t="b">
        <f t="shared" si="2812"/>
        <v>0</v>
      </c>
      <c r="AA1418">
        <f t="shared" ref="AA1418:AC1418" si="2813">IF(X1418=FALSE,1,0)</f>
        <v>0</v>
      </c>
      <c r="AB1418">
        <f t="shared" si="2813"/>
        <v>1</v>
      </c>
      <c r="AC1418">
        <f t="shared" si="2813"/>
        <v>1</v>
      </c>
      <c r="AD1418">
        <f t="shared" si="6"/>
        <v>2</v>
      </c>
      <c r="AE1418">
        <f t="shared" si="7"/>
        <v>1</v>
      </c>
    </row>
    <row r="1419">
      <c r="B1419" t="str">
        <f>IFERROR(__xludf.DUMMYFUNCTION("""COMPUTED_VALUE"""),"")</f>
        <v/>
      </c>
      <c r="C1419" t="str">
        <f>IFERROR(__xludf.DUMMYFUNCTION("""COMPUTED_VALUE"""),"")</f>
        <v/>
      </c>
      <c r="D1419" t="str">
        <f>IFERROR(__xludf.DUMMYFUNCTION("""COMPUTED_VALUE"""),"")</f>
        <v/>
      </c>
      <c r="E1419" t="str">
        <f>IFERROR(__xludf.DUMMYFUNCTION("""COMPUTED_VALUE"""),"")</f>
        <v/>
      </c>
      <c r="F1419" t="str">
        <f>IFERROR(__xludf.DUMMYFUNCTION("""COMPUTED_VALUE"""),"")</f>
        <v/>
      </c>
      <c r="G1419" t="str">
        <f>IFERROR(__xludf.DUMMYFUNCTION("""COMPUTED_VALUE"""),"")</f>
        <v/>
      </c>
      <c r="H1419" t="str">
        <f>IFERROR(__xludf.DUMMYFUNCTION("""COMPUTED_VALUE"""),"")</f>
        <v/>
      </c>
      <c r="I1419" t="str">
        <f>IFERROR(__xludf.DUMMYFUNCTION("""COMPUTED_VALUE"""),"")</f>
        <v/>
      </c>
      <c r="J1419">
        <f>IFERROR(__xludf.DUMMYFUNCTION("""COMPUTED_VALUE"""),0.0)</f>
        <v>0</v>
      </c>
      <c r="L1419" s="250" t="str">
        <f>IFERROR(__xludf.DUMMYFUNCTION("""COMPUTED_VALUE"""),"")</f>
        <v/>
      </c>
      <c r="M1419" s="250" t="str">
        <f>IFERROR(__xludf.DUMMYFUNCTION("""COMPUTED_VALUE"""),"")</f>
        <v/>
      </c>
      <c r="N1419" s="250" t="str">
        <f>IFERROR(__xludf.DUMMYFUNCTION("""COMPUTED_VALUE"""),"")</f>
        <v/>
      </c>
      <c r="O1419" s="250" t="str">
        <f>IFERROR(__xludf.DUMMYFUNCTION("""COMPUTED_VALUE"""),"")</f>
        <v/>
      </c>
      <c r="P1419" s="250" t="str">
        <f>IFERROR(__xludf.DUMMYFUNCTION("""COMPUTED_VALUE"""),"")</f>
        <v/>
      </c>
      <c r="Q1419" s="250" t="str">
        <f>IFERROR(__xludf.DUMMYFUNCTION("""COMPUTED_VALUE"""),"")</f>
        <v/>
      </c>
      <c r="R1419" s="250" t="str">
        <f>IFERROR(__xludf.DUMMYFUNCTION("""COMPUTED_VALUE"""),"")</f>
        <v/>
      </c>
      <c r="U1419" s="250" t="str">
        <f>IFERROR(__xludf.DUMMYFUNCTION("""COMPUTED_VALUE"""),"#N/A")</f>
        <v>#N/A</v>
      </c>
      <c r="V1419" s="250" t="str">
        <f>IFERROR(__xludf.DUMMYFUNCTION("""COMPUTED_VALUE"""),"#N/A")</f>
        <v>#N/A</v>
      </c>
      <c r="W1419" s="250" t="str">
        <f>IFERROR(__xludf.DUMMYFUNCTION("""COMPUTED_VALUE"""),"#N/A")</f>
        <v>#N/A</v>
      </c>
      <c r="X1419" t="b">
        <f t="shared" ref="X1419:Z1419" si="2814">ISBLANK(K1419)</f>
        <v>1</v>
      </c>
      <c r="Y1419" t="b">
        <f t="shared" si="2814"/>
        <v>0</v>
      </c>
      <c r="Z1419" t="b">
        <f t="shared" si="2814"/>
        <v>0</v>
      </c>
      <c r="AA1419">
        <f t="shared" ref="AA1419:AC1419" si="2815">IF(X1419=FALSE,1,0)</f>
        <v>0</v>
      </c>
      <c r="AB1419">
        <f t="shared" si="2815"/>
        <v>1</v>
      </c>
      <c r="AC1419">
        <f t="shared" si="2815"/>
        <v>1</v>
      </c>
      <c r="AD1419">
        <f t="shared" si="6"/>
        <v>2</v>
      </c>
      <c r="AE1419">
        <f t="shared" si="7"/>
        <v>1</v>
      </c>
    </row>
    <row r="1420">
      <c r="B1420" t="str">
        <f>IFERROR(__xludf.DUMMYFUNCTION("""COMPUTED_VALUE"""),"")</f>
        <v/>
      </c>
      <c r="C1420" t="str">
        <f>IFERROR(__xludf.DUMMYFUNCTION("""COMPUTED_VALUE"""),"")</f>
        <v/>
      </c>
      <c r="D1420" t="str">
        <f>IFERROR(__xludf.DUMMYFUNCTION("""COMPUTED_VALUE"""),"")</f>
        <v/>
      </c>
      <c r="E1420" t="str">
        <f>IFERROR(__xludf.DUMMYFUNCTION("""COMPUTED_VALUE"""),"")</f>
        <v/>
      </c>
      <c r="F1420" t="str">
        <f>IFERROR(__xludf.DUMMYFUNCTION("""COMPUTED_VALUE"""),"")</f>
        <v/>
      </c>
      <c r="G1420" t="str">
        <f>IFERROR(__xludf.DUMMYFUNCTION("""COMPUTED_VALUE"""),"")</f>
        <v/>
      </c>
      <c r="H1420" t="str">
        <f>IFERROR(__xludf.DUMMYFUNCTION("""COMPUTED_VALUE"""),"")</f>
        <v/>
      </c>
      <c r="I1420" t="str">
        <f>IFERROR(__xludf.DUMMYFUNCTION("""COMPUTED_VALUE"""),"")</f>
        <v/>
      </c>
      <c r="J1420">
        <f>IFERROR(__xludf.DUMMYFUNCTION("""COMPUTED_VALUE"""),0.0)</f>
        <v>0</v>
      </c>
      <c r="L1420" s="250" t="str">
        <f>IFERROR(__xludf.DUMMYFUNCTION("""COMPUTED_VALUE"""),"")</f>
        <v/>
      </c>
      <c r="M1420" s="250" t="str">
        <f>IFERROR(__xludf.DUMMYFUNCTION("""COMPUTED_VALUE"""),"")</f>
        <v/>
      </c>
      <c r="N1420" s="250" t="str">
        <f>IFERROR(__xludf.DUMMYFUNCTION("""COMPUTED_VALUE"""),"")</f>
        <v/>
      </c>
      <c r="O1420" s="250" t="str">
        <f>IFERROR(__xludf.DUMMYFUNCTION("""COMPUTED_VALUE"""),"")</f>
        <v/>
      </c>
      <c r="P1420" s="250" t="str">
        <f>IFERROR(__xludf.DUMMYFUNCTION("""COMPUTED_VALUE"""),"")</f>
        <v/>
      </c>
      <c r="Q1420" s="250" t="str">
        <f>IFERROR(__xludf.DUMMYFUNCTION("""COMPUTED_VALUE"""),"")</f>
        <v/>
      </c>
      <c r="R1420" s="250" t="str">
        <f>IFERROR(__xludf.DUMMYFUNCTION("""COMPUTED_VALUE"""),"")</f>
        <v/>
      </c>
      <c r="U1420" s="250" t="str">
        <f>IFERROR(__xludf.DUMMYFUNCTION("""COMPUTED_VALUE"""),"#N/A")</f>
        <v>#N/A</v>
      </c>
      <c r="V1420" s="250" t="str">
        <f>IFERROR(__xludf.DUMMYFUNCTION("""COMPUTED_VALUE"""),"#N/A")</f>
        <v>#N/A</v>
      </c>
      <c r="W1420" s="250" t="str">
        <f>IFERROR(__xludf.DUMMYFUNCTION("""COMPUTED_VALUE"""),"#N/A")</f>
        <v>#N/A</v>
      </c>
      <c r="X1420" t="b">
        <f t="shared" ref="X1420:Z1420" si="2816">ISBLANK(K1420)</f>
        <v>1</v>
      </c>
      <c r="Y1420" t="b">
        <f t="shared" si="2816"/>
        <v>0</v>
      </c>
      <c r="Z1420" t="b">
        <f t="shared" si="2816"/>
        <v>0</v>
      </c>
      <c r="AA1420">
        <f t="shared" ref="AA1420:AC1420" si="2817">IF(X1420=FALSE,1,0)</f>
        <v>0</v>
      </c>
      <c r="AB1420">
        <f t="shared" si="2817"/>
        <v>1</v>
      </c>
      <c r="AC1420">
        <f t="shared" si="2817"/>
        <v>1</v>
      </c>
      <c r="AD1420">
        <f t="shared" si="6"/>
        <v>2</v>
      </c>
      <c r="AE1420">
        <f t="shared" si="7"/>
        <v>1</v>
      </c>
    </row>
    <row r="1421">
      <c r="B1421" t="str">
        <f>IFERROR(__xludf.DUMMYFUNCTION("""COMPUTED_VALUE"""),"")</f>
        <v/>
      </c>
      <c r="C1421" t="str">
        <f>IFERROR(__xludf.DUMMYFUNCTION("""COMPUTED_VALUE"""),"")</f>
        <v/>
      </c>
      <c r="D1421" t="str">
        <f>IFERROR(__xludf.DUMMYFUNCTION("""COMPUTED_VALUE"""),"")</f>
        <v/>
      </c>
      <c r="E1421" t="str">
        <f>IFERROR(__xludf.DUMMYFUNCTION("""COMPUTED_VALUE"""),"")</f>
        <v/>
      </c>
      <c r="F1421" t="str">
        <f>IFERROR(__xludf.DUMMYFUNCTION("""COMPUTED_VALUE"""),"")</f>
        <v/>
      </c>
      <c r="G1421" t="str">
        <f>IFERROR(__xludf.DUMMYFUNCTION("""COMPUTED_VALUE"""),"")</f>
        <v/>
      </c>
      <c r="H1421" t="str">
        <f>IFERROR(__xludf.DUMMYFUNCTION("""COMPUTED_VALUE"""),"")</f>
        <v/>
      </c>
      <c r="I1421" t="str">
        <f>IFERROR(__xludf.DUMMYFUNCTION("""COMPUTED_VALUE"""),"")</f>
        <v/>
      </c>
      <c r="J1421">
        <f>IFERROR(__xludf.DUMMYFUNCTION("""COMPUTED_VALUE"""),0.0)</f>
        <v>0</v>
      </c>
      <c r="L1421" s="250" t="str">
        <f>IFERROR(__xludf.DUMMYFUNCTION("""COMPUTED_VALUE"""),"")</f>
        <v/>
      </c>
      <c r="M1421" s="250" t="str">
        <f>IFERROR(__xludf.DUMMYFUNCTION("""COMPUTED_VALUE"""),"")</f>
        <v/>
      </c>
      <c r="N1421" s="250" t="str">
        <f>IFERROR(__xludf.DUMMYFUNCTION("""COMPUTED_VALUE"""),"")</f>
        <v/>
      </c>
      <c r="O1421" s="250" t="str">
        <f>IFERROR(__xludf.DUMMYFUNCTION("""COMPUTED_VALUE"""),"")</f>
        <v/>
      </c>
      <c r="P1421" s="250" t="str">
        <f>IFERROR(__xludf.DUMMYFUNCTION("""COMPUTED_VALUE"""),"")</f>
        <v/>
      </c>
      <c r="Q1421" s="250" t="str">
        <f>IFERROR(__xludf.DUMMYFUNCTION("""COMPUTED_VALUE"""),"")</f>
        <v/>
      </c>
      <c r="R1421" s="250" t="str">
        <f>IFERROR(__xludf.DUMMYFUNCTION("""COMPUTED_VALUE"""),"")</f>
        <v/>
      </c>
      <c r="U1421" s="250" t="str">
        <f>IFERROR(__xludf.DUMMYFUNCTION("""COMPUTED_VALUE"""),"#N/A")</f>
        <v>#N/A</v>
      </c>
      <c r="V1421" s="250" t="str">
        <f>IFERROR(__xludf.DUMMYFUNCTION("""COMPUTED_VALUE"""),"#N/A")</f>
        <v>#N/A</v>
      </c>
      <c r="W1421" s="250" t="str">
        <f>IFERROR(__xludf.DUMMYFUNCTION("""COMPUTED_VALUE"""),"#N/A")</f>
        <v>#N/A</v>
      </c>
      <c r="X1421" t="b">
        <f t="shared" ref="X1421:Z1421" si="2818">ISBLANK(K1421)</f>
        <v>1</v>
      </c>
      <c r="Y1421" t="b">
        <f t="shared" si="2818"/>
        <v>0</v>
      </c>
      <c r="Z1421" t="b">
        <f t="shared" si="2818"/>
        <v>0</v>
      </c>
      <c r="AA1421">
        <f t="shared" ref="AA1421:AC1421" si="2819">IF(X1421=FALSE,1,0)</f>
        <v>0</v>
      </c>
      <c r="AB1421">
        <f t="shared" si="2819"/>
        <v>1</v>
      </c>
      <c r="AC1421">
        <f t="shared" si="2819"/>
        <v>1</v>
      </c>
      <c r="AD1421">
        <f t="shared" si="6"/>
        <v>2</v>
      </c>
      <c r="AE1421">
        <f t="shared" si="7"/>
        <v>1</v>
      </c>
    </row>
    <row r="1422">
      <c r="B1422" t="str">
        <f>IFERROR(__xludf.DUMMYFUNCTION("""COMPUTED_VALUE"""),"")</f>
        <v/>
      </c>
      <c r="C1422" t="str">
        <f>IFERROR(__xludf.DUMMYFUNCTION("""COMPUTED_VALUE"""),"")</f>
        <v/>
      </c>
      <c r="D1422" t="str">
        <f>IFERROR(__xludf.DUMMYFUNCTION("""COMPUTED_VALUE"""),"")</f>
        <v/>
      </c>
      <c r="E1422" t="str">
        <f>IFERROR(__xludf.DUMMYFUNCTION("""COMPUTED_VALUE"""),"")</f>
        <v/>
      </c>
      <c r="F1422" t="str">
        <f>IFERROR(__xludf.DUMMYFUNCTION("""COMPUTED_VALUE"""),"")</f>
        <v/>
      </c>
      <c r="G1422" t="str">
        <f>IFERROR(__xludf.DUMMYFUNCTION("""COMPUTED_VALUE"""),"")</f>
        <v/>
      </c>
      <c r="H1422" t="str">
        <f>IFERROR(__xludf.DUMMYFUNCTION("""COMPUTED_VALUE"""),"")</f>
        <v/>
      </c>
      <c r="I1422" t="str">
        <f>IFERROR(__xludf.DUMMYFUNCTION("""COMPUTED_VALUE"""),"")</f>
        <v/>
      </c>
      <c r="J1422">
        <f>IFERROR(__xludf.DUMMYFUNCTION("""COMPUTED_VALUE"""),0.0)</f>
        <v>0</v>
      </c>
      <c r="L1422" s="250" t="str">
        <f>IFERROR(__xludf.DUMMYFUNCTION("""COMPUTED_VALUE"""),"")</f>
        <v/>
      </c>
      <c r="M1422" s="250" t="str">
        <f>IFERROR(__xludf.DUMMYFUNCTION("""COMPUTED_VALUE"""),"")</f>
        <v/>
      </c>
      <c r="N1422" s="250" t="str">
        <f>IFERROR(__xludf.DUMMYFUNCTION("""COMPUTED_VALUE"""),"")</f>
        <v/>
      </c>
      <c r="O1422" s="250" t="str">
        <f>IFERROR(__xludf.DUMMYFUNCTION("""COMPUTED_VALUE"""),"")</f>
        <v/>
      </c>
      <c r="P1422" s="250" t="str">
        <f>IFERROR(__xludf.DUMMYFUNCTION("""COMPUTED_VALUE"""),"")</f>
        <v/>
      </c>
      <c r="Q1422" s="250" t="str">
        <f>IFERROR(__xludf.DUMMYFUNCTION("""COMPUTED_VALUE"""),"")</f>
        <v/>
      </c>
      <c r="R1422" s="250" t="str">
        <f>IFERROR(__xludf.DUMMYFUNCTION("""COMPUTED_VALUE"""),"")</f>
        <v/>
      </c>
      <c r="U1422" s="250" t="str">
        <f>IFERROR(__xludf.DUMMYFUNCTION("""COMPUTED_VALUE"""),"#N/A")</f>
        <v>#N/A</v>
      </c>
      <c r="V1422" s="250" t="str">
        <f>IFERROR(__xludf.DUMMYFUNCTION("""COMPUTED_VALUE"""),"#N/A")</f>
        <v>#N/A</v>
      </c>
      <c r="W1422" s="250" t="str">
        <f>IFERROR(__xludf.DUMMYFUNCTION("""COMPUTED_VALUE"""),"#N/A")</f>
        <v>#N/A</v>
      </c>
      <c r="X1422" t="b">
        <f t="shared" ref="X1422:Z1422" si="2820">ISBLANK(K1422)</f>
        <v>1</v>
      </c>
      <c r="Y1422" t="b">
        <f t="shared" si="2820"/>
        <v>0</v>
      </c>
      <c r="Z1422" t="b">
        <f t="shared" si="2820"/>
        <v>0</v>
      </c>
      <c r="AA1422">
        <f t="shared" ref="AA1422:AC1422" si="2821">IF(X1422=FALSE,1,0)</f>
        <v>0</v>
      </c>
      <c r="AB1422">
        <f t="shared" si="2821"/>
        <v>1</v>
      </c>
      <c r="AC1422">
        <f t="shared" si="2821"/>
        <v>1</v>
      </c>
      <c r="AD1422">
        <f t="shared" si="6"/>
        <v>2</v>
      </c>
      <c r="AE1422">
        <f t="shared" si="7"/>
        <v>1</v>
      </c>
    </row>
    <row r="1423">
      <c r="B1423" t="str">
        <f>IFERROR(__xludf.DUMMYFUNCTION("""COMPUTED_VALUE"""),"")</f>
        <v/>
      </c>
      <c r="C1423" t="str">
        <f>IFERROR(__xludf.DUMMYFUNCTION("""COMPUTED_VALUE"""),"")</f>
        <v/>
      </c>
      <c r="D1423" t="str">
        <f>IFERROR(__xludf.DUMMYFUNCTION("""COMPUTED_VALUE"""),"")</f>
        <v/>
      </c>
      <c r="E1423" t="str">
        <f>IFERROR(__xludf.DUMMYFUNCTION("""COMPUTED_VALUE"""),"")</f>
        <v/>
      </c>
      <c r="F1423" t="str">
        <f>IFERROR(__xludf.DUMMYFUNCTION("""COMPUTED_VALUE"""),"")</f>
        <v/>
      </c>
      <c r="G1423" t="str">
        <f>IFERROR(__xludf.DUMMYFUNCTION("""COMPUTED_VALUE"""),"")</f>
        <v/>
      </c>
      <c r="H1423" t="str">
        <f>IFERROR(__xludf.DUMMYFUNCTION("""COMPUTED_VALUE"""),"")</f>
        <v/>
      </c>
      <c r="I1423" t="str">
        <f>IFERROR(__xludf.DUMMYFUNCTION("""COMPUTED_VALUE"""),"")</f>
        <v/>
      </c>
      <c r="J1423">
        <f>IFERROR(__xludf.DUMMYFUNCTION("""COMPUTED_VALUE"""),0.0)</f>
        <v>0</v>
      </c>
      <c r="L1423" s="250" t="str">
        <f>IFERROR(__xludf.DUMMYFUNCTION("""COMPUTED_VALUE"""),"")</f>
        <v/>
      </c>
      <c r="M1423" s="250" t="str">
        <f>IFERROR(__xludf.DUMMYFUNCTION("""COMPUTED_VALUE"""),"")</f>
        <v/>
      </c>
      <c r="N1423" s="250" t="str">
        <f>IFERROR(__xludf.DUMMYFUNCTION("""COMPUTED_VALUE"""),"")</f>
        <v/>
      </c>
      <c r="O1423" s="250" t="str">
        <f>IFERROR(__xludf.DUMMYFUNCTION("""COMPUTED_VALUE"""),"")</f>
        <v/>
      </c>
      <c r="P1423" s="250" t="str">
        <f>IFERROR(__xludf.DUMMYFUNCTION("""COMPUTED_VALUE"""),"")</f>
        <v/>
      </c>
      <c r="Q1423" s="250" t="str">
        <f>IFERROR(__xludf.DUMMYFUNCTION("""COMPUTED_VALUE"""),"")</f>
        <v/>
      </c>
      <c r="R1423" s="250" t="str">
        <f>IFERROR(__xludf.DUMMYFUNCTION("""COMPUTED_VALUE"""),"")</f>
        <v/>
      </c>
      <c r="U1423" s="250" t="str">
        <f>IFERROR(__xludf.DUMMYFUNCTION("""COMPUTED_VALUE"""),"#N/A")</f>
        <v>#N/A</v>
      </c>
      <c r="V1423" s="250" t="str">
        <f>IFERROR(__xludf.DUMMYFUNCTION("""COMPUTED_VALUE"""),"#N/A")</f>
        <v>#N/A</v>
      </c>
      <c r="W1423" s="250" t="str">
        <f>IFERROR(__xludf.DUMMYFUNCTION("""COMPUTED_VALUE"""),"#N/A")</f>
        <v>#N/A</v>
      </c>
      <c r="X1423" t="b">
        <f t="shared" ref="X1423:Z1423" si="2822">ISBLANK(K1423)</f>
        <v>1</v>
      </c>
      <c r="Y1423" t="b">
        <f t="shared" si="2822"/>
        <v>0</v>
      </c>
      <c r="Z1423" t="b">
        <f t="shared" si="2822"/>
        <v>0</v>
      </c>
      <c r="AA1423">
        <f t="shared" ref="AA1423:AC1423" si="2823">IF(X1423=FALSE,1,0)</f>
        <v>0</v>
      </c>
      <c r="AB1423">
        <f t="shared" si="2823"/>
        <v>1</v>
      </c>
      <c r="AC1423">
        <f t="shared" si="2823"/>
        <v>1</v>
      </c>
      <c r="AD1423">
        <f t="shared" si="6"/>
        <v>2</v>
      </c>
      <c r="AE1423">
        <f t="shared" si="7"/>
        <v>1</v>
      </c>
    </row>
    <row r="1424">
      <c r="B1424" t="str">
        <f>IFERROR(__xludf.DUMMYFUNCTION("""COMPUTED_VALUE"""),"")</f>
        <v/>
      </c>
      <c r="C1424" t="str">
        <f>IFERROR(__xludf.DUMMYFUNCTION("""COMPUTED_VALUE"""),"")</f>
        <v/>
      </c>
      <c r="D1424" t="str">
        <f>IFERROR(__xludf.DUMMYFUNCTION("""COMPUTED_VALUE"""),"")</f>
        <v/>
      </c>
      <c r="E1424" t="str">
        <f>IFERROR(__xludf.DUMMYFUNCTION("""COMPUTED_VALUE"""),"")</f>
        <v/>
      </c>
      <c r="F1424" t="str">
        <f>IFERROR(__xludf.DUMMYFUNCTION("""COMPUTED_VALUE"""),"")</f>
        <v/>
      </c>
      <c r="G1424" t="str">
        <f>IFERROR(__xludf.DUMMYFUNCTION("""COMPUTED_VALUE"""),"")</f>
        <v/>
      </c>
      <c r="H1424" t="str">
        <f>IFERROR(__xludf.DUMMYFUNCTION("""COMPUTED_VALUE"""),"")</f>
        <v/>
      </c>
      <c r="I1424" t="str">
        <f>IFERROR(__xludf.DUMMYFUNCTION("""COMPUTED_VALUE"""),"")</f>
        <v/>
      </c>
      <c r="J1424">
        <f>IFERROR(__xludf.DUMMYFUNCTION("""COMPUTED_VALUE"""),0.0)</f>
        <v>0</v>
      </c>
      <c r="L1424" s="250" t="str">
        <f>IFERROR(__xludf.DUMMYFUNCTION("""COMPUTED_VALUE"""),"")</f>
        <v/>
      </c>
      <c r="M1424" s="250" t="str">
        <f>IFERROR(__xludf.DUMMYFUNCTION("""COMPUTED_VALUE"""),"")</f>
        <v/>
      </c>
      <c r="N1424" s="250" t="str">
        <f>IFERROR(__xludf.DUMMYFUNCTION("""COMPUTED_VALUE"""),"")</f>
        <v/>
      </c>
      <c r="O1424" s="250" t="str">
        <f>IFERROR(__xludf.DUMMYFUNCTION("""COMPUTED_VALUE"""),"")</f>
        <v/>
      </c>
      <c r="P1424" s="250" t="str">
        <f>IFERROR(__xludf.DUMMYFUNCTION("""COMPUTED_VALUE"""),"")</f>
        <v/>
      </c>
      <c r="Q1424" s="250" t="str">
        <f>IFERROR(__xludf.DUMMYFUNCTION("""COMPUTED_VALUE"""),"")</f>
        <v/>
      </c>
      <c r="R1424" s="250" t="str">
        <f>IFERROR(__xludf.DUMMYFUNCTION("""COMPUTED_VALUE"""),"")</f>
        <v/>
      </c>
      <c r="U1424" s="250" t="str">
        <f>IFERROR(__xludf.DUMMYFUNCTION("""COMPUTED_VALUE"""),"#N/A")</f>
        <v>#N/A</v>
      </c>
      <c r="V1424" s="250" t="str">
        <f>IFERROR(__xludf.DUMMYFUNCTION("""COMPUTED_VALUE"""),"#N/A")</f>
        <v>#N/A</v>
      </c>
      <c r="W1424" s="250" t="str">
        <f>IFERROR(__xludf.DUMMYFUNCTION("""COMPUTED_VALUE"""),"#N/A")</f>
        <v>#N/A</v>
      </c>
      <c r="X1424" t="b">
        <f t="shared" ref="X1424:Z1424" si="2824">ISBLANK(K1424)</f>
        <v>1</v>
      </c>
      <c r="Y1424" t="b">
        <f t="shared" si="2824"/>
        <v>0</v>
      </c>
      <c r="Z1424" t="b">
        <f t="shared" si="2824"/>
        <v>0</v>
      </c>
      <c r="AA1424">
        <f t="shared" ref="AA1424:AC1424" si="2825">IF(X1424=FALSE,1,0)</f>
        <v>0</v>
      </c>
      <c r="AB1424">
        <f t="shared" si="2825"/>
        <v>1</v>
      </c>
      <c r="AC1424">
        <f t="shared" si="2825"/>
        <v>1</v>
      </c>
      <c r="AD1424">
        <f t="shared" si="6"/>
        <v>2</v>
      </c>
      <c r="AE1424">
        <f t="shared" si="7"/>
        <v>1</v>
      </c>
    </row>
    <row r="1425">
      <c r="B1425" t="str">
        <f>IFERROR(__xludf.DUMMYFUNCTION("""COMPUTED_VALUE"""),"")</f>
        <v/>
      </c>
      <c r="C1425" t="str">
        <f>IFERROR(__xludf.DUMMYFUNCTION("""COMPUTED_VALUE"""),"")</f>
        <v/>
      </c>
      <c r="D1425" t="str">
        <f>IFERROR(__xludf.DUMMYFUNCTION("""COMPUTED_VALUE"""),"")</f>
        <v/>
      </c>
      <c r="E1425" t="str">
        <f>IFERROR(__xludf.DUMMYFUNCTION("""COMPUTED_VALUE"""),"")</f>
        <v/>
      </c>
      <c r="F1425" t="str">
        <f>IFERROR(__xludf.DUMMYFUNCTION("""COMPUTED_VALUE"""),"")</f>
        <v/>
      </c>
      <c r="G1425" t="str">
        <f>IFERROR(__xludf.DUMMYFUNCTION("""COMPUTED_VALUE"""),"")</f>
        <v/>
      </c>
      <c r="H1425" t="str">
        <f>IFERROR(__xludf.DUMMYFUNCTION("""COMPUTED_VALUE"""),"")</f>
        <v/>
      </c>
      <c r="I1425" t="str">
        <f>IFERROR(__xludf.DUMMYFUNCTION("""COMPUTED_VALUE"""),"")</f>
        <v/>
      </c>
      <c r="J1425">
        <f>IFERROR(__xludf.DUMMYFUNCTION("""COMPUTED_VALUE"""),0.0)</f>
        <v>0</v>
      </c>
      <c r="L1425" s="250" t="str">
        <f>IFERROR(__xludf.DUMMYFUNCTION("""COMPUTED_VALUE"""),"")</f>
        <v/>
      </c>
      <c r="M1425" s="250" t="str">
        <f>IFERROR(__xludf.DUMMYFUNCTION("""COMPUTED_VALUE"""),"")</f>
        <v/>
      </c>
      <c r="N1425" s="250" t="str">
        <f>IFERROR(__xludf.DUMMYFUNCTION("""COMPUTED_VALUE"""),"")</f>
        <v/>
      </c>
      <c r="O1425" s="250" t="str">
        <f>IFERROR(__xludf.DUMMYFUNCTION("""COMPUTED_VALUE"""),"")</f>
        <v/>
      </c>
      <c r="P1425" s="250" t="str">
        <f>IFERROR(__xludf.DUMMYFUNCTION("""COMPUTED_VALUE"""),"")</f>
        <v/>
      </c>
      <c r="Q1425" s="250" t="str">
        <f>IFERROR(__xludf.DUMMYFUNCTION("""COMPUTED_VALUE"""),"")</f>
        <v/>
      </c>
      <c r="R1425" s="250" t="str">
        <f>IFERROR(__xludf.DUMMYFUNCTION("""COMPUTED_VALUE"""),"")</f>
        <v/>
      </c>
      <c r="U1425" s="250" t="str">
        <f>IFERROR(__xludf.DUMMYFUNCTION("""COMPUTED_VALUE"""),"#N/A")</f>
        <v>#N/A</v>
      </c>
      <c r="V1425" s="250" t="str">
        <f>IFERROR(__xludf.DUMMYFUNCTION("""COMPUTED_VALUE"""),"#N/A")</f>
        <v>#N/A</v>
      </c>
      <c r="W1425" s="250" t="str">
        <f>IFERROR(__xludf.DUMMYFUNCTION("""COMPUTED_VALUE"""),"#N/A")</f>
        <v>#N/A</v>
      </c>
      <c r="X1425" t="b">
        <f t="shared" ref="X1425:Z1425" si="2826">ISBLANK(K1425)</f>
        <v>1</v>
      </c>
      <c r="Y1425" t="b">
        <f t="shared" si="2826"/>
        <v>0</v>
      </c>
      <c r="Z1425" t="b">
        <f t="shared" si="2826"/>
        <v>0</v>
      </c>
      <c r="AA1425">
        <f t="shared" ref="AA1425:AC1425" si="2827">IF(X1425=FALSE,1,0)</f>
        <v>0</v>
      </c>
      <c r="AB1425">
        <f t="shared" si="2827"/>
        <v>1</v>
      </c>
      <c r="AC1425">
        <f t="shared" si="2827"/>
        <v>1</v>
      </c>
      <c r="AD1425">
        <f t="shared" si="6"/>
        <v>2</v>
      </c>
      <c r="AE1425">
        <f t="shared" si="7"/>
        <v>1</v>
      </c>
    </row>
    <row r="1426">
      <c r="B1426" t="str">
        <f>IFERROR(__xludf.DUMMYFUNCTION("""COMPUTED_VALUE"""),"")</f>
        <v/>
      </c>
      <c r="C1426" t="str">
        <f>IFERROR(__xludf.DUMMYFUNCTION("""COMPUTED_VALUE"""),"")</f>
        <v/>
      </c>
      <c r="D1426" t="str">
        <f>IFERROR(__xludf.DUMMYFUNCTION("""COMPUTED_VALUE"""),"")</f>
        <v/>
      </c>
      <c r="E1426" t="str">
        <f>IFERROR(__xludf.DUMMYFUNCTION("""COMPUTED_VALUE"""),"")</f>
        <v/>
      </c>
      <c r="F1426" t="str">
        <f>IFERROR(__xludf.DUMMYFUNCTION("""COMPUTED_VALUE"""),"")</f>
        <v/>
      </c>
      <c r="G1426" t="str">
        <f>IFERROR(__xludf.DUMMYFUNCTION("""COMPUTED_VALUE"""),"")</f>
        <v/>
      </c>
      <c r="H1426" t="str">
        <f>IFERROR(__xludf.DUMMYFUNCTION("""COMPUTED_VALUE"""),"")</f>
        <v/>
      </c>
      <c r="I1426" t="str">
        <f>IFERROR(__xludf.DUMMYFUNCTION("""COMPUTED_VALUE"""),"")</f>
        <v/>
      </c>
      <c r="J1426">
        <f>IFERROR(__xludf.DUMMYFUNCTION("""COMPUTED_VALUE"""),0.0)</f>
        <v>0</v>
      </c>
      <c r="L1426" s="250" t="str">
        <f>IFERROR(__xludf.DUMMYFUNCTION("""COMPUTED_VALUE"""),"")</f>
        <v/>
      </c>
      <c r="M1426" s="250" t="str">
        <f>IFERROR(__xludf.DUMMYFUNCTION("""COMPUTED_VALUE"""),"")</f>
        <v/>
      </c>
      <c r="N1426" s="250" t="str">
        <f>IFERROR(__xludf.DUMMYFUNCTION("""COMPUTED_VALUE"""),"")</f>
        <v/>
      </c>
      <c r="O1426" s="250" t="str">
        <f>IFERROR(__xludf.DUMMYFUNCTION("""COMPUTED_VALUE"""),"")</f>
        <v/>
      </c>
      <c r="P1426" s="250" t="str">
        <f>IFERROR(__xludf.DUMMYFUNCTION("""COMPUTED_VALUE"""),"")</f>
        <v/>
      </c>
      <c r="Q1426" s="250" t="str">
        <f>IFERROR(__xludf.DUMMYFUNCTION("""COMPUTED_VALUE"""),"")</f>
        <v/>
      </c>
      <c r="R1426" s="250" t="str">
        <f>IFERROR(__xludf.DUMMYFUNCTION("""COMPUTED_VALUE"""),"")</f>
        <v/>
      </c>
      <c r="U1426" s="250" t="str">
        <f>IFERROR(__xludf.DUMMYFUNCTION("""COMPUTED_VALUE"""),"#N/A")</f>
        <v>#N/A</v>
      </c>
      <c r="V1426" s="250" t="str">
        <f>IFERROR(__xludf.DUMMYFUNCTION("""COMPUTED_VALUE"""),"#N/A")</f>
        <v>#N/A</v>
      </c>
      <c r="W1426" s="250" t="str">
        <f>IFERROR(__xludf.DUMMYFUNCTION("""COMPUTED_VALUE"""),"#N/A")</f>
        <v>#N/A</v>
      </c>
      <c r="X1426" t="b">
        <f t="shared" ref="X1426:Z1426" si="2828">ISBLANK(K1426)</f>
        <v>1</v>
      </c>
      <c r="Y1426" t="b">
        <f t="shared" si="2828"/>
        <v>0</v>
      </c>
      <c r="Z1426" t="b">
        <f t="shared" si="2828"/>
        <v>0</v>
      </c>
      <c r="AA1426">
        <f t="shared" ref="AA1426:AC1426" si="2829">IF(X1426=FALSE,1,0)</f>
        <v>0</v>
      </c>
      <c r="AB1426">
        <f t="shared" si="2829"/>
        <v>1</v>
      </c>
      <c r="AC1426">
        <f t="shared" si="2829"/>
        <v>1</v>
      </c>
      <c r="AD1426">
        <f t="shared" si="6"/>
        <v>2</v>
      </c>
      <c r="AE1426">
        <f t="shared" si="7"/>
        <v>1</v>
      </c>
    </row>
    <row r="1427">
      <c r="B1427" t="str">
        <f>IFERROR(__xludf.DUMMYFUNCTION("""COMPUTED_VALUE"""),"")</f>
        <v/>
      </c>
      <c r="C1427" t="str">
        <f>IFERROR(__xludf.DUMMYFUNCTION("""COMPUTED_VALUE"""),"")</f>
        <v/>
      </c>
      <c r="D1427" t="str">
        <f>IFERROR(__xludf.DUMMYFUNCTION("""COMPUTED_VALUE"""),"")</f>
        <v/>
      </c>
      <c r="E1427" t="str">
        <f>IFERROR(__xludf.DUMMYFUNCTION("""COMPUTED_VALUE"""),"")</f>
        <v/>
      </c>
      <c r="F1427" t="str">
        <f>IFERROR(__xludf.DUMMYFUNCTION("""COMPUTED_VALUE"""),"")</f>
        <v/>
      </c>
      <c r="G1427" t="str">
        <f>IFERROR(__xludf.DUMMYFUNCTION("""COMPUTED_VALUE"""),"")</f>
        <v/>
      </c>
      <c r="H1427" t="str">
        <f>IFERROR(__xludf.DUMMYFUNCTION("""COMPUTED_VALUE"""),"")</f>
        <v/>
      </c>
      <c r="I1427" t="str">
        <f>IFERROR(__xludf.DUMMYFUNCTION("""COMPUTED_VALUE"""),"")</f>
        <v/>
      </c>
      <c r="J1427">
        <f>IFERROR(__xludf.DUMMYFUNCTION("""COMPUTED_VALUE"""),0.0)</f>
        <v>0</v>
      </c>
      <c r="L1427" s="250" t="str">
        <f>IFERROR(__xludf.DUMMYFUNCTION("""COMPUTED_VALUE"""),"")</f>
        <v/>
      </c>
      <c r="M1427" s="250" t="str">
        <f>IFERROR(__xludf.DUMMYFUNCTION("""COMPUTED_VALUE"""),"")</f>
        <v/>
      </c>
      <c r="N1427" s="250" t="str">
        <f>IFERROR(__xludf.DUMMYFUNCTION("""COMPUTED_VALUE"""),"")</f>
        <v/>
      </c>
      <c r="O1427" s="250" t="str">
        <f>IFERROR(__xludf.DUMMYFUNCTION("""COMPUTED_VALUE"""),"")</f>
        <v/>
      </c>
      <c r="P1427" s="250" t="str">
        <f>IFERROR(__xludf.DUMMYFUNCTION("""COMPUTED_VALUE"""),"")</f>
        <v/>
      </c>
      <c r="Q1427" s="250" t="str">
        <f>IFERROR(__xludf.DUMMYFUNCTION("""COMPUTED_VALUE"""),"")</f>
        <v/>
      </c>
      <c r="R1427" s="250" t="str">
        <f>IFERROR(__xludf.DUMMYFUNCTION("""COMPUTED_VALUE"""),"")</f>
        <v/>
      </c>
      <c r="U1427" s="250" t="str">
        <f>IFERROR(__xludf.DUMMYFUNCTION("""COMPUTED_VALUE"""),"#N/A")</f>
        <v>#N/A</v>
      </c>
      <c r="V1427" s="250" t="str">
        <f>IFERROR(__xludf.DUMMYFUNCTION("""COMPUTED_VALUE"""),"#N/A")</f>
        <v>#N/A</v>
      </c>
      <c r="W1427" s="250" t="str">
        <f>IFERROR(__xludf.DUMMYFUNCTION("""COMPUTED_VALUE"""),"#N/A")</f>
        <v>#N/A</v>
      </c>
      <c r="X1427" t="b">
        <f t="shared" ref="X1427:Z1427" si="2830">ISBLANK(K1427)</f>
        <v>1</v>
      </c>
      <c r="Y1427" t="b">
        <f t="shared" si="2830"/>
        <v>0</v>
      </c>
      <c r="Z1427" t="b">
        <f t="shared" si="2830"/>
        <v>0</v>
      </c>
      <c r="AA1427">
        <f t="shared" ref="AA1427:AC1427" si="2831">IF(X1427=FALSE,1,0)</f>
        <v>0</v>
      </c>
      <c r="AB1427">
        <f t="shared" si="2831"/>
        <v>1</v>
      </c>
      <c r="AC1427">
        <f t="shared" si="2831"/>
        <v>1</v>
      </c>
      <c r="AD1427">
        <f t="shared" si="6"/>
        <v>2</v>
      </c>
      <c r="AE1427">
        <f t="shared" si="7"/>
        <v>1</v>
      </c>
    </row>
    <row r="1428">
      <c r="B1428" t="str">
        <f>IFERROR(__xludf.DUMMYFUNCTION("""COMPUTED_VALUE"""),"")</f>
        <v/>
      </c>
      <c r="C1428" t="str">
        <f>IFERROR(__xludf.DUMMYFUNCTION("""COMPUTED_VALUE"""),"")</f>
        <v/>
      </c>
      <c r="D1428" t="str">
        <f>IFERROR(__xludf.DUMMYFUNCTION("""COMPUTED_VALUE"""),"")</f>
        <v/>
      </c>
      <c r="E1428" t="str">
        <f>IFERROR(__xludf.DUMMYFUNCTION("""COMPUTED_VALUE"""),"")</f>
        <v/>
      </c>
      <c r="F1428" t="str">
        <f>IFERROR(__xludf.DUMMYFUNCTION("""COMPUTED_VALUE"""),"")</f>
        <v/>
      </c>
      <c r="G1428" t="str">
        <f>IFERROR(__xludf.DUMMYFUNCTION("""COMPUTED_VALUE"""),"")</f>
        <v/>
      </c>
      <c r="H1428" t="str">
        <f>IFERROR(__xludf.DUMMYFUNCTION("""COMPUTED_VALUE"""),"")</f>
        <v/>
      </c>
      <c r="I1428" t="str">
        <f>IFERROR(__xludf.DUMMYFUNCTION("""COMPUTED_VALUE"""),"")</f>
        <v/>
      </c>
      <c r="J1428">
        <f>IFERROR(__xludf.DUMMYFUNCTION("""COMPUTED_VALUE"""),0.0)</f>
        <v>0</v>
      </c>
      <c r="L1428" s="250" t="str">
        <f>IFERROR(__xludf.DUMMYFUNCTION("""COMPUTED_VALUE"""),"")</f>
        <v/>
      </c>
      <c r="M1428" s="250" t="str">
        <f>IFERROR(__xludf.DUMMYFUNCTION("""COMPUTED_VALUE"""),"")</f>
        <v/>
      </c>
      <c r="N1428" s="250" t="str">
        <f>IFERROR(__xludf.DUMMYFUNCTION("""COMPUTED_VALUE"""),"")</f>
        <v/>
      </c>
      <c r="O1428" s="250" t="str">
        <f>IFERROR(__xludf.DUMMYFUNCTION("""COMPUTED_VALUE"""),"")</f>
        <v/>
      </c>
      <c r="P1428" s="250" t="str">
        <f>IFERROR(__xludf.DUMMYFUNCTION("""COMPUTED_VALUE"""),"")</f>
        <v/>
      </c>
      <c r="Q1428" s="250" t="str">
        <f>IFERROR(__xludf.DUMMYFUNCTION("""COMPUTED_VALUE"""),"")</f>
        <v/>
      </c>
      <c r="R1428" s="250" t="str">
        <f>IFERROR(__xludf.DUMMYFUNCTION("""COMPUTED_VALUE"""),"")</f>
        <v/>
      </c>
      <c r="U1428" s="250" t="str">
        <f>IFERROR(__xludf.DUMMYFUNCTION("""COMPUTED_VALUE"""),"#N/A")</f>
        <v>#N/A</v>
      </c>
      <c r="V1428" s="250" t="str">
        <f>IFERROR(__xludf.DUMMYFUNCTION("""COMPUTED_VALUE"""),"#N/A")</f>
        <v>#N/A</v>
      </c>
      <c r="W1428" s="250" t="str">
        <f>IFERROR(__xludf.DUMMYFUNCTION("""COMPUTED_VALUE"""),"#N/A")</f>
        <v>#N/A</v>
      </c>
      <c r="X1428" t="b">
        <f t="shared" ref="X1428:Z1428" si="2832">ISBLANK(K1428)</f>
        <v>1</v>
      </c>
      <c r="Y1428" t="b">
        <f t="shared" si="2832"/>
        <v>0</v>
      </c>
      <c r="Z1428" t="b">
        <f t="shared" si="2832"/>
        <v>0</v>
      </c>
      <c r="AA1428">
        <f t="shared" ref="AA1428:AC1428" si="2833">IF(X1428=FALSE,1,0)</f>
        <v>0</v>
      </c>
      <c r="AB1428">
        <f t="shared" si="2833"/>
        <v>1</v>
      </c>
      <c r="AC1428">
        <f t="shared" si="2833"/>
        <v>1</v>
      </c>
      <c r="AD1428">
        <f t="shared" si="6"/>
        <v>2</v>
      </c>
      <c r="AE1428">
        <f t="shared" si="7"/>
        <v>1</v>
      </c>
    </row>
    <row r="1429">
      <c r="B1429" t="str">
        <f>IFERROR(__xludf.DUMMYFUNCTION("""COMPUTED_VALUE"""),"")</f>
        <v/>
      </c>
      <c r="C1429" t="str">
        <f>IFERROR(__xludf.DUMMYFUNCTION("""COMPUTED_VALUE"""),"")</f>
        <v/>
      </c>
      <c r="D1429" t="str">
        <f>IFERROR(__xludf.DUMMYFUNCTION("""COMPUTED_VALUE"""),"")</f>
        <v/>
      </c>
      <c r="E1429" t="str">
        <f>IFERROR(__xludf.DUMMYFUNCTION("""COMPUTED_VALUE"""),"")</f>
        <v/>
      </c>
      <c r="F1429" t="str">
        <f>IFERROR(__xludf.DUMMYFUNCTION("""COMPUTED_VALUE"""),"")</f>
        <v/>
      </c>
      <c r="G1429" t="str">
        <f>IFERROR(__xludf.DUMMYFUNCTION("""COMPUTED_VALUE"""),"")</f>
        <v/>
      </c>
      <c r="H1429" t="str">
        <f>IFERROR(__xludf.DUMMYFUNCTION("""COMPUTED_VALUE"""),"")</f>
        <v/>
      </c>
      <c r="I1429" t="str">
        <f>IFERROR(__xludf.DUMMYFUNCTION("""COMPUTED_VALUE"""),"")</f>
        <v/>
      </c>
      <c r="J1429">
        <f>IFERROR(__xludf.DUMMYFUNCTION("""COMPUTED_VALUE"""),0.0)</f>
        <v>0</v>
      </c>
      <c r="L1429" s="250" t="str">
        <f>IFERROR(__xludf.DUMMYFUNCTION("""COMPUTED_VALUE"""),"")</f>
        <v/>
      </c>
      <c r="M1429" s="250" t="str">
        <f>IFERROR(__xludf.DUMMYFUNCTION("""COMPUTED_VALUE"""),"")</f>
        <v/>
      </c>
      <c r="N1429" s="250" t="str">
        <f>IFERROR(__xludf.DUMMYFUNCTION("""COMPUTED_VALUE"""),"")</f>
        <v/>
      </c>
      <c r="O1429" s="250" t="str">
        <f>IFERROR(__xludf.DUMMYFUNCTION("""COMPUTED_VALUE"""),"")</f>
        <v/>
      </c>
      <c r="P1429" s="250" t="str">
        <f>IFERROR(__xludf.DUMMYFUNCTION("""COMPUTED_VALUE"""),"")</f>
        <v/>
      </c>
      <c r="Q1429" s="250" t="str">
        <f>IFERROR(__xludf.DUMMYFUNCTION("""COMPUTED_VALUE"""),"")</f>
        <v/>
      </c>
      <c r="R1429" s="250" t="str">
        <f>IFERROR(__xludf.DUMMYFUNCTION("""COMPUTED_VALUE"""),"")</f>
        <v/>
      </c>
      <c r="U1429" s="250" t="str">
        <f>IFERROR(__xludf.DUMMYFUNCTION("""COMPUTED_VALUE"""),"#N/A")</f>
        <v>#N/A</v>
      </c>
      <c r="V1429" s="250" t="str">
        <f>IFERROR(__xludf.DUMMYFUNCTION("""COMPUTED_VALUE"""),"#N/A")</f>
        <v>#N/A</v>
      </c>
      <c r="W1429" s="250" t="str">
        <f>IFERROR(__xludf.DUMMYFUNCTION("""COMPUTED_VALUE"""),"#N/A")</f>
        <v>#N/A</v>
      </c>
      <c r="X1429" t="b">
        <f t="shared" ref="X1429:Z1429" si="2834">ISBLANK(K1429)</f>
        <v>1</v>
      </c>
      <c r="Y1429" t="b">
        <f t="shared" si="2834"/>
        <v>0</v>
      </c>
      <c r="Z1429" t="b">
        <f t="shared" si="2834"/>
        <v>0</v>
      </c>
      <c r="AA1429">
        <f t="shared" ref="AA1429:AC1429" si="2835">IF(X1429=FALSE,1,0)</f>
        <v>0</v>
      </c>
      <c r="AB1429">
        <f t="shared" si="2835"/>
        <v>1</v>
      </c>
      <c r="AC1429">
        <f t="shared" si="2835"/>
        <v>1</v>
      </c>
      <c r="AD1429">
        <f t="shared" si="6"/>
        <v>2</v>
      </c>
      <c r="AE1429">
        <f t="shared" si="7"/>
        <v>1</v>
      </c>
    </row>
    <row r="1430">
      <c r="B1430" t="str">
        <f>IFERROR(__xludf.DUMMYFUNCTION("""COMPUTED_VALUE"""),"")</f>
        <v/>
      </c>
      <c r="C1430" t="str">
        <f>IFERROR(__xludf.DUMMYFUNCTION("""COMPUTED_VALUE"""),"")</f>
        <v/>
      </c>
      <c r="D1430" t="str">
        <f>IFERROR(__xludf.DUMMYFUNCTION("""COMPUTED_VALUE"""),"")</f>
        <v/>
      </c>
      <c r="E1430" t="str">
        <f>IFERROR(__xludf.DUMMYFUNCTION("""COMPUTED_VALUE"""),"")</f>
        <v/>
      </c>
      <c r="F1430" t="str">
        <f>IFERROR(__xludf.DUMMYFUNCTION("""COMPUTED_VALUE"""),"")</f>
        <v/>
      </c>
      <c r="G1430" t="str">
        <f>IFERROR(__xludf.DUMMYFUNCTION("""COMPUTED_VALUE"""),"")</f>
        <v/>
      </c>
      <c r="H1430" t="str">
        <f>IFERROR(__xludf.DUMMYFUNCTION("""COMPUTED_VALUE"""),"")</f>
        <v/>
      </c>
      <c r="I1430" t="str">
        <f>IFERROR(__xludf.DUMMYFUNCTION("""COMPUTED_VALUE"""),"")</f>
        <v/>
      </c>
      <c r="J1430">
        <f>IFERROR(__xludf.DUMMYFUNCTION("""COMPUTED_VALUE"""),0.0)</f>
        <v>0</v>
      </c>
      <c r="L1430" s="250" t="str">
        <f>IFERROR(__xludf.DUMMYFUNCTION("""COMPUTED_VALUE"""),"")</f>
        <v/>
      </c>
      <c r="M1430" s="250" t="str">
        <f>IFERROR(__xludf.DUMMYFUNCTION("""COMPUTED_VALUE"""),"")</f>
        <v/>
      </c>
      <c r="N1430" s="250" t="str">
        <f>IFERROR(__xludf.DUMMYFUNCTION("""COMPUTED_VALUE"""),"")</f>
        <v/>
      </c>
      <c r="O1430" s="250" t="str">
        <f>IFERROR(__xludf.DUMMYFUNCTION("""COMPUTED_VALUE"""),"")</f>
        <v/>
      </c>
      <c r="P1430" s="250" t="str">
        <f>IFERROR(__xludf.DUMMYFUNCTION("""COMPUTED_VALUE"""),"")</f>
        <v/>
      </c>
      <c r="Q1430" s="250" t="str">
        <f>IFERROR(__xludf.DUMMYFUNCTION("""COMPUTED_VALUE"""),"")</f>
        <v/>
      </c>
      <c r="R1430" s="250" t="str">
        <f>IFERROR(__xludf.DUMMYFUNCTION("""COMPUTED_VALUE"""),"")</f>
        <v/>
      </c>
      <c r="U1430" s="250" t="str">
        <f>IFERROR(__xludf.DUMMYFUNCTION("""COMPUTED_VALUE"""),"#N/A")</f>
        <v>#N/A</v>
      </c>
      <c r="V1430" s="250" t="str">
        <f>IFERROR(__xludf.DUMMYFUNCTION("""COMPUTED_VALUE"""),"#N/A")</f>
        <v>#N/A</v>
      </c>
      <c r="W1430" s="250" t="str">
        <f>IFERROR(__xludf.DUMMYFUNCTION("""COMPUTED_VALUE"""),"#N/A")</f>
        <v>#N/A</v>
      </c>
      <c r="X1430" t="b">
        <f t="shared" ref="X1430:Z1430" si="2836">ISBLANK(K1430)</f>
        <v>1</v>
      </c>
      <c r="Y1430" t="b">
        <f t="shared" si="2836"/>
        <v>0</v>
      </c>
      <c r="Z1430" t="b">
        <f t="shared" si="2836"/>
        <v>0</v>
      </c>
      <c r="AA1430">
        <f t="shared" ref="AA1430:AC1430" si="2837">IF(X1430=FALSE,1,0)</f>
        <v>0</v>
      </c>
      <c r="AB1430">
        <f t="shared" si="2837"/>
        <v>1</v>
      </c>
      <c r="AC1430">
        <f t="shared" si="2837"/>
        <v>1</v>
      </c>
      <c r="AD1430">
        <f t="shared" si="6"/>
        <v>2</v>
      </c>
      <c r="AE1430">
        <f t="shared" si="7"/>
        <v>1</v>
      </c>
    </row>
    <row r="1431">
      <c r="B1431" t="str">
        <f>IFERROR(__xludf.DUMMYFUNCTION("""COMPUTED_VALUE"""),"")</f>
        <v/>
      </c>
      <c r="C1431" t="str">
        <f>IFERROR(__xludf.DUMMYFUNCTION("""COMPUTED_VALUE"""),"")</f>
        <v/>
      </c>
      <c r="D1431" t="str">
        <f>IFERROR(__xludf.DUMMYFUNCTION("""COMPUTED_VALUE"""),"")</f>
        <v/>
      </c>
      <c r="E1431" t="str">
        <f>IFERROR(__xludf.DUMMYFUNCTION("""COMPUTED_VALUE"""),"")</f>
        <v/>
      </c>
      <c r="F1431" t="str">
        <f>IFERROR(__xludf.DUMMYFUNCTION("""COMPUTED_VALUE"""),"")</f>
        <v/>
      </c>
      <c r="G1431" t="str">
        <f>IFERROR(__xludf.DUMMYFUNCTION("""COMPUTED_VALUE"""),"")</f>
        <v/>
      </c>
      <c r="H1431" t="str">
        <f>IFERROR(__xludf.DUMMYFUNCTION("""COMPUTED_VALUE"""),"")</f>
        <v/>
      </c>
      <c r="I1431" t="str">
        <f>IFERROR(__xludf.DUMMYFUNCTION("""COMPUTED_VALUE"""),"")</f>
        <v/>
      </c>
      <c r="J1431">
        <f>IFERROR(__xludf.DUMMYFUNCTION("""COMPUTED_VALUE"""),0.0)</f>
        <v>0</v>
      </c>
      <c r="L1431" s="250" t="str">
        <f>IFERROR(__xludf.DUMMYFUNCTION("""COMPUTED_VALUE"""),"")</f>
        <v/>
      </c>
      <c r="M1431" s="250" t="str">
        <f>IFERROR(__xludf.DUMMYFUNCTION("""COMPUTED_VALUE"""),"")</f>
        <v/>
      </c>
      <c r="N1431" s="250" t="str">
        <f>IFERROR(__xludf.DUMMYFUNCTION("""COMPUTED_VALUE"""),"")</f>
        <v/>
      </c>
      <c r="O1431" s="250" t="str">
        <f>IFERROR(__xludf.DUMMYFUNCTION("""COMPUTED_VALUE"""),"")</f>
        <v/>
      </c>
      <c r="P1431" s="250" t="str">
        <f>IFERROR(__xludf.DUMMYFUNCTION("""COMPUTED_VALUE"""),"")</f>
        <v/>
      </c>
      <c r="Q1431" s="250" t="str">
        <f>IFERROR(__xludf.DUMMYFUNCTION("""COMPUTED_VALUE"""),"")</f>
        <v/>
      </c>
      <c r="R1431" s="250" t="str">
        <f>IFERROR(__xludf.DUMMYFUNCTION("""COMPUTED_VALUE"""),"")</f>
        <v/>
      </c>
      <c r="U1431" s="250" t="str">
        <f>IFERROR(__xludf.DUMMYFUNCTION("""COMPUTED_VALUE"""),"#N/A")</f>
        <v>#N/A</v>
      </c>
      <c r="V1431" s="250" t="str">
        <f>IFERROR(__xludf.DUMMYFUNCTION("""COMPUTED_VALUE"""),"#N/A")</f>
        <v>#N/A</v>
      </c>
      <c r="W1431" s="250" t="str">
        <f>IFERROR(__xludf.DUMMYFUNCTION("""COMPUTED_VALUE"""),"#N/A")</f>
        <v>#N/A</v>
      </c>
      <c r="X1431" t="b">
        <f t="shared" ref="X1431:Z1431" si="2838">ISBLANK(K1431)</f>
        <v>1</v>
      </c>
      <c r="Y1431" t="b">
        <f t="shared" si="2838"/>
        <v>0</v>
      </c>
      <c r="Z1431" t="b">
        <f t="shared" si="2838"/>
        <v>0</v>
      </c>
      <c r="AA1431">
        <f t="shared" ref="AA1431:AC1431" si="2839">IF(X1431=FALSE,1,0)</f>
        <v>0</v>
      </c>
      <c r="AB1431">
        <f t="shared" si="2839"/>
        <v>1</v>
      </c>
      <c r="AC1431">
        <f t="shared" si="2839"/>
        <v>1</v>
      </c>
      <c r="AD1431">
        <f t="shared" si="6"/>
        <v>2</v>
      </c>
      <c r="AE1431">
        <f t="shared" si="7"/>
        <v>1</v>
      </c>
    </row>
    <row r="1432">
      <c r="B1432" t="str">
        <f>IFERROR(__xludf.DUMMYFUNCTION("""COMPUTED_VALUE"""),"")</f>
        <v/>
      </c>
      <c r="C1432" t="str">
        <f>IFERROR(__xludf.DUMMYFUNCTION("""COMPUTED_VALUE"""),"")</f>
        <v/>
      </c>
      <c r="D1432" t="str">
        <f>IFERROR(__xludf.DUMMYFUNCTION("""COMPUTED_VALUE"""),"")</f>
        <v/>
      </c>
      <c r="E1432" t="str">
        <f>IFERROR(__xludf.DUMMYFUNCTION("""COMPUTED_VALUE"""),"")</f>
        <v/>
      </c>
      <c r="F1432" t="str">
        <f>IFERROR(__xludf.DUMMYFUNCTION("""COMPUTED_VALUE"""),"")</f>
        <v/>
      </c>
      <c r="G1432" t="str">
        <f>IFERROR(__xludf.DUMMYFUNCTION("""COMPUTED_VALUE"""),"")</f>
        <v/>
      </c>
      <c r="H1432" t="str">
        <f>IFERROR(__xludf.DUMMYFUNCTION("""COMPUTED_VALUE"""),"")</f>
        <v/>
      </c>
      <c r="I1432" t="str">
        <f>IFERROR(__xludf.DUMMYFUNCTION("""COMPUTED_VALUE"""),"")</f>
        <v/>
      </c>
      <c r="J1432">
        <f>IFERROR(__xludf.DUMMYFUNCTION("""COMPUTED_VALUE"""),0.0)</f>
        <v>0</v>
      </c>
      <c r="L1432" s="250" t="str">
        <f>IFERROR(__xludf.DUMMYFUNCTION("""COMPUTED_VALUE"""),"")</f>
        <v/>
      </c>
      <c r="M1432" s="250" t="str">
        <f>IFERROR(__xludf.DUMMYFUNCTION("""COMPUTED_VALUE"""),"")</f>
        <v/>
      </c>
      <c r="N1432" s="250" t="str">
        <f>IFERROR(__xludf.DUMMYFUNCTION("""COMPUTED_VALUE"""),"")</f>
        <v/>
      </c>
      <c r="O1432" s="250" t="str">
        <f>IFERROR(__xludf.DUMMYFUNCTION("""COMPUTED_VALUE"""),"")</f>
        <v/>
      </c>
      <c r="P1432" s="250" t="str">
        <f>IFERROR(__xludf.DUMMYFUNCTION("""COMPUTED_VALUE"""),"")</f>
        <v/>
      </c>
      <c r="Q1432" s="250" t="str">
        <f>IFERROR(__xludf.DUMMYFUNCTION("""COMPUTED_VALUE"""),"")</f>
        <v/>
      </c>
      <c r="R1432" s="250" t="str">
        <f>IFERROR(__xludf.DUMMYFUNCTION("""COMPUTED_VALUE"""),"")</f>
        <v/>
      </c>
      <c r="U1432" s="250" t="str">
        <f>IFERROR(__xludf.DUMMYFUNCTION("""COMPUTED_VALUE"""),"#N/A")</f>
        <v>#N/A</v>
      </c>
      <c r="V1432" s="250" t="str">
        <f>IFERROR(__xludf.DUMMYFUNCTION("""COMPUTED_VALUE"""),"#N/A")</f>
        <v>#N/A</v>
      </c>
      <c r="W1432" s="250" t="str">
        <f>IFERROR(__xludf.DUMMYFUNCTION("""COMPUTED_VALUE"""),"#N/A")</f>
        <v>#N/A</v>
      </c>
      <c r="X1432" t="b">
        <f t="shared" ref="X1432:Z1432" si="2840">ISBLANK(K1432)</f>
        <v>1</v>
      </c>
      <c r="Y1432" t="b">
        <f t="shared" si="2840"/>
        <v>0</v>
      </c>
      <c r="Z1432" t="b">
        <f t="shared" si="2840"/>
        <v>0</v>
      </c>
      <c r="AA1432">
        <f t="shared" ref="AA1432:AC1432" si="2841">IF(X1432=FALSE,1,0)</f>
        <v>0</v>
      </c>
      <c r="AB1432">
        <f t="shared" si="2841"/>
        <v>1</v>
      </c>
      <c r="AC1432">
        <f t="shared" si="2841"/>
        <v>1</v>
      </c>
      <c r="AD1432">
        <f t="shared" si="6"/>
        <v>2</v>
      </c>
      <c r="AE1432">
        <f t="shared" si="7"/>
        <v>1</v>
      </c>
    </row>
    <row r="1433">
      <c r="B1433" t="str">
        <f>IFERROR(__xludf.DUMMYFUNCTION("""COMPUTED_VALUE"""),"")</f>
        <v/>
      </c>
      <c r="C1433" t="str">
        <f>IFERROR(__xludf.DUMMYFUNCTION("""COMPUTED_VALUE"""),"")</f>
        <v/>
      </c>
      <c r="D1433" t="str">
        <f>IFERROR(__xludf.DUMMYFUNCTION("""COMPUTED_VALUE"""),"")</f>
        <v/>
      </c>
      <c r="E1433" t="str">
        <f>IFERROR(__xludf.DUMMYFUNCTION("""COMPUTED_VALUE"""),"")</f>
        <v/>
      </c>
      <c r="F1433" t="str">
        <f>IFERROR(__xludf.DUMMYFUNCTION("""COMPUTED_VALUE"""),"")</f>
        <v/>
      </c>
      <c r="G1433" t="str">
        <f>IFERROR(__xludf.DUMMYFUNCTION("""COMPUTED_VALUE"""),"")</f>
        <v/>
      </c>
      <c r="H1433" t="str">
        <f>IFERROR(__xludf.DUMMYFUNCTION("""COMPUTED_VALUE"""),"")</f>
        <v/>
      </c>
      <c r="I1433" t="str">
        <f>IFERROR(__xludf.DUMMYFUNCTION("""COMPUTED_VALUE"""),"")</f>
        <v/>
      </c>
      <c r="J1433">
        <f>IFERROR(__xludf.DUMMYFUNCTION("""COMPUTED_VALUE"""),0.0)</f>
        <v>0</v>
      </c>
      <c r="L1433" s="250" t="str">
        <f>IFERROR(__xludf.DUMMYFUNCTION("""COMPUTED_VALUE"""),"")</f>
        <v/>
      </c>
      <c r="M1433" s="250" t="str">
        <f>IFERROR(__xludf.DUMMYFUNCTION("""COMPUTED_VALUE"""),"")</f>
        <v/>
      </c>
      <c r="N1433" s="250" t="str">
        <f>IFERROR(__xludf.DUMMYFUNCTION("""COMPUTED_VALUE"""),"")</f>
        <v/>
      </c>
      <c r="O1433" s="250" t="str">
        <f>IFERROR(__xludf.DUMMYFUNCTION("""COMPUTED_VALUE"""),"")</f>
        <v/>
      </c>
      <c r="P1433" s="250" t="str">
        <f>IFERROR(__xludf.DUMMYFUNCTION("""COMPUTED_VALUE"""),"")</f>
        <v/>
      </c>
      <c r="Q1433" s="250" t="str">
        <f>IFERROR(__xludf.DUMMYFUNCTION("""COMPUTED_VALUE"""),"")</f>
        <v/>
      </c>
      <c r="R1433" s="250" t="str">
        <f>IFERROR(__xludf.DUMMYFUNCTION("""COMPUTED_VALUE"""),"")</f>
        <v/>
      </c>
      <c r="U1433" s="250" t="str">
        <f>IFERROR(__xludf.DUMMYFUNCTION("""COMPUTED_VALUE"""),"#N/A")</f>
        <v>#N/A</v>
      </c>
      <c r="V1433" s="250" t="str">
        <f>IFERROR(__xludf.DUMMYFUNCTION("""COMPUTED_VALUE"""),"#N/A")</f>
        <v>#N/A</v>
      </c>
      <c r="W1433" s="250" t="str">
        <f>IFERROR(__xludf.DUMMYFUNCTION("""COMPUTED_VALUE"""),"#N/A")</f>
        <v>#N/A</v>
      </c>
      <c r="X1433" t="b">
        <f t="shared" ref="X1433:Z1433" si="2842">ISBLANK(K1433)</f>
        <v>1</v>
      </c>
      <c r="Y1433" t="b">
        <f t="shared" si="2842"/>
        <v>0</v>
      </c>
      <c r="Z1433" t="b">
        <f t="shared" si="2842"/>
        <v>0</v>
      </c>
      <c r="AA1433">
        <f t="shared" ref="AA1433:AC1433" si="2843">IF(X1433=FALSE,1,0)</f>
        <v>0</v>
      </c>
      <c r="AB1433">
        <f t="shared" si="2843"/>
        <v>1</v>
      </c>
      <c r="AC1433">
        <f t="shared" si="2843"/>
        <v>1</v>
      </c>
      <c r="AD1433">
        <f t="shared" si="6"/>
        <v>2</v>
      </c>
      <c r="AE1433">
        <f t="shared" si="7"/>
        <v>1</v>
      </c>
    </row>
    <row r="1434">
      <c r="B1434" t="str">
        <f>IFERROR(__xludf.DUMMYFUNCTION("""COMPUTED_VALUE"""),"")</f>
        <v/>
      </c>
      <c r="C1434" t="str">
        <f>IFERROR(__xludf.DUMMYFUNCTION("""COMPUTED_VALUE"""),"")</f>
        <v/>
      </c>
      <c r="D1434" t="str">
        <f>IFERROR(__xludf.DUMMYFUNCTION("""COMPUTED_VALUE"""),"")</f>
        <v/>
      </c>
      <c r="E1434" t="str">
        <f>IFERROR(__xludf.DUMMYFUNCTION("""COMPUTED_VALUE"""),"")</f>
        <v/>
      </c>
      <c r="F1434" t="str">
        <f>IFERROR(__xludf.DUMMYFUNCTION("""COMPUTED_VALUE"""),"")</f>
        <v/>
      </c>
      <c r="G1434" t="str">
        <f>IFERROR(__xludf.DUMMYFUNCTION("""COMPUTED_VALUE"""),"")</f>
        <v/>
      </c>
      <c r="H1434" t="str">
        <f>IFERROR(__xludf.DUMMYFUNCTION("""COMPUTED_VALUE"""),"")</f>
        <v/>
      </c>
      <c r="I1434" t="str">
        <f>IFERROR(__xludf.DUMMYFUNCTION("""COMPUTED_VALUE"""),"")</f>
        <v/>
      </c>
      <c r="J1434">
        <f>IFERROR(__xludf.DUMMYFUNCTION("""COMPUTED_VALUE"""),0.0)</f>
        <v>0</v>
      </c>
      <c r="L1434" s="250" t="str">
        <f>IFERROR(__xludf.DUMMYFUNCTION("""COMPUTED_VALUE"""),"")</f>
        <v/>
      </c>
      <c r="M1434" s="250" t="str">
        <f>IFERROR(__xludf.DUMMYFUNCTION("""COMPUTED_VALUE"""),"")</f>
        <v/>
      </c>
      <c r="N1434" s="250" t="str">
        <f>IFERROR(__xludf.DUMMYFUNCTION("""COMPUTED_VALUE"""),"")</f>
        <v/>
      </c>
      <c r="O1434" s="250" t="str">
        <f>IFERROR(__xludf.DUMMYFUNCTION("""COMPUTED_VALUE"""),"")</f>
        <v/>
      </c>
      <c r="P1434" s="250" t="str">
        <f>IFERROR(__xludf.DUMMYFUNCTION("""COMPUTED_VALUE"""),"")</f>
        <v/>
      </c>
      <c r="Q1434" s="250" t="str">
        <f>IFERROR(__xludf.DUMMYFUNCTION("""COMPUTED_VALUE"""),"")</f>
        <v/>
      </c>
      <c r="R1434" s="250" t="str">
        <f>IFERROR(__xludf.DUMMYFUNCTION("""COMPUTED_VALUE"""),"")</f>
        <v/>
      </c>
      <c r="U1434" s="250" t="str">
        <f>IFERROR(__xludf.DUMMYFUNCTION("""COMPUTED_VALUE"""),"#N/A")</f>
        <v>#N/A</v>
      </c>
      <c r="V1434" s="250" t="str">
        <f>IFERROR(__xludf.DUMMYFUNCTION("""COMPUTED_VALUE"""),"#N/A")</f>
        <v>#N/A</v>
      </c>
      <c r="W1434" s="250" t="str">
        <f>IFERROR(__xludf.DUMMYFUNCTION("""COMPUTED_VALUE"""),"#N/A")</f>
        <v>#N/A</v>
      </c>
      <c r="X1434" t="b">
        <f t="shared" ref="X1434:Z1434" si="2844">ISBLANK(K1434)</f>
        <v>1</v>
      </c>
      <c r="Y1434" t="b">
        <f t="shared" si="2844"/>
        <v>0</v>
      </c>
      <c r="Z1434" t="b">
        <f t="shared" si="2844"/>
        <v>0</v>
      </c>
      <c r="AA1434">
        <f t="shared" ref="AA1434:AC1434" si="2845">IF(X1434=FALSE,1,0)</f>
        <v>0</v>
      </c>
      <c r="AB1434">
        <f t="shared" si="2845"/>
        <v>1</v>
      </c>
      <c r="AC1434">
        <f t="shared" si="2845"/>
        <v>1</v>
      </c>
      <c r="AD1434">
        <f t="shared" si="6"/>
        <v>2</v>
      </c>
      <c r="AE1434">
        <f t="shared" si="7"/>
        <v>1</v>
      </c>
    </row>
    <row r="1435">
      <c r="B1435" t="str">
        <f>IFERROR(__xludf.DUMMYFUNCTION("""COMPUTED_VALUE"""),"")</f>
        <v/>
      </c>
      <c r="C1435" t="str">
        <f>IFERROR(__xludf.DUMMYFUNCTION("""COMPUTED_VALUE"""),"")</f>
        <v/>
      </c>
      <c r="D1435" t="str">
        <f>IFERROR(__xludf.DUMMYFUNCTION("""COMPUTED_VALUE"""),"")</f>
        <v/>
      </c>
      <c r="E1435" t="str">
        <f>IFERROR(__xludf.DUMMYFUNCTION("""COMPUTED_VALUE"""),"")</f>
        <v/>
      </c>
      <c r="F1435" t="str">
        <f>IFERROR(__xludf.DUMMYFUNCTION("""COMPUTED_VALUE"""),"")</f>
        <v/>
      </c>
      <c r="G1435" t="str">
        <f>IFERROR(__xludf.DUMMYFUNCTION("""COMPUTED_VALUE"""),"")</f>
        <v/>
      </c>
      <c r="H1435" t="str">
        <f>IFERROR(__xludf.DUMMYFUNCTION("""COMPUTED_VALUE"""),"")</f>
        <v/>
      </c>
      <c r="I1435" t="str">
        <f>IFERROR(__xludf.DUMMYFUNCTION("""COMPUTED_VALUE"""),"")</f>
        <v/>
      </c>
      <c r="J1435">
        <f>IFERROR(__xludf.DUMMYFUNCTION("""COMPUTED_VALUE"""),0.0)</f>
        <v>0</v>
      </c>
      <c r="L1435" s="250" t="str">
        <f>IFERROR(__xludf.DUMMYFUNCTION("""COMPUTED_VALUE"""),"")</f>
        <v/>
      </c>
      <c r="M1435" s="250" t="str">
        <f>IFERROR(__xludf.DUMMYFUNCTION("""COMPUTED_VALUE"""),"")</f>
        <v/>
      </c>
      <c r="N1435" s="250" t="str">
        <f>IFERROR(__xludf.DUMMYFUNCTION("""COMPUTED_VALUE"""),"")</f>
        <v/>
      </c>
      <c r="O1435" s="250" t="str">
        <f>IFERROR(__xludf.DUMMYFUNCTION("""COMPUTED_VALUE"""),"")</f>
        <v/>
      </c>
      <c r="P1435" s="250" t="str">
        <f>IFERROR(__xludf.DUMMYFUNCTION("""COMPUTED_VALUE"""),"")</f>
        <v/>
      </c>
      <c r="Q1435" s="250" t="str">
        <f>IFERROR(__xludf.DUMMYFUNCTION("""COMPUTED_VALUE"""),"")</f>
        <v/>
      </c>
      <c r="R1435" s="250" t="str">
        <f>IFERROR(__xludf.DUMMYFUNCTION("""COMPUTED_VALUE"""),"")</f>
        <v/>
      </c>
      <c r="U1435" s="250" t="str">
        <f>IFERROR(__xludf.DUMMYFUNCTION("""COMPUTED_VALUE"""),"#N/A")</f>
        <v>#N/A</v>
      </c>
      <c r="V1435" s="250" t="str">
        <f>IFERROR(__xludf.DUMMYFUNCTION("""COMPUTED_VALUE"""),"#N/A")</f>
        <v>#N/A</v>
      </c>
      <c r="W1435" s="250" t="str">
        <f>IFERROR(__xludf.DUMMYFUNCTION("""COMPUTED_VALUE"""),"#N/A")</f>
        <v>#N/A</v>
      </c>
      <c r="X1435" t="b">
        <f t="shared" ref="X1435:Z1435" si="2846">ISBLANK(K1435)</f>
        <v>1</v>
      </c>
      <c r="Y1435" t="b">
        <f t="shared" si="2846"/>
        <v>0</v>
      </c>
      <c r="Z1435" t="b">
        <f t="shared" si="2846"/>
        <v>0</v>
      </c>
      <c r="AA1435">
        <f t="shared" ref="AA1435:AC1435" si="2847">IF(X1435=FALSE,1,0)</f>
        <v>0</v>
      </c>
      <c r="AB1435">
        <f t="shared" si="2847"/>
        <v>1</v>
      </c>
      <c r="AC1435">
        <f t="shared" si="2847"/>
        <v>1</v>
      </c>
      <c r="AD1435">
        <f t="shared" si="6"/>
        <v>2</v>
      </c>
      <c r="AE1435">
        <f t="shared" si="7"/>
        <v>1</v>
      </c>
    </row>
    <row r="1436">
      <c r="B1436" t="str">
        <f>IFERROR(__xludf.DUMMYFUNCTION("""COMPUTED_VALUE"""),"")</f>
        <v/>
      </c>
      <c r="C1436" t="str">
        <f>IFERROR(__xludf.DUMMYFUNCTION("""COMPUTED_VALUE"""),"")</f>
        <v/>
      </c>
      <c r="D1436" t="str">
        <f>IFERROR(__xludf.DUMMYFUNCTION("""COMPUTED_VALUE"""),"")</f>
        <v/>
      </c>
      <c r="E1436" t="str">
        <f>IFERROR(__xludf.DUMMYFUNCTION("""COMPUTED_VALUE"""),"")</f>
        <v/>
      </c>
      <c r="F1436" t="str">
        <f>IFERROR(__xludf.DUMMYFUNCTION("""COMPUTED_VALUE"""),"")</f>
        <v/>
      </c>
      <c r="G1436" t="str">
        <f>IFERROR(__xludf.DUMMYFUNCTION("""COMPUTED_VALUE"""),"")</f>
        <v/>
      </c>
      <c r="H1436" t="str">
        <f>IFERROR(__xludf.DUMMYFUNCTION("""COMPUTED_VALUE"""),"")</f>
        <v/>
      </c>
      <c r="I1436" t="str">
        <f>IFERROR(__xludf.DUMMYFUNCTION("""COMPUTED_VALUE"""),"")</f>
        <v/>
      </c>
      <c r="J1436">
        <f>IFERROR(__xludf.DUMMYFUNCTION("""COMPUTED_VALUE"""),0.0)</f>
        <v>0</v>
      </c>
      <c r="L1436" s="250" t="str">
        <f>IFERROR(__xludf.DUMMYFUNCTION("""COMPUTED_VALUE"""),"")</f>
        <v/>
      </c>
      <c r="M1436" s="250" t="str">
        <f>IFERROR(__xludf.DUMMYFUNCTION("""COMPUTED_VALUE"""),"")</f>
        <v/>
      </c>
      <c r="N1436" s="250" t="str">
        <f>IFERROR(__xludf.DUMMYFUNCTION("""COMPUTED_VALUE"""),"")</f>
        <v/>
      </c>
      <c r="O1436" s="250" t="str">
        <f>IFERROR(__xludf.DUMMYFUNCTION("""COMPUTED_VALUE"""),"")</f>
        <v/>
      </c>
      <c r="P1436" s="250" t="str">
        <f>IFERROR(__xludf.DUMMYFUNCTION("""COMPUTED_VALUE"""),"")</f>
        <v/>
      </c>
      <c r="Q1436" s="250" t="str">
        <f>IFERROR(__xludf.DUMMYFUNCTION("""COMPUTED_VALUE"""),"")</f>
        <v/>
      </c>
      <c r="R1436" s="250" t="str">
        <f>IFERROR(__xludf.DUMMYFUNCTION("""COMPUTED_VALUE"""),"")</f>
        <v/>
      </c>
      <c r="U1436" s="250" t="str">
        <f>IFERROR(__xludf.DUMMYFUNCTION("""COMPUTED_VALUE"""),"#N/A")</f>
        <v>#N/A</v>
      </c>
      <c r="V1436" s="250" t="str">
        <f>IFERROR(__xludf.DUMMYFUNCTION("""COMPUTED_VALUE"""),"#N/A")</f>
        <v>#N/A</v>
      </c>
      <c r="W1436" s="250" t="str">
        <f>IFERROR(__xludf.DUMMYFUNCTION("""COMPUTED_VALUE"""),"#N/A")</f>
        <v>#N/A</v>
      </c>
      <c r="X1436" t="b">
        <f t="shared" ref="X1436:Z1436" si="2848">ISBLANK(K1436)</f>
        <v>1</v>
      </c>
      <c r="Y1436" t="b">
        <f t="shared" si="2848"/>
        <v>0</v>
      </c>
      <c r="Z1436" t="b">
        <f t="shared" si="2848"/>
        <v>0</v>
      </c>
      <c r="AA1436">
        <f t="shared" ref="AA1436:AC1436" si="2849">IF(X1436=FALSE,1,0)</f>
        <v>0</v>
      </c>
      <c r="AB1436">
        <f t="shared" si="2849"/>
        <v>1</v>
      </c>
      <c r="AC1436">
        <f t="shared" si="2849"/>
        <v>1</v>
      </c>
      <c r="AD1436">
        <f t="shared" si="6"/>
        <v>2</v>
      </c>
      <c r="AE1436">
        <f t="shared" si="7"/>
        <v>1</v>
      </c>
    </row>
    <row r="1437">
      <c r="B1437" t="str">
        <f>IFERROR(__xludf.DUMMYFUNCTION("""COMPUTED_VALUE"""),"")</f>
        <v/>
      </c>
      <c r="C1437" t="str">
        <f>IFERROR(__xludf.DUMMYFUNCTION("""COMPUTED_VALUE"""),"")</f>
        <v/>
      </c>
      <c r="D1437" t="str">
        <f>IFERROR(__xludf.DUMMYFUNCTION("""COMPUTED_VALUE"""),"")</f>
        <v/>
      </c>
      <c r="E1437" t="str">
        <f>IFERROR(__xludf.DUMMYFUNCTION("""COMPUTED_VALUE"""),"")</f>
        <v/>
      </c>
      <c r="F1437" t="str">
        <f>IFERROR(__xludf.DUMMYFUNCTION("""COMPUTED_VALUE"""),"")</f>
        <v/>
      </c>
      <c r="G1437" t="str">
        <f>IFERROR(__xludf.DUMMYFUNCTION("""COMPUTED_VALUE"""),"")</f>
        <v/>
      </c>
      <c r="H1437" t="str">
        <f>IFERROR(__xludf.DUMMYFUNCTION("""COMPUTED_VALUE"""),"")</f>
        <v/>
      </c>
      <c r="I1437" t="str">
        <f>IFERROR(__xludf.DUMMYFUNCTION("""COMPUTED_VALUE"""),"")</f>
        <v/>
      </c>
      <c r="J1437">
        <f>IFERROR(__xludf.DUMMYFUNCTION("""COMPUTED_VALUE"""),0.0)</f>
        <v>0</v>
      </c>
      <c r="L1437" s="250" t="str">
        <f>IFERROR(__xludf.DUMMYFUNCTION("""COMPUTED_VALUE"""),"")</f>
        <v/>
      </c>
      <c r="M1437" s="250" t="str">
        <f>IFERROR(__xludf.DUMMYFUNCTION("""COMPUTED_VALUE"""),"")</f>
        <v/>
      </c>
      <c r="N1437" s="250" t="str">
        <f>IFERROR(__xludf.DUMMYFUNCTION("""COMPUTED_VALUE"""),"")</f>
        <v/>
      </c>
      <c r="O1437" s="250" t="str">
        <f>IFERROR(__xludf.DUMMYFUNCTION("""COMPUTED_VALUE"""),"")</f>
        <v/>
      </c>
      <c r="P1437" s="250" t="str">
        <f>IFERROR(__xludf.DUMMYFUNCTION("""COMPUTED_VALUE"""),"")</f>
        <v/>
      </c>
      <c r="Q1437" s="250" t="str">
        <f>IFERROR(__xludf.DUMMYFUNCTION("""COMPUTED_VALUE"""),"")</f>
        <v/>
      </c>
      <c r="R1437" s="250" t="str">
        <f>IFERROR(__xludf.DUMMYFUNCTION("""COMPUTED_VALUE"""),"")</f>
        <v/>
      </c>
      <c r="U1437" s="250" t="str">
        <f>IFERROR(__xludf.DUMMYFUNCTION("""COMPUTED_VALUE"""),"#N/A")</f>
        <v>#N/A</v>
      </c>
      <c r="V1437" s="250" t="str">
        <f>IFERROR(__xludf.DUMMYFUNCTION("""COMPUTED_VALUE"""),"#N/A")</f>
        <v>#N/A</v>
      </c>
      <c r="W1437" s="250" t="str">
        <f>IFERROR(__xludf.DUMMYFUNCTION("""COMPUTED_VALUE"""),"#N/A")</f>
        <v>#N/A</v>
      </c>
      <c r="X1437" t="b">
        <f t="shared" ref="X1437:Z1437" si="2850">ISBLANK(K1437)</f>
        <v>1</v>
      </c>
      <c r="Y1437" t="b">
        <f t="shared" si="2850"/>
        <v>0</v>
      </c>
      <c r="Z1437" t="b">
        <f t="shared" si="2850"/>
        <v>0</v>
      </c>
      <c r="AA1437">
        <f t="shared" ref="AA1437:AC1437" si="2851">IF(X1437=FALSE,1,0)</f>
        <v>0</v>
      </c>
      <c r="AB1437">
        <f t="shared" si="2851"/>
        <v>1</v>
      </c>
      <c r="AC1437">
        <f t="shared" si="2851"/>
        <v>1</v>
      </c>
      <c r="AD1437">
        <f t="shared" si="6"/>
        <v>2</v>
      </c>
      <c r="AE1437">
        <f t="shared" si="7"/>
        <v>1</v>
      </c>
    </row>
    <row r="1438">
      <c r="B1438" t="str">
        <f>IFERROR(__xludf.DUMMYFUNCTION("""COMPUTED_VALUE"""),"")</f>
        <v/>
      </c>
      <c r="C1438" t="str">
        <f>IFERROR(__xludf.DUMMYFUNCTION("""COMPUTED_VALUE"""),"")</f>
        <v/>
      </c>
      <c r="D1438" t="str">
        <f>IFERROR(__xludf.DUMMYFUNCTION("""COMPUTED_VALUE"""),"")</f>
        <v/>
      </c>
      <c r="E1438" t="str">
        <f>IFERROR(__xludf.DUMMYFUNCTION("""COMPUTED_VALUE"""),"")</f>
        <v/>
      </c>
      <c r="F1438" t="str">
        <f>IFERROR(__xludf.DUMMYFUNCTION("""COMPUTED_VALUE"""),"")</f>
        <v/>
      </c>
      <c r="G1438" t="str">
        <f>IFERROR(__xludf.DUMMYFUNCTION("""COMPUTED_VALUE"""),"")</f>
        <v/>
      </c>
      <c r="H1438" t="str">
        <f>IFERROR(__xludf.DUMMYFUNCTION("""COMPUTED_VALUE"""),"")</f>
        <v/>
      </c>
      <c r="I1438" t="str">
        <f>IFERROR(__xludf.DUMMYFUNCTION("""COMPUTED_VALUE"""),"")</f>
        <v/>
      </c>
      <c r="J1438">
        <f>IFERROR(__xludf.DUMMYFUNCTION("""COMPUTED_VALUE"""),0.0)</f>
        <v>0</v>
      </c>
      <c r="L1438" s="250" t="str">
        <f>IFERROR(__xludf.DUMMYFUNCTION("""COMPUTED_VALUE"""),"")</f>
        <v/>
      </c>
      <c r="M1438" s="250" t="str">
        <f>IFERROR(__xludf.DUMMYFUNCTION("""COMPUTED_VALUE"""),"")</f>
        <v/>
      </c>
      <c r="N1438" s="250" t="str">
        <f>IFERROR(__xludf.DUMMYFUNCTION("""COMPUTED_VALUE"""),"")</f>
        <v/>
      </c>
      <c r="O1438" s="250" t="str">
        <f>IFERROR(__xludf.DUMMYFUNCTION("""COMPUTED_VALUE"""),"")</f>
        <v/>
      </c>
      <c r="P1438" s="250" t="str">
        <f>IFERROR(__xludf.DUMMYFUNCTION("""COMPUTED_VALUE"""),"")</f>
        <v/>
      </c>
      <c r="Q1438" s="250" t="str">
        <f>IFERROR(__xludf.DUMMYFUNCTION("""COMPUTED_VALUE"""),"")</f>
        <v/>
      </c>
      <c r="R1438" s="250" t="str">
        <f>IFERROR(__xludf.DUMMYFUNCTION("""COMPUTED_VALUE"""),"")</f>
        <v/>
      </c>
      <c r="U1438" s="250" t="str">
        <f>IFERROR(__xludf.DUMMYFUNCTION("""COMPUTED_VALUE"""),"#N/A")</f>
        <v>#N/A</v>
      </c>
      <c r="V1438" s="250" t="str">
        <f>IFERROR(__xludf.DUMMYFUNCTION("""COMPUTED_VALUE"""),"#N/A")</f>
        <v>#N/A</v>
      </c>
      <c r="W1438" s="250" t="str">
        <f>IFERROR(__xludf.DUMMYFUNCTION("""COMPUTED_VALUE"""),"#N/A")</f>
        <v>#N/A</v>
      </c>
      <c r="X1438" t="b">
        <f t="shared" ref="X1438:Z1438" si="2852">ISBLANK(K1438)</f>
        <v>1</v>
      </c>
      <c r="Y1438" t="b">
        <f t="shared" si="2852"/>
        <v>0</v>
      </c>
      <c r="Z1438" t="b">
        <f t="shared" si="2852"/>
        <v>0</v>
      </c>
      <c r="AA1438">
        <f t="shared" ref="AA1438:AC1438" si="2853">IF(X1438=FALSE,1,0)</f>
        <v>0</v>
      </c>
      <c r="AB1438">
        <f t="shared" si="2853"/>
        <v>1</v>
      </c>
      <c r="AC1438">
        <f t="shared" si="2853"/>
        <v>1</v>
      </c>
      <c r="AD1438">
        <f t="shared" si="6"/>
        <v>2</v>
      </c>
      <c r="AE1438">
        <f t="shared" si="7"/>
        <v>1</v>
      </c>
    </row>
    <row r="1439">
      <c r="B1439" t="str">
        <f>IFERROR(__xludf.DUMMYFUNCTION("""COMPUTED_VALUE"""),"")</f>
        <v/>
      </c>
      <c r="C1439" t="str">
        <f>IFERROR(__xludf.DUMMYFUNCTION("""COMPUTED_VALUE"""),"")</f>
        <v/>
      </c>
      <c r="D1439" t="str">
        <f>IFERROR(__xludf.DUMMYFUNCTION("""COMPUTED_VALUE"""),"")</f>
        <v/>
      </c>
      <c r="E1439" t="str">
        <f>IFERROR(__xludf.DUMMYFUNCTION("""COMPUTED_VALUE"""),"")</f>
        <v/>
      </c>
      <c r="F1439" t="str">
        <f>IFERROR(__xludf.DUMMYFUNCTION("""COMPUTED_VALUE"""),"")</f>
        <v/>
      </c>
      <c r="G1439" t="str">
        <f>IFERROR(__xludf.DUMMYFUNCTION("""COMPUTED_VALUE"""),"")</f>
        <v/>
      </c>
      <c r="H1439" t="str">
        <f>IFERROR(__xludf.DUMMYFUNCTION("""COMPUTED_VALUE"""),"")</f>
        <v/>
      </c>
      <c r="I1439" t="str">
        <f>IFERROR(__xludf.DUMMYFUNCTION("""COMPUTED_VALUE"""),"")</f>
        <v/>
      </c>
      <c r="J1439">
        <f>IFERROR(__xludf.DUMMYFUNCTION("""COMPUTED_VALUE"""),0.0)</f>
        <v>0</v>
      </c>
      <c r="L1439" s="250" t="str">
        <f>IFERROR(__xludf.DUMMYFUNCTION("""COMPUTED_VALUE"""),"")</f>
        <v/>
      </c>
      <c r="M1439" s="250" t="str">
        <f>IFERROR(__xludf.DUMMYFUNCTION("""COMPUTED_VALUE"""),"")</f>
        <v/>
      </c>
      <c r="N1439" s="250" t="str">
        <f>IFERROR(__xludf.DUMMYFUNCTION("""COMPUTED_VALUE"""),"")</f>
        <v/>
      </c>
      <c r="O1439" s="250" t="str">
        <f>IFERROR(__xludf.DUMMYFUNCTION("""COMPUTED_VALUE"""),"")</f>
        <v/>
      </c>
      <c r="P1439" s="250" t="str">
        <f>IFERROR(__xludf.DUMMYFUNCTION("""COMPUTED_VALUE"""),"")</f>
        <v/>
      </c>
      <c r="Q1439" s="250" t="str">
        <f>IFERROR(__xludf.DUMMYFUNCTION("""COMPUTED_VALUE"""),"")</f>
        <v/>
      </c>
      <c r="R1439" s="250" t="str">
        <f>IFERROR(__xludf.DUMMYFUNCTION("""COMPUTED_VALUE"""),"")</f>
        <v/>
      </c>
      <c r="U1439" s="250" t="str">
        <f>IFERROR(__xludf.DUMMYFUNCTION("""COMPUTED_VALUE"""),"#N/A")</f>
        <v>#N/A</v>
      </c>
      <c r="V1439" s="250" t="str">
        <f>IFERROR(__xludf.DUMMYFUNCTION("""COMPUTED_VALUE"""),"#N/A")</f>
        <v>#N/A</v>
      </c>
      <c r="W1439" s="250" t="str">
        <f>IFERROR(__xludf.DUMMYFUNCTION("""COMPUTED_VALUE"""),"#N/A")</f>
        <v>#N/A</v>
      </c>
      <c r="X1439" t="b">
        <f t="shared" ref="X1439:Z1439" si="2854">ISBLANK(K1439)</f>
        <v>1</v>
      </c>
      <c r="Y1439" t="b">
        <f t="shared" si="2854"/>
        <v>0</v>
      </c>
      <c r="Z1439" t="b">
        <f t="shared" si="2854"/>
        <v>0</v>
      </c>
      <c r="AA1439">
        <f t="shared" ref="AA1439:AC1439" si="2855">IF(X1439=FALSE,1,0)</f>
        <v>0</v>
      </c>
      <c r="AB1439">
        <f t="shared" si="2855"/>
        <v>1</v>
      </c>
      <c r="AC1439">
        <f t="shared" si="2855"/>
        <v>1</v>
      </c>
      <c r="AD1439">
        <f t="shared" si="6"/>
        <v>2</v>
      </c>
      <c r="AE1439">
        <f t="shared" si="7"/>
        <v>1</v>
      </c>
    </row>
    <row r="1440">
      <c r="B1440" t="str">
        <f>IFERROR(__xludf.DUMMYFUNCTION("""COMPUTED_VALUE"""),"")</f>
        <v/>
      </c>
      <c r="C1440" t="str">
        <f>IFERROR(__xludf.DUMMYFUNCTION("""COMPUTED_VALUE"""),"")</f>
        <v/>
      </c>
      <c r="D1440" t="str">
        <f>IFERROR(__xludf.DUMMYFUNCTION("""COMPUTED_VALUE"""),"")</f>
        <v/>
      </c>
      <c r="E1440" t="str">
        <f>IFERROR(__xludf.DUMMYFUNCTION("""COMPUTED_VALUE"""),"")</f>
        <v/>
      </c>
      <c r="F1440" t="str">
        <f>IFERROR(__xludf.DUMMYFUNCTION("""COMPUTED_VALUE"""),"")</f>
        <v/>
      </c>
      <c r="G1440" t="str">
        <f>IFERROR(__xludf.DUMMYFUNCTION("""COMPUTED_VALUE"""),"")</f>
        <v/>
      </c>
      <c r="H1440" t="str">
        <f>IFERROR(__xludf.DUMMYFUNCTION("""COMPUTED_VALUE"""),"")</f>
        <v/>
      </c>
      <c r="I1440" t="str">
        <f>IFERROR(__xludf.DUMMYFUNCTION("""COMPUTED_VALUE"""),"")</f>
        <v/>
      </c>
      <c r="J1440">
        <f>IFERROR(__xludf.DUMMYFUNCTION("""COMPUTED_VALUE"""),0.0)</f>
        <v>0</v>
      </c>
      <c r="L1440" s="250" t="str">
        <f>IFERROR(__xludf.DUMMYFUNCTION("""COMPUTED_VALUE"""),"")</f>
        <v/>
      </c>
      <c r="M1440" s="250" t="str">
        <f>IFERROR(__xludf.DUMMYFUNCTION("""COMPUTED_VALUE"""),"")</f>
        <v/>
      </c>
      <c r="N1440" s="250" t="str">
        <f>IFERROR(__xludf.DUMMYFUNCTION("""COMPUTED_VALUE"""),"")</f>
        <v/>
      </c>
      <c r="O1440" s="250" t="str">
        <f>IFERROR(__xludf.DUMMYFUNCTION("""COMPUTED_VALUE"""),"")</f>
        <v/>
      </c>
      <c r="P1440" s="250" t="str">
        <f>IFERROR(__xludf.DUMMYFUNCTION("""COMPUTED_VALUE"""),"")</f>
        <v/>
      </c>
      <c r="Q1440" s="250" t="str">
        <f>IFERROR(__xludf.DUMMYFUNCTION("""COMPUTED_VALUE"""),"")</f>
        <v/>
      </c>
      <c r="R1440" s="250" t="str">
        <f>IFERROR(__xludf.DUMMYFUNCTION("""COMPUTED_VALUE"""),"")</f>
        <v/>
      </c>
      <c r="U1440" s="250" t="str">
        <f>IFERROR(__xludf.DUMMYFUNCTION("""COMPUTED_VALUE"""),"#N/A")</f>
        <v>#N/A</v>
      </c>
      <c r="V1440" s="250" t="str">
        <f>IFERROR(__xludf.DUMMYFUNCTION("""COMPUTED_VALUE"""),"#N/A")</f>
        <v>#N/A</v>
      </c>
      <c r="W1440" s="250" t="str">
        <f>IFERROR(__xludf.DUMMYFUNCTION("""COMPUTED_VALUE"""),"#N/A")</f>
        <v>#N/A</v>
      </c>
      <c r="X1440" t="b">
        <f t="shared" ref="X1440:Z1440" si="2856">ISBLANK(K1440)</f>
        <v>1</v>
      </c>
      <c r="Y1440" t="b">
        <f t="shared" si="2856"/>
        <v>0</v>
      </c>
      <c r="Z1440" t="b">
        <f t="shared" si="2856"/>
        <v>0</v>
      </c>
      <c r="AA1440">
        <f t="shared" ref="AA1440:AC1440" si="2857">IF(X1440=FALSE,1,0)</f>
        <v>0</v>
      </c>
      <c r="AB1440">
        <f t="shared" si="2857"/>
        <v>1</v>
      </c>
      <c r="AC1440">
        <f t="shared" si="2857"/>
        <v>1</v>
      </c>
      <c r="AD1440">
        <f t="shared" si="6"/>
        <v>2</v>
      </c>
      <c r="AE1440">
        <f t="shared" si="7"/>
        <v>1</v>
      </c>
    </row>
    <row r="1441">
      <c r="B1441" t="str">
        <f>IFERROR(__xludf.DUMMYFUNCTION("""COMPUTED_VALUE"""),"")</f>
        <v/>
      </c>
      <c r="C1441" t="str">
        <f>IFERROR(__xludf.DUMMYFUNCTION("""COMPUTED_VALUE"""),"")</f>
        <v/>
      </c>
      <c r="D1441" t="str">
        <f>IFERROR(__xludf.DUMMYFUNCTION("""COMPUTED_VALUE"""),"")</f>
        <v/>
      </c>
      <c r="E1441" t="str">
        <f>IFERROR(__xludf.DUMMYFUNCTION("""COMPUTED_VALUE"""),"")</f>
        <v/>
      </c>
      <c r="F1441" t="str">
        <f>IFERROR(__xludf.DUMMYFUNCTION("""COMPUTED_VALUE"""),"")</f>
        <v/>
      </c>
      <c r="G1441" t="str">
        <f>IFERROR(__xludf.DUMMYFUNCTION("""COMPUTED_VALUE"""),"")</f>
        <v/>
      </c>
      <c r="H1441" t="str">
        <f>IFERROR(__xludf.DUMMYFUNCTION("""COMPUTED_VALUE"""),"")</f>
        <v/>
      </c>
      <c r="I1441" t="str">
        <f>IFERROR(__xludf.DUMMYFUNCTION("""COMPUTED_VALUE"""),"")</f>
        <v/>
      </c>
      <c r="J1441">
        <f>IFERROR(__xludf.DUMMYFUNCTION("""COMPUTED_VALUE"""),0.0)</f>
        <v>0</v>
      </c>
      <c r="L1441" s="250" t="str">
        <f>IFERROR(__xludf.DUMMYFUNCTION("""COMPUTED_VALUE"""),"")</f>
        <v/>
      </c>
      <c r="M1441" s="250" t="str">
        <f>IFERROR(__xludf.DUMMYFUNCTION("""COMPUTED_VALUE"""),"")</f>
        <v/>
      </c>
      <c r="N1441" s="250" t="str">
        <f>IFERROR(__xludf.DUMMYFUNCTION("""COMPUTED_VALUE"""),"")</f>
        <v/>
      </c>
      <c r="O1441" s="250" t="str">
        <f>IFERROR(__xludf.DUMMYFUNCTION("""COMPUTED_VALUE"""),"")</f>
        <v/>
      </c>
      <c r="P1441" s="250" t="str">
        <f>IFERROR(__xludf.DUMMYFUNCTION("""COMPUTED_VALUE"""),"")</f>
        <v/>
      </c>
      <c r="Q1441" s="250" t="str">
        <f>IFERROR(__xludf.DUMMYFUNCTION("""COMPUTED_VALUE"""),"")</f>
        <v/>
      </c>
      <c r="R1441" s="250" t="str">
        <f>IFERROR(__xludf.DUMMYFUNCTION("""COMPUTED_VALUE"""),"")</f>
        <v/>
      </c>
      <c r="U1441" s="250" t="str">
        <f>IFERROR(__xludf.DUMMYFUNCTION("""COMPUTED_VALUE"""),"#N/A")</f>
        <v>#N/A</v>
      </c>
      <c r="V1441" s="250" t="str">
        <f>IFERROR(__xludf.DUMMYFUNCTION("""COMPUTED_VALUE"""),"#N/A")</f>
        <v>#N/A</v>
      </c>
      <c r="W1441" s="250" t="str">
        <f>IFERROR(__xludf.DUMMYFUNCTION("""COMPUTED_VALUE"""),"#N/A")</f>
        <v>#N/A</v>
      </c>
      <c r="X1441" t="b">
        <f t="shared" ref="X1441:Z1441" si="2858">ISBLANK(K1441)</f>
        <v>1</v>
      </c>
      <c r="Y1441" t="b">
        <f t="shared" si="2858"/>
        <v>0</v>
      </c>
      <c r="Z1441" t="b">
        <f t="shared" si="2858"/>
        <v>0</v>
      </c>
      <c r="AA1441">
        <f t="shared" ref="AA1441:AC1441" si="2859">IF(X1441=FALSE,1,0)</f>
        <v>0</v>
      </c>
      <c r="AB1441">
        <f t="shared" si="2859"/>
        <v>1</v>
      </c>
      <c r="AC1441">
        <f t="shared" si="2859"/>
        <v>1</v>
      </c>
      <c r="AD1441">
        <f t="shared" si="6"/>
        <v>2</v>
      </c>
      <c r="AE1441">
        <f t="shared" si="7"/>
        <v>1</v>
      </c>
    </row>
    <row r="1442">
      <c r="B1442" t="str">
        <f>IFERROR(__xludf.DUMMYFUNCTION("""COMPUTED_VALUE"""),"")</f>
        <v/>
      </c>
      <c r="C1442" t="str">
        <f>IFERROR(__xludf.DUMMYFUNCTION("""COMPUTED_VALUE"""),"")</f>
        <v/>
      </c>
      <c r="D1442" t="str">
        <f>IFERROR(__xludf.DUMMYFUNCTION("""COMPUTED_VALUE"""),"")</f>
        <v/>
      </c>
      <c r="E1442" t="str">
        <f>IFERROR(__xludf.DUMMYFUNCTION("""COMPUTED_VALUE"""),"")</f>
        <v/>
      </c>
      <c r="F1442" t="str">
        <f>IFERROR(__xludf.DUMMYFUNCTION("""COMPUTED_VALUE"""),"")</f>
        <v/>
      </c>
      <c r="G1442" t="str">
        <f>IFERROR(__xludf.DUMMYFUNCTION("""COMPUTED_VALUE"""),"")</f>
        <v/>
      </c>
      <c r="H1442" t="str">
        <f>IFERROR(__xludf.DUMMYFUNCTION("""COMPUTED_VALUE"""),"")</f>
        <v/>
      </c>
      <c r="I1442" t="str">
        <f>IFERROR(__xludf.DUMMYFUNCTION("""COMPUTED_VALUE"""),"")</f>
        <v/>
      </c>
      <c r="J1442">
        <f>IFERROR(__xludf.DUMMYFUNCTION("""COMPUTED_VALUE"""),0.0)</f>
        <v>0</v>
      </c>
      <c r="L1442" s="250" t="str">
        <f>IFERROR(__xludf.DUMMYFUNCTION("""COMPUTED_VALUE"""),"")</f>
        <v/>
      </c>
      <c r="M1442" s="250" t="str">
        <f>IFERROR(__xludf.DUMMYFUNCTION("""COMPUTED_VALUE"""),"")</f>
        <v/>
      </c>
      <c r="N1442" s="250" t="str">
        <f>IFERROR(__xludf.DUMMYFUNCTION("""COMPUTED_VALUE"""),"")</f>
        <v/>
      </c>
      <c r="O1442" s="250" t="str">
        <f>IFERROR(__xludf.DUMMYFUNCTION("""COMPUTED_VALUE"""),"")</f>
        <v/>
      </c>
      <c r="P1442" s="250" t="str">
        <f>IFERROR(__xludf.DUMMYFUNCTION("""COMPUTED_VALUE"""),"")</f>
        <v/>
      </c>
      <c r="Q1442" s="250" t="str">
        <f>IFERROR(__xludf.DUMMYFUNCTION("""COMPUTED_VALUE"""),"")</f>
        <v/>
      </c>
      <c r="R1442" s="250" t="str">
        <f>IFERROR(__xludf.DUMMYFUNCTION("""COMPUTED_VALUE"""),"")</f>
        <v/>
      </c>
      <c r="U1442" s="250" t="str">
        <f>IFERROR(__xludf.DUMMYFUNCTION("""COMPUTED_VALUE"""),"#N/A")</f>
        <v>#N/A</v>
      </c>
      <c r="V1442" s="250" t="str">
        <f>IFERROR(__xludf.DUMMYFUNCTION("""COMPUTED_VALUE"""),"#N/A")</f>
        <v>#N/A</v>
      </c>
      <c r="W1442" s="250" t="str">
        <f>IFERROR(__xludf.DUMMYFUNCTION("""COMPUTED_VALUE"""),"#N/A")</f>
        <v>#N/A</v>
      </c>
      <c r="X1442" t="b">
        <f t="shared" ref="X1442:Z1442" si="2860">ISBLANK(K1442)</f>
        <v>1</v>
      </c>
      <c r="Y1442" t="b">
        <f t="shared" si="2860"/>
        <v>0</v>
      </c>
      <c r="Z1442" t="b">
        <f t="shared" si="2860"/>
        <v>0</v>
      </c>
      <c r="AA1442">
        <f t="shared" ref="AA1442:AC1442" si="2861">IF(X1442=FALSE,1,0)</f>
        <v>0</v>
      </c>
      <c r="AB1442">
        <f t="shared" si="2861"/>
        <v>1</v>
      </c>
      <c r="AC1442">
        <f t="shared" si="2861"/>
        <v>1</v>
      </c>
      <c r="AD1442">
        <f t="shared" si="6"/>
        <v>2</v>
      </c>
      <c r="AE1442">
        <f t="shared" si="7"/>
        <v>1</v>
      </c>
    </row>
    <row r="1443">
      <c r="B1443" t="str">
        <f>IFERROR(__xludf.DUMMYFUNCTION("""COMPUTED_VALUE"""),"")</f>
        <v/>
      </c>
      <c r="C1443" t="str">
        <f>IFERROR(__xludf.DUMMYFUNCTION("""COMPUTED_VALUE"""),"")</f>
        <v/>
      </c>
      <c r="D1443" t="str">
        <f>IFERROR(__xludf.DUMMYFUNCTION("""COMPUTED_VALUE"""),"")</f>
        <v/>
      </c>
      <c r="E1443" t="str">
        <f>IFERROR(__xludf.DUMMYFUNCTION("""COMPUTED_VALUE"""),"")</f>
        <v/>
      </c>
      <c r="F1443" t="str">
        <f>IFERROR(__xludf.DUMMYFUNCTION("""COMPUTED_VALUE"""),"")</f>
        <v/>
      </c>
      <c r="G1443" t="str">
        <f>IFERROR(__xludf.DUMMYFUNCTION("""COMPUTED_VALUE"""),"")</f>
        <v/>
      </c>
      <c r="H1443" t="str">
        <f>IFERROR(__xludf.DUMMYFUNCTION("""COMPUTED_VALUE"""),"")</f>
        <v/>
      </c>
      <c r="I1443" t="str">
        <f>IFERROR(__xludf.DUMMYFUNCTION("""COMPUTED_VALUE"""),"")</f>
        <v/>
      </c>
      <c r="J1443">
        <f>IFERROR(__xludf.DUMMYFUNCTION("""COMPUTED_VALUE"""),0.0)</f>
        <v>0</v>
      </c>
      <c r="L1443" s="250" t="str">
        <f>IFERROR(__xludf.DUMMYFUNCTION("""COMPUTED_VALUE"""),"")</f>
        <v/>
      </c>
      <c r="M1443" s="250" t="str">
        <f>IFERROR(__xludf.DUMMYFUNCTION("""COMPUTED_VALUE"""),"")</f>
        <v/>
      </c>
      <c r="N1443" s="250" t="str">
        <f>IFERROR(__xludf.DUMMYFUNCTION("""COMPUTED_VALUE"""),"")</f>
        <v/>
      </c>
      <c r="O1443" s="250" t="str">
        <f>IFERROR(__xludf.DUMMYFUNCTION("""COMPUTED_VALUE"""),"")</f>
        <v/>
      </c>
      <c r="P1443" s="250" t="str">
        <f>IFERROR(__xludf.DUMMYFUNCTION("""COMPUTED_VALUE"""),"")</f>
        <v/>
      </c>
      <c r="Q1443" s="250" t="str">
        <f>IFERROR(__xludf.DUMMYFUNCTION("""COMPUTED_VALUE"""),"")</f>
        <v/>
      </c>
      <c r="R1443" s="250" t="str">
        <f>IFERROR(__xludf.DUMMYFUNCTION("""COMPUTED_VALUE"""),"")</f>
        <v/>
      </c>
      <c r="U1443" s="250" t="str">
        <f>IFERROR(__xludf.DUMMYFUNCTION("""COMPUTED_VALUE"""),"#N/A")</f>
        <v>#N/A</v>
      </c>
      <c r="V1443" s="250" t="str">
        <f>IFERROR(__xludf.DUMMYFUNCTION("""COMPUTED_VALUE"""),"#N/A")</f>
        <v>#N/A</v>
      </c>
      <c r="W1443" s="250" t="str">
        <f>IFERROR(__xludf.DUMMYFUNCTION("""COMPUTED_VALUE"""),"#N/A")</f>
        <v>#N/A</v>
      </c>
      <c r="X1443" t="b">
        <f t="shared" ref="X1443:Z1443" si="2862">ISBLANK(K1443)</f>
        <v>1</v>
      </c>
      <c r="Y1443" t="b">
        <f t="shared" si="2862"/>
        <v>0</v>
      </c>
      <c r="Z1443" t="b">
        <f t="shared" si="2862"/>
        <v>0</v>
      </c>
      <c r="AA1443">
        <f t="shared" ref="AA1443:AC1443" si="2863">IF(X1443=FALSE,1,0)</f>
        <v>0</v>
      </c>
      <c r="AB1443">
        <f t="shared" si="2863"/>
        <v>1</v>
      </c>
      <c r="AC1443">
        <f t="shared" si="2863"/>
        <v>1</v>
      </c>
      <c r="AD1443">
        <f t="shared" si="6"/>
        <v>2</v>
      </c>
      <c r="AE1443">
        <f t="shared" si="7"/>
        <v>1</v>
      </c>
    </row>
    <row r="1444">
      <c r="B1444" t="str">
        <f>IFERROR(__xludf.DUMMYFUNCTION("""COMPUTED_VALUE"""),"")</f>
        <v/>
      </c>
      <c r="C1444" t="str">
        <f>IFERROR(__xludf.DUMMYFUNCTION("""COMPUTED_VALUE"""),"")</f>
        <v/>
      </c>
      <c r="D1444" t="str">
        <f>IFERROR(__xludf.DUMMYFUNCTION("""COMPUTED_VALUE"""),"")</f>
        <v/>
      </c>
      <c r="E1444" t="str">
        <f>IFERROR(__xludf.DUMMYFUNCTION("""COMPUTED_VALUE"""),"")</f>
        <v/>
      </c>
      <c r="F1444" t="str">
        <f>IFERROR(__xludf.DUMMYFUNCTION("""COMPUTED_VALUE"""),"")</f>
        <v/>
      </c>
      <c r="G1444" t="str">
        <f>IFERROR(__xludf.DUMMYFUNCTION("""COMPUTED_VALUE"""),"")</f>
        <v/>
      </c>
      <c r="H1444" t="str">
        <f>IFERROR(__xludf.DUMMYFUNCTION("""COMPUTED_VALUE"""),"")</f>
        <v/>
      </c>
      <c r="I1444" t="str">
        <f>IFERROR(__xludf.DUMMYFUNCTION("""COMPUTED_VALUE"""),"")</f>
        <v/>
      </c>
      <c r="J1444">
        <f>IFERROR(__xludf.DUMMYFUNCTION("""COMPUTED_VALUE"""),0.0)</f>
        <v>0</v>
      </c>
      <c r="L1444" s="250" t="str">
        <f>IFERROR(__xludf.DUMMYFUNCTION("""COMPUTED_VALUE"""),"")</f>
        <v/>
      </c>
      <c r="M1444" s="250" t="str">
        <f>IFERROR(__xludf.DUMMYFUNCTION("""COMPUTED_VALUE"""),"")</f>
        <v/>
      </c>
      <c r="N1444" s="250" t="str">
        <f>IFERROR(__xludf.DUMMYFUNCTION("""COMPUTED_VALUE"""),"")</f>
        <v/>
      </c>
      <c r="O1444" s="250" t="str">
        <f>IFERROR(__xludf.DUMMYFUNCTION("""COMPUTED_VALUE"""),"")</f>
        <v/>
      </c>
      <c r="P1444" s="250" t="str">
        <f>IFERROR(__xludf.DUMMYFUNCTION("""COMPUTED_VALUE"""),"")</f>
        <v/>
      </c>
      <c r="Q1444" s="250" t="str">
        <f>IFERROR(__xludf.DUMMYFUNCTION("""COMPUTED_VALUE"""),"")</f>
        <v/>
      </c>
      <c r="R1444" s="250" t="str">
        <f>IFERROR(__xludf.DUMMYFUNCTION("""COMPUTED_VALUE"""),"")</f>
        <v/>
      </c>
      <c r="U1444" s="250" t="str">
        <f>IFERROR(__xludf.DUMMYFUNCTION("""COMPUTED_VALUE"""),"#N/A")</f>
        <v>#N/A</v>
      </c>
      <c r="V1444" s="250" t="str">
        <f>IFERROR(__xludf.DUMMYFUNCTION("""COMPUTED_VALUE"""),"#N/A")</f>
        <v>#N/A</v>
      </c>
      <c r="W1444" s="250" t="str">
        <f>IFERROR(__xludf.DUMMYFUNCTION("""COMPUTED_VALUE"""),"#N/A")</f>
        <v>#N/A</v>
      </c>
      <c r="X1444" t="b">
        <f t="shared" ref="X1444:Z1444" si="2864">ISBLANK(K1444)</f>
        <v>1</v>
      </c>
      <c r="Y1444" t="b">
        <f t="shared" si="2864"/>
        <v>0</v>
      </c>
      <c r="Z1444" t="b">
        <f t="shared" si="2864"/>
        <v>0</v>
      </c>
      <c r="AA1444">
        <f t="shared" ref="AA1444:AC1444" si="2865">IF(X1444=FALSE,1,0)</f>
        <v>0</v>
      </c>
      <c r="AB1444">
        <f t="shared" si="2865"/>
        <v>1</v>
      </c>
      <c r="AC1444">
        <f t="shared" si="2865"/>
        <v>1</v>
      </c>
      <c r="AD1444">
        <f t="shared" si="6"/>
        <v>2</v>
      </c>
      <c r="AE1444">
        <f t="shared" si="7"/>
        <v>1</v>
      </c>
    </row>
    <row r="1445">
      <c r="B1445" t="str">
        <f>IFERROR(__xludf.DUMMYFUNCTION("""COMPUTED_VALUE"""),"")</f>
        <v/>
      </c>
      <c r="C1445" t="str">
        <f>IFERROR(__xludf.DUMMYFUNCTION("""COMPUTED_VALUE"""),"")</f>
        <v/>
      </c>
      <c r="D1445" t="str">
        <f>IFERROR(__xludf.DUMMYFUNCTION("""COMPUTED_VALUE"""),"")</f>
        <v/>
      </c>
      <c r="E1445" t="str">
        <f>IFERROR(__xludf.DUMMYFUNCTION("""COMPUTED_VALUE"""),"")</f>
        <v/>
      </c>
      <c r="F1445" t="str">
        <f>IFERROR(__xludf.DUMMYFUNCTION("""COMPUTED_VALUE"""),"")</f>
        <v/>
      </c>
      <c r="G1445" t="str">
        <f>IFERROR(__xludf.DUMMYFUNCTION("""COMPUTED_VALUE"""),"")</f>
        <v/>
      </c>
      <c r="H1445" t="str">
        <f>IFERROR(__xludf.DUMMYFUNCTION("""COMPUTED_VALUE"""),"")</f>
        <v/>
      </c>
      <c r="I1445" t="str">
        <f>IFERROR(__xludf.DUMMYFUNCTION("""COMPUTED_VALUE"""),"")</f>
        <v/>
      </c>
      <c r="J1445">
        <f>IFERROR(__xludf.DUMMYFUNCTION("""COMPUTED_VALUE"""),0.0)</f>
        <v>0</v>
      </c>
      <c r="L1445" s="250" t="str">
        <f>IFERROR(__xludf.DUMMYFUNCTION("""COMPUTED_VALUE"""),"")</f>
        <v/>
      </c>
      <c r="M1445" s="250" t="str">
        <f>IFERROR(__xludf.DUMMYFUNCTION("""COMPUTED_VALUE"""),"")</f>
        <v/>
      </c>
      <c r="N1445" s="250" t="str">
        <f>IFERROR(__xludf.DUMMYFUNCTION("""COMPUTED_VALUE"""),"")</f>
        <v/>
      </c>
      <c r="O1445" s="250" t="str">
        <f>IFERROR(__xludf.DUMMYFUNCTION("""COMPUTED_VALUE"""),"")</f>
        <v/>
      </c>
      <c r="P1445" s="250" t="str">
        <f>IFERROR(__xludf.DUMMYFUNCTION("""COMPUTED_VALUE"""),"")</f>
        <v/>
      </c>
      <c r="Q1445" s="250" t="str">
        <f>IFERROR(__xludf.DUMMYFUNCTION("""COMPUTED_VALUE"""),"")</f>
        <v/>
      </c>
      <c r="R1445" s="250" t="str">
        <f>IFERROR(__xludf.DUMMYFUNCTION("""COMPUTED_VALUE"""),"")</f>
        <v/>
      </c>
      <c r="U1445" s="250" t="str">
        <f>IFERROR(__xludf.DUMMYFUNCTION("""COMPUTED_VALUE"""),"#N/A")</f>
        <v>#N/A</v>
      </c>
      <c r="V1445" s="250" t="str">
        <f>IFERROR(__xludf.DUMMYFUNCTION("""COMPUTED_VALUE"""),"#N/A")</f>
        <v>#N/A</v>
      </c>
      <c r="W1445" s="250" t="str">
        <f>IFERROR(__xludf.DUMMYFUNCTION("""COMPUTED_VALUE"""),"#N/A")</f>
        <v>#N/A</v>
      </c>
      <c r="X1445" t="b">
        <f t="shared" ref="X1445:Z1445" si="2866">ISBLANK(K1445)</f>
        <v>1</v>
      </c>
      <c r="Y1445" t="b">
        <f t="shared" si="2866"/>
        <v>0</v>
      </c>
      <c r="Z1445" t="b">
        <f t="shared" si="2866"/>
        <v>0</v>
      </c>
      <c r="AA1445">
        <f t="shared" ref="AA1445:AC1445" si="2867">IF(X1445=FALSE,1,0)</f>
        <v>0</v>
      </c>
      <c r="AB1445">
        <f t="shared" si="2867"/>
        <v>1</v>
      </c>
      <c r="AC1445">
        <f t="shared" si="2867"/>
        <v>1</v>
      </c>
      <c r="AD1445">
        <f t="shared" si="6"/>
        <v>2</v>
      </c>
      <c r="AE1445">
        <f t="shared" si="7"/>
        <v>1</v>
      </c>
    </row>
    <row r="1446">
      <c r="B1446" t="str">
        <f>IFERROR(__xludf.DUMMYFUNCTION("""COMPUTED_VALUE"""),"")</f>
        <v/>
      </c>
      <c r="C1446" t="str">
        <f>IFERROR(__xludf.DUMMYFUNCTION("""COMPUTED_VALUE"""),"")</f>
        <v/>
      </c>
      <c r="D1446" t="str">
        <f>IFERROR(__xludf.DUMMYFUNCTION("""COMPUTED_VALUE"""),"")</f>
        <v/>
      </c>
      <c r="E1446" t="str">
        <f>IFERROR(__xludf.DUMMYFUNCTION("""COMPUTED_VALUE"""),"")</f>
        <v/>
      </c>
      <c r="F1446" t="str">
        <f>IFERROR(__xludf.DUMMYFUNCTION("""COMPUTED_VALUE"""),"")</f>
        <v/>
      </c>
      <c r="G1446" t="str">
        <f>IFERROR(__xludf.DUMMYFUNCTION("""COMPUTED_VALUE"""),"")</f>
        <v/>
      </c>
      <c r="H1446" t="str">
        <f>IFERROR(__xludf.DUMMYFUNCTION("""COMPUTED_VALUE"""),"")</f>
        <v/>
      </c>
      <c r="I1446" t="str">
        <f>IFERROR(__xludf.DUMMYFUNCTION("""COMPUTED_VALUE"""),"")</f>
        <v/>
      </c>
      <c r="J1446">
        <f>IFERROR(__xludf.DUMMYFUNCTION("""COMPUTED_VALUE"""),0.0)</f>
        <v>0</v>
      </c>
      <c r="L1446" s="250" t="str">
        <f>IFERROR(__xludf.DUMMYFUNCTION("""COMPUTED_VALUE"""),"")</f>
        <v/>
      </c>
      <c r="M1446" s="250" t="str">
        <f>IFERROR(__xludf.DUMMYFUNCTION("""COMPUTED_VALUE"""),"")</f>
        <v/>
      </c>
      <c r="N1446" s="250" t="str">
        <f>IFERROR(__xludf.DUMMYFUNCTION("""COMPUTED_VALUE"""),"")</f>
        <v/>
      </c>
      <c r="O1446" s="250" t="str">
        <f>IFERROR(__xludf.DUMMYFUNCTION("""COMPUTED_VALUE"""),"")</f>
        <v/>
      </c>
      <c r="P1446" s="250" t="str">
        <f>IFERROR(__xludf.DUMMYFUNCTION("""COMPUTED_VALUE"""),"")</f>
        <v/>
      </c>
      <c r="Q1446" s="250" t="str">
        <f>IFERROR(__xludf.DUMMYFUNCTION("""COMPUTED_VALUE"""),"")</f>
        <v/>
      </c>
      <c r="R1446" s="250" t="str">
        <f>IFERROR(__xludf.DUMMYFUNCTION("""COMPUTED_VALUE"""),"")</f>
        <v/>
      </c>
      <c r="U1446" s="250" t="str">
        <f>IFERROR(__xludf.DUMMYFUNCTION("""COMPUTED_VALUE"""),"#N/A")</f>
        <v>#N/A</v>
      </c>
      <c r="V1446" s="250" t="str">
        <f>IFERROR(__xludf.DUMMYFUNCTION("""COMPUTED_VALUE"""),"#N/A")</f>
        <v>#N/A</v>
      </c>
      <c r="W1446" s="250" t="str">
        <f>IFERROR(__xludf.DUMMYFUNCTION("""COMPUTED_VALUE"""),"#N/A")</f>
        <v>#N/A</v>
      </c>
      <c r="X1446" t="b">
        <f t="shared" ref="X1446:Z1446" si="2868">ISBLANK(K1446)</f>
        <v>1</v>
      </c>
      <c r="Y1446" t="b">
        <f t="shared" si="2868"/>
        <v>0</v>
      </c>
      <c r="Z1446" t="b">
        <f t="shared" si="2868"/>
        <v>0</v>
      </c>
      <c r="AA1446">
        <f t="shared" ref="AA1446:AC1446" si="2869">IF(X1446=FALSE,1,0)</f>
        <v>0</v>
      </c>
      <c r="AB1446">
        <f t="shared" si="2869"/>
        <v>1</v>
      </c>
      <c r="AC1446">
        <f t="shared" si="2869"/>
        <v>1</v>
      </c>
      <c r="AD1446">
        <f t="shared" si="6"/>
        <v>2</v>
      </c>
      <c r="AE1446">
        <f t="shared" si="7"/>
        <v>1</v>
      </c>
    </row>
    <row r="1447">
      <c r="B1447" t="str">
        <f>IFERROR(__xludf.DUMMYFUNCTION("""COMPUTED_VALUE"""),"")</f>
        <v/>
      </c>
      <c r="C1447" t="str">
        <f>IFERROR(__xludf.DUMMYFUNCTION("""COMPUTED_VALUE"""),"")</f>
        <v/>
      </c>
      <c r="D1447" t="str">
        <f>IFERROR(__xludf.DUMMYFUNCTION("""COMPUTED_VALUE"""),"")</f>
        <v/>
      </c>
      <c r="E1447" t="str">
        <f>IFERROR(__xludf.DUMMYFUNCTION("""COMPUTED_VALUE"""),"")</f>
        <v/>
      </c>
      <c r="F1447" t="str">
        <f>IFERROR(__xludf.DUMMYFUNCTION("""COMPUTED_VALUE"""),"")</f>
        <v/>
      </c>
      <c r="G1447" t="str">
        <f>IFERROR(__xludf.DUMMYFUNCTION("""COMPUTED_VALUE"""),"")</f>
        <v/>
      </c>
      <c r="H1447" t="str">
        <f>IFERROR(__xludf.DUMMYFUNCTION("""COMPUTED_VALUE"""),"")</f>
        <v/>
      </c>
      <c r="I1447" t="str">
        <f>IFERROR(__xludf.DUMMYFUNCTION("""COMPUTED_VALUE"""),"")</f>
        <v/>
      </c>
      <c r="J1447">
        <f>IFERROR(__xludf.DUMMYFUNCTION("""COMPUTED_VALUE"""),0.0)</f>
        <v>0</v>
      </c>
      <c r="L1447" s="250" t="str">
        <f>IFERROR(__xludf.DUMMYFUNCTION("""COMPUTED_VALUE"""),"")</f>
        <v/>
      </c>
      <c r="M1447" s="250" t="str">
        <f>IFERROR(__xludf.DUMMYFUNCTION("""COMPUTED_VALUE"""),"")</f>
        <v/>
      </c>
      <c r="N1447" s="250" t="str">
        <f>IFERROR(__xludf.DUMMYFUNCTION("""COMPUTED_VALUE"""),"")</f>
        <v/>
      </c>
      <c r="O1447" s="250" t="str">
        <f>IFERROR(__xludf.DUMMYFUNCTION("""COMPUTED_VALUE"""),"")</f>
        <v/>
      </c>
      <c r="P1447" s="250" t="str">
        <f>IFERROR(__xludf.DUMMYFUNCTION("""COMPUTED_VALUE"""),"")</f>
        <v/>
      </c>
      <c r="Q1447" s="250" t="str">
        <f>IFERROR(__xludf.DUMMYFUNCTION("""COMPUTED_VALUE"""),"")</f>
        <v/>
      </c>
      <c r="R1447" s="250" t="str">
        <f>IFERROR(__xludf.DUMMYFUNCTION("""COMPUTED_VALUE"""),"")</f>
        <v/>
      </c>
      <c r="U1447" s="250" t="str">
        <f>IFERROR(__xludf.DUMMYFUNCTION("""COMPUTED_VALUE"""),"#N/A")</f>
        <v>#N/A</v>
      </c>
      <c r="V1447" s="250" t="str">
        <f>IFERROR(__xludf.DUMMYFUNCTION("""COMPUTED_VALUE"""),"#N/A")</f>
        <v>#N/A</v>
      </c>
      <c r="W1447" s="250" t="str">
        <f>IFERROR(__xludf.DUMMYFUNCTION("""COMPUTED_VALUE"""),"#N/A")</f>
        <v>#N/A</v>
      </c>
      <c r="X1447" t="b">
        <f t="shared" ref="X1447:Z1447" si="2870">ISBLANK(K1447)</f>
        <v>1</v>
      </c>
      <c r="Y1447" t="b">
        <f t="shared" si="2870"/>
        <v>0</v>
      </c>
      <c r="Z1447" t="b">
        <f t="shared" si="2870"/>
        <v>0</v>
      </c>
      <c r="AA1447">
        <f t="shared" ref="AA1447:AC1447" si="2871">IF(X1447=FALSE,1,0)</f>
        <v>0</v>
      </c>
      <c r="AB1447">
        <f t="shared" si="2871"/>
        <v>1</v>
      </c>
      <c r="AC1447">
        <f t="shared" si="2871"/>
        <v>1</v>
      </c>
      <c r="AD1447">
        <f t="shared" si="6"/>
        <v>2</v>
      </c>
      <c r="AE1447">
        <f t="shared" si="7"/>
        <v>1</v>
      </c>
    </row>
    <row r="1448">
      <c r="B1448" t="str">
        <f>IFERROR(__xludf.DUMMYFUNCTION("""COMPUTED_VALUE"""),"")</f>
        <v/>
      </c>
      <c r="C1448" t="str">
        <f>IFERROR(__xludf.DUMMYFUNCTION("""COMPUTED_VALUE"""),"")</f>
        <v/>
      </c>
      <c r="D1448" t="str">
        <f>IFERROR(__xludf.DUMMYFUNCTION("""COMPUTED_VALUE"""),"")</f>
        <v/>
      </c>
      <c r="E1448" t="str">
        <f>IFERROR(__xludf.DUMMYFUNCTION("""COMPUTED_VALUE"""),"")</f>
        <v/>
      </c>
      <c r="F1448" t="str">
        <f>IFERROR(__xludf.DUMMYFUNCTION("""COMPUTED_VALUE"""),"")</f>
        <v/>
      </c>
      <c r="G1448" t="str">
        <f>IFERROR(__xludf.DUMMYFUNCTION("""COMPUTED_VALUE"""),"")</f>
        <v/>
      </c>
      <c r="H1448" t="str">
        <f>IFERROR(__xludf.DUMMYFUNCTION("""COMPUTED_VALUE"""),"")</f>
        <v/>
      </c>
      <c r="I1448" t="str">
        <f>IFERROR(__xludf.DUMMYFUNCTION("""COMPUTED_VALUE"""),"")</f>
        <v/>
      </c>
      <c r="J1448">
        <f>IFERROR(__xludf.DUMMYFUNCTION("""COMPUTED_VALUE"""),0.0)</f>
        <v>0</v>
      </c>
      <c r="L1448" s="250" t="str">
        <f>IFERROR(__xludf.DUMMYFUNCTION("""COMPUTED_VALUE"""),"")</f>
        <v/>
      </c>
      <c r="M1448" s="250" t="str">
        <f>IFERROR(__xludf.DUMMYFUNCTION("""COMPUTED_VALUE"""),"")</f>
        <v/>
      </c>
      <c r="N1448" s="250" t="str">
        <f>IFERROR(__xludf.DUMMYFUNCTION("""COMPUTED_VALUE"""),"")</f>
        <v/>
      </c>
      <c r="O1448" s="250" t="str">
        <f>IFERROR(__xludf.DUMMYFUNCTION("""COMPUTED_VALUE"""),"")</f>
        <v/>
      </c>
      <c r="P1448" s="250" t="str">
        <f>IFERROR(__xludf.DUMMYFUNCTION("""COMPUTED_VALUE"""),"")</f>
        <v/>
      </c>
      <c r="Q1448" s="250" t="str">
        <f>IFERROR(__xludf.DUMMYFUNCTION("""COMPUTED_VALUE"""),"")</f>
        <v/>
      </c>
      <c r="R1448" s="250" t="str">
        <f>IFERROR(__xludf.DUMMYFUNCTION("""COMPUTED_VALUE"""),"")</f>
        <v/>
      </c>
      <c r="U1448" s="250" t="str">
        <f>IFERROR(__xludf.DUMMYFUNCTION("""COMPUTED_VALUE"""),"#N/A")</f>
        <v>#N/A</v>
      </c>
      <c r="V1448" s="250" t="str">
        <f>IFERROR(__xludf.DUMMYFUNCTION("""COMPUTED_VALUE"""),"#N/A")</f>
        <v>#N/A</v>
      </c>
      <c r="W1448" s="250" t="str">
        <f>IFERROR(__xludf.DUMMYFUNCTION("""COMPUTED_VALUE"""),"#N/A")</f>
        <v>#N/A</v>
      </c>
      <c r="X1448" t="b">
        <f t="shared" ref="X1448:Z1448" si="2872">ISBLANK(K1448)</f>
        <v>1</v>
      </c>
      <c r="Y1448" t="b">
        <f t="shared" si="2872"/>
        <v>0</v>
      </c>
      <c r="Z1448" t="b">
        <f t="shared" si="2872"/>
        <v>0</v>
      </c>
      <c r="AA1448">
        <f t="shared" ref="AA1448:AC1448" si="2873">IF(X1448=FALSE,1,0)</f>
        <v>0</v>
      </c>
      <c r="AB1448">
        <f t="shared" si="2873"/>
        <v>1</v>
      </c>
      <c r="AC1448">
        <f t="shared" si="2873"/>
        <v>1</v>
      </c>
      <c r="AD1448">
        <f t="shared" si="6"/>
        <v>2</v>
      </c>
      <c r="AE1448">
        <f t="shared" si="7"/>
        <v>1</v>
      </c>
    </row>
    <row r="1449">
      <c r="B1449" t="str">
        <f>IFERROR(__xludf.DUMMYFUNCTION("""COMPUTED_VALUE"""),"")</f>
        <v/>
      </c>
      <c r="C1449" t="str">
        <f>IFERROR(__xludf.DUMMYFUNCTION("""COMPUTED_VALUE"""),"")</f>
        <v/>
      </c>
      <c r="D1449" t="str">
        <f>IFERROR(__xludf.DUMMYFUNCTION("""COMPUTED_VALUE"""),"")</f>
        <v/>
      </c>
      <c r="E1449" t="str">
        <f>IFERROR(__xludf.DUMMYFUNCTION("""COMPUTED_VALUE"""),"")</f>
        <v/>
      </c>
      <c r="F1449" t="str">
        <f>IFERROR(__xludf.DUMMYFUNCTION("""COMPUTED_VALUE"""),"")</f>
        <v/>
      </c>
      <c r="G1449" t="str">
        <f>IFERROR(__xludf.DUMMYFUNCTION("""COMPUTED_VALUE"""),"")</f>
        <v/>
      </c>
      <c r="H1449" t="str">
        <f>IFERROR(__xludf.DUMMYFUNCTION("""COMPUTED_VALUE"""),"")</f>
        <v/>
      </c>
      <c r="I1449" t="str">
        <f>IFERROR(__xludf.DUMMYFUNCTION("""COMPUTED_VALUE"""),"")</f>
        <v/>
      </c>
      <c r="J1449">
        <f>IFERROR(__xludf.DUMMYFUNCTION("""COMPUTED_VALUE"""),0.0)</f>
        <v>0</v>
      </c>
      <c r="L1449" s="250" t="str">
        <f>IFERROR(__xludf.DUMMYFUNCTION("""COMPUTED_VALUE"""),"")</f>
        <v/>
      </c>
      <c r="M1449" s="250" t="str">
        <f>IFERROR(__xludf.DUMMYFUNCTION("""COMPUTED_VALUE"""),"")</f>
        <v/>
      </c>
      <c r="N1449" s="250" t="str">
        <f>IFERROR(__xludf.DUMMYFUNCTION("""COMPUTED_VALUE"""),"")</f>
        <v/>
      </c>
      <c r="O1449" s="250" t="str">
        <f>IFERROR(__xludf.DUMMYFUNCTION("""COMPUTED_VALUE"""),"")</f>
        <v/>
      </c>
      <c r="P1449" s="250" t="str">
        <f>IFERROR(__xludf.DUMMYFUNCTION("""COMPUTED_VALUE"""),"")</f>
        <v/>
      </c>
      <c r="Q1449" s="250" t="str">
        <f>IFERROR(__xludf.DUMMYFUNCTION("""COMPUTED_VALUE"""),"")</f>
        <v/>
      </c>
      <c r="R1449" s="250" t="str">
        <f>IFERROR(__xludf.DUMMYFUNCTION("""COMPUTED_VALUE"""),"")</f>
        <v/>
      </c>
      <c r="U1449" s="250" t="str">
        <f>IFERROR(__xludf.DUMMYFUNCTION("""COMPUTED_VALUE"""),"#N/A")</f>
        <v>#N/A</v>
      </c>
      <c r="V1449" s="250" t="str">
        <f>IFERROR(__xludf.DUMMYFUNCTION("""COMPUTED_VALUE"""),"#N/A")</f>
        <v>#N/A</v>
      </c>
      <c r="W1449" s="250" t="str">
        <f>IFERROR(__xludf.DUMMYFUNCTION("""COMPUTED_VALUE"""),"#N/A")</f>
        <v>#N/A</v>
      </c>
      <c r="X1449" t="b">
        <f t="shared" ref="X1449:Z1449" si="2874">ISBLANK(K1449)</f>
        <v>1</v>
      </c>
      <c r="Y1449" t="b">
        <f t="shared" si="2874"/>
        <v>0</v>
      </c>
      <c r="Z1449" t="b">
        <f t="shared" si="2874"/>
        <v>0</v>
      </c>
      <c r="AA1449">
        <f t="shared" ref="AA1449:AC1449" si="2875">IF(X1449=FALSE,1,0)</f>
        <v>0</v>
      </c>
      <c r="AB1449">
        <f t="shared" si="2875"/>
        <v>1</v>
      </c>
      <c r="AC1449">
        <f t="shared" si="2875"/>
        <v>1</v>
      </c>
      <c r="AD1449">
        <f t="shared" si="6"/>
        <v>2</v>
      </c>
      <c r="AE1449">
        <f t="shared" si="7"/>
        <v>1</v>
      </c>
    </row>
    <row r="1450">
      <c r="B1450" t="str">
        <f>IFERROR(__xludf.DUMMYFUNCTION("""COMPUTED_VALUE"""),"")</f>
        <v/>
      </c>
      <c r="C1450" t="str">
        <f>IFERROR(__xludf.DUMMYFUNCTION("""COMPUTED_VALUE"""),"")</f>
        <v/>
      </c>
      <c r="D1450" t="str">
        <f>IFERROR(__xludf.DUMMYFUNCTION("""COMPUTED_VALUE"""),"")</f>
        <v/>
      </c>
      <c r="E1450" t="str">
        <f>IFERROR(__xludf.DUMMYFUNCTION("""COMPUTED_VALUE"""),"")</f>
        <v/>
      </c>
      <c r="F1450" t="str">
        <f>IFERROR(__xludf.DUMMYFUNCTION("""COMPUTED_VALUE"""),"")</f>
        <v/>
      </c>
      <c r="G1450" t="str">
        <f>IFERROR(__xludf.DUMMYFUNCTION("""COMPUTED_VALUE"""),"")</f>
        <v/>
      </c>
      <c r="H1450" t="str">
        <f>IFERROR(__xludf.DUMMYFUNCTION("""COMPUTED_VALUE"""),"")</f>
        <v/>
      </c>
      <c r="I1450" t="str">
        <f>IFERROR(__xludf.DUMMYFUNCTION("""COMPUTED_VALUE"""),"")</f>
        <v/>
      </c>
      <c r="J1450">
        <f>IFERROR(__xludf.DUMMYFUNCTION("""COMPUTED_VALUE"""),0.0)</f>
        <v>0</v>
      </c>
      <c r="L1450" s="250" t="str">
        <f>IFERROR(__xludf.DUMMYFUNCTION("""COMPUTED_VALUE"""),"")</f>
        <v/>
      </c>
      <c r="M1450" s="250" t="str">
        <f>IFERROR(__xludf.DUMMYFUNCTION("""COMPUTED_VALUE"""),"")</f>
        <v/>
      </c>
      <c r="N1450" s="250" t="str">
        <f>IFERROR(__xludf.DUMMYFUNCTION("""COMPUTED_VALUE"""),"")</f>
        <v/>
      </c>
      <c r="O1450" s="250" t="str">
        <f>IFERROR(__xludf.DUMMYFUNCTION("""COMPUTED_VALUE"""),"")</f>
        <v/>
      </c>
      <c r="P1450" s="250" t="str">
        <f>IFERROR(__xludf.DUMMYFUNCTION("""COMPUTED_VALUE"""),"")</f>
        <v/>
      </c>
      <c r="Q1450" s="250" t="str">
        <f>IFERROR(__xludf.DUMMYFUNCTION("""COMPUTED_VALUE"""),"")</f>
        <v/>
      </c>
      <c r="R1450" s="250" t="str">
        <f>IFERROR(__xludf.DUMMYFUNCTION("""COMPUTED_VALUE"""),"")</f>
        <v/>
      </c>
      <c r="U1450" s="250" t="str">
        <f>IFERROR(__xludf.DUMMYFUNCTION("""COMPUTED_VALUE"""),"#N/A")</f>
        <v>#N/A</v>
      </c>
      <c r="V1450" s="250" t="str">
        <f>IFERROR(__xludf.DUMMYFUNCTION("""COMPUTED_VALUE"""),"#N/A")</f>
        <v>#N/A</v>
      </c>
      <c r="W1450" s="250" t="str">
        <f>IFERROR(__xludf.DUMMYFUNCTION("""COMPUTED_VALUE"""),"#N/A")</f>
        <v>#N/A</v>
      </c>
      <c r="X1450" t="b">
        <f t="shared" ref="X1450:Z1450" si="2876">ISBLANK(K1450)</f>
        <v>1</v>
      </c>
      <c r="Y1450" t="b">
        <f t="shared" si="2876"/>
        <v>0</v>
      </c>
      <c r="Z1450" t="b">
        <f t="shared" si="2876"/>
        <v>0</v>
      </c>
      <c r="AA1450">
        <f t="shared" ref="AA1450:AC1450" si="2877">IF(X1450=FALSE,1,0)</f>
        <v>0</v>
      </c>
      <c r="AB1450">
        <f t="shared" si="2877"/>
        <v>1</v>
      </c>
      <c r="AC1450">
        <f t="shared" si="2877"/>
        <v>1</v>
      </c>
      <c r="AD1450">
        <f t="shared" si="6"/>
        <v>2</v>
      </c>
      <c r="AE1450">
        <f t="shared" si="7"/>
        <v>1</v>
      </c>
    </row>
    <row r="1451">
      <c r="B1451" t="str">
        <f>IFERROR(__xludf.DUMMYFUNCTION("""COMPUTED_VALUE"""),"")</f>
        <v/>
      </c>
      <c r="C1451" t="str">
        <f>IFERROR(__xludf.DUMMYFUNCTION("""COMPUTED_VALUE"""),"")</f>
        <v/>
      </c>
      <c r="D1451" t="str">
        <f>IFERROR(__xludf.DUMMYFUNCTION("""COMPUTED_VALUE"""),"")</f>
        <v/>
      </c>
      <c r="E1451" t="str">
        <f>IFERROR(__xludf.DUMMYFUNCTION("""COMPUTED_VALUE"""),"")</f>
        <v/>
      </c>
      <c r="F1451" t="str">
        <f>IFERROR(__xludf.DUMMYFUNCTION("""COMPUTED_VALUE"""),"")</f>
        <v/>
      </c>
      <c r="G1451" t="str">
        <f>IFERROR(__xludf.DUMMYFUNCTION("""COMPUTED_VALUE"""),"")</f>
        <v/>
      </c>
      <c r="H1451" t="str">
        <f>IFERROR(__xludf.DUMMYFUNCTION("""COMPUTED_VALUE"""),"")</f>
        <v/>
      </c>
      <c r="I1451" t="str">
        <f>IFERROR(__xludf.DUMMYFUNCTION("""COMPUTED_VALUE"""),"")</f>
        <v/>
      </c>
      <c r="J1451">
        <f>IFERROR(__xludf.DUMMYFUNCTION("""COMPUTED_VALUE"""),0.0)</f>
        <v>0</v>
      </c>
      <c r="L1451" s="250" t="str">
        <f>IFERROR(__xludf.DUMMYFUNCTION("""COMPUTED_VALUE"""),"")</f>
        <v/>
      </c>
      <c r="M1451" s="250" t="str">
        <f>IFERROR(__xludf.DUMMYFUNCTION("""COMPUTED_VALUE"""),"")</f>
        <v/>
      </c>
      <c r="N1451" s="250" t="str">
        <f>IFERROR(__xludf.DUMMYFUNCTION("""COMPUTED_VALUE"""),"")</f>
        <v/>
      </c>
      <c r="O1451" s="250" t="str">
        <f>IFERROR(__xludf.DUMMYFUNCTION("""COMPUTED_VALUE"""),"")</f>
        <v/>
      </c>
      <c r="P1451" s="250" t="str">
        <f>IFERROR(__xludf.DUMMYFUNCTION("""COMPUTED_VALUE"""),"")</f>
        <v/>
      </c>
      <c r="Q1451" s="250" t="str">
        <f>IFERROR(__xludf.DUMMYFUNCTION("""COMPUTED_VALUE"""),"")</f>
        <v/>
      </c>
      <c r="R1451" s="250" t="str">
        <f>IFERROR(__xludf.DUMMYFUNCTION("""COMPUTED_VALUE"""),"")</f>
        <v/>
      </c>
      <c r="U1451" s="250" t="str">
        <f>IFERROR(__xludf.DUMMYFUNCTION("""COMPUTED_VALUE"""),"#N/A")</f>
        <v>#N/A</v>
      </c>
      <c r="V1451" s="250" t="str">
        <f>IFERROR(__xludf.DUMMYFUNCTION("""COMPUTED_VALUE"""),"#N/A")</f>
        <v>#N/A</v>
      </c>
      <c r="W1451" s="250" t="str">
        <f>IFERROR(__xludf.DUMMYFUNCTION("""COMPUTED_VALUE"""),"#N/A")</f>
        <v>#N/A</v>
      </c>
      <c r="X1451" t="b">
        <f t="shared" ref="X1451:Z1451" si="2878">ISBLANK(K1451)</f>
        <v>1</v>
      </c>
      <c r="Y1451" t="b">
        <f t="shared" si="2878"/>
        <v>0</v>
      </c>
      <c r="Z1451" t="b">
        <f t="shared" si="2878"/>
        <v>0</v>
      </c>
      <c r="AA1451">
        <f t="shared" ref="AA1451:AC1451" si="2879">IF(X1451=FALSE,1,0)</f>
        <v>0</v>
      </c>
      <c r="AB1451">
        <f t="shared" si="2879"/>
        <v>1</v>
      </c>
      <c r="AC1451">
        <f t="shared" si="2879"/>
        <v>1</v>
      </c>
      <c r="AD1451">
        <f t="shared" si="6"/>
        <v>2</v>
      </c>
      <c r="AE1451">
        <f t="shared" si="7"/>
        <v>1</v>
      </c>
    </row>
    <row r="1452">
      <c r="B1452" t="str">
        <f>IFERROR(__xludf.DUMMYFUNCTION("""COMPUTED_VALUE"""),"")</f>
        <v/>
      </c>
      <c r="C1452" t="str">
        <f>IFERROR(__xludf.DUMMYFUNCTION("""COMPUTED_VALUE"""),"")</f>
        <v/>
      </c>
      <c r="D1452" t="str">
        <f>IFERROR(__xludf.DUMMYFUNCTION("""COMPUTED_VALUE"""),"")</f>
        <v/>
      </c>
      <c r="E1452" t="str">
        <f>IFERROR(__xludf.DUMMYFUNCTION("""COMPUTED_VALUE"""),"")</f>
        <v/>
      </c>
      <c r="F1452" t="str">
        <f>IFERROR(__xludf.DUMMYFUNCTION("""COMPUTED_VALUE"""),"")</f>
        <v/>
      </c>
      <c r="G1452" t="str">
        <f>IFERROR(__xludf.DUMMYFUNCTION("""COMPUTED_VALUE"""),"")</f>
        <v/>
      </c>
      <c r="H1452" t="str">
        <f>IFERROR(__xludf.DUMMYFUNCTION("""COMPUTED_VALUE"""),"")</f>
        <v/>
      </c>
      <c r="I1452" t="str">
        <f>IFERROR(__xludf.DUMMYFUNCTION("""COMPUTED_VALUE"""),"")</f>
        <v/>
      </c>
      <c r="J1452">
        <f>IFERROR(__xludf.DUMMYFUNCTION("""COMPUTED_VALUE"""),0.0)</f>
        <v>0</v>
      </c>
      <c r="L1452" s="250" t="str">
        <f>IFERROR(__xludf.DUMMYFUNCTION("""COMPUTED_VALUE"""),"")</f>
        <v/>
      </c>
      <c r="M1452" s="250" t="str">
        <f>IFERROR(__xludf.DUMMYFUNCTION("""COMPUTED_VALUE"""),"")</f>
        <v/>
      </c>
      <c r="N1452" s="250" t="str">
        <f>IFERROR(__xludf.DUMMYFUNCTION("""COMPUTED_VALUE"""),"")</f>
        <v/>
      </c>
      <c r="O1452" s="250" t="str">
        <f>IFERROR(__xludf.DUMMYFUNCTION("""COMPUTED_VALUE"""),"")</f>
        <v/>
      </c>
      <c r="P1452" s="250" t="str">
        <f>IFERROR(__xludf.DUMMYFUNCTION("""COMPUTED_VALUE"""),"")</f>
        <v/>
      </c>
      <c r="Q1452" s="250" t="str">
        <f>IFERROR(__xludf.DUMMYFUNCTION("""COMPUTED_VALUE"""),"")</f>
        <v/>
      </c>
      <c r="R1452" s="250" t="str">
        <f>IFERROR(__xludf.DUMMYFUNCTION("""COMPUTED_VALUE"""),"")</f>
        <v/>
      </c>
      <c r="U1452" s="250" t="str">
        <f>IFERROR(__xludf.DUMMYFUNCTION("""COMPUTED_VALUE"""),"#N/A")</f>
        <v>#N/A</v>
      </c>
      <c r="V1452" s="250" t="str">
        <f>IFERROR(__xludf.DUMMYFUNCTION("""COMPUTED_VALUE"""),"#N/A")</f>
        <v>#N/A</v>
      </c>
      <c r="W1452" s="250" t="str">
        <f>IFERROR(__xludf.DUMMYFUNCTION("""COMPUTED_VALUE"""),"#N/A")</f>
        <v>#N/A</v>
      </c>
      <c r="X1452" t="b">
        <f t="shared" ref="X1452:Z1452" si="2880">ISBLANK(K1452)</f>
        <v>1</v>
      </c>
      <c r="Y1452" t="b">
        <f t="shared" si="2880"/>
        <v>0</v>
      </c>
      <c r="Z1452" t="b">
        <f t="shared" si="2880"/>
        <v>0</v>
      </c>
      <c r="AA1452">
        <f t="shared" ref="AA1452:AC1452" si="2881">IF(X1452=FALSE,1,0)</f>
        <v>0</v>
      </c>
      <c r="AB1452">
        <f t="shared" si="2881"/>
        <v>1</v>
      </c>
      <c r="AC1452">
        <f t="shared" si="2881"/>
        <v>1</v>
      </c>
      <c r="AD1452">
        <f t="shared" si="6"/>
        <v>2</v>
      </c>
      <c r="AE1452">
        <f t="shared" si="7"/>
        <v>1</v>
      </c>
    </row>
    <row r="1453">
      <c r="B1453" t="str">
        <f>IFERROR(__xludf.DUMMYFUNCTION("""COMPUTED_VALUE"""),"")</f>
        <v/>
      </c>
      <c r="C1453" t="str">
        <f>IFERROR(__xludf.DUMMYFUNCTION("""COMPUTED_VALUE"""),"")</f>
        <v/>
      </c>
      <c r="D1453" t="str">
        <f>IFERROR(__xludf.DUMMYFUNCTION("""COMPUTED_VALUE"""),"")</f>
        <v/>
      </c>
      <c r="E1453" t="str">
        <f>IFERROR(__xludf.DUMMYFUNCTION("""COMPUTED_VALUE"""),"")</f>
        <v/>
      </c>
      <c r="F1453" t="str">
        <f>IFERROR(__xludf.DUMMYFUNCTION("""COMPUTED_VALUE"""),"")</f>
        <v/>
      </c>
      <c r="G1453" t="str">
        <f>IFERROR(__xludf.DUMMYFUNCTION("""COMPUTED_VALUE"""),"")</f>
        <v/>
      </c>
      <c r="H1453" t="str">
        <f>IFERROR(__xludf.DUMMYFUNCTION("""COMPUTED_VALUE"""),"")</f>
        <v/>
      </c>
      <c r="I1453" t="str">
        <f>IFERROR(__xludf.DUMMYFUNCTION("""COMPUTED_VALUE"""),"")</f>
        <v/>
      </c>
      <c r="J1453">
        <f>IFERROR(__xludf.DUMMYFUNCTION("""COMPUTED_VALUE"""),0.0)</f>
        <v>0</v>
      </c>
      <c r="L1453" s="250" t="str">
        <f>IFERROR(__xludf.DUMMYFUNCTION("""COMPUTED_VALUE"""),"")</f>
        <v/>
      </c>
      <c r="M1453" s="250" t="str">
        <f>IFERROR(__xludf.DUMMYFUNCTION("""COMPUTED_VALUE"""),"")</f>
        <v/>
      </c>
      <c r="N1453" s="250" t="str">
        <f>IFERROR(__xludf.DUMMYFUNCTION("""COMPUTED_VALUE"""),"")</f>
        <v/>
      </c>
      <c r="O1453" s="250" t="str">
        <f>IFERROR(__xludf.DUMMYFUNCTION("""COMPUTED_VALUE"""),"")</f>
        <v/>
      </c>
      <c r="P1453" s="250" t="str">
        <f>IFERROR(__xludf.DUMMYFUNCTION("""COMPUTED_VALUE"""),"")</f>
        <v/>
      </c>
      <c r="Q1453" s="250" t="str">
        <f>IFERROR(__xludf.DUMMYFUNCTION("""COMPUTED_VALUE"""),"")</f>
        <v/>
      </c>
      <c r="R1453" s="250" t="str">
        <f>IFERROR(__xludf.DUMMYFUNCTION("""COMPUTED_VALUE"""),"")</f>
        <v/>
      </c>
      <c r="U1453" s="250" t="str">
        <f>IFERROR(__xludf.DUMMYFUNCTION("""COMPUTED_VALUE"""),"#N/A")</f>
        <v>#N/A</v>
      </c>
      <c r="V1453" s="250" t="str">
        <f>IFERROR(__xludf.DUMMYFUNCTION("""COMPUTED_VALUE"""),"#N/A")</f>
        <v>#N/A</v>
      </c>
      <c r="W1453" s="250" t="str">
        <f>IFERROR(__xludf.DUMMYFUNCTION("""COMPUTED_VALUE"""),"#N/A")</f>
        <v>#N/A</v>
      </c>
      <c r="X1453" t="b">
        <f t="shared" ref="X1453:Z1453" si="2882">ISBLANK(K1453)</f>
        <v>1</v>
      </c>
      <c r="Y1453" t="b">
        <f t="shared" si="2882"/>
        <v>0</v>
      </c>
      <c r="Z1453" t="b">
        <f t="shared" si="2882"/>
        <v>0</v>
      </c>
      <c r="AA1453">
        <f t="shared" ref="AA1453:AC1453" si="2883">IF(X1453=FALSE,1,0)</f>
        <v>0</v>
      </c>
      <c r="AB1453">
        <f t="shared" si="2883"/>
        <v>1</v>
      </c>
      <c r="AC1453">
        <f t="shared" si="2883"/>
        <v>1</v>
      </c>
      <c r="AD1453">
        <f t="shared" si="6"/>
        <v>2</v>
      </c>
      <c r="AE1453">
        <f t="shared" si="7"/>
        <v>1</v>
      </c>
    </row>
    <row r="1454">
      <c r="B1454" t="str">
        <f>IFERROR(__xludf.DUMMYFUNCTION("""COMPUTED_VALUE"""),"")</f>
        <v/>
      </c>
      <c r="C1454" t="str">
        <f>IFERROR(__xludf.DUMMYFUNCTION("""COMPUTED_VALUE"""),"")</f>
        <v/>
      </c>
      <c r="D1454" t="str">
        <f>IFERROR(__xludf.DUMMYFUNCTION("""COMPUTED_VALUE"""),"")</f>
        <v/>
      </c>
      <c r="E1454" t="str">
        <f>IFERROR(__xludf.DUMMYFUNCTION("""COMPUTED_VALUE"""),"")</f>
        <v/>
      </c>
      <c r="F1454" t="str">
        <f>IFERROR(__xludf.DUMMYFUNCTION("""COMPUTED_VALUE"""),"")</f>
        <v/>
      </c>
      <c r="G1454" t="str">
        <f>IFERROR(__xludf.DUMMYFUNCTION("""COMPUTED_VALUE"""),"")</f>
        <v/>
      </c>
      <c r="H1454" t="str">
        <f>IFERROR(__xludf.DUMMYFUNCTION("""COMPUTED_VALUE"""),"")</f>
        <v/>
      </c>
      <c r="I1454" t="str">
        <f>IFERROR(__xludf.DUMMYFUNCTION("""COMPUTED_VALUE"""),"")</f>
        <v/>
      </c>
      <c r="J1454">
        <f>IFERROR(__xludf.DUMMYFUNCTION("""COMPUTED_VALUE"""),0.0)</f>
        <v>0</v>
      </c>
      <c r="L1454" s="250" t="str">
        <f>IFERROR(__xludf.DUMMYFUNCTION("""COMPUTED_VALUE"""),"")</f>
        <v/>
      </c>
      <c r="M1454" s="250" t="str">
        <f>IFERROR(__xludf.DUMMYFUNCTION("""COMPUTED_VALUE"""),"")</f>
        <v/>
      </c>
      <c r="N1454" s="250" t="str">
        <f>IFERROR(__xludf.DUMMYFUNCTION("""COMPUTED_VALUE"""),"")</f>
        <v/>
      </c>
      <c r="O1454" s="250" t="str">
        <f>IFERROR(__xludf.DUMMYFUNCTION("""COMPUTED_VALUE"""),"")</f>
        <v/>
      </c>
      <c r="P1454" s="250" t="str">
        <f>IFERROR(__xludf.DUMMYFUNCTION("""COMPUTED_VALUE"""),"")</f>
        <v/>
      </c>
      <c r="Q1454" s="250" t="str">
        <f>IFERROR(__xludf.DUMMYFUNCTION("""COMPUTED_VALUE"""),"")</f>
        <v/>
      </c>
      <c r="R1454" s="250" t="str">
        <f>IFERROR(__xludf.DUMMYFUNCTION("""COMPUTED_VALUE"""),"")</f>
        <v/>
      </c>
      <c r="U1454" s="250" t="str">
        <f>IFERROR(__xludf.DUMMYFUNCTION("""COMPUTED_VALUE"""),"#N/A")</f>
        <v>#N/A</v>
      </c>
      <c r="V1454" s="250" t="str">
        <f>IFERROR(__xludf.DUMMYFUNCTION("""COMPUTED_VALUE"""),"#N/A")</f>
        <v>#N/A</v>
      </c>
      <c r="W1454" s="250" t="str">
        <f>IFERROR(__xludf.DUMMYFUNCTION("""COMPUTED_VALUE"""),"#N/A")</f>
        <v>#N/A</v>
      </c>
      <c r="X1454" t="b">
        <f t="shared" ref="X1454:Z1454" si="2884">ISBLANK(K1454)</f>
        <v>1</v>
      </c>
      <c r="Y1454" t="b">
        <f t="shared" si="2884"/>
        <v>0</v>
      </c>
      <c r="Z1454" t="b">
        <f t="shared" si="2884"/>
        <v>0</v>
      </c>
      <c r="AA1454">
        <f t="shared" ref="AA1454:AC1454" si="2885">IF(X1454=FALSE,1,0)</f>
        <v>0</v>
      </c>
      <c r="AB1454">
        <f t="shared" si="2885"/>
        <v>1</v>
      </c>
      <c r="AC1454">
        <f t="shared" si="2885"/>
        <v>1</v>
      </c>
      <c r="AD1454">
        <f t="shared" si="6"/>
        <v>2</v>
      </c>
      <c r="AE1454">
        <f t="shared" si="7"/>
        <v>1</v>
      </c>
    </row>
    <row r="1455">
      <c r="B1455" t="str">
        <f>IFERROR(__xludf.DUMMYFUNCTION("""COMPUTED_VALUE"""),"")</f>
        <v/>
      </c>
      <c r="C1455" t="str">
        <f>IFERROR(__xludf.DUMMYFUNCTION("""COMPUTED_VALUE"""),"")</f>
        <v/>
      </c>
      <c r="D1455" t="str">
        <f>IFERROR(__xludf.DUMMYFUNCTION("""COMPUTED_VALUE"""),"")</f>
        <v/>
      </c>
      <c r="E1455" t="str">
        <f>IFERROR(__xludf.DUMMYFUNCTION("""COMPUTED_VALUE"""),"")</f>
        <v/>
      </c>
      <c r="F1455" t="str">
        <f>IFERROR(__xludf.DUMMYFUNCTION("""COMPUTED_VALUE"""),"")</f>
        <v/>
      </c>
      <c r="G1455" t="str">
        <f>IFERROR(__xludf.DUMMYFUNCTION("""COMPUTED_VALUE"""),"")</f>
        <v/>
      </c>
      <c r="H1455" t="str">
        <f>IFERROR(__xludf.DUMMYFUNCTION("""COMPUTED_VALUE"""),"")</f>
        <v/>
      </c>
      <c r="I1455" t="str">
        <f>IFERROR(__xludf.DUMMYFUNCTION("""COMPUTED_VALUE"""),"")</f>
        <v/>
      </c>
      <c r="J1455">
        <f>IFERROR(__xludf.DUMMYFUNCTION("""COMPUTED_VALUE"""),0.0)</f>
        <v>0</v>
      </c>
      <c r="L1455" s="250" t="str">
        <f>IFERROR(__xludf.DUMMYFUNCTION("""COMPUTED_VALUE"""),"")</f>
        <v/>
      </c>
      <c r="M1455" s="250" t="str">
        <f>IFERROR(__xludf.DUMMYFUNCTION("""COMPUTED_VALUE"""),"")</f>
        <v/>
      </c>
      <c r="N1455" s="250" t="str">
        <f>IFERROR(__xludf.DUMMYFUNCTION("""COMPUTED_VALUE"""),"")</f>
        <v/>
      </c>
      <c r="O1455" s="250" t="str">
        <f>IFERROR(__xludf.DUMMYFUNCTION("""COMPUTED_VALUE"""),"")</f>
        <v/>
      </c>
      <c r="P1455" s="250" t="str">
        <f>IFERROR(__xludf.DUMMYFUNCTION("""COMPUTED_VALUE"""),"")</f>
        <v/>
      </c>
      <c r="Q1455" s="250" t="str">
        <f>IFERROR(__xludf.DUMMYFUNCTION("""COMPUTED_VALUE"""),"")</f>
        <v/>
      </c>
      <c r="R1455" s="250" t="str">
        <f>IFERROR(__xludf.DUMMYFUNCTION("""COMPUTED_VALUE"""),"")</f>
        <v/>
      </c>
      <c r="U1455" s="250" t="str">
        <f>IFERROR(__xludf.DUMMYFUNCTION("""COMPUTED_VALUE"""),"#N/A")</f>
        <v>#N/A</v>
      </c>
      <c r="V1455" s="250" t="str">
        <f>IFERROR(__xludf.DUMMYFUNCTION("""COMPUTED_VALUE"""),"#N/A")</f>
        <v>#N/A</v>
      </c>
      <c r="W1455" s="250" t="str">
        <f>IFERROR(__xludf.DUMMYFUNCTION("""COMPUTED_VALUE"""),"#N/A")</f>
        <v>#N/A</v>
      </c>
      <c r="X1455" t="b">
        <f t="shared" ref="X1455:Z1455" si="2886">ISBLANK(K1455)</f>
        <v>1</v>
      </c>
      <c r="Y1455" t="b">
        <f t="shared" si="2886"/>
        <v>0</v>
      </c>
      <c r="Z1455" t="b">
        <f t="shared" si="2886"/>
        <v>0</v>
      </c>
      <c r="AA1455">
        <f t="shared" ref="AA1455:AC1455" si="2887">IF(X1455=FALSE,1,0)</f>
        <v>0</v>
      </c>
      <c r="AB1455">
        <f t="shared" si="2887"/>
        <v>1</v>
      </c>
      <c r="AC1455">
        <f t="shared" si="2887"/>
        <v>1</v>
      </c>
      <c r="AD1455">
        <f t="shared" si="6"/>
        <v>2</v>
      </c>
      <c r="AE1455">
        <f t="shared" si="7"/>
        <v>1</v>
      </c>
    </row>
    <row r="1456">
      <c r="B1456" t="str">
        <f>IFERROR(__xludf.DUMMYFUNCTION("""COMPUTED_VALUE"""),"")</f>
        <v/>
      </c>
      <c r="C1456" t="str">
        <f>IFERROR(__xludf.DUMMYFUNCTION("""COMPUTED_VALUE"""),"")</f>
        <v/>
      </c>
      <c r="D1456" t="str">
        <f>IFERROR(__xludf.DUMMYFUNCTION("""COMPUTED_VALUE"""),"")</f>
        <v/>
      </c>
      <c r="E1456" t="str">
        <f>IFERROR(__xludf.DUMMYFUNCTION("""COMPUTED_VALUE"""),"")</f>
        <v/>
      </c>
      <c r="F1456" t="str">
        <f>IFERROR(__xludf.DUMMYFUNCTION("""COMPUTED_VALUE"""),"")</f>
        <v/>
      </c>
      <c r="G1456" t="str">
        <f>IFERROR(__xludf.DUMMYFUNCTION("""COMPUTED_VALUE"""),"")</f>
        <v/>
      </c>
      <c r="H1456" t="str">
        <f>IFERROR(__xludf.DUMMYFUNCTION("""COMPUTED_VALUE"""),"")</f>
        <v/>
      </c>
      <c r="I1456" t="str">
        <f>IFERROR(__xludf.DUMMYFUNCTION("""COMPUTED_VALUE"""),"")</f>
        <v/>
      </c>
      <c r="J1456">
        <f>IFERROR(__xludf.DUMMYFUNCTION("""COMPUTED_VALUE"""),0.0)</f>
        <v>0</v>
      </c>
      <c r="L1456" s="250" t="str">
        <f>IFERROR(__xludf.DUMMYFUNCTION("""COMPUTED_VALUE"""),"")</f>
        <v/>
      </c>
      <c r="M1456" s="250" t="str">
        <f>IFERROR(__xludf.DUMMYFUNCTION("""COMPUTED_VALUE"""),"")</f>
        <v/>
      </c>
      <c r="N1456" s="250" t="str">
        <f>IFERROR(__xludf.DUMMYFUNCTION("""COMPUTED_VALUE"""),"")</f>
        <v/>
      </c>
      <c r="O1456" s="250" t="str">
        <f>IFERROR(__xludf.DUMMYFUNCTION("""COMPUTED_VALUE"""),"")</f>
        <v/>
      </c>
      <c r="P1456" s="250" t="str">
        <f>IFERROR(__xludf.DUMMYFUNCTION("""COMPUTED_VALUE"""),"")</f>
        <v/>
      </c>
      <c r="Q1456" s="250" t="str">
        <f>IFERROR(__xludf.DUMMYFUNCTION("""COMPUTED_VALUE"""),"")</f>
        <v/>
      </c>
      <c r="R1456" s="250" t="str">
        <f>IFERROR(__xludf.DUMMYFUNCTION("""COMPUTED_VALUE"""),"")</f>
        <v/>
      </c>
      <c r="U1456" s="250" t="str">
        <f>IFERROR(__xludf.DUMMYFUNCTION("""COMPUTED_VALUE"""),"#N/A")</f>
        <v>#N/A</v>
      </c>
      <c r="V1456" s="250" t="str">
        <f>IFERROR(__xludf.DUMMYFUNCTION("""COMPUTED_VALUE"""),"#N/A")</f>
        <v>#N/A</v>
      </c>
      <c r="W1456" s="250" t="str">
        <f>IFERROR(__xludf.DUMMYFUNCTION("""COMPUTED_VALUE"""),"#N/A")</f>
        <v>#N/A</v>
      </c>
      <c r="X1456" t="b">
        <f t="shared" ref="X1456:Z1456" si="2888">ISBLANK(K1456)</f>
        <v>1</v>
      </c>
      <c r="Y1456" t="b">
        <f t="shared" si="2888"/>
        <v>0</v>
      </c>
      <c r="Z1456" t="b">
        <f t="shared" si="2888"/>
        <v>0</v>
      </c>
      <c r="AA1456">
        <f t="shared" ref="AA1456:AC1456" si="2889">IF(X1456=FALSE,1,0)</f>
        <v>0</v>
      </c>
      <c r="AB1456">
        <f t="shared" si="2889"/>
        <v>1</v>
      </c>
      <c r="AC1456">
        <f t="shared" si="2889"/>
        <v>1</v>
      </c>
      <c r="AD1456">
        <f t="shared" si="6"/>
        <v>2</v>
      </c>
      <c r="AE1456">
        <f t="shared" si="7"/>
        <v>1</v>
      </c>
    </row>
    <row r="1457">
      <c r="B1457" t="str">
        <f>IFERROR(__xludf.DUMMYFUNCTION("""COMPUTED_VALUE"""),"")</f>
        <v/>
      </c>
      <c r="C1457" t="str">
        <f>IFERROR(__xludf.DUMMYFUNCTION("""COMPUTED_VALUE"""),"")</f>
        <v/>
      </c>
      <c r="D1457" t="str">
        <f>IFERROR(__xludf.DUMMYFUNCTION("""COMPUTED_VALUE"""),"")</f>
        <v/>
      </c>
      <c r="E1457" t="str">
        <f>IFERROR(__xludf.DUMMYFUNCTION("""COMPUTED_VALUE"""),"")</f>
        <v/>
      </c>
      <c r="F1457" t="str">
        <f>IFERROR(__xludf.DUMMYFUNCTION("""COMPUTED_VALUE"""),"")</f>
        <v/>
      </c>
      <c r="G1457" t="str">
        <f>IFERROR(__xludf.DUMMYFUNCTION("""COMPUTED_VALUE"""),"")</f>
        <v/>
      </c>
      <c r="H1457" t="str">
        <f>IFERROR(__xludf.DUMMYFUNCTION("""COMPUTED_VALUE"""),"")</f>
        <v/>
      </c>
      <c r="I1457" t="str">
        <f>IFERROR(__xludf.DUMMYFUNCTION("""COMPUTED_VALUE"""),"")</f>
        <v/>
      </c>
      <c r="J1457">
        <f>IFERROR(__xludf.DUMMYFUNCTION("""COMPUTED_VALUE"""),0.0)</f>
        <v>0</v>
      </c>
      <c r="L1457" s="250" t="str">
        <f>IFERROR(__xludf.DUMMYFUNCTION("""COMPUTED_VALUE"""),"")</f>
        <v/>
      </c>
      <c r="M1457" s="250" t="str">
        <f>IFERROR(__xludf.DUMMYFUNCTION("""COMPUTED_VALUE"""),"")</f>
        <v/>
      </c>
      <c r="N1457" s="250" t="str">
        <f>IFERROR(__xludf.DUMMYFUNCTION("""COMPUTED_VALUE"""),"")</f>
        <v/>
      </c>
      <c r="O1457" s="250" t="str">
        <f>IFERROR(__xludf.DUMMYFUNCTION("""COMPUTED_VALUE"""),"")</f>
        <v/>
      </c>
      <c r="P1457" s="250" t="str">
        <f>IFERROR(__xludf.DUMMYFUNCTION("""COMPUTED_VALUE"""),"")</f>
        <v/>
      </c>
      <c r="Q1457" s="250" t="str">
        <f>IFERROR(__xludf.DUMMYFUNCTION("""COMPUTED_VALUE"""),"")</f>
        <v/>
      </c>
      <c r="R1457" s="250" t="str">
        <f>IFERROR(__xludf.DUMMYFUNCTION("""COMPUTED_VALUE"""),"")</f>
        <v/>
      </c>
      <c r="U1457" s="250" t="str">
        <f>IFERROR(__xludf.DUMMYFUNCTION("""COMPUTED_VALUE"""),"#N/A")</f>
        <v>#N/A</v>
      </c>
      <c r="V1457" s="250" t="str">
        <f>IFERROR(__xludf.DUMMYFUNCTION("""COMPUTED_VALUE"""),"#N/A")</f>
        <v>#N/A</v>
      </c>
      <c r="W1457" s="250" t="str">
        <f>IFERROR(__xludf.DUMMYFUNCTION("""COMPUTED_VALUE"""),"#N/A")</f>
        <v>#N/A</v>
      </c>
      <c r="X1457" t="b">
        <f t="shared" ref="X1457:Z1457" si="2890">ISBLANK(K1457)</f>
        <v>1</v>
      </c>
      <c r="Y1457" t="b">
        <f t="shared" si="2890"/>
        <v>0</v>
      </c>
      <c r="Z1457" t="b">
        <f t="shared" si="2890"/>
        <v>0</v>
      </c>
      <c r="AA1457">
        <f t="shared" ref="AA1457:AC1457" si="2891">IF(X1457=FALSE,1,0)</f>
        <v>0</v>
      </c>
      <c r="AB1457">
        <f t="shared" si="2891"/>
        <v>1</v>
      </c>
      <c r="AC1457">
        <f t="shared" si="2891"/>
        <v>1</v>
      </c>
      <c r="AD1457">
        <f t="shared" si="6"/>
        <v>2</v>
      </c>
      <c r="AE1457">
        <f t="shared" si="7"/>
        <v>1</v>
      </c>
    </row>
    <row r="1458">
      <c r="B1458" t="str">
        <f>IFERROR(__xludf.DUMMYFUNCTION("""COMPUTED_VALUE"""),"")</f>
        <v/>
      </c>
      <c r="C1458" t="str">
        <f>IFERROR(__xludf.DUMMYFUNCTION("""COMPUTED_VALUE"""),"")</f>
        <v/>
      </c>
      <c r="D1458" t="str">
        <f>IFERROR(__xludf.DUMMYFUNCTION("""COMPUTED_VALUE"""),"")</f>
        <v/>
      </c>
      <c r="E1458" t="str">
        <f>IFERROR(__xludf.DUMMYFUNCTION("""COMPUTED_VALUE"""),"")</f>
        <v/>
      </c>
      <c r="F1458" t="str">
        <f>IFERROR(__xludf.DUMMYFUNCTION("""COMPUTED_VALUE"""),"")</f>
        <v/>
      </c>
      <c r="G1458" t="str">
        <f>IFERROR(__xludf.DUMMYFUNCTION("""COMPUTED_VALUE"""),"")</f>
        <v/>
      </c>
      <c r="H1458" t="str">
        <f>IFERROR(__xludf.DUMMYFUNCTION("""COMPUTED_VALUE"""),"")</f>
        <v/>
      </c>
      <c r="I1458" t="str">
        <f>IFERROR(__xludf.DUMMYFUNCTION("""COMPUTED_VALUE"""),"")</f>
        <v/>
      </c>
      <c r="J1458">
        <f>IFERROR(__xludf.DUMMYFUNCTION("""COMPUTED_VALUE"""),0.0)</f>
        <v>0</v>
      </c>
      <c r="L1458" s="250" t="str">
        <f>IFERROR(__xludf.DUMMYFUNCTION("""COMPUTED_VALUE"""),"")</f>
        <v/>
      </c>
      <c r="M1458" s="250" t="str">
        <f>IFERROR(__xludf.DUMMYFUNCTION("""COMPUTED_VALUE"""),"")</f>
        <v/>
      </c>
      <c r="N1458" s="250" t="str">
        <f>IFERROR(__xludf.DUMMYFUNCTION("""COMPUTED_VALUE"""),"")</f>
        <v/>
      </c>
      <c r="O1458" s="250" t="str">
        <f>IFERROR(__xludf.DUMMYFUNCTION("""COMPUTED_VALUE"""),"")</f>
        <v/>
      </c>
      <c r="P1458" s="250" t="str">
        <f>IFERROR(__xludf.DUMMYFUNCTION("""COMPUTED_VALUE"""),"")</f>
        <v/>
      </c>
      <c r="Q1458" s="250" t="str">
        <f>IFERROR(__xludf.DUMMYFUNCTION("""COMPUTED_VALUE"""),"")</f>
        <v/>
      </c>
      <c r="R1458" s="250" t="str">
        <f>IFERROR(__xludf.DUMMYFUNCTION("""COMPUTED_VALUE"""),"")</f>
        <v/>
      </c>
      <c r="U1458" s="250" t="str">
        <f>IFERROR(__xludf.DUMMYFUNCTION("""COMPUTED_VALUE"""),"#N/A")</f>
        <v>#N/A</v>
      </c>
      <c r="V1458" s="250" t="str">
        <f>IFERROR(__xludf.DUMMYFUNCTION("""COMPUTED_VALUE"""),"#N/A")</f>
        <v>#N/A</v>
      </c>
      <c r="W1458" s="250" t="str">
        <f>IFERROR(__xludf.DUMMYFUNCTION("""COMPUTED_VALUE"""),"#N/A")</f>
        <v>#N/A</v>
      </c>
      <c r="X1458" t="b">
        <f t="shared" ref="X1458:Z1458" si="2892">ISBLANK(K1458)</f>
        <v>1</v>
      </c>
      <c r="Y1458" t="b">
        <f t="shared" si="2892"/>
        <v>0</v>
      </c>
      <c r="Z1458" t="b">
        <f t="shared" si="2892"/>
        <v>0</v>
      </c>
      <c r="AA1458">
        <f t="shared" ref="AA1458:AC1458" si="2893">IF(X1458=FALSE,1,0)</f>
        <v>0</v>
      </c>
      <c r="AB1458">
        <f t="shared" si="2893"/>
        <v>1</v>
      </c>
      <c r="AC1458">
        <f t="shared" si="2893"/>
        <v>1</v>
      </c>
      <c r="AD1458">
        <f t="shared" si="6"/>
        <v>2</v>
      </c>
      <c r="AE1458">
        <f t="shared" si="7"/>
        <v>1</v>
      </c>
    </row>
    <row r="1459">
      <c r="B1459" t="str">
        <f>IFERROR(__xludf.DUMMYFUNCTION("""COMPUTED_VALUE"""),"")</f>
        <v/>
      </c>
      <c r="C1459" t="str">
        <f>IFERROR(__xludf.DUMMYFUNCTION("""COMPUTED_VALUE"""),"")</f>
        <v/>
      </c>
      <c r="D1459" t="str">
        <f>IFERROR(__xludf.DUMMYFUNCTION("""COMPUTED_VALUE"""),"")</f>
        <v/>
      </c>
      <c r="E1459" t="str">
        <f>IFERROR(__xludf.DUMMYFUNCTION("""COMPUTED_VALUE"""),"")</f>
        <v/>
      </c>
      <c r="F1459" t="str">
        <f>IFERROR(__xludf.DUMMYFUNCTION("""COMPUTED_VALUE"""),"")</f>
        <v/>
      </c>
      <c r="G1459" t="str">
        <f>IFERROR(__xludf.DUMMYFUNCTION("""COMPUTED_VALUE"""),"")</f>
        <v/>
      </c>
      <c r="H1459" t="str">
        <f>IFERROR(__xludf.DUMMYFUNCTION("""COMPUTED_VALUE"""),"")</f>
        <v/>
      </c>
      <c r="I1459" t="str">
        <f>IFERROR(__xludf.DUMMYFUNCTION("""COMPUTED_VALUE"""),"")</f>
        <v/>
      </c>
      <c r="J1459">
        <f>IFERROR(__xludf.DUMMYFUNCTION("""COMPUTED_VALUE"""),0.0)</f>
        <v>0</v>
      </c>
      <c r="L1459" s="250" t="str">
        <f>IFERROR(__xludf.DUMMYFUNCTION("""COMPUTED_VALUE"""),"")</f>
        <v/>
      </c>
      <c r="M1459" s="250" t="str">
        <f>IFERROR(__xludf.DUMMYFUNCTION("""COMPUTED_VALUE"""),"")</f>
        <v/>
      </c>
      <c r="N1459" s="250" t="str">
        <f>IFERROR(__xludf.DUMMYFUNCTION("""COMPUTED_VALUE"""),"")</f>
        <v/>
      </c>
      <c r="O1459" s="250" t="str">
        <f>IFERROR(__xludf.DUMMYFUNCTION("""COMPUTED_VALUE"""),"")</f>
        <v/>
      </c>
      <c r="P1459" s="250" t="str">
        <f>IFERROR(__xludf.DUMMYFUNCTION("""COMPUTED_VALUE"""),"")</f>
        <v/>
      </c>
      <c r="Q1459" s="250" t="str">
        <f>IFERROR(__xludf.DUMMYFUNCTION("""COMPUTED_VALUE"""),"")</f>
        <v/>
      </c>
      <c r="R1459" s="250" t="str">
        <f>IFERROR(__xludf.DUMMYFUNCTION("""COMPUTED_VALUE"""),"")</f>
        <v/>
      </c>
      <c r="U1459" s="250" t="str">
        <f>IFERROR(__xludf.DUMMYFUNCTION("""COMPUTED_VALUE"""),"#N/A")</f>
        <v>#N/A</v>
      </c>
      <c r="V1459" s="250" t="str">
        <f>IFERROR(__xludf.DUMMYFUNCTION("""COMPUTED_VALUE"""),"#N/A")</f>
        <v>#N/A</v>
      </c>
      <c r="W1459" s="250" t="str">
        <f>IFERROR(__xludf.DUMMYFUNCTION("""COMPUTED_VALUE"""),"#N/A")</f>
        <v>#N/A</v>
      </c>
      <c r="X1459" t="b">
        <f t="shared" ref="X1459:Z1459" si="2894">ISBLANK(K1459)</f>
        <v>1</v>
      </c>
      <c r="Y1459" t="b">
        <f t="shared" si="2894"/>
        <v>0</v>
      </c>
      <c r="Z1459" t="b">
        <f t="shared" si="2894"/>
        <v>0</v>
      </c>
      <c r="AA1459">
        <f t="shared" ref="AA1459:AC1459" si="2895">IF(X1459=FALSE,1,0)</f>
        <v>0</v>
      </c>
      <c r="AB1459">
        <f t="shared" si="2895"/>
        <v>1</v>
      </c>
      <c r="AC1459">
        <f t="shared" si="2895"/>
        <v>1</v>
      </c>
      <c r="AD1459">
        <f t="shared" si="6"/>
        <v>2</v>
      </c>
      <c r="AE1459">
        <f t="shared" si="7"/>
        <v>1</v>
      </c>
    </row>
    <row r="1460">
      <c r="B1460" t="str">
        <f>IFERROR(__xludf.DUMMYFUNCTION("""COMPUTED_VALUE"""),"")</f>
        <v/>
      </c>
      <c r="C1460" t="str">
        <f>IFERROR(__xludf.DUMMYFUNCTION("""COMPUTED_VALUE"""),"")</f>
        <v/>
      </c>
      <c r="D1460" t="str">
        <f>IFERROR(__xludf.DUMMYFUNCTION("""COMPUTED_VALUE"""),"")</f>
        <v/>
      </c>
      <c r="E1460" t="str">
        <f>IFERROR(__xludf.DUMMYFUNCTION("""COMPUTED_VALUE"""),"")</f>
        <v/>
      </c>
      <c r="F1460" t="str">
        <f>IFERROR(__xludf.DUMMYFUNCTION("""COMPUTED_VALUE"""),"")</f>
        <v/>
      </c>
      <c r="G1460" t="str">
        <f>IFERROR(__xludf.DUMMYFUNCTION("""COMPUTED_VALUE"""),"")</f>
        <v/>
      </c>
      <c r="H1460" t="str">
        <f>IFERROR(__xludf.DUMMYFUNCTION("""COMPUTED_VALUE"""),"")</f>
        <v/>
      </c>
      <c r="I1460" t="str">
        <f>IFERROR(__xludf.DUMMYFUNCTION("""COMPUTED_VALUE"""),"")</f>
        <v/>
      </c>
      <c r="J1460">
        <f>IFERROR(__xludf.DUMMYFUNCTION("""COMPUTED_VALUE"""),0.0)</f>
        <v>0</v>
      </c>
      <c r="L1460" s="250" t="str">
        <f>IFERROR(__xludf.DUMMYFUNCTION("""COMPUTED_VALUE"""),"")</f>
        <v/>
      </c>
      <c r="M1460" s="250" t="str">
        <f>IFERROR(__xludf.DUMMYFUNCTION("""COMPUTED_VALUE"""),"")</f>
        <v/>
      </c>
      <c r="N1460" s="250" t="str">
        <f>IFERROR(__xludf.DUMMYFUNCTION("""COMPUTED_VALUE"""),"")</f>
        <v/>
      </c>
      <c r="O1460" s="250" t="str">
        <f>IFERROR(__xludf.DUMMYFUNCTION("""COMPUTED_VALUE"""),"")</f>
        <v/>
      </c>
      <c r="P1460" s="250" t="str">
        <f>IFERROR(__xludf.DUMMYFUNCTION("""COMPUTED_VALUE"""),"")</f>
        <v/>
      </c>
      <c r="Q1460" s="250" t="str">
        <f>IFERROR(__xludf.DUMMYFUNCTION("""COMPUTED_VALUE"""),"")</f>
        <v/>
      </c>
      <c r="R1460" s="250" t="str">
        <f>IFERROR(__xludf.DUMMYFUNCTION("""COMPUTED_VALUE"""),"")</f>
        <v/>
      </c>
      <c r="U1460" s="250" t="str">
        <f>IFERROR(__xludf.DUMMYFUNCTION("""COMPUTED_VALUE"""),"#N/A")</f>
        <v>#N/A</v>
      </c>
      <c r="V1460" s="250" t="str">
        <f>IFERROR(__xludf.DUMMYFUNCTION("""COMPUTED_VALUE"""),"#N/A")</f>
        <v>#N/A</v>
      </c>
      <c r="W1460" s="250" t="str">
        <f>IFERROR(__xludf.DUMMYFUNCTION("""COMPUTED_VALUE"""),"#N/A")</f>
        <v>#N/A</v>
      </c>
      <c r="X1460" t="b">
        <f t="shared" ref="X1460:Z1460" si="2896">ISBLANK(K1460)</f>
        <v>1</v>
      </c>
      <c r="Y1460" t="b">
        <f t="shared" si="2896"/>
        <v>0</v>
      </c>
      <c r="Z1460" t="b">
        <f t="shared" si="2896"/>
        <v>0</v>
      </c>
      <c r="AA1460">
        <f t="shared" ref="AA1460:AC1460" si="2897">IF(X1460=FALSE,1,0)</f>
        <v>0</v>
      </c>
      <c r="AB1460">
        <f t="shared" si="2897"/>
        <v>1</v>
      </c>
      <c r="AC1460">
        <f t="shared" si="2897"/>
        <v>1</v>
      </c>
      <c r="AD1460">
        <f t="shared" si="6"/>
        <v>2</v>
      </c>
      <c r="AE1460">
        <f t="shared" si="7"/>
        <v>1</v>
      </c>
    </row>
    <row r="1461">
      <c r="B1461" t="str">
        <f>IFERROR(__xludf.DUMMYFUNCTION("""COMPUTED_VALUE"""),"")</f>
        <v/>
      </c>
      <c r="C1461" t="str">
        <f>IFERROR(__xludf.DUMMYFUNCTION("""COMPUTED_VALUE"""),"")</f>
        <v/>
      </c>
      <c r="D1461" t="str">
        <f>IFERROR(__xludf.DUMMYFUNCTION("""COMPUTED_VALUE"""),"")</f>
        <v/>
      </c>
      <c r="E1461" t="str">
        <f>IFERROR(__xludf.DUMMYFUNCTION("""COMPUTED_VALUE"""),"")</f>
        <v/>
      </c>
      <c r="F1461" t="str">
        <f>IFERROR(__xludf.DUMMYFUNCTION("""COMPUTED_VALUE"""),"")</f>
        <v/>
      </c>
      <c r="G1461" t="str">
        <f>IFERROR(__xludf.DUMMYFUNCTION("""COMPUTED_VALUE"""),"")</f>
        <v/>
      </c>
      <c r="H1461" t="str">
        <f>IFERROR(__xludf.DUMMYFUNCTION("""COMPUTED_VALUE"""),"")</f>
        <v/>
      </c>
      <c r="I1461" t="str">
        <f>IFERROR(__xludf.DUMMYFUNCTION("""COMPUTED_VALUE"""),"")</f>
        <v/>
      </c>
      <c r="J1461">
        <f>IFERROR(__xludf.DUMMYFUNCTION("""COMPUTED_VALUE"""),0.0)</f>
        <v>0</v>
      </c>
      <c r="L1461" s="250" t="str">
        <f>IFERROR(__xludf.DUMMYFUNCTION("""COMPUTED_VALUE"""),"")</f>
        <v/>
      </c>
      <c r="M1461" s="250" t="str">
        <f>IFERROR(__xludf.DUMMYFUNCTION("""COMPUTED_VALUE"""),"")</f>
        <v/>
      </c>
      <c r="N1461" s="250" t="str">
        <f>IFERROR(__xludf.DUMMYFUNCTION("""COMPUTED_VALUE"""),"")</f>
        <v/>
      </c>
      <c r="O1461" s="250" t="str">
        <f>IFERROR(__xludf.DUMMYFUNCTION("""COMPUTED_VALUE"""),"")</f>
        <v/>
      </c>
      <c r="P1461" s="250" t="str">
        <f>IFERROR(__xludf.DUMMYFUNCTION("""COMPUTED_VALUE"""),"")</f>
        <v/>
      </c>
      <c r="Q1461" s="250" t="str">
        <f>IFERROR(__xludf.DUMMYFUNCTION("""COMPUTED_VALUE"""),"")</f>
        <v/>
      </c>
      <c r="R1461" s="250" t="str">
        <f>IFERROR(__xludf.DUMMYFUNCTION("""COMPUTED_VALUE"""),"")</f>
        <v/>
      </c>
      <c r="U1461" s="250" t="str">
        <f>IFERROR(__xludf.DUMMYFUNCTION("""COMPUTED_VALUE"""),"#N/A")</f>
        <v>#N/A</v>
      </c>
      <c r="V1461" s="250" t="str">
        <f>IFERROR(__xludf.DUMMYFUNCTION("""COMPUTED_VALUE"""),"#N/A")</f>
        <v>#N/A</v>
      </c>
      <c r="W1461" s="250" t="str">
        <f>IFERROR(__xludf.DUMMYFUNCTION("""COMPUTED_VALUE"""),"#N/A")</f>
        <v>#N/A</v>
      </c>
      <c r="X1461" t="b">
        <f t="shared" ref="X1461:Z1461" si="2898">ISBLANK(K1461)</f>
        <v>1</v>
      </c>
      <c r="Y1461" t="b">
        <f t="shared" si="2898"/>
        <v>0</v>
      </c>
      <c r="Z1461" t="b">
        <f t="shared" si="2898"/>
        <v>0</v>
      </c>
      <c r="AA1461">
        <f t="shared" ref="AA1461:AC1461" si="2899">IF(X1461=FALSE,1,0)</f>
        <v>0</v>
      </c>
      <c r="AB1461">
        <f t="shared" si="2899"/>
        <v>1</v>
      </c>
      <c r="AC1461">
        <f t="shared" si="2899"/>
        <v>1</v>
      </c>
      <c r="AD1461">
        <f t="shared" si="6"/>
        <v>2</v>
      </c>
      <c r="AE1461">
        <f t="shared" si="7"/>
        <v>1</v>
      </c>
    </row>
    <row r="1462">
      <c r="B1462" t="str">
        <f>IFERROR(__xludf.DUMMYFUNCTION("""COMPUTED_VALUE"""),"")</f>
        <v/>
      </c>
      <c r="C1462" t="str">
        <f>IFERROR(__xludf.DUMMYFUNCTION("""COMPUTED_VALUE"""),"")</f>
        <v/>
      </c>
      <c r="D1462" t="str">
        <f>IFERROR(__xludf.DUMMYFUNCTION("""COMPUTED_VALUE"""),"")</f>
        <v/>
      </c>
      <c r="E1462" t="str">
        <f>IFERROR(__xludf.DUMMYFUNCTION("""COMPUTED_VALUE"""),"")</f>
        <v/>
      </c>
      <c r="F1462" t="str">
        <f>IFERROR(__xludf.DUMMYFUNCTION("""COMPUTED_VALUE"""),"")</f>
        <v/>
      </c>
      <c r="G1462" t="str">
        <f>IFERROR(__xludf.DUMMYFUNCTION("""COMPUTED_VALUE"""),"")</f>
        <v/>
      </c>
      <c r="H1462" t="str">
        <f>IFERROR(__xludf.DUMMYFUNCTION("""COMPUTED_VALUE"""),"")</f>
        <v/>
      </c>
      <c r="I1462" t="str">
        <f>IFERROR(__xludf.DUMMYFUNCTION("""COMPUTED_VALUE"""),"")</f>
        <v/>
      </c>
      <c r="J1462">
        <f>IFERROR(__xludf.DUMMYFUNCTION("""COMPUTED_VALUE"""),0.0)</f>
        <v>0</v>
      </c>
      <c r="L1462" s="250" t="str">
        <f>IFERROR(__xludf.DUMMYFUNCTION("""COMPUTED_VALUE"""),"")</f>
        <v/>
      </c>
      <c r="M1462" s="250" t="str">
        <f>IFERROR(__xludf.DUMMYFUNCTION("""COMPUTED_VALUE"""),"")</f>
        <v/>
      </c>
      <c r="N1462" s="250" t="str">
        <f>IFERROR(__xludf.DUMMYFUNCTION("""COMPUTED_VALUE"""),"")</f>
        <v/>
      </c>
      <c r="O1462" s="250" t="str">
        <f>IFERROR(__xludf.DUMMYFUNCTION("""COMPUTED_VALUE"""),"")</f>
        <v/>
      </c>
      <c r="P1462" s="250" t="str">
        <f>IFERROR(__xludf.DUMMYFUNCTION("""COMPUTED_VALUE"""),"")</f>
        <v/>
      </c>
      <c r="Q1462" s="250" t="str">
        <f>IFERROR(__xludf.DUMMYFUNCTION("""COMPUTED_VALUE"""),"")</f>
        <v/>
      </c>
      <c r="R1462" s="250" t="str">
        <f>IFERROR(__xludf.DUMMYFUNCTION("""COMPUTED_VALUE"""),"")</f>
        <v/>
      </c>
      <c r="U1462" s="250" t="str">
        <f>IFERROR(__xludf.DUMMYFUNCTION("""COMPUTED_VALUE"""),"#N/A")</f>
        <v>#N/A</v>
      </c>
      <c r="V1462" s="250" t="str">
        <f>IFERROR(__xludf.DUMMYFUNCTION("""COMPUTED_VALUE"""),"#N/A")</f>
        <v>#N/A</v>
      </c>
      <c r="W1462" s="250" t="str">
        <f>IFERROR(__xludf.DUMMYFUNCTION("""COMPUTED_VALUE"""),"#N/A")</f>
        <v>#N/A</v>
      </c>
      <c r="X1462" t="b">
        <f t="shared" ref="X1462:Z1462" si="2900">ISBLANK(K1462)</f>
        <v>1</v>
      </c>
      <c r="Y1462" t="b">
        <f t="shared" si="2900"/>
        <v>0</v>
      </c>
      <c r="Z1462" t="b">
        <f t="shared" si="2900"/>
        <v>0</v>
      </c>
      <c r="AA1462">
        <f t="shared" ref="AA1462:AC1462" si="2901">IF(X1462=FALSE,1,0)</f>
        <v>0</v>
      </c>
      <c r="AB1462">
        <f t="shared" si="2901"/>
        <v>1</v>
      </c>
      <c r="AC1462">
        <f t="shared" si="2901"/>
        <v>1</v>
      </c>
      <c r="AD1462">
        <f t="shared" si="6"/>
        <v>2</v>
      </c>
      <c r="AE1462">
        <f t="shared" si="7"/>
        <v>1</v>
      </c>
    </row>
    <row r="1463">
      <c r="B1463" t="str">
        <f>IFERROR(__xludf.DUMMYFUNCTION("""COMPUTED_VALUE"""),"")</f>
        <v/>
      </c>
      <c r="C1463" t="str">
        <f>IFERROR(__xludf.DUMMYFUNCTION("""COMPUTED_VALUE"""),"")</f>
        <v/>
      </c>
      <c r="D1463" t="str">
        <f>IFERROR(__xludf.DUMMYFUNCTION("""COMPUTED_VALUE"""),"")</f>
        <v/>
      </c>
      <c r="E1463" t="str">
        <f>IFERROR(__xludf.DUMMYFUNCTION("""COMPUTED_VALUE"""),"")</f>
        <v/>
      </c>
      <c r="F1463" t="str">
        <f>IFERROR(__xludf.DUMMYFUNCTION("""COMPUTED_VALUE"""),"")</f>
        <v/>
      </c>
      <c r="G1463" t="str">
        <f>IFERROR(__xludf.DUMMYFUNCTION("""COMPUTED_VALUE"""),"")</f>
        <v/>
      </c>
      <c r="H1463" t="str">
        <f>IFERROR(__xludf.DUMMYFUNCTION("""COMPUTED_VALUE"""),"")</f>
        <v/>
      </c>
      <c r="I1463" t="str">
        <f>IFERROR(__xludf.DUMMYFUNCTION("""COMPUTED_VALUE"""),"")</f>
        <v/>
      </c>
      <c r="J1463">
        <f>IFERROR(__xludf.DUMMYFUNCTION("""COMPUTED_VALUE"""),0.0)</f>
        <v>0</v>
      </c>
      <c r="L1463" s="250" t="str">
        <f>IFERROR(__xludf.DUMMYFUNCTION("""COMPUTED_VALUE"""),"")</f>
        <v/>
      </c>
      <c r="M1463" s="250" t="str">
        <f>IFERROR(__xludf.DUMMYFUNCTION("""COMPUTED_VALUE"""),"")</f>
        <v/>
      </c>
      <c r="N1463" s="250" t="str">
        <f>IFERROR(__xludf.DUMMYFUNCTION("""COMPUTED_VALUE"""),"")</f>
        <v/>
      </c>
      <c r="O1463" s="250" t="str">
        <f>IFERROR(__xludf.DUMMYFUNCTION("""COMPUTED_VALUE"""),"")</f>
        <v/>
      </c>
      <c r="P1463" s="250" t="str">
        <f>IFERROR(__xludf.DUMMYFUNCTION("""COMPUTED_VALUE"""),"")</f>
        <v/>
      </c>
      <c r="Q1463" s="250" t="str">
        <f>IFERROR(__xludf.DUMMYFUNCTION("""COMPUTED_VALUE"""),"")</f>
        <v/>
      </c>
      <c r="R1463" s="250" t="str">
        <f>IFERROR(__xludf.DUMMYFUNCTION("""COMPUTED_VALUE"""),"")</f>
        <v/>
      </c>
      <c r="U1463" s="250" t="str">
        <f>IFERROR(__xludf.DUMMYFUNCTION("""COMPUTED_VALUE"""),"#N/A")</f>
        <v>#N/A</v>
      </c>
      <c r="V1463" s="250" t="str">
        <f>IFERROR(__xludf.DUMMYFUNCTION("""COMPUTED_VALUE"""),"#N/A")</f>
        <v>#N/A</v>
      </c>
      <c r="W1463" s="250" t="str">
        <f>IFERROR(__xludf.DUMMYFUNCTION("""COMPUTED_VALUE"""),"#N/A")</f>
        <v>#N/A</v>
      </c>
      <c r="X1463" t="b">
        <f t="shared" ref="X1463:Z1463" si="2902">ISBLANK(K1463)</f>
        <v>1</v>
      </c>
      <c r="Y1463" t="b">
        <f t="shared" si="2902"/>
        <v>0</v>
      </c>
      <c r="Z1463" t="b">
        <f t="shared" si="2902"/>
        <v>0</v>
      </c>
      <c r="AA1463">
        <f t="shared" ref="AA1463:AC1463" si="2903">IF(X1463=FALSE,1,0)</f>
        <v>0</v>
      </c>
      <c r="AB1463">
        <f t="shared" si="2903"/>
        <v>1</v>
      </c>
      <c r="AC1463">
        <f t="shared" si="2903"/>
        <v>1</v>
      </c>
      <c r="AD1463">
        <f t="shared" si="6"/>
        <v>2</v>
      </c>
      <c r="AE1463">
        <f t="shared" si="7"/>
        <v>1</v>
      </c>
    </row>
    <row r="1464">
      <c r="B1464" t="str">
        <f>IFERROR(__xludf.DUMMYFUNCTION("""COMPUTED_VALUE"""),"")</f>
        <v/>
      </c>
      <c r="C1464" t="str">
        <f>IFERROR(__xludf.DUMMYFUNCTION("""COMPUTED_VALUE"""),"")</f>
        <v/>
      </c>
      <c r="D1464" t="str">
        <f>IFERROR(__xludf.DUMMYFUNCTION("""COMPUTED_VALUE"""),"")</f>
        <v/>
      </c>
      <c r="E1464" t="str">
        <f>IFERROR(__xludf.DUMMYFUNCTION("""COMPUTED_VALUE"""),"")</f>
        <v/>
      </c>
      <c r="F1464" t="str">
        <f>IFERROR(__xludf.DUMMYFUNCTION("""COMPUTED_VALUE"""),"")</f>
        <v/>
      </c>
      <c r="G1464" t="str">
        <f>IFERROR(__xludf.DUMMYFUNCTION("""COMPUTED_VALUE"""),"")</f>
        <v/>
      </c>
      <c r="H1464" t="str">
        <f>IFERROR(__xludf.DUMMYFUNCTION("""COMPUTED_VALUE"""),"")</f>
        <v/>
      </c>
      <c r="I1464" t="str">
        <f>IFERROR(__xludf.DUMMYFUNCTION("""COMPUTED_VALUE"""),"")</f>
        <v/>
      </c>
      <c r="J1464">
        <f>IFERROR(__xludf.DUMMYFUNCTION("""COMPUTED_VALUE"""),0.0)</f>
        <v>0</v>
      </c>
      <c r="L1464" s="250" t="str">
        <f>IFERROR(__xludf.DUMMYFUNCTION("""COMPUTED_VALUE"""),"")</f>
        <v/>
      </c>
      <c r="M1464" s="250" t="str">
        <f>IFERROR(__xludf.DUMMYFUNCTION("""COMPUTED_VALUE"""),"")</f>
        <v/>
      </c>
      <c r="N1464" s="250" t="str">
        <f>IFERROR(__xludf.DUMMYFUNCTION("""COMPUTED_VALUE"""),"")</f>
        <v/>
      </c>
      <c r="O1464" s="250" t="str">
        <f>IFERROR(__xludf.DUMMYFUNCTION("""COMPUTED_VALUE"""),"")</f>
        <v/>
      </c>
      <c r="P1464" s="250" t="str">
        <f>IFERROR(__xludf.DUMMYFUNCTION("""COMPUTED_VALUE"""),"")</f>
        <v/>
      </c>
      <c r="Q1464" s="250" t="str">
        <f>IFERROR(__xludf.DUMMYFUNCTION("""COMPUTED_VALUE"""),"")</f>
        <v/>
      </c>
      <c r="R1464" s="250" t="str">
        <f>IFERROR(__xludf.DUMMYFUNCTION("""COMPUTED_VALUE"""),"")</f>
        <v/>
      </c>
      <c r="U1464" s="250" t="str">
        <f>IFERROR(__xludf.DUMMYFUNCTION("""COMPUTED_VALUE"""),"#N/A")</f>
        <v>#N/A</v>
      </c>
      <c r="V1464" s="250" t="str">
        <f>IFERROR(__xludf.DUMMYFUNCTION("""COMPUTED_VALUE"""),"#N/A")</f>
        <v>#N/A</v>
      </c>
      <c r="W1464" s="250" t="str">
        <f>IFERROR(__xludf.DUMMYFUNCTION("""COMPUTED_VALUE"""),"#N/A")</f>
        <v>#N/A</v>
      </c>
      <c r="X1464" t="b">
        <f t="shared" ref="X1464:Z1464" si="2904">ISBLANK(K1464)</f>
        <v>1</v>
      </c>
      <c r="Y1464" t="b">
        <f t="shared" si="2904"/>
        <v>0</v>
      </c>
      <c r="Z1464" t="b">
        <f t="shared" si="2904"/>
        <v>0</v>
      </c>
      <c r="AA1464">
        <f t="shared" ref="AA1464:AC1464" si="2905">IF(X1464=FALSE,1,0)</f>
        <v>0</v>
      </c>
      <c r="AB1464">
        <f t="shared" si="2905"/>
        <v>1</v>
      </c>
      <c r="AC1464">
        <f t="shared" si="2905"/>
        <v>1</v>
      </c>
      <c r="AD1464">
        <f t="shared" si="6"/>
        <v>2</v>
      </c>
      <c r="AE1464">
        <f t="shared" si="7"/>
        <v>1</v>
      </c>
    </row>
    <row r="1465">
      <c r="B1465" t="str">
        <f>IFERROR(__xludf.DUMMYFUNCTION("""COMPUTED_VALUE"""),"")</f>
        <v/>
      </c>
      <c r="C1465" t="str">
        <f>IFERROR(__xludf.DUMMYFUNCTION("""COMPUTED_VALUE"""),"")</f>
        <v/>
      </c>
      <c r="D1465" t="str">
        <f>IFERROR(__xludf.DUMMYFUNCTION("""COMPUTED_VALUE"""),"")</f>
        <v/>
      </c>
      <c r="E1465" t="str">
        <f>IFERROR(__xludf.DUMMYFUNCTION("""COMPUTED_VALUE"""),"")</f>
        <v/>
      </c>
      <c r="F1465" t="str">
        <f>IFERROR(__xludf.DUMMYFUNCTION("""COMPUTED_VALUE"""),"")</f>
        <v/>
      </c>
      <c r="G1465" t="str">
        <f>IFERROR(__xludf.DUMMYFUNCTION("""COMPUTED_VALUE"""),"")</f>
        <v/>
      </c>
      <c r="H1465" t="str">
        <f>IFERROR(__xludf.DUMMYFUNCTION("""COMPUTED_VALUE"""),"")</f>
        <v/>
      </c>
      <c r="I1465" t="str">
        <f>IFERROR(__xludf.DUMMYFUNCTION("""COMPUTED_VALUE"""),"")</f>
        <v/>
      </c>
      <c r="J1465">
        <f>IFERROR(__xludf.DUMMYFUNCTION("""COMPUTED_VALUE"""),0.0)</f>
        <v>0</v>
      </c>
      <c r="L1465" s="250" t="str">
        <f>IFERROR(__xludf.DUMMYFUNCTION("""COMPUTED_VALUE"""),"")</f>
        <v/>
      </c>
      <c r="M1465" s="250" t="str">
        <f>IFERROR(__xludf.DUMMYFUNCTION("""COMPUTED_VALUE"""),"")</f>
        <v/>
      </c>
      <c r="N1465" s="250" t="str">
        <f>IFERROR(__xludf.DUMMYFUNCTION("""COMPUTED_VALUE"""),"")</f>
        <v/>
      </c>
      <c r="O1465" s="250" t="str">
        <f>IFERROR(__xludf.DUMMYFUNCTION("""COMPUTED_VALUE"""),"")</f>
        <v/>
      </c>
      <c r="P1465" s="250" t="str">
        <f>IFERROR(__xludf.DUMMYFUNCTION("""COMPUTED_VALUE"""),"")</f>
        <v/>
      </c>
      <c r="Q1465" s="250" t="str">
        <f>IFERROR(__xludf.DUMMYFUNCTION("""COMPUTED_VALUE"""),"")</f>
        <v/>
      </c>
      <c r="R1465" s="250" t="str">
        <f>IFERROR(__xludf.DUMMYFUNCTION("""COMPUTED_VALUE"""),"")</f>
        <v/>
      </c>
      <c r="U1465" s="250" t="str">
        <f>IFERROR(__xludf.DUMMYFUNCTION("""COMPUTED_VALUE"""),"#N/A")</f>
        <v>#N/A</v>
      </c>
      <c r="V1465" s="250" t="str">
        <f>IFERROR(__xludf.DUMMYFUNCTION("""COMPUTED_VALUE"""),"#N/A")</f>
        <v>#N/A</v>
      </c>
      <c r="W1465" s="250" t="str">
        <f>IFERROR(__xludf.DUMMYFUNCTION("""COMPUTED_VALUE"""),"#N/A")</f>
        <v>#N/A</v>
      </c>
      <c r="X1465" t="b">
        <f t="shared" ref="X1465:Z1465" si="2906">ISBLANK(K1465)</f>
        <v>1</v>
      </c>
      <c r="Y1465" t="b">
        <f t="shared" si="2906"/>
        <v>0</v>
      </c>
      <c r="Z1465" t="b">
        <f t="shared" si="2906"/>
        <v>0</v>
      </c>
      <c r="AA1465">
        <f t="shared" ref="AA1465:AC1465" si="2907">IF(X1465=FALSE,1,0)</f>
        <v>0</v>
      </c>
      <c r="AB1465">
        <f t="shared" si="2907"/>
        <v>1</v>
      </c>
      <c r="AC1465">
        <f t="shared" si="2907"/>
        <v>1</v>
      </c>
      <c r="AD1465">
        <f t="shared" si="6"/>
        <v>2</v>
      </c>
      <c r="AE1465">
        <f t="shared" si="7"/>
        <v>1</v>
      </c>
    </row>
    <row r="1466">
      <c r="B1466" t="str">
        <f>IFERROR(__xludf.DUMMYFUNCTION("""COMPUTED_VALUE"""),"")</f>
        <v/>
      </c>
      <c r="C1466" t="str">
        <f>IFERROR(__xludf.DUMMYFUNCTION("""COMPUTED_VALUE"""),"")</f>
        <v/>
      </c>
      <c r="D1466" t="str">
        <f>IFERROR(__xludf.DUMMYFUNCTION("""COMPUTED_VALUE"""),"")</f>
        <v/>
      </c>
      <c r="E1466" t="str">
        <f>IFERROR(__xludf.DUMMYFUNCTION("""COMPUTED_VALUE"""),"")</f>
        <v/>
      </c>
      <c r="F1466" t="str">
        <f>IFERROR(__xludf.DUMMYFUNCTION("""COMPUTED_VALUE"""),"")</f>
        <v/>
      </c>
      <c r="G1466" t="str">
        <f>IFERROR(__xludf.DUMMYFUNCTION("""COMPUTED_VALUE"""),"")</f>
        <v/>
      </c>
      <c r="H1466" t="str">
        <f>IFERROR(__xludf.DUMMYFUNCTION("""COMPUTED_VALUE"""),"")</f>
        <v/>
      </c>
      <c r="I1466" t="str">
        <f>IFERROR(__xludf.DUMMYFUNCTION("""COMPUTED_VALUE"""),"")</f>
        <v/>
      </c>
      <c r="J1466">
        <f>IFERROR(__xludf.DUMMYFUNCTION("""COMPUTED_VALUE"""),0.0)</f>
        <v>0</v>
      </c>
      <c r="L1466" s="250" t="str">
        <f>IFERROR(__xludf.DUMMYFUNCTION("""COMPUTED_VALUE"""),"")</f>
        <v/>
      </c>
      <c r="M1466" s="250" t="str">
        <f>IFERROR(__xludf.DUMMYFUNCTION("""COMPUTED_VALUE"""),"")</f>
        <v/>
      </c>
      <c r="N1466" s="250" t="str">
        <f>IFERROR(__xludf.DUMMYFUNCTION("""COMPUTED_VALUE"""),"")</f>
        <v/>
      </c>
      <c r="O1466" s="250" t="str">
        <f>IFERROR(__xludf.DUMMYFUNCTION("""COMPUTED_VALUE"""),"")</f>
        <v/>
      </c>
      <c r="P1466" s="250" t="str">
        <f>IFERROR(__xludf.DUMMYFUNCTION("""COMPUTED_VALUE"""),"")</f>
        <v/>
      </c>
      <c r="Q1466" s="250" t="str">
        <f>IFERROR(__xludf.DUMMYFUNCTION("""COMPUTED_VALUE"""),"")</f>
        <v/>
      </c>
      <c r="R1466" s="250" t="str">
        <f>IFERROR(__xludf.DUMMYFUNCTION("""COMPUTED_VALUE"""),"")</f>
        <v/>
      </c>
      <c r="U1466" s="250" t="str">
        <f>IFERROR(__xludf.DUMMYFUNCTION("""COMPUTED_VALUE"""),"#N/A")</f>
        <v>#N/A</v>
      </c>
      <c r="V1466" s="250" t="str">
        <f>IFERROR(__xludf.DUMMYFUNCTION("""COMPUTED_VALUE"""),"#N/A")</f>
        <v>#N/A</v>
      </c>
      <c r="W1466" s="250" t="str">
        <f>IFERROR(__xludf.DUMMYFUNCTION("""COMPUTED_VALUE"""),"#N/A")</f>
        <v>#N/A</v>
      </c>
      <c r="X1466" t="b">
        <f t="shared" ref="X1466:Z1466" si="2908">ISBLANK(K1466)</f>
        <v>1</v>
      </c>
      <c r="Y1466" t="b">
        <f t="shared" si="2908"/>
        <v>0</v>
      </c>
      <c r="Z1466" t="b">
        <f t="shared" si="2908"/>
        <v>0</v>
      </c>
      <c r="AA1466">
        <f t="shared" ref="AA1466:AC1466" si="2909">IF(X1466=FALSE,1,0)</f>
        <v>0</v>
      </c>
      <c r="AB1466">
        <f t="shared" si="2909"/>
        <v>1</v>
      </c>
      <c r="AC1466">
        <f t="shared" si="2909"/>
        <v>1</v>
      </c>
      <c r="AD1466">
        <f t="shared" si="6"/>
        <v>2</v>
      </c>
      <c r="AE1466">
        <f t="shared" si="7"/>
        <v>1</v>
      </c>
    </row>
    <row r="1467">
      <c r="B1467" t="str">
        <f>IFERROR(__xludf.DUMMYFUNCTION("""COMPUTED_VALUE"""),"")</f>
        <v/>
      </c>
      <c r="C1467" t="str">
        <f>IFERROR(__xludf.DUMMYFUNCTION("""COMPUTED_VALUE"""),"")</f>
        <v/>
      </c>
      <c r="D1467" t="str">
        <f>IFERROR(__xludf.DUMMYFUNCTION("""COMPUTED_VALUE"""),"")</f>
        <v/>
      </c>
      <c r="E1467" t="str">
        <f>IFERROR(__xludf.DUMMYFUNCTION("""COMPUTED_VALUE"""),"")</f>
        <v/>
      </c>
      <c r="F1467" t="str">
        <f>IFERROR(__xludf.DUMMYFUNCTION("""COMPUTED_VALUE"""),"")</f>
        <v/>
      </c>
      <c r="G1467" t="str">
        <f>IFERROR(__xludf.DUMMYFUNCTION("""COMPUTED_VALUE"""),"")</f>
        <v/>
      </c>
      <c r="H1467" t="str">
        <f>IFERROR(__xludf.DUMMYFUNCTION("""COMPUTED_VALUE"""),"")</f>
        <v/>
      </c>
      <c r="I1467" t="str">
        <f>IFERROR(__xludf.DUMMYFUNCTION("""COMPUTED_VALUE"""),"")</f>
        <v/>
      </c>
      <c r="J1467">
        <f>IFERROR(__xludf.DUMMYFUNCTION("""COMPUTED_VALUE"""),0.0)</f>
        <v>0</v>
      </c>
      <c r="L1467" s="250" t="str">
        <f>IFERROR(__xludf.DUMMYFUNCTION("""COMPUTED_VALUE"""),"")</f>
        <v/>
      </c>
      <c r="M1467" s="250" t="str">
        <f>IFERROR(__xludf.DUMMYFUNCTION("""COMPUTED_VALUE"""),"")</f>
        <v/>
      </c>
      <c r="N1467" s="250" t="str">
        <f>IFERROR(__xludf.DUMMYFUNCTION("""COMPUTED_VALUE"""),"")</f>
        <v/>
      </c>
      <c r="O1467" s="250" t="str">
        <f>IFERROR(__xludf.DUMMYFUNCTION("""COMPUTED_VALUE"""),"")</f>
        <v/>
      </c>
      <c r="P1467" s="250" t="str">
        <f>IFERROR(__xludf.DUMMYFUNCTION("""COMPUTED_VALUE"""),"")</f>
        <v/>
      </c>
      <c r="Q1467" s="250" t="str">
        <f>IFERROR(__xludf.DUMMYFUNCTION("""COMPUTED_VALUE"""),"")</f>
        <v/>
      </c>
      <c r="R1467" s="250" t="str">
        <f>IFERROR(__xludf.DUMMYFUNCTION("""COMPUTED_VALUE"""),"")</f>
        <v/>
      </c>
      <c r="U1467" s="250" t="str">
        <f>IFERROR(__xludf.DUMMYFUNCTION("""COMPUTED_VALUE"""),"#N/A")</f>
        <v>#N/A</v>
      </c>
      <c r="V1467" s="250" t="str">
        <f>IFERROR(__xludf.DUMMYFUNCTION("""COMPUTED_VALUE"""),"#N/A")</f>
        <v>#N/A</v>
      </c>
      <c r="W1467" s="250" t="str">
        <f>IFERROR(__xludf.DUMMYFUNCTION("""COMPUTED_VALUE"""),"#N/A")</f>
        <v>#N/A</v>
      </c>
      <c r="X1467" t="b">
        <f t="shared" ref="X1467:Z1467" si="2910">ISBLANK(K1467)</f>
        <v>1</v>
      </c>
      <c r="Y1467" t="b">
        <f t="shared" si="2910"/>
        <v>0</v>
      </c>
      <c r="Z1467" t="b">
        <f t="shared" si="2910"/>
        <v>0</v>
      </c>
      <c r="AA1467">
        <f t="shared" ref="AA1467:AC1467" si="2911">IF(X1467=FALSE,1,0)</f>
        <v>0</v>
      </c>
      <c r="AB1467">
        <f t="shared" si="2911"/>
        <v>1</v>
      </c>
      <c r="AC1467">
        <f t="shared" si="2911"/>
        <v>1</v>
      </c>
      <c r="AD1467">
        <f t="shared" si="6"/>
        <v>2</v>
      </c>
      <c r="AE1467">
        <f t="shared" si="7"/>
        <v>1</v>
      </c>
    </row>
    <row r="1468">
      <c r="B1468" t="str">
        <f>IFERROR(__xludf.DUMMYFUNCTION("""COMPUTED_VALUE"""),"")</f>
        <v/>
      </c>
      <c r="C1468" t="str">
        <f>IFERROR(__xludf.DUMMYFUNCTION("""COMPUTED_VALUE"""),"")</f>
        <v/>
      </c>
      <c r="D1468" t="str">
        <f>IFERROR(__xludf.DUMMYFUNCTION("""COMPUTED_VALUE"""),"")</f>
        <v/>
      </c>
      <c r="E1468" t="str">
        <f>IFERROR(__xludf.DUMMYFUNCTION("""COMPUTED_VALUE"""),"")</f>
        <v/>
      </c>
      <c r="F1468" t="str">
        <f>IFERROR(__xludf.DUMMYFUNCTION("""COMPUTED_VALUE"""),"")</f>
        <v/>
      </c>
      <c r="G1468" t="str">
        <f>IFERROR(__xludf.DUMMYFUNCTION("""COMPUTED_VALUE"""),"")</f>
        <v/>
      </c>
      <c r="H1468" t="str">
        <f>IFERROR(__xludf.DUMMYFUNCTION("""COMPUTED_VALUE"""),"")</f>
        <v/>
      </c>
      <c r="I1468" t="str">
        <f>IFERROR(__xludf.DUMMYFUNCTION("""COMPUTED_VALUE"""),"")</f>
        <v/>
      </c>
      <c r="J1468">
        <f>IFERROR(__xludf.DUMMYFUNCTION("""COMPUTED_VALUE"""),0.0)</f>
        <v>0</v>
      </c>
      <c r="L1468" s="250" t="str">
        <f>IFERROR(__xludf.DUMMYFUNCTION("""COMPUTED_VALUE"""),"")</f>
        <v/>
      </c>
      <c r="M1468" s="250" t="str">
        <f>IFERROR(__xludf.DUMMYFUNCTION("""COMPUTED_VALUE"""),"")</f>
        <v/>
      </c>
      <c r="N1468" s="250" t="str">
        <f>IFERROR(__xludf.DUMMYFUNCTION("""COMPUTED_VALUE"""),"")</f>
        <v/>
      </c>
      <c r="O1468" s="250" t="str">
        <f>IFERROR(__xludf.DUMMYFUNCTION("""COMPUTED_VALUE"""),"")</f>
        <v/>
      </c>
      <c r="P1468" s="250" t="str">
        <f>IFERROR(__xludf.DUMMYFUNCTION("""COMPUTED_VALUE"""),"")</f>
        <v/>
      </c>
      <c r="Q1468" s="250" t="str">
        <f>IFERROR(__xludf.DUMMYFUNCTION("""COMPUTED_VALUE"""),"")</f>
        <v/>
      </c>
      <c r="R1468" s="250" t="str">
        <f>IFERROR(__xludf.DUMMYFUNCTION("""COMPUTED_VALUE"""),"")</f>
        <v/>
      </c>
      <c r="U1468" s="250" t="str">
        <f>IFERROR(__xludf.DUMMYFUNCTION("""COMPUTED_VALUE"""),"#N/A")</f>
        <v>#N/A</v>
      </c>
      <c r="V1468" s="250" t="str">
        <f>IFERROR(__xludf.DUMMYFUNCTION("""COMPUTED_VALUE"""),"#N/A")</f>
        <v>#N/A</v>
      </c>
      <c r="W1468" s="250" t="str">
        <f>IFERROR(__xludf.DUMMYFUNCTION("""COMPUTED_VALUE"""),"#N/A")</f>
        <v>#N/A</v>
      </c>
      <c r="X1468" t="b">
        <f t="shared" ref="X1468:Z1468" si="2912">ISBLANK(K1468)</f>
        <v>1</v>
      </c>
      <c r="Y1468" t="b">
        <f t="shared" si="2912"/>
        <v>0</v>
      </c>
      <c r="Z1468" t="b">
        <f t="shared" si="2912"/>
        <v>0</v>
      </c>
      <c r="AA1468">
        <f t="shared" ref="AA1468:AC1468" si="2913">IF(X1468=FALSE,1,0)</f>
        <v>0</v>
      </c>
      <c r="AB1468">
        <f t="shared" si="2913"/>
        <v>1</v>
      </c>
      <c r="AC1468">
        <f t="shared" si="2913"/>
        <v>1</v>
      </c>
      <c r="AD1468">
        <f t="shared" si="6"/>
        <v>2</v>
      </c>
      <c r="AE1468">
        <f t="shared" si="7"/>
        <v>1</v>
      </c>
    </row>
    <row r="1469">
      <c r="B1469" t="str">
        <f>IFERROR(__xludf.DUMMYFUNCTION("""COMPUTED_VALUE"""),"")</f>
        <v/>
      </c>
      <c r="C1469" t="str">
        <f>IFERROR(__xludf.DUMMYFUNCTION("""COMPUTED_VALUE"""),"")</f>
        <v/>
      </c>
      <c r="D1469" t="str">
        <f>IFERROR(__xludf.DUMMYFUNCTION("""COMPUTED_VALUE"""),"")</f>
        <v/>
      </c>
      <c r="E1469" t="str">
        <f>IFERROR(__xludf.DUMMYFUNCTION("""COMPUTED_VALUE"""),"")</f>
        <v/>
      </c>
      <c r="F1469" t="str">
        <f>IFERROR(__xludf.DUMMYFUNCTION("""COMPUTED_VALUE"""),"")</f>
        <v/>
      </c>
      <c r="G1469" t="str">
        <f>IFERROR(__xludf.DUMMYFUNCTION("""COMPUTED_VALUE"""),"")</f>
        <v/>
      </c>
      <c r="H1469" t="str">
        <f>IFERROR(__xludf.DUMMYFUNCTION("""COMPUTED_VALUE"""),"")</f>
        <v/>
      </c>
      <c r="I1469" t="str">
        <f>IFERROR(__xludf.DUMMYFUNCTION("""COMPUTED_VALUE"""),"")</f>
        <v/>
      </c>
      <c r="J1469">
        <f>IFERROR(__xludf.DUMMYFUNCTION("""COMPUTED_VALUE"""),0.0)</f>
        <v>0</v>
      </c>
      <c r="L1469" s="250" t="str">
        <f>IFERROR(__xludf.DUMMYFUNCTION("""COMPUTED_VALUE"""),"")</f>
        <v/>
      </c>
      <c r="M1469" s="250" t="str">
        <f>IFERROR(__xludf.DUMMYFUNCTION("""COMPUTED_VALUE"""),"")</f>
        <v/>
      </c>
      <c r="N1469" s="250" t="str">
        <f>IFERROR(__xludf.DUMMYFUNCTION("""COMPUTED_VALUE"""),"")</f>
        <v/>
      </c>
      <c r="O1469" s="250" t="str">
        <f>IFERROR(__xludf.DUMMYFUNCTION("""COMPUTED_VALUE"""),"")</f>
        <v/>
      </c>
      <c r="P1469" s="250" t="str">
        <f>IFERROR(__xludf.DUMMYFUNCTION("""COMPUTED_VALUE"""),"")</f>
        <v/>
      </c>
      <c r="Q1469" s="250" t="str">
        <f>IFERROR(__xludf.DUMMYFUNCTION("""COMPUTED_VALUE"""),"")</f>
        <v/>
      </c>
      <c r="R1469" s="250" t="str">
        <f>IFERROR(__xludf.DUMMYFUNCTION("""COMPUTED_VALUE"""),"")</f>
        <v/>
      </c>
      <c r="U1469" s="250" t="str">
        <f>IFERROR(__xludf.DUMMYFUNCTION("""COMPUTED_VALUE"""),"#N/A")</f>
        <v>#N/A</v>
      </c>
      <c r="V1469" s="250" t="str">
        <f>IFERROR(__xludf.DUMMYFUNCTION("""COMPUTED_VALUE"""),"#N/A")</f>
        <v>#N/A</v>
      </c>
      <c r="W1469" s="250" t="str">
        <f>IFERROR(__xludf.DUMMYFUNCTION("""COMPUTED_VALUE"""),"#N/A")</f>
        <v>#N/A</v>
      </c>
      <c r="X1469" t="b">
        <f t="shared" ref="X1469:Z1469" si="2914">ISBLANK(K1469)</f>
        <v>1</v>
      </c>
      <c r="Y1469" t="b">
        <f t="shared" si="2914"/>
        <v>0</v>
      </c>
      <c r="Z1469" t="b">
        <f t="shared" si="2914"/>
        <v>0</v>
      </c>
      <c r="AA1469">
        <f t="shared" ref="AA1469:AC1469" si="2915">IF(X1469=FALSE,1,0)</f>
        <v>0</v>
      </c>
      <c r="AB1469">
        <f t="shared" si="2915"/>
        <v>1</v>
      </c>
      <c r="AC1469">
        <f t="shared" si="2915"/>
        <v>1</v>
      </c>
      <c r="AD1469">
        <f t="shared" si="6"/>
        <v>2</v>
      </c>
      <c r="AE1469">
        <f t="shared" si="7"/>
        <v>1</v>
      </c>
    </row>
    <row r="1470">
      <c r="B1470" t="str">
        <f>IFERROR(__xludf.DUMMYFUNCTION("""COMPUTED_VALUE"""),"")</f>
        <v/>
      </c>
      <c r="C1470" t="str">
        <f>IFERROR(__xludf.DUMMYFUNCTION("""COMPUTED_VALUE"""),"")</f>
        <v/>
      </c>
      <c r="D1470" t="str">
        <f>IFERROR(__xludf.DUMMYFUNCTION("""COMPUTED_VALUE"""),"")</f>
        <v/>
      </c>
      <c r="E1470" t="str">
        <f>IFERROR(__xludf.DUMMYFUNCTION("""COMPUTED_VALUE"""),"")</f>
        <v/>
      </c>
      <c r="F1470" t="str">
        <f>IFERROR(__xludf.DUMMYFUNCTION("""COMPUTED_VALUE"""),"")</f>
        <v/>
      </c>
      <c r="G1470" t="str">
        <f>IFERROR(__xludf.DUMMYFUNCTION("""COMPUTED_VALUE"""),"")</f>
        <v/>
      </c>
      <c r="H1470" t="str">
        <f>IFERROR(__xludf.DUMMYFUNCTION("""COMPUTED_VALUE"""),"")</f>
        <v/>
      </c>
      <c r="I1470" t="str">
        <f>IFERROR(__xludf.DUMMYFUNCTION("""COMPUTED_VALUE"""),"")</f>
        <v/>
      </c>
      <c r="J1470">
        <f>IFERROR(__xludf.DUMMYFUNCTION("""COMPUTED_VALUE"""),0.0)</f>
        <v>0</v>
      </c>
      <c r="L1470" s="250" t="str">
        <f>IFERROR(__xludf.DUMMYFUNCTION("""COMPUTED_VALUE"""),"")</f>
        <v/>
      </c>
      <c r="M1470" s="250" t="str">
        <f>IFERROR(__xludf.DUMMYFUNCTION("""COMPUTED_VALUE"""),"")</f>
        <v/>
      </c>
      <c r="N1470" s="250" t="str">
        <f>IFERROR(__xludf.DUMMYFUNCTION("""COMPUTED_VALUE"""),"")</f>
        <v/>
      </c>
      <c r="O1470" s="250" t="str">
        <f>IFERROR(__xludf.DUMMYFUNCTION("""COMPUTED_VALUE"""),"")</f>
        <v/>
      </c>
      <c r="P1470" s="250" t="str">
        <f>IFERROR(__xludf.DUMMYFUNCTION("""COMPUTED_VALUE"""),"")</f>
        <v/>
      </c>
      <c r="Q1470" s="250" t="str">
        <f>IFERROR(__xludf.DUMMYFUNCTION("""COMPUTED_VALUE"""),"")</f>
        <v/>
      </c>
      <c r="R1470" s="250" t="str">
        <f>IFERROR(__xludf.DUMMYFUNCTION("""COMPUTED_VALUE"""),"")</f>
        <v/>
      </c>
      <c r="U1470" s="250" t="str">
        <f>IFERROR(__xludf.DUMMYFUNCTION("""COMPUTED_VALUE"""),"#N/A")</f>
        <v>#N/A</v>
      </c>
      <c r="V1470" s="250" t="str">
        <f>IFERROR(__xludf.DUMMYFUNCTION("""COMPUTED_VALUE"""),"#N/A")</f>
        <v>#N/A</v>
      </c>
      <c r="W1470" s="250" t="str">
        <f>IFERROR(__xludf.DUMMYFUNCTION("""COMPUTED_VALUE"""),"#N/A")</f>
        <v>#N/A</v>
      </c>
      <c r="X1470" t="b">
        <f t="shared" ref="X1470:Z1470" si="2916">ISBLANK(K1470)</f>
        <v>1</v>
      </c>
      <c r="Y1470" t="b">
        <f t="shared" si="2916"/>
        <v>0</v>
      </c>
      <c r="Z1470" t="b">
        <f t="shared" si="2916"/>
        <v>0</v>
      </c>
      <c r="AA1470">
        <f t="shared" ref="AA1470:AC1470" si="2917">IF(X1470=FALSE,1,0)</f>
        <v>0</v>
      </c>
      <c r="AB1470">
        <f t="shared" si="2917"/>
        <v>1</v>
      </c>
      <c r="AC1470">
        <f t="shared" si="2917"/>
        <v>1</v>
      </c>
      <c r="AD1470">
        <f t="shared" si="6"/>
        <v>2</v>
      </c>
      <c r="AE1470">
        <f t="shared" si="7"/>
        <v>1</v>
      </c>
    </row>
    <row r="1471">
      <c r="B1471" t="str">
        <f>IFERROR(__xludf.DUMMYFUNCTION("""COMPUTED_VALUE"""),"")</f>
        <v/>
      </c>
      <c r="C1471" t="str">
        <f>IFERROR(__xludf.DUMMYFUNCTION("""COMPUTED_VALUE"""),"")</f>
        <v/>
      </c>
      <c r="D1471" t="str">
        <f>IFERROR(__xludf.DUMMYFUNCTION("""COMPUTED_VALUE"""),"")</f>
        <v/>
      </c>
      <c r="E1471" t="str">
        <f>IFERROR(__xludf.DUMMYFUNCTION("""COMPUTED_VALUE"""),"")</f>
        <v/>
      </c>
      <c r="F1471" t="str">
        <f>IFERROR(__xludf.DUMMYFUNCTION("""COMPUTED_VALUE"""),"")</f>
        <v/>
      </c>
      <c r="G1471" t="str">
        <f>IFERROR(__xludf.DUMMYFUNCTION("""COMPUTED_VALUE"""),"")</f>
        <v/>
      </c>
      <c r="H1471" t="str">
        <f>IFERROR(__xludf.DUMMYFUNCTION("""COMPUTED_VALUE"""),"")</f>
        <v/>
      </c>
      <c r="I1471" t="str">
        <f>IFERROR(__xludf.DUMMYFUNCTION("""COMPUTED_VALUE"""),"")</f>
        <v/>
      </c>
      <c r="J1471">
        <f>IFERROR(__xludf.DUMMYFUNCTION("""COMPUTED_VALUE"""),0.0)</f>
        <v>0</v>
      </c>
      <c r="L1471" s="250" t="str">
        <f>IFERROR(__xludf.DUMMYFUNCTION("""COMPUTED_VALUE"""),"")</f>
        <v/>
      </c>
      <c r="M1471" s="250" t="str">
        <f>IFERROR(__xludf.DUMMYFUNCTION("""COMPUTED_VALUE"""),"")</f>
        <v/>
      </c>
      <c r="N1471" s="250" t="str">
        <f>IFERROR(__xludf.DUMMYFUNCTION("""COMPUTED_VALUE"""),"")</f>
        <v/>
      </c>
      <c r="O1471" s="250" t="str">
        <f>IFERROR(__xludf.DUMMYFUNCTION("""COMPUTED_VALUE"""),"")</f>
        <v/>
      </c>
      <c r="P1471" s="250" t="str">
        <f>IFERROR(__xludf.DUMMYFUNCTION("""COMPUTED_VALUE"""),"")</f>
        <v/>
      </c>
      <c r="Q1471" s="250" t="str">
        <f>IFERROR(__xludf.DUMMYFUNCTION("""COMPUTED_VALUE"""),"")</f>
        <v/>
      </c>
      <c r="R1471" s="250" t="str">
        <f>IFERROR(__xludf.DUMMYFUNCTION("""COMPUTED_VALUE"""),"")</f>
        <v/>
      </c>
      <c r="U1471" s="250" t="str">
        <f>IFERROR(__xludf.DUMMYFUNCTION("""COMPUTED_VALUE"""),"#N/A")</f>
        <v>#N/A</v>
      </c>
      <c r="V1471" s="250" t="str">
        <f>IFERROR(__xludf.DUMMYFUNCTION("""COMPUTED_VALUE"""),"#N/A")</f>
        <v>#N/A</v>
      </c>
      <c r="W1471" s="250" t="str">
        <f>IFERROR(__xludf.DUMMYFUNCTION("""COMPUTED_VALUE"""),"#N/A")</f>
        <v>#N/A</v>
      </c>
      <c r="X1471" t="b">
        <f t="shared" ref="X1471:Z1471" si="2918">ISBLANK(K1471)</f>
        <v>1</v>
      </c>
      <c r="Y1471" t="b">
        <f t="shared" si="2918"/>
        <v>0</v>
      </c>
      <c r="Z1471" t="b">
        <f t="shared" si="2918"/>
        <v>0</v>
      </c>
      <c r="AA1471">
        <f t="shared" ref="AA1471:AC1471" si="2919">IF(X1471=FALSE,1,0)</f>
        <v>0</v>
      </c>
      <c r="AB1471">
        <f t="shared" si="2919"/>
        <v>1</v>
      </c>
      <c r="AC1471">
        <f t="shared" si="2919"/>
        <v>1</v>
      </c>
      <c r="AD1471">
        <f t="shared" si="6"/>
        <v>2</v>
      </c>
      <c r="AE1471">
        <f t="shared" si="7"/>
        <v>1</v>
      </c>
    </row>
    <row r="1472">
      <c r="B1472" t="str">
        <f>IFERROR(__xludf.DUMMYFUNCTION("""COMPUTED_VALUE"""),"")</f>
        <v/>
      </c>
      <c r="C1472" t="str">
        <f>IFERROR(__xludf.DUMMYFUNCTION("""COMPUTED_VALUE"""),"")</f>
        <v/>
      </c>
      <c r="D1472" t="str">
        <f>IFERROR(__xludf.DUMMYFUNCTION("""COMPUTED_VALUE"""),"")</f>
        <v/>
      </c>
      <c r="E1472" t="str">
        <f>IFERROR(__xludf.DUMMYFUNCTION("""COMPUTED_VALUE"""),"")</f>
        <v/>
      </c>
      <c r="F1472" t="str">
        <f>IFERROR(__xludf.DUMMYFUNCTION("""COMPUTED_VALUE"""),"")</f>
        <v/>
      </c>
      <c r="G1472" t="str">
        <f>IFERROR(__xludf.DUMMYFUNCTION("""COMPUTED_VALUE"""),"")</f>
        <v/>
      </c>
      <c r="H1472" t="str">
        <f>IFERROR(__xludf.DUMMYFUNCTION("""COMPUTED_VALUE"""),"")</f>
        <v/>
      </c>
      <c r="I1472" t="str">
        <f>IFERROR(__xludf.DUMMYFUNCTION("""COMPUTED_VALUE"""),"")</f>
        <v/>
      </c>
      <c r="J1472">
        <f>IFERROR(__xludf.DUMMYFUNCTION("""COMPUTED_VALUE"""),0.0)</f>
        <v>0</v>
      </c>
      <c r="L1472" s="250" t="str">
        <f>IFERROR(__xludf.DUMMYFUNCTION("""COMPUTED_VALUE"""),"")</f>
        <v/>
      </c>
      <c r="M1472" s="250" t="str">
        <f>IFERROR(__xludf.DUMMYFUNCTION("""COMPUTED_VALUE"""),"")</f>
        <v/>
      </c>
      <c r="N1472" s="250" t="str">
        <f>IFERROR(__xludf.DUMMYFUNCTION("""COMPUTED_VALUE"""),"")</f>
        <v/>
      </c>
      <c r="O1472" s="250" t="str">
        <f>IFERROR(__xludf.DUMMYFUNCTION("""COMPUTED_VALUE"""),"")</f>
        <v/>
      </c>
      <c r="P1472" s="250" t="str">
        <f>IFERROR(__xludf.DUMMYFUNCTION("""COMPUTED_VALUE"""),"")</f>
        <v/>
      </c>
      <c r="Q1472" s="250" t="str">
        <f>IFERROR(__xludf.DUMMYFUNCTION("""COMPUTED_VALUE"""),"")</f>
        <v/>
      </c>
      <c r="R1472" s="250" t="str">
        <f>IFERROR(__xludf.DUMMYFUNCTION("""COMPUTED_VALUE"""),"")</f>
        <v/>
      </c>
      <c r="U1472" s="250" t="str">
        <f>IFERROR(__xludf.DUMMYFUNCTION("""COMPUTED_VALUE"""),"#N/A")</f>
        <v>#N/A</v>
      </c>
      <c r="V1472" s="250" t="str">
        <f>IFERROR(__xludf.DUMMYFUNCTION("""COMPUTED_VALUE"""),"#N/A")</f>
        <v>#N/A</v>
      </c>
      <c r="W1472" s="250" t="str">
        <f>IFERROR(__xludf.DUMMYFUNCTION("""COMPUTED_VALUE"""),"#N/A")</f>
        <v>#N/A</v>
      </c>
      <c r="X1472" t="b">
        <f t="shared" ref="X1472:Z1472" si="2920">ISBLANK(K1472)</f>
        <v>1</v>
      </c>
      <c r="Y1472" t="b">
        <f t="shared" si="2920"/>
        <v>0</v>
      </c>
      <c r="Z1472" t="b">
        <f t="shared" si="2920"/>
        <v>0</v>
      </c>
      <c r="AA1472">
        <f t="shared" ref="AA1472:AC1472" si="2921">IF(X1472=FALSE,1,0)</f>
        <v>0</v>
      </c>
      <c r="AB1472">
        <f t="shared" si="2921"/>
        <v>1</v>
      </c>
      <c r="AC1472">
        <f t="shared" si="2921"/>
        <v>1</v>
      </c>
      <c r="AD1472">
        <f t="shared" si="6"/>
        <v>2</v>
      </c>
      <c r="AE1472">
        <f t="shared" si="7"/>
        <v>1</v>
      </c>
    </row>
    <row r="1473">
      <c r="B1473" t="str">
        <f>IFERROR(__xludf.DUMMYFUNCTION("""COMPUTED_VALUE"""),"")</f>
        <v/>
      </c>
      <c r="C1473" t="str">
        <f>IFERROR(__xludf.DUMMYFUNCTION("""COMPUTED_VALUE"""),"")</f>
        <v/>
      </c>
      <c r="D1473" t="str">
        <f>IFERROR(__xludf.DUMMYFUNCTION("""COMPUTED_VALUE"""),"")</f>
        <v/>
      </c>
      <c r="E1473" t="str">
        <f>IFERROR(__xludf.DUMMYFUNCTION("""COMPUTED_VALUE"""),"")</f>
        <v/>
      </c>
      <c r="F1473" t="str">
        <f>IFERROR(__xludf.DUMMYFUNCTION("""COMPUTED_VALUE"""),"")</f>
        <v/>
      </c>
      <c r="G1473" t="str">
        <f>IFERROR(__xludf.DUMMYFUNCTION("""COMPUTED_VALUE"""),"")</f>
        <v/>
      </c>
      <c r="H1473" t="str">
        <f>IFERROR(__xludf.DUMMYFUNCTION("""COMPUTED_VALUE"""),"")</f>
        <v/>
      </c>
      <c r="I1473" t="str">
        <f>IFERROR(__xludf.DUMMYFUNCTION("""COMPUTED_VALUE"""),"")</f>
        <v/>
      </c>
      <c r="J1473">
        <f>IFERROR(__xludf.DUMMYFUNCTION("""COMPUTED_VALUE"""),0.0)</f>
        <v>0</v>
      </c>
      <c r="L1473" s="250" t="str">
        <f>IFERROR(__xludf.DUMMYFUNCTION("""COMPUTED_VALUE"""),"")</f>
        <v/>
      </c>
      <c r="M1473" s="250" t="str">
        <f>IFERROR(__xludf.DUMMYFUNCTION("""COMPUTED_VALUE"""),"")</f>
        <v/>
      </c>
      <c r="N1473" s="250" t="str">
        <f>IFERROR(__xludf.DUMMYFUNCTION("""COMPUTED_VALUE"""),"")</f>
        <v/>
      </c>
      <c r="O1473" s="250" t="str">
        <f>IFERROR(__xludf.DUMMYFUNCTION("""COMPUTED_VALUE"""),"")</f>
        <v/>
      </c>
      <c r="P1473" s="250" t="str">
        <f>IFERROR(__xludf.DUMMYFUNCTION("""COMPUTED_VALUE"""),"")</f>
        <v/>
      </c>
      <c r="Q1473" s="250" t="str">
        <f>IFERROR(__xludf.DUMMYFUNCTION("""COMPUTED_VALUE"""),"")</f>
        <v/>
      </c>
      <c r="R1473" s="250" t="str">
        <f>IFERROR(__xludf.DUMMYFUNCTION("""COMPUTED_VALUE"""),"")</f>
        <v/>
      </c>
      <c r="U1473" s="250" t="str">
        <f>IFERROR(__xludf.DUMMYFUNCTION("""COMPUTED_VALUE"""),"#N/A")</f>
        <v>#N/A</v>
      </c>
      <c r="V1473" s="250" t="str">
        <f>IFERROR(__xludf.DUMMYFUNCTION("""COMPUTED_VALUE"""),"#N/A")</f>
        <v>#N/A</v>
      </c>
      <c r="W1473" s="250" t="str">
        <f>IFERROR(__xludf.DUMMYFUNCTION("""COMPUTED_VALUE"""),"#N/A")</f>
        <v>#N/A</v>
      </c>
      <c r="X1473" t="b">
        <f t="shared" ref="X1473:Z1473" si="2922">ISBLANK(K1473)</f>
        <v>1</v>
      </c>
      <c r="Y1473" t="b">
        <f t="shared" si="2922"/>
        <v>0</v>
      </c>
      <c r="Z1473" t="b">
        <f t="shared" si="2922"/>
        <v>0</v>
      </c>
      <c r="AA1473">
        <f t="shared" ref="AA1473:AC1473" si="2923">IF(X1473=FALSE,1,0)</f>
        <v>0</v>
      </c>
      <c r="AB1473">
        <f t="shared" si="2923"/>
        <v>1</v>
      </c>
      <c r="AC1473">
        <f t="shared" si="2923"/>
        <v>1</v>
      </c>
      <c r="AD1473">
        <f t="shared" si="6"/>
        <v>2</v>
      </c>
      <c r="AE1473">
        <f t="shared" si="7"/>
        <v>1</v>
      </c>
    </row>
    <row r="1474">
      <c r="B1474" t="str">
        <f>IFERROR(__xludf.DUMMYFUNCTION("""COMPUTED_VALUE"""),"")</f>
        <v/>
      </c>
      <c r="C1474" t="str">
        <f>IFERROR(__xludf.DUMMYFUNCTION("""COMPUTED_VALUE"""),"")</f>
        <v/>
      </c>
      <c r="D1474" t="str">
        <f>IFERROR(__xludf.DUMMYFUNCTION("""COMPUTED_VALUE"""),"")</f>
        <v/>
      </c>
      <c r="E1474" t="str">
        <f>IFERROR(__xludf.DUMMYFUNCTION("""COMPUTED_VALUE"""),"")</f>
        <v/>
      </c>
      <c r="F1474" t="str">
        <f>IFERROR(__xludf.DUMMYFUNCTION("""COMPUTED_VALUE"""),"")</f>
        <v/>
      </c>
      <c r="G1474" t="str">
        <f>IFERROR(__xludf.DUMMYFUNCTION("""COMPUTED_VALUE"""),"")</f>
        <v/>
      </c>
      <c r="H1474" t="str">
        <f>IFERROR(__xludf.DUMMYFUNCTION("""COMPUTED_VALUE"""),"")</f>
        <v/>
      </c>
      <c r="I1474" t="str">
        <f>IFERROR(__xludf.DUMMYFUNCTION("""COMPUTED_VALUE"""),"")</f>
        <v/>
      </c>
      <c r="J1474">
        <f>IFERROR(__xludf.DUMMYFUNCTION("""COMPUTED_VALUE"""),0.0)</f>
        <v>0</v>
      </c>
      <c r="L1474" s="250" t="str">
        <f>IFERROR(__xludf.DUMMYFUNCTION("""COMPUTED_VALUE"""),"")</f>
        <v/>
      </c>
      <c r="M1474" s="250" t="str">
        <f>IFERROR(__xludf.DUMMYFUNCTION("""COMPUTED_VALUE"""),"")</f>
        <v/>
      </c>
      <c r="N1474" s="250" t="str">
        <f>IFERROR(__xludf.DUMMYFUNCTION("""COMPUTED_VALUE"""),"")</f>
        <v/>
      </c>
      <c r="O1474" s="250" t="str">
        <f>IFERROR(__xludf.DUMMYFUNCTION("""COMPUTED_VALUE"""),"")</f>
        <v/>
      </c>
      <c r="P1474" s="250" t="str">
        <f>IFERROR(__xludf.DUMMYFUNCTION("""COMPUTED_VALUE"""),"")</f>
        <v/>
      </c>
      <c r="Q1474" s="250" t="str">
        <f>IFERROR(__xludf.DUMMYFUNCTION("""COMPUTED_VALUE"""),"")</f>
        <v/>
      </c>
      <c r="R1474" s="250" t="str">
        <f>IFERROR(__xludf.DUMMYFUNCTION("""COMPUTED_VALUE"""),"")</f>
        <v/>
      </c>
      <c r="U1474" s="250" t="str">
        <f>IFERROR(__xludf.DUMMYFUNCTION("""COMPUTED_VALUE"""),"#N/A")</f>
        <v>#N/A</v>
      </c>
      <c r="V1474" s="250" t="str">
        <f>IFERROR(__xludf.DUMMYFUNCTION("""COMPUTED_VALUE"""),"#N/A")</f>
        <v>#N/A</v>
      </c>
      <c r="W1474" s="250" t="str">
        <f>IFERROR(__xludf.DUMMYFUNCTION("""COMPUTED_VALUE"""),"#N/A")</f>
        <v>#N/A</v>
      </c>
      <c r="X1474" t="b">
        <f t="shared" ref="X1474:Z1474" si="2924">ISBLANK(K1474)</f>
        <v>1</v>
      </c>
      <c r="Y1474" t="b">
        <f t="shared" si="2924"/>
        <v>0</v>
      </c>
      <c r="Z1474" t="b">
        <f t="shared" si="2924"/>
        <v>0</v>
      </c>
      <c r="AA1474">
        <f t="shared" ref="AA1474:AC1474" si="2925">IF(X1474=FALSE,1,0)</f>
        <v>0</v>
      </c>
      <c r="AB1474">
        <f t="shared" si="2925"/>
        <v>1</v>
      </c>
      <c r="AC1474">
        <f t="shared" si="2925"/>
        <v>1</v>
      </c>
      <c r="AD1474">
        <f t="shared" si="6"/>
        <v>2</v>
      </c>
      <c r="AE1474">
        <f t="shared" si="7"/>
        <v>1</v>
      </c>
    </row>
    <row r="1475">
      <c r="B1475" t="str">
        <f>IFERROR(__xludf.DUMMYFUNCTION("""COMPUTED_VALUE"""),"")</f>
        <v/>
      </c>
      <c r="C1475" t="str">
        <f>IFERROR(__xludf.DUMMYFUNCTION("""COMPUTED_VALUE"""),"")</f>
        <v/>
      </c>
      <c r="D1475" t="str">
        <f>IFERROR(__xludf.DUMMYFUNCTION("""COMPUTED_VALUE"""),"")</f>
        <v/>
      </c>
      <c r="E1475" t="str">
        <f>IFERROR(__xludf.DUMMYFUNCTION("""COMPUTED_VALUE"""),"")</f>
        <v/>
      </c>
      <c r="F1475" t="str">
        <f>IFERROR(__xludf.DUMMYFUNCTION("""COMPUTED_VALUE"""),"")</f>
        <v/>
      </c>
      <c r="G1475" t="str">
        <f>IFERROR(__xludf.DUMMYFUNCTION("""COMPUTED_VALUE"""),"")</f>
        <v/>
      </c>
      <c r="H1475" t="str">
        <f>IFERROR(__xludf.DUMMYFUNCTION("""COMPUTED_VALUE"""),"")</f>
        <v/>
      </c>
      <c r="I1475" t="str">
        <f>IFERROR(__xludf.DUMMYFUNCTION("""COMPUTED_VALUE"""),"")</f>
        <v/>
      </c>
      <c r="J1475">
        <f>IFERROR(__xludf.DUMMYFUNCTION("""COMPUTED_VALUE"""),0.0)</f>
        <v>0</v>
      </c>
      <c r="L1475" s="250" t="str">
        <f>IFERROR(__xludf.DUMMYFUNCTION("""COMPUTED_VALUE"""),"")</f>
        <v/>
      </c>
      <c r="M1475" s="250" t="str">
        <f>IFERROR(__xludf.DUMMYFUNCTION("""COMPUTED_VALUE"""),"")</f>
        <v/>
      </c>
      <c r="N1475" s="250" t="str">
        <f>IFERROR(__xludf.DUMMYFUNCTION("""COMPUTED_VALUE"""),"")</f>
        <v/>
      </c>
      <c r="O1475" s="250" t="str">
        <f>IFERROR(__xludf.DUMMYFUNCTION("""COMPUTED_VALUE"""),"")</f>
        <v/>
      </c>
      <c r="P1475" s="250" t="str">
        <f>IFERROR(__xludf.DUMMYFUNCTION("""COMPUTED_VALUE"""),"")</f>
        <v/>
      </c>
      <c r="Q1475" s="250" t="str">
        <f>IFERROR(__xludf.DUMMYFUNCTION("""COMPUTED_VALUE"""),"")</f>
        <v/>
      </c>
      <c r="R1475" s="250" t="str">
        <f>IFERROR(__xludf.DUMMYFUNCTION("""COMPUTED_VALUE"""),"")</f>
        <v/>
      </c>
      <c r="U1475" s="250" t="str">
        <f>IFERROR(__xludf.DUMMYFUNCTION("""COMPUTED_VALUE"""),"#N/A")</f>
        <v>#N/A</v>
      </c>
      <c r="V1475" s="250" t="str">
        <f>IFERROR(__xludf.DUMMYFUNCTION("""COMPUTED_VALUE"""),"#N/A")</f>
        <v>#N/A</v>
      </c>
      <c r="W1475" s="250" t="str">
        <f>IFERROR(__xludf.DUMMYFUNCTION("""COMPUTED_VALUE"""),"#N/A")</f>
        <v>#N/A</v>
      </c>
      <c r="X1475" t="b">
        <f t="shared" ref="X1475:Z1475" si="2926">ISBLANK(K1475)</f>
        <v>1</v>
      </c>
      <c r="Y1475" t="b">
        <f t="shared" si="2926"/>
        <v>0</v>
      </c>
      <c r="Z1475" t="b">
        <f t="shared" si="2926"/>
        <v>0</v>
      </c>
      <c r="AA1475">
        <f t="shared" ref="AA1475:AC1475" si="2927">IF(X1475=FALSE,1,0)</f>
        <v>0</v>
      </c>
      <c r="AB1475">
        <f t="shared" si="2927"/>
        <v>1</v>
      </c>
      <c r="AC1475">
        <f t="shared" si="2927"/>
        <v>1</v>
      </c>
      <c r="AD1475">
        <f t="shared" si="6"/>
        <v>2</v>
      </c>
      <c r="AE1475">
        <f t="shared" si="7"/>
        <v>1</v>
      </c>
    </row>
    <row r="1476">
      <c r="B1476" t="str">
        <f>IFERROR(__xludf.DUMMYFUNCTION("""COMPUTED_VALUE"""),"")</f>
        <v/>
      </c>
      <c r="C1476" t="str">
        <f>IFERROR(__xludf.DUMMYFUNCTION("""COMPUTED_VALUE"""),"")</f>
        <v/>
      </c>
      <c r="D1476" t="str">
        <f>IFERROR(__xludf.DUMMYFUNCTION("""COMPUTED_VALUE"""),"")</f>
        <v/>
      </c>
      <c r="E1476" t="str">
        <f>IFERROR(__xludf.DUMMYFUNCTION("""COMPUTED_VALUE"""),"")</f>
        <v/>
      </c>
      <c r="F1476" t="str">
        <f>IFERROR(__xludf.DUMMYFUNCTION("""COMPUTED_VALUE"""),"")</f>
        <v/>
      </c>
      <c r="G1476" t="str">
        <f>IFERROR(__xludf.DUMMYFUNCTION("""COMPUTED_VALUE"""),"")</f>
        <v/>
      </c>
      <c r="H1476" t="str">
        <f>IFERROR(__xludf.DUMMYFUNCTION("""COMPUTED_VALUE"""),"")</f>
        <v/>
      </c>
      <c r="I1476" t="str">
        <f>IFERROR(__xludf.DUMMYFUNCTION("""COMPUTED_VALUE"""),"")</f>
        <v/>
      </c>
      <c r="J1476">
        <f>IFERROR(__xludf.DUMMYFUNCTION("""COMPUTED_VALUE"""),0.0)</f>
        <v>0</v>
      </c>
      <c r="L1476" s="250" t="str">
        <f>IFERROR(__xludf.DUMMYFUNCTION("""COMPUTED_VALUE"""),"")</f>
        <v/>
      </c>
      <c r="M1476" s="250" t="str">
        <f>IFERROR(__xludf.DUMMYFUNCTION("""COMPUTED_VALUE"""),"")</f>
        <v/>
      </c>
      <c r="N1476" s="250" t="str">
        <f>IFERROR(__xludf.DUMMYFUNCTION("""COMPUTED_VALUE"""),"")</f>
        <v/>
      </c>
      <c r="O1476" s="250" t="str">
        <f>IFERROR(__xludf.DUMMYFUNCTION("""COMPUTED_VALUE"""),"")</f>
        <v/>
      </c>
      <c r="P1476" s="250" t="str">
        <f>IFERROR(__xludf.DUMMYFUNCTION("""COMPUTED_VALUE"""),"")</f>
        <v/>
      </c>
      <c r="Q1476" s="250" t="str">
        <f>IFERROR(__xludf.DUMMYFUNCTION("""COMPUTED_VALUE"""),"")</f>
        <v/>
      </c>
      <c r="R1476" s="250" t="str">
        <f>IFERROR(__xludf.DUMMYFUNCTION("""COMPUTED_VALUE"""),"")</f>
        <v/>
      </c>
      <c r="U1476" s="250" t="str">
        <f>IFERROR(__xludf.DUMMYFUNCTION("""COMPUTED_VALUE"""),"#N/A")</f>
        <v>#N/A</v>
      </c>
      <c r="V1476" s="250" t="str">
        <f>IFERROR(__xludf.DUMMYFUNCTION("""COMPUTED_VALUE"""),"#N/A")</f>
        <v>#N/A</v>
      </c>
      <c r="W1476" s="250" t="str">
        <f>IFERROR(__xludf.DUMMYFUNCTION("""COMPUTED_VALUE"""),"#N/A")</f>
        <v>#N/A</v>
      </c>
      <c r="X1476" t="b">
        <f t="shared" ref="X1476:Z1476" si="2928">ISBLANK(K1476)</f>
        <v>1</v>
      </c>
      <c r="Y1476" t="b">
        <f t="shared" si="2928"/>
        <v>0</v>
      </c>
      <c r="Z1476" t="b">
        <f t="shared" si="2928"/>
        <v>0</v>
      </c>
      <c r="AA1476">
        <f t="shared" ref="AA1476:AC1476" si="2929">IF(X1476=FALSE,1,0)</f>
        <v>0</v>
      </c>
      <c r="AB1476">
        <f t="shared" si="2929"/>
        <v>1</v>
      </c>
      <c r="AC1476">
        <f t="shared" si="2929"/>
        <v>1</v>
      </c>
      <c r="AD1476">
        <f t="shared" si="6"/>
        <v>2</v>
      </c>
      <c r="AE1476">
        <f t="shared" si="7"/>
        <v>1</v>
      </c>
    </row>
    <row r="1477">
      <c r="B1477" t="str">
        <f>IFERROR(__xludf.DUMMYFUNCTION("""COMPUTED_VALUE"""),"")</f>
        <v/>
      </c>
      <c r="C1477" t="str">
        <f>IFERROR(__xludf.DUMMYFUNCTION("""COMPUTED_VALUE"""),"")</f>
        <v/>
      </c>
      <c r="D1477" t="str">
        <f>IFERROR(__xludf.DUMMYFUNCTION("""COMPUTED_VALUE"""),"")</f>
        <v/>
      </c>
      <c r="E1477" t="str">
        <f>IFERROR(__xludf.DUMMYFUNCTION("""COMPUTED_VALUE"""),"")</f>
        <v/>
      </c>
      <c r="F1477" t="str">
        <f>IFERROR(__xludf.DUMMYFUNCTION("""COMPUTED_VALUE"""),"")</f>
        <v/>
      </c>
      <c r="G1477" t="str">
        <f>IFERROR(__xludf.DUMMYFUNCTION("""COMPUTED_VALUE"""),"")</f>
        <v/>
      </c>
      <c r="H1477" t="str">
        <f>IFERROR(__xludf.DUMMYFUNCTION("""COMPUTED_VALUE"""),"")</f>
        <v/>
      </c>
      <c r="I1477" t="str">
        <f>IFERROR(__xludf.DUMMYFUNCTION("""COMPUTED_VALUE"""),"")</f>
        <v/>
      </c>
      <c r="J1477">
        <f>IFERROR(__xludf.DUMMYFUNCTION("""COMPUTED_VALUE"""),0.0)</f>
        <v>0</v>
      </c>
      <c r="L1477" s="250" t="str">
        <f>IFERROR(__xludf.DUMMYFUNCTION("""COMPUTED_VALUE"""),"")</f>
        <v/>
      </c>
      <c r="M1477" s="250" t="str">
        <f>IFERROR(__xludf.DUMMYFUNCTION("""COMPUTED_VALUE"""),"")</f>
        <v/>
      </c>
      <c r="N1477" s="250" t="str">
        <f>IFERROR(__xludf.DUMMYFUNCTION("""COMPUTED_VALUE"""),"")</f>
        <v/>
      </c>
      <c r="O1477" s="250" t="str">
        <f>IFERROR(__xludf.DUMMYFUNCTION("""COMPUTED_VALUE"""),"")</f>
        <v/>
      </c>
      <c r="P1477" s="250" t="str">
        <f>IFERROR(__xludf.DUMMYFUNCTION("""COMPUTED_VALUE"""),"")</f>
        <v/>
      </c>
      <c r="Q1477" s="250" t="str">
        <f>IFERROR(__xludf.DUMMYFUNCTION("""COMPUTED_VALUE"""),"")</f>
        <v/>
      </c>
      <c r="R1477" s="250" t="str">
        <f>IFERROR(__xludf.DUMMYFUNCTION("""COMPUTED_VALUE"""),"")</f>
        <v/>
      </c>
      <c r="U1477" s="250" t="str">
        <f>IFERROR(__xludf.DUMMYFUNCTION("""COMPUTED_VALUE"""),"#N/A")</f>
        <v>#N/A</v>
      </c>
      <c r="V1477" s="250" t="str">
        <f>IFERROR(__xludf.DUMMYFUNCTION("""COMPUTED_VALUE"""),"#N/A")</f>
        <v>#N/A</v>
      </c>
      <c r="W1477" s="250" t="str">
        <f>IFERROR(__xludf.DUMMYFUNCTION("""COMPUTED_VALUE"""),"#N/A")</f>
        <v>#N/A</v>
      </c>
      <c r="X1477" t="b">
        <f t="shared" ref="X1477:Z1477" si="2930">ISBLANK(K1477)</f>
        <v>1</v>
      </c>
      <c r="Y1477" t="b">
        <f t="shared" si="2930"/>
        <v>0</v>
      </c>
      <c r="Z1477" t="b">
        <f t="shared" si="2930"/>
        <v>0</v>
      </c>
      <c r="AA1477">
        <f t="shared" ref="AA1477:AC1477" si="2931">IF(X1477=FALSE,1,0)</f>
        <v>0</v>
      </c>
      <c r="AB1477">
        <f t="shared" si="2931"/>
        <v>1</v>
      </c>
      <c r="AC1477">
        <f t="shared" si="2931"/>
        <v>1</v>
      </c>
      <c r="AD1477">
        <f t="shared" si="6"/>
        <v>2</v>
      </c>
      <c r="AE1477">
        <f t="shared" si="7"/>
        <v>1</v>
      </c>
    </row>
    <row r="1478">
      <c r="B1478" t="str">
        <f>IFERROR(__xludf.DUMMYFUNCTION("""COMPUTED_VALUE"""),"")</f>
        <v/>
      </c>
      <c r="C1478" t="str">
        <f>IFERROR(__xludf.DUMMYFUNCTION("""COMPUTED_VALUE"""),"")</f>
        <v/>
      </c>
      <c r="D1478" t="str">
        <f>IFERROR(__xludf.DUMMYFUNCTION("""COMPUTED_VALUE"""),"")</f>
        <v/>
      </c>
      <c r="E1478" t="str">
        <f>IFERROR(__xludf.DUMMYFUNCTION("""COMPUTED_VALUE"""),"")</f>
        <v/>
      </c>
      <c r="F1478" t="str">
        <f>IFERROR(__xludf.DUMMYFUNCTION("""COMPUTED_VALUE"""),"")</f>
        <v/>
      </c>
      <c r="G1478" t="str">
        <f>IFERROR(__xludf.DUMMYFUNCTION("""COMPUTED_VALUE"""),"")</f>
        <v/>
      </c>
      <c r="H1478" t="str">
        <f>IFERROR(__xludf.DUMMYFUNCTION("""COMPUTED_VALUE"""),"")</f>
        <v/>
      </c>
      <c r="I1478" t="str">
        <f>IFERROR(__xludf.DUMMYFUNCTION("""COMPUTED_VALUE"""),"")</f>
        <v/>
      </c>
      <c r="J1478">
        <f>IFERROR(__xludf.DUMMYFUNCTION("""COMPUTED_VALUE"""),0.0)</f>
        <v>0</v>
      </c>
      <c r="L1478" s="250" t="str">
        <f>IFERROR(__xludf.DUMMYFUNCTION("""COMPUTED_VALUE"""),"")</f>
        <v/>
      </c>
      <c r="M1478" s="250" t="str">
        <f>IFERROR(__xludf.DUMMYFUNCTION("""COMPUTED_VALUE"""),"")</f>
        <v/>
      </c>
      <c r="N1478" s="250" t="str">
        <f>IFERROR(__xludf.DUMMYFUNCTION("""COMPUTED_VALUE"""),"")</f>
        <v/>
      </c>
      <c r="O1478" s="250" t="str">
        <f>IFERROR(__xludf.DUMMYFUNCTION("""COMPUTED_VALUE"""),"")</f>
        <v/>
      </c>
      <c r="P1478" s="250" t="str">
        <f>IFERROR(__xludf.DUMMYFUNCTION("""COMPUTED_VALUE"""),"")</f>
        <v/>
      </c>
      <c r="Q1478" s="250" t="str">
        <f>IFERROR(__xludf.DUMMYFUNCTION("""COMPUTED_VALUE"""),"")</f>
        <v/>
      </c>
      <c r="R1478" s="250" t="str">
        <f>IFERROR(__xludf.DUMMYFUNCTION("""COMPUTED_VALUE"""),"")</f>
        <v/>
      </c>
      <c r="U1478" s="250" t="str">
        <f>IFERROR(__xludf.DUMMYFUNCTION("""COMPUTED_VALUE"""),"#N/A")</f>
        <v>#N/A</v>
      </c>
      <c r="V1478" s="250" t="str">
        <f>IFERROR(__xludf.DUMMYFUNCTION("""COMPUTED_VALUE"""),"#N/A")</f>
        <v>#N/A</v>
      </c>
      <c r="W1478" s="250" t="str">
        <f>IFERROR(__xludf.DUMMYFUNCTION("""COMPUTED_VALUE"""),"#N/A")</f>
        <v>#N/A</v>
      </c>
      <c r="X1478" t="b">
        <f t="shared" ref="X1478:Z1478" si="2932">ISBLANK(K1478)</f>
        <v>1</v>
      </c>
      <c r="Y1478" t="b">
        <f t="shared" si="2932"/>
        <v>0</v>
      </c>
      <c r="Z1478" t="b">
        <f t="shared" si="2932"/>
        <v>0</v>
      </c>
      <c r="AA1478">
        <f t="shared" ref="AA1478:AC1478" si="2933">IF(X1478=FALSE,1,0)</f>
        <v>0</v>
      </c>
      <c r="AB1478">
        <f t="shared" si="2933"/>
        <v>1</v>
      </c>
      <c r="AC1478">
        <f t="shared" si="2933"/>
        <v>1</v>
      </c>
      <c r="AD1478">
        <f t="shared" si="6"/>
        <v>2</v>
      </c>
      <c r="AE1478">
        <f t="shared" si="7"/>
        <v>1</v>
      </c>
    </row>
    <row r="1479">
      <c r="B1479" t="str">
        <f>IFERROR(__xludf.DUMMYFUNCTION("""COMPUTED_VALUE"""),"")</f>
        <v/>
      </c>
      <c r="C1479" t="str">
        <f>IFERROR(__xludf.DUMMYFUNCTION("""COMPUTED_VALUE"""),"")</f>
        <v/>
      </c>
      <c r="D1479" t="str">
        <f>IFERROR(__xludf.DUMMYFUNCTION("""COMPUTED_VALUE"""),"")</f>
        <v/>
      </c>
      <c r="E1479" t="str">
        <f>IFERROR(__xludf.DUMMYFUNCTION("""COMPUTED_VALUE"""),"")</f>
        <v/>
      </c>
      <c r="F1479" t="str">
        <f>IFERROR(__xludf.DUMMYFUNCTION("""COMPUTED_VALUE"""),"")</f>
        <v/>
      </c>
      <c r="G1479" t="str">
        <f>IFERROR(__xludf.DUMMYFUNCTION("""COMPUTED_VALUE"""),"")</f>
        <v/>
      </c>
      <c r="H1479" t="str">
        <f>IFERROR(__xludf.DUMMYFUNCTION("""COMPUTED_VALUE"""),"")</f>
        <v/>
      </c>
      <c r="I1479" t="str">
        <f>IFERROR(__xludf.DUMMYFUNCTION("""COMPUTED_VALUE"""),"")</f>
        <v/>
      </c>
      <c r="J1479">
        <f>IFERROR(__xludf.DUMMYFUNCTION("""COMPUTED_VALUE"""),0.0)</f>
        <v>0</v>
      </c>
      <c r="L1479" s="250" t="str">
        <f>IFERROR(__xludf.DUMMYFUNCTION("""COMPUTED_VALUE"""),"")</f>
        <v/>
      </c>
      <c r="M1479" s="250" t="str">
        <f>IFERROR(__xludf.DUMMYFUNCTION("""COMPUTED_VALUE"""),"")</f>
        <v/>
      </c>
      <c r="N1479" s="250" t="str">
        <f>IFERROR(__xludf.DUMMYFUNCTION("""COMPUTED_VALUE"""),"")</f>
        <v/>
      </c>
      <c r="O1479" s="250" t="str">
        <f>IFERROR(__xludf.DUMMYFUNCTION("""COMPUTED_VALUE"""),"")</f>
        <v/>
      </c>
      <c r="P1479" s="250" t="str">
        <f>IFERROR(__xludf.DUMMYFUNCTION("""COMPUTED_VALUE"""),"")</f>
        <v/>
      </c>
      <c r="Q1479" s="250" t="str">
        <f>IFERROR(__xludf.DUMMYFUNCTION("""COMPUTED_VALUE"""),"")</f>
        <v/>
      </c>
      <c r="R1479" s="250" t="str">
        <f>IFERROR(__xludf.DUMMYFUNCTION("""COMPUTED_VALUE"""),"")</f>
        <v/>
      </c>
      <c r="U1479" s="250" t="str">
        <f>IFERROR(__xludf.DUMMYFUNCTION("""COMPUTED_VALUE"""),"#N/A")</f>
        <v>#N/A</v>
      </c>
      <c r="V1479" s="250" t="str">
        <f>IFERROR(__xludf.DUMMYFUNCTION("""COMPUTED_VALUE"""),"#N/A")</f>
        <v>#N/A</v>
      </c>
      <c r="W1479" s="250" t="str">
        <f>IFERROR(__xludf.DUMMYFUNCTION("""COMPUTED_VALUE"""),"#N/A")</f>
        <v>#N/A</v>
      </c>
      <c r="X1479" t="b">
        <f t="shared" ref="X1479:Z1479" si="2934">ISBLANK(K1479)</f>
        <v>1</v>
      </c>
      <c r="Y1479" t="b">
        <f t="shared" si="2934"/>
        <v>0</v>
      </c>
      <c r="Z1479" t="b">
        <f t="shared" si="2934"/>
        <v>0</v>
      </c>
      <c r="AA1479">
        <f t="shared" ref="AA1479:AC1479" si="2935">IF(X1479=FALSE,1,0)</f>
        <v>0</v>
      </c>
      <c r="AB1479">
        <f t="shared" si="2935"/>
        <v>1</v>
      </c>
      <c r="AC1479">
        <f t="shared" si="2935"/>
        <v>1</v>
      </c>
      <c r="AD1479">
        <f t="shared" si="6"/>
        <v>2</v>
      </c>
      <c r="AE1479">
        <f t="shared" si="7"/>
        <v>1</v>
      </c>
    </row>
    <row r="1480">
      <c r="B1480" t="str">
        <f>IFERROR(__xludf.DUMMYFUNCTION("""COMPUTED_VALUE"""),"")</f>
        <v/>
      </c>
      <c r="C1480" t="str">
        <f>IFERROR(__xludf.DUMMYFUNCTION("""COMPUTED_VALUE"""),"")</f>
        <v/>
      </c>
      <c r="D1480" t="str">
        <f>IFERROR(__xludf.DUMMYFUNCTION("""COMPUTED_VALUE"""),"")</f>
        <v/>
      </c>
      <c r="E1480" t="str">
        <f>IFERROR(__xludf.DUMMYFUNCTION("""COMPUTED_VALUE"""),"")</f>
        <v/>
      </c>
      <c r="F1480" t="str">
        <f>IFERROR(__xludf.DUMMYFUNCTION("""COMPUTED_VALUE"""),"")</f>
        <v/>
      </c>
      <c r="G1480" t="str">
        <f>IFERROR(__xludf.DUMMYFUNCTION("""COMPUTED_VALUE"""),"")</f>
        <v/>
      </c>
      <c r="H1480" t="str">
        <f>IFERROR(__xludf.DUMMYFUNCTION("""COMPUTED_VALUE"""),"")</f>
        <v/>
      </c>
      <c r="I1480" t="str">
        <f>IFERROR(__xludf.DUMMYFUNCTION("""COMPUTED_VALUE"""),"")</f>
        <v/>
      </c>
      <c r="J1480">
        <f>IFERROR(__xludf.DUMMYFUNCTION("""COMPUTED_VALUE"""),0.0)</f>
        <v>0</v>
      </c>
      <c r="L1480" s="250" t="str">
        <f>IFERROR(__xludf.DUMMYFUNCTION("""COMPUTED_VALUE"""),"")</f>
        <v/>
      </c>
      <c r="M1480" s="250" t="str">
        <f>IFERROR(__xludf.DUMMYFUNCTION("""COMPUTED_VALUE"""),"")</f>
        <v/>
      </c>
      <c r="N1480" s="250" t="str">
        <f>IFERROR(__xludf.DUMMYFUNCTION("""COMPUTED_VALUE"""),"")</f>
        <v/>
      </c>
      <c r="O1480" s="250" t="str">
        <f>IFERROR(__xludf.DUMMYFUNCTION("""COMPUTED_VALUE"""),"")</f>
        <v/>
      </c>
      <c r="P1480" s="250" t="str">
        <f>IFERROR(__xludf.DUMMYFUNCTION("""COMPUTED_VALUE"""),"")</f>
        <v/>
      </c>
      <c r="Q1480" s="250" t="str">
        <f>IFERROR(__xludf.DUMMYFUNCTION("""COMPUTED_VALUE"""),"")</f>
        <v/>
      </c>
      <c r="R1480" s="250" t="str">
        <f>IFERROR(__xludf.DUMMYFUNCTION("""COMPUTED_VALUE"""),"")</f>
        <v/>
      </c>
      <c r="U1480" s="250" t="str">
        <f>IFERROR(__xludf.DUMMYFUNCTION("""COMPUTED_VALUE"""),"#N/A")</f>
        <v>#N/A</v>
      </c>
      <c r="V1480" s="250" t="str">
        <f>IFERROR(__xludf.DUMMYFUNCTION("""COMPUTED_VALUE"""),"#N/A")</f>
        <v>#N/A</v>
      </c>
      <c r="W1480" s="250" t="str">
        <f>IFERROR(__xludf.DUMMYFUNCTION("""COMPUTED_VALUE"""),"#N/A")</f>
        <v>#N/A</v>
      </c>
      <c r="X1480" t="b">
        <f t="shared" ref="X1480:Z1480" si="2936">ISBLANK(K1480)</f>
        <v>1</v>
      </c>
      <c r="Y1480" t="b">
        <f t="shared" si="2936"/>
        <v>0</v>
      </c>
      <c r="Z1480" t="b">
        <f t="shared" si="2936"/>
        <v>0</v>
      </c>
      <c r="AA1480">
        <f t="shared" ref="AA1480:AC1480" si="2937">IF(X1480=FALSE,1,0)</f>
        <v>0</v>
      </c>
      <c r="AB1480">
        <f t="shared" si="2937"/>
        <v>1</v>
      </c>
      <c r="AC1480">
        <f t="shared" si="2937"/>
        <v>1</v>
      </c>
      <c r="AD1480">
        <f t="shared" si="6"/>
        <v>2</v>
      </c>
      <c r="AE1480">
        <f t="shared" si="7"/>
        <v>1</v>
      </c>
    </row>
    <row r="1481">
      <c r="B1481" t="str">
        <f>IFERROR(__xludf.DUMMYFUNCTION("""COMPUTED_VALUE"""),"")</f>
        <v/>
      </c>
      <c r="C1481" t="str">
        <f>IFERROR(__xludf.DUMMYFUNCTION("""COMPUTED_VALUE"""),"")</f>
        <v/>
      </c>
      <c r="D1481" t="str">
        <f>IFERROR(__xludf.DUMMYFUNCTION("""COMPUTED_VALUE"""),"")</f>
        <v/>
      </c>
      <c r="E1481" t="str">
        <f>IFERROR(__xludf.DUMMYFUNCTION("""COMPUTED_VALUE"""),"")</f>
        <v/>
      </c>
      <c r="F1481" t="str">
        <f>IFERROR(__xludf.DUMMYFUNCTION("""COMPUTED_VALUE"""),"")</f>
        <v/>
      </c>
      <c r="G1481" t="str">
        <f>IFERROR(__xludf.DUMMYFUNCTION("""COMPUTED_VALUE"""),"")</f>
        <v/>
      </c>
      <c r="H1481" t="str">
        <f>IFERROR(__xludf.DUMMYFUNCTION("""COMPUTED_VALUE"""),"")</f>
        <v/>
      </c>
      <c r="I1481" t="str">
        <f>IFERROR(__xludf.DUMMYFUNCTION("""COMPUTED_VALUE"""),"")</f>
        <v/>
      </c>
      <c r="J1481">
        <f>IFERROR(__xludf.DUMMYFUNCTION("""COMPUTED_VALUE"""),0.0)</f>
        <v>0</v>
      </c>
      <c r="L1481" s="250" t="str">
        <f>IFERROR(__xludf.DUMMYFUNCTION("""COMPUTED_VALUE"""),"")</f>
        <v/>
      </c>
      <c r="M1481" s="250" t="str">
        <f>IFERROR(__xludf.DUMMYFUNCTION("""COMPUTED_VALUE"""),"")</f>
        <v/>
      </c>
      <c r="N1481" s="250" t="str">
        <f>IFERROR(__xludf.DUMMYFUNCTION("""COMPUTED_VALUE"""),"")</f>
        <v/>
      </c>
      <c r="O1481" s="250" t="str">
        <f>IFERROR(__xludf.DUMMYFUNCTION("""COMPUTED_VALUE"""),"")</f>
        <v/>
      </c>
      <c r="P1481" s="250" t="str">
        <f>IFERROR(__xludf.DUMMYFUNCTION("""COMPUTED_VALUE"""),"")</f>
        <v/>
      </c>
      <c r="Q1481" s="250" t="str">
        <f>IFERROR(__xludf.DUMMYFUNCTION("""COMPUTED_VALUE"""),"")</f>
        <v/>
      </c>
      <c r="R1481" s="250" t="str">
        <f>IFERROR(__xludf.DUMMYFUNCTION("""COMPUTED_VALUE"""),"")</f>
        <v/>
      </c>
      <c r="U1481" s="250" t="str">
        <f>IFERROR(__xludf.DUMMYFUNCTION("""COMPUTED_VALUE"""),"#N/A")</f>
        <v>#N/A</v>
      </c>
      <c r="V1481" s="250" t="str">
        <f>IFERROR(__xludf.DUMMYFUNCTION("""COMPUTED_VALUE"""),"#N/A")</f>
        <v>#N/A</v>
      </c>
      <c r="W1481" s="250" t="str">
        <f>IFERROR(__xludf.DUMMYFUNCTION("""COMPUTED_VALUE"""),"#N/A")</f>
        <v>#N/A</v>
      </c>
      <c r="X1481" t="b">
        <f t="shared" ref="X1481:Z1481" si="2938">ISBLANK(K1481)</f>
        <v>1</v>
      </c>
      <c r="Y1481" t="b">
        <f t="shared" si="2938"/>
        <v>0</v>
      </c>
      <c r="Z1481" t="b">
        <f t="shared" si="2938"/>
        <v>0</v>
      </c>
      <c r="AA1481">
        <f t="shared" ref="AA1481:AC1481" si="2939">IF(X1481=FALSE,1,0)</f>
        <v>0</v>
      </c>
      <c r="AB1481">
        <f t="shared" si="2939"/>
        <v>1</v>
      </c>
      <c r="AC1481">
        <f t="shared" si="2939"/>
        <v>1</v>
      </c>
      <c r="AD1481">
        <f t="shared" si="6"/>
        <v>2</v>
      </c>
      <c r="AE1481">
        <f t="shared" si="7"/>
        <v>1</v>
      </c>
    </row>
    <row r="1482">
      <c r="B1482" t="str">
        <f>IFERROR(__xludf.DUMMYFUNCTION("""COMPUTED_VALUE"""),"")</f>
        <v/>
      </c>
      <c r="C1482" t="str">
        <f>IFERROR(__xludf.DUMMYFUNCTION("""COMPUTED_VALUE"""),"")</f>
        <v/>
      </c>
      <c r="D1482" t="str">
        <f>IFERROR(__xludf.DUMMYFUNCTION("""COMPUTED_VALUE"""),"")</f>
        <v/>
      </c>
      <c r="E1482" t="str">
        <f>IFERROR(__xludf.DUMMYFUNCTION("""COMPUTED_VALUE"""),"")</f>
        <v/>
      </c>
      <c r="F1482" t="str">
        <f>IFERROR(__xludf.DUMMYFUNCTION("""COMPUTED_VALUE"""),"")</f>
        <v/>
      </c>
      <c r="G1482" t="str">
        <f>IFERROR(__xludf.DUMMYFUNCTION("""COMPUTED_VALUE"""),"")</f>
        <v/>
      </c>
      <c r="H1482" t="str">
        <f>IFERROR(__xludf.DUMMYFUNCTION("""COMPUTED_VALUE"""),"")</f>
        <v/>
      </c>
      <c r="I1482" t="str">
        <f>IFERROR(__xludf.DUMMYFUNCTION("""COMPUTED_VALUE"""),"")</f>
        <v/>
      </c>
      <c r="J1482">
        <f>IFERROR(__xludf.DUMMYFUNCTION("""COMPUTED_VALUE"""),0.0)</f>
        <v>0</v>
      </c>
      <c r="L1482" s="250" t="str">
        <f>IFERROR(__xludf.DUMMYFUNCTION("""COMPUTED_VALUE"""),"")</f>
        <v/>
      </c>
      <c r="M1482" s="250" t="str">
        <f>IFERROR(__xludf.DUMMYFUNCTION("""COMPUTED_VALUE"""),"")</f>
        <v/>
      </c>
      <c r="N1482" s="250" t="str">
        <f>IFERROR(__xludf.DUMMYFUNCTION("""COMPUTED_VALUE"""),"")</f>
        <v/>
      </c>
      <c r="O1482" s="250" t="str">
        <f>IFERROR(__xludf.DUMMYFUNCTION("""COMPUTED_VALUE"""),"")</f>
        <v/>
      </c>
      <c r="P1482" s="250" t="str">
        <f>IFERROR(__xludf.DUMMYFUNCTION("""COMPUTED_VALUE"""),"")</f>
        <v/>
      </c>
      <c r="Q1482" s="250" t="str">
        <f>IFERROR(__xludf.DUMMYFUNCTION("""COMPUTED_VALUE"""),"")</f>
        <v/>
      </c>
      <c r="R1482" s="250" t="str">
        <f>IFERROR(__xludf.DUMMYFUNCTION("""COMPUTED_VALUE"""),"")</f>
        <v/>
      </c>
      <c r="U1482" s="250" t="str">
        <f>IFERROR(__xludf.DUMMYFUNCTION("""COMPUTED_VALUE"""),"#N/A")</f>
        <v>#N/A</v>
      </c>
      <c r="V1482" s="250" t="str">
        <f>IFERROR(__xludf.DUMMYFUNCTION("""COMPUTED_VALUE"""),"#N/A")</f>
        <v>#N/A</v>
      </c>
      <c r="W1482" s="250" t="str">
        <f>IFERROR(__xludf.DUMMYFUNCTION("""COMPUTED_VALUE"""),"#N/A")</f>
        <v>#N/A</v>
      </c>
      <c r="X1482" t="b">
        <f t="shared" ref="X1482:Z1482" si="2940">ISBLANK(K1482)</f>
        <v>1</v>
      </c>
      <c r="Y1482" t="b">
        <f t="shared" si="2940"/>
        <v>0</v>
      </c>
      <c r="Z1482" t="b">
        <f t="shared" si="2940"/>
        <v>0</v>
      </c>
      <c r="AA1482">
        <f t="shared" ref="AA1482:AC1482" si="2941">IF(X1482=FALSE,1,0)</f>
        <v>0</v>
      </c>
      <c r="AB1482">
        <f t="shared" si="2941"/>
        <v>1</v>
      </c>
      <c r="AC1482">
        <f t="shared" si="2941"/>
        <v>1</v>
      </c>
      <c r="AD1482">
        <f t="shared" si="6"/>
        <v>2</v>
      </c>
      <c r="AE1482">
        <f t="shared" si="7"/>
        <v>1</v>
      </c>
    </row>
    <row r="1483">
      <c r="B1483" t="str">
        <f>IFERROR(__xludf.DUMMYFUNCTION("""COMPUTED_VALUE"""),"")</f>
        <v/>
      </c>
      <c r="C1483" t="str">
        <f>IFERROR(__xludf.DUMMYFUNCTION("""COMPUTED_VALUE"""),"")</f>
        <v/>
      </c>
      <c r="D1483" t="str">
        <f>IFERROR(__xludf.DUMMYFUNCTION("""COMPUTED_VALUE"""),"")</f>
        <v/>
      </c>
      <c r="E1483" t="str">
        <f>IFERROR(__xludf.DUMMYFUNCTION("""COMPUTED_VALUE"""),"")</f>
        <v/>
      </c>
      <c r="F1483" t="str">
        <f>IFERROR(__xludf.DUMMYFUNCTION("""COMPUTED_VALUE"""),"")</f>
        <v/>
      </c>
      <c r="G1483" t="str">
        <f>IFERROR(__xludf.DUMMYFUNCTION("""COMPUTED_VALUE"""),"")</f>
        <v/>
      </c>
      <c r="H1483" t="str">
        <f>IFERROR(__xludf.DUMMYFUNCTION("""COMPUTED_VALUE"""),"")</f>
        <v/>
      </c>
      <c r="I1483" t="str">
        <f>IFERROR(__xludf.DUMMYFUNCTION("""COMPUTED_VALUE"""),"")</f>
        <v/>
      </c>
      <c r="J1483">
        <f>IFERROR(__xludf.DUMMYFUNCTION("""COMPUTED_VALUE"""),0.0)</f>
        <v>0</v>
      </c>
      <c r="L1483" s="250" t="str">
        <f>IFERROR(__xludf.DUMMYFUNCTION("""COMPUTED_VALUE"""),"")</f>
        <v/>
      </c>
      <c r="M1483" s="250" t="str">
        <f>IFERROR(__xludf.DUMMYFUNCTION("""COMPUTED_VALUE"""),"")</f>
        <v/>
      </c>
      <c r="N1483" s="250" t="str">
        <f>IFERROR(__xludf.DUMMYFUNCTION("""COMPUTED_VALUE"""),"")</f>
        <v/>
      </c>
      <c r="O1483" s="250" t="str">
        <f>IFERROR(__xludf.DUMMYFUNCTION("""COMPUTED_VALUE"""),"")</f>
        <v/>
      </c>
      <c r="P1483" s="250" t="str">
        <f>IFERROR(__xludf.DUMMYFUNCTION("""COMPUTED_VALUE"""),"")</f>
        <v/>
      </c>
      <c r="Q1483" s="250" t="str">
        <f>IFERROR(__xludf.DUMMYFUNCTION("""COMPUTED_VALUE"""),"")</f>
        <v/>
      </c>
      <c r="R1483" s="250" t="str">
        <f>IFERROR(__xludf.DUMMYFUNCTION("""COMPUTED_VALUE"""),"")</f>
        <v/>
      </c>
      <c r="U1483" s="250" t="str">
        <f>IFERROR(__xludf.DUMMYFUNCTION("""COMPUTED_VALUE"""),"#N/A")</f>
        <v>#N/A</v>
      </c>
      <c r="V1483" s="250" t="str">
        <f>IFERROR(__xludf.DUMMYFUNCTION("""COMPUTED_VALUE"""),"#N/A")</f>
        <v>#N/A</v>
      </c>
      <c r="W1483" s="250" t="str">
        <f>IFERROR(__xludf.DUMMYFUNCTION("""COMPUTED_VALUE"""),"#N/A")</f>
        <v>#N/A</v>
      </c>
      <c r="X1483" t="b">
        <f t="shared" ref="X1483:Z1483" si="2942">ISBLANK(K1483)</f>
        <v>1</v>
      </c>
      <c r="Y1483" t="b">
        <f t="shared" si="2942"/>
        <v>0</v>
      </c>
      <c r="Z1483" t="b">
        <f t="shared" si="2942"/>
        <v>0</v>
      </c>
      <c r="AA1483">
        <f t="shared" ref="AA1483:AC1483" si="2943">IF(X1483=FALSE,1,0)</f>
        <v>0</v>
      </c>
      <c r="AB1483">
        <f t="shared" si="2943"/>
        <v>1</v>
      </c>
      <c r="AC1483">
        <f t="shared" si="2943"/>
        <v>1</v>
      </c>
      <c r="AD1483">
        <f t="shared" si="6"/>
        <v>2</v>
      </c>
      <c r="AE1483">
        <f t="shared" si="7"/>
        <v>1</v>
      </c>
    </row>
    <row r="1484">
      <c r="B1484" t="str">
        <f>IFERROR(__xludf.DUMMYFUNCTION("""COMPUTED_VALUE"""),"")</f>
        <v/>
      </c>
      <c r="C1484" t="str">
        <f>IFERROR(__xludf.DUMMYFUNCTION("""COMPUTED_VALUE"""),"")</f>
        <v/>
      </c>
      <c r="D1484" t="str">
        <f>IFERROR(__xludf.DUMMYFUNCTION("""COMPUTED_VALUE"""),"")</f>
        <v/>
      </c>
      <c r="E1484" t="str">
        <f>IFERROR(__xludf.DUMMYFUNCTION("""COMPUTED_VALUE"""),"")</f>
        <v/>
      </c>
      <c r="F1484" t="str">
        <f>IFERROR(__xludf.DUMMYFUNCTION("""COMPUTED_VALUE"""),"")</f>
        <v/>
      </c>
      <c r="G1484" t="str">
        <f>IFERROR(__xludf.DUMMYFUNCTION("""COMPUTED_VALUE"""),"")</f>
        <v/>
      </c>
      <c r="H1484" t="str">
        <f>IFERROR(__xludf.DUMMYFUNCTION("""COMPUTED_VALUE"""),"")</f>
        <v/>
      </c>
      <c r="I1484" t="str">
        <f>IFERROR(__xludf.DUMMYFUNCTION("""COMPUTED_VALUE"""),"")</f>
        <v/>
      </c>
      <c r="J1484">
        <f>IFERROR(__xludf.DUMMYFUNCTION("""COMPUTED_VALUE"""),0.0)</f>
        <v>0</v>
      </c>
      <c r="L1484" s="250" t="str">
        <f>IFERROR(__xludf.DUMMYFUNCTION("""COMPUTED_VALUE"""),"")</f>
        <v/>
      </c>
      <c r="M1484" s="250" t="str">
        <f>IFERROR(__xludf.DUMMYFUNCTION("""COMPUTED_VALUE"""),"")</f>
        <v/>
      </c>
      <c r="N1484" s="250" t="str">
        <f>IFERROR(__xludf.DUMMYFUNCTION("""COMPUTED_VALUE"""),"")</f>
        <v/>
      </c>
      <c r="O1484" s="250" t="str">
        <f>IFERROR(__xludf.DUMMYFUNCTION("""COMPUTED_VALUE"""),"")</f>
        <v/>
      </c>
      <c r="P1484" s="250" t="str">
        <f>IFERROR(__xludf.DUMMYFUNCTION("""COMPUTED_VALUE"""),"")</f>
        <v/>
      </c>
      <c r="Q1484" s="250" t="str">
        <f>IFERROR(__xludf.DUMMYFUNCTION("""COMPUTED_VALUE"""),"")</f>
        <v/>
      </c>
      <c r="R1484" s="250" t="str">
        <f>IFERROR(__xludf.DUMMYFUNCTION("""COMPUTED_VALUE"""),"")</f>
        <v/>
      </c>
      <c r="U1484" s="250" t="str">
        <f>IFERROR(__xludf.DUMMYFUNCTION("""COMPUTED_VALUE"""),"#N/A")</f>
        <v>#N/A</v>
      </c>
      <c r="V1484" s="250" t="str">
        <f>IFERROR(__xludf.DUMMYFUNCTION("""COMPUTED_VALUE"""),"#N/A")</f>
        <v>#N/A</v>
      </c>
      <c r="W1484" s="250" t="str">
        <f>IFERROR(__xludf.DUMMYFUNCTION("""COMPUTED_VALUE"""),"#N/A")</f>
        <v>#N/A</v>
      </c>
      <c r="X1484" t="b">
        <f t="shared" ref="X1484:Z1484" si="2944">ISBLANK(K1484)</f>
        <v>1</v>
      </c>
      <c r="Y1484" t="b">
        <f t="shared" si="2944"/>
        <v>0</v>
      </c>
      <c r="Z1484" t="b">
        <f t="shared" si="2944"/>
        <v>0</v>
      </c>
      <c r="AA1484">
        <f t="shared" ref="AA1484:AC1484" si="2945">IF(X1484=FALSE,1,0)</f>
        <v>0</v>
      </c>
      <c r="AB1484">
        <f t="shared" si="2945"/>
        <v>1</v>
      </c>
      <c r="AC1484">
        <f t="shared" si="2945"/>
        <v>1</v>
      </c>
      <c r="AD1484">
        <f t="shared" si="6"/>
        <v>2</v>
      </c>
      <c r="AE1484">
        <f t="shared" si="7"/>
        <v>1</v>
      </c>
    </row>
    <row r="1485">
      <c r="B1485" t="str">
        <f>IFERROR(__xludf.DUMMYFUNCTION("""COMPUTED_VALUE"""),"")</f>
        <v/>
      </c>
      <c r="C1485" t="str">
        <f>IFERROR(__xludf.DUMMYFUNCTION("""COMPUTED_VALUE"""),"")</f>
        <v/>
      </c>
      <c r="D1485" t="str">
        <f>IFERROR(__xludf.DUMMYFUNCTION("""COMPUTED_VALUE"""),"")</f>
        <v/>
      </c>
      <c r="E1485" t="str">
        <f>IFERROR(__xludf.DUMMYFUNCTION("""COMPUTED_VALUE"""),"")</f>
        <v/>
      </c>
      <c r="F1485" t="str">
        <f>IFERROR(__xludf.DUMMYFUNCTION("""COMPUTED_VALUE"""),"")</f>
        <v/>
      </c>
      <c r="G1485" t="str">
        <f>IFERROR(__xludf.DUMMYFUNCTION("""COMPUTED_VALUE"""),"")</f>
        <v/>
      </c>
      <c r="H1485" t="str">
        <f>IFERROR(__xludf.DUMMYFUNCTION("""COMPUTED_VALUE"""),"")</f>
        <v/>
      </c>
      <c r="I1485" t="str">
        <f>IFERROR(__xludf.DUMMYFUNCTION("""COMPUTED_VALUE"""),"")</f>
        <v/>
      </c>
      <c r="J1485">
        <f>IFERROR(__xludf.DUMMYFUNCTION("""COMPUTED_VALUE"""),0.0)</f>
        <v>0</v>
      </c>
      <c r="L1485" s="250" t="str">
        <f>IFERROR(__xludf.DUMMYFUNCTION("""COMPUTED_VALUE"""),"")</f>
        <v/>
      </c>
      <c r="M1485" s="250" t="str">
        <f>IFERROR(__xludf.DUMMYFUNCTION("""COMPUTED_VALUE"""),"")</f>
        <v/>
      </c>
      <c r="N1485" s="250" t="str">
        <f>IFERROR(__xludf.DUMMYFUNCTION("""COMPUTED_VALUE"""),"")</f>
        <v/>
      </c>
      <c r="O1485" s="250" t="str">
        <f>IFERROR(__xludf.DUMMYFUNCTION("""COMPUTED_VALUE"""),"")</f>
        <v/>
      </c>
      <c r="P1485" s="250" t="str">
        <f>IFERROR(__xludf.DUMMYFUNCTION("""COMPUTED_VALUE"""),"")</f>
        <v/>
      </c>
      <c r="Q1485" s="250" t="str">
        <f>IFERROR(__xludf.DUMMYFUNCTION("""COMPUTED_VALUE"""),"")</f>
        <v/>
      </c>
      <c r="R1485" s="250" t="str">
        <f>IFERROR(__xludf.DUMMYFUNCTION("""COMPUTED_VALUE"""),"")</f>
        <v/>
      </c>
      <c r="U1485" s="250" t="str">
        <f>IFERROR(__xludf.DUMMYFUNCTION("""COMPUTED_VALUE"""),"#N/A")</f>
        <v>#N/A</v>
      </c>
      <c r="V1485" s="250" t="str">
        <f>IFERROR(__xludf.DUMMYFUNCTION("""COMPUTED_VALUE"""),"#N/A")</f>
        <v>#N/A</v>
      </c>
      <c r="W1485" s="250" t="str">
        <f>IFERROR(__xludf.DUMMYFUNCTION("""COMPUTED_VALUE"""),"#N/A")</f>
        <v>#N/A</v>
      </c>
      <c r="X1485" t="b">
        <f t="shared" ref="X1485:Z1485" si="2946">ISBLANK(K1485)</f>
        <v>1</v>
      </c>
      <c r="Y1485" t="b">
        <f t="shared" si="2946"/>
        <v>0</v>
      </c>
      <c r="Z1485" t="b">
        <f t="shared" si="2946"/>
        <v>0</v>
      </c>
      <c r="AA1485">
        <f t="shared" ref="AA1485:AC1485" si="2947">IF(X1485=FALSE,1,0)</f>
        <v>0</v>
      </c>
      <c r="AB1485">
        <f t="shared" si="2947"/>
        <v>1</v>
      </c>
      <c r="AC1485">
        <f t="shared" si="2947"/>
        <v>1</v>
      </c>
      <c r="AD1485">
        <f t="shared" si="6"/>
        <v>2</v>
      </c>
      <c r="AE1485">
        <f t="shared" si="7"/>
        <v>1</v>
      </c>
    </row>
    <row r="1486">
      <c r="B1486" t="str">
        <f>IFERROR(__xludf.DUMMYFUNCTION("""COMPUTED_VALUE"""),"")</f>
        <v/>
      </c>
      <c r="C1486" t="str">
        <f>IFERROR(__xludf.DUMMYFUNCTION("""COMPUTED_VALUE"""),"")</f>
        <v/>
      </c>
      <c r="D1486" t="str">
        <f>IFERROR(__xludf.DUMMYFUNCTION("""COMPUTED_VALUE"""),"")</f>
        <v/>
      </c>
      <c r="E1486" t="str">
        <f>IFERROR(__xludf.DUMMYFUNCTION("""COMPUTED_VALUE"""),"")</f>
        <v/>
      </c>
      <c r="F1486" t="str">
        <f>IFERROR(__xludf.DUMMYFUNCTION("""COMPUTED_VALUE"""),"")</f>
        <v/>
      </c>
      <c r="G1486" t="str">
        <f>IFERROR(__xludf.DUMMYFUNCTION("""COMPUTED_VALUE"""),"")</f>
        <v/>
      </c>
      <c r="H1486" t="str">
        <f>IFERROR(__xludf.DUMMYFUNCTION("""COMPUTED_VALUE"""),"")</f>
        <v/>
      </c>
      <c r="I1486" t="str">
        <f>IFERROR(__xludf.DUMMYFUNCTION("""COMPUTED_VALUE"""),"")</f>
        <v/>
      </c>
      <c r="J1486">
        <f>IFERROR(__xludf.DUMMYFUNCTION("""COMPUTED_VALUE"""),0.0)</f>
        <v>0</v>
      </c>
      <c r="L1486" s="250" t="str">
        <f>IFERROR(__xludf.DUMMYFUNCTION("""COMPUTED_VALUE"""),"")</f>
        <v/>
      </c>
      <c r="M1486" s="250" t="str">
        <f>IFERROR(__xludf.DUMMYFUNCTION("""COMPUTED_VALUE"""),"")</f>
        <v/>
      </c>
      <c r="N1486" s="250" t="str">
        <f>IFERROR(__xludf.DUMMYFUNCTION("""COMPUTED_VALUE"""),"")</f>
        <v/>
      </c>
      <c r="O1486" s="250" t="str">
        <f>IFERROR(__xludf.DUMMYFUNCTION("""COMPUTED_VALUE"""),"")</f>
        <v/>
      </c>
      <c r="P1486" s="250" t="str">
        <f>IFERROR(__xludf.DUMMYFUNCTION("""COMPUTED_VALUE"""),"")</f>
        <v/>
      </c>
      <c r="Q1486" s="250" t="str">
        <f>IFERROR(__xludf.DUMMYFUNCTION("""COMPUTED_VALUE"""),"")</f>
        <v/>
      </c>
      <c r="R1486" s="250" t="str">
        <f>IFERROR(__xludf.DUMMYFUNCTION("""COMPUTED_VALUE"""),"")</f>
        <v/>
      </c>
      <c r="U1486" s="250" t="str">
        <f>IFERROR(__xludf.DUMMYFUNCTION("""COMPUTED_VALUE"""),"#N/A")</f>
        <v>#N/A</v>
      </c>
      <c r="V1486" s="250" t="str">
        <f>IFERROR(__xludf.DUMMYFUNCTION("""COMPUTED_VALUE"""),"#N/A")</f>
        <v>#N/A</v>
      </c>
      <c r="W1486" s="250" t="str">
        <f>IFERROR(__xludf.DUMMYFUNCTION("""COMPUTED_VALUE"""),"#N/A")</f>
        <v>#N/A</v>
      </c>
      <c r="X1486" t="b">
        <f t="shared" ref="X1486:Z1486" si="2948">ISBLANK(K1486)</f>
        <v>1</v>
      </c>
      <c r="Y1486" t="b">
        <f t="shared" si="2948"/>
        <v>0</v>
      </c>
      <c r="Z1486" t="b">
        <f t="shared" si="2948"/>
        <v>0</v>
      </c>
      <c r="AA1486">
        <f t="shared" ref="AA1486:AC1486" si="2949">IF(X1486=FALSE,1,0)</f>
        <v>0</v>
      </c>
      <c r="AB1486">
        <f t="shared" si="2949"/>
        <v>1</v>
      </c>
      <c r="AC1486">
        <f t="shared" si="2949"/>
        <v>1</v>
      </c>
      <c r="AD1486">
        <f t="shared" si="6"/>
        <v>2</v>
      </c>
      <c r="AE1486">
        <f t="shared" si="7"/>
        <v>1</v>
      </c>
    </row>
    <row r="1487">
      <c r="B1487" t="str">
        <f>IFERROR(__xludf.DUMMYFUNCTION("""COMPUTED_VALUE"""),"")</f>
        <v/>
      </c>
      <c r="C1487" t="str">
        <f>IFERROR(__xludf.DUMMYFUNCTION("""COMPUTED_VALUE"""),"")</f>
        <v/>
      </c>
      <c r="D1487" t="str">
        <f>IFERROR(__xludf.DUMMYFUNCTION("""COMPUTED_VALUE"""),"")</f>
        <v/>
      </c>
      <c r="E1487" t="str">
        <f>IFERROR(__xludf.DUMMYFUNCTION("""COMPUTED_VALUE"""),"")</f>
        <v/>
      </c>
      <c r="F1487" t="str">
        <f>IFERROR(__xludf.DUMMYFUNCTION("""COMPUTED_VALUE"""),"")</f>
        <v/>
      </c>
      <c r="G1487" t="str">
        <f>IFERROR(__xludf.DUMMYFUNCTION("""COMPUTED_VALUE"""),"")</f>
        <v/>
      </c>
      <c r="H1487" t="str">
        <f>IFERROR(__xludf.DUMMYFUNCTION("""COMPUTED_VALUE"""),"")</f>
        <v/>
      </c>
      <c r="I1487" t="str">
        <f>IFERROR(__xludf.DUMMYFUNCTION("""COMPUTED_VALUE"""),"")</f>
        <v/>
      </c>
      <c r="J1487">
        <f>IFERROR(__xludf.DUMMYFUNCTION("""COMPUTED_VALUE"""),0.0)</f>
        <v>0</v>
      </c>
      <c r="L1487" s="250" t="str">
        <f>IFERROR(__xludf.DUMMYFUNCTION("""COMPUTED_VALUE"""),"")</f>
        <v/>
      </c>
      <c r="M1487" s="250" t="str">
        <f>IFERROR(__xludf.DUMMYFUNCTION("""COMPUTED_VALUE"""),"")</f>
        <v/>
      </c>
      <c r="N1487" s="250" t="str">
        <f>IFERROR(__xludf.DUMMYFUNCTION("""COMPUTED_VALUE"""),"")</f>
        <v/>
      </c>
      <c r="O1487" s="250" t="str">
        <f>IFERROR(__xludf.DUMMYFUNCTION("""COMPUTED_VALUE"""),"")</f>
        <v/>
      </c>
      <c r="P1487" s="250" t="str">
        <f>IFERROR(__xludf.DUMMYFUNCTION("""COMPUTED_VALUE"""),"")</f>
        <v/>
      </c>
      <c r="Q1487" s="250" t="str">
        <f>IFERROR(__xludf.DUMMYFUNCTION("""COMPUTED_VALUE"""),"")</f>
        <v/>
      </c>
      <c r="R1487" s="250" t="str">
        <f>IFERROR(__xludf.DUMMYFUNCTION("""COMPUTED_VALUE"""),"")</f>
        <v/>
      </c>
      <c r="U1487" s="250" t="str">
        <f>IFERROR(__xludf.DUMMYFUNCTION("""COMPUTED_VALUE"""),"#N/A")</f>
        <v>#N/A</v>
      </c>
      <c r="V1487" s="250" t="str">
        <f>IFERROR(__xludf.DUMMYFUNCTION("""COMPUTED_VALUE"""),"#N/A")</f>
        <v>#N/A</v>
      </c>
      <c r="W1487" s="250" t="str">
        <f>IFERROR(__xludf.DUMMYFUNCTION("""COMPUTED_VALUE"""),"#N/A")</f>
        <v>#N/A</v>
      </c>
      <c r="X1487" t="b">
        <f t="shared" ref="X1487:Z1487" si="2950">ISBLANK(K1487)</f>
        <v>1</v>
      </c>
      <c r="Y1487" t="b">
        <f t="shared" si="2950"/>
        <v>0</v>
      </c>
      <c r="Z1487" t="b">
        <f t="shared" si="2950"/>
        <v>0</v>
      </c>
      <c r="AA1487">
        <f t="shared" ref="AA1487:AC1487" si="2951">IF(X1487=FALSE,1,0)</f>
        <v>0</v>
      </c>
      <c r="AB1487">
        <f t="shared" si="2951"/>
        <v>1</v>
      </c>
      <c r="AC1487">
        <f t="shared" si="2951"/>
        <v>1</v>
      </c>
      <c r="AD1487">
        <f t="shared" si="6"/>
        <v>2</v>
      </c>
      <c r="AE1487">
        <f t="shared" si="7"/>
        <v>1</v>
      </c>
    </row>
    <row r="1488">
      <c r="B1488" t="str">
        <f>IFERROR(__xludf.DUMMYFUNCTION("""COMPUTED_VALUE"""),"")</f>
        <v/>
      </c>
      <c r="C1488" t="str">
        <f>IFERROR(__xludf.DUMMYFUNCTION("""COMPUTED_VALUE"""),"")</f>
        <v/>
      </c>
      <c r="D1488" t="str">
        <f>IFERROR(__xludf.DUMMYFUNCTION("""COMPUTED_VALUE"""),"")</f>
        <v/>
      </c>
      <c r="E1488" t="str">
        <f>IFERROR(__xludf.DUMMYFUNCTION("""COMPUTED_VALUE"""),"")</f>
        <v/>
      </c>
      <c r="F1488" t="str">
        <f>IFERROR(__xludf.DUMMYFUNCTION("""COMPUTED_VALUE"""),"")</f>
        <v/>
      </c>
      <c r="G1488" t="str">
        <f>IFERROR(__xludf.DUMMYFUNCTION("""COMPUTED_VALUE"""),"")</f>
        <v/>
      </c>
      <c r="H1488" t="str">
        <f>IFERROR(__xludf.DUMMYFUNCTION("""COMPUTED_VALUE"""),"")</f>
        <v/>
      </c>
      <c r="I1488" t="str">
        <f>IFERROR(__xludf.DUMMYFUNCTION("""COMPUTED_VALUE"""),"")</f>
        <v/>
      </c>
      <c r="J1488">
        <f>IFERROR(__xludf.DUMMYFUNCTION("""COMPUTED_VALUE"""),0.0)</f>
        <v>0</v>
      </c>
      <c r="L1488" s="250" t="str">
        <f>IFERROR(__xludf.DUMMYFUNCTION("""COMPUTED_VALUE"""),"")</f>
        <v/>
      </c>
      <c r="M1488" s="250" t="str">
        <f>IFERROR(__xludf.DUMMYFUNCTION("""COMPUTED_VALUE"""),"")</f>
        <v/>
      </c>
      <c r="N1488" s="250" t="str">
        <f>IFERROR(__xludf.DUMMYFUNCTION("""COMPUTED_VALUE"""),"")</f>
        <v/>
      </c>
      <c r="O1488" s="250" t="str">
        <f>IFERROR(__xludf.DUMMYFUNCTION("""COMPUTED_VALUE"""),"")</f>
        <v/>
      </c>
      <c r="P1488" s="250" t="str">
        <f>IFERROR(__xludf.DUMMYFUNCTION("""COMPUTED_VALUE"""),"")</f>
        <v/>
      </c>
      <c r="Q1488" s="250" t="str">
        <f>IFERROR(__xludf.DUMMYFUNCTION("""COMPUTED_VALUE"""),"")</f>
        <v/>
      </c>
      <c r="R1488" s="250" t="str">
        <f>IFERROR(__xludf.DUMMYFUNCTION("""COMPUTED_VALUE"""),"")</f>
        <v/>
      </c>
      <c r="U1488" s="250" t="str">
        <f>IFERROR(__xludf.DUMMYFUNCTION("""COMPUTED_VALUE"""),"#N/A")</f>
        <v>#N/A</v>
      </c>
      <c r="V1488" s="250" t="str">
        <f>IFERROR(__xludf.DUMMYFUNCTION("""COMPUTED_VALUE"""),"#N/A")</f>
        <v>#N/A</v>
      </c>
      <c r="W1488" s="250" t="str">
        <f>IFERROR(__xludf.DUMMYFUNCTION("""COMPUTED_VALUE"""),"#N/A")</f>
        <v>#N/A</v>
      </c>
      <c r="X1488" t="b">
        <f t="shared" ref="X1488:Z1488" si="2952">ISBLANK(K1488)</f>
        <v>1</v>
      </c>
      <c r="Y1488" t="b">
        <f t="shared" si="2952"/>
        <v>0</v>
      </c>
      <c r="Z1488" t="b">
        <f t="shared" si="2952"/>
        <v>0</v>
      </c>
      <c r="AA1488">
        <f t="shared" ref="AA1488:AC1488" si="2953">IF(X1488=FALSE,1,0)</f>
        <v>0</v>
      </c>
      <c r="AB1488">
        <f t="shared" si="2953"/>
        <v>1</v>
      </c>
      <c r="AC1488">
        <f t="shared" si="2953"/>
        <v>1</v>
      </c>
      <c r="AD1488">
        <f t="shared" si="6"/>
        <v>2</v>
      </c>
      <c r="AE1488">
        <f t="shared" si="7"/>
        <v>1</v>
      </c>
    </row>
    <row r="1489">
      <c r="B1489" t="str">
        <f>IFERROR(__xludf.DUMMYFUNCTION("""COMPUTED_VALUE"""),"")</f>
        <v/>
      </c>
      <c r="C1489" t="str">
        <f>IFERROR(__xludf.DUMMYFUNCTION("""COMPUTED_VALUE"""),"")</f>
        <v/>
      </c>
      <c r="D1489" t="str">
        <f>IFERROR(__xludf.DUMMYFUNCTION("""COMPUTED_VALUE"""),"")</f>
        <v/>
      </c>
      <c r="E1489" t="str">
        <f>IFERROR(__xludf.DUMMYFUNCTION("""COMPUTED_VALUE"""),"")</f>
        <v/>
      </c>
      <c r="F1489" t="str">
        <f>IFERROR(__xludf.DUMMYFUNCTION("""COMPUTED_VALUE"""),"")</f>
        <v/>
      </c>
      <c r="G1489" t="str">
        <f>IFERROR(__xludf.DUMMYFUNCTION("""COMPUTED_VALUE"""),"")</f>
        <v/>
      </c>
      <c r="H1489" t="str">
        <f>IFERROR(__xludf.DUMMYFUNCTION("""COMPUTED_VALUE"""),"")</f>
        <v/>
      </c>
      <c r="I1489" t="str">
        <f>IFERROR(__xludf.DUMMYFUNCTION("""COMPUTED_VALUE"""),"")</f>
        <v/>
      </c>
      <c r="J1489">
        <f>IFERROR(__xludf.DUMMYFUNCTION("""COMPUTED_VALUE"""),0.0)</f>
        <v>0</v>
      </c>
      <c r="L1489" s="250" t="str">
        <f>IFERROR(__xludf.DUMMYFUNCTION("""COMPUTED_VALUE"""),"")</f>
        <v/>
      </c>
      <c r="M1489" s="250" t="str">
        <f>IFERROR(__xludf.DUMMYFUNCTION("""COMPUTED_VALUE"""),"")</f>
        <v/>
      </c>
      <c r="N1489" s="250" t="str">
        <f>IFERROR(__xludf.DUMMYFUNCTION("""COMPUTED_VALUE"""),"")</f>
        <v/>
      </c>
      <c r="O1489" s="250" t="str">
        <f>IFERROR(__xludf.DUMMYFUNCTION("""COMPUTED_VALUE"""),"")</f>
        <v/>
      </c>
      <c r="P1489" s="250" t="str">
        <f>IFERROR(__xludf.DUMMYFUNCTION("""COMPUTED_VALUE"""),"")</f>
        <v/>
      </c>
      <c r="Q1489" s="250" t="str">
        <f>IFERROR(__xludf.DUMMYFUNCTION("""COMPUTED_VALUE"""),"")</f>
        <v/>
      </c>
      <c r="R1489" s="250" t="str">
        <f>IFERROR(__xludf.DUMMYFUNCTION("""COMPUTED_VALUE"""),"")</f>
        <v/>
      </c>
      <c r="U1489" s="250" t="str">
        <f>IFERROR(__xludf.DUMMYFUNCTION("""COMPUTED_VALUE"""),"#N/A")</f>
        <v>#N/A</v>
      </c>
      <c r="V1489" s="250" t="str">
        <f>IFERROR(__xludf.DUMMYFUNCTION("""COMPUTED_VALUE"""),"#N/A")</f>
        <v>#N/A</v>
      </c>
      <c r="W1489" s="250" t="str">
        <f>IFERROR(__xludf.DUMMYFUNCTION("""COMPUTED_VALUE"""),"#N/A")</f>
        <v>#N/A</v>
      </c>
      <c r="X1489" t="b">
        <f t="shared" ref="X1489:Z1489" si="2954">ISBLANK(K1489)</f>
        <v>1</v>
      </c>
      <c r="Y1489" t="b">
        <f t="shared" si="2954"/>
        <v>0</v>
      </c>
      <c r="Z1489" t="b">
        <f t="shared" si="2954"/>
        <v>0</v>
      </c>
      <c r="AA1489">
        <f t="shared" ref="AA1489:AC1489" si="2955">IF(X1489=FALSE,1,0)</f>
        <v>0</v>
      </c>
      <c r="AB1489">
        <f t="shared" si="2955"/>
        <v>1</v>
      </c>
      <c r="AC1489">
        <f t="shared" si="2955"/>
        <v>1</v>
      </c>
      <c r="AD1489">
        <f t="shared" si="6"/>
        <v>2</v>
      </c>
      <c r="AE1489">
        <f t="shared" si="7"/>
        <v>1</v>
      </c>
    </row>
    <row r="1490">
      <c r="B1490" t="str">
        <f>IFERROR(__xludf.DUMMYFUNCTION("""COMPUTED_VALUE"""),"")</f>
        <v/>
      </c>
      <c r="C1490" t="str">
        <f>IFERROR(__xludf.DUMMYFUNCTION("""COMPUTED_VALUE"""),"")</f>
        <v/>
      </c>
      <c r="D1490" t="str">
        <f>IFERROR(__xludf.DUMMYFUNCTION("""COMPUTED_VALUE"""),"")</f>
        <v/>
      </c>
      <c r="E1490" t="str">
        <f>IFERROR(__xludf.DUMMYFUNCTION("""COMPUTED_VALUE"""),"")</f>
        <v/>
      </c>
      <c r="F1490" t="str">
        <f>IFERROR(__xludf.DUMMYFUNCTION("""COMPUTED_VALUE"""),"")</f>
        <v/>
      </c>
      <c r="G1490" t="str">
        <f>IFERROR(__xludf.DUMMYFUNCTION("""COMPUTED_VALUE"""),"")</f>
        <v/>
      </c>
      <c r="H1490" t="str">
        <f>IFERROR(__xludf.DUMMYFUNCTION("""COMPUTED_VALUE"""),"")</f>
        <v/>
      </c>
      <c r="I1490" t="str">
        <f>IFERROR(__xludf.DUMMYFUNCTION("""COMPUTED_VALUE"""),"")</f>
        <v/>
      </c>
      <c r="J1490">
        <f>IFERROR(__xludf.DUMMYFUNCTION("""COMPUTED_VALUE"""),0.0)</f>
        <v>0</v>
      </c>
      <c r="L1490" s="250" t="str">
        <f>IFERROR(__xludf.DUMMYFUNCTION("""COMPUTED_VALUE"""),"")</f>
        <v/>
      </c>
      <c r="M1490" s="250" t="str">
        <f>IFERROR(__xludf.DUMMYFUNCTION("""COMPUTED_VALUE"""),"")</f>
        <v/>
      </c>
      <c r="N1490" s="250" t="str">
        <f>IFERROR(__xludf.DUMMYFUNCTION("""COMPUTED_VALUE"""),"")</f>
        <v/>
      </c>
      <c r="O1490" s="250" t="str">
        <f>IFERROR(__xludf.DUMMYFUNCTION("""COMPUTED_VALUE"""),"")</f>
        <v/>
      </c>
      <c r="P1490" s="250" t="str">
        <f>IFERROR(__xludf.DUMMYFUNCTION("""COMPUTED_VALUE"""),"")</f>
        <v/>
      </c>
      <c r="Q1490" s="250" t="str">
        <f>IFERROR(__xludf.DUMMYFUNCTION("""COMPUTED_VALUE"""),"")</f>
        <v/>
      </c>
      <c r="R1490" s="250" t="str">
        <f>IFERROR(__xludf.DUMMYFUNCTION("""COMPUTED_VALUE"""),"")</f>
        <v/>
      </c>
      <c r="U1490" s="250" t="str">
        <f>IFERROR(__xludf.DUMMYFUNCTION("""COMPUTED_VALUE"""),"#N/A")</f>
        <v>#N/A</v>
      </c>
      <c r="V1490" s="250" t="str">
        <f>IFERROR(__xludf.DUMMYFUNCTION("""COMPUTED_VALUE"""),"#N/A")</f>
        <v>#N/A</v>
      </c>
      <c r="W1490" s="250" t="str">
        <f>IFERROR(__xludf.DUMMYFUNCTION("""COMPUTED_VALUE"""),"#N/A")</f>
        <v>#N/A</v>
      </c>
      <c r="X1490" t="b">
        <f t="shared" ref="X1490:Z1490" si="2956">ISBLANK(K1490)</f>
        <v>1</v>
      </c>
      <c r="Y1490" t="b">
        <f t="shared" si="2956"/>
        <v>0</v>
      </c>
      <c r="Z1490" t="b">
        <f t="shared" si="2956"/>
        <v>0</v>
      </c>
      <c r="AA1490">
        <f t="shared" ref="AA1490:AC1490" si="2957">IF(X1490=FALSE,1,0)</f>
        <v>0</v>
      </c>
      <c r="AB1490">
        <f t="shared" si="2957"/>
        <v>1</v>
      </c>
      <c r="AC1490">
        <f t="shared" si="2957"/>
        <v>1</v>
      </c>
      <c r="AD1490">
        <f t="shared" si="6"/>
        <v>2</v>
      </c>
      <c r="AE1490">
        <f t="shared" si="7"/>
        <v>1</v>
      </c>
    </row>
    <row r="1491">
      <c r="B1491" t="str">
        <f>IFERROR(__xludf.DUMMYFUNCTION("""COMPUTED_VALUE"""),"")</f>
        <v/>
      </c>
      <c r="C1491" t="str">
        <f>IFERROR(__xludf.DUMMYFUNCTION("""COMPUTED_VALUE"""),"")</f>
        <v/>
      </c>
      <c r="D1491" t="str">
        <f>IFERROR(__xludf.DUMMYFUNCTION("""COMPUTED_VALUE"""),"")</f>
        <v/>
      </c>
      <c r="E1491" t="str">
        <f>IFERROR(__xludf.DUMMYFUNCTION("""COMPUTED_VALUE"""),"")</f>
        <v/>
      </c>
      <c r="F1491" t="str">
        <f>IFERROR(__xludf.DUMMYFUNCTION("""COMPUTED_VALUE"""),"")</f>
        <v/>
      </c>
      <c r="G1491" t="str">
        <f>IFERROR(__xludf.DUMMYFUNCTION("""COMPUTED_VALUE"""),"")</f>
        <v/>
      </c>
      <c r="H1491" t="str">
        <f>IFERROR(__xludf.DUMMYFUNCTION("""COMPUTED_VALUE"""),"")</f>
        <v/>
      </c>
      <c r="I1491" t="str">
        <f>IFERROR(__xludf.DUMMYFUNCTION("""COMPUTED_VALUE"""),"")</f>
        <v/>
      </c>
      <c r="J1491">
        <f>IFERROR(__xludf.DUMMYFUNCTION("""COMPUTED_VALUE"""),0.0)</f>
        <v>0</v>
      </c>
      <c r="L1491" s="250" t="str">
        <f>IFERROR(__xludf.DUMMYFUNCTION("""COMPUTED_VALUE"""),"")</f>
        <v/>
      </c>
      <c r="M1491" s="250" t="str">
        <f>IFERROR(__xludf.DUMMYFUNCTION("""COMPUTED_VALUE"""),"")</f>
        <v/>
      </c>
      <c r="N1491" s="250" t="str">
        <f>IFERROR(__xludf.DUMMYFUNCTION("""COMPUTED_VALUE"""),"")</f>
        <v/>
      </c>
      <c r="O1491" s="250" t="str">
        <f>IFERROR(__xludf.DUMMYFUNCTION("""COMPUTED_VALUE"""),"")</f>
        <v/>
      </c>
      <c r="P1491" s="250" t="str">
        <f>IFERROR(__xludf.DUMMYFUNCTION("""COMPUTED_VALUE"""),"")</f>
        <v/>
      </c>
      <c r="Q1491" s="250" t="str">
        <f>IFERROR(__xludf.DUMMYFUNCTION("""COMPUTED_VALUE"""),"")</f>
        <v/>
      </c>
      <c r="R1491" s="250" t="str">
        <f>IFERROR(__xludf.DUMMYFUNCTION("""COMPUTED_VALUE"""),"")</f>
        <v/>
      </c>
      <c r="U1491" s="250" t="str">
        <f>IFERROR(__xludf.DUMMYFUNCTION("""COMPUTED_VALUE"""),"#N/A")</f>
        <v>#N/A</v>
      </c>
      <c r="V1491" s="250" t="str">
        <f>IFERROR(__xludf.DUMMYFUNCTION("""COMPUTED_VALUE"""),"#N/A")</f>
        <v>#N/A</v>
      </c>
      <c r="W1491" s="250" t="str">
        <f>IFERROR(__xludf.DUMMYFUNCTION("""COMPUTED_VALUE"""),"#N/A")</f>
        <v>#N/A</v>
      </c>
      <c r="X1491" t="b">
        <f t="shared" ref="X1491:Z1491" si="2958">ISBLANK(K1491)</f>
        <v>1</v>
      </c>
      <c r="Y1491" t="b">
        <f t="shared" si="2958"/>
        <v>0</v>
      </c>
      <c r="Z1491" t="b">
        <f t="shared" si="2958"/>
        <v>0</v>
      </c>
      <c r="AA1491">
        <f t="shared" ref="AA1491:AC1491" si="2959">IF(X1491=FALSE,1,0)</f>
        <v>0</v>
      </c>
      <c r="AB1491">
        <f t="shared" si="2959"/>
        <v>1</v>
      </c>
      <c r="AC1491">
        <f t="shared" si="2959"/>
        <v>1</v>
      </c>
      <c r="AD1491">
        <f t="shared" si="6"/>
        <v>2</v>
      </c>
      <c r="AE1491">
        <f t="shared" si="7"/>
        <v>1</v>
      </c>
    </row>
    <row r="1492">
      <c r="B1492" t="str">
        <f>IFERROR(__xludf.DUMMYFUNCTION("""COMPUTED_VALUE"""),"")</f>
        <v/>
      </c>
      <c r="C1492" t="str">
        <f>IFERROR(__xludf.DUMMYFUNCTION("""COMPUTED_VALUE"""),"")</f>
        <v/>
      </c>
      <c r="D1492" t="str">
        <f>IFERROR(__xludf.DUMMYFUNCTION("""COMPUTED_VALUE"""),"")</f>
        <v/>
      </c>
      <c r="E1492" t="str">
        <f>IFERROR(__xludf.DUMMYFUNCTION("""COMPUTED_VALUE"""),"")</f>
        <v/>
      </c>
      <c r="F1492" t="str">
        <f>IFERROR(__xludf.DUMMYFUNCTION("""COMPUTED_VALUE"""),"")</f>
        <v/>
      </c>
      <c r="G1492" t="str">
        <f>IFERROR(__xludf.DUMMYFUNCTION("""COMPUTED_VALUE"""),"")</f>
        <v/>
      </c>
      <c r="H1492" t="str">
        <f>IFERROR(__xludf.DUMMYFUNCTION("""COMPUTED_VALUE"""),"")</f>
        <v/>
      </c>
      <c r="I1492" t="str">
        <f>IFERROR(__xludf.DUMMYFUNCTION("""COMPUTED_VALUE"""),"")</f>
        <v/>
      </c>
      <c r="J1492">
        <f>IFERROR(__xludf.DUMMYFUNCTION("""COMPUTED_VALUE"""),0.0)</f>
        <v>0</v>
      </c>
      <c r="L1492" s="250" t="str">
        <f>IFERROR(__xludf.DUMMYFUNCTION("""COMPUTED_VALUE"""),"")</f>
        <v/>
      </c>
      <c r="M1492" s="250" t="str">
        <f>IFERROR(__xludf.DUMMYFUNCTION("""COMPUTED_VALUE"""),"")</f>
        <v/>
      </c>
      <c r="N1492" s="250" t="str">
        <f>IFERROR(__xludf.DUMMYFUNCTION("""COMPUTED_VALUE"""),"")</f>
        <v/>
      </c>
      <c r="O1492" s="250" t="str">
        <f>IFERROR(__xludf.DUMMYFUNCTION("""COMPUTED_VALUE"""),"")</f>
        <v/>
      </c>
      <c r="P1492" s="250" t="str">
        <f>IFERROR(__xludf.DUMMYFUNCTION("""COMPUTED_VALUE"""),"")</f>
        <v/>
      </c>
      <c r="Q1492" s="250" t="str">
        <f>IFERROR(__xludf.DUMMYFUNCTION("""COMPUTED_VALUE"""),"")</f>
        <v/>
      </c>
      <c r="R1492" s="250" t="str">
        <f>IFERROR(__xludf.DUMMYFUNCTION("""COMPUTED_VALUE"""),"")</f>
        <v/>
      </c>
      <c r="U1492" s="250" t="str">
        <f>IFERROR(__xludf.DUMMYFUNCTION("""COMPUTED_VALUE"""),"#N/A")</f>
        <v>#N/A</v>
      </c>
      <c r="V1492" s="250" t="str">
        <f>IFERROR(__xludf.DUMMYFUNCTION("""COMPUTED_VALUE"""),"#N/A")</f>
        <v>#N/A</v>
      </c>
      <c r="W1492" s="250" t="str">
        <f>IFERROR(__xludf.DUMMYFUNCTION("""COMPUTED_VALUE"""),"#N/A")</f>
        <v>#N/A</v>
      </c>
      <c r="X1492" t="b">
        <f t="shared" ref="X1492:Z1492" si="2960">ISBLANK(K1492)</f>
        <v>1</v>
      </c>
      <c r="Y1492" t="b">
        <f t="shared" si="2960"/>
        <v>0</v>
      </c>
      <c r="Z1492" t="b">
        <f t="shared" si="2960"/>
        <v>0</v>
      </c>
      <c r="AA1492">
        <f t="shared" ref="AA1492:AC1492" si="2961">IF(X1492=FALSE,1,0)</f>
        <v>0</v>
      </c>
      <c r="AB1492">
        <f t="shared" si="2961"/>
        <v>1</v>
      </c>
      <c r="AC1492">
        <f t="shared" si="2961"/>
        <v>1</v>
      </c>
      <c r="AD1492">
        <f t="shared" si="6"/>
        <v>2</v>
      </c>
      <c r="AE1492">
        <f t="shared" si="7"/>
        <v>1</v>
      </c>
    </row>
    <row r="1493">
      <c r="B1493" t="str">
        <f>IFERROR(__xludf.DUMMYFUNCTION("""COMPUTED_VALUE"""),"")</f>
        <v/>
      </c>
      <c r="C1493" t="str">
        <f>IFERROR(__xludf.DUMMYFUNCTION("""COMPUTED_VALUE"""),"")</f>
        <v/>
      </c>
      <c r="D1493" t="str">
        <f>IFERROR(__xludf.DUMMYFUNCTION("""COMPUTED_VALUE"""),"")</f>
        <v/>
      </c>
      <c r="E1493" t="str">
        <f>IFERROR(__xludf.DUMMYFUNCTION("""COMPUTED_VALUE"""),"")</f>
        <v/>
      </c>
      <c r="F1493" t="str">
        <f>IFERROR(__xludf.DUMMYFUNCTION("""COMPUTED_VALUE"""),"")</f>
        <v/>
      </c>
      <c r="G1493" t="str">
        <f>IFERROR(__xludf.DUMMYFUNCTION("""COMPUTED_VALUE"""),"")</f>
        <v/>
      </c>
      <c r="H1493" t="str">
        <f>IFERROR(__xludf.DUMMYFUNCTION("""COMPUTED_VALUE"""),"")</f>
        <v/>
      </c>
      <c r="I1493" t="str">
        <f>IFERROR(__xludf.DUMMYFUNCTION("""COMPUTED_VALUE"""),"")</f>
        <v/>
      </c>
      <c r="J1493">
        <f>IFERROR(__xludf.DUMMYFUNCTION("""COMPUTED_VALUE"""),0.0)</f>
        <v>0</v>
      </c>
      <c r="L1493" s="250" t="str">
        <f>IFERROR(__xludf.DUMMYFUNCTION("""COMPUTED_VALUE"""),"")</f>
        <v/>
      </c>
      <c r="M1493" s="250" t="str">
        <f>IFERROR(__xludf.DUMMYFUNCTION("""COMPUTED_VALUE"""),"")</f>
        <v/>
      </c>
      <c r="N1493" s="250" t="str">
        <f>IFERROR(__xludf.DUMMYFUNCTION("""COMPUTED_VALUE"""),"")</f>
        <v/>
      </c>
      <c r="O1493" s="250" t="str">
        <f>IFERROR(__xludf.DUMMYFUNCTION("""COMPUTED_VALUE"""),"")</f>
        <v/>
      </c>
      <c r="P1493" s="250" t="str">
        <f>IFERROR(__xludf.DUMMYFUNCTION("""COMPUTED_VALUE"""),"")</f>
        <v/>
      </c>
      <c r="Q1493" s="250" t="str">
        <f>IFERROR(__xludf.DUMMYFUNCTION("""COMPUTED_VALUE"""),"")</f>
        <v/>
      </c>
      <c r="R1493" s="250" t="str">
        <f>IFERROR(__xludf.DUMMYFUNCTION("""COMPUTED_VALUE"""),"")</f>
        <v/>
      </c>
      <c r="U1493" s="250" t="str">
        <f>IFERROR(__xludf.DUMMYFUNCTION("""COMPUTED_VALUE"""),"#N/A")</f>
        <v>#N/A</v>
      </c>
      <c r="V1493" s="250" t="str">
        <f>IFERROR(__xludf.DUMMYFUNCTION("""COMPUTED_VALUE"""),"#N/A")</f>
        <v>#N/A</v>
      </c>
      <c r="W1493" s="250" t="str">
        <f>IFERROR(__xludf.DUMMYFUNCTION("""COMPUTED_VALUE"""),"#N/A")</f>
        <v>#N/A</v>
      </c>
      <c r="X1493" t="b">
        <f t="shared" ref="X1493:Z1493" si="2962">ISBLANK(K1493)</f>
        <v>1</v>
      </c>
      <c r="Y1493" t="b">
        <f t="shared" si="2962"/>
        <v>0</v>
      </c>
      <c r="Z1493" t="b">
        <f t="shared" si="2962"/>
        <v>0</v>
      </c>
      <c r="AA1493">
        <f t="shared" ref="AA1493:AC1493" si="2963">IF(X1493=FALSE,1,0)</f>
        <v>0</v>
      </c>
      <c r="AB1493">
        <f t="shared" si="2963"/>
        <v>1</v>
      </c>
      <c r="AC1493">
        <f t="shared" si="2963"/>
        <v>1</v>
      </c>
      <c r="AD1493">
        <f t="shared" si="6"/>
        <v>2</v>
      </c>
      <c r="AE1493">
        <f t="shared" si="7"/>
        <v>1</v>
      </c>
    </row>
    <row r="1494">
      <c r="B1494" t="str">
        <f>IFERROR(__xludf.DUMMYFUNCTION("""COMPUTED_VALUE"""),"")</f>
        <v/>
      </c>
      <c r="C1494" t="str">
        <f>IFERROR(__xludf.DUMMYFUNCTION("""COMPUTED_VALUE"""),"")</f>
        <v/>
      </c>
      <c r="D1494" t="str">
        <f>IFERROR(__xludf.DUMMYFUNCTION("""COMPUTED_VALUE"""),"")</f>
        <v/>
      </c>
      <c r="E1494" t="str">
        <f>IFERROR(__xludf.DUMMYFUNCTION("""COMPUTED_VALUE"""),"")</f>
        <v/>
      </c>
      <c r="F1494" t="str">
        <f>IFERROR(__xludf.DUMMYFUNCTION("""COMPUTED_VALUE"""),"")</f>
        <v/>
      </c>
      <c r="G1494" t="str">
        <f>IFERROR(__xludf.DUMMYFUNCTION("""COMPUTED_VALUE"""),"")</f>
        <v/>
      </c>
      <c r="H1494" t="str">
        <f>IFERROR(__xludf.DUMMYFUNCTION("""COMPUTED_VALUE"""),"")</f>
        <v/>
      </c>
      <c r="I1494" t="str">
        <f>IFERROR(__xludf.DUMMYFUNCTION("""COMPUTED_VALUE"""),"")</f>
        <v/>
      </c>
      <c r="J1494">
        <f>IFERROR(__xludf.DUMMYFUNCTION("""COMPUTED_VALUE"""),0.0)</f>
        <v>0</v>
      </c>
      <c r="L1494" s="250" t="str">
        <f>IFERROR(__xludf.DUMMYFUNCTION("""COMPUTED_VALUE"""),"")</f>
        <v/>
      </c>
      <c r="M1494" s="250" t="str">
        <f>IFERROR(__xludf.DUMMYFUNCTION("""COMPUTED_VALUE"""),"")</f>
        <v/>
      </c>
      <c r="N1494" s="250" t="str">
        <f>IFERROR(__xludf.DUMMYFUNCTION("""COMPUTED_VALUE"""),"")</f>
        <v/>
      </c>
      <c r="O1494" s="250" t="str">
        <f>IFERROR(__xludf.DUMMYFUNCTION("""COMPUTED_VALUE"""),"")</f>
        <v/>
      </c>
      <c r="P1494" s="250" t="str">
        <f>IFERROR(__xludf.DUMMYFUNCTION("""COMPUTED_VALUE"""),"")</f>
        <v/>
      </c>
      <c r="Q1494" s="250" t="str">
        <f>IFERROR(__xludf.DUMMYFUNCTION("""COMPUTED_VALUE"""),"")</f>
        <v/>
      </c>
      <c r="R1494" s="250" t="str">
        <f>IFERROR(__xludf.DUMMYFUNCTION("""COMPUTED_VALUE"""),"")</f>
        <v/>
      </c>
      <c r="U1494" s="250" t="str">
        <f>IFERROR(__xludf.DUMMYFUNCTION("""COMPUTED_VALUE"""),"#N/A")</f>
        <v>#N/A</v>
      </c>
      <c r="V1494" s="250" t="str">
        <f>IFERROR(__xludf.DUMMYFUNCTION("""COMPUTED_VALUE"""),"#N/A")</f>
        <v>#N/A</v>
      </c>
      <c r="W1494" s="250" t="str">
        <f>IFERROR(__xludf.DUMMYFUNCTION("""COMPUTED_VALUE"""),"#N/A")</f>
        <v>#N/A</v>
      </c>
      <c r="X1494" t="b">
        <f t="shared" ref="X1494:Z1494" si="2964">ISBLANK(K1494)</f>
        <v>1</v>
      </c>
      <c r="Y1494" t="b">
        <f t="shared" si="2964"/>
        <v>0</v>
      </c>
      <c r="Z1494" t="b">
        <f t="shared" si="2964"/>
        <v>0</v>
      </c>
      <c r="AA1494">
        <f t="shared" ref="AA1494:AC1494" si="2965">IF(X1494=FALSE,1,0)</f>
        <v>0</v>
      </c>
      <c r="AB1494">
        <f t="shared" si="2965"/>
        <v>1</v>
      </c>
      <c r="AC1494">
        <f t="shared" si="2965"/>
        <v>1</v>
      </c>
      <c r="AD1494">
        <f t="shared" si="6"/>
        <v>2</v>
      </c>
      <c r="AE1494">
        <f t="shared" si="7"/>
        <v>1</v>
      </c>
    </row>
    <row r="1495">
      <c r="B1495" t="str">
        <f>IFERROR(__xludf.DUMMYFUNCTION("""COMPUTED_VALUE"""),"")</f>
        <v/>
      </c>
      <c r="C1495" t="str">
        <f>IFERROR(__xludf.DUMMYFUNCTION("""COMPUTED_VALUE"""),"")</f>
        <v/>
      </c>
      <c r="D1495" t="str">
        <f>IFERROR(__xludf.DUMMYFUNCTION("""COMPUTED_VALUE"""),"")</f>
        <v/>
      </c>
      <c r="E1495" t="str">
        <f>IFERROR(__xludf.DUMMYFUNCTION("""COMPUTED_VALUE"""),"")</f>
        <v/>
      </c>
      <c r="F1495" t="str">
        <f>IFERROR(__xludf.DUMMYFUNCTION("""COMPUTED_VALUE"""),"")</f>
        <v/>
      </c>
      <c r="G1495" t="str">
        <f>IFERROR(__xludf.DUMMYFUNCTION("""COMPUTED_VALUE"""),"")</f>
        <v/>
      </c>
      <c r="H1495" t="str">
        <f>IFERROR(__xludf.DUMMYFUNCTION("""COMPUTED_VALUE"""),"")</f>
        <v/>
      </c>
      <c r="I1495" t="str">
        <f>IFERROR(__xludf.DUMMYFUNCTION("""COMPUTED_VALUE"""),"")</f>
        <v/>
      </c>
      <c r="J1495">
        <f>IFERROR(__xludf.DUMMYFUNCTION("""COMPUTED_VALUE"""),0.0)</f>
        <v>0</v>
      </c>
      <c r="L1495" s="250" t="str">
        <f>IFERROR(__xludf.DUMMYFUNCTION("""COMPUTED_VALUE"""),"")</f>
        <v/>
      </c>
      <c r="M1495" s="250" t="str">
        <f>IFERROR(__xludf.DUMMYFUNCTION("""COMPUTED_VALUE"""),"")</f>
        <v/>
      </c>
      <c r="N1495" s="250" t="str">
        <f>IFERROR(__xludf.DUMMYFUNCTION("""COMPUTED_VALUE"""),"")</f>
        <v/>
      </c>
      <c r="O1495" s="250" t="str">
        <f>IFERROR(__xludf.DUMMYFUNCTION("""COMPUTED_VALUE"""),"")</f>
        <v/>
      </c>
      <c r="P1495" s="250" t="str">
        <f>IFERROR(__xludf.DUMMYFUNCTION("""COMPUTED_VALUE"""),"")</f>
        <v/>
      </c>
      <c r="Q1495" s="250" t="str">
        <f>IFERROR(__xludf.DUMMYFUNCTION("""COMPUTED_VALUE"""),"")</f>
        <v/>
      </c>
      <c r="R1495" s="250" t="str">
        <f>IFERROR(__xludf.DUMMYFUNCTION("""COMPUTED_VALUE"""),"")</f>
        <v/>
      </c>
      <c r="U1495" s="250" t="str">
        <f>IFERROR(__xludf.DUMMYFUNCTION("""COMPUTED_VALUE"""),"#N/A")</f>
        <v>#N/A</v>
      </c>
      <c r="V1495" s="250" t="str">
        <f>IFERROR(__xludf.DUMMYFUNCTION("""COMPUTED_VALUE"""),"#N/A")</f>
        <v>#N/A</v>
      </c>
      <c r="W1495" s="250" t="str">
        <f>IFERROR(__xludf.DUMMYFUNCTION("""COMPUTED_VALUE"""),"#N/A")</f>
        <v>#N/A</v>
      </c>
      <c r="X1495" t="b">
        <f t="shared" ref="X1495:Z1495" si="2966">ISBLANK(K1495)</f>
        <v>1</v>
      </c>
      <c r="Y1495" t="b">
        <f t="shared" si="2966"/>
        <v>0</v>
      </c>
      <c r="Z1495" t="b">
        <f t="shared" si="2966"/>
        <v>0</v>
      </c>
      <c r="AA1495">
        <f t="shared" ref="AA1495:AC1495" si="2967">IF(X1495=FALSE,1,0)</f>
        <v>0</v>
      </c>
      <c r="AB1495">
        <f t="shared" si="2967"/>
        <v>1</v>
      </c>
      <c r="AC1495">
        <f t="shared" si="2967"/>
        <v>1</v>
      </c>
      <c r="AD1495">
        <f t="shared" si="6"/>
        <v>2</v>
      </c>
      <c r="AE1495">
        <f t="shared" si="7"/>
        <v>1</v>
      </c>
    </row>
    <row r="1496">
      <c r="B1496" t="str">
        <f>IFERROR(__xludf.DUMMYFUNCTION("""COMPUTED_VALUE"""),"")</f>
        <v/>
      </c>
      <c r="C1496" t="str">
        <f>IFERROR(__xludf.DUMMYFUNCTION("""COMPUTED_VALUE"""),"")</f>
        <v/>
      </c>
      <c r="D1496" t="str">
        <f>IFERROR(__xludf.DUMMYFUNCTION("""COMPUTED_VALUE"""),"")</f>
        <v/>
      </c>
      <c r="E1496" t="str">
        <f>IFERROR(__xludf.DUMMYFUNCTION("""COMPUTED_VALUE"""),"")</f>
        <v/>
      </c>
      <c r="F1496" t="str">
        <f>IFERROR(__xludf.DUMMYFUNCTION("""COMPUTED_VALUE"""),"")</f>
        <v/>
      </c>
      <c r="G1496" t="str">
        <f>IFERROR(__xludf.DUMMYFUNCTION("""COMPUTED_VALUE"""),"")</f>
        <v/>
      </c>
      <c r="H1496" t="str">
        <f>IFERROR(__xludf.DUMMYFUNCTION("""COMPUTED_VALUE"""),"")</f>
        <v/>
      </c>
      <c r="I1496" t="str">
        <f>IFERROR(__xludf.DUMMYFUNCTION("""COMPUTED_VALUE"""),"")</f>
        <v/>
      </c>
      <c r="J1496">
        <f>IFERROR(__xludf.DUMMYFUNCTION("""COMPUTED_VALUE"""),0.0)</f>
        <v>0</v>
      </c>
      <c r="L1496" s="250" t="str">
        <f>IFERROR(__xludf.DUMMYFUNCTION("""COMPUTED_VALUE"""),"")</f>
        <v/>
      </c>
      <c r="M1496" s="250" t="str">
        <f>IFERROR(__xludf.DUMMYFUNCTION("""COMPUTED_VALUE"""),"")</f>
        <v/>
      </c>
      <c r="N1496" s="250" t="str">
        <f>IFERROR(__xludf.DUMMYFUNCTION("""COMPUTED_VALUE"""),"")</f>
        <v/>
      </c>
      <c r="O1496" s="250" t="str">
        <f>IFERROR(__xludf.DUMMYFUNCTION("""COMPUTED_VALUE"""),"")</f>
        <v/>
      </c>
      <c r="P1496" s="250" t="str">
        <f>IFERROR(__xludf.DUMMYFUNCTION("""COMPUTED_VALUE"""),"")</f>
        <v/>
      </c>
      <c r="Q1496" s="250" t="str">
        <f>IFERROR(__xludf.DUMMYFUNCTION("""COMPUTED_VALUE"""),"")</f>
        <v/>
      </c>
      <c r="R1496" s="250" t="str">
        <f>IFERROR(__xludf.DUMMYFUNCTION("""COMPUTED_VALUE"""),"")</f>
        <v/>
      </c>
      <c r="U1496" s="250" t="str">
        <f>IFERROR(__xludf.DUMMYFUNCTION("""COMPUTED_VALUE"""),"#N/A")</f>
        <v>#N/A</v>
      </c>
      <c r="V1496" s="250" t="str">
        <f>IFERROR(__xludf.DUMMYFUNCTION("""COMPUTED_VALUE"""),"#N/A")</f>
        <v>#N/A</v>
      </c>
      <c r="W1496" s="250" t="str">
        <f>IFERROR(__xludf.DUMMYFUNCTION("""COMPUTED_VALUE"""),"#N/A")</f>
        <v>#N/A</v>
      </c>
      <c r="X1496" t="b">
        <f t="shared" ref="X1496:Z1496" si="2968">ISBLANK(K1496)</f>
        <v>1</v>
      </c>
      <c r="Y1496" t="b">
        <f t="shared" si="2968"/>
        <v>0</v>
      </c>
      <c r="Z1496" t="b">
        <f t="shared" si="2968"/>
        <v>0</v>
      </c>
      <c r="AA1496">
        <f t="shared" ref="AA1496:AC1496" si="2969">IF(X1496=FALSE,1,0)</f>
        <v>0</v>
      </c>
      <c r="AB1496">
        <f t="shared" si="2969"/>
        <v>1</v>
      </c>
      <c r="AC1496">
        <f t="shared" si="2969"/>
        <v>1</v>
      </c>
      <c r="AD1496">
        <f t="shared" si="6"/>
        <v>2</v>
      </c>
      <c r="AE1496">
        <f t="shared" si="7"/>
        <v>1</v>
      </c>
    </row>
    <row r="1497">
      <c r="B1497" t="str">
        <f>IFERROR(__xludf.DUMMYFUNCTION("""COMPUTED_VALUE"""),"")</f>
        <v/>
      </c>
      <c r="C1497" t="str">
        <f>IFERROR(__xludf.DUMMYFUNCTION("""COMPUTED_VALUE"""),"")</f>
        <v/>
      </c>
      <c r="D1497" t="str">
        <f>IFERROR(__xludf.DUMMYFUNCTION("""COMPUTED_VALUE"""),"")</f>
        <v/>
      </c>
      <c r="E1497" t="str">
        <f>IFERROR(__xludf.DUMMYFUNCTION("""COMPUTED_VALUE"""),"")</f>
        <v/>
      </c>
      <c r="F1497" t="str">
        <f>IFERROR(__xludf.DUMMYFUNCTION("""COMPUTED_VALUE"""),"")</f>
        <v/>
      </c>
      <c r="G1497" t="str">
        <f>IFERROR(__xludf.DUMMYFUNCTION("""COMPUTED_VALUE"""),"")</f>
        <v/>
      </c>
      <c r="H1497" t="str">
        <f>IFERROR(__xludf.DUMMYFUNCTION("""COMPUTED_VALUE"""),"")</f>
        <v/>
      </c>
      <c r="I1497" t="str">
        <f>IFERROR(__xludf.DUMMYFUNCTION("""COMPUTED_VALUE"""),"")</f>
        <v/>
      </c>
      <c r="J1497">
        <f>IFERROR(__xludf.DUMMYFUNCTION("""COMPUTED_VALUE"""),0.0)</f>
        <v>0</v>
      </c>
      <c r="L1497" s="250" t="str">
        <f>IFERROR(__xludf.DUMMYFUNCTION("""COMPUTED_VALUE"""),"")</f>
        <v/>
      </c>
      <c r="M1497" s="250" t="str">
        <f>IFERROR(__xludf.DUMMYFUNCTION("""COMPUTED_VALUE"""),"")</f>
        <v/>
      </c>
      <c r="N1497" s="250" t="str">
        <f>IFERROR(__xludf.DUMMYFUNCTION("""COMPUTED_VALUE"""),"")</f>
        <v/>
      </c>
      <c r="O1497" s="250" t="str">
        <f>IFERROR(__xludf.DUMMYFUNCTION("""COMPUTED_VALUE"""),"")</f>
        <v/>
      </c>
      <c r="P1497" s="250" t="str">
        <f>IFERROR(__xludf.DUMMYFUNCTION("""COMPUTED_VALUE"""),"")</f>
        <v/>
      </c>
      <c r="Q1497" s="250" t="str">
        <f>IFERROR(__xludf.DUMMYFUNCTION("""COMPUTED_VALUE"""),"")</f>
        <v/>
      </c>
      <c r="R1497" s="250" t="str">
        <f>IFERROR(__xludf.DUMMYFUNCTION("""COMPUTED_VALUE"""),"")</f>
        <v/>
      </c>
      <c r="U1497" s="250" t="str">
        <f>IFERROR(__xludf.DUMMYFUNCTION("""COMPUTED_VALUE"""),"#N/A")</f>
        <v>#N/A</v>
      </c>
      <c r="V1497" s="250" t="str">
        <f>IFERROR(__xludf.DUMMYFUNCTION("""COMPUTED_VALUE"""),"#N/A")</f>
        <v>#N/A</v>
      </c>
      <c r="W1497" s="250" t="str">
        <f>IFERROR(__xludf.DUMMYFUNCTION("""COMPUTED_VALUE"""),"#N/A")</f>
        <v>#N/A</v>
      </c>
      <c r="X1497" t="b">
        <f t="shared" ref="X1497:Z1497" si="2970">ISBLANK(K1497)</f>
        <v>1</v>
      </c>
      <c r="Y1497" t="b">
        <f t="shared" si="2970"/>
        <v>0</v>
      </c>
      <c r="Z1497" t="b">
        <f t="shared" si="2970"/>
        <v>0</v>
      </c>
      <c r="AA1497">
        <f t="shared" ref="AA1497:AC1497" si="2971">IF(X1497=FALSE,1,0)</f>
        <v>0</v>
      </c>
      <c r="AB1497">
        <f t="shared" si="2971"/>
        <v>1</v>
      </c>
      <c r="AC1497">
        <f t="shared" si="2971"/>
        <v>1</v>
      </c>
      <c r="AD1497">
        <f t="shared" si="6"/>
        <v>2</v>
      </c>
      <c r="AE1497">
        <f t="shared" si="7"/>
        <v>1</v>
      </c>
    </row>
    <row r="1498">
      <c r="B1498" t="str">
        <f>IFERROR(__xludf.DUMMYFUNCTION("""COMPUTED_VALUE"""),"")</f>
        <v/>
      </c>
      <c r="C1498" t="str">
        <f>IFERROR(__xludf.DUMMYFUNCTION("""COMPUTED_VALUE"""),"")</f>
        <v/>
      </c>
      <c r="D1498" t="str">
        <f>IFERROR(__xludf.DUMMYFUNCTION("""COMPUTED_VALUE"""),"")</f>
        <v/>
      </c>
      <c r="E1498" t="str">
        <f>IFERROR(__xludf.DUMMYFUNCTION("""COMPUTED_VALUE"""),"")</f>
        <v/>
      </c>
      <c r="F1498" t="str">
        <f>IFERROR(__xludf.DUMMYFUNCTION("""COMPUTED_VALUE"""),"")</f>
        <v/>
      </c>
      <c r="G1498" t="str">
        <f>IFERROR(__xludf.DUMMYFUNCTION("""COMPUTED_VALUE"""),"")</f>
        <v/>
      </c>
      <c r="H1498" t="str">
        <f>IFERROR(__xludf.DUMMYFUNCTION("""COMPUTED_VALUE"""),"")</f>
        <v/>
      </c>
      <c r="I1498" t="str">
        <f>IFERROR(__xludf.DUMMYFUNCTION("""COMPUTED_VALUE"""),"")</f>
        <v/>
      </c>
      <c r="J1498">
        <f>IFERROR(__xludf.DUMMYFUNCTION("""COMPUTED_VALUE"""),0.0)</f>
        <v>0</v>
      </c>
      <c r="L1498" s="250" t="str">
        <f>IFERROR(__xludf.DUMMYFUNCTION("""COMPUTED_VALUE"""),"")</f>
        <v/>
      </c>
      <c r="M1498" s="250" t="str">
        <f>IFERROR(__xludf.DUMMYFUNCTION("""COMPUTED_VALUE"""),"")</f>
        <v/>
      </c>
      <c r="N1498" s="250" t="str">
        <f>IFERROR(__xludf.DUMMYFUNCTION("""COMPUTED_VALUE"""),"")</f>
        <v/>
      </c>
      <c r="O1498" s="250" t="str">
        <f>IFERROR(__xludf.DUMMYFUNCTION("""COMPUTED_VALUE"""),"")</f>
        <v/>
      </c>
      <c r="P1498" s="250" t="str">
        <f>IFERROR(__xludf.DUMMYFUNCTION("""COMPUTED_VALUE"""),"")</f>
        <v/>
      </c>
      <c r="Q1498" s="250" t="str">
        <f>IFERROR(__xludf.DUMMYFUNCTION("""COMPUTED_VALUE"""),"")</f>
        <v/>
      </c>
      <c r="R1498" s="250" t="str">
        <f>IFERROR(__xludf.DUMMYFUNCTION("""COMPUTED_VALUE"""),"")</f>
        <v/>
      </c>
      <c r="U1498" s="250" t="str">
        <f>IFERROR(__xludf.DUMMYFUNCTION("""COMPUTED_VALUE"""),"#N/A")</f>
        <v>#N/A</v>
      </c>
      <c r="V1498" s="250" t="str">
        <f>IFERROR(__xludf.DUMMYFUNCTION("""COMPUTED_VALUE"""),"#N/A")</f>
        <v>#N/A</v>
      </c>
      <c r="W1498" s="250" t="str">
        <f>IFERROR(__xludf.DUMMYFUNCTION("""COMPUTED_VALUE"""),"#N/A")</f>
        <v>#N/A</v>
      </c>
      <c r="X1498" t="b">
        <f t="shared" ref="X1498:Z1498" si="2972">ISBLANK(K1498)</f>
        <v>1</v>
      </c>
      <c r="Y1498" t="b">
        <f t="shared" si="2972"/>
        <v>0</v>
      </c>
      <c r="Z1498" t="b">
        <f t="shared" si="2972"/>
        <v>0</v>
      </c>
      <c r="AA1498">
        <f t="shared" ref="AA1498:AC1498" si="2973">IF(X1498=FALSE,1,0)</f>
        <v>0</v>
      </c>
      <c r="AB1498">
        <f t="shared" si="2973"/>
        <v>1</v>
      </c>
      <c r="AC1498">
        <f t="shared" si="2973"/>
        <v>1</v>
      </c>
      <c r="AD1498">
        <f t="shared" si="6"/>
        <v>2</v>
      </c>
      <c r="AE1498">
        <f t="shared" si="7"/>
        <v>1</v>
      </c>
    </row>
    <row r="1499">
      <c r="B1499" t="str">
        <f>IFERROR(__xludf.DUMMYFUNCTION("""COMPUTED_VALUE"""),"")</f>
        <v/>
      </c>
      <c r="C1499" t="str">
        <f>IFERROR(__xludf.DUMMYFUNCTION("""COMPUTED_VALUE"""),"")</f>
        <v/>
      </c>
      <c r="D1499" t="str">
        <f>IFERROR(__xludf.DUMMYFUNCTION("""COMPUTED_VALUE"""),"")</f>
        <v/>
      </c>
      <c r="E1499" t="str">
        <f>IFERROR(__xludf.DUMMYFUNCTION("""COMPUTED_VALUE"""),"")</f>
        <v/>
      </c>
      <c r="F1499" t="str">
        <f>IFERROR(__xludf.DUMMYFUNCTION("""COMPUTED_VALUE"""),"")</f>
        <v/>
      </c>
      <c r="G1499" t="str">
        <f>IFERROR(__xludf.DUMMYFUNCTION("""COMPUTED_VALUE"""),"")</f>
        <v/>
      </c>
      <c r="H1499" t="str">
        <f>IFERROR(__xludf.DUMMYFUNCTION("""COMPUTED_VALUE"""),"")</f>
        <v/>
      </c>
      <c r="I1499" t="str">
        <f>IFERROR(__xludf.DUMMYFUNCTION("""COMPUTED_VALUE"""),"")</f>
        <v/>
      </c>
      <c r="J1499">
        <f>IFERROR(__xludf.DUMMYFUNCTION("""COMPUTED_VALUE"""),0.0)</f>
        <v>0</v>
      </c>
      <c r="L1499" s="250" t="str">
        <f>IFERROR(__xludf.DUMMYFUNCTION("""COMPUTED_VALUE"""),"")</f>
        <v/>
      </c>
      <c r="M1499" s="250" t="str">
        <f>IFERROR(__xludf.DUMMYFUNCTION("""COMPUTED_VALUE"""),"")</f>
        <v/>
      </c>
      <c r="N1499" s="250" t="str">
        <f>IFERROR(__xludf.DUMMYFUNCTION("""COMPUTED_VALUE"""),"")</f>
        <v/>
      </c>
      <c r="O1499" s="250" t="str">
        <f>IFERROR(__xludf.DUMMYFUNCTION("""COMPUTED_VALUE"""),"")</f>
        <v/>
      </c>
      <c r="P1499" s="250" t="str">
        <f>IFERROR(__xludf.DUMMYFUNCTION("""COMPUTED_VALUE"""),"")</f>
        <v/>
      </c>
      <c r="Q1499" s="250" t="str">
        <f>IFERROR(__xludf.DUMMYFUNCTION("""COMPUTED_VALUE"""),"")</f>
        <v/>
      </c>
      <c r="R1499" s="250" t="str">
        <f>IFERROR(__xludf.DUMMYFUNCTION("""COMPUTED_VALUE"""),"")</f>
        <v/>
      </c>
      <c r="U1499" s="250" t="str">
        <f>IFERROR(__xludf.DUMMYFUNCTION("""COMPUTED_VALUE"""),"#N/A")</f>
        <v>#N/A</v>
      </c>
      <c r="V1499" s="250" t="str">
        <f>IFERROR(__xludf.DUMMYFUNCTION("""COMPUTED_VALUE"""),"#N/A")</f>
        <v>#N/A</v>
      </c>
      <c r="W1499" s="250" t="str">
        <f>IFERROR(__xludf.DUMMYFUNCTION("""COMPUTED_VALUE"""),"#N/A")</f>
        <v>#N/A</v>
      </c>
      <c r="X1499" t="b">
        <f t="shared" ref="X1499:Z1499" si="2974">ISBLANK(K1499)</f>
        <v>1</v>
      </c>
      <c r="Y1499" t="b">
        <f t="shared" si="2974"/>
        <v>0</v>
      </c>
      <c r="Z1499" t="b">
        <f t="shared" si="2974"/>
        <v>0</v>
      </c>
      <c r="AA1499">
        <f t="shared" ref="AA1499:AC1499" si="2975">IF(X1499=FALSE,1,0)</f>
        <v>0</v>
      </c>
      <c r="AB1499">
        <f t="shared" si="2975"/>
        <v>1</v>
      </c>
      <c r="AC1499">
        <f t="shared" si="2975"/>
        <v>1</v>
      </c>
      <c r="AD1499">
        <f t="shared" si="6"/>
        <v>2</v>
      </c>
      <c r="AE1499">
        <f t="shared" si="7"/>
        <v>1</v>
      </c>
    </row>
    <row r="1500">
      <c r="B1500" t="str">
        <f>IFERROR(__xludf.DUMMYFUNCTION("""COMPUTED_VALUE"""),"")</f>
        <v/>
      </c>
      <c r="C1500" t="str">
        <f>IFERROR(__xludf.DUMMYFUNCTION("""COMPUTED_VALUE"""),"")</f>
        <v/>
      </c>
      <c r="D1500" t="str">
        <f>IFERROR(__xludf.DUMMYFUNCTION("""COMPUTED_VALUE"""),"")</f>
        <v/>
      </c>
      <c r="E1500" t="str">
        <f>IFERROR(__xludf.DUMMYFUNCTION("""COMPUTED_VALUE"""),"")</f>
        <v/>
      </c>
      <c r="F1500" t="str">
        <f>IFERROR(__xludf.DUMMYFUNCTION("""COMPUTED_VALUE"""),"")</f>
        <v/>
      </c>
      <c r="G1500" t="str">
        <f>IFERROR(__xludf.DUMMYFUNCTION("""COMPUTED_VALUE"""),"")</f>
        <v/>
      </c>
      <c r="H1500" t="str">
        <f>IFERROR(__xludf.DUMMYFUNCTION("""COMPUTED_VALUE"""),"")</f>
        <v/>
      </c>
      <c r="I1500" t="str">
        <f>IFERROR(__xludf.DUMMYFUNCTION("""COMPUTED_VALUE"""),"")</f>
        <v/>
      </c>
      <c r="J1500">
        <f>IFERROR(__xludf.DUMMYFUNCTION("""COMPUTED_VALUE"""),0.0)</f>
        <v>0</v>
      </c>
      <c r="L1500" s="250" t="str">
        <f>IFERROR(__xludf.DUMMYFUNCTION("""COMPUTED_VALUE"""),"")</f>
        <v/>
      </c>
      <c r="M1500" s="250" t="str">
        <f>IFERROR(__xludf.DUMMYFUNCTION("""COMPUTED_VALUE"""),"")</f>
        <v/>
      </c>
      <c r="N1500" s="250" t="str">
        <f>IFERROR(__xludf.DUMMYFUNCTION("""COMPUTED_VALUE"""),"")</f>
        <v/>
      </c>
      <c r="O1500" s="250" t="str">
        <f>IFERROR(__xludf.DUMMYFUNCTION("""COMPUTED_VALUE"""),"")</f>
        <v/>
      </c>
      <c r="P1500" s="250" t="str">
        <f>IFERROR(__xludf.DUMMYFUNCTION("""COMPUTED_VALUE"""),"")</f>
        <v/>
      </c>
      <c r="Q1500" s="250" t="str">
        <f>IFERROR(__xludf.DUMMYFUNCTION("""COMPUTED_VALUE"""),"")</f>
        <v/>
      </c>
      <c r="R1500" s="250" t="str">
        <f>IFERROR(__xludf.DUMMYFUNCTION("""COMPUTED_VALUE"""),"")</f>
        <v/>
      </c>
      <c r="U1500" s="250" t="str">
        <f>IFERROR(__xludf.DUMMYFUNCTION("""COMPUTED_VALUE"""),"#N/A")</f>
        <v>#N/A</v>
      </c>
      <c r="V1500" s="250" t="str">
        <f>IFERROR(__xludf.DUMMYFUNCTION("""COMPUTED_VALUE"""),"#N/A")</f>
        <v>#N/A</v>
      </c>
      <c r="W1500" s="250" t="str">
        <f>IFERROR(__xludf.DUMMYFUNCTION("""COMPUTED_VALUE"""),"#N/A")</f>
        <v>#N/A</v>
      </c>
      <c r="X1500" t="b">
        <f t="shared" ref="X1500:Z1500" si="2976">ISBLANK(K1500)</f>
        <v>1</v>
      </c>
      <c r="Y1500" t="b">
        <f t="shared" si="2976"/>
        <v>0</v>
      </c>
      <c r="Z1500" t="b">
        <f t="shared" si="2976"/>
        <v>0</v>
      </c>
      <c r="AA1500">
        <f t="shared" ref="AA1500:AC1500" si="2977">IF(X1500=FALSE,1,0)</f>
        <v>0</v>
      </c>
      <c r="AB1500">
        <f t="shared" si="2977"/>
        <v>1</v>
      </c>
      <c r="AC1500">
        <f t="shared" si="2977"/>
        <v>1</v>
      </c>
      <c r="AD1500">
        <f t="shared" si="6"/>
        <v>2</v>
      </c>
      <c r="AE1500">
        <f t="shared" si="7"/>
        <v>1</v>
      </c>
    </row>
    <row r="1501">
      <c r="B1501" t="str">
        <f>IFERROR(__xludf.DUMMYFUNCTION("""COMPUTED_VALUE"""),"")</f>
        <v/>
      </c>
      <c r="C1501" t="str">
        <f>IFERROR(__xludf.DUMMYFUNCTION("""COMPUTED_VALUE"""),"")</f>
        <v/>
      </c>
      <c r="D1501" t="str">
        <f>IFERROR(__xludf.DUMMYFUNCTION("""COMPUTED_VALUE"""),"")</f>
        <v/>
      </c>
      <c r="E1501" t="str">
        <f>IFERROR(__xludf.DUMMYFUNCTION("""COMPUTED_VALUE"""),"")</f>
        <v/>
      </c>
      <c r="F1501" t="str">
        <f>IFERROR(__xludf.DUMMYFUNCTION("""COMPUTED_VALUE"""),"")</f>
        <v/>
      </c>
      <c r="G1501" t="str">
        <f>IFERROR(__xludf.DUMMYFUNCTION("""COMPUTED_VALUE"""),"")</f>
        <v/>
      </c>
      <c r="H1501" t="str">
        <f>IFERROR(__xludf.DUMMYFUNCTION("""COMPUTED_VALUE"""),"")</f>
        <v/>
      </c>
      <c r="I1501" t="str">
        <f>IFERROR(__xludf.DUMMYFUNCTION("""COMPUTED_VALUE"""),"")</f>
        <v/>
      </c>
      <c r="J1501">
        <f>IFERROR(__xludf.DUMMYFUNCTION("""COMPUTED_VALUE"""),0.0)</f>
        <v>0</v>
      </c>
      <c r="L1501" s="250" t="str">
        <f>IFERROR(__xludf.DUMMYFUNCTION("""COMPUTED_VALUE"""),"")</f>
        <v/>
      </c>
      <c r="M1501" s="250" t="str">
        <f>IFERROR(__xludf.DUMMYFUNCTION("""COMPUTED_VALUE"""),"")</f>
        <v/>
      </c>
      <c r="N1501" s="250" t="str">
        <f>IFERROR(__xludf.DUMMYFUNCTION("""COMPUTED_VALUE"""),"")</f>
        <v/>
      </c>
      <c r="O1501" s="250" t="str">
        <f>IFERROR(__xludf.DUMMYFUNCTION("""COMPUTED_VALUE"""),"")</f>
        <v/>
      </c>
      <c r="P1501" s="250" t="str">
        <f>IFERROR(__xludf.DUMMYFUNCTION("""COMPUTED_VALUE"""),"")</f>
        <v/>
      </c>
      <c r="Q1501" s="250" t="str">
        <f>IFERROR(__xludf.DUMMYFUNCTION("""COMPUTED_VALUE"""),"")</f>
        <v/>
      </c>
      <c r="R1501" s="250" t="str">
        <f>IFERROR(__xludf.DUMMYFUNCTION("""COMPUTED_VALUE"""),"")</f>
        <v/>
      </c>
      <c r="U1501" s="250" t="str">
        <f>IFERROR(__xludf.DUMMYFUNCTION("""COMPUTED_VALUE"""),"#N/A")</f>
        <v>#N/A</v>
      </c>
      <c r="V1501" s="250" t="str">
        <f>IFERROR(__xludf.DUMMYFUNCTION("""COMPUTED_VALUE"""),"#N/A")</f>
        <v>#N/A</v>
      </c>
      <c r="W1501" s="250" t="str">
        <f>IFERROR(__xludf.DUMMYFUNCTION("""COMPUTED_VALUE"""),"#N/A")</f>
        <v>#N/A</v>
      </c>
      <c r="X1501" t="b">
        <f t="shared" ref="X1501:Z1501" si="2978">ISBLANK(K1501)</f>
        <v>1</v>
      </c>
      <c r="Y1501" t="b">
        <f t="shared" si="2978"/>
        <v>0</v>
      </c>
      <c r="Z1501" t="b">
        <f t="shared" si="2978"/>
        <v>0</v>
      </c>
      <c r="AA1501">
        <f t="shared" ref="AA1501:AC1501" si="2979">IF(X1501=FALSE,1,0)</f>
        <v>0</v>
      </c>
      <c r="AB1501">
        <f t="shared" si="2979"/>
        <v>1</v>
      </c>
      <c r="AC1501">
        <f t="shared" si="2979"/>
        <v>1</v>
      </c>
      <c r="AD1501">
        <f t="shared" si="6"/>
        <v>2</v>
      </c>
      <c r="AE1501">
        <f t="shared" si="7"/>
        <v>1</v>
      </c>
    </row>
    <row r="1502">
      <c r="B1502" t="str">
        <f>IFERROR(__xludf.DUMMYFUNCTION("""COMPUTED_VALUE"""),"")</f>
        <v/>
      </c>
      <c r="C1502" t="str">
        <f>IFERROR(__xludf.DUMMYFUNCTION("""COMPUTED_VALUE"""),"")</f>
        <v/>
      </c>
      <c r="D1502" t="str">
        <f>IFERROR(__xludf.DUMMYFUNCTION("""COMPUTED_VALUE"""),"")</f>
        <v/>
      </c>
      <c r="E1502" t="str">
        <f>IFERROR(__xludf.DUMMYFUNCTION("""COMPUTED_VALUE"""),"")</f>
        <v/>
      </c>
      <c r="F1502" t="str">
        <f>IFERROR(__xludf.DUMMYFUNCTION("""COMPUTED_VALUE"""),"")</f>
        <v/>
      </c>
      <c r="G1502" t="str">
        <f>IFERROR(__xludf.DUMMYFUNCTION("""COMPUTED_VALUE"""),"")</f>
        <v/>
      </c>
      <c r="H1502" t="str">
        <f>IFERROR(__xludf.DUMMYFUNCTION("""COMPUTED_VALUE"""),"")</f>
        <v/>
      </c>
      <c r="I1502" t="str">
        <f>IFERROR(__xludf.DUMMYFUNCTION("""COMPUTED_VALUE"""),"")</f>
        <v/>
      </c>
      <c r="J1502">
        <f>IFERROR(__xludf.DUMMYFUNCTION("""COMPUTED_VALUE"""),0.0)</f>
        <v>0</v>
      </c>
      <c r="L1502" s="250" t="str">
        <f>IFERROR(__xludf.DUMMYFUNCTION("""COMPUTED_VALUE"""),"")</f>
        <v/>
      </c>
      <c r="M1502" s="250" t="str">
        <f>IFERROR(__xludf.DUMMYFUNCTION("""COMPUTED_VALUE"""),"")</f>
        <v/>
      </c>
      <c r="N1502" s="250" t="str">
        <f>IFERROR(__xludf.DUMMYFUNCTION("""COMPUTED_VALUE"""),"")</f>
        <v/>
      </c>
      <c r="O1502" s="250" t="str">
        <f>IFERROR(__xludf.DUMMYFUNCTION("""COMPUTED_VALUE"""),"")</f>
        <v/>
      </c>
      <c r="P1502" s="250" t="str">
        <f>IFERROR(__xludf.DUMMYFUNCTION("""COMPUTED_VALUE"""),"")</f>
        <v/>
      </c>
      <c r="Q1502" s="250" t="str">
        <f>IFERROR(__xludf.DUMMYFUNCTION("""COMPUTED_VALUE"""),"")</f>
        <v/>
      </c>
      <c r="R1502" s="250" t="str">
        <f>IFERROR(__xludf.DUMMYFUNCTION("""COMPUTED_VALUE"""),"")</f>
        <v/>
      </c>
      <c r="U1502" s="250" t="str">
        <f>IFERROR(__xludf.DUMMYFUNCTION("""COMPUTED_VALUE"""),"#N/A")</f>
        <v>#N/A</v>
      </c>
      <c r="V1502" s="250" t="str">
        <f>IFERROR(__xludf.DUMMYFUNCTION("""COMPUTED_VALUE"""),"#N/A")</f>
        <v>#N/A</v>
      </c>
      <c r="W1502" s="250" t="str">
        <f>IFERROR(__xludf.DUMMYFUNCTION("""COMPUTED_VALUE"""),"#N/A")</f>
        <v>#N/A</v>
      </c>
      <c r="X1502" t="b">
        <f t="shared" ref="X1502:Z1502" si="2980">ISBLANK(K1502)</f>
        <v>1</v>
      </c>
      <c r="Y1502" t="b">
        <f t="shared" si="2980"/>
        <v>0</v>
      </c>
      <c r="Z1502" t="b">
        <f t="shared" si="2980"/>
        <v>0</v>
      </c>
      <c r="AA1502">
        <f t="shared" ref="AA1502:AC1502" si="2981">IF(X1502=FALSE,1,0)</f>
        <v>0</v>
      </c>
      <c r="AB1502">
        <f t="shared" si="2981"/>
        <v>1</v>
      </c>
      <c r="AC1502">
        <f t="shared" si="2981"/>
        <v>1</v>
      </c>
      <c r="AD1502">
        <f t="shared" si="6"/>
        <v>2</v>
      </c>
      <c r="AE1502">
        <f t="shared" si="7"/>
        <v>1</v>
      </c>
    </row>
    <row r="1503">
      <c r="B1503" t="str">
        <f>IFERROR(__xludf.DUMMYFUNCTION("""COMPUTED_VALUE"""),"")</f>
        <v/>
      </c>
      <c r="C1503" t="str">
        <f>IFERROR(__xludf.DUMMYFUNCTION("""COMPUTED_VALUE"""),"")</f>
        <v/>
      </c>
      <c r="D1503" t="str">
        <f>IFERROR(__xludf.DUMMYFUNCTION("""COMPUTED_VALUE"""),"")</f>
        <v/>
      </c>
      <c r="E1503" t="str">
        <f>IFERROR(__xludf.DUMMYFUNCTION("""COMPUTED_VALUE"""),"")</f>
        <v/>
      </c>
      <c r="F1503" t="str">
        <f>IFERROR(__xludf.DUMMYFUNCTION("""COMPUTED_VALUE"""),"")</f>
        <v/>
      </c>
      <c r="G1503" t="str">
        <f>IFERROR(__xludf.DUMMYFUNCTION("""COMPUTED_VALUE"""),"")</f>
        <v/>
      </c>
      <c r="H1503" t="str">
        <f>IFERROR(__xludf.DUMMYFUNCTION("""COMPUTED_VALUE"""),"")</f>
        <v/>
      </c>
      <c r="I1503" t="str">
        <f>IFERROR(__xludf.DUMMYFUNCTION("""COMPUTED_VALUE"""),"")</f>
        <v/>
      </c>
      <c r="J1503">
        <f>IFERROR(__xludf.DUMMYFUNCTION("""COMPUTED_VALUE"""),0.0)</f>
        <v>0</v>
      </c>
      <c r="L1503" s="250" t="str">
        <f>IFERROR(__xludf.DUMMYFUNCTION("""COMPUTED_VALUE"""),"")</f>
        <v/>
      </c>
      <c r="M1503" s="250" t="str">
        <f>IFERROR(__xludf.DUMMYFUNCTION("""COMPUTED_VALUE"""),"")</f>
        <v/>
      </c>
      <c r="N1503" s="250" t="str">
        <f>IFERROR(__xludf.DUMMYFUNCTION("""COMPUTED_VALUE"""),"")</f>
        <v/>
      </c>
      <c r="O1503" s="250" t="str">
        <f>IFERROR(__xludf.DUMMYFUNCTION("""COMPUTED_VALUE"""),"")</f>
        <v/>
      </c>
      <c r="P1503" s="250" t="str">
        <f>IFERROR(__xludf.DUMMYFUNCTION("""COMPUTED_VALUE"""),"")</f>
        <v/>
      </c>
      <c r="Q1503" s="250" t="str">
        <f>IFERROR(__xludf.DUMMYFUNCTION("""COMPUTED_VALUE"""),"")</f>
        <v/>
      </c>
      <c r="R1503" s="250" t="str">
        <f>IFERROR(__xludf.DUMMYFUNCTION("""COMPUTED_VALUE"""),"")</f>
        <v/>
      </c>
      <c r="U1503" s="250" t="str">
        <f>IFERROR(__xludf.DUMMYFUNCTION("""COMPUTED_VALUE"""),"#N/A")</f>
        <v>#N/A</v>
      </c>
      <c r="V1503" s="250" t="str">
        <f>IFERROR(__xludf.DUMMYFUNCTION("""COMPUTED_VALUE"""),"#N/A")</f>
        <v>#N/A</v>
      </c>
      <c r="W1503" s="250" t="str">
        <f>IFERROR(__xludf.DUMMYFUNCTION("""COMPUTED_VALUE"""),"#N/A")</f>
        <v>#N/A</v>
      </c>
      <c r="X1503" t="b">
        <f t="shared" ref="X1503:Z1503" si="2982">ISBLANK(K1503)</f>
        <v>1</v>
      </c>
      <c r="Y1503" t="b">
        <f t="shared" si="2982"/>
        <v>0</v>
      </c>
      <c r="Z1503" t="b">
        <f t="shared" si="2982"/>
        <v>0</v>
      </c>
      <c r="AA1503">
        <f t="shared" ref="AA1503:AC1503" si="2983">IF(X1503=FALSE,1,0)</f>
        <v>0</v>
      </c>
      <c r="AB1503">
        <f t="shared" si="2983"/>
        <v>1</v>
      </c>
      <c r="AC1503">
        <f t="shared" si="2983"/>
        <v>1</v>
      </c>
      <c r="AD1503">
        <f t="shared" si="6"/>
        <v>2</v>
      </c>
      <c r="AE1503">
        <f t="shared" si="7"/>
        <v>1</v>
      </c>
    </row>
    <row r="1504">
      <c r="B1504" t="str">
        <f>IFERROR(__xludf.DUMMYFUNCTION("""COMPUTED_VALUE"""),"")</f>
        <v/>
      </c>
      <c r="C1504" t="str">
        <f>IFERROR(__xludf.DUMMYFUNCTION("""COMPUTED_VALUE"""),"")</f>
        <v/>
      </c>
      <c r="D1504" t="str">
        <f>IFERROR(__xludf.DUMMYFUNCTION("""COMPUTED_VALUE"""),"")</f>
        <v/>
      </c>
      <c r="E1504" t="str">
        <f>IFERROR(__xludf.DUMMYFUNCTION("""COMPUTED_VALUE"""),"")</f>
        <v/>
      </c>
      <c r="F1504" t="str">
        <f>IFERROR(__xludf.DUMMYFUNCTION("""COMPUTED_VALUE"""),"")</f>
        <v/>
      </c>
      <c r="G1504" t="str">
        <f>IFERROR(__xludf.DUMMYFUNCTION("""COMPUTED_VALUE"""),"")</f>
        <v/>
      </c>
      <c r="H1504" t="str">
        <f>IFERROR(__xludf.DUMMYFUNCTION("""COMPUTED_VALUE"""),"")</f>
        <v/>
      </c>
      <c r="I1504" t="str">
        <f>IFERROR(__xludf.DUMMYFUNCTION("""COMPUTED_VALUE"""),"")</f>
        <v/>
      </c>
      <c r="J1504">
        <f>IFERROR(__xludf.DUMMYFUNCTION("""COMPUTED_VALUE"""),0.0)</f>
        <v>0</v>
      </c>
      <c r="L1504" s="250" t="str">
        <f>IFERROR(__xludf.DUMMYFUNCTION("""COMPUTED_VALUE"""),"")</f>
        <v/>
      </c>
      <c r="M1504" s="250" t="str">
        <f>IFERROR(__xludf.DUMMYFUNCTION("""COMPUTED_VALUE"""),"")</f>
        <v/>
      </c>
      <c r="N1504" s="250" t="str">
        <f>IFERROR(__xludf.DUMMYFUNCTION("""COMPUTED_VALUE"""),"")</f>
        <v/>
      </c>
      <c r="O1504" s="250" t="str">
        <f>IFERROR(__xludf.DUMMYFUNCTION("""COMPUTED_VALUE"""),"")</f>
        <v/>
      </c>
      <c r="P1504" s="250" t="str">
        <f>IFERROR(__xludf.DUMMYFUNCTION("""COMPUTED_VALUE"""),"")</f>
        <v/>
      </c>
      <c r="Q1504" s="250" t="str">
        <f>IFERROR(__xludf.DUMMYFUNCTION("""COMPUTED_VALUE"""),"")</f>
        <v/>
      </c>
      <c r="R1504" s="250" t="str">
        <f>IFERROR(__xludf.DUMMYFUNCTION("""COMPUTED_VALUE"""),"")</f>
        <v/>
      </c>
      <c r="U1504" s="250" t="str">
        <f>IFERROR(__xludf.DUMMYFUNCTION("""COMPUTED_VALUE"""),"#N/A")</f>
        <v>#N/A</v>
      </c>
      <c r="V1504" s="250" t="str">
        <f>IFERROR(__xludf.DUMMYFUNCTION("""COMPUTED_VALUE"""),"#N/A")</f>
        <v>#N/A</v>
      </c>
      <c r="W1504" s="250" t="str">
        <f>IFERROR(__xludf.DUMMYFUNCTION("""COMPUTED_VALUE"""),"#N/A")</f>
        <v>#N/A</v>
      </c>
      <c r="X1504" t="b">
        <f t="shared" ref="X1504:Z1504" si="2984">ISBLANK(K1504)</f>
        <v>1</v>
      </c>
      <c r="Y1504" t="b">
        <f t="shared" si="2984"/>
        <v>0</v>
      </c>
      <c r="Z1504" t="b">
        <f t="shared" si="2984"/>
        <v>0</v>
      </c>
      <c r="AA1504">
        <f t="shared" ref="AA1504:AC1504" si="2985">IF(X1504=FALSE,1,0)</f>
        <v>0</v>
      </c>
      <c r="AB1504">
        <f t="shared" si="2985"/>
        <v>1</v>
      </c>
      <c r="AC1504">
        <f t="shared" si="2985"/>
        <v>1</v>
      </c>
      <c r="AD1504">
        <f t="shared" si="6"/>
        <v>2</v>
      </c>
      <c r="AE1504">
        <f t="shared" si="7"/>
        <v>1</v>
      </c>
    </row>
    <row r="1505">
      <c r="B1505" t="str">
        <f>IFERROR(__xludf.DUMMYFUNCTION("""COMPUTED_VALUE"""),"")</f>
        <v/>
      </c>
      <c r="C1505" t="str">
        <f>IFERROR(__xludf.DUMMYFUNCTION("""COMPUTED_VALUE"""),"")</f>
        <v/>
      </c>
      <c r="D1505" t="str">
        <f>IFERROR(__xludf.DUMMYFUNCTION("""COMPUTED_VALUE"""),"")</f>
        <v/>
      </c>
      <c r="E1505" t="str">
        <f>IFERROR(__xludf.DUMMYFUNCTION("""COMPUTED_VALUE"""),"")</f>
        <v/>
      </c>
      <c r="F1505" t="str">
        <f>IFERROR(__xludf.DUMMYFUNCTION("""COMPUTED_VALUE"""),"")</f>
        <v/>
      </c>
      <c r="G1505" t="str">
        <f>IFERROR(__xludf.DUMMYFUNCTION("""COMPUTED_VALUE"""),"")</f>
        <v/>
      </c>
      <c r="H1505" t="str">
        <f>IFERROR(__xludf.DUMMYFUNCTION("""COMPUTED_VALUE"""),"")</f>
        <v/>
      </c>
      <c r="I1505" t="str">
        <f>IFERROR(__xludf.DUMMYFUNCTION("""COMPUTED_VALUE"""),"")</f>
        <v/>
      </c>
      <c r="J1505">
        <f>IFERROR(__xludf.DUMMYFUNCTION("""COMPUTED_VALUE"""),0.0)</f>
        <v>0</v>
      </c>
      <c r="L1505" s="250" t="str">
        <f>IFERROR(__xludf.DUMMYFUNCTION("""COMPUTED_VALUE"""),"")</f>
        <v/>
      </c>
      <c r="M1505" s="250" t="str">
        <f>IFERROR(__xludf.DUMMYFUNCTION("""COMPUTED_VALUE"""),"")</f>
        <v/>
      </c>
      <c r="N1505" s="250" t="str">
        <f>IFERROR(__xludf.DUMMYFUNCTION("""COMPUTED_VALUE"""),"")</f>
        <v/>
      </c>
      <c r="O1505" s="250" t="str">
        <f>IFERROR(__xludf.DUMMYFUNCTION("""COMPUTED_VALUE"""),"")</f>
        <v/>
      </c>
      <c r="P1505" s="250" t="str">
        <f>IFERROR(__xludf.DUMMYFUNCTION("""COMPUTED_VALUE"""),"")</f>
        <v/>
      </c>
      <c r="Q1505" s="250" t="str">
        <f>IFERROR(__xludf.DUMMYFUNCTION("""COMPUTED_VALUE"""),"")</f>
        <v/>
      </c>
      <c r="R1505" s="250" t="str">
        <f>IFERROR(__xludf.DUMMYFUNCTION("""COMPUTED_VALUE"""),"")</f>
        <v/>
      </c>
      <c r="U1505" s="250" t="str">
        <f>IFERROR(__xludf.DUMMYFUNCTION("""COMPUTED_VALUE"""),"#N/A")</f>
        <v>#N/A</v>
      </c>
      <c r="V1505" s="250" t="str">
        <f>IFERROR(__xludf.DUMMYFUNCTION("""COMPUTED_VALUE"""),"#N/A")</f>
        <v>#N/A</v>
      </c>
      <c r="W1505" s="250" t="str">
        <f>IFERROR(__xludf.DUMMYFUNCTION("""COMPUTED_VALUE"""),"#N/A")</f>
        <v>#N/A</v>
      </c>
      <c r="X1505" t="b">
        <f t="shared" ref="X1505:Z1505" si="2986">ISBLANK(K1505)</f>
        <v>1</v>
      </c>
      <c r="Y1505" t="b">
        <f t="shared" si="2986"/>
        <v>0</v>
      </c>
      <c r="Z1505" t="b">
        <f t="shared" si="2986"/>
        <v>0</v>
      </c>
      <c r="AA1505">
        <f t="shared" ref="AA1505:AC1505" si="2987">IF(X1505=FALSE,1,0)</f>
        <v>0</v>
      </c>
      <c r="AB1505">
        <f t="shared" si="2987"/>
        <v>1</v>
      </c>
      <c r="AC1505">
        <f t="shared" si="2987"/>
        <v>1</v>
      </c>
      <c r="AD1505">
        <f t="shared" si="6"/>
        <v>2</v>
      </c>
      <c r="AE1505">
        <f t="shared" si="7"/>
        <v>1</v>
      </c>
    </row>
    <row r="1506">
      <c r="B1506" t="str">
        <f>IFERROR(__xludf.DUMMYFUNCTION("""COMPUTED_VALUE"""),"")</f>
        <v/>
      </c>
      <c r="C1506" t="str">
        <f>IFERROR(__xludf.DUMMYFUNCTION("""COMPUTED_VALUE"""),"")</f>
        <v/>
      </c>
      <c r="D1506" t="str">
        <f>IFERROR(__xludf.DUMMYFUNCTION("""COMPUTED_VALUE"""),"")</f>
        <v/>
      </c>
      <c r="E1506" t="str">
        <f>IFERROR(__xludf.DUMMYFUNCTION("""COMPUTED_VALUE"""),"")</f>
        <v/>
      </c>
      <c r="F1506" t="str">
        <f>IFERROR(__xludf.DUMMYFUNCTION("""COMPUTED_VALUE"""),"")</f>
        <v/>
      </c>
      <c r="G1506" t="str">
        <f>IFERROR(__xludf.DUMMYFUNCTION("""COMPUTED_VALUE"""),"")</f>
        <v/>
      </c>
      <c r="H1506" t="str">
        <f>IFERROR(__xludf.DUMMYFUNCTION("""COMPUTED_VALUE"""),"")</f>
        <v/>
      </c>
      <c r="I1506" t="str">
        <f>IFERROR(__xludf.DUMMYFUNCTION("""COMPUTED_VALUE"""),"")</f>
        <v/>
      </c>
      <c r="J1506">
        <f>IFERROR(__xludf.DUMMYFUNCTION("""COMPUTED_VALUE"""),0.0)</f>
        <v>0</v>
      </c>
      <c r="L1506" s="250" t="str">
        <f>IFERROR(__xludf.DUMMYFUNCTION("""COMPUTED_VALUE"""),"")</f>
        <v/>
      </c>
      <c r="M1506" s="250" t="str">
        <f>IFERROR(__xludf.DUMMYFUNCTION("""COMPUTED_VALUE"""),"")</f>
        <v/>
      </c>
      <c r="N1506" s="250" t="str">
        <f>IFERROR(__xludf.DUMMYFUNCTION("""COMPUTED_VALUE"""),"")</f>
        <v/>
      </c>
      <c r="O1506" s="250" t="str">
        <f>IFERROR(__xludf.DUMMYFUNCTION("""COMPUTED_VALUE"""),"")</f>
        <v/>
      </c>
      <c r="P1506" s="250" t="str">
        <f>IFERROR(__xludf.DUMMYFUNCTION("""COMPUTED_VALUE"""),"")</f>
        <v/>
      </c>
      <c r="Q1506" s="250" t="str">
        <f>IFERROR(__xludf.DUMMYFUNCTION("""COMPUTED_VALUE"""),"")</f>
        <v/>
      </c>
      <c r="R1506" s="250" t="str">
        <f>IFERROR(__xludf.DUMMYFUNCTION("""COMPUTED_VALUE"""),"")</f>
        <v/>
      </c>
      <c r="U1506" s="250" t="str">
        <f>IFERROR(__xludf.DUMMYFUNCTION("""COMPUTED_VALUE"""),"#N/A")</f>
        <v>#N/A</v>
      </c>
      <c r="V1506" s="250" t="str">
        <f>IFERROR(__xludf.DUMMYFUNCTION("""COMPUTED_VALUE"""),"#N/A")</f>
        <v>#N/A</v>
      </c>
      <c r="W1506" s="250" t="str">
        <f>IFERROR(__xludf.DUMMYFUNCTION("""COMPUTED_VALUE"""),"#N/A")</f>
        <v>#N/A</v>
      </c>
      <c r="X1506" t="b">
        <f t="shared" ref="X1506:Z1506" si="2988">ISBLANK(K1506)</f>
        <v>1</v>
      </c>
      <c r="Y1506" t="b">
        <f t="shared" si="2988"/>
        <v>0</v>
      </c>
      <c r="Z1506" t="b">
        <f t="shared" si="2988"/>
        <v>0</v>
      </c>
      <c r="AA1506">
        <f t="shared" ref="AA1506:AC1506" si="2989">IF(X1506=FALSE,1,0)</f>
        <v>0</v>
      </c>
      <c r="AB1506">
        <f t="shared" si="2989"/>
        <v>1</v>
      </c>
      <c r="AC1506">
        <f t="shared" si="2989"/>
        <v>1</v>
      </c>
      <c r="AD1506">
        <f t="shared" si="6"/>
        <v>2</v>
      </c>
      <c r="AE1506">
        <f t="shared" si="7"/>
        <v>1</v>
      </c>
    </row>
    <row r="1507">
      <c r="B1507" t="str">
        <f>IFERROR(__xludf.DUMMYFUNCTION("""COMPUTED_VALUE"""),"")</f>
        <v/>
      </c>
      <c r="C1507" t="str">
        <f>IFERROR(__xludf.DUMMYFUNCTION("""COMPUTED_VALUE"""),"")</f>
        <v/>
      </c>
      <c r="D1507" t="str">
        <f>IFERROR(__xludf.DUMMYFUNCTION("""COMPUTED_VALUE"""),"")</f>
        <v/>
      </c>
      <c r="E1507" t="str">
        <f>IFERROR(__xludf.DUMMYFUNCTION("""COMPUTED_VALUE"""),"")</f>
        <v/>
      </c>
      <c r="F1507" t="str">
        <f>IFERROR(__xludf.DUMMYFUNCTION("""COMPUTED_VALUE"""),"")</f>
        <v/>
      </c>
      <c r="G1507" t="str">
        <f>IFERROR(__xludf.DUMMYFUNCTION("""COMPUTED_VALUE"""),"")</f>
        <v/>
      </c>
      <c r="H1507" t="str">
        <f>IFERROR(__xludf.DUMMYFUNCTION("""COMPUTED_VALUE"""),"")</f>
        <v/>
      </c>
      <c r="I1507" t="str">
        <f>IFERROR(__xludf.DUMMYFUNCTION("""COMPUTED_VALUE"""),"")</f>
        <v/>
      </c>
      <c r="J1507">
        <f>IFERROR(__xludf.DUMMYFUNCTION("""COMPUTED_VALUE"""),0.0)</f>
        <v>0</v>
      </c>
      <c r="L1507" s="250" t="str">
        <f>IFERROR(__xludf.DUMMYFUNCTION("""COMPUTED_VALUE"""),"")</f>
        <v/>
      </c>
      <c r="M1507" s="250" t="str">
        <f>IFERROR(__xludf.DUMMYFUNCTION("""COMPUTED_VALUE"""),"")</f>
        <v/>
      </c>
      <c r="N1507" s="250" t="str">
        <f>IFERROR(__xludf.DUMMYFUNCTION("""COMPUTED_VALUE"""),"")</f>
        <v/>
      </c>
      <c r="O1507" s="250" t="str">
        <f>IFERROR(__xludf.DUMMYFUNCTION("""COMPUTED_VALUE"""),"")</f>
        <v/>
      </c>
      <c r="P1507" s="250" t="str">
        <f>IFERROR(__xludf.DUMMYFUNCTION("""COMPUTED_VALUE"""),"")</f>
        <v/>
      </c>
      <c r="Q1507" s="250" t="str">
        <f>IFERROR(__xludf.DUMMYFUNCTION("""COMPUTED_VALUE"""),"")</f>
        <v/>
      </c>
      <c r="R1507" s="250" t="str">
        <f>IFERROR(__xludf.DUMMYFUNCTION("""COMPUTED_VALUE"""),"")</f>
        <v/>
      </c>
      <c r="U1507" s="250" t="str">
        <f>IFERROR(__xludf.DUMMYFUNCTION("""COMPUTED_VALUE"""),"#N/A")</f>
        <v>#N/A</v>
      </c>
      <c r="V1507" s="250" t="str">
        <f>IFERROR(__xludf.DUMMYFUNCTION("""COMPUTED_VALUE"""),"#N/A")</f>
        <v>#N/A</v>
      </c>
      <c r="W1507" s="250" t="str">
        <f>IFERROR(__xludf.DUMMYFUNCTION("""COMPUTED_VALUE"""),"#N/A")</f>
        <v>#N/A</v>
      </c>
      <c r="X1507" t="b">
        <f t="shared" ref="X1507:Z1507" si="2990">ISBLANK(K1507)</f>
        <v>1</v>
      </c>
      <c r="Y1507" t="b">
        <f t="shared" si="2990"/>
        <v>0</v>
      </c>
      <c r="Z1507" t="b">
        <f t="shared" si="2990"/>
        <v>0</v>
      </c>
      <c r="AA1507">
        <f t="shared" ref="AA1507:AC1507" si="2991">IF(X1507=FALSE,1,0)</f>
        <v>0</v>
      </c>
      <c r="AB1507">
        <f t="shared" si="2991"/>
        <v>1</v>
      </c>
      <c r="AC1507">
        <f t="shared" si="2991"/>
        <v>1</v>
      </c>
      <c r="AD1507">
        <f t="shared" si="6"/>
        <v>2</v>
      </c>
      <c r="AE1507">
        <f t="shared" si="7"/>
        <v>1</v>
      </c>
    </row>
    <row r="1508">
      <c r="B1508" t="str">
        <f>IFERROR(__xludf.DUMMYFUNCTION("""COMPUTED_VALUE"""),"")</f>
        <v/>
      </c>
      <c r="C1508" t="str">
        <f>IFERROR(__xludf.DUMMYFUNCTION("""COMPUTED_VALUE"""),"")</f>
        <v/>
      </c>
      <c r="D1508" t="str">
        <f>IFERROR(__xludf.DUMMYFUNCTION("""COMPUTED_VALUE"""),"")</f>
        <v/>
      </c>
      <c r="E1508" t="str">
        <f>IFERROR(__xludf.DUMMYFUNCTION("""COMPUTED_VALUE"""),"")</f>
        <v/>
      </c>
      <c r="F1508" t="str">
        <f>IFERROR(__xludf.DUMMYFUNCTION("""COMPUTED_VALUE"""),"")</f>
        <v/>
      </c>
      <c r="G1508" t="str">
        <f>IFERROR(__xludf.DUMMYFUNCTION("""COMPUTED_VALUE"""),"")</f>
        <v/>
      </c>
      <c r="H1508" t="str">
        <f>IFERROR(__xludf.DUMMYFUNCTION("""COMPUTED_VALUE"""),"")</f>
        <v/>
      </c>
      <c r="I1508" t="str">
        <f>IFERROR(__xludf.DUMMYFUNCTION("""COMPUTED_VALUE"""),"")</f>
        <v/>
      </c>
      <c r="J1508">
        <f>IFERROR(__xludf.DUMMYFUNCTION("""COMPUTED_VALUE"""),0.0)</f>
        <v>0</v>
      </c>
      <c r="L1508" s="250" t="str">
        <f>IFERROR(__xludf.DUMMYFUNCTION("""COMPUTED_VALUE"""),"")</f>
        <v/>
      </c>
      <c r="M1508" s="250" t="str">
        <f>IFERROR(__xludf.DUMMYFUNCTION("""COMPUTED_VALUE"""),"")</f>
        <v/>
      </c>
      <c r="N1508" s="250" t="str">
        <f>IFERROR(__xludf.DUMMYFUNCTION("""COMPUTED_VALUE"""),"")</f>
        <v/>
      </c>
      <c r="O1508" s="250" t="str">
        <f>IFERROR(__xludf.DUMMYFUNCTION("""COMPUTED_VALUE"""),"")</f>
        <v/>
      </c>
      <c r="P1508" s="250" t="str">
        <f>IFERROR(__xludf.DUMMYFUNCTION("""COMPUTED_VALUE"""),"")</f>
        <v/>
      </c>
      <c r="Q1508" s="250" t="str">
        <f>IFERROR(__xludf.DUMMYFUNCTION("""COMPUTED_VALUE"""),"")</f>
        <v/>
      </c>
      <c r="R1508" s="250" t="str">
        <f>IFERROR(__xludf.DUMMYFUNCTION("""COMPUTED_VALUE"""),"")</f>
        <v/>
      </c>
      <c r="U1508" s="250" t="str">
        <f>IFERROR(__xludf.DUMMYFUNCTION("""COMPUTED_VALUE"""),"#N/A")</f>
        <v>#N/A</v>
      </c>
      <c r="V1508" s="250" t="str">
        <f>IFERROR(__xludf.DUMMYFUNCTION("""COMPUTED_VALUE"""),"#N/A")</f>
        <v>#N/A</v>
      </c>
      <c r="W1508" s="250" t="str">
        <f>IFERROR(__xludf.DUMMYFUNCTION("""COMPUTED_VALUE"""),"#N/A")</f>
        <v>#N/A</v>
      </c>
      <c r="X1508" t="b">
        <f t="shared" ref="X1508:Z1508" si="2992">ISBLANK(K1508)</f>
        <v>1</v>
      </c>
      <c r="Y1508" t="b">
        <f t="shared" si="2992"/>
        <v>0</v>
      </c>
      <c r="Z1508" t="b">
        <f t="shared" si="2992"/>
        <v>0</v>
      </c>
      <c r="AA1508">
        <f t="shared" ref="AA1508:AC1508" si="2993">IF(X1508=FALSE,1,0)</f>
        <v>0</v>
      </c>
      <c r="AB1508">
        <f t="shared" si="2993"/>
        <v>1</v>
      </c>
      <c r="AC1508">
        <f t="shared" si="2993"/>
        <v>1</v>
      </c>
      <c r="AD1508">
        <f t="shared" si="6"/>
        <v>2</v>
      </c>
      <c r="AE1508">
        <f t="shared" si="7"/>
        <v>1</v>
      </c>
    </row>
    <row r="1509">
      <c r="B1509" t="str">
        <f>IFERROR(__xludf.DUMMYFUNCTION("""COMPUTED_VALUE"""),"")</f>
        <v/>
      </c>
      <c r="C1509" t="str">
        <f>IFERROR(__xludf.DUMMYFUNCTION("""COMPUTED_VALUE"""),"")</f>
        <v/>
      </c>
      <c r="D1509" t="str">
        <f>IFERROR(__xludf.DUMMYFUNCTION("""COMPUTED_VALUE"""),"")</f>
        <v/>
      </c>
      <c r="E1509" t="str">
        <f>IFERROR(__xludf.DUMMYFUNCTION("""COMPUTED_VALUE"""),"")</f>
        <v/>
      </c>
      <c r="F1509" t="str">
        <f>IFERROR(__xludf.DUMMYFUNCTION("""COMPUTED_VALUE"""),"")</f>
        <v/>
      </c>
      <c r="G1509" t="str">
        <f>IFERROR(__xludf.DUMMYFUNCTION("""COMPUTED_VALUE"""),"")</f>
        <v/>
      </c>
      <c r="H1509" t="str">
        <f>IFERROR(__xludf.DUMMYFUNCTION("""COMPUTED_VALUE"""),"")</f>
        <v/>
      </c>
      <c r="I1509" t="str">
        <f>IFERROR(__xludf.DUMMYFUNCTION("""COMPUTED_VALUE"""),"")</f>
        <v/>
      </c>
      <c r="J1509">
        <f>IFERROR(__xludf.DUMMYFUNCTION("""COMPUTED_VALUE"""),0.0)</f>
        <v>0</v>
      </c>
      <c r="L1509" s="250" t="str">
        <f>IFERROR(__xludf.DUMMYFUNCTION("""COMPUTED_VALUE"""),"")</f>
        <v/>
      </c>
      <c r="M1509" s="250" t="str">
        <f>IFERROR(__xludf.DUMMYFUNCTION("""COMPUTED_VALUE"""),"")</f>
        <v/>
      </c>
      <c r="N1509" s="250" t="str">
        <f>IFERROR(__xludf.DUMMYFUNCTION("""COMPUTED_VALUE"""),"")</f>
        <v/>
      </c>
      <c r="O1509" s="250" t="str">
        <f>IFERROR(__xludf.DUMMYFUNCTION("""COMPUTED_VALUE"""),"")</f>
        <v/>
      </c>
      <c r="P1509" s="250" t="str">
        <f>IFERROR(__xludf.DUMMYFUNCTION("""COMPUTED_VALUE"""),"")</f>
        <v/>
      </c>
      <c r="Q1509" s="250" t="str">
        <f>IFERROR(__xludf.DUMMYFUNCTION("""COMPUTED_VALUE"""),"")</f>
        <v/>
      </c>
      <c r="R1509" s="250" t="str">
        <f>IFERROR(__xludf.DUMMYFUNCTION("""COMPUTED_VALUE"""),"")</f>
        <v/>
      </c>
      <c r="U1509" s="250" t="str">
        <f>IFERROR(__xludf.DUMMYFUNCTION("""COMPUTED_VALUE"""),"#N/A")</f>
        <v>#N/A</v>
      </c>
      <c r="V1509" s="250" t="str">
        <f>IFERROR(__xludf.DUMMYFUNCTION("""COMPUTED_VALUE"""),"#N/A")</f>
        <v>#N/A</v>
      </c>
      <c r="W1509" s="250" t="str">
        <f>IFERROR(__xludf.DUMMYFUNCTION("""COMPUTED_VALUE"""),"#N/A")</f>
        <v>#N/A</v>
      </c>
      <c r="X1509" t="b">
        <f t="shared" ref="X1509:Z1509" si="2994">ISBLANK(K1509)</f>
        <v>1</v>
      </c>
      <c r="Y1509" t="b">
        <f t="shared" si="2994"/>
        <v>0</v>
      </c>
      <c r="Z1509" t="b">
        <f t="shared" si="2994"/>
        <v>0</v>
      </c>
      <c r="AA1509">
        <f t="shared" ref="AA1509:AC1509" si="2995">IF(X1509=FALSE,1,0)</f>
        <v>0</v>
      </c>
      <c r="AB1509">
        <f t="shared" si="2995"/>
        <v>1</v>
      </c>
      <c r="AC1509">
        <f t="shared" si="2995"/>
        <v>1</v>
      </c>
      <c r="AD1509">
        <f t="shared" si="6"/>
        <v>2</v>
      </c>
      <c r="AE1509">
        <f t="shared" si="7"/>
        <v>1</v>
      </c>
    </row>
    <row r="1510">
      <c r="B1510" t="str">
        <f>IFERROR(__xludf.DUMMYFUNCTION("""COMPUTED_VALUE"""),"")</f>
        <v/>
      </c>
      <c r="C1510" t="str">
        <f>IFERROR(__xludf.DUMMYFUNCTION("""COMPUTED_VALUE"""),"")</f>
        <v/>
      </c>
      <c r="D1510" t="str">
        <f>IFERROR(__xludf.DUMMYFUNCTION("""COMPUTED_VALUE"""),"")</f>
        <v/>
      </c>
      <c r="E1510" t="str">
        <f>IFERROR(__xludf.DUMMYFUNCTION("""COMPUTED_VALUE"""),"")</f>
        <v/>
      </c>
      <c r="F1510" t="str">
        <f>IFERROR(__xludf.DUMMYFUNCTION("""COMPUTED_VALUE"""),"")</f>
        <v/>
      </c>
      <c r="G1510" t="str">
        <f>IFERROR(__xludf.DUMMYFUNCTION("""COMPUTED_VALUE"""),"")</f>
        <v/>
      </c>
      <c r="H1510" t="str">
        <f>IFERROR(__xludf.DUMMYFUNCTION("""COMPUTED_VALUE"""),"")</f>
        <v/>
      </c>
      <c r="I1510" t="str">
        <f>IFERROR(__xludf.DUMMYFUNCTION("""COMPUTED_VALUE"""),"")</f>
        <v/>
      </c>
      <c r="J1510">
        <f>IFERROR(__xludf.DUMMYFUNCTION("""COMPUTED_VALUE"""),0.0)</f>
        <v>0</v>
      </c>
      <c r="L1510" s="250" t="str">
        <f>IFERROR(__xludf.DUMMYFUNCTION("""COMPUTED_VALUE"""),"")</f>
        <v/>
      </c>
      <c r="M1510" s="250" t="str">
        <f>IFERROR(__xludf.DUMMYFUNCTION("""COMPUTED_VALUE"""),"")</f>
        <v/>
      </c>
      <c r="N1510" s="250" t="str">
        <f>IFERROR(__xludf.DUMMYFUNCTION("""COMPUTED_VALUE"""),"")</f>
        <v/>
      </c>
      <c r="O1510" s="250" t="str">
        <f>IFERROR(__xludf.DUMMYFUNCTION("""COMPUTED_VALUE"""),"")</f>
        <v/>
      </c>
      <c r="P1510" s="250" t="str">
        <f>IFERROR(__xludf.DUMMYFUNCTION("""COMPUTED_VALUE"""),"")</f>
        <v/>
      </c>
      <c r="Q1510" s="250" t="str">
        <f>IFERROR(__xludf.DUMMYFUNCTION("""COMPUTED_VALUE"""),"")</f>
        <v/>
      </c>
      <c r="R1510" s="250" t="str">
        <f>IFERROR(__xludf.DUMMYFUNCTION("""COMPUTED_VALUE"""),"")</f>
        <v/>
      </c>
      <c r="U1510" s="250" t="str">
        <f>IFERROR(__xludf.DUMMYFUNCTION("""COMPUTED_VALUE"""),"#N/A")</f>
        <v>#N/A</v>
      </c>
      <c r="V1510" s="250" t="str">
        <f>IFERROR(__xludf.DUMMYFUNCTION("""COMPUTED_VALUE"""),"#N/A")</f>
        <v>#N/A</v>
      </c>
      <c r="W1510" s="250" t="str">
        <f>IFERROR(__xludf.DUMMYFUNCTION("""COMPUTED_VALUE"""),"#N/A")</f>
        <v>#N/A</v>
      </c>
      <c r="X1510" t="b">
        <f t="shared" ref="X1510:Z1510" si="2996">ISBLANK(K1510)</f>
        <v>1</v>
      </c>
      <c r="Y1510" t="b">
        <f t="shared" si="2996"/>
        <v>0</v>
      </c>
      <c r="Z1510" t="b">
        <f t="shared" si="2996"/>
        <v>0</v>
      </c>
      <c r="AA1510">
        <f t="shared" ref="AA1510:AC1510" si="2997">IF(X1510=FALSE,1,0)</f>
        <v>0</v>
      </c>
      <c r="AB1510">
        <f t="shared" si="2997"/>
        <v>1</v>
      </c>
      <c r="AC1510">
        <f t="shared" si="2997"/>
        <v>1</v>
      </c>
      <c r="AD1510">
        <f t="shared" si="6"/>
        <v>2</v>
      </c>
      <c r="AE1510">
        <f t="shared" si="7"/>
        <v>1</v>
      </c>
    </row>
    <row r="1511">
      <c r="B1511" t="str">
        <f>IFERROR(__xludf.DUMMYFUNCTION("""COMPUTED_VALUE"""),"")</f>
        <v/>
      </c>
      <c r="C1511" t="str">
        <f>IFERROR(__xludf.DUMMYFUNCTION("""COMPUTED_VALUE"""),"")</f>
        <v/>
      </c>
      <c r="D1511" t="str">
        <f>IFERROR(__xludf.DUMMYFUNCTION("""COMPUTED_VALUE"""),"")</f>
        <v/>
      </c>
      <c r="E1511" t="str">
        <f>IFERROR(__xludf.DUMMYFUNCTION("""COMPUTED_VALUE"""),"")</f>
        <v/>
      </c>
      <c r="F1511" t="str">
        <f>IFERROR(__xludf.DUMMYFUNCTION("""COMPUTED_VALUE"""),"")</f>
        <v/>
      </c>
      <c r="G1511" t="str">
        <f>IFERROR(__xludf.DUMMYFUNCTION("""COMPUTED_VALUE"""),"")</f>
        <v/>
      </c>
      <c r="H1511" t="str">
        <f>IFERROR(__xludf.DUMMYFUNCTION("""COMPUTED_VALUE"""),"")</f>
        <v/>
      </c>
      <c r="I1511" t="str">
        <f>IFERROR(__xludf.DUMMYFUNCTION("""COMPUTED_VALUE"""),"")</f>
        <v/>
      </c>
      <c r="J1511">
        <f>IFERROR(__xludf.DUMMYFUNCTION("""COMPUTED_VALUE"""),0.0)</f>
        <v>0</v>
      </c>
      <c r="L1511" s="250" t="str">
        <f>IFERROR(__xludf.DUMMYFUNCTION("""COMPUTED_VALUE"""),"")</f>
        <v/>
      </c>
      <c r="M1511" s="250" t="str">
        <f>IFERROR(__xludf.DUMMYFUNCTION("""COMPUTED_VALUE"""),"")</f>
        <v/>
      </c>
      <c r="N1511" s="250" t="str">
        <f>IFERROR(__xludf.DUMMYFUNCTION("""COMPUTED_VALUE"""),"")</f>
        <v/>
      </c>
      <c r="O1511" s="250" t="str">
        <f>IFERROR(__xludf.DUMMYFUNCTION("""COMPUTED_VALUE"""),"")</f>
        <v/>
      </c>
      <c r="P1511" s="250" t="str">
        <f>IFERROR(__xludf.DUMMYFUNCTION("""COMPUTED_VALUE"""),"")</f>
        <v/>
      </c>
      <c r="Q1511" s="250" t="str">
        <f>IFERROR(__xludf.DUMMYFUNCTION("""COMPUTED_VALUE"""),"")</f>
        <v/>
      </c>
      <c r="R1511" s="250" t="str">
        <f>IFERROR(__xludf.DUMMYFUNCTION("""COMPUTED_VALUE"""),"")</f>
        <v/>
      </c>
      <c r="U1511" s="250" t="str">
        <f>IFERROR(__xludf.DUMMYFUNCTION("""COMPUTED_VALUE"""),"#N/A")</f>
        <v>#N/A</v>
      </c>
      <c r="V1511" s="250" t="str">
        <f>IFERROR(__xludf.DUMMYFUNCTION("""COMPUTED_VALUE"""),"#N/A")</f>
        <v>#N/A</v>
      </c>
      <c r="W1511" s="250" t="str">
        <f>IFERROR(__xludf.DUMMYFUNCTION("""COMPUTED_VALUE"""),"#N/A")</f>
        <v>#N/A</v>
      </c>
      <c r="X1511" t="b">
        <f t="shared" ref="X1511:Z1511" si="2998">ISBLANK(K1511)</f>
        <v>1</v>
      </c>
      <c r="Y1511" t="b">
        <f t="shared" si="2998"/>
        <v>0</v>
      </c>
      <c r="Z1511" t="b">
        <f t="shared" si="2998"/>
        <v>0</v>
      </c>
      <c r="AA1511">
        <f t="shared" ref="AA1511:AC1511" si="2999">IF(X1511=FALSE,1,0)</f>
        <v>0</v>
      </c>
      <c r="AB1511">
        <f t="shared" si="2999"/>
        <v>1</v>
      </c>
      <c r="AC1511">
        <f t="shared" si="2999"/>
        <v>1</v>
      </c>
      <c r="AD1511">
        <f t="shared" si="6"/>
        <v>2</v>
      </c>
      <c r="AE1511">
        <f t="shared" si="7"/>
        <v>1</v>
      </c>
    </row>
    <row r="1512">
      <c r="B1512" t="str">
        <f>IFERROR(__xludf.DUMMYFUNCTION("""COMPUTED_VALUE"""),"")</f>
        <v/>
      </c>
      <c r="C1512" t="str">
        <f>IFERROR(__xludf.DUMMYFUNCTION("""COMPUTED_VALUE"""),"")</f>
        <v/>
      </c>
      <c r="D1512" t="str">
        <f>IFERROR(__xludf.DUMMYFUNCTION("""COMPUTED_VALUE"""),"")</f>
        <v/>
      </c>
      <c r="E1512" t="str">
        <f>IFERROR(__xludf.DUMMYFUNCTION("""COMPUTED_VALUE"""),"")</f>
        <v/>
      </c>
      <c r="F1512" t="str">
        <f>IFERROR(__xludf.DUMMYFUNCTION("""COMPUTED_VALUE"""),"")</f>
        <v/>
      </c>
      <c r="G1512" t="str">
        <f>IFERROR(__xludf.DUMMYFUNCTION("""COMPUTED_VALUE"""),"")</f>
        <v/>
      </c>
      <c r="H1512" t="str">
        <f>IFERROR(__xludf.DUMMYFUNCTION("""COMPUTED_VALUE"""),"")</f>
        <v/>
      </c>
      <c r="I1512" t="str">
        <f>IFERROR(__xludf.DUMMYFUNCTION("""COMPUTED_VALUE"""),"")</f>
        <v/>
      </c>
      <c r="J1512">
        <f>IFERROR(__xludf.DUMMYFUNCTION("""COMPUTED_VALUE"""),0.0)</f>
        <v>0</v>
      </c>
      <c r="L1512" s="250" t="str">
        <f>IFERROR(__xludf.DUMMYFUNCTION("""COMPUTED_VALUE"""),"")</f>
        <v/>
      </c>
      <c r="M1512" s="250" t="str">
        <f>IFERROR(__xludf.DUMMYFUNCTION("""COMPUTED_VALUE"""),"")</f>
        <v/>
      </c>
      <c r="N1512" s="250" t="str">
        <f>IFERROR(__xludf.DUMMYFUNCTION("""COMPUTED_VALUE"""),"")</f>
        <v/>
      </c>
      <c r="O1512" s="250" t="str">
        <f>IFERROR(__xludf.DUMMYFUNCTION("""COMPUTED_VALUE"""),"")</f>
        <v/>
      </c>
      <c r="P1512" s="250" t="str">
        <f>IFERROR(__xludf.DUMMYFUNCTION("""COMPUTED_VALUE"""),"")</f>
        <v/>
      </c>
      <c r="Q1512" s="250" t="str">
        <f>IFERROR(__xludf.DUMMYFUNCTION("""COMPUTED_VALUE"""),"")</f>
        <v/>
      </c>
      <c r="R1512" s="250" t="str">
        <f>IFERROR(__xludf.DUMMYFUNCTION("""COMPUTED_VALUE"""),"")</f>
        <v/>
      </c>
      <c r="U1512" s="250" t="str">
        <f>IFERROR(__xludf.DUMMYFUNCTION("""COMPUTED_VALUE"""),"#N/A")</f>
        <v>#N/A</v>
      </c>
      <c r="V1512" s="250" t="str">
        <f>IFERROR(__xludf.DUMMYFUNCTION("""COMPUTED_VALUE"""),"#N/A")</f>
        <v>#N/A</v>
      </c>
      <c r="W1512" s="250" t="str">
        <f>IFERROR(__xludf.DUMMYFUNCTION("""COMPUTED_VALUE"""),"#N/A")</f>
        <v>#N/A</v>
      </c>
      <c r="X1512" t="b">
        <f t="shared" ref="X1512:Z1512" si="3000">ISBLANK(K1512)</f>
        <v>1</v>
      </c>
      <c r="Y1512" t="b">
        <f t="shared" si="3000"/>
        <v>0</v>
      </c>
      <c r="Z1512" t="b">
        <f t="shared" si="3000"/>
        <v>0</v>
      </c>
      <c r="AA1512">
        <f t="shared" ref="AA1512:AC1512" si="3001">IF(X1512=FALSE,1,0)</f>
        <v>0</v>
      </c>
      <c r="AB1512">
        <f t="shared" si="3001"/>
        <v>1</v>
      </c>
      <c r="AC1512">
        <f t="shared" si="3001"/>
        <v>1</v>
      </c>
      <c r="AD1512">
        <f t="shared" si="6"/>
        <v>2</v>
      </c>
      <c r="AE1512">
        <f t="shared" si="7"/>
        <v>1</v>
      </c>
    </row>
    <row r="1513">
      <c r="B1513" t="str">
        <f>IFERROR(__xludf.DUMMYFUNCTION("""COMPUTED_VALUE"""),"")</f>
        <v/>
      </c>
      <c r="C1513" t="str">
        <f>IFERROR(__xludf.DUMMYFUNCTION("""COMPUTED_VALUE"""),"")</f>
        <v/>
      </c>
      <c r="D1513" t="str">
        <f>IFERROR(__xludf.DUMMYFUNCTION("""COMPUTED_VALUE"""),"")</f>
        <v/>
      </c>
      <c r="E1513" t="str">
        <f>IFERROR(__xludf.DUMMYFUNCTION("""COMPUTED_VALUE"""),"")</f>
        <v/>
      </c>
      <c r="F1513" t="str">
        <f>IFERROR(__xludf.DUMMYFUNCTION("""COMPUTED_VALUE"""),"")</f>
        <v/>
      </c>
      <c r="G1513" t="str">
        <f>IFERROR(__xludf.DUMMYFUNCTION("""COMPUTED_VALUE"""),"")</f>
        <v/>
      </c>
      <c r="H1513" t="str">
        <f>IFERROR(__xludf.DUMMYFUNCTION("""COMPUTED_VALUE"""),"")</f>
        <v/>
      </c>
      <c r="I1513" t="str">
        <f>IFERROR(__xludf.DUMMYFUNCTION("""COMPUTED_VALUE"""),"")</f>
        <v/>
      </c>
      <c r="J1513">
        <f>IFERROR(__xludf.DUMMYFUNCTION("""COMPUTED_VALUE"""),0.0)</f>
        <v>0</v>
      </c>
      <c r="L1513" s="250" t="str">
        <f>IFERROR(__xludf.DUMMYFUNCTION("""COMPUTED_VALUE"""),"")</f>
        <v/>
      </c>
      <c r="M1513" s="250" t="str">
        <f>IFERROR(__xludf.DUMMYFUNCTION("""COMPUTED_VALUE"""),"")</f>
        <v/>
      </c>
      <c r="N1513" s="250" t="str">
        <f>IFERROR(__xludf.DUMMYFUNCTION("""COMPUTED_VALUE"""),"")</f>
        <v/>
      </c>
      <c r="O1513" s="250" t="str">
        <f>IFERROR(__xludf.DUMMYFUNCTION("""COMPUTED_VALUE"""),"")</f>
        <v/>
      </c>
      <c r="P1513" s="250" t="str">
        <f>IFERROR(__xludf.DUMMYFUNCTION("""COMPUTED_VALUE"""),"")</f>
        <v/>
      </c>
      <c r="Q1513" s="250" t="str">
        <f>IFERROR(__xludf.DUMMYFUNCTION("""COMPUTED_VALUE"""),"")</f>
        <v/>
      </c>
      <c r="R1513" s="250" t="str">
        <f>IFERROR(__xludf.DUMMYFUNCTION("""COMPUTED_VALUE"""),"")</f>
        <v/>
      </c>
      <c r="U1513" s="250" t="str">
        <f>IFERROR(__xludf.DUMMYFUNCTION("""COMPUTED_VALUE"""),"#N/A")</f>
        <v>#N/A</v>
      </c>
      <c r="V1513" s="250" t="str">
        <f>IFERROR(__xludf.DUMMYFUNCTION("""COMPUTED_VALUE"""),"#N/A")</f>
        <v>#N/A</v>
      </c>
      <c r="W1513" s="250" t="str">
        <f>IFERROR(__xludf.DUMMYFUNCTION("""COMPUTED_VALUE"""),"#N/A")</f>
        <v>#N/A</v>
      </c>
      <c r="X1513" t="b">
        <f t="shared" ref="X1513:Z1513" si="3002">ISBLANK(K1513)</f>
        <v>1</v>
      </c>
      <c r="Y1513" t="b">
        <f t="shared" si="3002"/>
        <v>0</v>
      </c>
      <c r="Z1513" t="b">
        <f t="shared" si="3002"/>
        <v>0</v>
      </c>
      <c r="AA1513">
        <f t="shared" ref="AA1513:AC1513" si="3003">IF(X1513=FALSE,1,0)</f>
        <v>0</v>
      </c>
      <c r="AB1513">
        <f t="shared" si="3003"/>
        <v>1</v>
      </c>
      <c r="AC1513">
        <f t="shared" si="3003"/>
        <v>1</v>
      </c>
      <c r="AD1513">
        <f t="shared" si="6"/>
        <v>2</v>
      </c>
      <c r="AE1513">
        <f t="shared" si="7"/>
        <v>1</v>
      </c>
    </row>
    <row r="1514">
      <c r="B1514" t="str">
        <f>IFERROR(__xludf.DUMMYFUNCTION("""COMPUTED_VALUE"""),"")</f>
        <v/>
      </c>
      <c r="C1514" t="str">
        <f>IFERROR(__xludf.DUMMYFUNCTION("""COMPUTED_VALUE"""),"")</f>
        <v/>
      </c>
      <c r="D1514" t="str">
        <f>IFERROR(__xludf.DUMMYFUNCTION("""COMPUTED_VALUE"""),"")</f>
        <v/>
      </c>
      <c r="E1514" t="str">
        <f>IFERROR(__xludf.DUMMYFUNCTION("""COMPUTED_VALUE"""),"")</f>
        <v/>
      </c>
      <c r="F1514" t="str">
        <f>IFERROR(__xludf.DUMMYFUNCTION("""COMPUTED_VALUE"""),"")</f>
        <v/>
      </c>
      <c r="G1514" t="str">
        <f>IFERROR(__xludf.DUMMYFUNCTION("""COMPUTED_VALUE"""),"")</f>
        <v/>
      </c>
      <c r="H1514" t="str">
        <f>IFERROR(__xludf.DUMMYFUNCTION("""COMPUTED_VALUE"""),"")</f>
        <v/>
      </c>
      <c r="I1514" t="str">
        <f>IFERROR(__xludf.DUMMYFUNCTION("""COMPUTED_VALUE"""),"")</f>
        <v/>
      </c>
      <c r="J1514">
        <f>IFERROR(__xludf.DUMMYFUNCTION("""COMPUTED_VALUE"""),0.0)</f>
        <v>0</v>
      </c>
      <c r="L1514" s="250" t="str">
        <f>IFERROR(__xludf.DUMMYFUNCTION("""COMPUTED_VALUE"""),"")</f>
        <v/>
      </c>
      <c r="M1514" s="250" t="str">
        <f>IFERROR(__xludf.DUMMYFUNCTION("""COMPUTED_VALUE"""),"")</f>
        <v/>
      </c>
      <c r="N1514" s="250" t="str">
        <f>IFERROR(__xludf.DUMMYFUNCTION("""COMPUTED_VALUE"""),"")</f>
        <v/>
      </c>
      <c r="O1514" s="250" t="str">
        <f>IFERROR(__xludf.DUMMYFUNCTION("""COMPUTED_VALUE"""),"")</f>
        <v/>
      </c>
      <c r="P1514" s="250" t="str">
        <f>IFERROR(__xludf.DUMMYFUNCTION("""COMPUTED_VALUE"""),"")</f>
        <v/>
      </c>
      <c r="Q1514" s="250" t="str">
        <f>IFERROR(__xludf.DUMMYFUNCTION("""COMPUTED_VALUE"""),"")</f>
        <v/>
      </c>
      <c r="R1514" s="250" t="str">
        <f>IFERROR(__xludf.DUMMYFUNCTION("""COMPUTED_VALUE"""),"")</f>
        <v/>
      </c>
      <c r="U1514" s="250" t="str">
        <f>IFERROR(__xludf.DUMMYFUNCTION("""COMPUTED_VALUE"""),"#N/A")</f>
        <v>#N/A</v>
      </c>
      <c r="V1514" s="250" t="str">
        <f>IFERROR(__xludf.DUMMYFUNCTION("""COMPUTED_VALUE"""),"#N/A")</f>
        <v>#N/A</v>
      </c>
      <c r="W1514" s="250" t="str">
        <f>IFERROR(__xludf.DUMMYFUNCTION("""COMPUTED_VALUE"""),"#N/A")</f>
        <v>#N/A</v>
      </c>
      <c r="X1514" t="b">
        <f t="shared" ref="X1514:Z1514" si="3004">ISBLANK(K1514)</f>
        <v>1</v>
      </c>
      <c r="Y1514" t="b">
        <f t="shared" si="3004"/>
        <v>0</v>
      </c>
      <c r="Z1514" t="b">
        <f t="shared" si="3004"/>
        <v>0</v>
      </c>
      <c r="AA1514">
        <f t="shared" ref="AA1514:AC1514" si="3005">IF(X1514=FALSE,1,0)</f>
        <v>0</v>
      </c>
      <c r="AB1514">
        <f t="shared" si="3005"/>
        <v>1</v>
      </c>
      <c r="AC1514">
        <f t="shared" si="3005"/>
        <v>1</v>
      </c>
      <c r="AD1514">
        <f t="shared" si="6"/>
        <v>2</v>
      </c>
      <c r="AE1514">
        <f t="shared" si="7"/>
        <v>1</v>
      </c>
    </row>
    <row r="1515">
      <c r="B1515" t="str">
        <f>IFERROR(__xludf.DUMMYFUNCTION("""COMPUTED_VALUE"""),"")</f>
        <v/>
      </c>
      <c r="C1515" t="str">
        <f>IFERROR(__xludf.DUMMYFUNCTION("""COMPUTED_VALUE"""),"")</f>
        <v/>
      </c>
      <c r="D1515" t="str">
        <f>IFERROR(__xludf.DUMMYFUNCTION("""COMPUTED_VALUE"""),"")</f>
        <v/>
      </c>
      <c r="E1515" t="str">
        <f>IFERROR(__xludf.DUMMYFUNCTION("""COMPUTED_VALUE"""),"")</f>
        <v/>
      </c>
      <c r="F1515" t="str">
        <f>IFERROR(__xludf.DUMMYFUNCTION("""COMPUTED_VALUE"""),"")</f>
        <v/>
      </c>
      <c r="G1515" t="str">
        <f>IFERROR(__xludf.DUMMYFUNCTION("""COMPUTED_VALUE"""),"")</f>
        <v/>
      </c>
      <c r="H1515" t="str">
        <f>IFERROR(__xludf.DUMMYFUNCTION("""COMPUTED_VALUE"""),"")</f>
        <v/>
      </c>
      <c r="I1515" t="str">
        <f>IFERROR(__xludf.DUMMYFUNCTION("""COMPUTED_VALUE"""),"")</f>
        <v/>
      </c>
      <c r="J1515">
        <f>IFERROR(__xludf.DUMMYFUNCTION("""COMPUTED_VALUE"""),0.0)</f>
        <v>0</v>
      </c>
      <c r="L1515" s="250" t="str">
        <f>IFERROR(__xludf.DUMMYFUNCTION("""COMPUTED_VALUE"""),"")</f>
        <v/>
      </c>
      <c r="M1515" s="250" t="str">
        <f>IFERROR(__xludf.DUMMYFUNCTION("""COMPUTED_VALUE"""),"")</f>
        <v/>
      </c>
      <c r="N1515" s="250" t="str">
        <f>IFERROR(__xludf.DUMMYFUNCTION("""COMPUTED_VALUE"""),"")</f>
        <v/>
      </c>
      <c r="O1515" s="250" t="str">
        <f>IFERROR(__xludf.DUMMYFUNCTION("""COMPUTED_VALUE"""),"")</f>
        <v/>
      </c>
      <c r="P1515" s="250" t="str">
        <f>IFERROR(__xludf.DUMMYFUNCTION("""COMPUTED_VALUE"""),"")</f>
        <v/>
      </c>
      <c r="Q1515" s="250" t="str">
        <f>IFERROR(__xludf.DUMMYFUNCTION("""COMPUTED_VALUE"""),"")</f>
        <v/>
      </c>
      <c r="R1515" s="250" t="str">
        <f>IFERROR(__xludf.DUMMYFUNCTION("""COMPUTED_VALUE"""),"")</f>
        <v/>
      </c>
      <c r="U1515" s="250" t="str">
        <f>IFERROR(__xludf.DUMMYFUNCTION("""COMPUTED_VALUE"""),"#N/A")</f>
        <v>#N/A</v>
      </c>
      <c r="V1515" s="250" t="str">
        <f>IFERROR(__xludf.DUMMYFUNCTION("""COMPUTED_VALUE"""),"#N/A")</f>
        <v>#N/A</v>
      </c>
      <c r="W1515" s="250" t="str">
        <f>IFERROR(__xludf.DUMMYFUNCTION("""COMPUTED_VALUE"""),"#N/A")</f>
        <v>#N/A</v>
      </c>
      <c r="X1515" t="b">
        <f t="shared" ref="X1515:Z1515" si="3006">ISBLANK(K1515)</f>
        <v>1</v>
      </c>
      <c r="Y1515" t="b">
        <f t="shared" si="3006"/>
        <v>0</v>
      </c>
      <c r="Z1515" t="b">
        <f t="shared" si="3006"/>
        <v>0</v>
      </c>
      <c r="AA1515">
        <f t="shared" ref="AA1515:AC1515" si="3007">IF(X1515=FALSE,1,0)</f>
        <v>0</v>
      </c>
      <c r="AB1515">
        <f t="shared" si="3007"/>
        <v>1</v>
      </c>
      <c r="AC1515">
        <f t="shared" si="3007"/>
        <v>1</v>
      </c>
      <c r="AD1515">
        <f t="shared" si="6"/>
        <v>2</v>
      </c>
      <c r="AE1515">
        <f t="shared" si="7"/>
        <v>1</v>
      </c>
    </row>
    <row r="1516">
      <c r="B1516" t="str">
        <f>IFERROR(__xludf.DUMMYFUNCTION("""COMPUTED_VALUE"""),"")</f>
        <v/>
      </c>
      <c r="C1516" t="str">
        <f>IFERROR(__xludf.DUMMYFUNCTION("""COMPUTED_VALUE"""),"")</f>
        <v/>
      </c>
      <c r="D1516" t="str">
        <f>IFERROR(__xludf.DUMMYFUNCTION("""COMPUTED_VALUE"""),"")</f>
        <v/>
      </c>
      <c r="E1516" t="str">
        <f>IFERROR(__xludf.DUMMYFUNCTION("""COMPUTED_VALUE"""),"")</f>
        <v/>
      </c>
      <c r="F1516" t="str">
        <f>IFERROR(__xludf.DUMMYFUNCTION("""COMPUTED_VALUE"""),"")</f>
        <v/>
      </c>
      <c r="G1516" t="str">
        <f>IFERROR(__xludf.DUMMYFUNCTION("""COMPUTED_VALUE"""),"")</f>
        <v/>
      </c>
      <c r="H1516" t="str">
        <f>IFERROR(__xludf.DUMMYFUNCTION("""COMPUTED_VALUE"""),"")</f>
        <v/>
      </c>
      <c r="I1516" t="str">
        <f>IFERROR(__xludf.DUMMYFUNCTION("""COMPUTED_VALUE"""),"")</f>
        <v/>
      </c>
      <c r="J1516">
        <f>IFERROR(__xludf.DUMMYFUNCTION("""COMPUTED_VALUE"""),0.0)</f>
        <v>0</v>
      </c>
      <c r="L1516" s="250" t="str">
        <f>IFERROR(__xludf.DUMMYFUNCTION("""COMPUTED_VALUE"""),"")</f>
        <v/>
      </c>
      <c r="M1516" s="250" t="str">
        <f>IFERROR(__xludf.DUMMYFUNCTION("""COMPUTED_VALUE"""),"")</f>
        <v/>
      </c>
      <c r="N1516" s="250" t="str">
        <f>IFERROR(__xludf.DUMMYFUNCTION("""COMPUTED_VALUE"""),"")</f>
        <v/>
      </c>
      <c r="O1516" s="250" t="str">
        <f>IFERROR(__xludf.DUMMYFUNCTION("""COMPUTED_VALUE"""),"")</f>
        <v/>
      </c>
      <c r="P1516" s="250" t="str">
        <f>IFERROR(__xludf.DUMMYFUNCTION("""COMPUTED_VALUE"""),"")</f>
        <v/>
      </c>
      <c r="Q1516" s="250" t="str">
        <f>IFERROR(__xludf.DUMMYFUNCTION("""COMPUTED_VALUE"""),"")</f>
        <v/>
      </c>
      <c r="R1516" s="250" t="str">
        <f>IFERROR(__xludf.DUMMYFUNCTION("""COMPUTED_VALUE"""),"")</f>
        <v/>
      </c>
      <c r="U1516" s="250" t="str">
        <f>IFERROR(__xludf.DUMMYFUNCTION("""COMPUTED_VALUE"""),"#N/A")</f>
        <v>#N/A</v>
      </c>
      <c r="V1516" s="250" t="str">
        <f>IFERROR(__xludf.DUMMYFUNCTION("""COMPUTED_VALUE"""),"#N/A")</f>
        <v>#N/A</v>
      </c>
      <c r="W1516" s="250" t="str">
        <f>IFERROR(__xludf.DUMMYFUNCTION("""COMPUTED_VALUE"""),"#N/A")</f>
        <v>#N/A</v>
      </c>
      <c r="X1516" t="b">
        <f t="shared" ref="X1516:Z1516" si="3008">ISBLANK(K1516)</f>
        <v>1</v>
      </c>
      <c r="Y1516" t="b">
        <f t="shared" si="3008"/>
        <v>0</v>
      </c>
      <c r="Z1516" t="b">
        <f t="shared" si="3008"/>
        <v>0</v>
      </c>
      <c r="AA1516">
        <f t="shared" ref="AA1516:AC1516" si="3009">IF(X1516=FALSE,1,0)</f>
        <v>0</v>
      </c>
      <c r="AB1516">
        <f t="shared" si="3009"/>
        <v>1</v>
      </c>
      <c r="AC1516">
        <f t="shared" si="3009"/>
        <v>1</v>
      </c>
      <c r="AD1516">
        <f t="shared" si="6"/>
        <v>2</v>
      </c>
      <c r="AE1516">
        <f t="shared" si="7"/>
        <v>1</v>
      </c>
    </row>
    <row r="1517">
      <c r="B1517" t="str">
        <f>IFERROR(__xludf.DUMMYFUNCTION("""COMPUTED_VALUE"""),"")</f>
        <v/>
      </c>
      <c r="C1517" t="str">
        <f>IFERROR(__xludf.DUMMYFUNCTION("""COMPUTED_VALUE"""),"")</f>
        <v/>
      </c>
      <c r="D1517" t="str">
        <f>IFERROR(__xludf.DUMMYFUNCTION("""COMPUTED_VALUE"""),"")</f>
        <v/>
      </c>
      <c r="E1517" t="str">
        <f>IFERROR(__xludf.DUMMYFUNCTION("""COMPUTED_VALUE"""),"")</f>
        <v/>
      </c>
      <c r="F1517" t="str">
        <f>IFERROR(__xludf.DUMMYFUNCTION("""COMPUTED_VALUE"""),"")</f>
        <v/>
      </c>
      <c r="G1517" t="str">
        <f>IFERROR(__xludf.DUMMYFUNCTION("""COMPUTED_VALUE"""),"")</f>
        <v/>
      </c>
      <c r="H1517" t="str">
        <f>IFERROR(__xludf.DUMMYFUNCTION("""COMPUTED_VALUE"""),"")</f>
        <v/>
      </c>
      <c r="I1517" t="str">
        <f>IFERROR(__xludf.DUMMYFUNCTION("""COMPUTED_VALUE"""),"")</f>
        <v/>
      </c>
      <c r="J1517">
        <f>IFERROR(__xludf.DUMMYFUNCTION("""COMPUTED_VALUE"""),0.0)</f>
        <v>0</v>
      </c>
      <c r="L1517" s="250" t="str">
        <f>IFERROR(__xludf.DUMMYFUNCTION("""COMPUTED_VALUE"""),"")</f>
        <v/>
      </c>
      <c r="M1517" s="250" t="str">
        <f>IFERROR(__xludf.DUMMYFUNCTION("""COMPUTED_VALUE"""),"")</f>
        <v/>
      </c>
      <c r="N1517" s="250" t="str">
        <f>IFERROR(__xludf.DUMMYFUNCTION("""COMPUTED_VALUE"""),"")</f>
        <v/>
      </c>
      <c r="O1517" s="250" t="str">
        <f>IFERROR(__xludf.DUMMYFUNCTION("""COMPUTED_VALUE"""),"")</f>
        <v/>
      </c>
      <c r="P1517" s="250" t="str">
        <f>IFERROR(__xludf.DUMMYFUNCTION("""COMPUTED_VALUE"""),"")</f>
        <v/>
      </c>
      <c r="Q1517" s="250" t="str">
        <f>IFERROR(__xludf.DUMMYFUNCTION("""COMPUTED_VALUE"""),"")</f>
        <v/>
      </c>
      <c r="R1517" s="250" t="str">
        <f>IFERROR(__xludf.DUMMYFUNCTION("""COMPUTED_VALUE"""),"")</f>
        <v/>
      </c>
      <c r="U1517" s="250" t="str">
        <f>IFERROR(__xludf.DUMMYFUNCTION("""COMPUTED_VALUE"""),"#N/A")</f>
        <v>#N/A</v>
      </c>
      <c r="V1517" s="250" t="str">
        <f>IFERROR(__xludf.DUMMYFUNCTION("""COMPUTED_VALUE"""),"#N/A")</f>
        <v>#N/A</v>
      </c>
      <c r="W1517" s="250" t="str">
        <f>IFERROR(__xludf.DUMMYFUNCTION("""COMPUTED_VALUE"""),"#N/A")</f>
        <v>#N/A</v>
      </c>
      <c r="X1517" t="b">
        <f t="shared" ref="X1517:Z1517" si="3010">ISBLANK(K1517)</f>
        <v>1</v>
      </c>
      <c r="Y1517" t="b">
        <f t="shared" si="3010"/>
        <v>0</v>
      </c>
      <c r="Z1517" t="b">
        <f t="shared" si="3010"/>
        <v>0</v>
      </c>
      <c r="AA1517">
        <f t="shared" ref="AA1517:AC1517" si="3011">IF(X1517=FALSE,1,0)</f>
        <v>0</v>
      </c>
      <c r="AB1517">
        <f t="shared" si="3011"/>
        <v>1</v>
      </c>
      <c r="AC1517">
        <f t="shared" si="3011"/>
        <v>1</v>
      </c>
      <c r="AD1517">
        <f t="shared" si="6"/>
        <v>2</v>
      </c>
      <c r="AE1517">
        <f t="shared" si="7"/>
        <v>1</v>
      </c>
    </row>
    <row r="1518">
      <c r="B1518" t="str">
        <f>IFERROR(__xludf.DUMMYFUNCTION("""COMPUTED_VALUE"""),"")</f>
        <v/>
      </c>
      <c r="C1518" t="str">
        <f>IFERROR(__xludf.DUMMYFUNCTION("""COMPUTED_VALUE"""),"")</f>
        <v/>
      </c>
      <c r="D1518" t="str">
        <f>IFERROR(__xludf.DUMMYFUNCTION("""COMPUTED_VALUE"""),"")</f>
        <v/>
      </c>
      <c r="E1518" t="str">
        <f>IFERROR(__xludf.DUMMYFUNCTION("""COMPUTED_VALUE"""),"")</f>
        <v/>
      </c>
      <c r="F1518" t="str">
        <f>IFERROR(__xludf.DUMMYFUNCTION("""COMPUTED_VALUE"""),"")</f>
        <v/>
      </c>
      <c r="G1518" t="str">
        <f>IFERROR(__xludf.DUMMYFUNCTION("""COMPUTED_VALUE"""),"")</f>
        <v/>
      </c>
      <c r="H1518" t="str">
        <f>IFERROR(__xludf.DUMMYFUNCTION("""COMPUTED_VALUE"""),"")</f>
        <v/>
      </c>
      <c r="I1518" t="str">
        <f>IFERROR(__xludf.DUMMYFUNCTION("""COMPUTED_VALUE"""),"")</f>
        <v/>
      </c>
      <c r="J1518">
        <f>IFERROR(__xludf.DUMMYFUNCTION("""COMPUTED_VALUE"""),0.0)</f>
        <v>0</v>
      </c>
      <c r="L1518" s="250" t="str">
        <f>IFERROR(__xludf.DUMMYFUNCTION("""COMPUTED_VALUE"""),"")</f>
        <v/>
      </c>
      <c r="M1518" s="250" t="str">
        <f>IFERROR(__xludf.DUMMYFUNCTION("""COMPUTED_VALUE"""),"")</f>
        <v/>
      </c>
      <c r="N1518" s="250" t="str">
        <f>IFERROR(__xludf.DUMMYFUNCTION("""COMPUTED_VALUE"""),"")</f>
        <v/>
      </c>
      <c r="O1518" s="250" t="str">
        <f>IFERROR(__xludf.DUMMYFUNCTION("""COMPUTED_VALUE"""),"")</f>
        <v/>
      </c>
      <c r="P1518" s="250" t="str">
        <f>IFERROR(__xludf.DUMMYFUNCTION("""COMPUTED_VALUE"""),"")</f>
        <v/>
      </c>
      <c r="Q1518" s="250" t="str">
        <f>IFERROR(__xludf.DUMMYFUNCTION("""COMPUTED_VALUE"""),"")</f>
        <v/>
      </c>
      <c r="R1518" s="250" t="str">
        <f>IFERROR(__xludf.DUMMYFUNCTION("""COMPUTED_VALUE"""),"")</f>
        <v/>
      </c>
      <c r="U1518" s="250" t="str">
        <f>IFERROR(__xludf.DUMMYFUNCTION("""COMPUTED_VALUE"""),"#N/A")</f>
        <v>#N/A</v>
      </c>
      <c r="V1518" s="250" t="str">
        <f>IFERROR(__xludf.DUMMYFUNCTION("""COMPUTED_VALUE"""),"#N/A")</f>
        <v>#N/A</v>
      </c>
      <c r="W1518" s="250" t="str">
        <f>IFERROR(__xludf.DUMMYFUNCTION("""COMPUTED_VALUE"""),"#N/A")</f>
        <v>#N/A</v>
      </c>
      <c r="X1518" t="b">
        <f t="shared" ref="X1518:Z1518" si="3012">ISBLANK(K1518)</f>
        <v>1</v>
      </c>
      <c r="Y1518" t="b">
        <f t="shared" si="3012"/>
        <v>0</v>
      </c>
      <c r="Z1518" t="b">
        <f t="shared" si="3012"/>
        <v>0</v>
      </c>
      <c r="AA1518">
        <f t="shared" ref="AA1518:AC1518" si="3013">IF(X1518=FALSE,1,0)</f>
        <v>0</v>
      </c>
      <c r="AB1518">
        <f t="shared" si="3013"/>
        <v>1</v>
      </c>
      <c r="AC1518">
        <f t="shared" si="3013"/>
        <v>1</v>
      </c>
      <c r="AD1518">
        <f t="shared" si="6"/>
        <v>2</v>
      </c>
      <c r="AE1518">
        <f t="shared" si="7"/>
        <v>1</v>
      </c>
    </row>
    <row r="1519">
      <c r="B1519" t="str">
        <f>IFERROR(__xludf.DUMMYFUNCTION("""COMPUTED_VALUE"""),"")</f>
        <v/>
      </c>
      <c r="C1519" t="str">
        <f>IFERROR(__xludf.DUMMYFUNCTION("""COMPUTED_VALUE"""),"")</f>
        <v/>
      </c>
      <c r="D1519" t="str">
        <f>IFERROR(__xludf.DUMMYFUNCTION("""COMPUTED_VALUE"""),"")</f>
        <v/>
      </c>
      <c r="E1519" t="str">
        <f>IFERROR(__xludf.DUMMYFUNCTION("""COMPUTED_VALUE"""),"")</f>
        <v/>
      </c>
      <c r="F1519" t="str">
        <f>IFERROR(__xludf.DUMMYFUNCTION("""COMPUTED_VALUE"""),"")</f>
        <v/>
      </c>
      <c r="G1519" t="str">
        <f>IFERROR(__xludf.DUMMYFUNCTION("""COMPUTED_VALUE"""),"")</f>
        <v/>
      </c>
      <c r="H1519" t="str">
        <f>IFERROR(__xludf.DUMMYFUNCTION("""COMPUTED_VALUE"""),"")</f>
        <v/>
      </c>
      <c r="I1519" t="str">
        <f>IFERROR(__xludf.DUMMYFUNCTION("""COMPUTED_VALUE"""),"")</f>
        <v/>
      </c>
      <c r="J1519">
        <f>IFERROR(__xludf.DUMMYFUNCTION("""COMPUTED_VALUE"""),0.0)</f>
        <v>0</v>
      </c>
      <c r="L1519" s="250" t="str">
        <f>IFERROR(__xludf.DUMMYFUNCTION("""COMPUTED_VALUE"""),"")</f>
        <v/>
      </c>
      <c r="M1519" s="250" t="str">
        <f>IFERROR(__xludf.DUMMYFUNCTION("""COMPUTED_VALUE"""),"")</f>
        <v/>
      </c>
      <c r="N1519" s="250" t="str">
        <f>IFERROR(__xludf.DUMMYFUNCTION("""COMPUTED_VALUE"""),"")</f>
        <v/>
      </c>
      <c r="O1519" s="250" t="str">
        <f>IFERROR(__xludf.DUMMYFUNCTION("""COMPUTED_VALUE"""),"")</f>
        <v/>
      </c>
      <c r="P1519" s="250" t="str">
        <f>IFERROR(__xludf.DUMMYFUNCTION("""COMPUTED_VALUE"""),"")</f>
        <v/>
      </c>
      <c r="Q1519" s="250" t="str">
        <f>IFERROR(__xludf.DUMMYFUNCTION("""COMPUTED_VALUE"""),"")</f>
        <v/>
      </c>
      <c r="R1519" s="250" t="str">
        <f>IFERROR(__xludf.DUMMYFUNCTION("""COMPUTED_VALUE"""),"")</f>
        <v/>
      </c>
      <c r="U1519" s="250" t="str">
        <f>IFERROR(__xludf.DUMMYFUNCTION("""COMPUTED_VALUE"""),"#N/A")</f>
        <v>#N/A</v>
      </c>
      <c r="V1519" s="250" t="str">
        <f>IFERROR(__xludf.DUMMYFUNCTION("""COMPUTED_VALUE"""),"#N/A")</f>
        <v>#N/A</v>
      </c>
      <c r="W1519" s="250" t="str">
        <f>IFERROR(__xludf.DUMMYFUNCTION("""COMPUTED_VALUE"""),"#N/A")</f>
        <v>#N/A</v>
      </c>
      <c r="X1519" t="b">
        <f t="shared" ref="X1519:Z1519" si="3014">ISBLANK(K1519)</f>
        <v>1</v>
      </c>
      <c r="Y1519" t="b">
        <f t="shared" si="3014"/>
        <v>0</v>
      </c>
      <c r="Z1519" t="b">
        <f t="shared" si="3014"/>
        <v>0</v>
      </c>
      <c r="AA1519">
        <f t="shared" ref="AA1519:AC1519" si="3015">IF(X1519=FALSE,1,0)</f>
        <v>0</v>
      </c>
      <c r="AB1519">
        <f t="shared" si="3015"/>
        <v>1</v>
      </c>
      <c r="AC1519">
        <f t="shared" si="3015"/>
        <v>1</v>
      </c>
      <c r="AD1519">
        <f t="shared" si="6"/>
        <v>2</v>
      </c>
      <c r="AE1519">
        <f t="shared" si="7"/>
        <v>1</v>
      </c>
    </row>
    <row r="1520">
      <c r="B1520" t="str">
        <f>IFERROR(__xludf.DUMMYFUNCTION("""COMPUTED_VALUE"""),"")</f>
        <v/>
      </c>
      <c r="C1520" t="str">
        <f>IFERROR(__xludf.DUMMYFUNCTION("""COMPUTED_VALUE"""),"")</f>
        <v/>
      </c>
      <c r="D1520" t="str">
        <f>IFERROR(__xludf.DUMMYFUNCTION("""COMPUTED_VALUE"""),"")</f>
        <v/>
      </c>
      <c r="E1520" t="str">
        <f>IFERROR(__xludf.DUMMYFUNCTION("""COMPUTED_VALUE"""),"")</f>
        <v/>
      </c>
      <c r="F1520" t="str">
        <f>IFERROR(__xludf.DUMMYFUNCTION("""COMPUTED_VALUE"""),"")</f>
        <v/>
      </c>
      <c r="G1520" t="str">
        <f>IFERROR(__xludf.DUMMYFUNCTION("""COMPUTED_VALUE"""),"")</f>
        <v/>
      </c>
      <c r="H1520" t="str">
        <f>IFERROR(__xludf.DUMMYFUNCTION("""COMPUTED_VALUE"""),"")</f>
        <v/>
      </c>
      <c r="I1520" t="str">
        <f>IFERROR(__xludf.DUMMYFUNCTION("""COMPUTED_VALUE"""),"")</f>
        <v/>
      </c>
      <c r="J1520">
        <f>IFERROR(__xludf.DUMMYFUNCTION("""COMPUTED_VALUE"""),0.0)</f>
        <v>0</v>
      </c>
      <c r="L1520" s="250" t="str">
        <f>IFERROR(__xludf.DUMMYFUNCTION("""COMPUTED_VALUE"""),"")</f>
        <v/>
      </c>
      <c r="M1520" s="250" t="str">
        <f>IFERROR(__xludf.DUMMYFUNCTION("""COMPUTED_VALUE"""),"")</f>
        <v/>
      </c>
      <c r="N1520" s="250" t="str">
        <f>IFERROR(__xludf.DUMMYFUNCTION("""COMPUTED_VALUE"""),"")</f>
        <v/>
      </c>
      <c r="O1520" s="250" t="str">
        <f>IFERROR(__xludf.DUMMYFUNCTION("""COMPUTED_VALUE"""),"")</f>
        <v/>
      </c>
      <c r="P1520" s="250" t="str">
        <f>IFERROR(__xludf.DUMMYFUNCTION("""COMPUTED_VALUE"""),"")</f>
        <v/>
      </c>
      <c r="Q1520" s="250" t="str">
        <f>IFERROR(__xludf.DUMMYFUNCTION("""COMPUTED_VALUE"""),"")</f>
        <v/>
      </c>
      <c r="R1520" s="250" t="str">
        <f>IFERROR(__xludf.DUMMYFUNCTION("""COMPUTED_VALUE"""),"")</f>
        <v/>
      </c>
      <c r="U1520" s="250" t="str">
        <f>IFERROR(__xludf.DUMMYFUNCTION("""COMPUTED_VALUE"""),"#N/A")</f>
        <v>#N/A</v>
      </c>
      <c r="V1520" s="250" t="str">
        <f>IFERROR(__xludf.DUMMYFUNCTION("""COMPUTED_VALUE"""),"#N/A")</f>
        <v>#N/A</v>
      </c>
      <c r="W1520" s="250" t="str">
        <f>IFERROR(__xludf.DUMMYFUNCTION("""COMPUTED_VALUE"""),"#N/A")</f>
        <v>#N/A</v>
      </c>
      <c r="X1520" t="b">
        <f t="shared" ref="X1520:Z1520" si="3016">ISBLANK(K1520)</f>
        <v>1</v>
      </c>
      <c r="Y1520" t="b">
        <f t="shared" si="3016"/>
        <v>0</v>
      </c>
      <c r="Z1520" t="b">
        <f t="shared" si="3016"/>
        <v>0</v>
      </c>
      <c r="AA1520">
        <f t="shared" ref="AA1520:AC1520" si="3017">IF(X1520=FALSE,1,0)</f>
        <v>0</v>
      </c>
      <c r="AB1520">
        <f t="shared" si="3017"/>
        <v>1</v>
      </c>
      <c r="AC1520">
        <f t="shared" si="3017"/>
        <v>1</v>
      </c>
      <c r="AD1520">
        <f t="shared" si="6"/>
        <v>2</v>
      </c>
      <c r="AE1520">
        <f t="shared" si="7"/>
        <v>1</v>
      </c>
    </row>
    <row r="1521">
      <c r="B1521" t="str">
        <f>IFERROR(__xludf.DUMMYFUNCTION("""COMPUTED_VALUE"""),"")</f>
        <v/>
      </c>
      <c r="C1521" t="str">
        <f>IFERROR(__xludf.DUMMYFUNCTION("""COMPUTED_VALUE"""),"")</f>
        <v/>
      </c>
      <c r="D1521" t="str">
        <f>IFERROR(__xludf.DUMMYFUNCTION("""COMPUTED_VALUE"""),"")</f>
        <v/>
      </c>
      <c r="E1521" t="str">
        <f>IFERROR(__xludf.DUMMYFUNCTION("""COMPUTED_VALUE"""),"")</f>
        <v/>
      </c>
      <c r="F1521" t="str">
        <f>IFERROR(__xludf.DUMMYFUNCTION("""COMPUTED_VALUE"""),"")</f>
        <v/>
      </c>
      <c r="G1521" t="str">
        <f>IFERROR(__xludf.DUMMYFUNCTION("""COMPUTED_VALUE"""),"")</f>
        <v/>
      </c>
      <c r="H1521" t="str">
        <f>IFERROR(__xludf.DUMMYFUNCTION("""COMPUTED_VALUE"""),"")</f>
        <v/>
      </c>
      <c r="I1521" t="str">
        <f>IFERROR(__xludf.DUMMYFUNCTION("""COMPUTED_VALUE"""),"")</f>
        <v/>
      </c>
      <c r="J1521">
        <f>IFERROR(__xludf.DUMMYFUNCTION("""COMPUTED_VALUE"""),0.0)</f>
        <v>0</v>
      </c>
      <c r="L1521" s="250" t="str">
        <f>IFERROR(__xludf.DUMMYFUNCTION("""COMPUTED_VALUE"""),"")</f>
        <v/>
      </c>
      <c r="M1521" s="250" t="str">
        <f>IFERROR(__xludf.DUMMYFUNCTION("""COMPUTED_VALUE"""),"")</f>
        <v/>
      </c>
      <c r="N1521" s="250" t="str">
        <f>IFERROR(__xludf.DUMMYFUNCTION("""COMPUTED_VALUE"""),"")</f>
        <v/>
      </c>
      <c r="O1521" s="250" t="str">
        <f>IFERROR(__xludf.DUMMYFUNCTION("""COMPUTED_VALUE"""),"")</f>
        <v/>
      </c>
      <c r="P1521" s="250" t="str">
        <f>IFERROR(__xludf.DUMMYFUNCTION("""COMPUTED_VALUE"""),"")</f>
        <v/>
      </c>
      <c r="Q1521" s="250" t="str">
        <f>IFERROR(__xludf.DUMMYFUNCTION("""COMPUTED_VALUE"""),"")</f>
        <v/>
      </c>
      <c r="R1521" s="250" t="str">
        <f>IFERROR(__xludf.DUMMYFUNCTION("""COMPUTED_VALUE"""),"")</f>
        <v/>
      </c>
      <c r="U1521" s="250" t="str">
        <f>IFERROR(__xludf.DUMMYFUNCTION("""COMPUTED_VALUE"""),"#N/A")</f>
        <v>#N/A</v>
      </c>
      <c r="V1521" s="250" t="str">
        <f>IFERROR(__xludf.DUMMYFUNCTION("""COMPUTED_VALUE"""),"#N/A")</f>
        <v>#N/A</v>
      </c>
      <c r="W1521" s="250" t="str">
        <f>IFERROR(__xludf.DUMMYFUNCTION("""COMPUTED_VALUE"""),"#N/A")</f>
        <v>#N/A</v>
      </c>
      <c r="X1521" t="b">
        <f t="shared" ref="X1521:Z1521" si="3018">ISBLANK(K1521)</f>
        <v>1</v>
      </c>
      <c r="Y1521" t="b">
        <f t="shared" si="3018"/>
        <v>0</v>
      </c>
      <c r="Z1521" t="b">
        <f t="shared" si="3018"/>
        <v>0</v>
      </c>
      <c r="AA1521">
        <f t="shared" ref="AA1521:AC1521" si="3019">IF(X1521=FALSE,1,0)</f>
        <v>0</v>
      </c>
      <c r="AB1521">
        <f t="shared" si="3019"/>
        <v>1</v>
      </c>
      <c r="AC1521">
        <f t="shared" si="3019"/>
        <v>1</v>
      </c>
      <c r="AD1521">
        <f t="shared" si="6"/>
        <v>2</v>
      </c>
      <c r="AE1521">
        <f t="shared" si="7"/>
        <v>1</v>
      </c>
    </row>
    <row r="1522">
      <c r="B1522" t="str">
        <f>IFERROR(__xludf.DUMMYFUNCTION("""COMPUTED_VALUE"""),"")</f>
        <v/>
      </c>
      <c r="C1522" t="str">
        <f>IFERROR(__xludf.DUMMYFUNCTION("""COMPUTED_VALUE"""),"")</f>
        <v/>
      </c>
      <c r="D1522" t="str">
        <f>IFERROR(__xludf.DUMMYFUNCTION("""COMPUTED_VALUE"""),"")</f>
        <v/>
      </c>
      <c r="E1522" t="str">
        <f>IFERROR(__xludf.DUMMYFUNCTION("""COMPUTED_VALUE"""),"")</f>
        <v/>
      </c>
      <c r="F1522" t="str">
        <f>IFERROR(__xludf.DUMMYFUNCTION("""COMPUTED_VALUE"""),"")</f>
        <v/>
      </c>
      <c r="G1522" t="str">
        <f>IFERROR(__xludf.DUMMYFUNCTION("""COMPUTED_VALUE"""),"")</f>
        <v/>
      </c>
      <c r="H1522" t="str">
        <f>IFERROR(__xludf.DUMMYFUNCTION("""COMPUTED_VALUE"""),"")</f>
        <v/>
      </c>
      <c r="I1522" t="str">
        <f>IFERROR(__xludf.DUMMYFUNCTION("""COMPUTED_VALUE"""),"")</f>
        <v/>
      </c>
      <c r="J1522">
        <f>IFERROR(__xludf.DUMMYFUNCTION("""COMPUTED_VALUE"""),0.0)</f>
        <v>0</v>
      </c>
      <c r="L1522" s="250" t="str">
        <f>IFERROR(__xludf.DUMMYFUNCTION("""COMPUTED_VALUE"""),"")</f>
        <v/>
      </c>
      <c r="M1522" s="250" t="str">
        <f>IFERROR(__xludf.DUMMYFUNCTION("""COMPUTED_VALUE"""),"")</f>
        <v/>
      </c>
      <c r="N1522" s="250" t="str">
        <f>IFERROR(__xludf.DUMMYFUNCTION("""COMPUTED_VALUE"""),"")</f>
        <v/>
      </c>
      <c r="O1522" s="250" t="str">
        <f>IFERROR(__xludf.DUMMYFUNCTION("""COMPUTED_VALUE"""),"")</f>
        <v/>
      </c>
      <c r="P1522" s="250" t="str">
        <f>IFERROR(__xludf.DUMMYFUNCTION("""COMPUTED_VALUE"""),"")</f>
        <v/>
      </c>
      <c r="Q1522" s="250" t="str">
        <f>IFERROR(__xludf.DUMMYFUNCTION("""COMPUTED_VALUE"""),"")</f>
        <v/>
      </c>
      <c r="R1522" s="250" t="str">
        <f>IFERROR(__xludf.DUMMYFUNCTION("""COMPUTED_VALUE"""),"")</f>
        <v/>
      </c>
      <c r="U1522" s="250" t="str">
        <f>IFERROR(__xludf.DUMMYFUNCTION("""COMPUTED_VALUE"""),"#N/A")</f>
        <v>#N/A</v>
      </c>
      <c r="V1522" s="250" t="str">
        <f>IFERROR(__xludf.DUMMYFUNCTION("""COMPUTED_VALUE"""),"#N/A")</f>
        <v>#N/A</v>
      </c>
      <c r="W1522" s="250" t="str">
        <f>IFERROR(__xludf.DUMMYFUNCTION("""COMPUTED_VALUE"""),"#N/A")</f>
        <v>#N/A</v>
      </c>
      <c r="X1522" t="b">
        <f t="shared" ref="X1522:Z1522" si="3020">ISBLANK(K1522)</f>
        <v>1</v>
      </c>
      <c r="Y1522" t="b">
        <f t="shared" si="3020"/>
        <v>0</v>
      </c>
      <c r="Z1522" t="b">
        <f t="shared" si="3020"/>
        <v>0</v>
      </c>
      <c r="AA1522">
        <f t="shared" ref="AA1522:AC1522" si="3021">IF(X1522=FALSE,1,0)</f>
        <v>0</v>
      </c>
      <c r="AB1522">
        <f t="shared" si="3021"/>
        <v>1</v>
      </c>
      <c r="AC1522">
        <f t="shared" si="3021"/>
        <v>1</v>
      </c>
      <c r="AD1522">
        <f t="shared" si="6"/>
        <v>2</v>
      </c>
      <c r="AE1522">
        <f t="shared" si="7"/>
        <v>1</v>
      </c>
    </row>
    <row r="1523">
      <c r="B1523" t="str">
        <f>IFERROR(__xludf.DUMMYFUNCTION("""COMPUTED_VALUE"""),"")</f>
        <v/>
      </c>
      <c r="C1523" t="str">
        <f>IFERROR(__xludf.DUMMYFUNCTION("""COMPUTED_VALUE"""),"")</f>
        <v/>
      </c>
      <c r="D1523" t="str">
        <f>IFERROR(__xludf.DUMMYFUNCTION("""COMPUTED_VALUE"""),"")</f>
        <v/>
      </c>
      <c r="E1523" t="str">
        <f>IFERROR(__xludf.DUMMYFUNCTION("""COMPUTED_VALUE"""),"")</f>
        <v/>
      </c>
      <c r="F1523" t="str">
        <f>IFERROR(__xludf.DUMMYFUNCTION("""COMPUTED_VALUE"""),"")</f>
        <v/>
      </c>
      <c r="G1523" t="str">
        <f>IFERROR(__xludf.DUMMYFUNCTION("""COMPUTED_VALUE"""),"")</f>
        <v/>
      </c>
      <c r="H1523" t="str">
        <f>IFERROR(__xludf.DUMMYFUNCTION("""COMPUTED_VALUE"""),"")</f>
        <v/>
      </c>
      <c r="I1523" t="str">
        <f>IFERROR(__xludf.DUMMYFUNCTION("""COMPUTED_VALUE"""),"")</f>
        <v/>
      </c>
      <c r="J1523">
        <f>IFERROR(__xludf.DUMMYFUNCTION("""COMPUTED_VALUE"""),0.0)</f>
        <v>0</v>
      </c>
      <c r="L1523" s="250" t="str">
        <f>IFERROR(__xludf.DUMMYFUNCTION("""COMPUTED_VALUE"""),"")</f>
        <v/>
      </c>
      <c r="M1523" s="250" t="str">
        <f>IFERROR(__xludf.DUMMYFUNCTION("""COMPUTED_VALUE"""),"")</f>
        <v/>
      </c>
      <c r="N1523" s="250" t="str">
        <f>IFERROR(__xludf.DUMMYFUNCTION("""COMPUTED_VALUE"""),"")</f>
        <v/>
      </c>
      <c r="O1523" s="250" t="str">
        <f>IFERROR(__xludf.DUMMYFUNCTION("""COMPUTED_VALUE"""),"")</f>
        <v/>
      </c>
      <c r="P1523" s="250" t="str">
        <f>IFERROR(__xludf.DUMMYFUNCTION("""COMPUTED_VALUE"""),"")</f>
        <v/>
      </c>
      <c r="Q1523" s="250" t="str">
        <f>IFERROR(__xludf.DUMMYFUNCTION("""COMPUTED_VALUE"""),"")</f>
        <v/>
      </c>
      <c r="R1523" s="250" t="str">
        <f>IFERROR(__xludf.DUMMYFUNCTION("""COMPUTED_VALUE"""),"")</f>
        <v/>
      </c>
      <c r="U1523" s="250" t="str">
        <f>IFERROR(__xludf.DUMMYFUNCTION("""COMPUTED_VALUE"""),"#N/A")</f>
        <v>#N/A</v>
      </c>
      <c r="V1523" s="250" t="str">
        <f>IFERROR(__xludf.DUMMYFUNCTION("""COMPUTED_VALUE"""),"#N/A")</f>
        <v>#N/A</v>
      </c>
      <c r="W1523" s="250" t="str">
        <f>IFERROR(__xludf.DUMMYFUNCTION("""COMPUTED_VALUE"""),"#N/A")</f>
        <v>#N/A</v>
      </c>
      <c r="X1523" t="b">
        <f t="shared" ref="X1523:Z1523" si="3022">ISBLANK(K1523)</f>
        <v>1</v>
      </c>
      <c r="Y1523" t="b">
        <f t="shared" si="3022"/>
        <v>0</v>
      </c>
      <c r="Z1523" t="b">
        <f t="shared" si="3022"/>
        <v>0</v>
      </c>
      <c r="AA1523">
        <f t="shared" ref="AA1523:AC1523" si="3023">IF(X1523=FALSE,1,0)</f>
        <v>0</v>
      </c>
      <c r="AB1523">
        <f t="shared" si="3023"/>
        <v>1</v>
      </c>
      <c r="AC1523">
        <f t="shared" si="3023"/>
        <v>1</v>
      </c>
      <c r="AD1523">
        <f t="shared" si="6"/>
        <v>2</v>
      </c>
      <c r="AE1523">
        <f t="shared" si="7"/>
        <v>1</v>
      </c>
    </row>
    <row r="1524">
      <c r="B1524" t="str">
        <f>IFERROR(__xludf.DUMMYFUNCTION("""COMPUTED_VALUE"""),"")</f>
        <v/>
      </c>
      <c r="C1524" t="str">
        <f>IFERROR(__xludf.DUMMYFUNCTION("""COMPUTED_VALUE"""),"")</f>
        <v/>
      </c>
      <c r="D1524" t="str">
        <f>IFERROR(__xludf.DUMMYFUNCTION("""COMPUTED_VALUE"""),"")</f>
        <v/>
      </c>
      <c r="E1524" t="str">
        <f>IFERROR(__xludf.DUMMYFUNCTION("""COMPUTED_VALUE"""),"")</f>
        <v/>
      </c>
      <c r="F1524" t="str">
        <f>IFERROR(__xludf.DUMMYFUNCTION("""COMPUTED_VALUE"""),"")</f>
        <v/>
      </c>
      <c r="G1524" t="str">
        <f>IFERROR(__xludf.DUMMYFUNCTION("""COMPUTED_VALUE"""),"")</f>
        <v/>
      </c>
      <c r="H1524" t="str">
        <f>IFERROR(__xludf.DUMMYFUNCTION("""COMPUTED_VALUE"""),"")</f>
        <v/>
      </c>
      <c r="I1524" t="str">
        <f>IFERROR(__xludf.DUMMYFUNCTION("""COMPUTED_VALUE"""),"")</f>
        <v/>
      </c>
      <c r="J1524">
        <f>IFERROR(__xludf.DUMMYFUNCTION("""COMPUTED_VALUE"""),0.0)</f>
        <v>0</v>
      </c>
      <c r="L1524" s="250" t="str">
        <f>IFERROR(__xludf.DUMMYFUNCTION("""COMPUTED_VALUE"""),"")</f>
        <v/>
      </c>
      <c r="M1524" s="250" t="str">
        <f>IFERROR(__xludf.DUMMYFUNCTION("""COMPUTED_VALUE"""),"")</f>
        <v/>
      </c>
      <c r="N1524" s="250" t="str">
        <f>IFERROR(__xludf.DUMMYFUNCTION("""COMPUTED_VALUE"""),"")</f>
        <v/>
      </c>
      <c r="O1524" s="250" t="str">
        <f>IFERROR(__xludf.DUMMYFUNCTION("""COMPUTED_VALUE"""),"")</f>
        <v/>
      </c>
      <c r="P1524" s="250" t="str">
        <f>IFERROR(__xludf.DUMMYFUNCTION("""COMPUTED_VALUE"""),"")</f>
        <v/>
      </c>
      <c r="Q1524" s="250" t="str">
        <f>IFERROR(__xludf.DUMMYFUNCTION("""COMPUTED_VALUE"""),"")</f>
        <v/>
      </c>
      <c r="R1524" s="250" t="str">
        <f>IFERROR(__xludf.DUMMYFUNCTION("""COMPUTED_VALUE"""),"")</f>
        <v/>
      </c>
      <c r="U1524" s="250" t="str">
        <f>IFERROR(__xludf.DUMMYFUNCTION("""COMPUTED_VALUE"""),"#N/A")</f>
        <v>#N/A</v>
      </c>
      <c r="V1524" s="250" t="str">
        <f>IFERROR(__xludf.DUMMYFUNCTION("""COMPUTED_VALUE"""),"#N/A")</f>
        <v>#N/A</v>
      </c>
      <c r="W1524" s="250" t="str">
        <f>IFERROR(__xludf.DUMMYFUNCTION("""COMPUTED_VALUE"""),"#N/A")</f>
        <v>#N/A</v>
      </c>
      <c r="X1524" t="b">
        <f t="shared" ref="X1524:Z1524" si="3024">ISBLANK(K1524)</f>
        <v>1</v>
      </c>
      <c r="Y1524" t="b">
        <f t="shared" si="3024"/>
        <v>0</v>
      </c>
      <c r="Z1524" t="b">
        <f t="shared" si="3024"/>
        <v>0</v>
      </c>
      <c r="AA1524">
        <f t="shared" ref="AA1524:AC1524" si="3025">IF(X1524=FALSE,1,0)</f>
        <v>0</v>
      </c>
      <c r="AB1524">
        <f t="shared" si="3025"/>
        <v>1</v>
      </c>
      <c r="AC1524">
        <f t="shared" si="3025"/>
        <v>1</v>
      </c>
      <c r="AD1524">
        <f t="shared" si="6"/>
        <v>2</v>
      </c>
      <c r="AE1524">
        <f t="shared" si="7"/>
        <v>1</v>
      </c>
    </row>
    <row r="1525">
      <c r="B1525" t="str">
        <f>IFERROR(__xludf.DUMMYFUNCTION("""COMPUTED_VALUE"""),"")</f>
        <v/>
      </c>
      <c r="C1525" t="str">
        <f>IFERROR(__xludf.DUMMYFUNCTION("""COMPUTED_VALUE"""),"")</f>
        <v/>
      </c>
      <c r="D1525" t="str">
        <f>IFERROR(__xludf.DUMMYFUNCTION("""COMPUTED_VALUE"""),"")</f>
        <v/>
      </c>
      <c r="E1525" t="str">
        <f>IFERROR(__xludf.DUMMYFUNCTION("""COMPUTED_VALUE"""),"")</f>
        <v/>
      </c>
      <c r="F1525" t="str">
        <f>IFERROR(__xludf.DUMMYFUNCTION("""COMPUTED_VALUE"""),"")</f>
        <v/>
      </c>
      <c r="G1525" t="str">
        <f>IFERROR(__xludf.DUMMYFUNCTION("""COMPUTED_VALUE"""),"")</f>
        <v/>
      </c>
      <c r="H1525" t="str">
        <f>IFERROR(__xludf.DUMMYFUNCTION("""COMPUTED_VALUE"""),"")</f>
        <v/>
      </c>
      <c r="I1525" t="str">
        <f>IFERROR(__xludf.DUMMYFUNCTION("""COMPUTED_VALUE"""),"")</f>
        <v/>
      </c>
      <c r="J1525">
        <f>IFERROR(__xludf.DUMMYFUNCTION("""COMPUTED_VALUE"""),0.0)</f>
        <v>0</v>
      </c>
      <c r="L1525" s="250" t="str">
        <f>IFERROR(__xludf.DUMMYFUNCTION("""COMPUTED_VALUE"""),"")</f>
        <v/>
      </c>
      <c r="M1525" s="250" t="str">
        <f>IFERROR(__xludf.DUMMYFUNCTION("""COMPUTED_VALUE"""),"")</f>
        <v/>
      </c>
      <c r="N1525" s="250" t="str">
        <f>IFERROR(__xludf.DUMMYFUNCTION("""COMPUTED_VALUE"""),"")</f>
        <v/>
      </c>
      <c r="O1525" s="250" t="str">
        <f>IFERROR(__xludf.DUMMYFUNCTION("""COMPUTED_VALUE"""),"")</f>
        <v/>
      </c>
      <c r="P1525" s="250" t="str">
        <f>IFERROR(__xludf.DUMMYFUNCTION("""COMPUTED_VALUE"""),"")</f>
        <v/>
      </c>
      <c r="Q1525" s="250" t="str">
        <f>IFERROR(__xludf.DUMMYFUNCTION("""COMPUTED_VALUE"""),"")</f>
        <v/>
      </c>
      <c r="R1525" s="250" t="str">
        <f>IFERROR(__xludf.DUMMYFUNCTION("""COMPUTED_VALUE"""),"")</f>
        <v/>
      </c>
      <c r="U1525" s="250" t="str">
        <f>IFERROR(__xludf.DUMMYFUNCTION("""COMPUTED_VALUE"""),"#N/A")</f>
        <v>#N/A</v>
      </c>
      <c r="V1525" s="250" t="str">
        <f>IFERROR(__xludf.DUMMYFUNCTION("""COMPUTED_VALUE"""),"#N/A")</f>
        <v>#N/A</v>
      </c>
      <c r="W1525" s="250" t="str">
        <f>IFERROR(__xludf.DUMMYFUNCTION("""COMPUTED_VALUE"""),"#N/A")</f>
        <v>#N/A</v>
      </c>
      <c r="X1525" t="b">
        <f t="shared" ref="X1525:Z1525" si="3026">ISBLANK(K1525)</f>
        <v>1</v>
      </c>
      <c r="Y1525" t="b">
        <f t="shared" si="3026"/>
        <v>0</v>
      </c>
      <c r="Z1525" t="b">
        <f t="shared" si="3026"/>
        <v>0</v>
      </c>
      <c r="AA1525">
        <f t="shared" ref="AA1525:AC1525" si="3027">IF(X1525=FALSE,1,0)</f>
        <v>0</v>
      </c>
      <c r="AB1525">
        <f t="shared" si="3027"/>
        <v>1</v>
      </c>
      <c r="AC1525">
        <f t="shared" si="3027"/>
        <v>1</v>
      </c>
      <c r="AD1525">
        <f t="shared" si="6"/>
        <v>2</v>
      </c>
      <c r="AE1525">
        <f t="shared" si="7"/>
        <v>1</v>
      </c>
    </row>
    <row r="1526">
      <c r="B1526" t="str">
        <f>IFERROR(__xludf.DUMMYFUNCTION("""COMPUTED_VALUE"""),"")</f>
        <v/>
      </c>
      <c r="C1526" t="str">
        <f>IFERROR(__xludf.DUMMYFUNCTION("""COMPUTED_VALUE"""),"")</f>
        <v/>
      </c>
      <c r="D1526" t="str">
        <f>IFERROR(__xludf.DUMMYFUNCTION("""COMPUTED_VALUE"""),"")</f>
        <v/>
      </c>
      <c r="E1526" t="str">
        <f>IFERROR(__xludf.DUMMYFUNCTION("""COMPUTED_VALUE"""),"")</f>
        <v/>
      </c>
      <c r="F1526" t="str">
        <f>IFERROR(__xludf.DUMMYFUNCTION("""COMPUTED_VALUE"""),"")</f>
        <v/>
      </c>
      <c r="G1526" t="str">
        <f>IFERROR(__xludf.DUMMYFUNCTION("""COMPUTED_VALUE"""),"")</f>
        <v/>
      </c>
      <c r="H1526" t="str">
        <f>IFERROR(__xludf.DUMMYFUNCTION("""COMPUTED_VALUE"""),"")</f>
        <v/>
      </c>
      <c r="I1526" t="str">
        <f>IFERROR(__xludf.DUMMYFUNCTION("""COMPUTED_VALUE"""),"")</f>
        <v/>
      </c>
      <c r="J1526">
        <f>IFERROR(__xludf.DUMMYFUNCTION("""COMPUTED_VALUE"""),0.0)</f>
        <v>0</v>
      </c>
      <c r="L1526" s="250" t="str">
        <f>IFERROR(__xludf.DUMMYFUNCTION("""COMPUTED_VALUE"""),"")</f>
        <v/>
      </c>
      <c r="M1526" s="250" t="str">
        <f>IFERROR(__xludf.DUMMYFUNCTION("""COMPUTED_VALUE"""),"")</f>
        <v/>
      </c>
      <c r="N1526" s="250" t="str">
        <f>IFERROR(__xludf.DUMMYFUNCTION("""COMPUTED_VALUE"""),"")</f>
        <v/>
      </c>
      <c r="O1526" s="250" t="str">
        <f>IFERROR(__xludf.DUMMYFUNCTION("""COMPUTED_VALUE"""),"")</f>
        <v/>
      </c>
      <c r="P1526" s="250" t="str">
        <f>IFERROR(__xludf.DUMMYFUNCTION("""COMPUTED_VALUE"""),"")</f>
        <v/>
      </c>
      <c r="Q1526" s="250" t="str">
        <f>IFERROR(__xludf.DUMMYFUNCTION("""COMPUTED_VALUE"""),"")</f>
        <v/>
      </c>
      <c r="R1526" s="250" t="str">
        <f>IFERROR(__xludf.DUMMYFUNCTION("""COMPUTED_VALUE"""),"")</f>
        <v/>
      </c>
      <c r="U1526" s="250" t="str">
        <f>IFERROR(__xludf.DUMMYFUNCTION("""COMPUTED_VALUE"""),"#N/A")</f>
        <v>#N/A</v>
      </c>
      <c r="V1526" s="250" t="str">
        <f>IFERROR(__xludf.DUMMYFUNCTION("""COMPUTED_VALUE"""),"#N/A")</f>
        <v>#N/A</v>
      </c>
      <c r="W1526" s="250" t="str">
        <f>IFERROR(__xludf.DUMMYFUNCTION("""COMPUTED_VALUE"""),"#N/A")</f>
        <v>#N/A</v>
      </c>
      <c r="X1526" t="b">
        <f t="shared" ref="X1526:Z1526" si="3028">ISBLANK(K1526)</f>
        <v>1</v>
      </c>
      <c r="Y1526" t="b">
        <f t="shared" si="3028"/>
        <v>0</v>
      </c>
      <c r="Z1526" t="b">
        <f t="shared" si="3028"/>
        <v>0</v>
      </c>
      <c r="AA1526">
        <f t="shared" ref="AA1526:AC1526" si="3029">IF(X1526=FALSE,1,0)</f>
        <v>0</v>
      </c>
      <c r="AB1526">
        <f t="shared" si="3029"/>
        <v>1</v>
      </c>
      <c r="AC1526">
        <f t="shared" si="3029"/>
        <v>1</v>
      </c>
      <c r="AD1526">
        <f t="shared" si="6"/>
        <v>2</v>
      </c>
      <c r="AE1526">
        <f t="shared" si="7"/>
        <v>1</v>
      </c>
    </row>
    <row r="1527">
      <c r="B1527" t="str">
        <f>IFERROR(__xludf.DUMMYFUNCTION("""COMPUTED_VALUE"""),"")</f>
        <v/>
      </c>
      <c r="C1527" t="str">
        <f>IFERROR(__xludf.DUMMYFUNCTION("""COMPUTED_VALUE"""),"")</f>
        <v/>
      </c>
      <c r="D1527" t="str">
        <f>IFERROR(__xludf.DUMMYFUNCTION("""COMPUTED_VALUE"""),"")</f>
        <v/>
      </c>
      <c r="E1527" t="str">
        <f>IFERROR(__xludf.DUMMYFUNCTION("""COMPUTED_VALUE"""),"")</f>
        <v/>
      </c>
      <c r="F1527" t="str">
        <f>IFERROR(__xludf.DUMMYFUNCTION("""COMPUTED_VALUE"""),"")</f>
        <v/>
      </c>
      <c r="G1527" t="str">
        <f>IFERROR(__xludf.DUMMYFUNCTION("""COMPUTED_VALUE"""),"")</f>
        <v/>
      </c>
      <c r="H1527" t="str">
        <f>IFERROR(__xludf.DUMMYFUNCTION("""COMPUTED_VALUE"""),"")</f>
        <v/>
      </c>
      <c r="I1527" t="str">
        <f>IFERROR(__xludf.DUMMYFUNCTION("""COMPUTED_VALUE"""),"")</f>
        <v/>
      </c>
      <c r="J1527">
        <f>IFERROR(__xludf.DUMMYFUNCTION("""COMPUTED_VALUE"""),0.0)</f>
        <v>0</v>
      </c>
      <c r="L1527" s="250" t="str">
        <f>IFERROR(__xludf.DUMMYFUNCTION("""COMPUTED_VALUE"""),"")</f>
        <v/>
      </c>
      <c r="M1527" s="250" t="str">
        <f>IFERROR(__xludf.DUMMYFUNCTION("""COMPUTED_VALUE"""),"")</f>
        <v/>
      </c>
      <c r="N1527" s="250" t="str">
        <f>IFERROR(__xludf.DUMMYFUNCTION("""COMPUTED_VALUE"""),"")</f>
        <v/>
      </c>
      <c r="O1527" s="250" t="str">
        <f>IFERROR(__xludf.DUMMYFUNCTION("""COMPUTED_VALUE"""),"")</f>
        <v/>
      </c>
      <c r="P1527" s="250" t="str">
        <f>IFERROR(__xludf.DUMMYFUNCTION("""COMPUTED_VALUE"""),"")</f>
        <v/>
      </c>
      <c r="Q1527" s="250" t="str">
        <f>IFERROR(__xludf.DUMMYFUNCTION("""COMPUTED_VALUE"""),"")</f>
        <v/>
      </c>
      <c r="R1527" s="250" t="str">
        <f>IFERROR(__xludf.DUMMYFUNCTION("""COMPUTED_VALUE"""),"")</f>
        <v/>
      </c>
      <c r="U1527" s="250" t="str">
        <f>IFERROR(__xludf.DUMMYFUNCTION("""COMPUTED_VALUE"""),"#N/A")</f>
        <v>#N/A</v>
      </c>
      <c r="V1527" s="250" t="str">
        <f>IFERROR(__xludf.DUMMYFUNCTION("""COMPUTED_VALUE"""),"#N/A")</f>
        <v>#N/A</v>
      </c>
      <c r="W1527" s="250" t="str">
        <f>IFERROR(__xludf.DUMMYFUNCTION("""COMPUTED_VALUE"""),"#N/A")</f>
        <v>#N/A</v>
      </c>
      <c r="X1527" t="b">
        <f t="shared" ref="X1527:Z1527" si="3030">ISBLANK(K1527)</f>
        <v>1</v>
      </c>
      <c r="Y1527" t="b">
        <f t="shared" si="3030"/>
        <v>0</v>
      </c>
      <c r="Z1527" t="b">
        <f t="shared" si="3030"/>
        <v>0</v>
      </c>
      <c r="AA1527">
        <f t="shared" ref="AA1527:AC1527" si="3031">IF(X1527=FALSE,1,0)</f>
        <v>0</v>
      </c>
      <c r="AB1527">
        <f t="shared" si="3031"/>
        <v>1</v>
      </c>
      <c r="AC1527">
        <f t="shared" si="3031"/>
        <v>1</v>
      </c>
      <c r="AD1527">
        <f t="shared" si="6"/>
        <v>2</v>
      </c>
      <c r="AE1527">
        <f t="shared" si="7"/>
        <v>1</v>
      </c>
    </row>
    <row r="1528">
      <c r="B1528" t="str">
        <f>IFERROR(__xludf.DUMMYFUNCTION("""COMPUTED_VALUE"""),"")</f>
        <v/>
      </c>
      <c r="C1528" t="str">
        <f>IFERROR(__xludf.DUMMYFUNCTION("""COMPUTED_VALUE"""),"")</f>
        <v/>
      </c>
      <c r="D1528" t="str">
        <f>IFERROR(__xludf.DUMMYFUNCTION("""COMPUTED_VALUE"""),"")</f>
        <v/>
      </c>
      <c r="E1528" t="str">
        <f>IFERROR(__xludf.DUMMYFUNCTION("""COMPUTED_VALUE"""),"")</f>
        <v/>
      </c>
      <c r="F1528" t="str">
        <f>IFERROR(__xludf.DUMMYFUNCTION("""COMPUTED_VALUE"""),"")</f>
        <v/>
      </c>
      <c r="G1528" t="str">
        <f>IFERROR(__xludf.DUMMYFUNCTION("""COMPUTED_VALUE"""),"")</f>
        <v/>
      </c>
      <c r="H1528" t="str">
        <f>IFERROR(__xludf.DUMMYFUNCTION("""COMPUTED_VALUE"""),"")</f>
        <v/>
      </c>
      <c r="I1528" t="str">
        <f>IFERROR(__xludf.DUMMYFUNCTION("""COMPUTED_VALUE"""),"")</f>
        <v/>
      </c>
      <c r="J1528">
        <f>IFERROR(__xludf.DUMMYFUNCTION("""COMPUTED_VALUE"""),0.0)</f>
        <v>0</v>
      </c>
      <c r="L1528" s="250" t="str">
        <f>IFERROR(__xludf.DUMMYFUNCTION("""COMPUTED_VALUE"""),"")</f>
        <v/>
      </c>
      <c r="M1528" s="250" t="str">
        <f>IFERROR(__xludf.DUMMYFUNCTION("""COMPUTED_VALUE"""),"")</f>
        <v/>
      </c>
      <c r="N1528" s="250" t="str">
        <f>IFERROR(__xludf.DUMMYFUNCTION("""COMPUTED_VALUE"""),"")</f>
        <v/>
      </c>
      <c r="O1528" s="250" t="str">
        <f>IFERROR(__xludf.DUMMYFUNCTION("""COMPUTED_VALUE"""),"")</f>
        <v/>
      </c>
      <c r="P1528" s="250" t="str">
        <f>IFERROR(__xludf.DUMMYFUNCTION("""COMPUTED_VALUE"""),"")</f>
        <v/>
      </c>
      <c r="Q1528" s="250" t="str">
        <f>IFERROR(__xludf.DUMMYFUNCTION("""COMPUTED_VALUE"""),"")</f>
        <v/>
      </c>
      <c r="R1528" s="250" t="str">
        <f>IFERROR(__xludf.DUMMYFUNCTION("""COMPUTED_VALUE"""),"")</f>
        <v/>
      </c>
      <c r="U1528" s="250" t="str">
        <f>IFERROR(__xludf.DUMMYFUNCTION("""COMPUTED_VALUE"""),"#N/A")</f>
        <v>#N/A</v>
      </c>
      <c r="V1528" s="250" t="str">
        <f>IFERROR(__xludf.DUMMYFUNCTION("""COMPUTED_VALUE"""),"#N/A")</f>
        <v>#N/A</v>
      </c>
      <c r="W1528" s="250" t="str">
        <f>IFERROR(__xludf.DUMMYFUNCTION("""COMPUTED_VALUE"""),"#N/A")</f>
        <v>#N/A</v>
      </c>
      <c r="X1528" t="b">
        <f t="shared" ref="X1528:Z1528" si="3032">ISBLANK(K1528)</f>
        <v>1</v>
      </c>
      <c r="Y1528" t="b">
        <f t="shared" si="3032"/>
        <v>0</v>
      </c>
      <c r="Z1528" t="b">
        <f t="shared" si="3032"/>
        <v>0</v>
      </c>
      <c r="AA1528">
        <f t="shared" ref="AA1528:AC1528" si="3033">IF(X1528=FALSE,1,0)</f>
        <v>0</v>
      </c>
      <c r="AB1528">
        <f t="shared" si="3033"/>
        <v>1</v>
      </c>
      <c r="AC1528">
        <f t="shared" si="3033"/>
        <v>1</v>
      </c>
      <c r="AD1528">
        <f t="shared" si="6"/>
        <v>2</v>
      </c>
      <c r="AE1528">
        <f t="shared" si="7"/>
        <v>1</v>
      </c>
    </row>
    <row r="1529">
      <c r="B1529" t="str">
        <f>IFERROR(__xludf.DUMMYFUNCTION("""COMPUTED_VALUE"""),"")</f>
        <v/>
      </c>
      <c r="C1529" t="str">
        <f>IFERROR(__xludf.DUMMYFUNCTION("""COMPUTED_VALUE"""),"")</f>
        <v/>
      </c>
      <c r="D1529" t="str">
        <f>IFERROR(__xludf.DUMMYFUNCTION("""COMPUTED_VALUE"""),"")</f>
        <v/>
      </c>
      <c r="E1529" t="str">
        <f>IFERROR(__xludf.DUMMYFUNCTION("""COMPUTED_VALUE"""),"")</f>
        <v/>
      </c>
      <c r="F1529" t="str">
        <f>IFERROR(__xludf.DUMMYFUNCTION("""COMPUTED_VALUE"""),"")</f>
        <v/>
      </c>
      <c r="G1529" t="str">
        <f>IFERROR(__xludf.DUMMYFUNCTION("""COMPUTED_VALUE"""),"")</f>
        <v/>
      </c>
      <c r="H1529" t="str">
        <f>IFERROR(__xludf.DUMMYFUNCTION("""COMPUTED_VALUE"""),"")</f>
        <v/>
      </c>
      <c r="I1529" t="str">
        <f>IFERROR(__xludf.DUMMYFUNCTION("""COMPUTED_VALUE"""),"")</f>
        <v/>
      </c>
      <c r="J1529">
        <f>IFERROR(__xludf.DUMMYFUNCTION("""COMPUTED_VALUE"""),0.0)</f>
        <v>0</v>
      </c>
      <c r="L1529" s="250" t="str">
        <f>IFERROR(__xludf.DUMMYFUNCTION("""COMPUTED_VALUE"""),"")</f>
        <v/>
      </c>
      <c r="M1529" s="250" t="str">
        <f>IFERROR(__xludf.DUMMYFUNCTION("""COMPUTED_VALUE"""),"")</f>
        <v/>
      </c>
      <c r="N1529" s="250" t="str">
        <f>IFERROR(__xludf.DUMMYFUNCTION("""COMPUTED_VALUE"""),"")</f>
        <v/>
      </c>
      <c r="O1529" s="250" t="str">
        <f>IFERROR(__xludf.DUMMYFUNCTION("""COMPUTED_VALUE"""),"")</f>
        <v/>
      </c>
      <c r="P1529" s="250" t="str">
        <f>IFERROR(__xludf.DUMMYFUNCTION("""COMPUTED_VALUE"""),"")</f>
        <v/>
      </c>
      <c r="Q1529" s="250" t="str">
        <f>IFERROR(__xludf.DUMMYFUNCTION("""COMPUTED_VALUE"""),"")</f>
        <v/>
      </c>
      <c r="R1529" s="250" t="str">
        <f>IFERROR(__xludf.DUMMYFUNCTION("""COMPUTED_VALUE"""),"")</f>
        <v/>
      </c>
      <c r="U1529" s="250" t="str">
        <f>IFERROR(__xludf.DUMMYFUNCTION("""COMPUTED_VALUE"""),"#N/A")</f>
        <v>#N/A</v>
      </c>
      <c r="V1529" s="250" t="str">
        <f>IFERROR(__xludf.DUMMYFUNCTION("""COMPUTED_VALUE"""),"#N/A")</f>
        <v>#N/A</v>
      </c>
      <c r="W1529" s="250" t="str">
        <f>IFERROR(__xludf.DUMMYFUNCTION("""COMPUTED_VALUE"""),"#N/A")</f>
        <v>#N/A</v>
      </c>
      <c r="X1529" t="b">
        <f t="shared" ref="X1529:Z1529" si="3034">ISBLANK(K1529)</f>
        <v>1</v>
      </c>
      <c r="Y1529" t="b">
        <f t="shared" si="3034"/>
        <v>0</v>
      </c>
      <c r="Z1529" t="b">
        <f t="shared" si="3034"/>
        <v>0</v>
      </c>
      <c r="AA1529">
        <f t="shared" ref="AA1529:AC1529" si="3035">IF(X1529=FALSE,1,0)</f>
        <v>0</v>
      </c>
      <c r="AB1529">
        <f t="shared" si="3035"/>
        <v>1</v>
      </c>
      <c r="AC1529">
        <f t="shared" si="3035"/>
        <v>1</v>
      </c>
      <c r="AD1529">
        <f t="shared" si="6"/>
        <v>2</v>
      </c>
      <c r="AE1529">
        <f t="shared" si="7"/>
        <v>1</v>
      </c>
    </row>
    <row r="1530">
      <c r="B1530" t="str">
        <f>IFERROR(__xludf.DUMMYFUNCTION("""COMPUTED_VALUE"""),"")</f>
        <v/>
      </c>
      <c r="C1530" t="str">
        <f>IFERROR(__xludf.DUMMYFUNCTION("""COMPUTED_VALUE"""),"")</f>
        <v/>
      </c>
      <c r="D1530" t="str">
        <f>IFERROR(__xludf.DUMMYFUNCTION("""COMPUTED_VALUE"""),"")</f>
        <v/>
      </c>
      <c r="E1530" t="str">
        <f>IFERROR(__xludf.DUMMYFUNCTION("""COMPUTED_VALUE"""),"")</f>
        <v/>
      </c>
      <c r="F1530" t="str">
        <f>IFERROR(__xludf.DUMMYFUNCTION("""COMPUTED_VALUE"""),"")</f>
        <v/>
      </c>
      <c r="G1530" t="str">
        <f>IFERROR(__xludf.DUMMYFUNCTION("""COMPUTED_VALUE"""),"")</f>
        <v/>
      </c>
      <c r="H1530" t="str">
        <f>IFERROR(__xludf.DUMMYFUNCTION("""COMPUTED_VALUE"""),"")</f>
        <v/>
      </c>
      <c r="I1530" t="str">
        <f>IFERROR(__xludf.DUMMYFUNCTION("""COMPUTED_VALUE"""),"")</f>
        <v/>
      </c>
      <c r="J1530">
        <f>IFERROR(__xludf.DUMMYFUNCTION("""COMPUTED_VALUE"""),0.0)</f>
        <v>0</v>
      </c>
      <c r="L1530" s="250" t="str">
        <f>IFERROR(__xludf.DUMMYFUNCTION("""COMPUTED_VALUE"""),"")</f>
        <v/>
      </c>
      <c r="M1530" s="250" t="str">
        <f>IFERROR(__xludf.DUMMYFUNCTION("""COMPUTED_VALUE"""),"")</f>
        <v/>
      </c>
      <c r="N1530" s="250" t="str">
        <f>IFERROR(__xludf.DUMMYFUNCTION("""COMPUTED_VALUE"""),"")</f>
        <v/>
      </c>
      <c r="O1530" s="250" t="str">
        <f>IFERROR(__xludf.DUMMYFUNCTION("""COMPUTED_VALUE"""),"")</f>
        <v/>
      </c>
      <c r="P1530" s="250" t="str">
        <f>IFERROR(__xludf.DUMMYFUNCTION("""COMPUTED_VALUE"""),"")</f>
        <v/>
      </c>
      <c r="Q1530" s="250" t="str">
        <f>IFERROR(__xludf.DUMMYFUNCTION("""COMPUTED_VALUE"""),"")</f>
        <v/>
      </c>
      <c r="R1530" s="250" t="str">
        <f>IFERROR(__xludf.DUMMYFUNCTION("""COMPUTED_VALUE"""),"")</f>
        <v/>
      </c>
      <c r="U1530" s="250" t="str">
        <f>IFERROR(__xludf.DUMMYFUNCTION("""COMPUTED_VALUE"""),"#N/A")</f>
        <v>#N/A</v>
      </c>
      <c r="V1530" s="250" t="str">
        <f>IFERROR(__xludf.DUMMYFUNCTION("""COMPUTED_VALUE"""),"#N/A")</f>
        <v>#N/A</v>
      </c>
      <c r="W1530" s="250" t="str">
        <f>IFERROR(__xludf.DUMMYFUNCTION("""COMPUTED_VALUE"""),"#N/A")</f>
        <v>#N/A</v>
      </c>
      <c r="X1530" t="b">
        <f t="shared" ref="X1530:Z1530" si="3036">ISBLANK(K1530)</f>
        <v>1</v>
      </c>
      <c r="Y1530" t="b">
        <f t="shared" si="3036"/>
        <v>0</v>
      </c>
      <c r="Z1530" t="b">
        <f t="shared" si="3036"/>
        <v>0</v>
      </c>
      <c r="AA1530">
        <f t="shared" ref="AA1530:AC1530" si="3037">IF(X1530=FALSE,1,0)</f>
        <v>0</v>
      </c>
      <c r="AB1530">
        <f t="shared" si="3037"/>
        <v>1</v>
      </c>
      <c r="AC1530">
        <f t="shared" si="3037"/>
        <v>1</v>
      </c>
      <c r="AD1530">
        <f t="shared" si="6"/>
        <v>2</v>
      </c>
      <c r="AE1530">
        <f t="shared" si="7"/>
        <v>1</v>
      </c>
    </row>
    <row r="1531">
      <c r="B1531" t="str">
        <f>IFERROR(__xludf.DUMMYFUNCTION("""COMPUTED_VALUE"""),"")</f>
        <v/>
      </c>
      <c r="C1531" t="str">
        <f>IFERROR(__xludf.DUMMYFUNCTION("""COMPUTED_VALUE"""),"")</f>
        <v/>
      </c>
      <c r="D1531" t="str">
        <f>IFERROR(__xludf.DUMMYFUNCTION("""COMPUTED_VALUE"""),"")</f>
        <v/>
      </c>
      <c r="E1531" t="str">
        <f>IFERROR(__xludf.DUMMYFUNCTION("""COMPUTED_VALUE"""),"")</f>
        <v/>
      </c>
      <c r="F1531" t="str">
        <f>IFERROR(__xludf.DUMMYFUNCTION("""COMPUTED_VALUE"""),"")</f>
        <v/>
      </c>
      <c r="G1531" t="str">
        <f>IFERROR(__xludf.DUMMYFUNCTION("""COMPUTED_VALUE"""),"")</f>
        <v/>
      </c>
      <c r="H1531" t="str">
        <f>IFERROR(__xludf.DUMMYFUNCTION("""COMPUTED_VALUE"""),"")</f>
        <v/>
      </c>
      <c r="I1531" t="str">
        <f>IFERROR(__xludf.DUMMYFUNCTION("""COMPUTED_VALUE"""),"")</f>
        <v/>
      </c>
      <c r="J1531">
        <f>IFERROR(__xludf.DUMMYFUNCTION("""COMPUTED_VALUE"""),0.0)</f>
        <v>0</v>
      </c>
      <c r="L1531" s="250" t="str">
        <f>IFERROR(__xludf.DUMMYFUNCTION("""COMPUTED_VALUE"""),"")</f>
        <v/>
      </c>
      <c r="M1531" s="250" t="str">
        <f>IFERROR(__xludf.DUMMYFUNCTION("""COMPUTED_VALUE"""),"")</f>
        <v/>
      </c>
      <c r="N1531" s="250" t="str">
        <f>IFERROR(__xludf.DUMMYFUNCTION("""COMPUTED_VALUE"""),"")</f>
        <v/>
      </c>
      <c r="O1531" s="250" t="str">
        <f>IFERROR(__xludf.DUMMYFUNCTION("""COMPUTED_VALUE"""),"")</f>
        <v/>
      </c>
      <c r="P1531" s="250" t="str">
        <f>IFERROR(__xludf.DUMMYFUNCTION("""COMPUTED_VALUE"""),"")</f>
        <v/>
      </c>
      <c r="Q1531" s="250" t="str">
        <f>IFERROR(__xludf.DUMMYFUNCTION("""COMPUTED_VALUE"""),"")</f>
        <v/>
      </c>
      <c r="R1531" s="250" t="str">
        <f>IFERROR(__xludf.DUMMYFUNCTION("""COMPUTED_VALUE"""),"")</f>
        <v/>
      </c>
      <c r="U1531" s="250" t="str">
        <f>IFERROR(__xludf.DUMMYFUNCTION("""COMPUTED_VALUE"""),"#N/A")</f>
        <v>#N/A</v>
      </c>
      <c r="V1531" s="250" t="str">
        <f>IFERROR(__xludf.DUMMYFUNCTION("""COMPUTED_VALUE"""),"#N/A")</f>
        <v>#N/A</v>
      </c>
      <c r="W1531" s="250" t="str">
        <f>IFERROR(__xludf.DUMMYFUNCTION("""COMPUTED_VALUE"""),"#N/A")</f>
        <v>#N/A</v>
      </c>
      <c r="X1531" t="b">
        <f t="shared" ref="X1531:Z1531" si="3038">ISBLANK(K1531)</f>
        <v>1</v>
      </c>
      <c r="Y1531" t="b">
        <f t="shared" si="3038"/>
        <v>0</v>
      </c>
      <c r="Z1531" t="b">
        <f t="shared" si="3038"/>
        <v>0</v>
      </c>
      <c r="AA1531">
        <f t="shared" ref="AA1531:AC1531" si="3039">IF(X1531=FALSE,1,0)</f>
        <v>0</v>
      </c>
      <c r="AB1531">
        <f t="shared" si="3039"/>
        <v>1</v>
      </c>
      <c r="AC1531">
        <f t="shared" si="3039"/>
        <v>1</v>
      </c>
      <c r="AD1531">
        <f t="shared" si="6"/>
        <v>2</v>
      </c>
      <c r="AE1531">
        <f t="shared" si="7"/>
        <v>1</v>
      </c>
    </row>
    <row r="1532">
      <c r="B1532" t="str">
        <f>IFERROR(__xludf.DUMMYFUNCTION("""COMPUTED_VALUE"""),"")</f>
        <v/>
      </c>
      <c r="C1532" t="str">
        <f>IFERROR(__xludf.DUMMYFUNCTION("""COMPUTED_VALUE"""),"")</f>
        <v/>
      </c>
      <c r="D1532" t="str">
        <f>IFERROR(__xludf.DUMMYFUNCTION("""COMPUTED_VALUE"""),"")</f>
        <v/>
      </c>
      <c r="E1532" t="str">
        <f>IFERROR(__xludf.DUMMYFUNCTION("""COMPUTED_VALUE"""),"")</f>
        <v/>
      </c>
      <c r="F1532" t="str">
        <f>IFERROR(__xludf.DUMMYFUNCTION("""COMPUTED_VALUE"""),"")</f>
        <v/>
      </c>
      <c r="G1532" t="str">
        <f>IFERROR(__xludf.DUMMYFUNCTION("""COMPUTED_VALUE"""),"")</f>
        <v/>
      </c>
      <c r="H1532" t="str">
        <f>IFERROR(__xludf.DUMMYFUNCTION("""COMPUTED_VALUE"""),"")</f>
        <v/>
      </c>
      <c r="I1532" t="str">
        <f>IFERROR(__xludf.DUMMYFUNCTION("""COMPUTED_VALUE"""),"")</f>
        <v/>
      </c>
      <c r="J1532">
        <f>IFERROR(__xludf.DUMMYFUNCTION("""COMPUTED_VALUE"""),0.0)</f>
        <v>0</v>
      </c>
      <c r="L1532" s="250" t="str">
        <f>IFERROR(__xludf.DUMMYFUNCTION("""COMPUTED_VALUE"""),"")</f>
        <v/>
      </c>
      <c r="M1532" s="250" t="str">
        <f>IFERROR(__xludf.DUMMYFUNCTION("""COMPUTED_VALUE"""),"")</f>
        <v/>
      </c>
      <c r="N1532" s="250" t="str">
        <f>IFERROR(__xludf.DUMMYFUNCTION("""COMPUTED_VALUE"""),"")</f>
        <v/>
      </c>
      <c r="O1532" s="250" t="str">
        <f>IFERROR(__xludf.DUMMYFUNCTION("""COMPUTED_VALUE"""),"")</f>
        <v/>
      </c>
      <c r="P1532" s="250" t="str">
        <f>IFERROR(__xludf.DUMMYFUNCTION("""COMPUTED_VALUE"""),"")</f>
        <v/>
      </c>
      <c r="Q1532" s="250" t="str">
        <f>IFERROR(__xludf.DUMMYFUNCTION("""COMPUTED_VALUE"""),"")</f>
        <v/>
      </c>
      <c r="R1532" s="250" t="str">
        <f>IFERROR(__xludf.DUMMYFUNCTION("""COMPUTED_VALUE"""),"")</f>
        <v/>
      </c>
      <c r="U1532" s="250" t="str">
        <f>IFERROR(__xludf.DUMMYFUNCTION("""COMPUTED_VALUE"""),"#N/A")</f>
        <v>#N/A</v>
      </c>
      <c r="V1532" s="250" t="str">
        <f>IFERROR(__xludf.DUMMYFUNCTION("""COMPUTED_VALUE"""),"#N/A")</f>
        <v>#N/A</v>
      </c>
      <c r="W1532" s="250" t="str">
        <f>IFERROR(__xludf.DUMMYFUNCTION("""COMPUTED_VALUE"""),"#N/A")</f>
        <v>#N/A</v>
      </c>
      <c r="X1532" t="b">
        <f t="shared" ref="X1532:Z1532" si="3040">ISBLANK(K1532)</f>
        <v>1</v>
      </c>
      <c r="Y1532" t="b">
        <f t="shared" si="3040"/>
        <v>0</v>
      </c>
      <c r="Z1532" t="b">
        <f t="shared" si="3040"/>
        <v>0</v>
      </c>
      <c r="AA1532">
        <f t="shared" ref="AA1532:AC1532" si="3041">IF(X1532=FALSE,1,0)</f>
        <v>0</v>
      </c>
      <c r="AB1532">
        <f t="shared" si="3041"/>
        <v>1</v>
      </c>
      <c r="AC1532">
        <f t="shared" si="3041"/>
        <v>1</v>
      </c>
      <c r="AD1532">
        <f t="shared" si="6"/>
        <v>2</v>
      </c>
      <c r="AE1532">
        <f t="shared" si="7"/>
        <v>1</v>
      </c>
    </row>
    <row r="1533">
      <c r="B1533" t="str">
        <f>IFERROR(__xludf.DUMMYFUNCTION("""COMPUTED_VALUE"""),"")</f>
        <v/>
      </c>
      <c r="C1533" t="str">
        <f>IFERROR(__xludf.DUMMYFUNCTION("""COMPUTED_VALUE"""),"")</f>
        <v/>
      </c>
      <c r="D1533" t="str">
        <f>IFERROR(__xludf.DUMMYFUNCTION("""COMPUTED_VALUE"""),"")</f>
        <v/>
      </c>
      <c r="E1533" t="str">
        <f>IFERROR(__xludf.DUMMYFUNCTION("""COMPUTED_VALUE"""),"")</f>
        <v/>
      </c>
      <c r="F1533" t="str">
        <f>IFERROR(__xludf.DUMMYFUNCTION("""COMPUTED_VALUE"""),"")</f>
        <v/>
      </c>
      <c r="G1533" t="str">
        <f>IFERROR(__xludf.DUMMYFUNCTION("""COMPUTED_VALUE"""),"")</f>
        <v/>
      </c>
      <c r="H1533" t="str">
        <f>IFERROR(__xludf.DUMMYFUNCTION("""COMPUTED_VALUE"""),"")</f>
        <v/>
      </c>
      <c r="I1533" t="str">
        <f>IFERROR(__xludf.DUMMYFUNCTION("""COMPUTED_VALUE"""),"")</f>
        <v/>
      </c>
      <c r="J1533">
        <f>IFERROR(__xludf.DUMMYFUNCTION("""COMPUTED_VALUE"""),0.0)</f>
        <v>0</v>
      </c>
      <c r="L1533" s="250" t="str">
        <f>IFERROR(__xludf.DUMMYFUNCTION("""COMPUTED_VALUE"""),"")</f>
        <v/>
      </c>
      <c r="M1533" s="250" t="str">
        <f>IFERROR(__xludf.DUMMYFUNCTION("""COMPUTED_VALUE"""),"")</f>
        <v/>
      </c>
      <c r="N1533" s="250" t="str">
        <f>IFERROR(__xludf.DUMMYFUNCTION("""COMPUTED_VALUE"""),"")</f>
        <v/>
      </c>
      <c r="O1533" s="250" t="str">
        <f>IFERROR(__xludf.DUMMYFUNCTION("""COMPUTED_VALUE"""),"")</f>
        <v/>
      </c>
      <c r="P1533" s="250" t="str">
        <f>IFERROR(__xludf.DUMMYFUNCTION("""COMPUTED_VALUE"""),"")</f>
        <v/>
      </c>
      <c r="Q1533" s="250" t="str">
        <f>IFERROR(__xludf.DUMMYFUNCTION("""COMPUTED_VALUE"""),"")</f>
        <v/>
      </c>
      <c r="R1533" s="250" t="str">
        <f>IFERROR(__xludf.DUMMYFUNCTION("""COMPUTED_VALUE"""),"")</f>
        <v/>
      </c>
      <c r="U1533" s="250" t="str">
        <f>IFERROR(__xludf.DUMMYFUNCTION("""COMPUTED_VALUE"""),"#N/A")</f>
        <v>#N/A</v>
      </c>
      <c r="V1533" s="250" t="str">
        <f>IFERROR(__xludf.DUMMYFUNCTION("""COMPUTED_VALUE"""),"#N/A")</f>
        <v>#N/A</v>
      </c>
      <c r="W1533" s="250" t="str">
        <f>IFERROR(__xludf.DUMMYFUNCTION("""COMPUTED_VALUE"""),"#N/A")</f>
        <v>#N/A</v>
      </c>
      <c r="X1533" t="b">
        <f t="shared" ref="X1533:Z1533" si="3042">ISBLANK(K1533)</f>
        <v>1</v>
      </c>
      <c r="Y1533" t="b">
        <f t="shared" si="3042"/>
        <v>0</v>
      </c>
      <c r="Z1533" t="b">
        <f t="shared" si="3042"/>
        <v>0</v>
      </c>
      <c r="AA1533">
        <f t="shared" ref="AA1533:AC1533" si="3043">IF(X1533=FALSE,1,0)</f>
        <v>0</v>
      </c>
      <c r="AB1533">
        <f t="shared" si="3043"/>
        <v>1</v>
      </c>
      <c r="AC1533">
        <f t="shared" si="3043"/>
        <v>1</v>
      </c>
      <c r="AD1533">
        <f t="shared" si="6"/>
        <v>2</v>
      </c>
      <c r="AE1533">
        <f t="shared" si="7"/>
        <v>1</v>
      </c>
    </row>
    <row r="1534">
      <c r="B1534" t="str">
        <f>IFERROR(__xludf.DUMMYFUNCTION("""COMPUTED_VALUE"""),"")</f>
        <v/>
      </c>
      <c r="C1534" t="str">
        <f>IFERROR(__xludf.DUMMYFUNCTION("""COMPUTED_VALUE"""),"")</f>
        <v/>
      </c>
      <c r="D1534" t="str">
        <f>IFERROR(__xludf.DUMMYFUNCTION("""COMPUTED_VALUE"""),"")</f>
        <v/>
      </c>
      <c r="E1534" t="str">
        <f>IFERROR(__xludf.DUMMYFUNCTION("""COMPUTED_VALUE"""),"")</f>
        <v/>
      </c>
      <c r="F1534" t="str">
        <f>IFERROR(__xludf.DUMMYFUNCTION("""COMPUTED_VALUE"""),"")</f>
        <v/>
      </c>
      <c r="G1534" t="str">
        <f>IFERROR(__xludf.DUMMYFUNCTION("""COMPUTED_VALUE"""),"")</f>
        <v/>
      </c>
      <c r="H1534" t="str">
        <f>IFERROR(__xludf.DUMMYFUNCTION("""COMPUTED_VALUE"""),"")</f>
        <v/>
      </c>
      <c r="I1534" t="str">
        <f>IFERROR(__xludf.DUMMYFUNCTION("""COMPUTED_VALUE"""),"")</f>
        <v/>
      </c>
      <c r="J1534">
        <f>IFERROR(__xludf.DUMMYFUNCTION("""COMPUTED_VALUE"""),0.0)</f>
        <v>0</v>
      </c>
      <c r="L1534" s="250" t="str">
        <f>IFERROR(__xludf.DUMMYFUNCTION("""COMPUTED_VALUE"""),"")</f>
        <v/>
      </c>
      <c r="M1534" s="250" t="str">
        <f>IFERROR(__xludf.DUMMYFUNCTION("""COMPUTED_VALUE"""),"")</f>
        <v/>
      </c>
      <c r="N1534" s="250" t="str">
        <f>IFERROR(__xludf.DUMMYFUNCTION("""COMPUTED_VALUE"""),"")</f>
        <v/>
      </c>
      <c r="O1534" s="250" t="str">
        <f>IFERROR(__xludf.DUMMYFUNCTION("""COMPUTED_VALUE"""),"")</f>
        <v/>
      </c>
      <c r="P1534" s="250" t="str">
        <f>IFERROR(__xludf.DUMMYFUNCTION("""COMPUTED_VALUE"""),"")</f>
        <v/>
      </c>
      <c r="Q1534" s="250" t="str">
        <f>IFERROR(__xludf.DUMMYFUNCTION("""COMPUTED_VALUE"""),"")</f>
        <v/>
      </c>
      <c r="R1534" s="250" t="str">
        <f>IFERROR(__xludf.DUMMYFUNCTION("""COMPUTED_VALUE"""),"")</f>
        <v/>
      </c>
      <c r="U1534" s="250" t="str">
        <f>IFERROR(__xludf.DUMMYFUNCTION("""COMPUTED_VALUE"""),"#N/A")</f>
        <v>#N/A</v>
      </c>
      <c r="V1534" s="250" t="str">
        <f>IFERROR(__xludf.DUMMYFUNCTION("""COMPUTED_VALUE"""),"#N/A")</f>
        <v>#N/A</v>
      </c>
      <c r="W1534" s="250" t="str">
        <f>IFERROR(__xludf.DUMMYFUNCTION("""COMPUTED_VALUE"""),"#N/A")</f>
        <v>#N/A</v>
      </c>
      <c r="X1534" t="b">
        <f t="shared" ref="X1534:Z1534" si="3044">ISBLANK(K1534)</f>
        <v>1</v>
      </c>
      <c r="Y1534" t="b">
        <f t="shared" si="3044"/>
        <v>0</v>
      </c>
      <c r="Z1534" t="b">
        <f t="shared" si="3044"/>
        <v>0</v>
      </c>
      <c r="AA1534">
        <f t="shared" ref="AA1534:AC1534" si="3045">IF(X1534=FALSE,1,0)</f>
        <v>0</v>
      </c>
      <c r="AB1534">
        <f t="shared" si="3045"/>
        <v>1</v>
      </c>
      <c r="AC1534">
        <f t="shared" si="3045"/>
        <v>1</v>
      </c>
      <c r="AD1534">
        <f t="shared" si="6"/>
        <v>2</v>
      </c>
      <c r="AE1534">
        <f t="shared" si="7"/>
        <v>1</v>
      </c>
    </row>
    <row r="1535">
      <c r="B1535" t="str">
        <f>IFERROR(__xludf.DUMMYFUNCTION("""COMPUTED_VALUE"""),"")</f>
        <v/>
      </c>
      <c r="C1535" t="str">
        <f>IFERROR(__xludf.DUMMYFUNCTION("""COMPUTED_VALUE"""),"")</f>
        <v/>
      </c>
      <c r="D1535" t="str">
        <f>IFERROR(__xludf.DUMMYFUNCTION("""COMPUTED_VALUE"""),"")</f>
        <v/>
      </c>
      <c r="E1535" t="str">
        <f>IFERROR(__xludf.DUMMYFUNCTION("""COMPUTED_VALUE"""),"")</f>
        <v/>
      </c>
      <c r="F1535" t="str">
        <f>IFERROR(__xludf.DUMMYFUNCTION("""COMPUTED_VALUE"""),"")</f>
        <v/>
      </c>
      <c r="G1535" t="str">
        <f>IFERROR(__xludf.DUMMYFUNCTION("""COMPUTED_VALUE"""),"")</f>
        <v/>
      </c>
      <c r="H1535" t="str">
        <f>IFERROR(__xludf.DUMMYFUNCTION("""COMPUTED_VALUE"""),"")</f>
        <v/>
      </c>
      <c r="I1535" t="str">
        <f>IFERROR(__xludf.DUMMYFUNCTION("""COMPUTED_VALUE"""),"")</f>
        <v/>
      </c>
      <c r="J1535">
        <f>IFERROR(__xludf.DUMMYFUNCTION("""COMPUTED_VALUE"""),0.0)</f>
        <v>0</v>
      </c>
      <c r="L1535" s="250" t="str">
        <f>IFERROR(__xludf.DUMMYFUNCTION("""COMPUTED_VALUE"""),"")</f>
        <v/>
      </c>
      <c r="M1535" s="250" t="str">
        <f>IFERROR(__xludf.DUMMYFUNCTION("""COMPUTED_VALUE"""),"")</f>
        <v/>
      </c>
      <c r="N1535" s="250" t="str">
        <f>IFERROR(__xludf.DUMMYFUNCTION("""COMPUTED_VALUE"""),"")</f>
        <v/>
      </c>
      <c r="O1535" s="250" t="str">
        <f>IFERROR(__xludf.DUMMYFUNCTION("""COMPUTED_VALUE"""),"")</f>
        <v/>
      </c>
      <c r="P1535" s="250" t="str">
        <f>IFERROR(__xludf.DUMMYFUNCTION("""COMPUTED_VALUE"""),"")</f>
        <v/>
      </c>
      <c r="Q1535" s="250" t="str">
        <f>IFERROR(__xludf.DUMMYFUNCTION("""COMPUTED_VALUE"""),"")</f>
        <v/>
      </c>
      <c r="R1535" s="250" t="str">
        <f>IFERROR(__xludf.DUMMYFUNCTION("""COMPUTED_VALUE"""),"")</f>
        <v/>
      </c>
      <c r="U1535" s="250" t="str">
        <f>IFERROR(__xludf.DUMMYFUNCTION("""COMPUTED_VALUE"""),"#N/A")</f>
        <v>#N/A</v>
      </c>
      <c r="V1535" s="250" t="str">
        <f>IFERROR(__xludf.DUMMYFUNCTION("""COMPUTED_VALUE"""),"#N/A")</f>
        <v>#N/A</v>
      </c>
      <c r="W1535" s="250" t="str">
        <f>IFERROR(__xludf.DUMMYFUNCTION("""COMPUTED_VALUE"""),"#N/A")</f>
        <v>#N/A</v>
      </c>
      <c r="X1535" t="b">
        <f t="shared" ref="X1535:Z1535" si="3046">ISBLANK(K1535)</f>
        <v>1</v>
      </c>
      <c r="Y1535" t="b">
        <f t="shared" si="3046"/>
        <v>0</v>
      </c>
      <c r="Z1535" t="b">
        <f t="shared" si="3046"/>
        <v>0</v>
      </c>
      <c r="AA1535">
        <f t="shared" ref="AA1535:AC1535" si="3047">IF(X1535=FALSE,1,0)</f>
        <v>0</v>
      </c>
      <c r="AB1535">
        <f t="shared" si="3047"/>
        <v>1</v>
      </c>
      <c r="AC1535">
        <f t="shared" si="3047"/>
        <v>1</v>
      </c>
      <c r="AD1535">
        <f t="shared" si="6"/>
        <v>2</v>
      </c>
      <c r="AE1535">
        <f t="shared" si="7"/>
        <v>1</v>
      </c>
    </row>
    <row r="1536">
      <c r="B1536" t="str">
        <f>IFERROR(__xludf.DUMMYFUNCTION("""COMPUTED_VALUE"""),"")</f>
        <v/>
      </c>
      <c r="C1536" t="str">
        <f>IFERROR(__xludf.DUMMYFUNCTION("""COMPUTED_VALUE"""),"")</f>
        <v/>
      </c>
      <c r="D1536" t="str">
        <f>IFERROR(__xludf.DUMMYFUNCTION("""COMPUTED_VALUE"""),"")</f>
        <v/>
      </c>
      <c r="E1536" t="str">
        <f>IFERROR(__xludf.DUMMYFUNCTION("""COMPUTED_VALUE"""),"")</f>
        <v/>
      </c>
      <c r="F1536" t="str">
        <f>IFERROR(__xludf.DUMMYFUNCTION("""COMPUTED_VALUE"""),"")</f>
        <v/>
      </c>
      <c r="G1536" t="str">
        <f>IFERROR(__xludf.DUMMYFUNCTION("""COMPUTED_VALUE"""),"")</f>
        <v/>
      </c>
      <c r="H1536" t="str">
        <f>IFERROR(__xludf.DUMMYFUNCTION("""COMPUTED_VALUE"""),"")</f>
        <v/>
      </c>
      <c r="I1536" t="str">
        <f>IFERROR(__xludf.DUMMYFUNCTION("""COMPUTED_VALUE"""),"")</f>
        <v/>
      </c>
      <c r="J1536">
        <f>IFERROR(__xludf.DUMMYFUNCTION("""COMPUTED_VALUE"""),0.0)</f>
        <v>0</v>
      </c>
      <c r="L1536" s="250" t="str">
        <f>IFERROR(__xludf.DUMMYFUNCTION("""COMPUTED_VALUE"""),"")</f>
        <v/>
      </c>
      <c r="M1536" s="250" t="str">
        <f>IFERROR(__xludf.DUMMYFUNCTION("""COMPUTED_VALUE"""),"")</f>
        <v/>
      </c>
      <c r="N1536" s="250" t="str">
        <f>IFERROR(__xludf.DUMMYFUNCTION("""COMPUTED_VALUE"""),"")</f>
        <v/>
      </c>
      <c r="O1536" s="250" t="str">
        <f>IFERROR(__xludf.DUMMYFUNCTION("""COMPUTED_VALUE"""),"")</f>
        <v/>
      </c>
      <c r="P1536" s="250" t="str">
        <f>IFERROR(__xludf.DUMMYFUNCTION("""COMPUTED_VALUE"""),"")</f>
        <v/>
      </c>
      <c r="Q1536" s="250" t="str">
        <f>IFERROR(__xludf.DUMMYFUNCTION("""COMPUTED_VALUE"""),"")</f>
        <v/>
      </c>
      <c r="R1536" s="250" t="str">
        <f>IFERROR(__xludf.DUMMYFUNCTION("""COMPUTED_VALUE"""),"")</f>
        <v/>
      </c>
      <c r="U1536" s="250" t="str">
        <f>IFERROR(__xludf.DUMMYFUNCTION("""COMPUTED_VALUE"""),"#N/A")</f>
        <v>#N/A</v>
      </c>
      <c r="V1536" s="250" t="str">
        <f>IFERROR(__xludf.DUMMYFUNCTION("""COMPUTED_VALUE"""),"#N/A")</f>
        <v>#N/A</v>
      </c>
      <c r="W1536" s="250" t="str">
        <f>IFERROR(__xludf.DUMMYFUNCTION("""COMPUTED_VALUE"""),"#N/A")</f>
        <v>#N/A</v>
      </c>
      <c r="X1536" t="b">
        <f t="shared" ref="X1536:Z1536" si="3048">ISBLANK(K1536)</f>
        <v>1</v>
      </c>
      <c r="Y1536" t="b">
        <f t="shared" si="3048"/>
        <v>0</v>
      </c>
      <c r="Z1536" t="b">
        <f t="shared" si="3048"/>
        <v>0</v>
      </c>
      <c r="AA1536">
        <f t="shared" ref="AA1536:AC1536" si="3049">IF(X1536=FALSE,1,0)</f>
        <v>0</v>
      </c>
      <c r="AB1536">
        <f t="shared" si="3049"/>
        <v>1</v>
      </c>
      <c r="AC1536">
        <f t="shared" si="3049"/>
        <v>1</v>
      </c>
      <c r="AD1536">
        <f t="shared" si="6"/>
        <v>2</v>
      </c>
      <c r="AE1536">
        <f t="shared" si="7"/>
        <v>1</v>
      </c>
    </row>
    <row r="1537">
      <c r="B1537" t="str">
        <f>IFERROR(__xludf.DUMMYFUNCTION("""COMPUTED_VALUE"""),"")</f>
        <v/>
      </c>
      <c r="C1537" t="str">
        <f>IFERROR(__xludf.DUMMYFUNCTION("""COMPUTED_VALUE"""),"")</f>
        <v/>
      </c>
      <c r="D1537" t="str">
        <f>IFERROR(__xludf.DUMMYFUNCTION("""COMPUTED_VALUE"""),"")</f>
        <v/>
      </c>
      <c r="E1537" t="str">
        <f>IFERROR(__xludf.DUMMYFUNCTION("""COMPUTED_VALUE"""),"")</f>
        <v/>
      </c>
      <c r="F1537" t="str">
        <f>IFERROR(__xludf.DUMMYFUNCTION("""COMPUTED_VALUE"""),"")</f>
        <v/>
      </c>
      <c r="G1537" t="str">
        <f>IFERROR(__xludf.DUMMYFUNCTION("""COMPUTED_VALUE"""),"")</f>
        <v/>
      </c>
      <c r="H1537" t="str">
        <f>IFERROR(__xludf.DUMMYFUNCTION("""COMPUTED_VALUE"""),"")</f>
        <v/>
      </c>
      <c r="I1537" t="str">
        <f>IFERROR(__xludf.DUMMYFUNCTION("""COMPUTED_VALUE"""),"")</f>
        <v/>
      </c>
      <c r="J1537">
        <f>IFERROR(__xludf.DUMMYFUNCTION("""COMPUTED_VALUE"""),0.0)</f>
        <v>0</v>
      </c>
      <c r="L1537" s="250" t="str">
        <f>IFERROR(__xludf.DUMMYFUNCTION("""COMPUTED_VALUE"""),"")</f>
        <v/>
      </c>
      <c r="M1537" s="250" t="str">
        <f>IFERROR(__xludf.DUMMYFUNCTION("""COMPUTED_VALUE"""),"")</f>
        <v/>
      </c>
      <c r="N1537" s="250" t="str">
        <f>IFERROR(__xludf.DUMMYFUNCTION("""COMPUTED_VALUE"""),"")</f>
        <v/>
      </c>
      <c r="O1537" s="250" t="str">
        <f>IFERROR(__xludf.DUMMYFUNCTION("""COMPUTED_VALUE"""),"")</f>
        <v/>
      </c>
      <c r="P1537" s="250" t="str">
        <f>IFERROR(__xludf.DUMMYFUNCTION("""COMPUTED_VALUE"""),"")</f>
        <v/>
      </c>
      <c r="Q1537" s="250" t="str">
        <f>IFERROR(__xludf.DUMMYFUNCTION("""COMPUTED_VALUE"""),"")</f>
        <v/>
      </c>
      <c r="R1537" s="250" t="str">
        <f>IFERROR(__xludf.DUMMYFUNCTION("""COMPUTED_VALUE"""),"")</f>
        <v/>
      </c>
      <c r="U1537" s="250" t="str">
        <f>IFERROR(__xludf.DUMMYFUNCTION("""COMPUTED_VALUE"""),"#N/A")</f>
        <v>#N/A</v>
      </c>
      <c r="V1537" s="250" t="str">
        <f>IFERROR(__xludf.DUMMYFUNCTION("""COMPUTED_VALUE"""),"#N/A")</f>
        <v>#N/A</v>
      </c>
      <c r="W1537" s="250" t="str">
        <f>IFERROR(__xludf.DUMMYFUNCTION("""COMPUTED_VALUE"""),"#N/A")</f>
        <v>#N/A</v>
      </c>
      <c r="X1537" t="b">
        <f t="shared" ref="X1537:Z1537" si="3050">ISBLANK(K1537)</f>
        <v>1</v>
      </c>
      <c r="Y1537" t="b">
        <f t="shared" si="3050"/>
        <v>0</v>
      </c>
      <c r="Z1537" t="b">
        <f t="shared" si="3050"/>
        <v>0</v>
      </c>
      <c r="AA1537">
        <f t="shared" ref="AA1537:AC1537" si="3051">IF(X1537=FALSE,1,0)</f>
        <v>0</v>
      </c>
      <c r="AB1537">
        <f t="shared" si="3051"/>
        <v>1</v>
      </c>
      <c r="AC1537">
        <f t="shared" si="3051"/>
        <v>1</v>
      </c>
      <c r="AD1537">
        <f t="shared" si="6"/>
        <v>2</v>
      </c>
      <c r="AE1537">
        <f t="shared" si="7"/>
        <v>1</v>
      </c>
    </row>
    <row r="1538">
      <c r="B1538" t="str">
        <f>IFERROR(__xludf.DUMMYFUNCTION("""COMPUTED_VALUE"""),"")</f>
        <v/>
      </c>
      <c r="C1538" t="str">
        <f>IFERROR(__xludf.DUMMYFUNCTION("""COMPUTED_VALUE"""),"")</f>
        <v/>
      </c>
      <c r="D1538" t="str">
        <f>IFERROR(__xludf.DUMMYFUNCTION("""COMPUTED_VALUE"""),"")</f>
        <v/>
      </c>
      <c r="E1538" t="str">
        <f>IFERROR(__xludf.DUMMYFUNCTION("""COMPUTED_VALUE"""),"")</f>
        <v/>
      </c>
      <c r="F1538" t="str">
        <f>IFERROR(__xludf.DUMMYFUNCTION("""COMPUTED_VALUE"""),"")</f>
        <v/>
      </c>
      <c r="G1538" t="str">
        <f>IFERROR(__xludf.DUMMYFUNCTION("""COMPUTED_VALUE"""),"")</f>
        <v/>
      </c>
      <c r="H1538" t="str">
        <f>IFERROR(__xludf.DUMMYFUNCTION("""COMPUTED_VALUE"""),"")</f>
        <v/>
      </c>
      <c r="I1538" t="str">
        <f>IFERROR(__xludf.DUMMYFUNCTION("""COMPUTED_VALUE"""),"")</f>
        <v/>
      </c>
      <c r="J1538">
        <f>IFERROR(__xludf.DUMMYFUNCTION("""COMPUTED_VALUE"""),0.0)</f>
        <v>0</v>
      </c>
      <c r="L1538" s="250" t="str">
        <f>IFERROR(__xludf.DUMMYFUNCTION("""COMPUTED_VALUE"""),"")</f>
        <v/>
      </c>
      <c r="M1538" s="250" t="str">
        <f>IFERROR(__xludf.DUMMYFUNCTION("""COMPUTED_VALUE"""),"")</f>
        <v/>
      </c>
      <c r="N1538" s="250" t="str">
        <f>IFERROR(__xludf.DUMMYFUNCTION("""COMPUTED_VALUE"""),"")</f>
        <v/>
      </c>
      <c r="O1538" s="250" t="str">
        <f>IFERROR(__xludf.DUMMYFUNCTION("""COMPUTED_VALUE"""),"")</f>
        <v/>
      </c>
      <c r="P1538" s="250" t="str">
        <f>IFERROR(__xludf.DUMMYFUNCTION("""COMPUTED_VALUE"""),"")</f>
        <v/>
      </c>
      <c r="Q1538" s="250" t="str">
        <f>IFERROR(__xludf.DUMMYFUNCTION("""COMPUTED_VALUE"""),"")</f>
        <v/>
      </c>
      <c r="R1538" s="250" t="str">
        <f>IFERROR(__xludf.DUMMYFUNCTION("""COMPUTED_VALUE"""),"")</f>
        <v/>
      </c>
      <c r="U1538" s="250" t="str">
        <f>IFERROR(__xludf.DUMMYFUNCTION("""COMPUTED_VALUE"""),"#N/A")</f>
        <v>#N/A</v>
      </c>
      <c r="V1538" s="250" t="str">
        <f>IFERROR(__xludf.DUMMYFUNCTION("""COMPUTED_VALUE"""),"#N/A")</f>
        <v>#N/A</v>
      </c>
      <c r="W1538" s="250" t="str">
        <f>IFERROR(__xludf.DUMMYFUNCTION("""COMPUTED_VALUE"""),"#N/A")</f>
        <v>#N/A</v>
      </c>
      <c r="X1538" t="b">
        <f t="shared" ref="X1538:Z1538" si="3052">ISBLANK(K1538)</f>
        <v>1</v>
      </c>
      <c r="Y1538" t="b">
        <f t="shared" si="3052"/>
        <v>0</v>
      </c>
      <c r="Z1538" t="b">
        <f t="shared" si="3052"/>
        <v>0</v>
      </c>
      <c r="AA1538">
        <f t="shared" ref="AA1538:AC1538" si="3053">IF(X1538=FALSE,1,0)</f>
        <v>0</v>
      </c>
      <c r="AB1538">
        <f t="shared" si="3053"/>
        <v>1</v>
      </c>
      <c r="AC1538">
        <f t="shared" si="3053"/>
        <v>1</v>
      </c>
      <c r="AD1538">
        <f t="shared" si="6"/>
        <v>2</v>
      </c>
      <c r="AE1538">
        <f t="shared" si="7"/>
        <v>1</v>
      </c>
    </row>
    <row r="1539">
      <c r="B1539" t="str">
        <f>IFERROR(__xludf.DUMMYFUNCTION("""COMPUTED_VALUE"""),"")</f>
        <v/>
      </c>
      <c r="C1539" t="str">
        <f>IFERROR(__xludf.DUMMYFUNCTION("""COMPUTED_VALUE"""),"")</f>
        <v/>
      </c>
      <c r="D1539" t="str">
        <f>IFERROR(__xludf.DUMMYFUNCTION("""COMPUTED_VALUE"""),"")</f>
        <v/>
      </c>
      <c r="E1539" t="str">
        <f>IFERROR(__xludf.DUMMYFUNCTION("""COMPUTED_VALUE"""),"")</f>
        <v/>
      </c>
      <c r="F1539" t="str">
        <f>IFERROR(__xludf.DUMMYFUNCTION("""COMPUTED_VALUE"""),"")</f>
        <v/>
      </c>
      <c r="G1539" t="str">
        <f>IFERROR(__xludf.DUMMYFUNCTION("""COMPUTED_VALUE"""),"")</f>
        <v/>
      </c>
      <c r="H1539" t="str">
        <f>IFERROR(__xludf.DUMMYFUNCTION("""COMPUTED_VALUE"""),"")</f>
        <v/>
      </c>
      <c r="I1539" t="str">
        <f>IFERROR(__xludf.DUMMYFUNCTION("""COMPUTED_VALUE"""),"")</f>
        <v/>
      </c>
      <c r="J1539">
        <f>IFERROR(__xludf.DUMMYFUNCTION("""COMPUTED_VALUE"""),0.0)</f>
        <v>0</v>
      </c>
      <c r="L1539" s="250" t="str">
        <f>IFERROR(__xludf.DUMMYFUNCTION("""COMPUTED_VALUE"""),"")</f>
        <v/>
      </c>
      <c r="M1539" s="250" t="str">
        <f>IFERROR(__xludf.DUMMYFUNCTION("""COMPUTED_VALUE"""),"")</f>
        <v/>
      </c>
      <c r="N1539" s="250" t="str">
        <f>IFERROR(__xludf.DUMMYFUNCTION("""COMPUTED_VALUE"""),"")</f>
        <v/>
      </c>
      <c r="O1539" s="250" t="str">
        <f>IFERROR(__xludf.DUMMYFUNCTION("""COMPUTED_VALUE"""),"")</f>
        <v/>
      </c>
      <c r="P1539" s="250" t="str">
        <f>IFERROR(__xludf.DUMMYFUNCTION("""COMPUTED_VALUE"""),"")</f>
        <v/>
      </c>
      <c r="Q1539" s="250" t="str">
        <f>IFERROR(__xludf.DUMMYFUNCTION("""COMPUTED_VALUE"""),"")</f>
        <v/>
      </c>
      <c r="R1539" s="250" t="str">
        <f>IFERROR(__xludf.DUMMYFUNCTION("""COMPUTED_VALUE"""),"")</f>
        <v/>
      </c>
      <c r="U1539" s="250" t="str">
        <f>IFERROR(__xludf.DUMMYFUNCTION("""COMPUTED_VALUE"""),"#N/A")</f>
        <v>#N/A</v>
      </c>
      <c r="V1539" s="250" t="str">
        <f>IFERROR(__xludf.DUMMYFUNCTION("""COMPUTED_VALUE"""),"#N/A")</f>
        <v>#N/A</v>
      </c>
      <c r="W1539" s="250" t="str">
        <f>IFERROR(__xludf.DUMMYFUNCTION("""COMPUTED_VALUE"""),"#N/A")</f>
        <v>#N/A</v>
      </c>
      <c r="X1539" t="b">
        <f t="shared" ref="X1539:Z1539" si="3054">ISBLANK(K1539)</f>
        <v>1</v>
      </c>
      <c r="Y1539" t="b">
        <f t="shared" si="3054"/>
        <v>0</v>
      </c>
      <c r="Z1539" t="b">
        <f t="shared" si="3054"/>
        <v>0</v>
      </c>
      <c r="AA1539">
        <f t="shared" ref="AA1539:AC1539" si="3055">IF(X1539=FALSE,1,0)</f>
        <v>0</v>
      </c>
      <c r="AB1539">
        <f t="shared" si="3055"/>
        <v>1</v>
      </c>
      <c r="AC1539">
        <f t="shared" si="3055"/>
        <v>1</v>
      </c>
      <c r="AD1539">
        <f t="shared" si="6"/>
        <v>2</v>
      </c>
      <c r="AE1539">
        <f t="shared" si="7"/>
        <v>1</v>
      </c>
    </row>
    <row r="1540">
      <c r="B1540" t="str">
        <f>IFERROR(__xludf.DUMMYFUNCTION("""COMPUTED_VALUE"""),"")</f>
        <v/>
      </c>
      <c r="C1540" t="str">
        <f>IFERROR(__xludf.DUMMYFUNCTION("""COMPUTED_VALUE"""),"")</f>
        <v/>
      </c>
      <c r="D1540" t="str">
        <f>IFERROR(__xludf.DUMMYFUNCTION("""COMPUTED_VALUE"""),"")</f>
        <v/>
      </c>
      <c r="E1540" t="str">
        <f>IFERROR(__xludf.DUMMYFUNCTION("""COMPUTED_VALUE"""),"")</f>
        <v/>
      </c>
      <c r="F1540" t="str">
        <f>IFERROR(__xludf.DUMMYFUNCTION("""COMPUTED_VALUE"""),"")</f>
        <v/>
      </c>
      <c r="G1540" t="str">
        <f>IFERROR(__xludf.DUMMYFUNCTION("""COMPUTED_VALUE"""),"")</f>
        <v/>
      </c>
      <c r="H1540" t="str">
        <f>IFERROR(__xludf.DUMMYFUNCTION("""COMPUTED_VALUE"""),"")</f>
        <v/>
      </c>
      <c r="I1540" t="str">
        <f>IFERROR(__xludf.DUMMYFUNCTION("""COMPUTED_VALUE"""),"")</f>
        <v/>
      </c>
      <c r="J1540">
        <f>IFERROR(__xludf.DUMMYFUNCTION("""COMPUTED_VALUE"""),0.0)</f>
        <v>0</v>
      </c>
      <c r="L1540" s="250" t="str">
        <f>IFERROR(__xludf.DUMMYFUNCTION("""COMPUTED_VALUE"""),"")</f>
        <v/>
      </c>
      <c r="M1540" s="250" t="str">
        <f>IFERROR(__xludf.DUMMYFUNCTION("""COMPUTED_VALUE"""),"")</f>
        <v/>
      </c>
      <c r="N1540" s="250" t="str">
        <f>IFERROR(__xludf.DUMMYFUNCTION("""COMPUTED_VALUE"""),"")</f>
        <v/>
      </c>
      <c r="O1540" s="250" t="str">
        <f>IFERROR(__xludf.DUMMYFUNCTION("""COMPUTED_VALUE"""),"")</f>
        <v/>
      </c>
      <c r="P1540" s="250" t="str">
        <f>IFERROR(__xludf.DUMMYFUNCTION("""COMPUTED_VALUE"""),"")</f>
        <v/>
      </c>
      <c r="Q1540" s="250" t="str">
        <f>IFERROR(__xludf.DUMMYFUNCTION("""COMPUTED_VALUE"""),"")</f>
        <v/>
      </c>
      <c r="R1540" s="250" t="str">
        <f>IFERROR(__xludf.DUMMYFUNCTION("""COMPUTED_VALUE"""),"")</f>
        <v/>
      </c>
      <c r="U1540" s="250" t="str">
        <f>IFERROR(__xludf.DUMMYFUNCTION("""COMPUTED_VALUE"""),"#N/A")</f>
        <v>#N/A</v>
      </c>
      <c r="V1540" s="250" t="str">
        <f>IFERROR(__xludf.DUMMYFUNCTION("""COMPUTED_VALUE"""),"#N/A")</f>
        <v>#N/A</v>
      </c>
      <c r="W1540" s="250" t="str">
        <f>IFERROR(__xludf.DUMMYFUNCTION("""COMPUTED_VALUE"""),"#N/A")</f>
        <v>#N/A</v>
      </c>
      <c r="X1540" t="b">
        <f t="shared" ref="X1540:Z1540" si="3056">ISBLANK(K1540)</f>
        <v>1</v>
      </c>
      <c r="Y1540" t="b">
        <f t="shared" si="3056"/>
        <v>0</v>
      </c>
      <c r="Z1540" t="b">
        <f t="shared" si="3056"/>
        <v>0</v>
      </c>
      <c r="AA1540">
        <f t="shared" ref="AA1540:AC1540" si="3057">IF(X1540=FALSE,1,0)</f>
        <v>0</v>
      </c>
      <c r="AB1540">
        <f t="shared" si="3057"/>
        <v>1</v>
      </c>
      <c r="AC1540">
        <f t="shared" si="3057"/>
        <v>1</v>
      </c>
      <c r="AD1540">
        <f t="shared" si="6"/>
        <v>2</v>
      </c>
      <c r="AE1540">
        <f t="shared" si="7"/>
        <v>1</v>
      </c>
    </row>
    <row r="1541">
      <c r="B1541" t="str">
        <f>IFERROR(__xludf.DUMMYFUNCTION("""COMPUTED_VALUE"""),"")</f>
        <v/>
      </c>
      <c r="C1541" t="str">
        <f>IFERROR(__xludf.DUMMYFUNCTION("""COMPUTED_VALUE"""),"")</f>
        <v/>
      </c>
      <c r="D1541" t="str">
        <f>IFERROR(__xludf.DUMMYFUNCTION("""COMPUTED_VALUE"""),"")</f>
        <v/>
      </c>
      <c r="E1541" t="str">
        <f>IFERROR(__xludf.DUMMYFUNCTION("""COMPUTED_VALUE"""),"")</f>
        <v/>
      </c>
      <c r="F1541" t="str">
        <f>IFERROR(__xludf.DUMMYFUNCTION("""COMPUTED_VALUE"""),"")</f>
        <v/>
      </c>
      <c r="G1541" t="str">
        <f>IFERROR(__xludf.DUMMYFUNCTION("""COMPUTED_VALUE"""),"")</f>
        <v/>
      </c>
      <c r="H1541" t="str">
        <f>IFERROR(__xludf.DUMMYFUNCTION("""COMPUTED_VALUE"""),"")</f>
        <v/>
      </c>
      <c r="I1541" t="str">
        <f>IFERROR(__xludf.DUMMYFUNCTION("""COMPUTED_VALUE"""),"")</f>
        <v/>
      </c>
      <c r="J1541">
        <f>IFERROR(__xludf.DUMMYFUNCTION("""COMPUTED_VALUE"""),0.0)</f>
        <v>0</v>
      </c>
      <c r="L1541" s="250" t="str">
        <f>IFERROR(__xludf.DUMMYFUNCTION("""COMPUTED_VALUE"""),"")</f>
        <v/>
      </c>
      <c r="M1541" s="250" t="str">
        <f>IFERROR(__xludf.DUMMYFUNCTION("""COMPUTED_VALUE"""),"")</f>
        <v/>
      </c>
      <c r="N1541" s="250" t="str">
        <f>IFERROR(__xludf.DUMMYFUNCTION("""COMPUTED_VALUE"""),"")</f>
        <v/>
      </c>
      <c r="O1541" s="250" t="str">
        <f>IFERROR(__xludf.DUMMYFUNCTION("""COMPUTED_VALUE"""),"")</f>
        <v/>
      </c>
      <c r="P1541" s="250" t="str">
        <f>IFERROR(__xludf.DUMMYFUNCTION("""COMPUTED_VALUE"""),"")</f>
        <v/>
      </c>
      <c r="Q1541" s="250" t="str">
        <f>IFERROR(__xludf.DUMMYFUNCTION("""COMPUTED_VALUE"""),"")</f>
        <v/>
      </c>
      <c r="R1541" s="250" t="str">
        <f>IFERROR(__xludf.DUMMYFUNCTION("""COMPUTED_VALUE"""),"")</f>
        <v/>
      </c>
      <c r="U1541" s="250" t="str">
        <f>IFERROR(__xludf.DUMMYFUNCTION("""COMPUTED_VALUE"""),"#N/A")</f>
        <v>#N/A</v>
      </c>
      <c r="V1541" s="250" t="str">
        <f>IFERROR(__xludf.DUMMYFUNCTION("""COMPUTED_VALUE"""),"#N/A")</f>
        <v>#N/A</v>
      </c>
      <c r="W1541" s="250" t="str">
        <f>IFERROR(__xludf.DUMMYFUNCTION("""COMPUTED_VALUE"""),"#N/A")</f>
        <v>#N/A</v>
      </c>
      <c r="X1541" t="b">
        <f t="shared" ref="X1541:Z1541" si="3058">ISBLANK(K1541)</f>
        <v>1</v>
      </c>
      <c r="Y1541" t="b">
        <f t="shared" si="3058"/>
        <v>0</v>
      </c>
      <c r="Z1541" t="b">
        <f t="shared" si="3058"/>
        <v>0</v>
      </c>
      <c r="AA1541">
        <f t="shared" ref="AA1541:AC1541" si="3059">IF(X1541=FALSE,1,0)</f>
        <v>0</v>
      </c>
      <c r="AB1541">
        <f t="shared" si="3059"/>
        <v>1</v>
      </c>
      <c r="AC1541">
        <f t="shared" si="3059"/>
        <v>1</v>
      </c>
      <c r="AD1541">
        <f t="shared" si="6"/>
        <v>2</v>
      </c>
      <c r="AE1541">
        <f t="shared" si="7"/>
        <v>1</v>
      </c>
    </row>
    <row r="1542">
      <c r="B1542" t="str">
        <f>IFERROR(__xludf.DUMMYFUNCTION("""COMPUTED_VALUE"""),"")</f>
        <v/>
      </c>
      <c r="C1542" t="str">
        <f>IFERROR(__xludf.DUMMYFUNCTION("""COMPUTED_VALUE"""),"")</f>
        <v/>
      </c>
      <c r="D1542" t="str">
        <f>IFERROR(__xludf.DUMMYFUNCTION("""COMPUTED_VALUE"""),"")</f>
        <v/>
      </c>
      <c r="E1542" t="str">
        <f>IFERROR(__xludf.DUMMYFUNCTION("""COMPUTED_VALUE"""),"")</f>
        <v/>
      </c>
      <c r="F1542" t="str">
        <f>IFERROR(__xludf.DUMMYFUNCTION("""COMPUTED_VALUE"""),"")</f>
        <v/>
      </c>
      <c r="G1542" t="str">
        <f>IFERROR(__xludf.DUMMYFUNCTION("""COMPUTED_VALUE"""),"")</f>
        <v/>
      </c>
      <c r="H1542" t="str">
        <f>IFERROR(__xludf.DUMMYFUNCTION("""COMPUTED_VALUE"""),"")</f>
        <v/>
      </c>
      <c r="I1542" t="str">
        <f>IFERROR(__xludf.DUMMYFUNCTION("""COMPUTED_VALUE"""),"")</f>
        <v/>
      </c>
      <c r="J1542">
        <f>IFERROR(__xludf.DUMMYFUNCTION("""COMPUTED_VALUE"""),0.0)</f>
        <v>0</v>
      </c>
      <c r="L1542" s="250" t="str">
        <f>IFERROR(__xludf.DUMMYFUNCTION("""COMPUTED_VALUE"""),"")</f>
        <v/>
      </c>
      <c r="M1542" s="250" t="str">
        <f>IFERROR(__xludf.DUMMYFUNCTION("""COMPUTED_VALUE"""),"")</f>
        <v/>
      </c>
      <c r="N1542" s="250" t="str">
        <f>IFERROR(__xludf.DUMMYFUNCTION("""COMPUTED_VALUE"""),"")</f>
        <v/>
      </c>
      <c r="O1542" s="250" t="str">
        <f>IFERROR(__xludf.DUMMYFUNCTION("""COMPUTED_VALUE"""),"")</f>
        <v/>
      </c>
      <c r="P1542" s="250" t="str">
        <f>IFERROR(__xludf.DUMMYFUNCTION("""COMPUTED_VALUE"""),"")</f>
        <v/>
      </c>
      <c r="Q1542" s="250" t="str">
        <f>IFERROR(__xludf.DUMMYFUNCTION("""COMPUTED_VALUE"""),"")</f>
        <v/>
      </c>
      <c r="R1542" s="250" t="str">
        <f>IFERROR(__xludf.DUMMYFUNCTION("""COMPUTED_VALUE"""),"")</f>
        <v/>
      </c>
      <c r="U1542" s="250" t="str">
        <f>IFERROR(__xludf.DUMMYFUNCTION("""COMPUTED_VALUE"""),"#N/A")</f>
        <v>#N/A</v>
      </c>
      <c r="V1542" s="250" t="str">
        <f>IFERROR(__xludf.DUMMYFUNCTION("""COMPUTED_VALUE"""),"#N/A")</f>
        <v>#N/A</v>
      </c>
      <c r="W1542" s="250" t="str">
        <f>IFERROR(__xludf.DUMMYFUNCTION("""COMPUTED_VALUE"""),"#N/A")</f>
        <v>#N/A</v>
      </c>
      <c r="X1542" t="b">
        <f t="shared" ref="X1542:Z1542" si="3060">ISBLANK(K1542)</f>
        <v>1</v>
      </c>
      <c r="Y1542" t="b">
        <f t="shared" si="3060"/>
        <v>0</v>
      </c>
      <c r="Z1542" t="b">
        <f t="shared" si="3060"/>
        <v>0</v>
      </c>
      <c r="AA1542">
        <f t="shared" ref="AA1542:AC1542" si="3061">IF(X1542=FALSE,1,0)</f>
        <v>0</v>
      </c>
      <c r="AB1542">
        <f t="shared" si="3061"/>
        <v>1</v>
      </c>
      <c r="AC1542">
        <f t="shared" si="3061"/>
        <v>1</v>
      </c>
      <c r="AD1542">
        <f t="shared" si="6"/>
        <v>2</v>
      </c>
      <c r="AE1542">
        <f t="shared" si="7"/>
        <v>1</v>
      </c>
    </row>
    <row r="1543">
      <c r="B1543" t="str">
        <f>IFERROR(__xludf.DUMMYFUNCTION("""COMPUTED_VALUE"""),"")</f>
        <v/>
      </c>
      <c r="C1543" t="str">
        <f>IFERROR(__xludf.DUMMYFUNCTION("""COMPUTED_VALUE"""),"")</f>
        <v/>
      </c>
      <c r="D1543" t="str">
        <f>IFERROR(__xludf.DUMMYFUNCTION("""COMPUTED_VALUE"""),"")</f>
        <v/>
      </c>
      <c r="E1543" t="str">
        <f>IFERROR(__xludf.DUMMYFUNCTION("""COMPUTED_VALUE"""),"")</f>
        <v/>
      </c>
      <c r="F1543" t="str">
        <f>IFERROR(__xludf.DUMMYFUNCTION("""COMPUTED_VALUE"""),"")</f>
        <v/>
      </c>
      <c r="G1543" t="str">
        <f>IFERROR(__xludf.DUMMYFUNCTION("""COMPUTED_VALUE"""),"")</f>
        <v/>
      </c>
      <c r="H1543" t="str">
        <f>IFERROR(__xludf.DUMMYFUNCTION("""COMPUTED_VALUE"""),"")</f>
        <v/>
      </c>
      <c r="I1543" t="str">
        <f>IFERROR(__xludf.DUMMYFUNCTION("""COMPUTED_VALUE"""),"")</f>
        <v/>
      </c>
      <c r="J1543">
        <f>IFERROR(__xludf.DUMMYFUNCTION("""COMPUTED_VALUE"""),0.0)</f>
        <v>0</v>
      </c>
      <c r="L1543" s="250" t="str">
        <f>IFERROR(__xludf.DUMMYFUNCTION("""COMPUTED_VALUE"""),"")</f>
        <v/>
      </c>
      <c r="M1543" s="250" t="str">
        <f>IFERROR(__xludf.DUMMYFUNCTION("""COMPUTED_VALUE"""),"")</f>
        <v/>
      </c>
      <c r="N1543" s="250" t="str">
        <f>IFERROR(__xludf.DUMMYFUNCTION("""COMPUTED_VALUE"""),"")</f>
        <v/>
      </c>
      <c r="O1543" s="250" t="str">
        <f>IFERROR(__xludf.DUMMYFUNCTION("""COMPUTED_VALUE"""),"")</f>
        <v/>
      </c>
      <c r="P1543" s="250" t="str">
        <f>IFERROR(__xludf.DUMMYFUNCTION("""COMPUTED_VALUE"""),"")</f>
        <v/>
      </c>
      <c r="Q1543" s="250" t="str">
        <f>IFERROR(__xludf.DUMMYFUNCTION("""COMPUTED_VALUE"""),"")</f>
        <v/>
      </c>
      <c r="R1543" s="250" t="str">
        <f>IFERROR(__xludf.DUMMYFUNCTION("""COMPUTED_VALUE"""),"")</f>
        <v/>
      </c>
      <c r="U1543" s="250" t="str">
        <f>IFERROR(__xludf.DUMMYFUNCTION("""COMPUTED_VALUE"""),"#N/A")</f>
        <v>#N/A</v>
      </c>
      <c r="V1543" s="250" t="str">
        <f>IFERROR(__xludf.DUMMYFUNCTION("""COMPUTED_VALUE"""),"#N/A")</f>
        <v>#N/A</v>
      </c>
      <c r="W1543" s="250" t="str">
        <f>IFERROR(__xludf.DUMMYFUNCTION("""COMPUTED_VALUE"""),"#N/A")</f>
        <v>#N/A</v>
      </c>
      <c r="X1543" t="b">
        <f t="shared" ref="X1543:Z1543" si="3062">ISBLANK(K1543)</f>
        <v>1</v>
      </c>
      <c r="Y1543" t="b">
        <f t="shared" si="3062"/>
        <v>0</v>
      </c>
      <c r="Z1543" t="b">
        <f t="shared" si="3062"/>
        <v>0</v>
      </c>
      <c r="AA1543">
        <f t="shared" ref="AA1543:AC1543" si="3063">IF(X1543=FALSE,1,0)</f>
        <v>0</v>
      </c>
      <c r="AB1543">
        <f t="shared" si="3063"/>
        <v>1</v>
      </c>
      <c r="AC1543">
        <f t="shared" si="3063"/>
        <v>1</v>
      </c>
      <c r="AD1543">
        <f t="shared" si="6"/>
        <v>2</v>
      </c>
      <c r="AE1543">
        <f t="shared" si="7"/>
        <v>1</v>
      </c>
    </row>
    <row r="1544">
      <c r="B1544" t="str">
        <f>IFERROR(__xludf.DUMMYFUNCTION("""COMPUTED_VALUE"""),"")</f>
        <v/>
      </c>
      <c r="C1544" t="str">
        <f>IFERROR(__xludf.DUMMYFUNCTION("""COMPUTED_VALUE"""),"")</f>
        <v/>
      </c>
      <c r="D1544" t="str">
        <f>IFERROR(__xludf.DUMMYFUNCTION("""COMPUTED_VALUE"""),"")</f>
        <v/>
      </c>
      <c r="E1544" t="str">
        <f>IFERROR(__xludf.DUMMYFUNCTION("""COMPUTED_VALUE"""),"")</f>
        <v/>
      </c>
      <c r="F1544" t="str">
        <f>IFERROR(__xludf.DUMMYFUNCTION("""COMPUTED_VALUE"""),"")</f>
        <v/>
      </c>
      <c r="G1544" t="str">
        <f>IFERROR(__xludf.DUMMYFUNCTION("""COMPUTED_VALUE"""),"")</f>
        <v/>
      </c>
      <c r="H1544" t="str">
        <f>IFERROR(__xludf.DUMMYFUNCTION("""COMPUTED_VALUE"""),"")</f>
        <v/>
      </c>
      <c r="I1544" t="str">
        <f>IFERROR(__xludf.DUMMYFUNCTION("""COMPUTED_VALUE"""),"")</f>
        <v/>
      </c>
      <c r="J1544">
        <f>IFERROR(__xludf.DUMMYFUNCTION("""COMPUTED_VALUE"""),0.0)</f>
        <v>0</v>
      </c>
      <c r="L1544" s="250" t="str">
        <f>IFERROR(__xludf.DUMMYFUNCTION("""COMPUTED_VALUE"""),"")</f>
        <v/>
      </c>
      <c r="M1544" s="250" t="str">
        <f>IFERROR(__xludf.DUMMYFUNCTION("""COMPUTED_VALUE"""),"")</f>
        <v/>
      </c>
      <c r="N1544" s="250" t="str">
        <f>IFERROR(__xludf.DUMMYFUNCTION("""COMPUTED_VALUE"""),"")</f>
        <v/>
      </c>
      <c r="O1544" s="250" t="str">
        <f>IFERROR(__xludf.DUMMYFUNCTION("""COMPUTED_VALUE"""),"")</f>
        <v/>
      </c>
      <c r="P1544" s="250" t="str">
        <f>IFERROR(__xludf.DUMMYFUNCTION("""COMPUTED_VALUE"""),"")</f>
        <v/>
      </c>
      <c r="Q1544" s="250" t="str">
        <f>IFERROR(__xludf.DUMMYFUNCTION("""COMPUTED_VALUE"""),"")</f>
        <v/>
      </c>
      <c r="R1544" s="250" t="str">
        <f>IFERROR(__xludf.DUMMYFUNCTION("""COMPUTED_VALUE"""),"")</f>
        <v/>
      </c>
      <c r="U1544" s="250" t="str">
        <f>IFERROR(__xludf.DUMMYFUNCTION("""COMPUTED_VALUE"""),"#N/A")</f>
        <v>#N/A</v>
      </c>
      <c r="V1544" s="250" t="str">
        <f>IFERROR(__xludf.DUMMYFUNCTION("""COMPUTED_VALUE"""),"#N/A")</f>
        <v>#N/A</v>
      </c>
      <c r="W1544" s="250" t="str">
        <f>IFERROR(__xludf.DUMMYFUNCTION("""COMPUTED_VALUE"""),"#N/A")</f>
        <v>#N/A</v>
      </c>
      <c r="X1544" t="b">
        <f t="shared" ref="X1544:Z1544" si="3064">ISBLANK(K1544)</f>
        <v>1</v>
      </c>
      <c r="Y1544" t="b">
        <f t="shared" si="3064"/>
        <v>0</v>
      </c>
      <c r="Z1544" t="b">
        <f t="shared" si="3064"/>
        <v>0</v>
      </c>
      <c r="AA1544">
        <f t="shared" ref="AA1544:AC1544" si="3065">IF(X1544=FALSE,1,0)</f>
        <v>0</v>
      </c>
      <c r="AB1544">
        <f t="shared" si="3065"/>
        <v>1</v>
      </c>
      <c r="AC1544">
        <f t="shared" si="3065"/>
        <v>1</v>
      </c>
      <c r="AD1544">
        <f t="shared" si="6"/>
        <v>2</v>
      </c>
      <c r="AE1544">
        <f t="shared" si="7"/>
        <v>1</v>
      </c>
    </row>
    <row r="1545">
      <c r="B1545" t="str">
        <f>IFERROR(__xludf.DUMMYFUNCTION("""COMPUTED_VALUE"""),"")</f>
        <v/>
      </c>
      <c r="C1545" t="str">
        <f>IFERROR(__xludf.DUMMYFUNCTION("""COMPUTED_VALUE"""),"")</f>
        <v/>
      </c>
      <c r="D1545" t="str">
        <f>IFERROR(__xludf.DUMMYFUNCTION("""COMPUTED_VALUE"""),"")</f>
        <v/>
      </c>
      <c r="E1545" t="str">
        <f>IFERROR(__xludf.DUMMYFUNCTION("""COMPUTED_VALUE"""),"")</f>
        <v/>
      </c>
      <c r="F1545" t="str">
        <f>IFERROR(__xludf.DUMMYFUNCTION("""COMPUTED_VALUE"""),"")</f>
        <v/>
      </c>
      <c r="G1545" t="str">
        <f>IFERROR(__xludf.DUMMYFUNCTION("""COMPUTED_VALUE"""),"")</f>
        <v/>
      </c>
      <c r="H1545" t="str">
        <f>IFERROR(__xludf.DUMMYFUNCTION("""COMPUTED_VALUE"""),"")</f>
        <v/>
      </c>
      <c r="I1545" t="str">
        <f>IFERROR(__xludf.DUMMYFUNCTION("""COMPUTED_VALUE"""),"")</f>
        <v/>
      </c>
      <c r="J1545">
        <f>IFERROR(__xludf.DUMMYFUNCTION("""COMPUTED_VALUE"""),0.0)</f>
        <v>0</v>
      </c>
      <c r="L1545" s="250" t="str">
        <f>IFERROR(__xludf.DUMMYFUNCTION("""COMPUTED_VALUE"""),"")</f>
        <v/>
      </c>
      <c r="M1545" s="250" t="str">
        <f>IFERROR(__xludf.DUMMYFUNCTION("""COMPUTED_VALUE"""),"")</f>
        <v/>
      </c>
      <c r="N1545" s="250" t="str">
        <f>IFERROR(__xludf.DUMMYFUNCTION("""COMPUTED_VALUE"""),"")</f>
        <v/>
      </c>
      <c r="O1545" s="250" t="str">
        <f>IFERROR(__xludf.DUMMYFUNCTION("""COMPUTED_VALUE"""),"")</f>
        <v/>
      </c>
      <c r="P1545" s="250" t="str">
        <f>IFERROR(__xludf.DUMMYFUNCTION("""COMPUTED_VALUE"""),"")</f>
        <v/>
      </c>
      <c r="Q1545" s="250" t="str">
        <f>IFERROR(__xludf.DUMMYFUNCTION("""COMPUTED_VALUE"""),"")</f>
        <v/>
      </c>
      <c r="R1545" s="250" t="str">
        <f>IFERROR(__xludf.DUMMYFUNCTION("""COMPUTED_VALUE"""),"")</f>
        <v/>
      </c>
      <c r="U1545" s="250" t="str">
        <f>IFERROR(__xludf.DUMMYFUNCTION("""COMPUTED_VALUE"""),"#N/A")</f>
        <v>#N/A</v>
      </c>
      <c r="V1545" s="250" t="str">
        <f>IFERROR(__xludf.DUMMYFUNCTION("""COMPUTED_VALUE"""),"#N/A")</f>
        <v>#N/A</v>
      </c>
      <c r="W1545" s="250" t="str">
        <f>IFERROR(__xludf.DUMMYFUNCTION("""COMPUTED_VALUE"""),"#N/A")</f>
        <v>#N/A</v>
      </c>
      <c r="X1545" t="b">
        <f t="shared" ref="X1545:Z1545" si="3066">ISBLANK(K1545)</f>
        <v>1</v>
      </c>
      <c r="Y1545" t="b">
        <f t="shared" si="3066"/>
        <v>0</v>
      </c>
      <c r="Z1545" t="b">
        <f t="shared" si="3066"/>
        <v>0</v>
      </c>
      <c r="AA1545">
        <f t="shared" ref="AA1545:AC1545" si="3067">IF(X1545=FALSE,1,0)</f>
        <v>0</v>
      </c>
      <c r="AB1545">
        <f t="shared" si="3067"/>
        <v>1</v>
      </c>
      <c r="AC1545">
        <f t="shared" si="3067"/>
        <v>1</v>
      </c>
      <c r="AD1545">
        <f t="shared" si="6"/>
        <v>2</v>
      </c>
      <c r="AE1545">
        <f t="shared" si="7"/>
        <v>1</v>
      </c>
    </row>
    <row r="1546">
      <c r="B1546" t="str">
        <f>IFERROR(__xludf.DUMMYFUNCTION("""COMPUTED_VALUE"""),"")</f>
        <v/>
      </c>
      <c r="C1546" t="str">
        <f>IFERROR(__xludf.DUMMYFUNCTION("""COMPUTED_VALUE"""),"")</f>
        <v/>
      </c>
      <c r="D1546" t="str">
        <f>IFERROR(__xludf.DUMMYFUNCTION("""COMPUTED_VALUE"""),"")</f>
        <v/>
      </c>
      <c r="E1546" t="str">
        <f>IFERROR(__xludf.DUMMYFUNCTION("""COMPUTED_VALUE"""),"")</f>
        <v/>
      </c>
      <c r="F1546" t="str">
        <f>IFERROR(__xludf.DUMMYFUNCTION("""COMPUTED_VALUE"""),"")</f>
        <v/>
      </c>
      <c r="G1546" t="str">
        <f>IFERROR(__xludf.DUMMYFUNCTION("""COMPUTED_VALUE"""),"")</f>
        <v/>
      </c>
      <c r="H1546" t="str">
        <f>IFERROR(__xludf.DUMMYFUNCTION("""COMPUTED_VALUE"""),"")</f>
        <v/>
      </c>
      <c r="I1546" t="str">
        <f>IFERROR(__xludf.DUMMYFUNCTION("""COMPUTED_VALUE"""),"")</f>
        <v/>
      </c>
      <c r="J1546">
        <f>IFERROR(__xludf.DUMMYFUNCTION("""COMPUTED_VALUE"""),0.0)</f>
        <v>0</v>
      </c>
      <c r="L1546" s="250" t="str">
        <f>IFERROR(__xludf.DUMMYFUNCTION("""COMPUTED_VALUE"""),"")</f>
        <v/>
      </c>
      <c r="M1546" s="250" t="str">
        <f>IFERROR(__xludf.DUMMYFUNCTION("""COMPUTED_VALUE"""),"")</f>
        <v/>
      </c>
      <c r="N1546" s="250" t="str">
        <f>IFERROR(__xludf.DUMMYFUNCTION("""COMPUTED_VALUE"""),"")</f>
        <v/>
      </c>
      <c r="O1546" s="250" t="str">
        <f>IFERROR(__xludf.DUMMYFUNCTION("""COMPUTED_VALUE"""),"")</f>
        <v/>
      </c>
      <c r="P1546" s="250" t="str">
        <f>IFERROR(__xludf.DUMMYFUNCTION("""COMPUTED_VALUE"""),"")</f>
        <v/>
      </c>
      <c r="Q1546" s="250" t="str">
        <f>IFERROR(__xludf.DUMMYFUNCTION("""COMPUTED_VALUE"""),"")</f>
        <v/>
      </c>
      <c r="R1546" s="250" t="str">
        <f>IFERROR(__xludf.DUMMYFUNCTION("""COMPUTED_VALUE"""),"")</f>
        <v/>
      </c>
      <c r="U1546" s="250" t="str">
        <f>IFERROR(__xludf.DUMMYFUNCTION("""COMPUTED_VALUE"""),"#N/A")</f>
        <v>#N/A</v>
      </c>
      <c r="V1546" s="250" t="str">
        <f>IFERROR(__xludf.DUMMYFUNCTION("""COMPUTED_VALUE"""),"#N/A")</f>
        <v>#N/A</v>
      </c>
      <c r="W1546" s="250" t="str">
        <f>IFERROR(__xludf.DUMMYFUNCTION("""COMPUTED_VALUE"""),"#N/A")</f>
        <v>#N/A</v>
      </c>
      <c r="X1546" t="b">
        <f t="shared" ref="X1546:Z1546" si="3068">ISBLANK(K1546)</f>
        <v>1</v>
      </c>
      <c r="Y1546" t="b">
        <f t="shared" si="3068"/>
        <v>0</v>
      </c>
      <c r="Z1546" t="b">
        <f t="shared" si="3068"/>
        <v>0</v>
      </c>
      <c r="AA1546">
        <f t="shared" ref="AA1546:AC1546" si="3069">IF(X1546=FALSE,1,0)</f>
        <v>0</v>
      </c>
      <c r="AB1546">
        <f t="shared" si="3069"/>
        <v>1</v>
      </c>
      <c r="AC1546">
        <f t="shared" si="3069"/>
        <v>1</v>
      </c>
      <c r="AD1546">
        <f t="shared" si="6"/>
        <v>2</v>
      </c>
      <c r="AE1546">
        <f t="shared" si="7"/>
        <v>1</v>
      </c>
    </row>
    <row r="1547">
      <c r="B1547" t="str">
        <f>IFERROR(__xludf.DUMMYFUNCTION("""COMPUTED_VALUE"""),"")</f>
        <v/>
      </c>
      <c r="C1547" t="str">
        <f>IFERROR(__xludf.DUMMYFUNCTION("""COMPUTED_VALUE"""),"")</f>
        <v/>
      </c>
      <c r="D1547" t="str">
        <f>IFERROR(__xludf.DUMMYFUNCTION("""COMPUTED_VALUE"""),"")</f>
        <v/>
      </c>
      <c r="E1547" t="str">
        <f>IFERROR(__xludf.DUMMYFUNCTION("""COMPUTED_VALUE"""),"")</f>
        <v/>
      </c>
      <c r="F1547" t="str">
        <f>IFERROR(__xludf.DUMMYFUNCTION("""COMPUTED_VALUE"""),"")</f>
        <v/>
      </c>
      <c r="G1547" t="str">
        <f>IFERROR(__xludf.DUMMYFUNCTION("""COMPUTED_VALUE"""),"")</f>
        <v/>
      </c>
      <c r="H1547" t="str">
        <f>IFERROR(__xludf.DUMMYFUNCTION("""COMPUTED_VALUE"""),"")</f>
        <v/>
      </c>
      <c r="I1547" t="str">
        <f>IFERROR(__xludf.DUMMYFUNCTION("""COMPUTED_VALUE"""),"")</f>
        <v/>
      </c>
      <c r="J1547">
        <f>IFERROR(__xludf.DUMMYFUNCTION("""COMPUTED_VALUE"""),0.0)</f>
        <v>0</v>
      </c>
      <c r="L1547" s="250" t="str">
        <f>IFERROR(__xludf.DUMMYFUNCTION("""COMPUTED_VALUE"""),"")</f>
        <v/>
      </c>
      <c r="M1547" s="250" t="str">
        <f>IFERROR(__xludf.DUMMYFUNCTION("""COMPUTED_VALUE"""),"")</f>
        <v/>
      </c>
      <c r="N1547" s="250" t="str">
        <f>IFERROR(__xludf.DUMMYFUNCTION("""COMPUTED_VALUE"""),"")</f>
        <v/>
      </c>
      <c r="O1547" s="250" t="str">
        <f>IFERROR(__xludf.DUMMYFUNCTION("""COMPUTED_VALUE"""),"")</f>
        <v/>
      </c>
      <c r="P1547" s="250" t="str">
        <f>IFERROR(__xludf.DUMMYFUNCTION("""COMPUTED_VALUE"""),"")</f>
        <v/>
      </c>
      <c r="Q1547" s="250" t="str">
        <f>IFERROR(__xludf.DUMMYFUNCTION("""COMPUTED_VALUE"""),"")</f>
        <v/>
      </c>
      <c r="R1547" s="250" t="str">
        <f>IFERROR(__xludf.DUMMYFUNCTION("""COMPUTED_VALUE"""),"")</f>
        <v/>
      </c>
      <c r="U1547" s="250" t="str">
        <f>IFERROR(__xludf.DUMMYFUNCTION("""COMPUTED_VALUE"""),"#N/A")</f>
        <v>#N/A</v>
      </c>
      <c r="V1547" s="250" t="str">
        <f>IFERROR(__xludf.DUMMYFUNCTION("""COMPUTED_VALUE"""),"#N/A")</f>
        <v>#N/A</v>
      </c>
      <c r="W1547" s="250" t="str">
        <f>IFERROR(__xludf.DUMMYFUNCTION("""COMPUTED_VALUE"""),"#N/A")</f>
        <v>#N/A</v>
      </c>
      <c r="X1547" t="b">
        <f t="shared" ref="X1547:Z1547" si="3070">ISBLANK(K1547)</f>
        <v>1</v>
      </c>
      <c r="Y1547" t="b">
        <f t="shared" si="3070"/>
        <v>0</v>
      </c>
      <c r="Z1547" t="b">
        <f t="shared" si="3070"/>
        <v>0</v>
      </c>
      <c r="AA1547">
        <f t="shared" ref="AA1547:AC1547" si="3071">IF(X1547=FALSE,1,0)</f>
        <v>0</v>
      </c>
      <c r="AB1547">
        <f t="shared" si="3071"/>
        <v>1</v>
      </c>
      <c r="AC1547">
        <f t="shared" si="3071"/>
        <v>1</v>
      </c>
      <c r="AD1547">
        <f t="shared" si="6"/>
        <v>2</v>
      </c>
      <c r="AE1547">
        <f t="shared" si="7"/>
        <v>1</v>
      </c>
    </row>
    <row r="1548">
      <c r="B1548" t="str">
        <f>IFERROR(__xludf.DUMMYFUNCTION("""COMPUTED_VALUE"""),"")</f>
        <v/>
      </c>
      <c r="C1548" t="str">
        <f>IFERROR(__xludf.DUMMYFUNCTION("""COMPUTED_VALUE"""),"")</f>
        <v/>
      </c>
      <c r="D1548" t="str">
        <f>IFERROR(__xludf.DUMMYFUNCTION("""COMPUTED_VALUE"""),"")</f>
        <v/>
      </c>
      <c r="E1548" t="str">
        <f>IFERROR(__xludf.DUMMYFUNCTION("""COMPUTED_VALUE"""),"")</f>
        <v/>
      </c>
      <c r="F1548" t="str">
        <f>IFERROR(__xludf.DUMMYFUNCTION("""COMPUTED_VALUE"""),"")</f>
        <v/>
      </c>
      <c r="G1548" t="str">
        <f>IFERROR(__xludf.DUMMYFUNCTION("""COMPUTED_VALUE"""),"")</f>
        <v/>
      </c>
      <c r="H1548" t="str">
        <f>IFERROR(__xludf.DUMMYFUNCTION("""COMPUTED_VALUE"""),"")</f>
        <v/>
      </c>
      <c r="I1548" t="str">
        <f>IFERROR(__xludf.DUMMYFUNCTION("""COMPUTED_VALUE"""),"")</f>
        <v/>
      </c>
      <c r="J1548">
        <f>IFERROR(__xludf.DUMMYFUNCTION("""COMPUTED_VALUE"""),0.0)</f>
        <v>0</v>
      </c>
      <c r="L1548" s="250" t="str">
        <f>IFERROR(__xludf.DUMMYFUNCTION("""COMPUTED_VALUE"""),"")</f>
        <v/>
      </c>
      <c r="M1548" s="250" t="str">
        <f>IFERROR(__xludf.DUMMYFUNCTION("""COMPUTED_VALUE"""),"")</f>
        <v/>
      </c>
      <c r="N1548" s="250" t="str">
        <f>IFERROR(__xludf.DUMMYFUNCTION("""COMPUTED_VALUE"""),"")</f>
        <v/>
      </c>
      <c r="O1548" s="250" t="str">
        <f>IFERROR(__xludf.DUMMYFUNCTION("""COMPUTED_VALUE"""),"")</f>
        <v/>
      </c>
      <c r="P1548" s="250" t="str">
        <f>IFERROR(__xludf.DUMMYFUNCTION("""COMPUTED_VALUE"""),"")</f>
        <v/>
      </c>
      <c r="Q1548" s="250" t="str">
        <f>IFERROR(__xludf.DUMMYFUNCTION("""COMPUTED_VALUE"""),"")</f>
        <v/>
      </c>
      <c r="R1548" s="250" t="str">
        <f>IFERROR(__xludf.DUMMYFUNCTION("""COMPUTED_VALUE"""),"")</f>
        <v/>
      </c>
      <c r="U1548" s="250" t="str">
        <f>IFERROR(__xludf.DUMMYFUNCTION("""COMPUTED_VALUE"""),"#N/A")</f>
        <v>#N/A</v>
      </c>
      <c r="V1548" s="250" t="str">
        <f>IFERROR(__xludf.DUMMYFUNCTION("""COMPUTED_VALUE"""),"#N/A")</f>
        <v>#N/A</v>
      </c>
      <c r="W1548" s="250" t="str">
        <f>IFERROR(__xludf.DUMMYFUNCTION("""COMPUTED_VALUE"""),"#N/A")</f>
        <v>#N/A</v>
      </c>
      <c r="X1548" t="b">
        <f t="shared" ref="X1548:Z1548" si="3072">ISBLANK(K1548)</f>
        <v>1</v>
      </c>
      <c r="Y1548" t="b">
        <f t="shared" si="3072"/>
        <v>0</v>
      </c>
      <c r="Z1548" t="b">
        <f t="shared" si="3072"/>
        <v>0</v>
      </c>
      <c r="AA1548">
        <f t="shared" ref="AA1548:AC1548" si="3073">IF(X1548=FALSE,1,0)</f>
        <v>0</v>
      </c>
      <c r="AB1548">
        <f t="shared" si="3073"/>
        <v>1</v>
      </c>
      <c r="AC1548">
        <f t="shared" si="3073"/>
        <v>1</v>
      </c>
      <c r="AD1548">
        <f t="shared" si="6"/>
        <v>2</v>
      </c>
      <c r="AE1548">
        <f t="shared" si="7"/>
        <v>1</v>
      </c>
    </row>
    <row r="1549">
      <c r="B1549" t="str">
        <f>IFERROR(__xludf.DUMMYFUNCTION("""COMPUTED_VALUE"""),"")</f>
        <v/>
      </c>
      <c r="C1549" t="str">
        <f>IFERROR(__xludf.DUMMYFUNCTION("""COMPUTED_VALUE"""),"")</f>
        <v/>
      </c>
      <c r="D1549" t="str">
        <f>IFERROR(__xludf.DUMMYFUNCTION("""COMPUTED_VALUE"""),"")</f>
        <v/>
      </c>
      <c r="E1549" t="str">
        <f>IFERROR(__xludf.DUMMYFUNCTION("""COMPUTED_VALUE"""),"")</f>
        <v/>
      </c>
      <c r="F1549" t="str">
        <f>IFERROR(__xludf.DUMMYFUNCTION("""COMPUTED_VALUE"""),"")</f>
        <v/>
      </c>
      <c r="G1549" t="str">
        <f>IFERROR(__xludf.DUMMYFUNCTION("""COMPUTED_VALUE"""),"")</f>
        <v/>
      </c>
      <c r="H1549" t="str">
        <f>IFERROR(__xludf.DUMMYFUNCTION("""COMPUTED_VALUE"""),"")</f>
        <v/>
      </c>
      <c r="I1549" t="str">
        <f>IFERROR(__xludf.DUMMYFUNCTION("""COMPUTED_VALUE"""),"")</f>
        <v/>
      </c>
      <c r="J1549">
        <f>IFERROR(__xludf.DUMMYFUNCTION("""COMPUTED_VALUE"""),0.0)</f>
        <v>0</v>
      </c>
      <c r="L1549" s="250" t="str">
        <f>IFERROR(__xludf.DUMMYFUNCTION("""COMPUTED_VALUE"""),"")</f>
        <v/>
      </c>
      <c r="M1549" s="250" t="str">
        <f>IFERROR(__xludf.DUMMYFUNCTION("""COMPUTED_VALUE"""),"")</f>
        <v/>
      </c>
      <c r="N1549" s="250" t="str">
        <f>IFERROR(__xludf.DUMMYFUNCTION("""COMPUTED_VALUE"""),"")</f>
        <v/>
      </c>
      <c r="O1549" s="250" t="str">
        <f>IFERROR(__xludf.DUMMYFUNCTION("""COMPUTED_VALUE"""),"")</f>
        <v/>
      </c>
      <c r="P1549" s="250" t="str">
        <f>IFERROR(__xludf.DUMMYFUNCTION("""COMPUTED_VALUE"""),"")</f>
        <v/>
      </c>
      <c r="Q1549" s="250" t="str">
        <f>IFERROR(__xludf.DUMMYFUNCTION("""COMPUTED_VALUE"""),"")</f>
        <v/>
      </c>
      <c r="R1549" s="250" t="str">
        <f>IFERROR(__xludf.DUMMYFUNCTION("""COMPUTED_VALUE"""),"")</f>
        <v/>
      </c>
      <c r="U1549" s="250" t="str">
        <f>IFERROR(__xludf.DUMMYFUNCTION("""COMPUTED_VALUE"""),"#N/A")</f>
        <v>#N/A</v>
      </c>
      <c r="V1549" s="250" t="str">
        <f>IFERROR(__xludf.DUMMYFUNCTION("""COMPUTED_VALUE"""),"#N/A")</f>
        <v>#N/A</v>
      </c>
      <c r="W1549" s="250" t="str">
        <f>IFERROR(__xludf.DUMMYFUNCTION("""COMPUTED_VALUE"""),"#N/A")</f>
        <v>#N/A</v>
      </c>
      <c r="X1549" t="b">
        <f t="shared" ref="X1549:Z1549" si="3074">ISBLANK(K1549)</f>
        <v>1</v>
      </c>
      <c r="Y1549" t="b">
        <f t="shared" si="3074"/>
        <v>0</v>
      </c>
      <c r="Z1549" t="b">
        <f t="shared" si="3074"/>
        <v>0</v>
      </c>
      <c r="AA1549">
        <f t="shared" ref="AA1549:AC1549" si="3075">IF(X1549=FALSE,1,0)</f>
        <v>0</v>
      </c>
      <c r="AB1549">
        <f t="shared" si="3075"/>
        <v>1</v>
      </c>
      <c r="AC1549">
        <f t="shared" si="3075"/>
        <v>1</v>
      </c>
      <c r="AD1549">
        <f t="shared" si="6"/>
        <v>2</v>
      </c>
      <c r="AE1549">
        <f t="shared" si="7"/>
        <v>1</v>
      </c>
    </row>
    <row r="1550">
      <c r="B1550" t="str">
        <f>IFERROR(__xludf.DUMMYFUNCTION("""COMPUTED_VALUE"""),"")</f>
        <v/>
      </c>
      <c r="C1550" t="str">
        <f>IFERROR(__xludf.DUMMYFUNCTION("""COMPUTED_VALUE"""),"")</f>
        <v/>
      </c>
      <c r="D1550" t="str">
        <f>IFERROR(__xludf.DUMMYFUNCTION("""COMPUTED_VALUE"""),"")</f>
        <v/>
      </c>
      <c r="E1550" t="str">
        <f>IFERROR(__xludf.DUMMYFUNCTION("""COMPUTED_VALUE"""),"")</f>
        <v/>
      </c>
      <c r="F1550" t="str">
        <f>IFERROR(__xludf.DUMMYFUNCTION("""COMPUTED_VALUE"""),"")</f>
        <v/>
      </c>
      <c r="G1550" t="str">
        <f>IFERROR(__xludf.DUMMYFUNCTION("""COMPUTED_VALUE"""),"")</f>
        <v/>
      </c>
      <c r="H1550" t="str">
        <f>IFERROR(__xludf.DUMMYFUNCTION("""COMPUTED_VALUE"""),"")</f>
        <v/>
      </c>
      <c r="I1550" t="str">
        <f>IFERROR(__xludf.DUMMYFUNCTION("""COMPUTED_VALUE"""),"")</f>
        <v/>
      </c>
      <c r="J1550">
        <f>IFERROR(__xludf.DUMMYFUNCTION("""COMPUTED_VALUE"""),0.0)</f>
        <v>0</v>
      </c>
      <c r="L1550" s="250" t="str">
        <f>IFERROR(__xludf.DUMMYFUNCTION("""COMPUTED_VALUE"""),"")</f>
        <v/>
      </c>
      <c r="M1550" s="250" t="str">
        <f>IFERROR(__xludf.DUMMYFUNCTION("""COMPUTED_VALUE"""),"")</f>
        <v/>
      </c>
      <c r="N1550" s="250" t="str">
        <f>IFERROR(__xludf.DUMMYFUNCTION("""COMPUTED_VALUE"""),"")</f>
        <v/>
      </c>
      <c r="O1550" s="250" t="str">
        <f>IFERROR(__xludf.DUMMYFUNCTION("""COMPUTED_VALUE"""),"")</f>
        <v/>
      </c>
      <c r="P1550" s="250" t="str">
        <f>IFERROR(__xludf.DUMMYFUNCTION("""COMPUTED_VALUE"""),"")</f>
        <v/>
      </c>
      <c r="Q1550" s="250" t="str">
        <f>IFERROR(__xludf.DUMMYFUNCTION("""COMPUTED_VALUE"""),"")</f>
        <v/>
      </c>
      <c r="R1550" s="250" t="str">
        <f>IFERROR(__xludf.DUMMYFUNCTION("""COMPUTED_VALUE"""),"")</f>
        <v/>
      </c>
      <c r="U1550" s="250" t="str">
        <f>IFERROR(__xludf.DUMMYFUNCTION("""COMPUTED_VALUE"""),"#N/A")</f>
        <v>#N/A</v>
      </c>
      <c r="V1550" s="250" t="str">
        <f>IFERROR(__xludf.DUMMYFUNCTION("""COMPUTED_VALUE"""),"#N/A")</f>
        <v>#N/A</v>
      </c>
      <c r="W1550" s="250" t="str">
        <f>IFERROR(__xludf.DUMMYFUNCTION("""COMPUTED_VALUE"""),"#N/A")</f>
        <v>#N/A</v>
      </c>
      <c r="X1550" t="b">
        <f t="shared" ref="X1550:Z1550" si="3076">ISBLANK(K1550)</f>
        <v>1</v>
      </c>
      <c r="Y1550" t="b">
        <f t="shared" si="3076"/>
        <v>0</v>
      </c>
      <c r="Z1550" t="b">
        <f t="shared" si="3076"/>
        <v>0</v>
      </c>
      <c r="AA1550">
        <f t="shared" ref="AA1550:AC1550" si="3077">IF(X1550=FALSE,1,0)</f>
        <v>0</v>
      </c>
      <c r="AB1550">
        <f t="shared" si="3077"/>
        <v>1</v>
      </c>
      <c r="AC1550">
        <f t="shared" si="3077"/>
        <v>1</v>
      </c>
      <c r="AD1550">
        <f t="shared" si="6"/>
        <v>2</v>
      </c>
      <c r="AE1550">
        <f t="shared" si="7"/>
        <v>1</v>
      </c>
    </row>
    <row r="1551">
      <c r="B1551" t="str">
        <f>IFERROR(__xludf.DUMMYFUNCTION("""COMPUTED_VALUE"""),"")</f>
        <v/>
      </c>
      <c r="C1551" t="str">
        <f>IFERROR(__xludf.DUMMYFUNCTION("""COMPUTED_VALUE"""),"")</f>
        <v/>
      </c>
      <c r="D1551" t="str">
        <f>IFERROR(__xludf.DUMMYFUNCTION("""COMPUTED_VALUE"""),"")</f>
        <v/>
      </c>
      <c r="E1551" t="str">
        <f>IFERROR(__xludf.DUMMYFUNCTION("""COMPUTED_VALUE"""),"")</f>
        <v/>
      </c>
      <c r="F1551" t="str">
        <f>IFERROR(__xludf.DUMMYFUNCTION("""COMPUTED_VALUE"""),"")</f>
        <v/>
      </c>
      <c r="G1551" t="str">
        <f>IFERROR(__xludf.DUMMYFUNCTION("""COMPUTED_VALUE"""),"")</f>
        <v/>
      </c>
      <c r="H1551" t="str">
        <f>IFERROR(__xludf.DUMMYFUNCTION("""COMPUTED_VALUE"""),"")</f>
        <v/>
      </c>
      <c r="I1551" t="str">
        <f>IFERROR(__xludf.DUMMYFUNCTION("""COMPUTED_VALUE"""),"")</f>
        <v/>
      </c>
      <c r="J1551">
        <f>IFERROR(__xludf.DUMMYFUNCTION("""COMPUTED_VALUE"""),0.0)</f>
        <v>0</v>
      </c>
      <c r="L1551" s="250" t="str">
        <f>IFERROR(__xludf.DUMMYFUNCTION("""COMPUTED_VALUE"""),"")</f>
        <v/>
      </c>
      <c r="M1551" s="250" t="str">
        <f>IFERROR(__xludf.DUMMYFUNCTION("""COMPUTED_VALUE"""),"")</f>
        <v/>
      </c>
      <c r="N1551" s="250" t="str">
        <f>IFERROR(__xludf.DUMMYFUNCTION("""COMPUTED_VALUE"""),"")</f>
        <v/>
      </c>
      <c r="O1551" s="250" t="str">
        <f>IFERROR(__xludf.DUMMYFUNCTION("""COMPUTED_VALUE"""),"")</f>
        <v/>
      </c>
      <c r="P1551" s="250" t="str">
        <f>IFERROR(__xludf.DUMMYFUNCTION("""COMPUTED_VALUE"""),"")</f>
        <v/>
      </c>
      <c r="Q1551" s="250" t="str">
        <f>IFERROR(__xludf.DUMMYFUNCTION("""COMPUTED_VALUE"""),"")</f>
        <v/>
      </c>
      <c r="R1551" s="250" t="str">
        <f>IFERROR(__xludf.DUMMYFUNCTION("""COMPUTED_VALUE"""),"")</f>
        <v/>
      </c>
      <c r="U1551" s="250" t="str">
        <f>IFERROR(__xludf.DUMMYFUNCTION("""COMPUTED_VALUE"""),"#N/A")</f>
        <v>#N/A</v>
      </c>
      <c r="V1551" s="250" t="str">
        <f>IFERROR(__xludf.DUMMYFUNCTION("""COMPUTED_VALUE"""),"#N/A")</f>
        <v>#N/A</v>
      </c>
      <c r="W1551" s="250" t="str">
        <f>IFERROR(__xludf.DUMMYFUNCTION("""COMPUTED_VALUE"""),"#N/A")</f>
        <v>#N/A</v>
      </c>
      <c r="X1551" t="b">
        <f t="shared" ref="X1551:Z1551" si="3078">ISBLANK(K1551)</f>
        <v>1</v>
      </c>
      <c r="Y1551" t="b">
        <f t="shared" si="3078"/>
        <v>0</v>
      </c>
      <c r="Z1551" t="b">
        <f t="shared" si="3078"/>
        <v>0</v>
      </c>
      <c r="AA1551">
        <f t="shared" ref="AA1551:AC1551" si="3079">IF(X1551=FALSE,1,0)</f>
        <v>0</v>
      </c>
      <c r="AB1551">
        <f t="shared" si="3079"/>
        <v>1</v>
      </c>
      <c r="AC1551">
        <f t="shared" si="3079"/>
        <v>1</v>
      </c>
      <c r="AD1551">
        <f t="shared" si="6"/>
        <v>2</v>
      </c>
      <c r="AE1551">
        <f t="shared" si="7"/>
        <v>1</v>
      </c>
    </row>
    <row r="1552">
      <c r="B1552" t="str">
        <f>IFERROR(__xludf.DUMMYFUNCTION("""COMPUTED_VALUE"""),"")</f>
        <v/>
      </c>
      <c r="C1552" t="str">
        <f>IFERROR(__xludf.DUMMYFUNCTION("""COMPUTED_VALUE"""),"")</f>
        <v/>
      </c>
      <c r="D1552" t="str">
        <f>IFERROR(__xludf.DUMMYFUNCTION("""COMPUTED_VALUE"""),"")</f>
        <v/>
      </c>
      <c r="E1552" t="str">
        <f>IFERROR(__xludf.DUMMYFUNCTION("""COMPUTED_VALUE"""),"")</f>
        <v/>
      </c>
      <c r="F1552" t="str">
        <f>IFERROR(__xludf.DUMMYFUNCTION("""COMPUTED_VALUE"""),"")</f>
        <v/>
      </c>
      <c r="G1552" t="str">
        <f>IFERROR(__xludf.DUMMYFUNCTION("""COMPUTED_VALUE"""),"")</f>
        <v/>
      </c>
      <c r="H1552" t="str">
        <f>IFERROR(__xludf.DUMMYFUNCTION("""COMPUTED_VALUE"""),"")</f>
        <v/>
      </c>
      <c r="I1552" t="str">
        <f>IFERROR(__xludf.DUMMYFUNCTION("""COMPUTED_VALUE"""),"")</f>
        <v/>
      </c>
      <c r="J1552">
        <f>IFERROR(__xludf.DUMMYFUNCTION("""COMPUTED_VALUE"""),0.0)</f>
        <v>0</v>
      </c>
      <c r="L1552" s="250" t="str">
        <f>IFERROR(__xludf.DUMMYFUNCTION("""COMPUTED_VALUE"""),"")</f>
        <v/>
      </c>
      <c r="M1552" s="250" t="str">
        <f>IFERROR(__xludf.DUMMYFUNCTION("""COMPUTED_VALUE"""),"")</f>
        <v/>
      </c>
      <c r="N1552" s="250" t="str">
        <f>IFERROR(__xludf.DUMMYFUNCTION("""COMPUTED_VALUE"""),"")</f>
        <v/>
      </c>
      <c r="O1552" s="250" t="str">
        <f>IFERROR(__xludf.DUMMYFUNCTION("""COMPUTED_VALUE"""),"")</f>
        <v/>
      </c>
      <c r="P1552" s="250" t="str">
        <f>IFERROR(__xludf.DUMMYFUNCTION("""COMPUTED_VALUE"""),"")</f>
        <v/>
      </c>
      <c r="Q1552" s="250" t="str">
        <f>IFERROR(__xludf.DUMMYFUNCTION("""COMPUTED_VALUE"""),"")</f>
        <v/>
      </c>
      <c r="R1552" s="250" t="str">
        <f>IFERROR(__xludf.DUMMYFUNCTION("""COMPUTED_VALUE"""),"")</f>
        <v/>
      </c>
      <c r="U1552" s="250" t="str">
        <f>IFERROR(__xludf.DUMMYFUNCTION("""COMPUTED_VALUE"""),"#N/A")</f>
        <v>#N/A</v>
      </c>
      <c r="V1552" s="250" t="str">
        <f>IFERROR(__xludf.DUMMYFUNCTION("""COMPUTED_VALUE"""),"#N/A")</f>
        <v>#N/A</v>
      </c>
      <c r="W1552" s="250" t="str">
        <f>IFERROR(__xludf.DUMMYFUNCTION("""COMPUTED_VALUE"""),"#N/A")</f>
        <v>#N/A</v>
      </c>
      <c r="X1552" t="b">
        <f t="shared" ref="X1552:Z1552" si="3080">ISBLANK(K1552)</f>
        <v>1</v>
      </c>
      <c r="Y1552" t="b">
        <f t="shared" si="3080"/>
        <v>0</v>
      </c>
      <c r="Z1552" t="b">
        <f t="shared" si="3080"/>
        <v>0</v>
      </c>
      <c r="AA1552">
        <f t="shared" ref="AA1552:AC1552" si="3081">IF(X1552=FALSE,1,0)</f>
        <v>0</v>
      </c>
      <c r="AB1552">
        <f t="shared" si="3081"/>
        <v>1</v>
      </c>
      <c r="AC1552">
        <f t="shared" si="3081"/>
        <v>1</v>
      </c>
      <c r="AD1552">
        <f t="shared" si="6"/>
        <v>2</v>
      </c>
      <c r="AE1552">
        <f t="shared" si="7"/>
        <v>1</v>
      </c>
    </row>
    <row r="1553">
      <c r="B1553" t="str">
        <f>IFERROR(__xludf.DUMMYFUNCTION("""COMPUTED_VALUE"""),"")</f>
        <v/>
      </c>
      <c r="C1553" t="str">
        <f>IFERROR(__xludf.DUMMYFUNCTION("""COMPUTED_VALUE"""),"")</f>
        <v/>
      </c>
      <c r="D1553" t="str">
        <f>IFERROR(__xludf.DUMMYFUNCTION("""COMPUTED_VALUE"""),"")</f>
        <v/>
      </c>
      <c r="E1553" t="str">
        <f>IFERROR(__xludf.DUMMYFUNCTION("""COMPUTED_VALUE"""),"")</f>
        <v/>
      </c>
      <c r="F1553" t="str">
        <f>IFERROR(__xludf.DUMMYFUNCTION("""COMPUTED_VALUE"""),"")</f>
        <v/>
      </c>
      <c r="G1553" t="str">
        <f>IFERROR(__xludf.DUMMYFUNCTION("""COMPUTED_VALUE"""),"")</f>
        <v/>
      </c>
      <c r="H1553" t="str">
        <f>IFERROR(__xludf.DUMMYFUNCTION("""COMPUTED_VALUE"""),"")</f>
        <v/>
      </c>
      <c r="I1553" t="str">
        <f>IFERROR(__xludf.DUMMYFUNCTION("""COMPUTED_VALUE"""),"")</f>
        <v/>
      </c>
      <c r="J1553">
        <f>IFERROR(__xludf.DUMMYFUNCTION("""COMPUTED_VALUE"""),0.0)</f>
        <v>0</v>
      </c>
      <c r="L1553" s="250" t="str">
        <f>IFERROR(__xludf.DUMMYFUNCTION("""COMPUTED_VALUE"""),"")</f>
        <v/>
      </c>
      <c r="M1553" s="250" t="str">
        <f>IFERROR(__xludf.DUMMYFUNCTION("""COMPUTED_VALUE"""),"")</f>
        <v/>
      </c>
      <c r="N1553" s="250" t="str">
        <f>IFERROR(__xludf.DUMMYFUNCTION("""COMPUTED_VALUE"""),"")</f>
        <v/>
      </c>
      <c r="O1553" s="250" t="str">
        <f>IFERROR(__xludf.DUMMYFUNCTION("""COMPUTED_VALUE"""),"")</f>
        <v/>
      </c>
      <c r="P1553" s="250" t="str">
        <f>IFERROR(__xludf.DUMMYFUNCTION("""COMPUTED_VALUE"""),"")</f>
        <v/>
      </c>
      <c r="Q1553" s="250" t="str">
        <f>IFERROR(__xludf.DUMMYFUNCTION("""COMPUTED_VALUE"""),"")</f>
        <v/>
      </c>
      <c r="R1553" s="250" t="str">
        <f>IFERROR(__xludf.DUMMYFUNCTION("""COMPUTED_VALUE"""),"")</f>
        <v/>
      </c>
      <c r="U1553" s="250" t="str">
        <f>IFERROR(__xludf.DUMMYFUNCTION("""COMPUTED_VALUE"""),"#N/A")</f>
        <v>#N/A</v>
      </c>
      <c r="V1553" s="250" t="str">
        <f>IFERROR(__xludf.DUMMYFUNCTION("""COMPUTED_VALUE"""),"#N/A")</f>
        <v>#N/A</v>
      </c>
      <c r="W1553" s="250" t="str">
        <f>IFERROR(__xludf.DUMMYFUNCTION("""COMPUTED_VALUE"""),"#N/A")</f>
        <v>#N/A</v>
      </c>
      <c r="X1553" t="b">
        <f t="shared" ref="X1553:Z1553" si="3082">ISBLANK(K1553)</f>
        <v>1</v>
      </c>
      <c r="Y1553" t="b">
        <f t="shared" si="3082"/>
        <v>0</v>
      </c>
      <c r="Z1553" t="b">
        <f t="shared" si="3082"/>
        <v>0</v>
      </c>
      <c r="AA1553">
        <f t="shared" ref="AA1553:AC1553" si="3083">IF(X1553=FALSE,1,0)</f>
        <v>0</v>
      </c>
      <c r="AB1553">
        <f t="shared" si="3083"/>
        <v>1</v>
      </c>
      <c r="AC1553">
        <f t="shared" si="3083"/>
        <v>1</v>
      </c>
      <c r="AD1553">
        <f t="shared" si="6"/>
        <v>2</v>
      </c>
      <c r="AE1553">
        <f t="shared" si="7"/>
        <v>1</v>
      </c>
    </row>
    <row r="1554">
      <c r="B1554" t="str">
        <f>IFERROR(__xludf.DUMMYFUNCTION("""COMPUTED_VALUE"""),"")</f>
        <v/>
      </c>
      <c r="C1554" t="str">
        <f>IFERROR(__xludf.DUMMYFUNCTION("""COMPUTED_VALUE"""),"")</f>
        <v/>
      </c>
      <c r="D1554" t="str">
        <f>IFERROR(__xludf.DUMMYFUNCTION("""COMPUTED_VALUE"""),"")</f>
        <v/>
      </c>
      <c r="E1554" t="str">
        <f>IFERROR(__xludf.DUMMYFUNCTION("""COMPUTED_VALUE"""),"")</f>
        <v/>
      </c>
      <c r="F1554" t="str">
        <f>IFERROR(__xludf.DUMMYFUNCTION("""COMPUTED_VALUE"""),"")</f>
        <v/>
      </c>
      <c r="G1554" t="str">
        <f>IFERROR(__xludf.DUMMYFUNCTION("""COMPUTED_VALUE"""),"")</f>
        <v/>
      </c>
      <c r="H1554" t="str">
        <f>IFERROR(__xludf.DUMMYFUNCTION("""COMPUTED_VALUE"""),"")</f>
        <v/>
      </c>
      <c r="I1554" t="str">
        <f>IFERROR(__xludf.DUMMYFUNCTION("""COMPUTED_VALUE"""),"")</f>
        <v/>
      </c>
      <c r="J1554">
        <f>IFERROR(__xludf.DUMMYFUNCTION("""COMPUTED_VALUE"""),0.0)</f>
        <v>0</v>
      </c>
      <c r="L1554" s="250" t="str">
        <f>IFERROR(__xludf.DUMMYFUNCTION("""COMPUTED_VALUE"""),"")</f>
        <v/>
      </c>
      <c r="M1554" s="250" t="str">
        <f>IFERROR(__xludf.DUMMYFUNCTION("""COMPUTED_VALUE"""),"")</f>
        <v/>
      </c>
      <c r="N1554" s="250" t="str">
        <f>IFERROR(__xludf.DUMMYFUNCTION("""COMPUTED_VALUE"""),"")</f>
        <v/>
      </c>
      <c r="O1554" s="250" t="str">
        <f>IFERROR(__xludf.DUMMYFUNCTION("""COMPUTED_VALUE"""),"")</f>
        <v/>
      </c>
      <c r="P1554" s="250" t="str">
        <f>IFERROR(__xludf.DUMMYFUNCTION("""COMPUTED_VALUE"""),"")</f>
        <v/>
      </c>
      <c r="Q1554" s="250" t="str">
        <f>IFERROR(__xludf.DUMMYFUNCTION("""COMPUTED_VALUE"""),"")</f>
        <v/>
      </c>
      <c r="R1554" s="250" t="str">
        <f>IFERROR(__xludf.DUMMYFUNCTION("""COMPUTED_VALUE"""),"")</f>
        <v/>
      </c>
      <c r="U1554" s="250" t="str">
        <f>IFERROR(__xludf.DUMMYFUNCTION("""COMPUTED_VALUE"""),"#N/A")</f>
        <v>#N/A</v>
      </c>
      <c r="V1554" s="250" t="str">
        <f>IFERROR(__xludf.DUMMYFUNCTION("""COMPUTED_VALUE"""),"#N/A")</f>
        <v>#N/A</v>
      </c>
      <c r="W1554" s="250" t="str">
        <f>IFERROR(__xludf.DUMMYFUNCTION("""COMPUTED_VALUE"""),"#N/A")</f>
        <v>#N/A</v>
      </c>
      <c r="X1554" t="b">
        <f t="shared" ref="X1554:Z1554" si="3084">ISBLANK(K1554)</f>
        <v>1</v>
      </c>
      <c r="Y1554" t="b">
        <f t="shared" si="3084"/>
        <v>0</v>
      </c>
      <c r="Z1554" t="b">
        <f t="shared" si="3084"/>
        <v>0</v>
      </c>
      <c r="AA1554">
        <f t="shared" ref="AA1554:AC1554" si="3085">IF(X1554=FALSE,1,0)</f>
        <v>0</v>
      </c>
      <c r="AB1554">
        <f t="shared" si="3085"/>
        <v>1</v>
      </c>
      <c r="AC1554">
        <f t="shared" si="3085"/>
        <v>1</v>
      </c>
      <c r="AD1554">
        <f t="shared" si="6"/>
        <v>2</v>
      </c>
      <c r="AE1554">
        <f t="shared" si="7"/>
        <v>1</v>
      </c>
    </row>
    <row r="1555">
      <c r="B1555" t="str">
        <f>IFERROR(__xludf.DUMMYFUNCTION("""COMPUTED_VALUE"""),"")</f>
        <v/>
      </c>
      <c r="C1555" t="str">
        <f>IFERROR(__xludf.DUMMYFUNCTION("""COMPUTED_VALUE"""),"")</f>
        <v/>
      </c>
      <c r="D1555" t="str">
        <f>IFERROR(__xludf.DUMMYFUNCTION("""COMPUTED_VALUE"""),"")</f>
        <v/>
      </c>
      <c r="E1555" t="str">
        <f>IFERROR(__xludf.DUMMYFUNCTION("""COMPUTED_VALUE"""),"")</f>
        <v/>
      </c>
      <c r="F1555" t="str">
        <f>IFERROR(__xludf.DUMMYFUNCTION("""COMPUTED_VALUE"""),"")</f>
        <v/>
      </c>
      <c r="G1555" t="str">
        <f>IFERROR(__xludf.DUMMYFUNCTION("""COMPUTED_VALUE"""),"")</f>
        <v/>
      </c>
      <c r="H1555" t="str">
        <f>IFERROR(__xludf.DUMMYFUNCTION("""COMPUTED_VALUE"""),"")</f>
        <v/>
      </c>
      <c r="I1555" t="str">
        <f>IFERROR(__xludf.DUMMYFUNCTION("""COMPUTED_VALUE"""),"")</f>
        <v/>
      </c>
      <c r="J1555">
        <f>IFERROR(__xludf.DUMMYFUNCTION("""COMPUTED_VALUE"""),0.0)</f>
        <v>0</v>
      </c>
      <c r="L1555" s="250" t="str">
        <f>IFERROR(__xludf.DUMMYFUNCTION("""COMPUTED_VALUE"""),"")</f>
        <v/>
      </c>
      <c r="M1555" s="250" t="str">
        <f>IFERROR(__xludf.DUMMYFUNCTION("""COMPUTED_VALUE"""),"")</f>
        <v/>
      </c>
      <c r="N1555" s="250" t="str">
        <f>IFERROR(__xludf.DUMMYFUNCTION("""COMPUTED_VALUE"""),"")</f>
        <v/>
      </c>
      <c r="O1555" s="250" t="str">
        <f>IFERROR(__xludf.DUMMYFUNCTION("""COMPUTED_VALUE"""),"")</f>
        <v/>
      </c>
      <c r="P1555" s="250" t="str">
        <f>IFERROR(__xludf.DUMMYFUNCTION("""COMPUTED_VALUE"""),"")</f>
        <v/>
      </c>
      <c r="Q1555" s="250" t="str">
        <f>IFERROR(__xludf.DUMMYFUNCTION("""COMPUTED_VALUE"""),"")</f>
        <v/>
      </c>
      <c r="R1555" s="250" t="str">
        <f>IFERROR(__xludf.DUMMYFUNCTION("""COMPUTED_VALUE"""),"")</f>
        <v/>
      </c>
      <c r="U1555" s="250" t="str">
        <f>IFERROR(__xludf.DUMMYFUNCTION("""COMPUTED_VALUE"""),"#N/A")</f>
        <v>#N/A</v>
      </c>
      <c r="V1555" s="250" t="str">
        <f>IFERROR(__xludf.DUMMYFUNCTION("""COMPUTED_VALUE"""),"#N/A")</f>
        <v>#N/A</v>
      </c>
      <c r="W1555" s="250" t="str">
        <f>IFERROR(__xludf.DUMMYFUNCTION("""COMPUTED_VALUE"""),"#N/A")</f>
        <v>#N/A</v>
      </c>
      <c r="X1555" t="b">
        <f t="shared" ref="X1555:Z1555" si="3086">ISBLANK(K1555)</f>
        <v>1</v>
      </c>
      <c r="Y1555" t="b">
        <f t="shared" si="3086"/>
        <v>0</v>
      </c>
      <c r="Z1555" t="b">
        <f t="shared" si="3086"/>
        <v>0</v>
      </c>
      <c r="AA1555">
        <f t="shared" ref="AA1555:AC1555" si="3087">IF(X1555=FALSE,1,0)</f>
        <v>0</v>
      </c>
      <c r="AB1555">
        <f t="shared" si="3087"/>
        <v>1</v>
      </c>
      <c r="AC1555">
        <f t="shared" si="3087"/>
        <v>1</v>
      </c>
      <c r="AD1555">
        <f t="shared" si="6"/>
        <v>2</v>
      </c>
      <c r="AE1555">
        <f t="shared" si="7"/>
        <v>1</v>
      </c>
    </row>
    <row r="1556">
      <c r="B1556" t="str">
        <f>IFERROR(__xludf.DUMMYFUNCTION("""COMPUTED_VALUE"""),"")</f>
        <v/>
      </c>
      <c r="C1556" t="str">
        <f>IFERROR(__xludf.DUMMYFUNCTION("""COMPUTED_VALUE"""),"")</f>
        <v/>
      </c>
      <c r="D1556" t="str">
        <f>IFERROR(__xludf.DUMMYFUNCTION("""COMPUTED_VALUE"""),"")</f>
        <v/>
      </c>
      <c r="E1556" t="str">
        <f>IFERROR(__xludf.DUMMYFUNCTION("""COMPUTED_VALUE"""),"")</f>
        <v/>
      </c>
      <c r="F1556" t="str">
        <f>IFERROR(__xludf.DUMMYFUNCTION("""COMPUTED_VALUE"""),"")</f>
        <v/>
      </c>
      <c r="G1556" t="str">
        <f>IFERROR(__xludf.DUMMYFUNCTION("""COMPUTED_VALUE"""),"")</f>
        <v/>
      </c>
      <c r="H1556" t="str">
        <f>IFERROR(__xludf.DUMMYFUNCTION("""COMPUTED_VALUE"""),"")</f>
        <v/>
      </c>
      <c r="I1556" t="str">
        <f>IFERROR(__xludf.DUMMYFUNCTION("""COMPUTED_VALUE"""),"")</f>
        <v/>
      </c>
      <c r="J1556">
        <f>IFERROR(__xludf.DUMMYFUNCTION("""COMPUTED_VALUE"""),0.0)</f>
        <v>0</v>
      </c>
      <c r="L1556" s="250" t="str">
        <f>IFERROR(__xludf.DUMMYFUNCTION("""COMPUTED_VALUE"""),"")</f>
        <v/>
      </c>
      <c r="M1556" s="250" t="str">
        <f>IFERROR(__xludf.DUMMYFUNCTION("""COMPUTED_VALUE"""),"")</f>
        <v/>
      </c>
      <c r="N1556" s="250" t="str">
        <f>IFERROR(__xludf.DUMMYFUNCTION("""COMPUTED_VALUE"""),"")</f>
        <v/>
      </c>
      <c r="O1556" s="250" t="str">
        <f>IFERROR(__xludf.DUMMYFUNCTION("""COMPUTED_VALUE"""),"")</f>
        <v/>
      </c>
      <c r="P1556" s="250" t="str">
        <f>IFERROR(__xludf.DUMMYFUNCTION("""COMPUTED_VALUE"""),"")</f>
        <v/>
      </c>
      <c r="Q1556" s="250" t="str">
        <f>IFERROR(__xludf.DUMMYFUNCTION("""COMPUTED_VALUE"""),"")</f>
        <v/>
      </c>
      <c r="R1556" s="250" t="str">
        <f>IFERROR(__xludf.DUMMYFUNCTION("""COMPUTED_VALUE"""),"")</f>
        <v/>
      </c>
      <c r="U1556" s="250" t="str">
        <f>IFERROR(__xludf.DUMMYFUNCTION("""COMPUTED_VALUE"""),"#N/A")</f>
        <v>#N/A</v>
      </c>
      <c r="V1556" s="250" t="str">
        <f>IFERROR(__xludf.DUMMYFUNCTION("""COMPUTED_VALUE"""),"#N/A")</f>
        <v>#N/A</v>
      </c>
      <c r="W1556" s="250" t="str">
        <f>IFERROR(__xludf.DUMMYFUNCTION("""COMPUTED_VALUE"""),"#N/A")</f>
        <v>#N/A</v>
      </c>
      <c r="X1556" t="b">
        <f t="shared" ref="X1556:Z1556" si="3088">ISBLANK(K1556)</f>
        <v>1</v>
      </c>
      <c r="Y1556" t="b">
        <f t="shared" si="3088"/>
        <v>0</v>
      </c>
      <c r="Z1556" t="b">
        <f t="shared" si="3088"/>
        <v>0</v>
      </c>
      <c r="AA1556">
        <f t="shared" ref="AA1556:AC1556" si="3089">IF(X1556=FALSE,1,0)</f>
        <v>0</v>
      </c>
      <c r="AB1556">
        <f t="shared" si="3089"/>
        <v>1</v>
      </c>
      <c r="AC1556">
        <f t="shared" si="3089"/>
        <v>1</v>
      </c>
      <c r="AD1556">
        <f t="shared" si="6"/>
        <v>2</v>
      </c>
      <c r="AE1556">
        <f t="shared" si="7"/>
        <v>1</v>
      </c>
    </row>
    <row r="1557">
      <c r="B1557" t="str">
        <f>IFERROR(__xludf.DUMMYFUNCTION("""COMPUTED_VALUE"""),"")</f>
        <v/>
      </c>
      <c r="C1557" t="str">
        <f>IFERROR(__xludf.DUMMYFUNCTION("""COMPUTED_VALUE"""),"")</f>
        <v/>
      </c>
      <c r="D1557" t="str">
        <f>IFERROR(__xludf.DUMMYFUNCTION("""COMPUTED_VALUE"""),"")</f>
        <v/>
      </c>
      <c r="E1557" t="str">
        <f>IFERROR(__xludf.DUMMYFUNCTION("""COMPUTED_VALUE"""),"")</f>
        <v/>
      </c>
      <c r="F1557" t="str">
        <f>IFERROR(__xludf.DUMMYFUNCTION("""COMPUTED_VALUE"""),"")</f>
        <v/>
      </c>
      <c r="G1557" t="str">
        <f>IFERROR(__xludf.DUMMYFUNCTION("""COMPUTED_VALUE"""),"")</f>
        <v/>
      </c>
      <c r="H1557" t="str">
        <f>IFERROR(__xludf.DUMMYFUNCTION("""COMPUTED_VALUE"""),"")</f>
        <v/>
      </c>
      <c r="I1557" t="str">
        <f>IFERROR(__xludf.DUMMYFUNCTION("""COMPUTED_VALUE"""),"")</f>
        <v/>
      </c>
      <c r="J1557">
        <f>IFERROR(__xludf.DUMMYFUNCTION("""COMPUTED_VALUE"""),0.0)</f>
        <v>0</v>
      </c>
      <c r="L1557" s="250" t="str">
        <f>IFERROR(__xludf.DUMMYFUNCTION("""COMPUTED_VALUE"""),"")</f>
        <v/>
      </c>
      <c r="M1557" s="250" t="str">
        <f>IFERROR(__xludf.DUMMYFUNCTION("""COMPUTED_VALUE"""),"")</f>
        <v/>
      </c>
      <c r="N1557" s="250" t="str">
        <f>IFERROR(__xludf.DUMMYFUNCTION("""COMPUTED_VALUE"""),"")</f>
        <v/>
      </c>
      <c r="O1557" s="250" t="str">
        <f>IFERROR(__xludf.DUMMYFUNCTION("""COMPUTED_VALUE"""),"")</f>
        <v/>
      </c>
      <c r="P1557" s="250" t="str">
        <f>IFERROR(__xludf.DUMMYFUNCTION("""COMPUTED_VALUE"""),"")</f>
        <v/>
      </c>
      <c r="Q1557" s="250" t="str">
        <f>IFERROR(__xludf.DUMMYFUNCTION("""COMPUTED_VALUE"""),"")</f>
        <v/>
      </c>
      <c r="R1557" s="250" t="str">
        <f>IFERROR(__xludf.DUMMYFUNCTION("""COMPUTED_VALUE"""),"")</f>
        <v/>
      </c>
      <c r="U1557" s="250" t="str">
        <f>IFERROR(__xludf.DUMMYFUNCTION("""COMPUTED_VALUE"""),"#N/A")</f>
        <v>#N/A</v>
      </c>
      <c r="V1557" s="250" t="str">
        <f>IFERROR(__xludf.DUMMYFUNCTION("""COMPUTED_VALUE"""),"#N/A")</f>
        <v>#N/A</v>
      </c>
      <c r="W1557" s="250" t="str">
        <f>IFERROR(__xludf.DUMMYFUNCTION("""COMPUTED_VALUE"""),"#N/A")</f>
        <v>#N/A</v>
      </c>
      <c r="X1557" t="b">
        <f t="shared" ref="X1557:Z1557" si="3090">ISBLANK(K1557)</f>
        <v>1</v>
      </c>
      <c r="Y1557" t="b">
        <f t="shared" si="3090"/>
        <v>0</v>
      </c>
      <c r="Z1557" t="b">
        <f t="shared" si="3090"/>
        <v>0</v>
      </c>
      <c r="AA1557">
        <f t="shared" ref="AA1557:AC1557" si="3091">IF(X1557=FALSE,1,0)</f>
        <v>0</v>
      </c>
      <c r="AB1557">
        <f t="shared" si="3091"/>
        <v>1</v>
      </c>
      <c r="AC1557">
        <f t="shared" si="3091"/>
        <v>1</v>
      </c>
      <c r="AD1557">
        <f t="shared" si="6"/>
        <v>2</v>
      </c>
      <c r="AE1557">
        <f t="shared" si="7"/>
        <v>1</v>
      </c>
    </row>
    <row r="1558">
      <c r="B1558" t="str">
        <f>IFERROR(__xludf.DUMMYFUNCTION("""COMPUTED_VALUE"""),"")</f>
        <v/>
      </c>
      <c r="C1558" t="str">
        <f>IFERROR(__xludf.DUMMYFUNCTION("""COMPUTED_VALUE"""),"")</f>
        <v/>
      </c>
      <c r="D1558" t="str">
        <f>IFERROR(__xludf.DUMMYFUNCTION("""COMPUTED_VALUE"""),"")</f>
        <v/>
      </c>
      <c r="E1558" t="str">
        <f>IFERROR(__xludf.DUMMYFUNCTION("""COMPUTED_VALUE"""),"")</f>
        <v/>
      </c>
      <c r="F1558" t="str">
        <f>IFERROR(__xludf.DUMMYFUNCTION("""COMPUTED_VALUE"""),"")</f>
        <v/>
      </c>
      <c r="G1558" t="str">
        <f>IFERROR(__xludf.DUMMYFUNCTION("""COMPUTED_VALUE"""),"")</f>
        <v/>
      </c>
      <c r="H1558" t="str">
        <f>IFERROR(__xludf.DUMMYFUNCTION("""COMPUTED_VALUE"""),"")</f>
        <v/>
      </c>
      <c r="I1558" t="str">
        <f>IFERROR(__xludf.DUMMYFUNCTION("""COMPUTED_VALUE"""),"")</f>
        <v/>
      </c>
      <c r="J1558">
        <f>IFERROR(__xludf.DUMMYFUNCTION("""COMPUTED_VALUE"""),0.0)</f>
        <v>0</v>
      </c>
      <c r="L1558" s="250" t="str">
        <f>IFERROR(__xludf.DUMMYFUNCTION("""COMPUTED_VALUE"""),"")</f>
        <v/>
      </c>
      <c r="M1558" s="250" t="str">
        <f>IFERROR(__xludf.DUMMYFUNCTION("""COMPUTED_VALUE"""),"")</f>
        <v/>
      </c>
      <c r="N1558" s="250" t="str">
        <f>IFERROR(__xludf.DUMMYFUNCTION("""COMPUTED_VALUE"""),"")</f>
        <v/>
      </c>
      <c r="O1558" s="250" t="str">
        <f>IFERROR(__xludf.DUMMYFUNCTION("""COMPUTED_VALUE"""),"")</f>
        <v/>
      </c>
      <c r="P1558" s="250" t="str">
        <f>IFERROR(__xludf.DUMMYFUNCTION("""COMPUTED_VALUE"""),"")</f>
        <v/>
      </c>
      <c r="Q1558" s="250" t="str">
        <f>IFERROR(__xludf.DUMMYFUNCTION("""COMPUTED_VALUE"""),"")</f>
        <v/>
      </c>
      <c r="R1558" s="250" t="str">
        <f>IFERROR(__xludf.DUMMYFUNCTION("""COMPUTED_VALUE"""),"")</f>
        <v/>
      </c>
      <c r="U1558" s="250" t="str">
        <f>IFERROR(__xludf.DUMMYFUNCTION("""COMPUTED_VALUE"""),"#N/A")</f>
        <v>#N/A</v>
      </c>
      <c r="V1558" s="250" t="str">
        <f>IFERROR(__xludf.DUMMYFUNCTION("""COMPUTED_VALUE"""),"#N/A")</f>
        <v>#N/A</v>
      </c>
      <c r="W1558" s="250" t="str">
        <f>IFERROR(__xludf.DUMMYFUNCTION("""COMPUTED_VALUE"""),"#N/A")</f>
        <v>#N/A</v>
      </c>
      <c r="X1558" t="b">
        <f t="shared" ref="X1558:Z1558" si="3092">ISBLANK(K1558)</f>
        <v>1</v>
      </c>
      <c r="Y1558" t="b">
        <f t="shared" si="3092"/>
        <v>0</v>
      </c>
      <c r="Z1558" t="b">
        <f t="shared" si="3092"/>
        <v>0</v>
      </c>
      <c r="AA1558">
        <f t="shared" ref="AA1558:AC1558" si="3093">IF(X1558=FALSE,1,0)</f>
        <v>0</v>
      </c>
      <c r="AB1558">
        <f t="shared" si="3093"/>
        <v>1</v>
      </c>
      <c r="AC1558">
        <f t="shared" si="3093"/>
        <v>1</v>
      </c>
      <c r="AD1558">
        <f t="shared" si="6"/>
        <v>2</v>
      </c>
      <c r="AE1558">
        <f t="shared" si="7"/>
        <v>1</v>
      </c>
    </row>
    <row r="1559">
      <c r="B1559" t="str">
        <f>IFERROR(__xludf.DUMMYFUNCTION("""COMPUTED_VALUE"""),"")</f>
        <v/>
      </c>
      <c r="C1559" t="str">
        <f>IFERROR(__xludf.DUMMYFUNCTION("""COMPUTED_VALUE"""),"")</f>
        <v/>
      </c>
      <c r="D1559" t="str">
        <f>IFERROR(__xludf.DUMMYFUNCTION("""COMPUTED_VALUE"""),"")</f>
        <v/>
      </c>
      <c r="E1559" t="str">
        <f>IFERROR(__xludf.DUMMYFUNCTION("""COMPUTED_VALUE"""),"")</f>
        <v/>
      </c>
      <c r="F1559" t="str">
        <f>IFERROR(__xludf.DUMMYFUNCTION("""COMPUTED_VALUE"""),"")</f>
        <v/>
      </c>
      <c r="G1559" t="str">
        <f>IFERROR(__xludf.DUMMYFUNCTION("""COMPUTED_VALUE"""),"")</f>
        <v/>
      </c>
      <c r="H1559" t="str">
        <f>IFERROR(__xludf.DUMMYFUNCTION("""COMPUTED_VALUE"""),"")</f>
        <v/>
      </c>
      <c r="I1559" t="str">
        <f>IFERROR(__xludf.DUMMYFUNCTION("""COMPUTED_VALUE"""),"")</f>
        <v/>
      </c>
      <c r="J1559">
        <f>IFERROR(__xludf.DUMMYFUNCTION("""COMPUTED_VALUE"""),0.0)</f>
        <v>0</v>
      </c>
      <c r="L1559" s="250" t="str">
        <f>IFERROR(__xludf.DUMMYFUNCTION("""COMPUTED_VALUE"""),"")</f>
        <v/>
      </c>
      <c r="M1559" s="250" t="str">
        <f>IFERROR(__xludf.DUMMYFUNCTION("""COMPUTED_VALUE"""),"")</f>
        <v/>
      </c>
      <c r="N1559" s="250" t="str">
        <f>IFERROR(__xludf.DUMMYFUNCTION("""COMPUTED_VALUE"""),"")</f>
        <v/>
      </c>
      <c r="O1559" s="250" t="str">
        <f>IFERROR(__xludf.DUMMYFUNCTION("""COMPUTED_VALUE"""),"")</f>
        <v/>
      </c>
      <c r="P1559" s="250" t="str">
        <f>IFERROR(__xludf.DUMMYFUNCTION("""COMPUTED_VALUE"""),"")</f>
        <v/>
      </c>
      <c r="Q1559" s="250" t="str">
        <f>IFERROR(__xludf.DUMMYFUNCTION("""COMPUTED_VALUE"""),"")</f>
        <v/>
      </c>
      <c r="R1559" s="250" t="str">
        <f>IFERROR(__xludf.DUMMYFUNCTION("""COMPUTED_VALUE"""),"")</f>
        <v/>
      </c>
      <c r="U1559" s="250" t="str">
        <f>IFERROR(__xludf.DUMMYFUNCTION("""COMPUTED_VALUE"""),"#N/A")</f>
        <v>#N/A</v>
      </c>
      <c r="V1559" s="250" t="str">
        <f>IFERROR(__xludf.DUMMYFUNCTION("""COMPUTED_VALUE"""),"#N/A")</f>
        <v>#N/A</v>
      </c>
      <c r="W1559" s="250" t="str">
        <f>IFERROR(__xludf.DUMMYFUNCTION("""COMPUTED_VALUE"""),"#N/A")</f>
        <v>#N/A</v>
      </c>
      <c r="X1559" t="b">
        <f t="shared" ref="X1559:Z1559" si="3094">ISBLANK(K1559)</f>
        <v>1</v>
      </c>
      <c r="Y1559" t="b">
        <f t="shared" si="3094"/>
        <v>0</v>
      </c>
      <c r="Z1559" t="b">
        <f t="shared" si="3094"/>
        <v>0</v>
      </c>
      <c r="AA1559">
        <f t="shared" ref="AA1559:AC1559" si="3095">IF(X1559=FALSE,1,0)</f>
        <v>0</v>
      </c>
      <c r="AB1559">
        <f t="shared" si="3095"/>
        <v>1</v>
      </c>
      <c r="AC1559">
        <f t="shared" si="3095"/>
        <v>1</v>
      </c>
      <c r="AD1559">
        <f t="shared" si="6"/>
        <v>2</v>
      </c>
      <c r="AE1559">
        <f t="shared" si="7"/>
        <v>1</v>
      </c>
    </row>
    <row r="1560">
      <c r="B1560" t="str">
        <f>IFERROR(__xludf.DUMMYFUNCTION("""COMPUTED_VALUE"""),"")</f>
        <v/>
      </c>
      <c r="C1560" t="str">
        <f>IFERROR(__xludf.DUMMYFUNCTION("""COMPUTED_VALUE"""),"")</f>
        <v/>
      </c>
      <c r="D1560" t="str">
        <f>IFERROR(__xludf.DUMMYFUNCTION("""COMPUTED_VALUE"""),"")</f>
        <v/>
      </c>
      <c r="E1560" t="str">
        <f>IFERROR(__xludf.DUMMYFUNCTION("""COMPUTED_VALUE"""),"")</f>
        <v/>
      </c>
      <c r="F1560" t="str">
        <f>IFERROR(__xludf.DUMMYFUNCTION("""COMPUTED_VALUE"""),"")</f>
        <v/>
      </c>
      <c r="G1560" t="str">
        <f>IFERROR(__xludf.DUMMYFUNCTION("""COMPUTED_VALUE"""),"")</f>
        <v/>
      </c>
      <c r="H1560" t="str">
        <f>IFERROR(__xludf.DUMMYFUNCTION("""COMPUTED_VALUE"""),"")</f>
        <v/>
      </c>
      <c r="I1560" t="str">
        <f>IFERROR(__xludf.DUMMYFUNCTION("""COMPUTED_VALUE"""),"")</f>
        <v/>
      </c>
      <c r="J1560">
        <f>IFERROR(__xludf.DUMMYFUNCTION("""COMPUTED_VALUE"""),0.0)</f>
        <v>0</v>
      </c>
      <c r="L1560" s="250" t="str">
        <f>IFERROR(__xludf.DUMMYFUNCTION("""COMPUTED_VALUE"""),"")</f>
        <v/>
      </c>
      <c r="M1560" s="250" t="str">
        <f>IFERROR(__xludf.DUMMYFUNCTION("""COMPUTED_VALUE"""),"")</f>
        <v/>
      </c>
      <c r="N1560" s="250" t="str">
        <f>IFERROR(__xludf.DUMMYFUNCTION("""COMPUTED_VALUE"""),"")</f>
        <v/>
      </c>
      <c r="O1560" s="250" t="str">
        <f>IFERROR(__xludf.DUMMYFUNCTION("""COMPUTED_VALUE"""),"")</f>
        <v/>
      </c>
      <c r="P1560" s="250" t="str">
        <f>IFERROR(__xludf.DUMMYFUNCTION("""COMPUTED_VALUE"""),"")</f>
        <v/>
      </c>
      <c r="Q1560" s="250" t="str">
        <f>IFERROR(__xludf.DUMMYFUNCTION("""COMPUTED_VALUE"""),"")</f>
        <v/>
      </c>
      <c r="R1560" s="250" t="str">
        <f>IFERROR(__xludf.DUMMYFUNCTION("""COMPUTED_VALUE"""),"")</f>
        <v/>
      </c>
      <c r="U1560" s="250" t="str">
        <f>IFERROR(__xludf.DUMMYFUNCTION("""COMPUTED_VALUE"""),"#N/A")</f>
        <v>#N/A</v>
      </c>
      <c r="V1560" s="250" t="str">
        <f>IFERROR(__xludf.DUMMYFUNCTION("""COMPUTED_VALUE"""),"#N/A")</f>
        <v>#N/A</v>
      </c>
      <c r="W1560" s="250" t="str">
        <f>IFERROR(__xludf.DUMMYFUNCTION("""COMPUTED_VALUE"""),"#N/A")</f>
        <v>#N/A</v>
      </c>
      <c r="X1560" t="b">
        <f t="shared" ref="X1560:Z1560" si="3096">ISBLANK(K1560)</f>
        <v>1</v>
      </c>
      <c r="Y1560" t="b">
        <f t="shared" si="3096"/>
        <v>0</v>
      </c>
      <c r="Z1560" t="b">
        <f t="shared" si="3096"/>
        <v>0</v>
      </c>
      <c r="AA1560">
        <f t="shared" ref="AA1560:AC1560" si="3097">IF(X1560=FALSE,1,0)</f>
        <v>0</v>
      </c>
      <c r="AB1560">
        <f t="shared" si="3097"/>
        <v>1</v>
      </c>
      <c r="AC1560">
        <f t="shared" si="3097"/>
        <v>1</v>
      </c>
      <c r="AD1560">
        <f t="shared" si="6"/>
        <v>2</v>
      </c>
      <c r="AE1560">
        <f t="shared" si="7"/>
        <v>1</v>
      </c>
    </row>
    <row r="1561">
      <c r="B1561" t="str">
        <f>IFERROR(__xludf.DUMMYFUNCTION("""COMPUTED_VALUE"""),"")</f>
        <v/>
      </c>
      <c r="C1561" t="str">
        <f>IFERROR(__xludf.DUMMYFUNCTION("""COMPUTED_VALUE"""),"")</f>
        <v/>
      </c>
      <c r="D1561" t="str">
        <f>IFERROR(__xludf.DUMMYFUNCTION("""COMPUTED_VALUE"""),"")</f>
        <v/>
      </c>
      <c r="E1561" t="str">
        <f>IFERROR(__xludf.DUMMYFUNCTION("""COMPUTED_VALUE"""),"")</f>
        <v/>
      </c>
      <c r="F1561" t="str">
        <f>IFERROR(__xludf.DUMMYFUNCTION("""COMPUTED_VALUE"""),"")</f>
        <v/>
      </c>
      <c r="G1561" t="str">
        <f>IFERROR(__xludf.DUMMYFUNCTION("""COMPUTED_VALUE"""),"")</f>
        <v/>
      </c>
      <c r="H1561" t="str">
        <f>IFERROR(__xludf.DUMMYFUNCTION("""COMPUTED_VALUE"""),"")</f>
        <v/>
      </c>
      <c r="I1561" t="str">
        <f>IFERROR(__xludf.DUMMYFUNCTION("""COMPUTED_VALUE"""),"")</f>
        <v/>
      </c>
      <c r="J1561">
        <f>IFERROR(__xludf.DUMMYFUNCTION("""COMPUTED_VALUE"""),0.0)</f>
        <v>0</v>
      </c>
      <c r="L1561" s="250" t="str">
        <f>IFERROR(__xludf.DUMMYFUNCTION("""COMPUTED_VALUE"""),"")</f>
        <v/>
      </c>
      <c r="M1561" s="250" t="str">
        <f>IFERROR(__xludf.DUMMYFUNCTION("""COMPUTED_VALUE"""),"")</f>
        <v/>
      </c>
      <c r="N1561" s="250" t="str">
        <f>IFERROR(__xludf.DUMMYFUNCTION("""COMPUTED_VALUE"""),"")</f>
        <v/>
      </c>
      <c r="O1561" s="250" t="str">
        <f>IFERROR(__xludf.DUMMYFUNCTION("""COMPUTED_VALUE"""),"")</f>
        <v/>
      </c>
      <c r="P1561" s="250" t="str">
        <f>IFERROR(__xludf.DUMMYFUNCTION("""COMPUTED_VALUE"""),"")</f>
        <v/>
      </c>
      <c r="Q1561" s="250" t="str">
        <f>IFERROR(__xludf.DUMMYFUNCTION("""COMPUTED_VALUE"""),"")</f>
        <v/>
      </c>
      <c r="R1561" s="250" t="str">
        <f>IFERROR(__xludf.DUMMYFUNCTION("""COMPUTED_VALUE"""),"")</f>
        <v/>
      </c>
      <c r="U1561" s="250" t="str">
        <f>IFERROR(__xludf.DUMMYFUNCTION("""COMPUTED_VALUE"""),"#N/A")</f>
        <v>#N/A</v>
      </c>
      <c r="V1561" s="250" t="str">
        <f>IFERROR(__xludf.DUMMYFUNCTION("""COMPUTED_VALUE"""),"#N/A")</f>
        <v>#N/A</v>
      </c>
      <c r="W1561" s="250" t="str">
        <f>IFERROR(__xludf.DUMMYFUNCTION("""COMPUTED_VALUE"""),"#N/A")</f>
        <v>#N/A</v>
      </c>
      <c r="X1561" t="b">
        <f t="shared" ref="X1561:Z1561" si="3098">ISBLANK(K1561)</f>
        <v>1</v>
      </c>
      <c r="Y1561" t="b">
        <f t="shared" si="3098"/>
        <v>0</v>
      </c>
      <c r="Z1561" t="b">
        <f t="shared" si="3098"/>
        <v>0</v>
      </c>
      <c r="AA1561">
        <f t="shared" ref="AA1561:AC1561" si="3099">IF(X1561=FALSE,1,0)</f>
        <v>0</v>
      </c>
      <c r="AB1561">
        <f t="shared" si="3099"/>
        <v>1</v>
      </c>
      <c r="AC1561">
        <f t="shared" si="3099"/>
        <v>1</v>
      </c>
      <c r="AD1561">
        <f t="shared" si="6"/>
        <v>2</v>
      </c>
      <c r="AE1561">
        <f t="shared" si="7"/>
        <v>1</v>
      </c>
    </row>
    <row r="1562">
      <c r="B1562" t="str">
        <f>IFERROR(__xludf.DUMMYFUNCTION("""COMPUTED_VALUE"""),"")</f>
        <v/>
      </c>
      <c r="C1562" t="str">
        <f>IFERROR(__xludf.DUMMYFUNCTION("""COMPUTED_VALUE"""),"")</f>
        <v/>
      </c>
      <c r="D1562" t="str">
        <f>IFERROR(__xludf.DUMMYFUNCTION("""COMPUTED_VALUE"""),"")</f>
        <v/>
      </c>
      <c r="E1562" t="str">
        <f>IFERROR(__xludf.DUMMYFUNCTION("""COMPUTED_VALUE"""),"")</f>
        <v/>
      </c>
      <c r="F1562" t="str">
        <f>IFERROR(__xludf.DUMMYFUNCTION("""COMPUTED_VALUE"""),"")</f>
        <v/>
      </c>
      <c r="G1562" t="str">
        <f>IFERROR(__xludf.DUMMYFUNCTION("""COMPUTED_VALUE"""),"")</f>
        <v/>
      </c>
      <c r="H1562" t="str">
        <f>IFERROR(__xludf.DUMMYFUNCTION("""COMPUTED_VALUE"""),"")</f>
        <v/>
      </c>
      <c r="I1562" t="str">
        <f>IFERROR(__xludf.DUMMYFUNCTION("""COMPUTED_VALUE"""),"")</f>
        <v/>
      </c>
      <c r="J1562">
        <f>IFERROR(__xludf.DUMMYFUNCTION("""COMPUTED_VALUE"""),0.0)</f>
        <v>0</v>
      </c>
      <c r="L1562" s="250" t="str">
        <f>IFERROR(__xludf.DUMMYFUNCTION("""COMPUTED_VALUE"""),"")</f>
        <v/>
      </c>
      <c r="M1562" s="250" t="str">
        <f>IFERROR(__xludf.DUMMYFUNCTION("""COMPUTED_VALUE"""),"")</f>
        <v/>
      </c>
      <c r="N1562" s="250" t="str">
        <f>IFERROR(__xludf.DUMMYFUNCTION("""COMPUTED_VALUE"""),"")</f>
        <v/>
      </c>
      <c r="O1562" s="250" t="str">
        <f>IFERROR(__xludf.DUMMYFUNCTION("""COMPUTED_VALUE"""),"")</f>
        <v/>
      </c>
      <c r="P1562" s="250" t="str">
        <f>IFERROR(__xludf.DUMMYFUNCTION("""COMPUTED_VALUE"""),"")</f>
        <v/>
      </c>
      <c r="Q1562" s="250" t="str">
        <f>IFERROR(__xludf.DUMMYFUNCTION("""COMPUTED_VALUE"""),"")</f>
        <v/>
      </c>
      <c r="R1562" s="250" t="str">
        <f>IFERROR(__xludf.DUMMYFUNCTION("""COMPUTED_VALUE"""),"")</f>
        <v/>
      </c>
      <c r="U1562" s="250" t="str">
        <f>IFERROR(__xludf.DUMMYFUNCTION("""COMPUTED_VALUE"""),"#N/A")</f>
        <v>#N/A</v>
      </c>
      <c r="V1562" s="250" t="str">
        <f>IFERROR(__xludf.DUMMYFUNCTION("""COMPUTED_VALUE"""),"#N/A")</f>
        <v>#N/A</v>
      </c>
      <c r="W1562" s="250" t="str">
        <f>IFERROR(__xludf.DUMMYFUNCTION("""COMPUTED_VALUE"""),"#N/A")</f>
        <v>#N/A</v>
      </c>
      <c r="X1562" t="b">
        <f t="shared" ref="X1562:Z1562" si="3100">ISBLANK(K1562)</f>
        <v>1</v>
      </c>
      <c r="Y1562" t="b">
        <f t="shared" si="3100"/>
        <v>0</v>
      </c>
      <c r="Z1562" t="b">
        <f t="shared" si="3100"/>
        <v>0</v>
      </c>
      <c r="AA1562">
        <f t="shared" ref="AA1562:AC1562" si="3101">IF(X1562=FALSE,1,0)</f>
        <v>0</v>
      </c>
      <c r="AB1562">
        <f t="shared" si="3101"/>
        <v>1</v>
      </c>
      <c r="AC1562">
        <f t="shared" si="3101"/>
        <v>1</v>
      </c>
      <c r="AD1562">
        <f t="shared" si="6"/>
        <v>2</v>
      </c>
      <c r="AE1562">
        <f t="shared" si="7"/>
        <v>1</v>
      </c>
    </row>
    <row r="1563">
      <c r="B1563" t="str">
        <f>IFERROR(__xludf.DUMMYFUNCTION("""COMPUTED_VALUE"""),"")</f>
        <v/>
      </c>
      <c r="C1563" t="str">
        <f>IFERROR(__xludf.DUMMYFUNCTION("""COMPUTED_VALUE"""),"")</f>
        <v/>
      </c>
      <c r="D1563" t="str">
        <f>IFERROR(__xludf.DUMMYFUNCTION("""COMPUTED_VALUE"""),"")</f>
        <v/>
      </c>
      <c r="E1563" t="str">
        <f>IFERROR(__xludf.DUMMYFUNCTION("""COMPUTED_VALUE"""),"")</f>
        <v/>
      </c>
      <c r="F1563" t="str">
        <f>IFERROR(__xludf.DUMMYFUNCTION("""COMPUTED_VALUE"""),"")</f>
        <v/>
      </c>
      <c r="G1563" t="str">
        <f>IFERROR(__xludf.DUMMYFUNCTION("""COMPUTED_VALUE"""),"")</f>
        <v/>
      </c>
      <c r="H1563" t="str">
        <f>IFERROR(__xludf.DUMMYFUNCTION("""COMPUTED_VALUE"""),"")</f>
        <v/>
      </c>
      <c r="I1563" t="str">
        <f>IFERROR(__xludf.DUMMYFUNCTION("""COMPUTED_VALUE"""),"")</f>
        <v/>
      </c>
      <c r="J1563">
        <f>IFERROR(__xludf.DUMMYFUNCTION("""COMPUTED_VALUE"""),0.0)</f>
        <v>0</v>
      </c>
      <c r="L1563" s="250" t="str">
        <f>IFERROR(__xludf.DUMMYFUNCTION("""COMPUTED_VALUE"""),"")</f>
        <v/>
      </c>
      <c r="M1563" s="250" t="str">
        <f>IFERROR(__xludf.DUMMYFUNCTION("""COMPUTED_VALUE"""),"")</f>
        <v/>
      </c>
      <c r="N1563" s="250" t="str">
        <f>IFERROR(__xludf.DUMMYFUNCTION("""COMPUTED_VALUE"""),"")</f>
        <v/>
      </c>
      <c r="O1563" s="250" t="str">
        <f>IFERROR(__xludf.DUMMYFUNCTION("""COMPUTED_VALUE"""),"")</f>
        <v/>
      </c>
      <c r="P1563" s="250" t="str">
        <f>IFERROR(__xludf.DUMMYFUNCTION("""COMPUTED_VALUE"""),"")</f>
        <v/>
      </c>
      <c r="Q1563" s="250" t="str">
        <f>IFERROR(__xludf.DUMMYFUNCTION("""COMPUTED_VALUE"""),"")</f>
        <v/>
      </c>
      <c r="R1563" s="250" t="str">
        <f>IFERROR(__xludf.DUMMYFUNCTION("""COMPUTED_VALUE"""),"")</f>
        <v/>
      </c>
      <c r="U1563" s="250" t="str">
        <f>IFERROR(__xludf.DUMMYFUNCTION("""COMPUTED_VALUE"""),"#N/A")</f>
        <v>#N/A</v>
      </c>
      <c r="V1563" s="250" t="str">
        <f>IFERROR(__xludf.DUMMYFUNCTION("""COMPUTED_VALUE"""),"#N/A")</f>
        <v>#N/A</v>
      </c>
      <c r="W1563" s="250" t="str">
        <f>IFERROR(__xludf.DUMMYFUNCTION("""COMPUTED_VALUE"""),"#N/A")</f>
        <v>#N/A</v>
      </c>
      <c r="X1563" t="b">
        <f t="shared" ref="X1563:Z1563" si="3102">ISBLANK(K1563)</f>
        <v>1</v>
      </c>
      <c r="Y1563" t="b">
        <f t="shared" si="3102"/>
        <v>0</v>
      </c>
      <c r="Z1563" t="b">
        <f t="shared" si="3102"/>
        <v>0</v>
      </c>
      <c r="AA1563">
        <f t="shared" ref="AA1563:AC1563" si="3103">IF(X1563=FALSE,1,0)</f>
        <v>0</v>
      </c>
      <c r="AB1563">
        <f t="shared" si="3103"/>
        <v>1</v>
      </c>
      <c r="AC1563">
        <f t="shared" si="3103"/>
        <v>1</v>
      </c>
      <c r="AD1563">
        <f t="shared" si="6"/>
        <v>2</v>
      </c>
      <c r="AE1563">
        <f t="shared" si="7"/>
        <v>1</v>
      </c>
    </row>
    <row r="1564">
      <c r="B1564" t="str">
        <f>IFERROR(__xludf.DUMMYFUNCTION("""COMPUTED_VALUE"""),"")</f>
        <v/>
      </c>
      <c r="C1564" t="str">
        <f>IFERROR(__xludf.DUMMYFUNCTION("""COMPUTED_VALUE"""),"")</f>
        <v/>
      </c>
      <c r="D1564" t="str">
        <f>IFERROR(__xludf.DUMMYFUNCTION("""COMPUTED_VALUE"""),"")</f>
        <v/>
      </c>
      <c r="E1564" t="str">
        <f>IFERROR(__xludf.DUMMYFUNCTION("""COMPUTED_VALUE"""),"")</f>
        <v/>
      </c>
      <c r="F1564" t="str">
        <f>IFERROR(__xludf.DUMMYFUNCTION("""COMPUTED_VALUE"""),"")</f>
        <v/>
      </c>
      <c r="G1564" t="str">
        <f>IFERROR(__xludf.DUMMYFUNCTION("""COMPUTED_VALUE"""),"")</f>
        <v/>
      </c>
      <c r="H1564" t="str">
        <f>IFERROR(__xludf.DUMMYFUNCTION("""COMPUTED_VALUE"""),"")</f>
        <v/>
      </c>
      <c r="I1564" t="str">
        <f>IFERROR(__xludf.DUMMYFUNCTION("""COMPUTED_VALUE"""),"")</f>
        <v/>
      </c>
      <c r="J1564">
        <f>IFERROR(__xludf.DUMMYFUNCTION("""COMPUTED_VALUE"""),0.0)</f>
        <v>0</v>
      </c>
      <c r="L1564" s="250" t="str">
        <f>IFERROR(__xludf.DUMMYFUNCTION("""COMPUTED_VALUE"""),"")</f>
        <v/>
      </c>
      <c r="M1564" s="250" t="str">
        <f>IFERROR(__xludf.DUMMYFUNCTION("""COMPUTED_VALUE"""),"")</f>
        <v/>
      </c>
      <c r="N1564" s="250" t="str">
        <f>IFERROR(__xludf.DUMMYFUNCTION("""COMPUTED_VALUE"""),"")</f>
        <v/>
      </c>
      <c r="O1564" s="250" t="str">
        <f>IFERROR(__xludf.DUMMYFUNCTION("""COMPUTED_VALUE"""),"")</f>
        <v/>
      </c>
      <c r="P1564" s="250" t="str">
        <f>IFERROR(__xludf.DUMMYFUNCTION("""COMPUTED_VALUE"""),"")</f>
        <v/>
      </c>
      <c r="Q1564" s="250" t="str">
        <f>IFERROR(__xludf.DUMMYFUNCTION("""COMPUTED_VALUE"""),"")</f>
        <v/>
      </c>
      <c r="R1564" s="250" t="str">
        <f>IFERROR(__xludf.DUMMYFUNCTION("""COMPUTED_VALUE"""),"")</f>
        <v/>
      </c>
      <c r="U1564" s="250" t="str">
        <f>IFERROR(__xludf.DUMMYFUNCTION("""COMPUTED_VALUE"""),"#N/A")</f>
        <v>#N/A</v>
      </c>
      <c r="V1564" s="250" t="str">
        <f>IFERROR(__xludf.DUMMYFUNCTION("""COMPUTED_VALUE"""),"#N/A")</f>
        <v>#N/A</v>
      </c>
      <c r="W1564" s="250" t="str">
        <f>IFERROR(__xludf.DUMMYFUNCTION("""COMPUTED_VALUE"""),"#N/A")</f>
        <v>#N/A</v>
      </c>
      <c r="X1564" t="b">
        <f t="shared" ref="X1564:Z1564" si="3104">ISBLANK(K1564)</f>
        <v>1</v>
      </c>
      <c r="Y1564" t="b">
        <f t="shared" si="3104"/>
        <v>0</v>
      </c>
      <c r="Z1564" t="b">
        <f t="shared" si="3104"/>
        <v>0</v>
      </c>
      <c r="AA1564">
        <f t="shared" ref="AA1564:AC1564" si="3105">IF(X1564=FALSE,1,0)</f>
        <v>0</v>
      </c>
      <c r="AB1564">
        <f t="shared" si="3105"/>
        <v>1</v>
      </c>
      <c r="AC1564">
        <f t="shared" si="3105"/>
        <v>1</v>
      </c>
      <c r="AD1564">
        <f t="shared" si="6"/>
        <v>2</v>
      </c>
      <c r="AE1564">
        <f t="shared" si="7"/>
        <v>1</v>
      </c>
    </row>
    <row r="1565">
      <c r="B1565" t="str">
        <f>IFERROR(__xludf.DUMMYFUNCTION("""COMPUTED_VALUE"""),"")</f>
        <v/>
      </c>
      <c r="C1565" t="str">
        <f>IFERROR(__xludf.DUMMYFUNCTION("""COMPUTED_VALUE"""),"")</f>
        <v/>
      </c>
      <c r="D1565" t="str">
        <f>IFERROR(__xludf.DUMMYFUNCTION("""COMPUTED_VALUE"""),"")</f>
        <v/>
      </c>
      <c r="E1565" t="str">
        <f>IFERROR(__xludf.DUMMYFUNCTION("""COMPUTED_VALUE"""),"")</f>
        <v/>
      </c>
      <c r="F1565" t="str">
        <f>IFERROR(__xludf.DUMMYFUNCTION("""COMPUTED_VALUE"""),"")</f>
        <v/>
      </c>
      <c r="G1565" t="str">
        <f>IFERROR(__xludf.DUMMYFUNCTION("""COMPUTED_VALUE"""),"")</f>
        <v/>
      </c>
      <c r="H1565" t="str">
        <f>IFERROR(__xludf.DUMMYFUNCTION("""COMPUTED_VALUE"""),"")</f>
        <v/>
      </c>
      <c r="I1565" t="str">
        <f>IFERROR(__xludf.DUMMYFUNCTION("""COMPUTED_VALUE"""),"")</f>
        <v/>
      </c>
      <c r="J1565">
        <f>IFERROR(__xludf.DUMMYFUNCTION("""COMPUTED_VALUE"""),0.0)</f>
        <v>0</v>
      </c>
      <c r="L1565" s="250" t="str">
        <f>IFERROR(__xludf.DUMMYFUNCTION("""COMPUTED_VALUE"""),"")</f>
        <v/>
      </c>
      <c r="M1565" s="250" t="str">
        <f>IFERROR(__xludf.DUMMYFUNCTION("""COMPUTED_VALUE"""),"")</f>
        <v/>
      </c>
      <c r="N1565" s="250" t="str">
        <f>IFERROR(__xludf.DUMMYFUNCTION("""COMPUTED_VALUE"""),"")</f>
        <v/>
      </c>
      <c r="O1565" s="250" t="str">
        <f>IFERROR(__xludf.DUMMYFUNCTION("""COMPUTED_VALUE"""),"")</f>
        <v/>
      </c>
      <c r="P1565" s="250" t="str">
        <f>IFERROR(__xludf.DUMMYFUNCTION("""COMPUTED_VALUE"""),"")</f>
        <v/>
      </c>
      <c r="Q1565" s="250" t="str">
        <f>IFERROR(__xludf.DUMMYFUNCTION("""COMPUTED_VALUE"""),"")</f>
        <v/>
      </c>
      <c r="R1565" s="250" t="str">
        <f>IFERROR(__xludf.DUMMYFUNCTION("""COMPUTED_VALUE"""),"")</f>
        <v/>
      </c>
      <c r="U1565" s="250" t="str">
        <f>IFERROR(__xludf.DUMMYFUNCTION("""COMPUTED_VALUE"""),"#N/A")</f>
        <v>#N/A</v>
      </c>
      <c r="V1565" s="250" t="str">
        <f>IFERROR(__xludf.DUMMYFUNCTION("""COMPUTED_VALUE"""),"#N/A")</f>
        <v>#N/A</v>
      </c>
      <c r="W1565" s="250" t="str">
        <f>IFERROR(__xludf.DUMMYFUNCTION("""COMPUTED_VALUE"""),"#N/A")</f>
        <v>#N/A</v>
      </c>
      <c r="X1565" t="b">
        <f t="shared" ref="X1565:Z1565" si="3106">ISBLANK(K1565)</f>
        <v>1</v>
      </c>
      <c r="Y1565" t="b">
        <f t="shared" si="3106"/>
        <v>0</v>
      </c>
      <c r="Z1565" t="b">
        <f t="shared" si="3106"/>
        <v>0</v>
      </c>
      <c r="AA1565">
        <f t="shared" ref="AA1565:AC1565" si="3107">IF(X1565=FALSE,1,0)</f>
        <v>0</v>
      </c>
      <c r="AB1565">
        <f t="shared" si="3107"/>
        <v>1</v>
      </c>
      <c r="AC1565">
        <f t="shared" si="3107"/>
        <v>1</v>
      </c>
      <c r="AD1565">
        <f t="shared" si="6"/>
        <v>2</v>
      </c>
      <c r="AE1565">
        <f t="shared" si="7"/>
        <v>1</v>
      </c>
    </row>
    <row r="1566">
      <c r="B1566" t="str">
        <f>IFERROR(__xludf.DUMMYFUNCTION("""COMPUTED_VALUE"""),"")</f>
        <v/>
      </c>
      <c r="C1566" t="str">
        <f>IFERROR(__xludf.DUMMYFUNCTION("""COMPUTED_VALUE"""),"")</f>
        <v/>
      </c>
      <c r="D1566" t="str">
        <f>IFERROR(__xludf.DUMMYFUNCTION("""COMPUTED_VALUE"""),"")</f>
        <v/>
      </c>
      <c r="E1566" t="str">
        <f>IFERROR(__xludf.DUMMYFUNCTION("""COMPUTED_VALUE"""),"")</f>
        <v/>
      </c>
      <c r="F1566" t="str">
        <f>IFERROR(__xludf.DUMMYFUNCTION("""COMPUTED_VALUE"""),"")</f>
        <v/>
      </c>
      <c r="G1566" t="str">
        <f>IFERROR(__xludf.DUMMYFUNCTION("""COMPUTED_VALUE"""),"")</f>
        <v/>
      </c>
      <c r="H1566" t="str">
        <f>IFERROR(__xludf.DUMMYFUNCTION("""COMPUTED_VALUE"""),"")</f>
        <v/>
      </c>
      <c r="I1566" t="str">
        <f>IFERROR(__xludf.DUMMYFUNCTION("""COMPUTED_VALUE"""),"")</f>
        <v/>
      </c>
      <c r="J1566">
        <f>IFERROR(__xludf.DUMMYFUNCTION("""COMPUTED_VALUE"""),0.0)</f>
        <v>0</v>
      </c>
      <c r="L1566" s="250" t="str">
        <f>IFERROR(__xludf.DUMMYFUNCTION("""COMPUTED_VALUE"""),"")</f>
        <v/>
      </c>
      <c r="M1566" s="250" t="str">
        <f>IFERROR(__xludf.DUMMYFUNCTION("""COMPUTED_VALUE"""),"")</f>
        <v/>
      </c>
      <c r="N1566" s="250" t="str">
        <f>IFERROR(__xludf.DUMMYFUNCTION("""COMPUTED_VALUE"""),"")</f>
        <v/>
      </c>
      <c r="O1566" s="250" t="str">
        <f>IFERROR(__xludf.DUMMYFUNCTION("""COMPUTED_VALUE"""),"")</f>
        <v/>
      </c>
      <c r="P1566" s="250" t="str">
        <f>IFERROR(__xludf.DUMMYFUNCTION("""COMPUTED_VALUE"""),"")</f>
        <v/>
      </c>
      <c r="Q1566" s="250" t="str">
        <f>IFERROR(__xludf.DUMMYFUNCTION("""COMPUTED_VALUE"""),"")</f>
        <v/>
      </c>
      <c r="R1566" s="250" t="str">
        <f>IFERROR(__xludf.DUMMYFUNCTION("""COMPUTED_VALUE"""),"")</f>
        <v/>
      </c>
      <c r="U1566" s="250" t="str">
        <f>IFERROR(__xludf.DUMMYFUNCTION("""COMPUTED_VALUE"""),"#N/A")</f>
        <v>#N/A</v>
      </c>
      <c r="V1566" s="250" t="str">
        <f>IFERROR(__xludf.DUMMYFUNCTION("""COMPUTED_VALUE"""),"#N/A")</f>
        <v>#N/A</v>
      </c>
      <c r="W1566" s="250" t="str">
        <f>IFERROR(__xludf.DUMMYFUNCTION("""COMPUTED_VALUE"""),"#N/A")</f>
        <v>#N/A</v>
      </c>
      <c r="X1566" t="b">
        <f t="shared" ref="X1566:Z1566" si="3108">ISBLANK(K1566)</f>
        <v>1</v>
      </c>
      <c r="Y1566" t="b">
        <f t="shared" si="3108"/>
        <v>0</v>
      </c>
      <c r="Z1566" t="b">
        <f t="shared" si="3108"/>
        <v>0</v>
      </c>
      <c r="AA1566">
        <f t="shared" ref="AA1566:AC1566" si="3109">IF(X1566=FALSE,1,0)</f>
        <v>0</v>
      </c>
      <c r="AB1566">
        <f t="shared" si="3109"/>
        <v>1</v>
      </c>
      <c r="AC1566">
        <f t="shared" si="3109"/>
        <v>1</v>
      </c>
      <c r="AD1566">
        <f t="shared" si="6"/>
        <v>2</v>
      </c>
      <c r="AE1566">
        <f t="shared" si="7"/>
        <v>1</v>
      </c>
    </row>
    <row r="1567">
      <c r="B1567" t="str">
        <f>IFERROR(__xludf.DUMMYFUNCTION("""COMPUTED_VALUE"""),"")</f>
        <v/>
      </c>
      <c r="C1567" t="str">
        <f>IFERROR(__xludf.DUMMYFUNCTION("""COMPUTED_VALUE"""),"")</f>
        <v/>
      </c>
      <c r="D1567" t="str">
        <f>IFERROR(__xludf.DUMMYFUNCTION("""COMPUTED_VALUE"""),"")</f>
        <v/>
      </c>
      <c r="E1567" t="str">
        <f>IFERROR(__xludf.DUMMYFUNCTION("""COMPUTED_VALUE"""),"")</f>
        <v/>
      </c>
      <c r="F1567" t="str">
        <f>IFERROR(__xludf.DUMMYFUNCTION("""COMPUTED_VALUE"""),"")</f>
        <v/>
      </c>
      <c r="G1567" t="str">
        <f>IFERROR(__xludf.DUMMYFUNCTION("""COMPUTED_VALUE"""),"")</f>
        <v/>
      </c>
      <c r="H1567" t="str">
        <f>IFERROR(__xludf.DUMMYFUNCTION("""COMPUTED_VALUE"""),"")</f>
        <v/>
      </c>
      <c r="I1567" t="str">
        <f>IFERROR(__xludf.DUMMYFUNCTION("""COMPUTED_VALUE"""),"")</f>
        <v/>
      </c>
      <c r="J1567">
        <f>IFERROR(__xludf.DUMMYFUNCTION("""COMPUTED_VALUE"""),0.0)</f>
        <v>0</v>
      </c>
      <c r="L1567" s="250" t="str">
        <f>IFERROR(__xludf.DUMMYFUNCTION("""COMPUTED_VALUE"""),"")</f>
        <v/>
      </c>
      <c r="M1567" s="250" t="str">
        <f>IFERROR(__xludf.DUMMYFUNCTION("""COMPUTED_VALUE"""),"")</f>
        <v/>
      </c>
      <c r="N1567" s="250" t="str">
        <f>IFERROR(__xludf.DUMMYFUNCTION("""COMPUTED_VALUE"""),"")</f>
        <v/>
      </c>
      <c r="O1567" s="250" t="str">
        <f>IFERROR(__xludf.DUMMYFUNCTION("""COMPUTED_VALUE"""),"")</f>
        <v/>
      </c>
      <c r="P1567" s="250" t="str">
        <f>IFERROR(__xludf.DUMMYFUNCTION("""COMPUTED_VALUE"""),"")</f>
        <v/>
      </c>
      <c r="Q1567" s="250" t="str">
        <f>IFERROR(__xludf.DUMMYFUNCTION("""COMPUTED_VALUE"""),"")</f>
        <v/>
      </c>
      <c r="R1567" s="250" t="str">
        <f>IFERROR(__xludf.DUMMYFUNCTION("""COMPUTED_VALUE"""),"")</f>
        <v/>
      </c>
      <c r="U1567" s="250" t="str">
        <f>IFERROR(__xludf.DUMMYFUNCTION("""COMPUTED_VALUE"""),"#N/A")</f>
        <v>#N/A</v>
      </c>
      <c r="V1567" s="250" t="str">
        <f>IFERROR(__xludf.DUMMYFUNCTION("""COMPUTED_VALUE"""),"#N/A")</f>
        <v>#N/A</v>
      </c>
      <c r="W1567" s="250" t="str">
        <f>IFERROR(__xludf.DUMMYFUNCTION("""COMPUTED_VALUE"""),"#N/A")</f>
        <v>#N/A</v>
      </c>
      <c r="X1567" t="b">
        <f t="shared" ref="X1567:Z1567" si="3110">ISBLANK(K1567)</f>
        <v>1</v>
      </c>
      <c r="Y1567" t="b">
        <f t="shared" si="3110"/>
        <v>0</v>
      </c>
      <c r="Z1567" t="b">
        <f t="shared" si="3110"/>
        <v>0</v>
      </c>
      <c r="AA1567">
        <f t="shared" ref="AA1567:AC1567" si="3111">IF(X1567=FALSE,1,0)</f>
        <v>0</v>
      </c>
      <c r="AB1567">
        <f t="shared" si="3111"/>
        <v>1</v>
      </c>
      <c r="AC1567">
        <f t="shared" si="3111"/>
        <v>1</v>
      </c>
      <c r="AD1567">
        <f t="shared" si="6"/>
        <v>2</v>
      </c>
      <c r="AE1567">
        <f t="shared" si="7"/>
        <v>1</v>
      </c>
    </row>
    <row r="1568">
      <c r="B1568" t="str">
        <f>IFERROR(__xludf.DUMMYFUNCTION("""COMPUTED_VALUE"""),"")</f>
        <v/>
      </c>
      <c r="C1568" t="str">
        <f>IFERROR(__xludf.DUMMYFUNCTION("""COMPUTED_VALUE"""),"")</f>
        <v/>
      </c>
      <c r="D1568" t="str">
        <f>IFERROR(__xludf.DUMMYFUNCTION("""COMPUTED_VALUE"""),"")</f>
        <v/>
      </c>
      <c r="E1568" t="str">
        <f>IFERROR(__xludf.DUMMYFUNCTION("""COMPUTED_VALUE"""),"")</f>
        <v/>
      </c>
      <c r="F1568" t="str">
        <f>IFERROR(__xludf.DUMMYFUNCTION("""COMPUTED_VALUE"""),"")</f>
        <v/>
      </c>
      <c r="G1568" t="str">
        <f>IFERROR(__xludf.DUMMYFUNCTION("""COMPUTED_VALUE"""),"")</f>
        <v/>
      </c>
      <c r="H1568" t="str">
        <f>IFERROR(__xludf.DUMMYFUNCTION("""COMPUTED_VALUE"""),"")</f>
        <v/>
      </c>
      <c r="I1568" t="str">
        <f>IFERROR(__xludf.DUMMYFUNCTION("""COMPUTED_VALUE"""),"")</f>
        <v/>
      </c>
      <c r="J1568">
        <f>IFERROR(__xludf.DUMMYFUNCTION("""COMPUTED_VALUE"""),0.0)</f>
        <v>0</v>
      </c>
      <c r="L1568" s="250" t="str">
        <f>IFERROR(__xludf.DUMMYFUNCTION("""COMPUTED_VALUE"""),"")</f>
        <v/>
      </c>
      <c r="M1568" s="250" t="str">
        <f>IFERROR(__xludf.DUMMYFUNCTION("""COMPUTED_VALUE"""),"")</f>
        <v/>
      </c>
      <c r="N1568" s="250" t="str">
        <f>IFERROR(__xludf.DUMMYFUNCTION("""COMPUTED_VALUE"""),"")</f>
        <v/>
      </c>
      <c r="O1568" s="250" t="str">
        <f>IFERROR(__xludf.DUMMYFUNCTION("""COMPUTED_VALUE"""),"")</f>
        <v/>
      </c>
      <c r="P1568" s="250" t="str">
        <f>IFERROR(__xludf.DUMMYFUNCTION("""COMPUTED_VALUE"""),"")</f>
        <v/>
      </c>
      <c r="Q1568" s="250" t="str">
        <f>IFERROR(__xludf.DUMMYFUNCTION("""COMPUTED_VALUE"""),"")</f>
        <v/>
      </c>
      <c r="R1568" s="250" t="str">
        <f>IFERROR(__xludf.DUMMYFUNCTION("""COMPUTED_VALUE"""),"")</f>
        <v/>
      </c>
      <c r="U1568" s="250" t="str">
        <f>IFERROR(__xludf.DUMMYFUNCTION("""COMPUTED_VALUE"""),"#N/A")</f>
        <v>#N/A</v>
      </c>
      <c r="V1568" s="250" t="str">
        <f>IFERROR(__xludf.DUMMYFUNCTION("""COMPUTED_VALUE"""),"#N/A")</f>
        <v>#N/A</v>
      </c>
      <c r="W1568" s="250" t="str">
        <f>IFERROR(__xludf.DUMMYFUNCTION("""COMPUTED_VALUE"""),"#N/A")</f>
        <v>#N/A</v>
      </c>
      <c r="X1568" t="b">
        <f t="shared" ref="X1568:Z1568" si="3112">ISBLANK(K1568)</f>
        <v>1</v>
      </c>
      <c r="Y1568" t="b">
        <f t="shared" si="3112"/>
        <v>0</v>
      </c>
      <c r="Z1568" t="b">
        <f t="shared" si="3112"/>
        <v>0</v>
      </c>
      <c r="AA1568">
        <f t="shared" ref="AA1568:AC1568" si="3113">IF(X1568=FALSE,1,0)</f>
        <v>0</v>
      </c>
      <c r="AB1568">
        <f t="shared" si="3113"/>
        <v>1</v>
      </c>
      <c r="AC1568">
        <f t="shared" si="3113"/>
        <v>1</v>
      </c>
      <c r="AD1568">
        <f t="shared" si="6"/>
        <v>2</v>
      </c>
      <c r="AE1568">
        <f t="shared" si="7"/>
        <v>1</v>
      </c>
    </row>
    <row r="1569">
      <c r="B1569" t="str">
        <f>IFERROR(__xludf.DUMMYFUNCTION("""COMPUTED_VALUE"""),"")</f>
        <v/>
      </c>
      <c r="C1569" t="str">
        <f>IFERROR(__xludf.DUMMYFUNCTION("""COMPUTED_VALUE"""),"")</f>
        <v/>
      </c>
      <c r="D1569" t="str">
        <f>IFERROR(__xludf.DUMMYFUNCTION("""COMPUTED_VALUE"""),"")</f>
        <v/>
      </c>
      <c r="E1569" t="str">
        <f>IFERROR(__xludf.DUMMYFUNCTION("""COMPUTED_VALUE"""),"")</f>
        <v/>
      </c>
      <c r="F1569" t="str">
        <f>IFERROR(__xludf.DUMMYFUNCTION("""COMPUTED_VALUE"""),"")</f>
        <v/>
      </c>
      <c r="G1569" t="str">
        <f>IFERROR(__xludf.DUMMYFUNCTION("""COMPUTED_VALUE"""),"")</f>
        <v/>
      </c>
      <c r="H1569" t="str">
        <f>IFERROR(__xludf.DUMMYFUNCTION("""COMPUTED_VALUE"""),"")</f>
        <v/>
      </c>
      <c r="I1569" t="str">
        <f>IFERROR(__xludf.DUMMYFUNCTION("""COMPUTED_VALUE"""),"")</f>
        <v/>
      </c>
      <c r="J1569">
        <f>IFERROR(__xludf.DUMMYFUNCTION("""COMPUTED_VALUE"""),0.0)</f>
        <v>0</v>
      </c>
      <c r="L1569" s="250" t="str">
        <f>IFERROR(__xludf.DUMMYFUNCTION("""COMPUTED_VALUE"""),"")</f>
        <v/>
      </c>
      <c r="M1569" s="250" t="str">
        <f>IFERROR(__xludf.DUMMYFUNCTION("""COMPUTED_VALUE"""),"")</f>
        <v/>
      </c>
      <c r="N1569" s="250" t="str">
        <f>IFERROR(__xludf.DUMMYFUNCTION("""COMPUTED_VALUE"""),"")</f>
        <v/>
      </c>
      <c r="O1569" s="250" t="str">
        <f>IFERROR(__xludf.DUMMYFUNCTION("""COMPUTED_VALUE"""),"")</f>
        <v/>
      </c>
      <c r="P1569" s="250" t="str">
        <f>IFERROR(__xludf.DUMMYFUNCTION("""COMPUTED_VALUE"""),"")</f>
        <v/>
      </c>
      <c r="Q1569" s="250" t="str">
        <f>IFERROR(__xludf.DUMMYFUNCTION("""COMPUTED_VALUE"""),"")</f>
        <v/>
      </c>
      <c r="R1569" s="250" t="str">
        <f>IFERROR(__xludf.DUMMYFUNCTION("""COMPUTED_VALUE"""),"")</f>
        <v/>
      </c>
      <c r="U1569" s="250" t="str">
        <f>IFERROR(__xludf.DUMMYFUNCTION("""COMPUTED_VALUE"""),"#N/A")</f>
        <v>#N/A</v>
      </c>
      <c r="V1569" s="250" t="str">
        <f>IFERROR(__xludf.DUMMYFUNCTION("""COMPUTED_VALUE"""),"#N/A")</f>
        <v>#N/A</v>
      </c>
      <c r="W1569" s="250" t="str">
        <f>IFERROR(__xludf.DUMMYFUNCTION("""COMPUTED_VALUE"""),"#N/A")</f>
        <v>#N/A</v>
      </c>
      <c r="X1569" t="b">
        <f t="shared" ref="X1569:Z1569" si="3114">ISBLANK(K1569)</f>
        <v>1</v>
      </c>
      <c r="Y1569" t="b">
        <f t="shared" si="3114"/>
        <v>0</v>
      </c>
      <c r="Z1569" t="b">
        <f t="shared" si="3114"/>
        <v>0</v>
      </c>
      <c r="AA1569">
        <f t="shared" ref="AA1569:AC1569" si="3115">IF(X1569=FALSE,1,0)</f>
        <v>0</v>
      </c>
      <c r="AB1569">
        <f t="shared" si="3115"/>
        <v>1</v>
      </c>
      <c r="AC1569">
        <f t="shared" si="3115"/>
        <v>1</v>
      </c>
      <c r="AD1569">
        <f t="shared" si="6"/>
        <v>2</v>
      </c>
      <c r="AE1569">
        <f t="shared" si="7"/>
        <v>1</v>
      </c>
    </row>
    <row r="1570">
      <c r="B1570" t="str">
        <f>IFERROR(__xludf.DUMMYFUNCTION("""COMPUTED_VALUE"""),"")</f>
        <v/>
      </c>
      <c r="C1570" t="str">
        <f>IFERROR(__xludf.DUMMYFUNCTION("""COMPUTED_VALUE"""),"")</f>
        <v/>
      </c>
      <c r="D1570" t="str">
        <f>IFERROR(__xludf.DUMMYFUNCTION("""COMPUTED_VALUE"""),"")</f>
        <v/>
      </c>
      <c r="E1570" t="str">
        <f>IFERROR(__xludf.DUMMYFUNCTION("""COMPUTED_VALUE"""),"")</f>
        <v/>
      </c>
      <c r="F1570" t="str">
        <f>IFERROR(__xludf.DUMMYFUNCTION("""COMPUTED_VALUE"""),"")</f>
        <v/>
      </c>
      <c r="G1570" t="str">
        <f>IFERROR(__xludf.DUMMYFUNCTION("""COMPUTED_VALUE"""),"")</f>
        <v/>
      </c>
      <c r="H1570" t="str">
        <f>IFERROR(__xludf.DUMMYFUNCTION("""COMPUTED_VALUE"""),"")</f>
        <v/>
      </c>
      <c r="I1570" t="str">
        <f>IFERROR(__xludf.DUMMYFUNCTION("""COMPUTED_VALUE"""),"")</f>
        <v/>
      </c>
      <c r="J1570">
        <f>IFERROR(__xludf.DUMMYFUNCTION("""COMPUTED_VALUE"""),0.0)</f>
        <v>0</v>
      </c>
      <c r="L1570" s="250" t="str">
        <f>IFERROR(__xludf.DUMMYFUNCTION("""COMPUTED_VALUE"""),"")</f>
        <v/>
      </c>
      <c r="M1570" s="250" t="str">
        <f>IFERROR(__xludf.DUMMYFUNCTION("""COMPUTED_VALUE"""),"")</f>
        <v/>
      </c>
      <c r="N1570" s="250" t="str">
        <f>IFERROR(__xludf.DUMMYFUNCTION("""COMPUTED_VALUE"""),"")</f>
        <v/>
      </c>
      <c r="O1570" s="250" t="str">
        <f>IFERROR(__xludf.DUMMYFUNCTION("""COMPUTED_VALUE"""),"")</f>
        <v/>
      </c>
      <c r="P1570" s="250" t="str">
        <f>IFERROR(__xludf.DUMMYFUNCTION("""COMPUTED_VALUE"""),"")</f>
        <v/>
      </c>
      <c r="Q1570" s="250" t="str">
        <f>IFERROR(__xludf.DUMMYFUNCTION("""COMPUTED_VALUE"""),"")</f>
        <v/>
      </c>
      <c r="R1570" s="250" t="str">
        <f>IFERROR(__xludf.DUMMYFUNCTION("""COMPUTED_VALUE"""),"")</f>
        <v/>
      </c>
      <c r="U1570" s="250" t="str">
        <f>IFERROR(__xludf.DUMMYFUNCTION("""COMPUTED_VALUE"""),"#N/A")</f>
        <v>#N/A</v>
      </c>
      <c r="V1570" s="250" t="str">
        <f>IFERROR(__xludf.DUMMYFUNCTION("""COMPUTED_VALUE"""),"#N/A")</f>
        <v>#N/A</v>
      </c>
      <c r="W1570" s="250" t="str">
        <f>IFERROR(__xludf.DUMMYFUNCTION("""COMPUTED_VALUE"""),"#N/A")</f>
        <v>#N/A</v>
      </c>
      <c r="X1570" t="b">
        <f t="shared" ref="X1570:Z1570" si="3116">ISBLANK(K1570)</f>
        <v>1</v>
      </c>
      <c r="Y1570" t="b">
        <f t="shared" si="3116"/>
        <v>0</v>
      </c>
      <c r="Z1570" t="b">
        <f t="shared" si="3116"/>
        <v>0</v>
      </c>
      <c r="AA1570">
        <f t="shared" ref="AA1570:AC1570" si="3117">IF(X1570=FALSE,1,0)</f>
        <v>0</v>
      </c>
      <c r="AB1570">
        <f t="shared" si="3117"/>
        <v>1</v>
      </c>
      <c r="AC1570">
        <f t="shared" si="3117"/>
        <v>1</v>
      </c>
      <c r="AD1570">
        <f t="shared" si="6"/>
        <v>2</v>
      </c>
      <c r="AE1570">
        <f t="shared" si="7"/>
        <v>1</v>
      </c>
    </row>
    <row r="1571">
      <c r="B1571" t="str">
        <f>IFERROR(__xludf.DUMMYFUNCTION("""COMPUTED_VALUE"""),"")</f>
        <v/>
      </c>
      <c r="C1571" t="str">
        <f>IFERROR(__xludf.DUMMYFUNCTION("""COMPUTED_VALUE"""),"")</f>
        <v/>
      </c>
      <c r="D1571" t="str">
        <f>IFERROR(__xludf.DUMMYFUNCTION("""COMPUTED_VALUE"""),"")</f>
        <v/>
      </c>
      <c r="E1571" t="str">
        <f>IFERROR(__xludf.DUMMYFUNCTION("""COMPUTED_VALUE"""),"")</f>
        <v/>
      </c>
      <c r="F1571" t="str">
        <f>IFERROR(__xludf.DUMMYFUNCTION("""COMPUTED_VALUE"""),"")</f>
        <v/>
      </c>
      <c r="G1571" t="str">
        <f>IFERROR(__xludf.DUMMYFUNCTION("""COMPUTED_VALUE"""),"")</f>
        <v/>
      </c>
      <c r="H1571" t="str">
        <f>IFERROR(__xludf.DUMMYFUNCTION("""COMPUTED_VALUE"""),"")</f>
        <v/>
      </c>
      <c r="I1571" t="str">
        <f>IFERROR(__xludf.DUMMYFUNCTION("""COMPUTED_VALUE"""),"")</f>
        <v/>
      </c>
      <c r="J1571">
        <f>IFERROR(__xludf.DUMMYFUNCTION("""COMPUTED_VALUE"""),0.0)</f>
        <v>0</v>
      </c>
      <c r="L1571" s="250" t="str">
        <f>IFERROR(__xludf.DUMMYFUNCTION("""COMPUTED_VALUE"""),"")</f>
        <v/>
      </c>
      <c r="M1571" s="250" t="str">
        <f>IFERROR(__xludf.DUMMYFUNCTION("""COMPUTED_VALUE"""),"")</f>
        <v/>
      </c>
      <c r="N1571" s="250" t="str">
        <f>IFERROR(__xludf.DUMMYFUNCTION("""COMPUTED_VALUE"""),"")</f>
        <v/>
      </c>
      <c r="O1571" s="250" t="str">
        <f>IFERROR(__xludf.DUMMYFUNCTION("""COMPUTED_VALUE"""),"")</f>
        <v/>
      </c>
      <c r="P1571" s="250" t="str">
        <f>IFERROR(__xludf.DUMMYFUNCTION("""COMPUTED_VALUE"""),"")</f>
        <v/>
      </c>
      <c r="Q1571" s="250" t="str">
        <f>IFERROR(__xludf.DUMMYFUNCTION("""COMPUTED_VALUE"""),"")</f>
        <v/>
      </c>
      <c r="R1571" s="250" t="str">
        <f>IFERROR(__xludf.DUMMYFUNCTION("""COMPUTED_VALUE"""),"")</f>
        <v/>
      </c>
      <c r="U1571" s="250" t="str">
        <f>IFERROR(__xludf.DUMMYFUNCTION("""COMPUTED_VALUE"""),"#N/A")</f>
        <v>#N/A</v>
      </c>
      <c r="V1571" s="250" t="str">
        <f>IFERROR(__xludf.DUMMYFUNCTION("""COMPUTED_VALUE"""),"#N/A")</f>
        <v>#N/A</v>
      </c>
      <c r="W1571" s="250" t="str">
        <f>IFERROR(__xludf.DUMMYFUNCTION("""COMPUTED_VALUE"""),"#N/A")</f>
        <v>#N/A</v>
      </c>
      <c r="X1571" t="b">
        <f t="shared" ref="X1571:Z1571" si="3118">ISBLANK(K1571)</f>
        <v>1</v>
      </c>
      <c r="Y1571" t="b">
        <f t="shared" si="3118"/>
        <v>0</v>
      </c>
      <c r="Z1571" t="b">
        <f t="shared" si="3118"/>
        <v>0</v>
      </c>
      <c r="AA1571">
        <f t="shared" ref="AA1571:AC1571" si="3119">IF(X1571=FALSE,1,0)</f>
        <v>0</v>
      </c>
      <c r="AB1571">
        <f t="shared" si="3119"/>
        <v>1</v>
      </c>
      <c r="AC1571">
        <f t="shared" si="3119"/>
        <v>1</v>
      </c>
      <c r="AD1571">
        <f t="shared" si="6"/>
        <v>2</v>
      </c>
      <c r="AE1571">
        <f t="shared" si="7"/>
        <v>1</v>
      </c>
    </row>
    <row r="1572">
      <c r="B1572" t="str">
        <f>IFERROR(__xludf.DUMMYFUNCTION("""COMPUTED_VALUE"""),"")</f>
        <v/>
      </c>
      <c r="C1572" t="str">
        <f>IFERROR(__xludf.DUMMYFUNCTION("""COMPUTED_VALUE"""),"")</f>
        <v/>
      </c>
      <c r="D1572" t="str">
        <f>IFERROR(__xludf.DUMMYFUNCTION("""COMPUTED_VALUE"""),"")</f>
        <v/>
      </c>
      <c r="E1572" t="str">
        <f>IFERROR(__xludf.DUMMYFUNCTION("""COMPUTED_VALUE"""),"")</f>
        <v/>
      </c>
      <c r="F1572" t="str">
        <f>IFERROR(__xludf.DUMMYFUNCTION("""COMPUTED_VALUE"""),"")</f>
        <v/>
      </c>
      <c r="G1572" t="str">
        <f>IFERROR(__xludf.DUMMYFUNCTION("""COMPUTED_VALUE"""),"")</f>
        <v/>
      </c>
      <c r="H1572" t="str">
        <f>IFERROR(__xludf.DUMMYFUNCTION("""COMPUTED_VALUE"""),"")</f>
        <v/>
      </c>
      <c r="I1572" t="str">
        <f>IFERROR(__xludf.DUMMYFUNCTION("""COMPUTED_VALUE"""),"")</f>
        <v/>
      </c>
      <c r="J1572">
        <f>IFERROR(__xludf.DUMMYFUNCTION("""COMPUTED_VALUE"""),0.0)</f>
        <v>0</v>
      </c>
      <c r="L1572" s="250" t="str">
        <f>IFERROR(__xludf.DUMMYFUNCTION("""COMPUTED_VALUE"""),"")</f>
        <v/>
      </c>
      <c r="M1572" s="250" t="str">
        <f>IFERROR(__xludf.DUMMYFUNCTION("""COMPUTED_VALUE"""),"")</f>
        <v/>
      </c>
      <c r="N1572" s="250" t="str">
        <f>IFERROR(__xludf.DUMMYFUNCTION("""COMPUTED_VALUE"""),"")</f>
        <v/>
      </c>
      <c r="O1572" s="250" t="str">
        <f>IFERROR(__xludf.DUMMYFUNCTION("""COMPUTED_VALUE"""),"")</f>
        <v/>
      </c>
      <c r="P1572" s="250" t="str">
        <f>IFERROR(__xludf.DUMMYFUNCTION("""COMPUTED_VALUE"""),"")</f>
        <v/>
      </c>
      <c r="Q1572" s="250" t="str">
        <f>IFERROR(__xludf.DUMMYFUNCTION("""COMPUTED_VALUE"""),"")</f>
        <v/>
      </c>
      <c r="R1572" s="250" t="str">
        <f>IFERROR(__xludf.DUMMYFUNCTION("""COMPUTED_VALUE"""),"")</f>
        <v/>
      </c>
      <c r="U1572" s="250" t="str">
        <f>IFERROR(__xludf.DUMMYFUNCTION("""COMPUTED_VALUE"""),"#N/A")</f>
        <v>#N/A</v>
      </c>
      <c r="V1572" s="250" t="str">
        <f>IFERROR(__xludf.DUMMYFUNCTION("""COMPUTED_VALUE"""),"#N/A")</f>
        <v>#N/A</v>
      </c>
      <c r="W1572" s="250" t="str">
        <f>IFERROR(__xludf.DUMMYFUNCTION("""COMPUTED_VALUE"""),"#N/A")</f>
        <v>#N/A</v>
      </c>
      <c r="X1572" t="b">
        <f t="shared" ref="X1572:Z1572" si="3120">ISBLANK(K1572)</f>
        <v>1</v>
      </c>
      <c r="Y1572" t="b">
        <f t="shared" si="3120"/>
        <v>0</v>
      </c>
      <c r="Z1572" t="b">
        <f t="shared" si="3120"/>
        <v>0</v>
      </c>
      <c r="AA1572">
        <f t="shared" ref="AA1572:AC1572" si="3121">IF(X1572=FALSE,1,0)</f>
        <v>0</v>
      </c>
      <c r="AB1572">
        <f t="shared" si="3121"/>
        <v>1</v>
      </c>
      <c r="AC1572">
        <f t="shared" si="3121"/>
        <v>1</v>
      </c>
      <c r="AD1572">
        <f t="shared" si="6"/>
        <v>2</v>
      </c>
      <c r="AE1572">
        <f t="shared" si="7"/>
        <v>1</v>
      </c>
    </row>
    <row r="1573">
      <c r="B1573" t="str">
        <f>IFERROR(__xludf.DUMMYFUNCTION("""COMPUTED_VALUE"""),"")</f>
        <v/>
      </c>
      <c r="C1573" t="str">
        <f>IFERROR(__xludf.DUMMYFUNCTION("""COMPUTED_VALUE"""),"")</f>
        <v/>
      </c>
      <c r="D1573" t="str">
        <f>IFERROR(__xludf.DUMMYFUNCTION("""COMPUTED_VALUE"""),"")</f>
        <v/>
      </c>
      <c r="E1573" t="str">
        <f>IFERROR(__xludf.DUMMYFUNCTION("""COMPUTED_VALUE"""),"")</f>
        <v/>
      </c>
      <c r="F1573" t="str">
        <f>IFERROR(__xludf.DUMMYFUNCTION("""COMPUTED_VALUE"""),"")</f>
        <v/>
      </c>
      <c r="G1573" t="str">
        <f>IFERROR(__xludf.DUMMYFUNCTION("""COMPUTED_VALUE"""),"")</f>
        <v/>
      </c>
      <c r="H1573" t="str">
        <f>IFERROR(__xludf.DUMMYFUNCTION("""COMPUTED_VALUE"""),"")</f>
        <v/>
      </c>
      <c r="I1573" t="str">
        <f>IFERROR(__xludf.DUMMYFUNCTION("""COMPUTED_VALUE"""),"")</f>
        <v/>
      </c>
      <c r="J1573">
        <f>IFERROR(__xludf.DUMMYFUNCTION("""COMPUTED_VALUE"""),0.0)</f>
        <v>0</v>
      </c>
      <c r="L1573" s="250" t="str">
        <f>IFERROR(__xludf.DUMMYFUNCTION("""COMPUTED_VALUE"""),"")</f>
        <v/>
      </c>
      <c r="M1573" s="250" t="str">
        <f>IFERROR(__xludf.DUMMYFUNCTION("""COMPUTED_VALUE"""),"")</f>
        <v/>
      </c>
      <c r="N1573" s="250" t="str">
        <f>IFERROR(__xludf.DUMMYFUNCTION("""COMPUTED_VALUE"""),"")</f>
        <v/>
      </c>
      <c r="O1573" s="250" t="str">
        <f>IFERROR(__xludf.DUMMYFUNCTION("""COMPUTED_VALUE"""),"")</f>
        <v/>
      </c>
      <c r="P1573" s="250" t="str">
        <f>IFERROR(__xludf.DUMMYFUNCTION("""COMPUTED_VALUE"""),"")</f>
        <v/>
      </c>
      <c r="Q1573" s="250" t="str">
        <f>IFERROR(__xludf.DUMMYFUNCTION("""COMPUTED_VALUE"""),"")</f>
        <v/>
      </c>
      <c r="R1573" s="250" t="str">
        <f>IFERROR(__xludf.DUMMYFUNCTION("""COMPUTED_VALUE"""),"")</f>
        <v/>
      </c>
      <c r="U1573" s="250" t="str">
        <f>IFERROR(__xludf.DUMMYFUNCTION("""COMPUTED_VALUE"""),"#N/A")</f>
        <v>#N/A</v>
      </c>
      <c r="V1573" s="250" t="str">
        <f>IFERROR(__xludf.DUMMYFUNCTION("""COMPUTED_VALUE"""),"#N/A")</f>
        <v>#N/A</v>
      </c>
      <c r="W1573" s="250" t="str">
        <f>IFERROR(__xludf.DUMMYFUNCTION("""COMPUTED_VALUE"""),"#N/A")</f>
        <v>#N/A</v>
      </c>
      <c r="X1573" t="b">
        <f t="shared" ref="X1573:Z1573" si="3122">ISBLANK(K1573)</f>
        <v>1</v>
      </c>
      <c r="Y1573" t="b">
        <f t="shared" si="3122"/>
        <v>0</v>
      </c>
      <c r="Z1573" t="b">
        <f t="shared" si="3122"/>
        <v>0</v>
      </c>
      <c r="AA1573">
        <f t="shared" ref="AA1573:AC1573" si="3123">IF(X1573=FALSE,1,0)</f>
        <v>0</v>
      </c>
      <c r="AB1573">
        <f t="shared" si="3123"/>
        <v>1</v>
      </c>
      <c r="AC1573">
        <f t="shared" si="3123"/>
        <v>1</v>
      </c>
      <c r="AD1573">
        <f t="shared" si="6"/>
        <v>2</v>
      </c>
      <c r="AE1573">
        <f t="shared" si="7"/>
        <v>1</v>
      </c>
    </row>
    <row r="1574">
      <c r="B1574" t="str">
        <f>IFERROR(__xludf.DUMMYFUNCTION("""COMPUTED_VALUE"""),"")</f>
        <v/>
      </c>
      <c r="C1574" t="str">
        <f>IFERROR(__xludf.DUMMYFUNCTION("""COMPUTED_VALUE"""),"")</f>
        <v/>
      </c>
      <c r="D1574" t="str">
        <f>IFERROR(__xludf.DUMMYFUNCTION("""COMPUTED_VALUE"""),"")</f>
        <v/>
      </c>
      <c r="E1574" t="str">
        <f>IFERROR(__xludf.DUMMYFUNCTION("""COMPUTED_VALUE"""),"")</f>
        <v/>
      </c>
      <c r="F1574" t="str">
        <f>IFERROR(__xludf.DUMMYFUNCTION("""COMPUTED_VALUE"""),"")</f>
        <v/>
      </c>
      <c r="G1574" t="str">
        <f>IFERROR(__xludf.DUMMYFUNCTION("""COMPUTED_VALUE"""),"")</f>
        <v/>
      </c>
      <c r="H1574" t="str">
        <f>IFERROR(__xludf.DUMMYFUNCTION("""COMPUTED_VALUE"""),"")</f>
        <v/>
      </c>
      <c r="I1574" t="str">
        <f>IFERROR(__xludf.DUMMYFUNCTION("""COMPUTED_VALUE"""),"")</f>
        <v/>
      </c>
      <c r="J1574">
        <f>IFERROR(__xludf.DUMMYFUNCTION("""COMPUTED_VALUE"""),0.0)</f>
        <v>0</v>
      </c>
      <c r="L1574" s="250" t="str">
        <f>IFERROR(__xludf.DUMMYFUNCTION("""COMPUTED_VALUE"""),"")</f>
        <v/>
      </c>
      <c r="M1574" s="250" t="str">
        <f>IFERROR(__xludf.DUMMYFUNCTION("""COMPUTED_VALUE"""),"")</f>
        <v/>
      </c>
      <c r="N1574" s="250" t="str">
        <f>IFERROR(__xludf.DUMMYFUNCTION("""COMPUTED_VALUE"""),"")</f>
        <v/>
      </c>
      <c r="O1574" s="250" t="str">
        <f>IFERROR(__xludf.DUMMYFUNCTION("""COMPUTED_VALUE"""),"")</f>
        <v/>
      </c>
      <c r="P1574" s="250" t="str">
        <f>IFERROR(__xludf.DUMMYFUNCTION("""COMPUTED_VALUE"""),"")</f>
        <v/>
      </c>
      <c r="Q1574" s="250" t="str">
        <f>IFERROR(__xludf.DUMMYFUNCTION("""COMPUTED_VALUE"""),"")</f>
        <v/>
      </c>
      <c r="R1574" s="250" t="str">
        <f>IFERROR(__xludf.DUMMYFUNCTION("""COMPUTED_VALUE"""),"")</f>
        <v/>
      </c>
      <c r="U1574" s="250" t="str">
        <f>IFERROR(__xludf.DUMMYFUNCTION("""COMPUTED_VALUE"""),"#N/A")</f>
        <v>#N/A</v>
      </c>
      <c r="V1574" s="250" t="str">
        <f>IFERROR(__xludf.DUMMYFUNCTION("""COMPUTED_VALUE"""),"#N/A")</f>
        <v>#N/A</v>
      </c>
      <c r="W1574" s="250" t="str">
        <f>IFERROR(__xludf.DUMMYFUNCTION("""COMPUTED_VALUE"""),"#N/A")</f>
        <v>#N/A</v>
      </c>
      <c r="X1574" t="b">
        <f t="shared" ref="X1574:Z1574" si="3124">ISBLANK(K1574)</f>
        <v>1</v>
      </c>
      <c r="Y1574" t="b">
        <f t="shared" si="3124"/>
        <v>0</v>
      </c>
      <c r="Z1574" t="b">
        <f t="shared" si="3124"/>
        <v>0</v>
      </c>
      <c r="AA1574">
        <f t="shared" ref="AA1574:AC1574" si="3125">IF(X1574=FALSE,1,0)</f>
        <v>0</v>
      </c>
      <c r="AB1574">
        <f t="shared" si="3125"/>
        <v>1</v>
      </c>
      <c r="AC1574">
        <f t="shared" si="3125"/>
        <v>1</v>
      </c>
      <c r="AD1574">
        <f t="shared" si="6"/>
        <v>2</v>
      </c>
      <c r="AE1574">
        <f t="shared" si="7"/>
        <v>1</v>
      </c>
    </row>
    <row r="1575">
      <c r="B1575" t="str">
        <f>IFERROR(__xludf.DUMMYFUNCTION("""COMPUTED_VALUE"""),"")</f>
        <v/>
      </c>
      <c r="C1575" t="str">
        <f>IFERROR(__xludf.DUMMYFUNCTION("""COMPUTED_VALUE"""),"")</f>
        <v/>
      </c>
      <c r="D1575" t="str">
        <f>IFERROR(__xludf.DUMMYFUNCTION("""COMPUTED_VALUE"""),"")</f>
        <v/>
      </c>
      <c r="E1575" t="str">
        <f>IFERROR(__xludf.DUMMYFUNCTION("""COMPUTED_VALUE"""),"")</f>
        <v/>
      </c>
      <c r="F1575" t="str">
        <f>IFERROR(__xludf.DUMMYFUNCTION("""COMPUTED_VALUE"""),"")</f>
        <v/>
      </c>
      <c r="G1575" t="str">
        <f>IFERROR(__xludf.DUMMYFUNCTION("""COMPUTED_VALUE"""),"")</f>
        <v/>
      </c>
      <c r="H1575" t="str">
        <f>IFERROR(__xludf.DUMMYFUNCTION("""COMPUTED_VALUE"""),"")</f>
        <v/>
      </c>
      <c r="I1575" t="str">
        <f>IFERROR(__xludf.DUMMYFUNCTION("""COMPUTED_VALUE"""),"")</f>
        <v/>
      </c>
      <c r="J1575">
        <f>IFERROR(__xludf.DUMMYFUNCTION("""COMPUTED_VALUE"""),0.0)</f>
        <v>0</v>
      </c>
      <c r="L1575" s="250" t="str">
        <f>IFERROR(__xludf.DUMMYFUNCTION("""COMPUTED_VALUE"""),"")</f>
        <v/>
      </c>
      <c r="M1575" s="250" t="str">
        <f>IFERROR(__xludf.DUMMYFUNCTION("""COMPUTED_VALUE"""),"")</f>
        <v/>
      </c>
      <c r="N1575" s="250" t="str">
        <f>IFERROR(__xludf.DUMMYFUNCTION("""COMPUTED_VALUE"""),"")</f>
        <v/>
      </c>
      <c r="O1575" s="250" t="str">
        <f>IFERROR(__xludf.DUMMYFUNCTION("""COMPUTED_VALUE"""),"")</f>
        <v/>
      </c>
      <c r="P1575" s="250" t="str">
        <f>IFERROR(__xludf.DUMMYFUNCTION("""COMPUTED_VALUE"""),"")</f>
        <v/>
      </c>
      <c r="Q1575" s="250" t="str">
        <f>IFERROR(__xludf.DUMMYFUNCTION("""COMPUTED_VALUE"""),"")</f>
        <v/>
      </c>
      <c r="R1575" s="250" t="str">
        <f>IFERROR(__xludf.DUMMYFUNCTION("""COMPUTED_VALUE"""),"")</f>
        <v/>
      </c>
      <c r="U1575" s="250" t="str">
        <f>IFERROR(__xludf.DUMMYFUNCTION("""COMPUTED_VALUE"""),"#N/A")</f>
        <v>#N/A</v>
      </c>
      <c r="V1575" s="250" t="str">
        <f>IFERROR(__xludf.DUMMYFUNCTION("""COMPUTED_VALUE"""),"#N/A")</f>
        <v>#N/A</v>
      </c>
      <c r="W1575" s="250" t="str">
        <f>IFERROR(__xludf.DUMMYFUNCTION("""COMPUTED_VALUE"""),"#N/A")</f>
        <v>#N/A</v>
      </c>
      <c r="X1575" t="b">
        <f t="shared" ref="X1575:Z1575" si="3126">ISBLANK(K1575)</f>
        <v>1</v>
      </c>
      <c r="Y1575" t="b">
        <f t="shared" si="3126"/>
        <v>0</v>
      </c>
      <c r="Z1575" t="b">
        <f t="shared" si="3126"/>
        <v>0</v>
      </c>
      <c r="AA1575">
        <f t="shared" ref="AA1575:AC1575" si="3127">IF(X1575=FALSE,1,0)</f>
        <v>0</v>
      </c>
      <c r="AB1575">
        <f t="shared" si="3127"/>
        <v>1</v>
      </c>
      <c r="AC1575">
        <f t="shared" si="3127"/>
        <v>1</v>
      </c>
      <c r="AD1575">
        <f t="shared" si="6"/>
        <v>2</v>
      </c>
      <c r="AE1575">
        <f t="shared" si="7"/>
        <v>1</v>
      </c>
    </row>
    <row r="1576">
      <c r="B1576" t="str">
        <f>IFERROR(__xludf.DUMMYFUNCTION("""COMPUTED_VALUE"""),"")</f>
        <v/>
      </c>
      <c r="C1576" t="str">
        <f>IFERROR(__xludf.DUMMYFUNCTION("""COMPUTED_VALUE"""),"")</f>
        <v/>
      </c>
      <c r="D1576" t="str">
        <f>IFERROR(__xludf.DUMMYFUNCTION("""COMPUTED_VALUE"""),"")</f>
        <v/>
      </c>
      <c r="E1576" t="str">
        <f>IFERROR(__xludf.DUMMYFUNCTION("""COMPUTED_VALUE"""),"")</f>
        <v/>
      </c>
      <c r="F1576" t="str">
        <f>IFERROR(__xludf.DUMMYFUNCTION("""COMPUTED_VALUE"""),"")</f>
        <v/>
      </c>
      <c r="G1576" t="str">
        <f>IFERROR(__xludf.DUMMYFUNCTION("""COMPUTED_VALUE"""),"")</f>
        <v/>
      </c>
      <c r="H1576" t="str">
        <f>IFERROR(__xludf.DUMMYFUNCTION("""COMPUTED_VALUE"""),"")</f>
        <v/>
      </c>
      <c r="I1576" t="str">
        <f>IFERROR(__xludf.DUMMYFUNCTION("""COMPUTED_VALUE"""),"")</f>
        <v/>
      </c>
      <c r="J1576">
        <f>IFERROR(__xludf.DUMMYFUNCTION("""COMPUTED_VALUE"""),0.0)</f>
        <v>0</v>
      </c>
      <c r="L1576" s="250" t="str">
        <f>IFERROR(__xludf.DUMMYFUNCTION("""COMPUTED_VALUE"""),"")</f>
        <v/>
      </c>
      <c r="M1576" s="250" t="str">
        <f>IFERROR(__xludf.DUMMYFUNCTION("""COMPUTED_VALUE"""),"")</f>
        <v/>
      </c>
      <c r="N1576" s="250" t="str">
        <f>IFERROR(__xludf.DUMMYFUNCTION("""COMPUTED_VALUE"""),"")</f>
        <v/>
      </c>
      <c r="O1576" s="250" t="str">
        <f>IFERROR(__xludf.DUMMYFUNCTION("""COMPUTED_VALUE"""),"")</f>
        <v/>
      </c>
      <c r="P1576" s="250" t="str">
        <f>IFERROR(__xludf.DUMMYFUNCTION("""COMPUTED_VALUE"""),"")</f>
        <v/>
      </c>
      <c r="Q1576" s="250" t="str">
        <f>IFERROR(__xludf.DUMMYFUNCTION("""COMPUTED_VALUE"""),"")</f>
        <v/>
      </c>
      <c r="R1576" s="250" t="str">
        <f>IFERROR(__xludf.DUMMYFUNCTION("""COMPUTED_VALUE"""),"")</f>
        <v/>
      </c>
      <c r="U1576" s="250" t="str">
        <f>IFERROR(__xludf.DUMMYFUNCTION("""COMPUTED_VALUE"""),"#N/A")</f>
        <v>#N/A</v>
      </c>
      <c r="V1576" s="250" t="str">
        <f>IFERROR(__xludf.DUMMYFUNCTION("""COMPUTED_VALUE"""),"#N/A")</f>
        <v>#N/A</v>
      </c>
      <c r="W1576" s="250" t="str">
        <f>IFERROR(__xludf.DUMMYFUNCTION("""COMPUTED_VALUE"""),"#N/A")</f>
        <v>#N/A</v>
      </c>
      <c r="X1576" t="b">
        <f t="shared" ref="X1576:Z1576" si="3128">ISBLANK(K1576)</f>
        <v>1</v>
      </c>
      <c r="Y1576" t="b">
        <f t="shared" si="3128"/>
        <v>0</v>
      </c>
      <c r="Z1576" t="b">
        <f t="shared" si="3128"/>
        <v>0</v>
      </c>
      <c r="AA1576">
        <f t="shared" ref="AA1576:AC1576" si="3129">IF(X1576=FALSE,1,0)</f>
        <v>0</v>
      </c>
      <c r="AB1576">
        <f t="shared" si="3129"/>
        <v>1</v>
      </c>
      <c r="AC1576">
        <f t="shared" si="3129"/>
        <v>1</v>
      </c>
      <c r="AD1576">
        <f t="shared" si="6"/>
        <v>2</v>
      </c>
      <c r="AE1576">
        <f t="shared" si="7"/>
        <v>1</v>
      </c>
    </row>
    <row r="1577">
      <c r="B1577" t="str">
        <f>IFERROR(__xludf.DUMMYFUNCTION("""COMPUTED_VALUE"""),"")</f>
        <v/>
      </c>
      <c r="C1577" t="str">
        <f>IFERROR(__xludf.DUMMYFUNCTION("""COMPUTED_VALUE"""),"")</f>
        <v/>
      </c>
      <c r="D1577" t="str">
        <f>IFERROR(__xludf.DUMMYFUNCTION("""COMPUTED_VALUE"""),"")</f>
        <v/>
      </c>
      <c r="E1577" t="str">
        <f>IFERROR(__xludf.DUMMYFUNCTION("""COMPUTED_VALUE"""),"")</f>
        <v/>
      </c>
      <c r="F1577" t="str">
        <f>IFERROR(__xludf.DUMMYFUNCTION("""COMPUTED_VALUE"""),"")</f>
        <v/>
      </c>
      <c r="G1577" t="str">
        <f>IFERROR(__xludf.DUMMYFUNCTION("""COMPUTED_VALUE"""),"")</f>
        <v/>
      </c>
      <c r="H1577" t="str">
        <f>IFERROR(__xludf.DUMMYFUNCTION("""COMPUTED_VALUE"""),"")</f>
        <v/>
      </c>
      <c r="I1577" t="str">
        <f>IFERROR(__xludf.DUMMYFUNCTION("""COMPUTED_VALUE"""),"")</f>
        <v/>
      </c>
      <c r="J1577">
        <f>IFERROR(__xludf.DUMMYFUNCTION("""COMPUTED_VALUE"""),0.0)</f>
        <v>0</v>
      </c>
      <c r="L1577" s="250" t="str">
        <f>IFERROR(__xludf.DUMMYFUNCTION("""COMPUTED_VALUE"""),"")</f>
        <v/>
      </c>
      <c r="M1577" s="250" t="str">
        <f>IFERROR(__xludf.DUMMYFUNCTION("""COMPUTED_VALUE"""),"")</f>
        <v/>
      </c>
      <c r="N1577" s="250" t="str">
        <f>IFERROR(__xludf.DUMMYFUNCTION("""COMPUTED_VALUE"""),"")</f>
        <v/>
      </c>
      <c r="O1577" s="250" t="str">
        <f>IFERROR(__xludf.DUMMYFUNCTION("""COMPUTED_VALUE"""),"")</f>
        <v/>
      </c>
      <c r="P1577" s="250" t="str">
        <f>IFERROR(__xludf.DUMMYFUNCTION("""COMPUTED_VALUE"""),"")</f>
        <v/>
      </c>
      <c r="Q1577" s="250" t="str">
        <f>IFERROR(__xludf.DUMMYFUNCTION("""COMPUTED_VALUE"""),"")</f>
        <v/>
      </c>
      <c r="R1577" s="250" t="str">
        <f>IFERROR(__xludf.DUMMYFUNCTION("""COMPUTED_VALUE"""),"")</f>
        <v/>
      </c>
      <c r="U1577" s="250" t="str">
        <f>IFERROR(__xludf.DUMMYFUNCTION("""COMPUTED_VALUE"""),"#N/A")</f>
        <v>#N/A</v>
      </c>
      <c r="V1577" s="250" t="str">
        <f>IFERROR(__xludf.DUMMYFUNCTION("""COMPUTED_VALUE"""),"#N/A")</f>
        <v>#N/A</v>
      </c>
      <c r="W1577" s="250" t="str">
        <f>IFERROR(__xludf.DUMMYFUNCTION("""COMPUTED_VALUE"""),"#N/A")</f>
        <v>#N/A</v>
      </c>
      <c r="X1577" t="b">
        <f t="shared" ref="X1577:Z1577" si="3130">ISBLANK(K1577)</f>
        <v>1</v>
      </c>
      <c r="Y1577" t="b">
        <f t="shared" si="3130"/>
        <v>0</v>
      </c>
      <c r="Z1577" t="b">
        <f t="shared" si="3130"/>
        <v>0</v>
      </c>
      <c r="AA1577">
        <f t="shared" ref="AA1577:AC1577" si="3131">IF(X1577=FALSE,1,0)</f>
        <v>0</v>
      </c>
      <c r="AB1577">
        <f t="shared" si="3131"/>
        <v>1</v>
      </c>
      <c r="AC1577">
        <f t="shared" si="3131"/>
        <v>1</v>
      </c>
      <c r="AD1577">
        <f t="shared" si="6"/>
        <v>2</v>
      </c>
      <c r="AE1577">
        <f t="shared" si="7"/>
        <v>1</v>
      </c>
    </row>
    <row r="1578">
      <c r="B1578" t="str">
        <f>IFERROR(__xludf.DUMMYFUNCTION("""COMPUTED_VALUE"""),"")</f>
        <v/>
      </c>
      <c r="C1578" t="str">
        <f>IFERROR(__xludf.DUMMYFUNCTION("""COMPUTED_VALUE"""),"")</f>
        <v/>
      </c>
      <c r="D1578" t="str">
        <f>IFERROR(__xludf.DUMMYFUNCTION("""COMPUTED_VALUE"""),"")</f>
        <v/>
      </c>
      <c r="E1578" t="str">
        <f>IFERROR(__xludf.DUMMYFUNCTION("""COMPUTED_VALUE"""),"")</f>
        <v/>
      </c>
      <c r="F1578" t="str">
        <f>IFERROR(__xludf.DUMMYFUNCTION("""COMPUTED_VALUE"""),"")</f>
        <v/>
      </c>
      <c r="G1578" t="str">
        <f>IFERROR(__xludf.DUMMYFUNCTION("""COMPUTED_VALUE"""),"")</f>
        <v/>
      </c>
      <c r="H1578" t="str">
        <f>IFERROR(__xludf.DUMMYFUNCTION("""COMPUTED_VALUE"""),"")</f>
        <v/>
      </c>
      <c r="I1578" t="str">
        <f>IFERROR(__xludf.DUMMYFUNCTION("""COMPUTED_VALUE"""),"")</f>
        <v/>
      </c>
      <c r="J1578">
        <f>IFERROR(__xludf.DUMMYFUNCTION("""COMPUTED_VALUE"""),0.0)</f>
        <v>0</v>
      </c>
      <c r="L1578" s="250" t="str">
        <f>IFERROR(__xludf.DUMMYFUNCTION("""COMPUTED_VALUE"""),"")</f>
        <v/>
      </c>
      <c r="M1578" s="250" t="str">
        <f>IFERROR(__xludf.DUMMYFUNCTION("""COMPUTED_VALUE"""),"")</f>
        <v/>
      </c>
      <c r="N1578" s="250" t="str">
        <f>IFERROR(__xludf.DUMMYFUNCTION("""COMPUTED_VALUE"""),"")</f>
        <v/>
      </c>
      <c r="O1578" s="250" t="str">
        <f>IFERROR(__xludf.DUMMYFUNCTION("""COMPUTED_VALUE"""),"")</f>
        <v/>
      </c>
      <c r="P1578" s="250" t="str">
        <f>IFERROR(__xludf.DUMMYFUNCTION("""COMPUTED_VALUE"""),"")</f>
        <v/>
      </c>
      <c r="Q1578" s="250" t="str">
        <f>IFERROR(__xludf.DUMMYFUNCTION("""COMPUTED_VALUE"""),"")</f>
        <v/>
      </c>
      <c r="R1578" s="250" t="str">
        <f>IFERROR(__xludf.DUMMYFUNCTION("""COMPUTED_VALUE"""),"")</f>
        <v/>
      </c>
      <c r="U1578" s="250" t="str">
        <f>IFERROR(__xludf.DUMMYFUNCTION("""COMPUTED_VALUE"""),"#N/A")</f>
        <v>#N/A</v>
      </c>
      <c r="V1578" s="250" t="str">
        <f>IFERROR(__xludf.DUMMYFUNCTION("""COMPUTED_VALUE"""),"#N/A")</f>
        <v>#N/A</v>
      </c>
      <c r="W1578" s="250" t="str">
        <f>IFERROR(__xludf.DUMMYFUNCTION("""COMPUTED_VALUE"""),"#N/A")</f>
        <v>#N/A</v>
      </c>
      <c r="X1578" t="b">
        <f t="shared" ref="X1578:Z1578" si="3132">ISBLANK(K1578)</f>
        <v>1</v>
      </c>
      <c r="Y1578" t="b">
        <f t="shared" si="3132"/>
        <v>0</v>
      </c>
      <c r="Z1578" t="b">
        <f t="shared" si="3132"/>
        <v>0</v>
      </c>
      <c r="AA1578">
        <f t="shared" ref="AA1578:AC1578" si="3133">IF(X1578=FALSE,1,0)</f>
        <v>0</v>
      </c>
      <c r="AB1578">
        <f t="shared" si="3133"/>
        <v>1</v>
      </c>
      <c r="AC1578">
        <f t="shared" si="3133"/>
        <v>1</v>
      </c>
      <c r="AD1578">
        <f t="shared" si="6"/>
        <v>2</v>
      </c>
      <c r="AE1578">
        <f t="shared" si="7"/>
        <v>1</v>
      </c>
    </row>
    <row r="1579">
      <c r="B1579" t="str">
        <f>IFERROR(__xludf.DUMMYFUNCTION("""COMPUTED_VALUE"""),"")</f>
        <v/>
      </c>
      <c r="C1579" t="str">
        <f>IFERROR(__xludf.DUMMYFUNCTION("""COMPUTED_VALUE"""),"")</f>
        <v/>
      </c>
      <c r="D1579" t="str">
        <f>IFERROR(__xludf.DUMMYFUNCTION("""COMPUTED_VALUE"""),"")</f>
        <v/>
      </c>
      <c r="E1579" t="str">
        <f>IFERROR(__xludf.DUMMYFUNCTION("""COMPUTED_VALUE"""),"")</f>
        <v/>
      </c>
      <c r="F1579" t="str">
        <f>IFERROR(__xludf.DUMMYFUNCTION("""COMPUTED_VALUE"""),"")</f>
        <v/>
      </c>
      <c r="G1579" t="str">
        <f>IFERROR(__xludf.DUMMYFUNCTION("""COMPUTED_VALUE"""),"")</f>
        <v/>
      </c>
      <c r="H1579" t="str">
        <f>IFERROR(__xludf.DUMMYFUNCTION("""COMPUTED_VALUE"""),"")</f>
        <v/>
      </c>
      <c r="I1579" t="str">
        <f>IFERROR(__xludf.DUMMYFUNCTION("""COMPUTED_VALUE"""),"")</f>
        <v/>
      </c>
      <c r="J1579">
        <f>IFERROR(__xludf.DUMMYFUNCTION("""COMPUTED_VALUE"""),0.0)</f>
        <v>0</v>
      </c>
      <c r="L1579" s="250" t="str">
        <f>IFERROR(__xludf.DUMMYFUNCTION("""COMPUTED_VALUE"""),"")</f>
        <v/>
      </c>
      <c r="M1579" s="250" t="str">
        <f>IFERROR(__xludf.DUMMYFUNCTION("""COMPUTED_VALUE"""),"")</f>
        <v/>
      </c>
      <c r="N1579" s="250" t="str">
        <f>IFERROR(__xludf.DUMMYFUNCTION("""COMPUTED_VALUE"""),"")</f>
        <v/>
      </c>
      <c r="O1579" s="250" t="str">
        <f>IFERROR(__xludf.DUMMYFUNCTION("""COMPUTED_VALUE"""),"")</f>
        <v/>
      </c>
      <c r="P1579" s="250" t="str">
        <f>IFERROR(__xludf.DUMMYFUNCTION("""COMPUTED_VALUE"""),"")</f>
        <v/>
      </c>
      <c r="Q1579" s="250" t="str">
        <f>IFERROR(__xludf.DUMMYFUNCTION("""COMPUTED_VALUE"""),"")</f>
        <v/>
      </c>
      <c r="R1579" s="250" t="str">
        <f>IFERROR(__xludf.DUMMYFUNCTION("""COMPUTED_VALUE"""),"")</f>
        <v/>
      </c>
      <c r="U1579" s="250" t="str">
        <f>IFERROR(__xludf.DUMMYFUNCTION("""COMPUTED_VALUE"""),"#N/A")</f>
        <v>#N/A</v>
      </c>
      <c r="V1579" s="250" t="str">
        <f>IFERROR(__xludf.DUMMYFUNCTION("""COMPUTED_VALUE"""),"#N/A")</f>
        <v>#N/A</v>
      </c>
      <c r="W1579" s="250" t="str">
        <f>IFERROR(__xludf.DUMMYFUNCTION("""COMPUTED_VALUE"""),"#N/A")</f>
        <v>#N/A</v>
      </c>
      <c r="X1579" t="b">
        <f t="shared" ref="X1579:Z1579" si="3134">ISBLANK(K1579)</f>
        <v>1</v>
      </c>
      <c r="Y1579" t="b">
        <f t="shared" si="3134"/>
        <v>0</v>
      </c>
      <c r="Z1579" t="b">
        <f t="shared" si="3134"/>
        <v>0</v>
      </c>
      <c r="AA1579">
        <f t="shared" ref="AA1579:AC1579" si="3135">IF(X1579=FALSE,1,0)</f>
        <v>0</v>
      </c>
      <c r="AB1579">
        <f t="shared" si="3135"/>
        <v>1</v>
      </c>
      <c r="AC1579">
        <f t="shared" si="3135"/>
        <v>1</v>
      </c>
      <c r="AD1579">
        <f t="shared" si="6"/>
        <v>2</v>
      </c>
      <c r="AE1579">
        <f t="shared" si="7"/>
        <v>1</v>
      </c>
    </row>
    <row r="1580">
      <c r="B1580" t="str">
        <f>IFERROR(__xludf.DUMMYFUNCTION("""COMPUTED_VALUE"""),"")</f>
        <v/>
      </c>
      <c r="C1580" t="str">
        <f>IFERROR(__xludf.DUMMYFUNCTION("""COMPUTED_VALUE"""),"")</f>
        <v/>
      </c>
      <c r="D1580" t="str">
        <f>IFERROR(__xludf.DUMMYFUNCTION("""COMPUTED_VALUE"""),"")</f>
        <v/>
      </c>
      <c r="E1580" t="str">
        <f>IFERROR(__xludf.DUMMYFUNCTION("""COMPUTED_VALUE"""),"")</f>
        <v/>
      </c>
      <c r="F1580" t="str">
        <f>IFERROR(__xludf.DUMMYFUNCTION("""COMPUTED_VALUE"""),"")</f>
        <v/>
      </c>
      <c r="G1580" t="str">
        <f>IFERROR(__xludf.DUMMYFUNCTION("""COMPUTED_VALUE"""),"")</f>
        <v/>
      </c>
      <c r="H1580" t="str">
        <f>IFERROR(__xludf.DUMMYFUNCTION("""COMPUTED_VALUE"""),"")</f>
        <v/>
      </c>
      <c r="I1580" t="str">
        <f>IFERROR(__xludf.DUMMYFUNCTION("""COMPUTED_VALUE"""),"")</f>
        <v/>
      </c>
      <c r="J1580">
        <f>IFERROR(__xludf.DUMMYFUNCTION("""COMPUTED_VALUE"""),0.0)</f>
        <v>0</v>
      </c>
      <c r="L1580" s="250" t="str">
        <f>IFERROR(__xludf.DUMMYFUNCTION("""COMPUTED_VALUE"""),"")</f>
        <v/>
      </c>
      <c r="M1580" s="250" t="str">
        <f>IFERROR(__xludf.DUMMYFUNCTION("""COMPUTED_VALUE"""),"")</f>
        <v/>
      </c>
      <c r="N1580" s="250" t="str">
        <f>IFERROR(__xludf.DUMMYFUNCTION("""COMPUTED_VALUE"""),"")</f>
        <v/>
      </c>
      <c r="O1580" s="250" t="str">
        <f>IFERROR(__xludf.DUMMYFUNCTION("""COMPUTED_VALUE"""),"")</f>
        <v/>
      </c>
      <c r="P1580" s="250" t="str">
        <f>IFERROR(__xludf.DUMMYFUNCTION("""COMPUTED_VALUE"""),"")</f>
        <v/>
      </c>
      <c r="Q1580" s="250" t="str">
        <f>IFERROR(__xludf.DUMMYFUNCTION("""COMPUTED_VALUE"""),"")</f>
        <v/>
      </c>
      <c r="R1580" s="250" t="str">
        <f>IFERROR(__xludf.DUMMYFUNCTION("""COMPUTED_VALUE"""),"")</f>
        <v/>
      </c>
      <c r="U1580" s="250" t="str">
        <f>IFERROR(__xludf.DUMMYFUNCTION("""COMPUTED_VALUE"""),"#N/A")</f>
        <v>#N/A</v>
      </c>
      <c r="V1580" s="250" t="str">
        <f>IFERROR(__xludf.DUMMYFUNCTION("""COMPUTED_VALUE"""),"#N/A")</f>
        <v>#N/A</v>
      </c>
      <c r="W1580" s="250" t="str">
        <f>IFERROR(__xludf.DUMMYFUNCTION("""COMPUTED_VALUE"""),"#N/A")</f>
        <v>#N/A</v>
      </c>
      <c r="X1580" t="b">
        <f t="shared" ref="X1580:Z1580" si="3136">ISBLANK(K1580)</f>
        <v>1</v>
      </c>
      <c r="Y1580" t="b">
        <f t="shared" si="3136"/>
        <v>0</v>
      </c>
      <c r="Z1580" t="b">
        <f t="shared" si="3136"/>
        <v>0</v>
      </c>
      <c r="AA1580">
        <f t="shared" ref="AA1580:AC1580" si="3137">IF(X1580=FALSE,1,0)</f>
        <v>0</v>
      </c>
      <c r="AB1580">
        <f t="shared" si="3137"/>
        <v>1</v>
      </c>
      <c r="AC1580">
        <f t="shared" si="3137"/>
        <v>1</v>
      </c>
      <c r="AD1580">
        <f t="shared" si="6"/>
        <v>2</v>
      </c>
      <c r="AE1580">
        <f t="shared" si="7"/>
        <v>1</v>
      </c>
    </row>
    <row r="1581">
      <c r="B1581" t="str">
        <f>IFERROR(__xludf.DUMMYFUNCTION("""COMPUTED_VALUE"""),"")</f>
        <v/>
      </c>
      <c r="C1581" t="str">
        <f>IFERROR(__xludf.DUMMYFUNCTION("""COMPUTED_VALUE"""),"")</f>
        <v/>
      </c>
      <c r="D1581" t="str">
        <f>IFERROR(__xludf.DUMMYFUNCTION("""COMPUTED_VALUE"""),"")</f>
        <v/>
      </c>
      <c r="E1581" t="str">
        <f>IFERROR(__xludf.DUMMYFUNCTION("""COMPUTED_VALUE"""),"")</f>
        <v/>
      </c>
      <c r="F1581" t="str">
        <f>IFERROR(__xludf.DUMMYFUNCTION("""COMPUTED_VALUE"""),"")</f>
        <v/>
      </c>
      <c r="G1581" t="str">
        <f>IFERROR(__xludf.DUMMYFUNCTION("""COMPUTED_VALUE"""),"")</f>
        <v/>
      </c>
      <c r="H1581" t="str">
        <f>IFERROR(__xludf.DUMMYFUNCTION("""COMPUTED_VALUE"""),"")</f>
        <v/>
      </c>
      <c r="I1581" t="str">
        <f>IFERROR(__xludf.DUMMYFUNCTION("""COMPUTED_VALUE"""),"")</f>
        <v/>
      </c>
      <c r="J1581">
        <f>IFERROR(__xludf.DUMMYFUNCTION("""COMPUTED_VALUE"""),0.0)</f>
        <v>0</v>
      </c>
      <c r="L1581" s="250" t="str">
        <f>IFERROR(__xludf.DUMMYFUNCTION("""COMPUTED_VALUE"""),"")</f>
        <v/>
      </c>
      <c r="M1581" s="250" t="str">
        <f>IFERROR(__xludf.DUMMYFUNCTION("""COMPUTED_VALUE"""),"")</f>
        <v/>
      </c>
      <c r="N1581" s="250" t="str">
        <f>IFERROR(__xludf.DUMMYFUNCTION("""COMPUTED_VALUE"""),"")</f>
        <v/>
      </c>
      <c r="O1581" s="250" t="str">
        <f>IFERROR(__xludf.DUMMYFUNCTION("""COMPUTED_VALUE"""),"")</f>
        <v/>
      </c>
      <c r="P1581" s="250" t="str">
        <f>IFERROR(__xludf.DUMMYFUNCTION("""COMPUTED_VALUE"""),"")</f>
        <v/>
      </c>
      <c r="Q1581" s="250" t="str">
        <f>IFERROR(__xludf.DUMMYFUNCTION("""COMPUTED_VALUE"""),"")</f>
        <v/>
      </c>
      <c r="R1581" s="250" t="str">
        <f>IFERROR(__xludf.DUMMYFUNCTION("""COMPUTED_VALUE"""),"")</f>
        <v/>
      </c>
      <c r="U1581" s="250" t="str">
        <f>IFERROR(__xludf.DUMMYFUNCTION("""COMPUTED_VALUE"""),"#N/A")</f>
        <v>#N/A</v>
      </c>
      <c r="V1581" s="250" t="str">
        <f>IFERROR(__xludf.DUMMYFUNCTION("""COMPUTED_VALUE"""),"#N/A")</f>
        <v>#N/A</v>
      </c>
      <c r="W1581" s="250" t="str">
        <f>IFERROR(__xludf.DUMMYFUNCTION("""COMPUTED_VALUE"""),"#N/A")</f>
        <v>#N/A</v>
      </c>
      <c r="X1581" t="b">
        <f t="shared" ref="X1581:Z1581" si="3138">ISBLANK(K1581)</f>
        <v>1</v>
      </c>
      <c r="Y1581" t="b">
        <f t="shared" si="3138"/>
        <v>0</v>
      </c>
      <c r="Z1581" t="b">
        <f t="shared" si="3138"/>
        <v>0</v>
      </c>
      <c r="AA1581">
        <f t="shared" ref="AA1581:AC1581" si="3139">IF(X1581=FALSE,1,0)</f>
        <v>0</v>
      </c>
      <c r="AB1581">
        <f t="shared" si="3139"/>
        <v>1</v>
      </c>
      <c r="AC1581">
        <f t="shared" si="3139"/>
        <v>1</v>
      </c>
      <c r="AD1581">
        <f t="shared" si="6"/>
        <v>2</v>
      </c>
      <c r="AE1581">
        <f t="shared" si="7"/>
        <v>1</v>
      </c>
    </row>
    <row r="1582">
      <c r="B1582" t="str">
        <f>IFERROR(__xludf.DUMMYFUNCTION("""COMPUTED_VALUE"""),"")</f>
        <v/>
      </c>
      <c r="C1582" t="str">
        <f>IFERROR(__xludf.DUMMYFUNCTION("""COMPUTED_VALUE"""),"")</f>
        <v/>
      </c>
      <c r="D1582" t="str">
        <f>IFERROR(__xludf.DUMMYFUNCTION("""COMPUTED_VALUE"""),"")</f>
        <v/>
      </c>
      <c r="E1582" t="str">
        <f>IFERROR(__xludf.DUMMYFUNCTION("""COMPUTED_VALUE"""),"")</f>
        <v/>
      </c>
      <c r="F1582" t="str">
        <f>IFERROR(__xludf.DUMMYFUNCTION("""COMPUTED_VALUE"""),"")</f>
        <v/>
      </c>
      <c r="G1582" t="str">
        <f>IFERROR(__xludf.DUMMYFUNCTION("""COMPUTED_VALUE"""),"")</f>
        <v/>
      </c>
      <c r="H1582" t="str">
        <f>IFERROR(__xludf.DUMMYFUNCTION("""COMPUTED_VALUE"""),"")</f>
        <v/>
      </c>
      <c r="I1582" t="str">
        <f>IFERROR(__xludf.DUMMYFUNCTION("""COMPUTED_VALUE"""),"")</f>
        <v/>
      </c>
      <c r="J1582">
        <f>IFERROR(__xludf.DUMMYFUNCTION("""COMPUTED_VALUE"""),0.0)</f>
        <v>0</v>
      </c>
      <c r="L1582" s="250" t="str">
        <f>IFERROR(__xludf.DUMMYFUNCTION("""COMPUTED_VALUE"""),"")</f>
        <v/>
      </c>
      <c r="M1582" s="250" t="str">
        <f>IFERROR(__xludf.DUMMYFUNCTION("""COMPUTED_VALUE"""),"")</f>
        <v/>
      </c>
      <c r="N1582" s="250" t="str">
        <f>IFERROR(__xludf.DUMMYFUNCTION("""COMPUTED_VALUE"""),"")</f>
        <v/>
      </c>
      <c r="O1582" s="250" t="str">
        <f>IFERROR(__xludf.DUMMYFUNCTION("""COMPUTED_VALUE"""),"")</f>
        <v/>
      </c>
      <c r="P1582" s="250" t="str">
        <f>IFERROR(__xludf.DUMMYFUNCTION("""COMPUTED_VALUE"""),"")</f>
        <v/>
      </c>
      <c r="Q1582" s="250" t="str">
        <f>IFERROR(__xludf.DUMMYFUNCTION("""COMPUTED_VALUE"""),"")</f>
        <v/>
      </c>
      <c r="R1582" s="250" t="str">
        <f>IFERROR(__xludf.DUMMYFUNCTION("""COMPUTED_VALUE"""),"")</f>
        <v/>
      </c>
      <c r="U1582" s="250" t="str">
        <f>IFERROR(__xludf.DUMMYFUNCTION("""COMPUTED_VALUE"""),"#N/A")</f>
        <v>#N/A</v>
      </c>
      <c r="V1582" s="250" t="str">
        <f>IFERROR(__xludf.DUMMYFUNCTION("""COMPUTED_VALUE"""),"#N/A")</f>
        <v>#N/A</v>
      </c>
      <c r="W1582" s="250" t="str">
        <f>IFERROR(__xludf.DUMMYFUNCTION("""COMPUTED_VALUE"""),"#N/A")</f>
        <v>#N/A</v>
      </c>
      <c r="X1582" t="b">
        <f t="shared" ref="X1582:Z1582" si="3140">ISBLANK(K1582)</f>
        <v>1</v>
      </c>
      <c r="Y1582" t="b">
        <f t="shared" si="3140"/>
        <v>0</v>
      </c>
      <c r="Z1582" t="b">
        <f t="shared" si="3140"/>
        <v>0</v>
      </c>
      <c r="AA1582">
        <f t="shared" ref="AA1582:AC1582" si="3141">IF(X1582=FALSE,1,0)</f>
        <v>0</v>
      </c>
      <c r="AB1582">
        <f t="shared" si="3141"/>
        <v>1</v>
      </c>
      <c r="AC1582">
        <f t="shared" si="3141"/>
        <v>1</v>
      </c>
      <c r="AD1582">
        <f t="shared" si="6"/>
        <v>2</v>
      </c>
      <c r="AE1582">
        <f t="shared" si="7"/>
        <v>1</v>
      </c>
    </row>
    <row r="1583">
      <c r="B1583" t="str">
        <f>IFERROR(__xludf.DUMMYFUNCTION("""COMPUTED_VALUE"""),"")</f>
        <v/>
      </c>
      <c r="C1583" t="str">
        <f>IFERROR(__xludf.DUMMYFUNCTION("""COMPUTED_VALUE"""),"")</f>
        <v/>
      </c>
      <c r="D1583" t="str">
        <f>IFERROR(__xludf.DUMMYFUNCTION("""COMPUTED_VALUE"""),"")</f>
        <v/>
      </c>
      <c r="E1583" t="str">
        <f>IFERROR(__xludf.DUMMYFUNCTION("""COMPUTED_VALUE"""),"")</f>
        <v/>
      </c>
      <c r="F1583" t="str">
        <f>IFERROR(__xludf.DUMMYFUNCTION("""COMPUTED_VALUE"""),"")</f>
        <v/>
      </c>
      <c r="G1583" t="str">
        <f>IFERROR(__xludf.DUMMYFUNCTION("""COMPUTED_VALUE"""),"")</f>
        <v/>
      </c>
      <c r="H1583" t="str">
        <f>IFERROR(__xludf.DUMMYFUNCTION("""COMPUTED_VALUE"""),"")</f>
        <v/>
      </c>
      <c r="I1583" t="str">
        <f>IFERROR(__xludf.DUMMYFUNCTION("""COMPUTED_VALUE"""),"")</f>
        <v/>
      </c>
      <c r="J1583">
        <f>IFERROR(__xludf.DUMMYFUNCTION("""COMPUTED_VALUE"""),0.0)</f>
        <v>0</v>
      </c>
      <c r="L1583" s="250" t="str">
        <f>IFERROR(__xludf.DUMMYFUNCTION("""COMPUTED_VALUE"""),"")</f>
        <v/>
      </c>
      <c r="M1583" s="250" t="str">
        <f>IFERROR(__xludf.DUMMYFUNCTION("""COMPUTED_VALUE"""),"")</f>
        <v/>
      </c>
      <c r="N1583" s="250" t="str">
        <f>IFERROR(__xludf.DUMMYFUNCTION("""COMPUTED_VALUE"""),"")</f>
        <v/>
      </c>
      <c r="O1583" s="250" t="str">
        <f>IFERROR(__xludf.DUMMYFUNCTION("""COMPUTED_VALUE"""),"")</f>
        <v/>
      </c>
      <c r="P1583" s="250" t="str">
        <f>IFERROR(__xludf.DUMMYFUNCTION("""COMPUTED_VALUE"""),"")</f>
        <v/>
      </c>
      <c r="Q1583" s="250" t="str">
        <f>IFERROR(__xludf.DUMMYFUNCTION("""COMPUTED_VALUE"""),"")</f>
        <v/>
      </c>
      <c r="R1583" s="250" t="str">
        <f>IFERROR(__xludf.DUMMYFUNCTION("""COMPUTED_VALUE"""),"")</f>
        <v/>
      </c>
      <c r="U1583" s="250" t="str">
        <f>IFERROR(__xludf.DUMMYFUNCTION("""COMPUTED_VALUE"""),"#N/A")</f>
        <v>#N/A</v>
      </c>
      <c r="V1583" s="250" t="str">
        <f>IFERROR(__xludf.DUMMYFUNCTION("""COMPUTED_VALUE"""),"#N/A")</f>
        <v>#N/A</v>
      </c>
      <c r="W1583" s="250" t="str">
        <f>IFERROR(__xludf.DUMMYFUNCTION("""COMPUTED_VALUE"""),"#N/A")</f>
        <v>#N/A</v>
      </c>
      <c r="X1583" t="b">
        <f t="shared" ref="X1583:Z1583" si="3142">ISBLANK(K1583)</f>
        <v>1</v>
      </c>
      <c r="Y1583" t="b">
        <f t="shared" si="3142"/>
        <v>0</v>
      </c>
      <c r="Z1583" t="b">
        <f t="shared" si="3142"/>
        <v>0</v>
      </c>
      <c r="AA1583">
        <f t="shared" ref="AA1583:AC1583" si="3143">IF(X1583=FALSE,1,0)</f>
        <v>0</v>
      </c>
      <c r="AB1583">
        <f t="shared" si="3143"/>
        <v>1</v>
      </c>
      <c r="AC1583">
        <f t="shared" si="3143"/>
        <v>1</v>
      </c>
      <c r="AD1583">
        <f t="shared" si="6"/>
        <v>2</v>
      </c>
      <c r="AE1583">
        <f t="shared" si="7"/>
        <v>1</v>
      </c>
    </row>
    <row r="1584">
      <c r="B1584" t="str">
        <f>IFERROR(__xludf.DUMMYFUNCTION("""COMPUTED_VALUE"""),"")</f>
        <v/>
      </c>
      <c r="C1584" t="str">
        <f>IFERROR(__xludf.DUMMYFUNCTION("""COMPUTED_VALUE"""),"")</f>
        <v/>
      </c>
      <c r="D1584" t="str">
        <f>IFERROR(__xludf.DUMMYFUNCTION("""COMPUTED_VALUE"""),"")</f>
        <v/>
      </c>
      <c r="E1584" t="str">
        <f>IFERROR(__xludf.DUMMYFUNCTION("""COMPUTED_VALUE"""),"")</f>
        <v/>
      </c>
      <c r="F1584" t="str">
        <f>IFERROR(__xludf.DUMMYFUNCTION("""COMPUTED_VALUE"""),"")</f>
        <v/>
      </c>
      <c r="G1584" t="str">
        <f>IFERROR(__xludf.DUMMYFUNCTION("""COMPUTED_VALUE"""),"")</f>
        <v/>
      </c>
      <c r="H1584" t="str">
        <f>IFERROR(__xludf.DUMMYFUNCTION("""COMPUTED_VALUE"""),"")</f>
        <v/>
      </c>
      <c r="I1584" t="str">
        <f>IFERROR(__xludf.DUMMYFUNCTION("""COMPUTED_VALUE"""),"")</f>
        <v/>
      </c>
      <c r="J1584">
        <f>IFERROR(__xludf.DUMMYFUNCTION("""COMPUTED_VALUE"""),0.0)</f>
        <v>0</v>
      </c>
      <c r="L1584" s="250" t="str">
        <f>IFERROR(__xludf.DUMMYFUNCTION("""COMPUTED_VALUE"""),"")</f>
        <v/>
      </c>
      <c r="M1584" s="250" t="str">
        <f>IFERROR(__xludf.DUMMYFUNCTION("""COMPUTED_VALUE"""),"")</f>
        <v/>
      </c>
      <c r="N1584" s="250" t="str">
        <f>IFERROR(__xludf.DUMMYFUNCTION("""COMPUTED_VALUE"""),"")</f>
        <v/>
      </c>
      <c r="O1584" s="250" t="str">
        <f>IFERROR(__xludf.DUMMYFUNCTION("""COMPUTED_VALUE"""),"")</f>
        <v/>
      </c>
      <c r="P1584" s="250" t="str">
        <f>IFERROR(__xludf.DUMMYFUNCTION("""COMPUTED_VALUE"""),"")</f>
        <v/>
      </c>
      <c r="Q1584" s="250" t="str">
        <f>IFERROR(__xludf.DUMMYFUNCTION("""COMPUTED_VALUE"""),"")</f>
        <v/>
      </c>
      <c r="R1584" s="250" t="str">
        <f>IFERROR(__xludf.DUMMYFUNCTION("""COMPUTED_VALUE"""),"")</f>
        <v/>
      </c>
      <c r="U1584" s="250" t="str">
        <f>IFERROR(__xludf.DUMMYFUNCTION("""COMPUTED_VALUE"""),"#N/A")</f>
        <v>#N/A</v>
      </c>
      <c r="V1584" s="250" t="str">
        <f>IFERROR(__xludf.DUMMYFUNCTION("""COMPUTED_VALUE"""),"#N/A")</f>
        <v>#N/A</v>
      </c>
      <c r="W1584" s="250" t="str">
        <f>IFERROR(__xludf.DUMMYFUNCTION("""COMPUTED_VALUE"""),"#N/A")</f>
        <v>#N/A</v>
      </c>
      <c r="X1584" t="b">
        <f t="shared" ref="X1584:Z1584" si="3144">ISBLANK(K1584)</f>
        <v>1</v>
      </c>
      <c r="Y1584" t="b">
        <f t="shared" si="3144"/>
        <v>0</v>
      </c>
      <c r="Z1584" t="b">
        <f t="shared" si="3144"/>
        <v>0</v>
      </c>
      <c r="AA1584">
        <f t="shared" ref="AA1584:AC1584" si="3145">IF(X1584=FALSE,1,0)</f>
        <v>0</v>
      </c>
      <c r="AB1584">
        <f t="shared" si="3145"/>
        <v>1</v>
      </c>
      <c r="AC1584">
        <f t="shared" si="3145"/>
        <v>1</v>
      </c>
      <c r="AD1584">
        <f t="shared" si="6"/>
        <v>2</v>
      </c>
      <c r="AE1584">
        <f t="shared" si="7"/>
        <v>1</v>
      </c>
    </row>
    <row r="1585">
      <c r="B1585" t="str">
        <f>IFERROR(__xludf.DUMMYFUNCTION("""COMPUTED_VALUE"""),"")</f>
        <v/>
      </c>
      <c r="C1585" t="str">
        <f>IFERROR(__xludf.DUMMYFUNCTION("""COMPUTED_VALUE"""),"")</f>
        <v/>
      </c>
      <c r="D1585" t="str">
        <f>IFERROR(__xludf.DUMMYFUNCTION("""COMPUTED_VALUE"""),"")</f>
        <v/>
      </c>
      <c r="E1585" t="str">
        <f>IFERROR(__xludf.DUMMYFUNCTION("""COMPUTED_VALUE"""),"")</f>
        <v/>
      </c>
      <c r="F1585" t="str">
        <f>IFERROR(__xludf.DUMMYFUNCTION("""COMPUTED_VALUE"""),"")</f>
        <v/>
      </c>
      <c r="G1585" t="str">
        <f>IFERROR(__xludf.DUMMYFUNCTION("""COMPUTED_VALUE"""),"")</f>
        <v/>
      </c>
      <c r="H1585" t="str">
        <f>IFERROR(__xludf.DUMMYFUNCTION("""COMPUTED_VALUE"""),"")</f>
        <v/>
      </c>
      <c r="I1585" t="str">
        <f>IFERROR(__xludf.DUMMYFUNCTION("""COMPUTED_VALUE"""),"")</f>
        <v/>
      </c>
      <c r="J1585">
        <f>IFERROR(__xludf.DUMMYFUNCTION("""COMPUTED_VALUE"""),0.0)</f>
        <v>0</v>
      </c>
      <c r="L1585" s="250" t="str">
        <f>IFERROR(__xludf.DUMMYFUNCTION("""COMPUTED_VALUE"""),"")</f>
        <v/>
      </c>
      <c r="M1585" s="250" t="str">
        <f>IFERROR(__xludf.DUMMYFUNCTION("""COMPUTED_VALUE"""),"")</f>
        <v/>
      </c>
      <c r="N1585" s="250" t="str">
        <f>IFERROR(__xludf.DUMMYFUNCTION("""COMPUTED_VALUE"""),"")</f>
        <v/>
      </c>
      <c r="O1585" s="250" t="str">
        <f>IFERROR(__xludf.DUMMYFUNCTION("""COMPUTED_VALUE"""),"")</f>
        <v/>
      </c>
      <c r="P1585" s="250" t="str">
        <f>IFERROR(__xludf.DUMMYFUNCTION("""COMPUTED_VALUE"""),"")</f>
        <v/>
      </c>
      <c r="Q1585" s="250" t="str">
        <f>IFERROR(__xludf.DUMMYFUNCTION("""COMPUTED_VALUE"""),"")</f>
        <v/>
      </c>
      <c r="R1585" s="250" t="str">
        <f>IFERROR(__xludf.DUMMYFUNCTION("""COMPUTED_VALUE"""),"")</f>
        <v/>
      </c>
      <c r="U1585" s="250" t="str">
        <f>IFERROR(__xludf.DUMMYFUNCTION("""COMPUTED_VALUE"""),"#N/A")</f>
        <v>#N/A</v>
      </c>
      <c r="V1585" s="250" t="str">
        <f>IFERROR(__xludf.DUMMYFUNCTION("""COMPUTED_VALUE"""),"#N/A")</f>
        <v>#N/A</v>
      </c>
      <c r="W1585" s="250" t="str">
        <f>IFERROR(__xludf.DUMMYFUNCTION("""COMPUTED_VALUE"""),"#N/A")</f>
        <v>#N/A</v>
      </c>
      <c r="X1585" t="b">
        <f t="shared" ref="X1585:Z1585" si="3146">ISBLANK(K1585)</f>
        <v>1</v>
      </c>
      <c r="Y1585" t="b">
        <f t="shared" si="3146"/>
        <v>0</v>
      </c>
      <c r="Z1585" t="b">
        <f t="shared" si="3146"/>
        <v>0</v>
      </c>
      <c r="AA1585">
        <f t="shared" ref="AA1585:AC1585" si="3147">IF(X1585=FALSE,1,0)</f>
        <v>0</v>
      </c>
      <c r="AB1585">
        <f t="shared" si="3147"/>
        <v>1</v>
      </c>
      <c r="AC1585">
        <f t="shared" si="3147"/>
        <v>1</v>
      </c>
      <c r="AD1585">
        <f t="shared" si="6"/>
        <v>2</v>
      </c>
      <c r="AE1585">
        <f t="shared" si="7"/>
        <v>1</v>
      </c>
    </row>
    <row r="1586">
      <c r="B1586" t="str">
        <f>IFERROR(__xludf.DUMMYFUNCTION("""COMPUTED_VALUE"""),"")</f>
        <v/>
      </c>
      <c r="C1586" t="str">
        <f>IFERROR(__xludf.DUMMYFUNCTION("""COMPUTED_VALUE"""),"")</f>
        <v/>
      </c>
      <c r="D1586" t="str">
        <f>IFERROR(__xludf.DUMMYFUNCTION("""COMPUTED_VALUE"""),"")</f>
        <v/>
      </c>
      <c r="E1586" t="str">
        <f>IFERROR(__xludf.DUMMYFUNCTION("""COMPUTED_VALUE"""),"")</f>
        <v/>
      </c>
      <c r="F1586" t="str">
        <f>IFERROR(__xludf.DUMMYFUNCTION("""COMPUTED_VALUE"""),"")</f>
        <v/>
      </c>
      <c r="G1586" t="str">
        <f>IFERROR(__xludf.DUMMYFUNCTION("""COMPUTED_VALUE"""),"")</f>
        <v/>
      </c>
      <c r="H1586" t="str">
        <f>IFERROR(__xludf.DUMMYFUNCTION("""COMPUTED_VALUE"""),"")</f>
        <v/>
      </c>
      <c r="I1586" t="str">
        <f>IFERROR(__xludf.DUMMYFUNCTION("""COMPUTED_VALUE"""),"")</f>
        <v/>
      </c>
      <c r="J1586">
        <f>IFERROR(__xludf.DUMMYFUNCTION("""COMPUTED_VALUE"""),0.0)</f>
        <v>0</v>
      </c>
      <c r="L1586" s="250" t="str">
        <f>IFERROR(__xludf.DUMMYFUNCTION("""COMPUTED_VALUE"""),"")</f>
        <v/>
      </c>
      <c r="M1586" s="250" t="str">
        <f>IFERROR(__xludf.DUMMYFUNCTION("""COMPUTED_VALUE"""),"")</f>
        <v/>
      </c>
      <c r="N1586" s="250" t="str">
        <f>IFERROR(__xludf.DUMMYFUNCTION("""COMPUTED_VALUE"""),"")</f>
        <v/>
      </c>
      <c r="O1586" s="250" t="str">
        <f>IFERROR(__xludf.DUMMYFUNCTION("""COMPUTED_VALUE"""),"")</f>
        <v/>
      </c>
      <c r="P1586" s="250" t="str">
        <f>IFERROR(__xludf.DUMMYFUNCTION("""COMPUTED_VALUE"""),"")</f>
        <v/>
      </c>
      <c r="Q1586" s="250" t="str">
        <f>IFERROR(__xludf.DUMMYFUNCTION("""COMPUTED_VALUE"""),"")</f>
        <v/>
      </c>
      <c r="R1586" s="250" t="str">
        <f>IFERROR(__xludf.DUMMYFUNCTION("""COMPUTED_VALUE"""),"")</f>
        <v/>
      </c>
      <c r="U1586" s="250" t="str">
        <f>IFERROR(__xludf.DUMMYFUNCTION("""COMPUTED_VALUE"""),"#N/A")</f>
        <v>#N/A</v>
      </c>
      <c r="V1586" s="250" t="str">
        <f>IFERROR(__xludf.DUMMYFUNCTION("""COMPUTED_VALUE"""),"#N/A")</f>
        <v>#N/A</v>
      </c>
      <c r="W1586" s="250" t="str">
        <f>IFERROR(__xludf.DUMMYFUNCTION("""COMPUTED_VALUE"""),"#N/A")</f>
        <v>#N/A</v>
      </c>
      <c r="X1586" t="b">
        <f t="shared" ref="X1586:Z1586" si="3148">ISBLANK(K1586)</f>
        <v>1</v>
      </c>
      <c r="Y1586" t="b">
        <f t="shared" si="3148"/>
        <v>0</v>
      </c>
      <c r="Z1586" t="b">
        <f t="shared" si="3148"/>
        <v>0</v>
      </c>
      <c r="AA1586">
        <f t="shared" ref="AA1586:AC1586" si="3149">IF(X1586=FALSE,1,0)</f>
        <v>0</v>
      </c>
      <c r="AB1586">
        <f t="shared" si="3149"/>
        <v>1</v>
      </c>
      <c r="AC1586">
        <f t="shared" si="3149"/>
        <v>1</v>
      </c>
      <c r="AD1586">
        <f t="shared" si="6"/>
        <v>2</v>
      </c>
      <c r="AE1586">
        <f t="shared" si="7"/>
        <v>1</v>
      </c>
    </row>
    <row r="1587">
      <c r="B1587" t="str">
        <f>IFERROR(__xludf.DUMMYFUNCTION("""COMPUTED_VALUE"""),"")</f>
        <v/>
      </c>
      <c r="C1587" t="str">
        <f>IFERROR(__xludf.DUMMYFUNCTION("""COMPUTED_VALUE"""),"")</f>
        <v/>
      </c>
      <c r="D1587" t="str">
        <f>IFERROR(__xludf.DUMMYFUNCTION("""COMPUTED_VALUE"""),"")</f>
        <v/>
      </c>
      <c r="E1587" t="str">
        <f>IFERROR(__xludf.DUMMYFUNCTION("""COMPUTED_VALUE"""),"")</f>
        <v/>
      </c>
      <c r="F1587" t="str">
        <f>IFERROR(__xludf.DUMMYFUNCTION("""COMPUTED_VALUE"""),"")</f>
        <v/>
      </c>
      <c r="G1587" t="str">
        <f>IFERROR(__xludf.DUMMYFUNCTION("""COMPUTED_VALUE"""),"")</f>
        <v/>
      </c>
      <c r="H1587" t="str">
        <f>IFERROR(__xludf.DUMMYFUNCTION("""COMPUTED_VALUE"""),"")</f>
        <v/>
      </c>
      <c r="I1587" t="str">
        <f>IFERROR(__xludf.DUMMYFUNCTION("""COMPUTED_VALUE"""),"")</f>
        <v/>
      </c>
      <c r="J1587">
        <f>IFERROR(__xludf.DUMMYFUNCTION("""COMPUTED_VALUE"""),0.0)</f>
        <v>0</v>
      </c>
      <c r="L1587" s="250" t="str">
        <f>IFERROR(__xludf.DUMMYFUNCTION("""COMPUTED_VALUE"""),"")</f>
        <v/>
      </c>
      <c r="M1587" s="250" t="str">
        <f>IFERROR(__xludf.DUMMYFUNCTION("""COMPUTED_VALUE"""),"")</f>
        <v/>
      </c>
      <c r="N1587" s="250" t="str">
        <f>IFERROR(__xludf.DUMMYFUNCTION("""COMPUTED_VALUE"""),"")</f>
        <v/>
      </c>
      <c r="O1587" s="250" t="str">
        <f>IFERROR(__xludf.DUMMYFUNCTION("""COMPUTED_VALUE"""),"")</f>
        <v/>
      </c>
      <c r="P1587" s="250" t="str">
        <f>IFERROR(__xludf.DUMMYFUNCTION("""COMPUTED_VALUE"""),"")</f>
        <v/>
      </c>
      <c r="Q1587" s="250" t="str">
        <f>IFERROR(__xludf.DUMMYFUNCTION("""COMPUTED_VALUE"""),"")</f>
        <v/>
      </c>
      <c r="R1587" s="250" t="str">
        <f>IFERROR(__xludf.DUMMYFUNCTION("""COMPUTED_VALUE"""),"")</f>
        <v/>
      </c>
      <c r="U1587" s="250" t="str">
        <f>IFERROR(__xludf.DUMMYFUNCTION("""COMPUTED_VALUE"""),"#N/A")</f>
        <v>#N/A</v>
      </c>
      <c r="V1587" s="250" t="str">
        <f>IFERROR(__xludf.DUMMYFUNCTION("""COMPUTED_VALUE"""),"#N/A")</f>
        <v>#N/A</v>
      </c>
      <c r="W1587" s="250" t="str">
        <f>IFERROR(__xludf.DUMMYFUNCTION("""COMPUTED_VALUE"""),"#N/A")</f>
        <v>#N/A</v>
      </c>
      <c r="X1587" t="b">
        <f t="shared" ref="X1587:Z1587" si="3150">ISBLANK(K1587)</f>
        <v>1</v>
      </c>
      <c r="Y1587" t="b">
        <f t="shared" si="3150"/>
        <v>0</v>
      </c>
      <c r="Z1587" t="b">
        <f t="shared" si="3150"/>
        <v>0</v>
      </c>
      <c r="AA1587">
        <f t="shared" ref="AA1587:AC1587" si="3151">IF(X1587=FALSE,1,0)</f>
        <v>0</v>
      </c>
      <c r="AB1587">
        <f t="shared" si="3151"/>
        <v>1</v>
      </c>
      <c r="AC1587">
        <f t="shared" si="3151"/>
        <v>1</v>
      </c>
      <c r="AD1587">
        <f t="shared" si="6"/>
        <v>2</v>
      </c>
      <c r="AE1587">
        <f t="shared" si="7"/>
        <v>1</v>
      </c>
    </row>
    <row r="1588">
      <c r="B1588" t="str">
        <f>IFERROR(__xludf.DUMMYFUNCTION("""COMPUTED_VALUE"""),"")</f>
        <v/>
      </c>
      <c r="C1588" t="str">
        <f>IFERROR(__xludf.DUMMYFUNCTION("""COMPUTED_VALUE"""),"")</f>
        <v/>
      </c>
      <c r="D1588" t="str">
        <f>IFERROR(__xludf.DUMMYFUNCTION("""COMPUTED_VALUE"""),"")</f>
        <v/>
      </c>
      <c r="E1588" t="str">
        <f>IFERROR(__xludf.DUMMYFUNCTION("""COMPUTED_VALUE"""),"")</f>
        <v/>
      </c>
      <c r="F1588" t="str">
        <f>IFERROR(__xludf.DUMMYFUNCTION("""COMPUTED_VALUE"""),"")</f>
        <v/>
      </c>
      <c r="G1588" t="str">
        <f>IFERROR(__xludf.DUMMYFUNCTION("""COMPUTED_VALUE"""),"")</f>
        <v/>
      </c>
      <c r="H1588" t="str">
        <f>IFERROR(__xludf.DUMMYFUNCTION("""COMPUTED_VALUE"""),"")</f>
        <v/>
      </c>
      <c r="I1588" t="str">
        <f>IFERROR(__xludf.DUMMYFUNCTION("""COMPUTED_VALUE"""),"")</f>
        <v/>
      </c>
      <c r="J1588">
        <f>IFERROR(__xludf.DUMMYFUNCTION("""COMPUTED_VALUE"""),0.0)</f>
        <v>0</v>
      </c>
      <c r="L1588" s="250" t="str">
        <f>IFERROR(__xludf.DUMMYFUNCTION("""COMPUTED_VALUE"""),"")</f>
        <v/>
      </c>
      <c r="M1588" s="250" t="str">
        <f>IFERROR(__xludf.DUMMYFUNCTION("""COMPUTED_VALUE"""),"")</f>
        <v/>
      </c>
      <c r="N1588" s="250" t="str">
        <f>IFERROR(__xludf.DUMMYFUNCTION("""COMPUTED_VALUE"""),"")</f>
        <v/>
      </c>
      <c r="O1588" s="250" t="str">
        <f>IFERROR(__xludf.DUMMYFUNCTION("""COMPUTED_VALUE"""),"")</f>
        <v/>
      </c>
      <c r="P1588" s="250" t="str">
        <f>IFERROR(__xludf.DUMMYFUNCTION("""COMPUTED_VALUE"""),"")</f>
        <v/>
      </c>
      <c r="Q1588" s="250" t="str">
        <f>IFERROR(__xludf.DUMMYFUNCTION("""COMPUTED_VALUE"""),"")</f>
        <v/>
      </c>
      <c r="R1588" s="250" t="str">
        <f>IFERROR(__xludf.DUMMYFUNCTION("""COMPUTED_VALUE"""),"")</f>
        <v/>
      </c>
      <c r="U1588" s="250" t="str">
        <f>IFERROR(__xludf.DUMMYFUNCTION("""COMPUTED_VALUE"""),"#N/A")</f>
        <v>#N/A</v>
      </c>
      <c r="V1588" s="250" t="str">
        <f>IFERROR(__xludf.DUMMYFUNCTION("""COMPUTED_VALUE"""),"#N/A")</f>
        <v>#N/A</v>
      </c>
      <c r="W1588" s="250" t="str">
        <f>IFERROR(__xludf.DUMMYFUNCTION("""COMPUTED_VALUE"""),"#N/A")</f>
        <v>#N/A</v>
      </c>
      <c r="X1588" t="b">
        <f t="shared" ref="X1588:Z1588" si="3152">ISBLANK(K1588)</f>
        <v>1</v>
      </c>
      <c r="Y1588" t="b">
        <f t="shared" si="3152"/>
        <v>0</v>
      </c>
      <c r="Z1588" t="b">
        <f t="shared" si="3152"/>
        <v>0</v>
      </c>
      <c r="AA1588">
        <f t="shared" ref="AA1588:AC1588" si="3153">IF(X1588=FALSE,1,0)</f>
        <v>0</v>
      </c>
      <c r="AB1588">
        <f t="shared" si="3153"/>
        <v>1</v>
      </c>
      <c r="AC1588">
        <f t="shared" si="3153"/>
        <v>1</v>
      </c>
      <c r="AD1588">
        <f t="shared" si="6"/>
        <v>2</v>
      </c>
      <c r="AE1588">
        <f t="shared" si="7"/>
        <v>1</v>
      </c>
    </row>
    <row r="1589">
      <c r="B1589" t="str">
        <f>IFERROR(__xludf.DUMMYFUNCTION("""COMPUTED_VALUE"""),"")</f>
        <v/>
      </c>
      <c r="C1589" t="str">
        <f>IFERROR(__xludf.DUMMYFUNCTION("""COMPUTED_VALUE"""),"")</f>
        <v/>
      </c>
      <c r="D1589" t="str">
        <f>IFERROR(__xludf.DUMMYFUNCTION("""COMPUTED_VALUE"""),"")</f>
        <v/>
      </c>
      <c r="E1589" t="str">
        <f>IFERROR(__xludf.DUMMYFUNCTION("""COMPUTED_VALUE"""),"")</f>
        <v/>
      </c>
      <c r="F1589" t="str">
        <f>IFERROR(__xludf.DUMMYFUNCTION("""COMPUTED_VALUE"""),"")</f>
        <v/>
      </c>
      <c r="G1589" t="str">
        <f>IFERROR(__xludf.DUMMYFUNCTION("""COMPUTED_VALUE"""),"")</f>
        <v/>
      </c>
      <c r="H1589" t="str">
        <f>IFERROR(__xludf.DUMMYFUNCTION("""COMPUTED_VALUE"""),"")</f>
        <v/>
      </c>
      <c r="I1589" t="str">
        <f>IFERROR(__xludf.DUMMYFUNCTION("""COMPUTED_VALUE"""),"")</f>
        <v/>
      </c>
      <c r="J1589">
        <f>IFERROR(__xludf.DUMMYFUNCTION("""COMPUTED_VALUE"""),0.0)</f>
        <v>0</v>
      </c>
      <c r="L1589" s="250" t="str">
        <f>IFERROR(__xludf.DUMMYFUNCTION("""COMPUTED_VALUE"""),"")</f>
        <v/>
      </c>
      <c r="M1589" s="250" t="str">
        <f>IFERROR(__xludf.DUMMYFUNCTION("""COMPUTED_VALUE"""),"")</f>
        <v/>
      </c>
      <c r="N1589" s="250" t="str">
        <f>IFERROR(__xludf.DUMMYFUNCTION("""COMPUTED_VALUE"""),"")</f>
        <v/>
      </c>
      <c r="O1589" s="250" t="str">
        <f>IFERROR(__xludf.DUMMYFUNCTION("""COMPUTED_VALUE"""),"")</f>
        <v/>
      </c>
      <c r="P1589" s="250" t="str">
        <f>IFERROR(__xludf.DUMMYFUNCTION("""COMPUTED_VALUE"""),"")</f>
        <v/>
      </c>
      <c r="Q1589" s="250" t="str">
        <f>IFERROR(__xludf.DUMMYFUNCTION("""COMPUTED_VALUE"""),"")</f>
        <v/>
      </c>
      <c r="R1589" s="250" t="str">
        <f>IFERROR(__xludf.DUMMYFUNCTION("""COMPUTED_VALUE"""),"")</f>
        <v/>
      </c>
      <c r="U1589" s="250" t="str">
        <f>IFERROR(__xludf.DUMMYFUNCTION("""COMPUTED_VALUE"""),"#N/A")</f>
        <v>#N/A</v>
      </c>
      <c r="V1589" s="250" t="str">
        <f>IFERROR(__xludf.DUMMYFUNCTION("""COMPUTED_VALUE"""),"#N/A")</f>
        <v>#N/A</v>
      </c>
      <c r="W1589" s="250" t="str">
        <f>IFERROR(__xludf.DUMMYFUNCTION("""COMPUTED_VALUE"""),"#N/A")</f>
        <v>#N/A</v>
      </c>
      <c r="X1589" t="b">
        <f t="shared" ref="X1589:Z1589" si="3154">ISBLANK(K1589)</f>
        <v>1</v>
      </c>
      <c r="Y1589" t="b">
        <f t="shared" si="3154"/>
        <v>0</v>
      </c>
      <c r="Z1589" t="b">
        <f t="shared" si="3154"/>
        <v>0</v>
      </c>
      <c r="AA1589">
        <f t="shared" ref="AA1589:AC1589" si="3155">IF(X1589=FALSE,1,0)</f>
        <v>0</v>
      </c>
      <c r="AB1589">
        <f t="shared" si="3155"/>
        <v>1</v>
      </c>
      <c r="AC1589">
        <f t="shared" si="3155"/>
        <v>1</v>
      </c>
      <c r="AD1589">
        <f t="shared" si="6"/>
        <v>2</v>
      </c>
      <c r="AE1589">
        <f t="shared" si="7"/>
        <v>1</v>
      </c>
    </row>
    <row r="1590">
      <c r="B1590" t="str">
        <f>IFERROR(__xludf.DUMMYFUNCTION("""COMPUTED_VALUE"""),"")</f>
        <v/>
      </c>
      <c r="C1590" t="str">
        <f>IFERROR(__xludf.DUMMYFUNCTION("""COMPUTED_VALUE"""),"")</f>
        <v/>
      </c>
      <c r="D1590" t="str">
        <f>IFERROR(__xludf.DUMMYFUNCTION("""COMPUTED_VALUE"""),"")</f>
        <v/>
      </c>
      <c r="E1590" t="str">
        <f>IFERROR(__xludf.DUMMYFUNCTION("""COMPUTED_VALUE"""),"")</f>
        <v/>
      </c>
      <c r="F1590" t="str">
        <f>IFERROR(__xludf.DUMMYFUNCTION("""COMPUTED_VALUE"""),"")</f>
        <v/>
      </c>
      <c r="G1590" t="str">
        <f>IFERROR(__xludf.DUMMYFUNCTION("""COMPUTED_VALUE"""),"")</f>
        <v/>
      </c>
      <c r="H1590" t="str">
        <f>IFERROR(__xludf.DUMMYFUNCTION("""COMPUTED_VALUE"""),"")</f>
        <v/>
      </c>
      <c r="I1590" t="str">
        <f>IFERROR(__xludf.DUMMYFUNCTION("""COMPUTED_VALUE"""),"")</f>
        <v/>
      </c>
      <c r="J1590">
        <f>IFERROR(__xludf.DUMMYFUNCTION("""COMPUTED_VALUE"""),0.0)</f>
        <v>0</v>
      </c>
      <c r="L1590" s="250" t="str">
        <f>IFERROR(__xludf.DUMMYFUNCTION("""COMPUTED_VALUE"""),"")</f>
        <v/>
      </c>
      <c r="M1590" s="250" t="str">
        <f>IFERROR(__xludf.DUMMYFUNCTION("""COMPUTED_VALUE"""),"")</f>
        <v/>
      </c>
      <c r="N1590" s="250" t="str">
        <f>IFERROR(__xludf.DUMMYFUNCTION("""COMPUTED_VALUE"""),"")</f>
        <v/>
      </c>
      <c r="O1590" s="250" t="str">
        <f>IFERROR(__xludf.DUMMYFUNCTION("""COMPUTED_VALUE"""),"")</f>
        <v/>
      </c>
      <c r="P1590" s="250" t="str">
        <f>IFERROR(__xludf.DUMMYFUNCTION("""COMPUTED_VALUE"""),"")</f>
        <v/>
      </c>
      <c r="Q1590" s="250" t="str">
        <f>IFERROR(__xludf.DUMMYFUNCTION("""COMPUTED_VALUE"""),"")</f>
        <v/>
      </c>
      <c r="R1590" s="250" t="str">
        <f>IFERROR(__xludf.DUMMYFUNCTION("""COMPUTED_VALUE"""),"")</f>
        <v/>
      </c>
      <c r="U1590" s="250" t="str">
        <f>IFERROR(__xludf.DUMMYFUNCTION("""COMPUTED_VALUE"""),"#N/A")</f>
        <v>#N/A</v>
      </c>
      <c r="V1590" s="250" t="str">
        <f>IFERROR(__xludf.DUMMYFUNCTION("""COMPUTED_VALUE"""),"#N/A")</f>
        <v>#N/A</v>
      </c>
      <c r="W1590" s="250" t="str">
        <f>IFERROR(__xludf.DUMMYFUNCTION("""COMPUTED_VALUE"""),"#N/A")</f>
        <v>#N/A</v>
      </c>
      <c r="X1590" t="b">
        <f t="shared" ref="X1590:Z1590" si="3156">ISBLANK(K1590)</f>
        <v>1</v>
      </c>
      <c r="Y1590" t="b">
        <f t="shared" si="3156"/>
        <v>0</v>
      </c>
      <c r="Z1590" t="b">
        <f t="shared" si="3156"/>
        <v>0</v>
      </c>
      <c r="AA1590">
        <f t="shared" ref="AA1590:AC1590" si="3157">IF(X1590=FALSE,1,0)</f>
        <v>0</v>
      </c>
      <c r="AB1590">
        <f t="shared" si="3157"/>
        <v>1</v>
      </c>
      <c r="AC1590">
        <f t="shared" si="3157"/>
        <v>1</v>
      </c>
      <c r="AD1590">
        <f t="shared" si="6"/>
        <v>2</v>
      </c>
      <c r="AE1590">
        <f t="shared" si="7"/>
        <v>1</v>
      </c>
    </row>
    <row r="1591">
      <c r="B1591" t="str">
        <f>IFERROR(__xludf.DUMMYFUNCTION("""COMPUTED_VALUE"""),"")</f>
        <v/>
      </c>
      <c r="C1591" t="str">
        <f>IFERROR(__xludf.DUMMYFUNCTION("""COMPUTED_VALUE"""),"")</f>
        <v/>
      </c>
      <c r="D1591" t="str">
        <f>IFERROR(__xludf.DUMMYFUNCTION("""COMPUTED_VALUE"""),"")</f>
        <v/>
      </c>
      <c r="E1591" t="str">
        <f>IFERROR(__xludf.DUMMYFUNCTION("""COMPUTED_VALUE"""),"")</f>
        <v/>
      </c>
      <c r="F1591" t="str">
        <f>IFERROR(__xludf.DUMMYFUNCTION("""COMPUTED_VALUE"""),"")</f>
        <v/>
      </c>
      <c r="G1591" t="str">
        <f>IFERROR(__xludf.DUMMYFUNCTION("""COMPUTED_VALUE"""),"")</f>
        <v/>
      </c>
      <c r="H1591" t="str">
        <f>IFERROR(__xludf.DUMMYFUNCTION("""COMPUTED_VALUE"""),"")</f>
        <v/>
      </c>
      <c r="I1591" t="str">
        <f>IFERROR(__xludf.DUMMYFUNCTION("""COMPUTED_VALUE"""),"")</f>
        <v/>
      </c>
      <c r="J1591">
        <f>IFERROR(__xludf.DUMMYFUNCTION("""COMPUTED_VALUE"""),0.0)</f>
        <v>0</v>
      </c>
      <c r="L1591" s="250" t="str">
        <f>IFERROR(__xludf.DUMMYFUNCTION("""COMPUTED_VALUE"""),"")</f>
        <v/>
      </c>
      <c r="M1591" s="250" t="str">
        <f>IFERROR(__xludf.DUMMYFUNCTION("""COMPUTED_VALUE"""),"")</f>
        <v/>
      </c>
      <c r="N1591" s="250" t="str">
        <f>IFERROR(__xludf.DUMMYFUNCTION("""COMPUTED_VALUE"""),"")</f>
        <v/>
      </c>
      <c r="O1591" s="250" t="str">
        <f>IFERROR(__xludf.DUMMYFUNCTION("""COMPUTED_VALUE"""),"")</f>
        <v/>
      </c>
      <c r="P1591" s="250" t="str">
        <f>IFERROR(__xludf.DUMMYFUNCTION("""COMPUTED_VALUE"""),"")</f>
        <v/>
      </c>
      <c r="Q1591" s="250" t="str">
        <f>IFERROR(__xludf.DUMMYFUNCTION("""COMPUTED_VALUE"""),"")</f>
        <v/>
      </c>
      <c r="R1591" s="250" t="str">
        <f>IFERROR(__xludf.DUMMYFUNCTION("""COMPUTED_VALUE"""),"")</f>
        <v/>
      </c>
      <c r="U1591" s="250" t="str">
        <f>IFERROR(__xludf.DUMMYFUNCTION("""COMPUTED_VALUE"""),"#N/A")</f>
        <v>#N/A</v>
      </c>
      <c r="V1591" s="250" t="str">
        <f>IFERROR(__xludf.DUMMYFUNCTION("""COMPUTED_VALUE"""),"#N/A")</f>
        <v>#N/A</v>
      </c>
      <c r="W1591" s="250" t="str">
        <f>IFERROR(__xludf.DUMMYFUNCTION("""COMPUTED_VALUE"""),"#N/A")</f>
        <v>#N/A</v>
      </c>
      <c r="X1591" t="b">
        <f t="shared" ref="X1591:Z1591" si="3158">ISBLANK(K1591)</f>
        <v>1</v>
      </c>
      <c r="Y1591" t="b">
        <f t="shared" si="3158"/>
        <v>0</v>
      </c>
      <c r="Z1591" t="b">
        <f t="shared" si="3158"/>
        <v>0</v>
      </c>
      <c r="AA1591">
        <f t="shared" ref="AA1591:AC1591" si="3159">IF(X1591=FALSE,1,0)</f>
        <v>0</v>
      </c>
      <c r="AB1591">
        <f t="shared" si="3159"/>
        <v>1</v>
      </c>
      <c r="AC1591">
        <f t="shared" si="3159"/>
        <v>1</v>
      </c>
      <c r="AD1591">
        <f t="shared" si="6"/>
        <v>2</v>
      </c>
      <c r="AE1591">
        <f t="shared" si="7"/>
        <v>1</v>
      </c>
    </row>
    <row r="1592">
      <c r="B1592" t="str">
        <f>IFERROR(__xludf.DUMMYFUNCTION("""COMPUTED_VALUE"""),"")</f>
        <v/>
      </c>
      <c r="C1592" t="str">
        <f>IFERROR(__xludf.DUMMYFUNCTION("""COMPUTED_VALUE"""),"")</f>
        <v/>
      </c>
      <c r="D1592" t="str">
        <f>IFERROR(__xludf.DUMMYFUNCTION("""COMPUTED_VALUE"""),"")</f>
        <v/>
      </c>
      <c r="E1592" t="str">
        <f>IFERROR(__xludf.DUMMYFUNCTION("""COMPUTED_VALUE"""),"")</f>
        <v/>
      </c>
      <c r="F1592" t="str">
        <f>IFERROR(__xludf.DUMMYFUNCTION("""COMPUTED_VALUE"""),"")</f>
        <v/>
      </c>
      <c r="G1592" t="str">
        <f>IFERROR(__xludf.DUMMYFUNCTION("""COMPUTED_VALUE"""),"")</f>
        <v/>
      </c>
      <c r="H1592" t="str">
        <f>IFERROR(__xludf.DUMMYFUNCTION("""COMPUTED_VALUE"""),"")</f>
        <v/>
      </c>
      <c r="I1592" t="str">
        <f>IFERROR(__xludf.DUMMYFUNCTION("""COMPUTED_VALUE"""),"")</f>
        <v/>
      </c>
      <c r="J1592">
        <f>IFERROR(__xludf.DUMMYFUNCTION("""COMPUTED_VALUE"""),0.0)</f>
        <v>0</v>
      </c>
      <c r="L1592" s="250" t="str">
        <f>IFERROR(__xludf.DUMMYFUNCTION("""COMPUTED_VALUE"""),"")</f>
        <v/>
      </c>
      <c r="M1592" s="250" t="str">
        <f>IFERROR(__xludf.DUMMYFUNCTION("""COMPUTED_VALUE"""),"")</f>
        <v/>
      </c>
      <c r="N1592" s="250" t="str">
        <f>IFERROR(__xludf.DUMMYFUNCTION("""COMPUTED_VALUE"""),"")</f>
        <v/>
      </c>
      <c r="O1592" s="250" t="str">
        <f>IFERROR(__xludf.DUMMYFUNCTION("""COMPUTED_VALUE"""),"")</f>
        <v/>
      </c>
      <c r="P1592" s="250" t="str">
        <f>IFERROR(__xludf.DUMMYFUNCTION("""COMPUTED_VALUE"""),"")</f>
        <v/>
      </c>
      <c r="Q1592" s="250" t="str">
        <f>IFERROR(__xludf.DUMMYFUNCTION("""COMPUTED_VALUE"""),"")</f>
        <v/>
      </c>
      <c r="R1592" s="250" t="str">
        <f>IFERROR(__xludf.DUMMYFUNCTION("""COMPUTED_VALUE"""),"")</f>
        <v/>
      </c>
      <c r="U1592" s="250" t="str">
        <f>IFERROR(__xludf.DUMMYFUNCTION("""COMPUTED_VALUE"""),"#N/A")</f>
        <v>#N/A</v>
      </c>
      <c r="V1592" s="250" t="str">
        <f>IFERROR(__xludf.DUMMYFUNCTION("""COMPUTED_VALUE"""),"#N/A")</f>
        <v>#N/A</v>
      </c>
      <c r="W1592" s="250" t="str">
        <f>IFERROR(__xludf.DUMMYFUNCTION("""COMPUTED_VALUE"""),"#N/A")</f>
        <v>#N/A</v>
      </c>
      <c r="X1592" t="b">
        <f t="shared" ref="X1592:Z1592" si="3160">ISBLANK(K1592)</f>
        <v>1</v>
      </c>
      <c r="Y1592" t="b">
        <f t="shared" si="3160"/>
        <v>0</v>
      </c>
      <c r="Z1592" t="b">
        <f t="shared" si="3160"/>
        <v>0</v>
      </c>
      <c r="AA1592">
        <f t="shared" ref="AA1592:AC1592" si="3161">IF(X1592=FALSE,1,0)</f>
        <v>0</v>
      </c>
      <c r="AB1592">
        <f t="shared" si="3161"/>
        <v>1</v>
      </c>
      <c r="AC1592">
        <f t="shared" si="3161"/>
        <v>1</v>
      </c>
      <c r="AD1592">
        <f t="shared" si="6"/>
        <v>2</v>
      </c>
      <c r="AE1592">
        <f t="shared" si="7"/>
        <v>1</v>
      </c>
    </row>
    <row r="1593">
      <c r="B1593" t="str">
        <f>IFERROR(__xludf.DUMMYFUNCTION("""COMPUTED_VALUE"""),"")</f>
        <v/>
      </c>
      <c r="C1593" t="str">
        <f>IFERROR(__xludf.DUMMYFUNCTION("""COMPUTED_VALUE"""),"")</f>
        <v/>
      </c>
      <c r="D1593" t="str">
        <f>IFERROR(__xludf.DUMMYFUNCTION("""COMPUTED_VALUE"""),"")</f>
        <v/>
      </c>
      <c r="E1593" t="str">
        <f>IFERROR(__xludf.DUMMYFUNCTION("""COMPUTED_VALUE"""),"")</f>
        <v/>
      </c>
      <c r="F1593" t="str">
        <f>IFERROR(__xludf.DUMMYFUNCTION("""COMPUTED_VALUE"""),"")</f>
        <v/>
      </c>
      <c r="G1593" t="str">
        <f>IFERROR(__xludf.DUMMYFUNCTION("""COMPUTED_VALUE"""),"")</f>
        <v/>
      </c>
      <c r="H1593" t="str">
        <f>IFERROR(__xludf.DUMMYFUNCTION("""COMPUTED_VALUE"""),"")</f>
        <v/>
      </c>
      <c r="I1593" t="str">
        <f>IFERROR(__xludf.DUMMYFUNCTION("""COMPUTED_VALUE"""),"")</f>
        <v/>
      </c>
      <c r="J1593">
        <f>IFERROR(__xludf.DUMMYFUNCTION("""COMPUTED_VALUE"""),0.0)</f>
        <v>0</v>
      </c>
      <c r="L1593" s="250" t="str">
        <f>IFERROR(__xludf.DUMMYFUNCTION("""COMPUTED_VALUE"""),"")</f>
        <v/>
      </c>
      <c r="M1593" s="250" t="str">
        <f>IFERROR(__xludf.DUMMYFUNCTION("""COMPUTED_VALUE"""),"")</f>
        <v/>
      </c>
      <c r="N1593" s="250" t="str">
        <f>IFERROR(__xludf.DUMMYFUNCTION("""COMPUTED_VALUE"""),"")</f>
        <v/>
      </c>
      <c r="O1593" s="250" t="str">
        <f>IFERROR(__xludf.DUMMYFUNCTION("""COMPUTED_VALUE"""),"")</f>
        <v/>
      </c>
      <c r="P1593" s="250" t="str">
        <f>IFERROR(__xludf.DUMMYFUNCTION("""COMPUTED_VALUE"""),"")</f>
        <v/>
      </c>
      <c r="Q1593" s="250" t="str">
        <f>IFERROR(__xludf.DUMMYFUNCTION("""COMPUTED_VALUE"""),"")</f>
        <v/>
      </c>
      <c r="R1593" s="250" t="str">
        <f>IFERROR(__xludf.DUMMYFUNCTION("""COMPUTED_VALUE"""),"")</f>
        <v/>
      </c>
      <c r="U1593" s="250" t="str">
        <f>IFERROR(__xludf.DUMMYFUNCTION("""COMPUTED_VALUE"""),"#N/A")</f>
        <v>#N/A</v>
      </c>
      <c r="V1593" s="250" t="str">
        <f>IFERROR(__xludf.DUMMYFUNCTION("""COMPUTED_VALUE"""),"#N/A")</f>
        <v>#N/A</v>
      </c>
      <c r="W1593" s="250" t="str">
        <f>IFERROR(__xludf.DUMMYFUNCTION("""COMPUTED_VALUE"""),"#N/A")</f>
        <v>#N/A</v>
      </c>
      <c r="X1593" t="b">
        <f t="shared" ref="X1593:Z1593" si="3162">ISBLANK(K1593)</f>
        <v>1</v>
      </c>
      <c r="Y1593" t="b">
        <f t="shared" si="3162"/>
        <v>0</v>
      </c>
      <c r="Z1593" t="b">
        <f t="shared" si="3162"/>
        <v>0</v>
      </c>
      <c r="AA1593">
        <f t="shared" ref="AA1593:AC1593" si="3163">IF(X1593=FALSE,1,0)</f>
        <v>0</v>
      </c>
      <c r="AB1593">
        <f t="shared" si="3163"/>
        <v>1</v>
      </c>
      <c r="AC1593">
        <f t="shared" si="3163"/>
        <v>1</v>
      </c>
      <c r="AD1593">
        <f t="shared" si="6"/>
        <v>2</v>
      </c>
      <c r="AE1593">
        <f t="shared" si="7"/>
        <v>1</v>
      </c>
    </row>
    <row r="1594">
      <c r="B1594" t="str">
        <f>IFERROR(__xludf.DUMMYFUNCTION("""COMPUTED_VALUE"""),"")</f>
        <v/>
      </c>
      <c r="C1594" t="str">
        <f>IFERROR(__xludf.DUMMYFUNCTION("""COMPUTED_VALUE"""),"")</f>
        <v/>
      </c>
      <c r="D1594" t="str">
        <f>IFERROR(__xludf.DUMMYFUNCTION("""COMPUTED_VALUE"""),"")</f>
        <v/>
      </c>
      <c r="E1594" t="str">
        <f>IFERROR(__xludf.DUMMYFUNCTION("""COMPUTED_VALUE"""),"")</f>
        <v/>
      </c>
      <c r="F1594" t="str">
        <f>IFERROR(__xludf.DUMMYFUNCTION("""COMPUTED_VALUE"""),"")</f>
        <v/>
      </c>
      <c r="G1594" t="str">
        <f>IFERROR(__xludf.DUMMYFUNCTION("""COMPUTED_VALUE"""),"")</f>
        <v/>
      </c>
      <c r="H1594" t="str">
        <f>IFERROR(__xludf.DUMMYFUNCTION("""COMPUTED_VALUE"""),"")</f>
        <v/>
      </c>
      <c r="I1594" t="str">
        <f>IFERROR(__xludf.DUMMYFUNCTION("""COMPUTED_VALUE"""),"")</f>
        <v/>
      </c>
      <c r="J1594">
        <f>IFERROR(__xludf.DUMMYFUNCTION("""COMPUTED_VALUE"""),0.0)</f>
        <v>0</v>
      </c>
      <c r="L1594" s="250" t="str">
        <f>IFERROR(__xludf.DUMMYFUNCTION("""COMPUTED_VALUE"""),"")</f>
        <v/>
      </c>
      <c r="M1594" s="250" t="str">
        <f>IFERROR(__xludf.DUMMYFUNCTION("""COMPUTED_VALUE"""),"")</f>
        <v/>
      </c>
      <c r="N1594" s="250" t="str">
        <f>IFERROR(__xludf.DUMMYFUNCTION("""COMPUTED_VALUE"""),"")</f>
        <v/>
      </c>
      <c r="O1594" s="250" t="str">
        <f>IFERROR(__xludf.DUMMYFUNCTION("""COMPUTED_VALUE"""),"")</f>
        <v/>
      </c>
      <c r="P1594" s="250" t="str">
        <f>IFERROR(__xludf.DUMMYFUNCTION("""COMPUTED_VALUE"""),"")</f>
        <v/>
      </c>
      <c r="Q1594" s="250" t="str">
        <f>IFERROR(__xludf.DUMMYFUNCTION("""COMPUTED_VALUE"""),"")</f>
        <v/>
      </c>
      <c r="R1594" s="250" t="str">
        <f>IFERROR(__xludf.DUMMYFUNCTION("""COMPUTED_VALUE"""),"")</f>
        <v/>
      </c>
      <c r="U1594" s="250" t="str">
        <f>IFERROR(__xludf.DUMMYFUNCTION("""COMPUTED_VALUE"""),"#N/A")</f>
        <v>#N/A</v>
      </c>
      <c r="V1594" s="250" t="str">
        <f>IFERROR(__xludf.DUMMYFUNCTION("""COMPUTED_VALUE"""),"#N/A")</f>
        <v>#N/A</v>
      </c>
      <c r="W1594" s="250" t="str">
        <f>IFERROR(__xludf.DUMMYFUNCTION("""COMPUTED_VALUE"""),"#N/A")</f>
        <v>#N/A</v>
      </c>
      <c r="X1594" t="b">
        <f t="shared" ref="X1594:Z1594" si="3164">ISBLANK(K1594)</f>
        <v>1</v>
      </c>
      <c r="Y1594" t="b">
        <f t="shared" si="3164"/>
        <v>0</v>
      </c>
      <c r="Z1594" t="b">
        <f t="shared" si="3164"/>
        <v>0</v>
      </c>
      <c r="AA1594">
        <f t="shared" ref="AA1594:AC1594" si="3165">IF(X1594=FALSE,1,0)</f>
        <v>0</v>
      </c>
      <c r="AB1594">
        <f t="shared" si="3165"/>
        <v>1</v>
      </c>
      <c r="AC1594">
        <f t="shared" si="3165"/>
        <v>1</v>
      </c>
      <c r="AD1594">
        <f t="shared" si="6"/>
        <v>2</v>
      </c>
      <c r="AE1594">
        <f t="shared" si="7"/>
        <v>1</v>
      </c>
    </row>
    <row r="1595">
      <c r="B1595" t="str">
        <f>IFERROR(__xludf.DUMMYFUNCTION("""COMPUTED_VALUE"""),"")</f>
        <v/>
      </c>
      <c r="C1595" t="str">
        <f>IFERROR(__xludf.DUMMYFUNCTION("""COMPUTED_VALUE"""),"")</f>
        <v/>
      </c>
      <c r="D1595" t="str">
        <f>IFERROR(__xludf.DUMMYFUNCTION("""COMPUTED_VALUE"""),"")</f>
        <v/>
      </c>
      <c r="E1595" t="str">
        <f>IFERROR(__xludf.DUMMYFUNCTION("""COMPUTED_VALUE"""),"")</f>
        <v/>
      </c>
      <c r="F1595" t="str">
        <f>IFERROR(__xludf.DUMMYFUNCTION("""COMPUTED_VALUE"""),"")</f>
        <v/>
      </c>
      <c r="G1595" t="str">
        <f>IFERROR(__xludf.DUMMYFUNCTION("""COMPUTED_VALUE"""),"")</f>
        <v/>
      </c>
      <c r="H1595" t="str">
        <f>IFERROR(__xludf.DUMMYFUNCTION("""COMPUTED_VALUE"""),"")</f>
        <v/>
      </c>
      <c r="I1595" t="str">
        <f>IFERROR(__xludf.DUMMYFUNCTION("""COMPUTED_VALUE"""),"")</f>
        <v/>
      </c>
      <c r="J1595">
        <f>IFERROR(__xludf.DUMMYFUNCTION("""COMPUTED_VALUE"""),0.0)</f>
        <v>0</v>
      </c>
      <c r="L1595" s="250" t="str">
        <f>IFERROR(__xludf.DUMMYFUNCTION("""COMPUTED_VALUE"""),"")</f>
        <v/>
      </c>
      <c r="M1595" s="250" t="str">
        <f>IFERROR(__xludf.DUMMYFUNCTION("""COMPUTED_VALUE"""),"")</f>
        <v/>
      </c>
      <c r="N1595" s="250" t="str">
        <f>IFERROR(__xludf.DUMMYFUNCTION("""COMPUTED_VALUE"""),"")</f>
        <v/>
      </c>
      <c r="O1595" s="250" t="str">
        <f>IFERROR(__xludf.DUMMYFUNCTION("""COMPUTED_VALUE"""),"")</f>
        <v/>
      </c>
      <c r="P1595" s="250" t="str">
        <f>IFERROR(__xludf.DUMMYFUNCTION("""COMPUTED_VALUE"""),"")</f>
        <v/>
      </c>
      <c r="Q1595" s="250" t="str">
        <f>IFERROR(__xludf.DUMMYFUNCTION("""COMPUTED_VALUE"""),"")</f>
        <v/>
      </c>
      <c r="R1595" s="250" t="str">
        <f>IFERROR(__xludf.DUMMYFUNCTION("""COMPUTED_VALUE"""),"")</f>
        <v/>
      </c>
      <c r="U1595" s="250" t="str">
        <f>IFERROR(__xludf.DUMMYFUNCTION("""COMPUTED_VALUE"""),"#N/A")</f>
        <v>#N/A</v>
      </c>
      <c r="V1595" s="250" t="str">
        <f>IFERROR(__xludf.DUMMYFUNCTION("""COMPUTED_VALUE"""),"#N/A")</f>
        <v>#N/A</v>
      </c>
      <c r="W1595" s="250" t="str">
        <f>IFERROR(__xludf.DUMMYFUNCTION("""COMPUTED_VALUE"""),"#N/A")</f>
        <v>#N/A</v>
      </c>
      <c r="X1595" t="b">
        <f t="shared" ref="X1595:Z1595" si="3166">ISBLANK(K1595)</f>
        <v>1</v>
      </c>
      <c r="Y1595" t="b">
        <f t="shared" si="3166"/>
        <v>0</v>
      </c>
      <c r="Z1595" t="b">
        <f t="shared" si="3166"/>
        <v>0</v>
      </c>
      <c r="AA1595">
        <f t="shared" ref="AA1595:AC1595" si="3167">IF(X1595=FALSE,1,0)</f>
        <v>0</v>
      </c>
      <c r="AB1595">
        <f t="shared" si="3167"/>
        <v>1</v>
      </c>
      <c r="AC1595">
        <f t="shared" si="3167"/>
        <v>1</v>
      </c>
      <c r="AD1595">
        <f t="shared" si="6"/>
        <v>2</v>
      </c>
      <c r="AE1595">
        <f t="shared" si="7"/>
        <v>1</v>
      </c>
    </row>
    <row r="1596">
      <c r="B1596" t="str">
        <f>IFERROR(__xludf.DUMMYFUNCTION("""COMPUTED_VALUE"""),"")</f>
        <v/>
      </c>
      <c r="C1596" t="str">
        <f>IFERROR(__xludf.DUMMYFUNCTION("""COMPUTED_VALUE"""),"")</f>
        <v/>
      </c>
      <c r="D1596" t="str">
        <f>IFERROR(__xludf.DUMMYFUNCTION("""COMPUTED_VALUE"""),"")</f>
        <v/>
      </c>
      <c r="E1596" t="str">
        <f>IFERROR(__xludf.DUMMYFUNCTION("""COMPUTED_VALUE"""),"")</f>
        <v/>
      </c>
      <c r="F1596" t="str">
        <f>IFERROR(__xludf.DUMMYFUNCTION("""COMPUTED_VALUE"""),"")</f>
        <v/>
      </c>
      <c r="G1596" t="str">
        <f>IFERROR(__xludf.DUMMYFUNCTION("""COMPUTED_VALUE"""),"")</f>
        <v/>
      </c>
      <c r="H1596" t="str">
        <f>IFERROR(__xludf.DUMMYFUNCTION("""COMPUTED_VALUE"""),"")</f>
        <v/>
      </c>
      <c r="I1596" t="str">
        <f>IFERROR(__xludf.DUMMYFUNCTION("""COMPUTED_VALUE"""),"")</f>
        <v/>
      </c>
      <c r="J1596">
        <f>IFERROR(__xludf.DUMMYFUNCTION("""COMPUTED_VALUE"""),0.0)</f>
        <v>0</v>
      </c>
      <c r="L1596" s="250" t="str">
        <f>IFERROR(__xludf.DUMMYFUNCTION("""COMPUTED_VALUE"""),"")</f>
        <v/>
      </c>
      <c r="M1596" s="250" t="str">
        <f>IFERROR(__xludf.DUMMYFUNCTION("""COMPUTED_VALUE"""),"")</f>
        <v/>
      </c>
      <c r="N1596" s="250" t="str">
        <f>IFERROR(__xludf.DUMMYFUNCTION("""COMPUTED_VALUE"""),"")</f>
        <v/>
      </c>
      <c r="O1596" s="250" t="str">
        <f>IFERROR(__xludf.DUMMYFUNCTION("""COMPUTED_VALUE"""),"")</f>
        <v/>
      </c>
      <c r="P1596" s="250" t="str">
        <f>IFERROR(__xludf.DUMMYFUNCTION("""COMPUTED_VALUE"""),"")</f>
        <v/>
      </c>
      <c r="Q1596" s="250" t="str">
        <f>IFERROR(__xludf.DUMMYFUNCTION("""COMPUTED_VALUE"""),"")</f>
        <v/>
      </c>
      <c r="R1596" s="250" t="str">
        <f>IFERROR(__xludf.DUMMYFUNCTION("""COMPUTED_VALUE"""),"")</f>
        <v/>
      </c>
      <c r="U1596" s="250" t="str">
        <f>IFERROR(__xludf.DUMMYFUNCTION("""COMPUTED_VALUE"""),"#N/A")</f>
        <v>#N/A</v>
      </c>
      <c r="V1596" s="250" t="str">
        <f>IFERROR(__xludf.DUMMYFUNCTION("""COMPUTED_VALUE"""),"#N/A")</f>
        <v>#N/A</v>
      </c>
      <c r="W1596" s="250" t="str">
        <f>IFERROR(__xludf.DUMMYFUNCTION("""COMPUTED_VALUE"""),"#N/A")</f>
        <v>#N/A</v>
      </c>
      <c r="X1596" t="b">
        <f t="shared" ref="X1596:Z1596" si="3168">ISBLANK(K1596)</f>
        <v>1</v>
      </c>
      <c r="Y1596" t="b">
        <f t="shared" si="3168"/>
        <v>0</v>
      </c>
      <c r="Z1596" t="b">
        <f t="shared" si="3168"/>
        <v>0</v>
      </c>
      <c r="AA1596">
        <f t="shared" ref="AA1596:AC1596" si="3169">IF(X1596=FALSE,1,0)</f>
        <v>0</v>
      </c>
      <c r="AB1596">
        <f t="shared" si="3169"/>
        <v>1</v>
      </c>
      <c r="AC1596">
        <f t="shared" si="3169"/>
        <v>1</v>
      </c>
      <c r="AD1596">
        <f t="shared" si="6"/>
        <v>2</v>
      </c>
      <c r="AE1596">
        <f t="shared" si="7"/>
        <v>1</v>
      </c>
    </row>
    <row r="1597">
      <c r="B1597" t="str">
        <f>IFERROR(__xludf.DUMMYFUNCTION("""COMPUTED_VALUE"""),"")</f>
        <v/>
      </c>
      <c r="C1597" t="str">
        <f>IFERROR(__xludf.DUMMYFUNCTION("""COMPUTED_VALUE"""),"")</f>
        <v/>
      </c>
      <c r="D1597" t="str">
        <f>IFERROR(__xludf.DUMMYFUNCTION("""COMPUTED_VALUE"""),"")</f>
        <v/>
      </c>
      <c r="E1597" t="str">
        <f>IFERROR(__xludf.DUMMYFUNCTION("""COMPUTED_VALUE"""),"")</f>
        <v/>
      </c>
      <c r="F1597" t="str">
        <f>IFERROR(__xludf.DUMMYFUNCTION("""COMPUTED_VALUE"""),"")</f>
        <v/>
      </c>
      <c r="G1597" t="str">
        <f>IFERROR(__xludf.DUMMYFUNCTION("""COMPUTED_VALUE"""),"")</f>
        <v/>
      </c>
      <c r="H1597" t="str">
        <f>IFERROR(__xludf.DUMMYFUNCTION("""COMPUTED_VALUE"""),"")</f>
        <v/>
      </c>
      <c r="I1597" t="str">
        <f>IFERROR(__xludf.DUMMYFUNCTION("""COMPUTED_VALUE"""),"")</f>
        <v/>
      </c>
      <c r="J1597">
        <f>IFERROR(__xludf.DUMMYFUNCTION("""COMPUTED_VALUE"""),0.0)</f>
        <v>0</v>
      </c>
      <c r="L1597" s="250" t="str">
        <f>IFERROR(__xludf.DUMMYFUNCTION("""COMPUTED_VALUE"""),"")</f>
        <v/>
      </c>
      <c r="M1597" s="250" t="str">
        <f>IFERROR(__xludf.DUMMYFUNCTION("""COMPUTED_VALUE"""),"")</f>
        <v/>
      </c>
      <c r="N1597" s="250" t="str">
        <f>IFERROR(__xludf.DUMMYFUNCTION("""COMPUTED_VALUE"""),"")</f>
        <v/>
      </c>
      <c r="O1597" s="250" t="str">
        <f>IFERROR(__xludf.DUMMYFUNCTION("""COMPUTED_VALUE"""),"")</f>
        <v/>
      </c>
      <c r="P1597" s="250" t="str">
        <f>IFERROR(__xludf.DUMMYFUNCTION("""COMPUTED_VALUE"""),"")</f>
        <v/>
      </c>
      <c r="Q1597" s="250" t="str">
        <f>IFERROR(__xludf.DUMMYFUNCTION("""COMPUTED_VALUE"""),"")</f>
        <v/>
      </c>
      <c r="R1597" s="250" t="str">
        <f>IFERROR(__xludf.DUMMYFUNCTION("""COMPUTED_VALUE"""),"")</f>
        <v/>
      </c>
      <c r="U1597" s="250" t="str">
        <f>IFERROR(__xludf.DUMMYFUNCTION("""COMPUTED_VALUE"""),"#N/A")</f>
        <v>#N/A</v>
      </c>
      <c r="V1597" s="250" t="str">
        <f>IFERROR(__xludf.DUMMYFUNCTION("""COMPUTED_VALUE"""),"#N/A")</f>
        <v>#N/A</v>
      </c>
      <c r="W1597" s="250" t="str">
        <f>IFERROR(__xludf.DUMMYFUNCTION("""COMPUTED_VALUE"""),"#N/A")</f>
        <v>#N/A</v>
      </c>
      <c r="X1597" t="b">
        <f t="shared" ref="X1597:Z1597" si="3170">ISBLANK(K1597)</f>
        <v>1</v>
      </c>
      <c r="Y1597" t="b">
        <f t="shared" si="3170"/>
        <v>0</v>
      </c>
      <c r="Z1597" t="b">
        <f t="shared" si="3170"/>
        <v>0</v>
      </c>
      <c r="AA1597">
        <f t="shared" ref="AA1597:AC1597" si="3171">IF(X1597=FALSE,1,0)</f>
        <v>0</v>
      </c>
      <c r="AB1597">
        <f t="shared" si="3171"/>
        <v>1</v>
      </c>
      <c r="AC1597">
        <f t="shared" si="3171"/>
        <v>1</v>
      </c>
      <c r="AD1597">
        <f t="shared" si="6"/>
        <v>2</v>
      </c>
      <c r="AE1597">
        <f t="shared" si="7"/>
        <v>1</v>
      </c>
    </row>
    <row r="1598">
      <c r="B1598" t="str">
        <f>IFERROR(__xludf.DUMMYFUNCTION("""COMPUTED_VALUE"""),"")</f>
        <v/>
      </c>
      <c r="C1598" t="str">
        <f>IFERROR(__xludf.DUMMYFUNCTION("""COMPUTED_VALUE"""),"")</f>
        <v/>
      </c>
      <c r="D1598" t="str">
        <f>IFERROR(__xludf.DUMMYFUNCTION("""COMPUTED_VALUE"""),"")</f>
        <v/>
      </c>
      <c r="E1598" t="str">
        <f>IFERROR(__xludf.DUMMYFUNCTION("""COMPUTED_VALUE"""),"")</f>
        <v/>
      </c>
      <c r="F1598" t="str">
        <f>IFERROR(__xludf.DUMMYFUNCTION("""COMPUTED_VALUE"""),"")</f>
        <v/>
      </c>
      <c r="G1598" t="str">
        <f>IFERROR(__xludf.DUMMYFUNCTION("""COMPUTED_VALUE"""),"")</f>
        <v/>
      </c>
      <c r="H1598" t="str">
        <f>IFERROR(__xludf.DUMMYFUNCTION("""COMPUTED_VALUE"""),"")</f>
        <v/>
      </c>
      <c r="I1598" t="str">
        <f>IFERROR(__xludf.DUMMYFUNCTION("""COMPUTED_VALUE"""),"")</f>
        <v/>
      </c>
      <c r="J1598">
        <f>IFERROR(__xludf.DUMMYFUNCTION("""COMPUTED_VALUE"""),0.0)</f>
        <v>0</v>
      </c>
      <c r="L1598" s="250" t="str">
        <f>IFERROR(__xludf.DUMMYFUNCTION("""COMPUTED_VALUE"""),"")</f>
        <v/>
      </c>
      <c r="M1598" s="250" t="str">
        <f>IFERROR(__xludf.DUMMYFUNCTION("""COMPUTED_VALUE"""),"")</f>
        <v/>
      </c>
      <c r="N1598" s="250" t="str">
        <f>IFERROR(__xludf.DUMMYFUNCTION("""COMPUTED_VALUE"""),"")</f>
        <v/>
      </c>
      <c r="O1598" s="250" t="str">
        <f>IFERROR(__xludf.DUMMYFUNCTION("""COMPUTED_VALUE"""),"")</f>
        <v/>
      </c>
      <c r="P1598" s="250" t="str">
        <f>IFERROR(__xludf.DUMMYFUNCTION("""COMPUTED_VALUE"""),"")</f>
        <v/>
      </c>
      <c r="Q1598" s="250" t="str">
        <f>IFERROR(__xludf.DUMMYFUNCTION("""COMPUTED_VALUE"""),"")</f>
        <v/>
      </c>
      <c r="R1598" s="250" t="str">
        <f>IFERROR(__xludf.DUMMYFUNCTION("""COMPUTED_VALUE"""),"")</f>
        <v/>
      </c>
      <c r="U1598" s="250" t="str">
        <f>IFERROR(__xludf.DUMMYFUNCTION("""COMPUTED_VALUE"""),"#N/A")</f>
        <v>#N/A</v>
      </c>
      <c r="V1598" s="250" t="str">
        <f>IFERROR(__xludf.DUMMYFUNCTION("""COMPUTED_VALUE"""),"#N/A")</f>
        <v>#N/A</v>
      </c>
      <c r="W1598" s="250" t="str">
        <f>IFERROR(__xludf.DUMMYFUNCTION("""COMPUTED_VALUE"""),"#N/A")</f>
        <v>#N/A</v>
      </c>
      <c r="X1598" t="b">
        <f t="shared" ref="X1598:Z1598" si="3172">ISBLANK(K1598)</f>
        <v>1</v>
      </c>
      <c r="Y1598" t="b">
        <f t="shared" si="3172"/>
        <v>0</v>
      </c>
      <c r="Z1598" t="b">
        <f t="shared" si="3172"/>
        <v>0</v>
      </c>
      <c r="AA1598">
        <f t="shared" ref="AA1598:AC1598" si="3173">IF(X1598=FALSE,1,0)</f>
        <v>0</v>
      </c>
      <c r="AB1598">
        <f t="shared" si="3173"/>
        <v>1</v>
      </c>
      <c r="AC1598">
        <f t="shared" si="3173"/>
        <v>1</v>
      </c>
      <c r="AD1598">
        <f t="shared" si="6"/>
        <v>2</v>
      </c>
      <c r="AE1598">
        <f t="shared" si="7"/>
        <v>1</v>
      </c>
    </row>
    <row r="1599">
      <c r="B1599" t="str">
        <f>IFERROR(__xludf.DUMMYFUNCTION("""COMPUTED_VALUE"""),"")</f>
        <v/>
      </c>
      <c r="C1599" t="str">
        <f>IFERROR(__xludf.DUMMYFUNCTION("""COMPUTED_VALUE"""),"")</f>
        <v/>
      </c>
      <c r="D1599" t="str">
        <f>IFERROR(__xludf.DUMMYFUNCTION("""COMPUTED_VALUE"""),"")</f>
        <v/>
      </c>
      <c r="E1599" t="str">
        <f>IFERROR(__xludf.DUMMYFUNCTION("""COMPUTED_VALUE"""),"")</f>
        <v/>
      </c>
      <c r="F1599" t="str">
        <f>IFERROR(__xludf.DUMMYFUNCTION("""COMPUTED_VALUE"""),"")</f>
        <v/>
      </c>
      <c r="G1599" t="str">
        <f>IFERROR(__xludf.DUMMYFUNCTION("""COMPUTED_VALUE"""),"")</f>
        <v/>
      </c>
      <c r="H1599" t="str">
        <f>IFERROR(__xludf.DUMMYFUNCTION("""COMPUTED_VALUE"""),"")</f>
        <v/>
      </c>
      <c r="I1599" t="str">
        <f>IFERROR(__xludf.DUMMYFUNCTION("""COMPUTED_VALUE"""),"")</f>
        <v/>
      </c>
      <c r="J1599">
        <f>IFERROR(__xludf.DUMMYFUNCTION("""COMPUTED_VALUE"""),0.0)</f>
        <v>0</v>
      </c>
      <c r="L1599" s="250" t="str">
        <f>IFERROR(__xludf.DUMMYFUNCTION("""COMPUTED_VALUE"""),"")</f>
        <v/>
      </c>
      <c r="M1599" s="250" t="str">
        <f>IFERROR(__xludf.DUMMYFUNCTION("""COMPUTED_VALUE"""),"")</f>
        <v/>
      </c>
      <c r="N1599" s="250" t="str">
        <f>IFERROR(__xludf.DUMMYFUNCTION("""COMPUTED_VALUE"""),"")</f>
        <v/>
      </c>
      <c r="O1599" s="250" t="str">
        <f>IFERROR(__xludf.DUMMYFUNCTION("""COMPUTED_VALUE"""),"")</f>
        <v/>
      </c>
      <c r="P1599" s="250" t="str">
        <f>IFERROR(__xludf.DUMMYFUNCTION("""COMPUTED_VALUE"""),"")</f>
        <v/>
      </c>
      <c r="Q1599" s="250" t="str">
        <f>IFERROR(__xludf.DUMMYFUNCTION("""COMPUTED_VALUE"""),"")</f>
        <v/>
      </c>
      <c r="R1599" s="250" t="str">
        <f>IFERROR(__xludf.DUMMYFUNCTION("""COMPUTED_VALUE"""),"")</f>
        <v/>
      </c>
      <c r="U1599" s="250" t="str">
        <f>IFERROR(__xludf.DUMMYFUNCTION("""COMPUTED_VALUE"""),"#N/A")</f>
        <v>#N/A</v>
      </c>
      <c r="V1599" s="250" t="str">
        <f>IFERROR(__xludf.DUMMYFUNCTION("""COMPUTED_VALUE"""),"#N/A")</f>
        <v>#N/A</v>
      </c>
      <c r="W1599" s="250" t="str">
        <f>IFERROR(__xludf.DUMMYFUNCTION("""COMPUTED_VALUE"""),"#N/A")</f>
        <v>#N/A</v>
      </c>
      <c r="X1599" t="b">
        <f t="shared" ref="X1599:Z1599" si="3174">ISBLANK(K1599)</f>
        <v>1</v>
      </c>
      <c r="Y1599" t="b">
        <f t="shared" si="3174"/>
        <v>0</v>
      </c>
      <c r="Z1599" t="b">
        <f t="shared" si="3174"/>
        <v>0</v>
      </c>
      <c r="AA1599">
        <f t="shared" ref="AA1599:AC1599" si="3175">IF(X1599=FALSE,1,0)</f>
        <v>0</v>
      </c>
      <c r="AB1599">
        <f t="shared" si="3175"/>
        <v>1</v>
      </c>
      <c r="AC1599">
        <f t="shared" si="3175"/>
        <v>1</v>
      </c>
      <c r="AD1599">
        <f t="shared" si="6"/>
        <v>2</v>
      </c>
      <c r="AE1599">
        <f t="shared" si="7"/>
        <v>1</v>
      </c>
    </row>
    <row r="1600">
      <c r="B1600" t="str">
        <f>IFERROR(__xludf.DUMMYFUNCTION("""COMPUTED_VALUE"""),"")</f>
        <v/>
      </c>
      <c r="C1600" t="str">
        <f>IFERROR(__xludf.DUMMYFUNCTION("""COMPUTED_VALUE"""),"")</f>
        <v/>
      </c>
      <c r="D1600" t="str">
        <f>IFERROR(__xludf.DUMMYFUNCTION("""COMPUTED_VALUE"""),"")</f>
        <v/>
      </c>
      <c r="E1600" t="str">
        <f>IFERROR(__xludf.DUMMYFUNCTION("""COMPUTED_VALUE"""),"")</f>
        <v/>
      </c>
      <c r="F1600" t="str">
        <f>IFERROR(__xludf.DUMMYFUNCTION("""COMPUTED_VALUE"""),"")</f>
        <v/>
      </c>
      <c r="G1600" t="str">
        <f>IFERROR(__xludf.DUMMYFUNCTION("""COMPUTED_VALUE"""),"")</f>
        <v/>
      </c>
      <c r="H1600" t="str">
        <f>IFERROR(__xludf.DUMMYFUNCTION("""COMPUTED_VALUE"""),"")</f>
        <v/>
      </c>
      <c r="I1600" t="str">
        <f>IFERROR(__xludf.DUMMYFUNCTION("""COMPUTED_VALUE"""),"")</f>
        <v/>
      </c>
      <c r="J1600">
        <f>IFERROR(__xludf.DUMMYFUNCTION("""COMPUTED_VALUE"""),0.0)</f>
        <v>0</v>
      </c>
      <c r="L1600" s="250" t="str">
        <f>IFERROR(__xludf.DUMMYFUNCTION("""COMPUTED_VALUE"""),"")</f>
        <v/>
      </c>
      <c r="M1600" s="250" t="str">
        <f>IFERROR(__xludf.DUMMYFUNCTION("""COMPUTED_VALUE"""),"")</f>
        <v/>
      </c>
      <c r="N1600" s="250" t="str">
        <f>IFERROR(__xludf.DUMMYFUNCTION("""COMPUTED_VALUE"""),"")</f>
        <v/>
      </c>
      <c r="O1600" s="250" t="str">
        <f>IFERROR(__xludf.DUMMYFUNCTION("""COMPUTED_VALUE"""),"")</f>
        <v/>
      </c>
      <c r="P1600" s="250" t="str">
        <f>IFERROR(__xludf.DUMMYFUNCTION("""COMPUTED_VALUE"""),"")</f>
        <v/>
      </c>
      <c r="Q1600" s="250" t="str">
        <f>IFERROR(__xludf.DUMMYFUNCTION("""COMPUTED_VALUE"""),"")</f>
        <v/>
      </c>
      <c r="R1600" s="250" t="str">
        <f>IFERROR(__xludf.DUMMYFUNCTION("""COMPUTED_VALUE"""),"")</f>
        <v/>
      </c>
      <c r="U1600" s="250" t="str">
        <f>IFERROR(__xludf.DUMMYFUNCTION("""COMPUTED_VALUE"""),"#N/A")</f>
        <v>#N/A</v>
      </c>
      <c r="V1600" s="250" t="str">
        <f>IFERROR(__xludf.DUMMYFUNCTION("""COMPUTED_VALUE"""),"#N/A")</f>
        <v>#N/A</v>
      </c>
      <c r="W1600" s="250" t="str">
        <f>IFERROR(__xludf.DUMMYFUNCTION("""COMPUTED_VALUE"""),"#N/A")</f>
        <v>#N/A</v>
      </c>
      <c r="X1600" t="b">
        <f t="shared" ref="X1600:Z1600" si="3176">ISBLANK(K1600)</f>
        <v>1</v>
      </c>
      <c r="Y1600" t="b">
        <f t="shared" si="3176"/>
        <v>0</v>
      </c>
      <c r="Z1600" t="b">
        <f t="shared" si="3176"/>
        <v>0</v>
      </c>
      <c r="AA1600">
        <f t="shared" ref="AA1600:AC1600" si="3177">IF(X1600=FALSE,1,0)</f>
        <v>0</v>
      </c>
      <c r="AB1600">
        <f t="shared" si="3177"/>
        <v>1</v>
      </c>
      <c r="AC1600">
        <f t="shared" si="3177"/>
        <v>1</v>
      </c>
      <c r="AD1600">
        <f t="shared" si="6"/>
        <v>2</v>
      </c>
      <c r="AE1600">
        <f t="shared" si="7"/>
        <v>1</v>
      </c>
    </row>
    <row r="1601">
      <c r="B1601" t="str">
        <f>IFERROR(__xludf.DUMMYFUNCTION("""COMPUTED_VALUE"""),"")</f>
        <v/>
      </c>
      <c r="C1601" t="str">
        <f>IFERROR(__xludf.DUMMYFUNCTION("""COMPUTED_VALUE"""),"")</f>
        <v/>
      </c>
      <c r="D1601" t="str">
        <f>IFERROR(__xludf.DUMMYFUNCTION("""COMPUTED_VALUE"""),"")</f>
        <v/>
      </c>
      <c r="E1601" t="str">
        <f>IFERROR(__xludf.DUMMYFUNCTION("""COMPUTED_VALUE"""),"")</f>
        <v/>
      </c>
      <c r="F1601" t="str">
        <f>IFERROR(__xludf.DUMMYFUNCTION("""COMPUTED_VALUE"""),"")</f>
        <v/>
      </c>
      <c r="G1601" t="str">
        <f>IFERROR(__xludf.DUMMYFUNCTION("""COMPUTED_VALUE"""),"")</f>
        <v/>
      </c>
      <c r="H1601" t="str">
        <f>IFERROR(__xludf.DUMMYFUNCTION("""COMPUTED_VALUE"""),"")</f>
        <v/>
      </c>
      <c r="I1601" t="str">
        <f>IFERROR(__xludf.DUMMYFUNCTION("""COMPUTED_VALUE"""),"")</f>
        <v/>
      </c>
      <c r="J1601">
        <f>IFERROR(__xludf.DUMMYFUNCTION("""COMPUTED_VALUE"""),0.0)</f>
        <v>0</v>
      </c>
      <c r="L1601" s="250" t="str">
        <f>IFERROR(__xludf.DUMMYFUNCTION("""COMPUTED_VALUE"""),"")</f>
        <v/>
      </c>
      <c r="M1601" s="250" t="str">
        <f>IFERROR(__xludf.DUMMYFUNCTION("""COMPUTED_VALUE"""),"")</f>
        <v/>
      </c>
      <c r="N1601" s="250" t="str">
        <f>IFERROR(__xludf.DUMMYFUNCTION("""COMPUTED_VALUE"""),"")</f>
        <v/>
      </c>
      <c r="O1601" s="250" t="str">
        <f>IFERROR(__xludf.DUMMYFUNCTION("""COMPUTED_VALUE"""),"")</f>
        <v/>
      </c>
      <c r="P1601" s="250" t="str">
        <f>IFERROR(__xludf.DUMMYFUNCTION("""COMPUTED_VALUE"""),"")</f>
        <v/>
      </c>
      <c r="Q1601" s="250" t="str">
        <f>IFERROR(__xludf.DUMMYFUNCTION("""COMPUTED_VALUE"""),"")</f>
        <v/>
      </c>
      <c r="R1601" s="250" t="str">
        <f>IFERROR(__xludf.DUMMYFUNCTION("""COMPUTED_VALUE"""),"")</f>
        <v/>
      </c>
      <c r="U1601" s="250" t="str">
        <f>IFERROR(__xludf.DUMMYFUNCTION("""COMPUTED_VALUE"""),"#N/A")</f>
        <v>#N/A</v>
      </c>
      <c r="V1601" s="250" t="str">
        <f>IFERROR(__xludf.DUMMYFUNCTION("""COMPUTED_VALUE"""),"#N/A")</f>
        <v>#N/A</v>
      </c>
      <c r="W1601" s="250" t="str">
        <f>IFERROR(__xludf.DUMMYFUNCTION("""COMPUTED_VALUE"""),"#N/A")</f>
        <v>#N/A</v>
      </c>
      <c r="X1601" t="b">
        <f t="shared" ref="X1601:Z1601" si="3178">ISBLANK(K1601)</f>
        <v>1</v>
      </c>
      <c r="Y1601" t="b">
        <f t="shared" si="3178"/>
        <v>0</v>
      </c>
      <c r="Z1601" t="b">
        <f t="shared" si="3178"/>
        <v>0</v>
      </c>
      <c r="AA1601">
        <f t="shared" ref="AA1601:AC1601" si="3179">IF(X1601=FALSE,1,0)</f>
        <v>0</v>
      </c>
      <c r="AB1601">
        <f t="shared" si="3179"/>
        <v>1</v>
      </c>
      <c r="AC1601">
        <f t="shared" si="3179"/>
        <v>1</v>
      </c>
      <c r="AD1601">
        <f t="shared" si="6"/>
        <v>2</v>
      </c>
      <c r="AE1601">
        <f t="shared" si="7"/>
        <v>1</v>
      </c>
    </row>
    <row r="1602">
      <c r="B1602" t="str">
        <f>IFERROR(__xludf.DUMMYFUNCTION("""COMPUTED_VALUE"""),"")</f>
        <v/>
      </c>
      <c r="C1602" t="str">
        <f>IFERROR(__xludf.DUMMYFUNCTION("""COMPUTED_VALUE"""),"")</f>
        <v/>
      </c>
      <c r="D1602" t="str">
        <f>IFERROR(__xludf.DUMMYFUNCTION("""COMPUTED_VALUE"""),"")</f>
        <v/>
      </c>
      <c r="E1602" t="str">
        <f>IFERROR(__xludf.DUMMYFUNCTION("""COMPUTED_VALUE"""),"")</f>
        <v/>
      </c>
      <c r="F1602" t="str">
        <f>IFERROR(__xludf.DUMMYFUNCTION("""COMPUTED_VALUE"""),"")</f>
        <v/>
      </c>
      <c r="G1602" t="str">
        <f>IFERROR(__xludf.DUMMYFUNCTION("""COMPUTED_VALUE"""),"")</f>
        <v/>
      </c>
      <c r="H1602" t="str">
        <f>IFERROR(__xludf.DUMMYFUNCTION("""COMPUTED_VALUE"""),"")</f>
        <v/>
      </c>
      <c r="I1602" t="str">
        <f>IFERROR(__xludf.DUMMYFUNCTION("""COMPUTED_VALUE"""),"")</f>
        <v/>
      </c>
      <c r="J1602">
        <f>IFERROR(__xludf.DUMMYFUNCTION("""COMPUTED_VALUE"""),0.0)</f>
        <v>0</v>
      </c>
      <c r="L1602" s="250" t="str">
        <f>IFERROR(__xludf.DUMMYFUNCTION("""COMPUTED_VALUE"""),"")</f>
        <v/>
      </c>
      <c r="M1602" s="250" t="str">
        <f>IFERROR(__xludf.DUMMYFUNCTION("""COMPUTED_VALUE"""),"")</f>
        <v/>
      </c>
      <c r="N1602" s="250" t="str">
        <f>IFERROR(__xludf.DUMMYFUNCTION("""COMPUTED_VALUE"""),"")</f>
        <v/>
      </c>
      <c r="O1602" s="250" t="str">
        <f>IFERROR(__xludf.DUMMYFUNCTION("""COMPUTED_VALUE"""),"")</f>
        <v/>
      </c>
      <c r="P1602" s="250" t="str">
        <f>IFERROR(__xludf.DUMMYFUNCTION("""COMPUTED_VALUE"""),"")</f>
        <v/>
      </c>
      <c r="Q1602" s="250" t="str">
        <f>IFERROR(__xludf.DUMMYFUNCTION("""COMPUTED_VALUE"""),"")</f>
        <v/>
      </c>
      <c r="R1602" s="250" t="str">
        <f>IFERROR(__xludf.DUMMYFUNCTION("""COMPUTED_VALUE"""),"")</f>
        <v/>
      </c>
      <c r="U1602" s="250" t="str">
        <f>IFERROR(__xludf.DUMMYFUNCTION("""COMPUTED_VALUE"""),"#N/A")</f>
        <v>#N/A</v>
      </c>
      <c r="V1602" s="250" t="str">
        <f>IFERROR(__xludf.DUMMYFUNCTION("""COMPUTED_VALUE"""),"#N/A")</f>
        <v>#N/A</v>
      </c>
      <c r="W1602" s="250" t="str">
        <f>IFERROR(__xludf.DUMMYFUNCTION("""COMPUTED_VALUE"""),"#N/A")</f>
        <v>#N/A</v>
      </c>
      <c r="X1602" t="b">
        <f t="shared" ref="X1602:Z1602" si="3180">ISBLANK(K1602)</f>
        <v>1</v>
      </c>
      <c r="Y1602" t="b">
        <f t="shared" si="3180"/>
        <v>0</v>
      </c>
      <c r="Z1602" t="b">
        <f t="shared" si="3180"/>
        <v>0</v>
      </c>
      <c r="AA1602">
        <f t="shared" ref="AA1602:AC1602" si="3181">IF(X1602=FALSE,1,0)</f>
        <v>0</v>
      </c>
      <c r="AB1602">
        <f t="shared" si="3181"/>
        <v>1</v>
      </c>
      <c r="AC1602">
        <f t="shared" si="3181"/>
        <v>1</v>
      </c>
      <c r="AD1602">
        <f t="shared" si="6"/>
        <v>2</v>
      </c>
      <c r="AE1602">
        <f t="shared" si="7"/>
        <v>1</v>
      </c>
    </row>
    <row r="1603">
      <c r="B1603" t="str">
        <f>IFERROR(__xludf.DUMMYFUNCTION("""COMPUTED_VALUE"""),"")</f>
        <v/>
      </c>
      <c r="C1603" t="str">
        <f>IFERROR(__xludf.DUMMYFUNCTION("""COMPUTED_VALUE"""),"")</f>
        <v/>
      </c>
      <c r="D1603" t="str">
        <f>IFERROR(__xludf.DUMMYFUNCTION("""COMPUTED_VALUE"""),"")</f>
        <v/>
      </c>
      <c r="E1603" t="str">
        <f>IFERROR(__xludf.DUMMYFUNCTION("""COMPUTED_VALUE"""),"")</f>
        <v/>
      </c>
      <c r="F1603" t="str">
        <f>IFERROR(__xludf.DUMMYFUNCTION("""COMPUTED_VALUE"""),"")</f>
        <v/>
      </c>
      <c r="G1603" t="str">
        <f>IFERROR(__xludf.DUMMYFUNCTION("""COMPUTED_VALUE"""),"")</f>
        <v/>
      </c>
      <c r="H1603" t="str">
        <f>IFERROR(__xludf.DUMMYFUNCTION("""COMPUTED_VALUE"""),"")</f>
        <v/>
      </c>
      <c r="I1603" t="str">
        <f>IFERROR(__xludf.DUMMYFUNCTION("""COMPUTED_VALUE"""),"")</f>
        <v/>
      </c>
      <c r="J1603">
        <f>IFERROR(__xludf.DUMMYFUNCTION("""COMPUTED_VALUE"""),0.0)</f>
        <v>0</v>
      </c>
      <c r="L1603" s="250" t="str">
        <f>IFERROR(__xludf.DUMMYFUNCTION("""COMPUTED_VALUE"""),"")</f>
        <v/>
      </c>
      <c r="M1603" s="250" t="str">
        <f>IFERROR(__xludf.DUMMYFUNCTION("""COMPUTED_VALUE"""),"")</f>
        <v/>
      </c>
      <c r="N1603" s="250" t="str">
        <f>IFERROR(__xludf.DUMMYFUNCTION("""COMPUTED_VALUE"""),"")</f>
        <v/>
      </c>
      <c r="O1603" s="250" t="str">
        <f>IFERROR(__xludf.DUMMYFUNCTION("""COMPUTED_VALUE"""),"")</f>
        <v/>
      </c>
      <c r="P1603" s="250" t="str">
        <f>IFERROR(__xludf.DUMMYFUNCTION("""COMPUTED_VALUE"""),"")</f>
        <v/>
      </c>
      <c r="Q1603" s="250" t="str">
        <f>IFERROR(__xludf.DUMMYFUNCTION("""COMPUTED_VALUE"""),"")</f>
        <v/>
      </c>
      <c r="R1603" s="250" t="str">
        <f>IFERROR(__xludf.DUMMYFUNCTION("""COMPUTED_VALUE"""),"")</f>
        <v/>
      </c>
      <c r="U1603" s="250" t="str">
        <f>IFERROR(__xludf.DUMMYFUNCTION("""COMPUTED_VALUE"""),"#N/A")</f>
        <v>#N/A</v>
      </c>
      <c r="V1603" s="250" t="str">
        <f>IFERROR(__xludf.DUMMYFUNCTION("""COMPUTED_VALUE"""),"#N/A")</f>
        <v>#N/A</v>
      </c>
      <c r="W1603" s="250" t="str">
        <f>IFERROR(__xludf.DUMMYFUNCTION("""COMPUTED_VALUE"""),"#N/A")</f>
        <v>#N/A</v>
      </c>
      <c r="X1603" t="b">
        <f t="shared" ref="X1603:Z1603" si="3182">ISBLANK(K1603)</f>
        <v>1</v>
      </c>
      <c r="Y1603" t="b">
        <f t="shared" si="3182"/>
        <v>0</v>
      </c>
      <c r="Z1603" t="b">
        <f t="shared" si="3182"/>
        <v>0</v>
      </c>
      <c r="AA1603">
        <f t="shared" ref="AA1603:AC1603" si="3183">IF(X1603=FALSE,1,0)</f>
        <v>0</v>
      </c>
      <c r="AB1603">
        <f t="shared" si="3183"/>
        <v>1</v>
      </c>
      <c r="AC1603">
        <f t="shared" si="3183"/>
        <v>1</v>
      </c>
      <c r="AD1603">
        <f t="shared" si="6"/>
        <v>2</v>
      </c>
      <c r="AE1603">
        <f t="shared" si="7"/>
        <v>1</v>
      </c>
    </row>
    <row r="1604">
      <c r="B1604" t="str">
        <f>IFERROR(__xludf.DUMMYFUNCTION("""COMPUTED_VALUE"""),"")</f>
        <v/>
      </c>
      <c r="C1604" t="str">
        <f>IFERROR(__xludf.DUMMYFUNCTION("""COMPUTED_VALUE"""),"")</f>
        <v/>
      </c>
      <c r="D1604" t="str">
        <f>IFERROR(__xludf.DUMMYFUNCTION("""COMPUTED_VALUE"""),"")</f>
        <v/>
      </c>
      <c r="E1604" t="str">
        <f>IFERROR(__xludf.DUMMYFUNCTION("""COMPUTED_VALUE"""),"")</f>
        <v/>
      </c>
      <c r="F1604" t="str">
        <f>IFERROR(__xludf.DUMMYFUNCTION("""COMPUTED_VALUE"""),"")</f>
        <v/>
      </c>
      <c r="G1604" t="str">
        <f>IFERROR(__xludf.DUMMYFUNCTION("""COMPUTED_VALUE"""),"")</f>
        <v/>
      </c>
      <c r="H1604" t="str">
        <f>IFERROR(__xludf.DUMMYFUNCTION("""COMPUTED_VALUE"""),"")</f>
        <v/>
      </c>
      <c r="I1604" t="str">
        <f>IFERROR(__xludf.DUMMYFUNCTION("""COMPUTED_VALUE"""),"")</f>
        <v/>
      </c>
      <c r="J1604">
        <f>IFERROR(__xludf.DUMMYFUNCTION("""COMPUTED_VALUE"""),0.0)</f>
        <v>0</v>
      </c>
      <c r="L1604" s="250" t="str">
        <f>IFERROR(__xludf.DUMMYFUNCTION("""COMPUTED_VALUE"""),"")</f>
        <v/>
      </c>
      <c r="M1604" s="250" t="str">
        <f>IFERROR(__xludf.DUMMYFUNCTION("""COMPUTED_VALUE"""),"")</f>
        <v/>
      </c>
      <c r="N1604" s="250" t="str">
        <f>IFERROR(__xludf.DUMMYFUNCTION("""COMPUTED_VALUE"""),"")</f>
        <v/>
      </c>
      <c r="O1604" s="250" t="str">
        <f>IFERROR(__xludf.DUMMYFUNCTION("""COMPUTED_VALUE"""),"")</f>
        <v/>
      </c>
      <c r="P1604" s="250" t="str">
        <f>IFERROR(__xludf.DUMMYFUNCTION("""COMPUTED_VALUE"""),"")</f>
        <v/>
      </c>
      <c r="Q1604" s="250" t="str">
        <f>IFERROR(__xludf.DUMMYFUNCTION("""COMPUTED_VALUE"""),"")</f>
        <v/>
      </c>
      <c r="R1604" s="250" t="str">
        <f>IFERROR(__xludf.DUMMYFUNCTION("""COMPUTED_VALUE"""),"")</f>
        <v/>
      </c>
      <c r="U1604" s="250" t="str">
        <f>IFERROR(__xludf.DUMMYFUNCTION("""COMPUTED_VALUE"""),"#N/A")</f>
        <v>#N/A</v>
      </c>
      <c r="V1604" s="250" t="str">
        <f>IFERROR(__xludf.DUMMYFUNCTION("""COMPUTED_VALUE"""),"#N/A")</f>
        <v>#N/A</v>
      </c>
      <c r="W1604" s="250" t="str">
        <f>IFERROR(__xludf.DUMMYFUNCTION("""COMPUTED_VALUE"""),"#N/A")</f>
        <v>#N/A</v>
      </c>
      <c r="X1604" t="b">
        <f t="shared" ref="X1604:Z1604" si="3184">ISBLANK(K1604)</f>
        <v>1</v>
      </c>
      <c r="Y1604" t="b">
        <f t="shared" si="3184"/>
        <v>0</v>
      </c>
      <c r="Z1604" t="b">
        <f t="shared" si="3184"/>
        <v>0</v>
      </c>
      <c r="AA1604">
        <f t="shared" ref="AA1604:AC1604" si="3185">IF(X1604=FALSE,1,0)</f>
        <v>0</v>
      </c>
      <c r="AB1604">
        <f t="shared" si="3185"/>
        <v>1</v>
      </c>
      <c r="AC1604">
        <f t="shared" si="3185"/>
        <v>1</v>
      </c>
      <c r="AD1604">
        <f t="shared" si="6"/>
        <v>2</v>
      </c>
      <c r="AE1604">
        <f t="shared" si="7"/>
        <v>1</v>
      </c>
    </row>
    <row r="1605">
      <c r="B1605" t="str">
        <f>IFERROR(__xludf.DUMMYFUNCTION("""COMPUTED_VALUE"""),"")</f>
        <v/>
      </c>
      <c r="C1605" t="str">
        <f>IFERROR(__xludf.DUMMYFUNCTION("""COMPUTED_VALUE"""),"")</f>
        <v/>
      </c>
      <c r="D1605" t="str">
        <f>IFERROR(__xludf.DUMMYFUNCTION("""COMPUTED_VALUE"""),"")</f>
        <v/>
      </c>
      <c r="E1605" t="str">
        <f>IFERROR(__xludf.DUMMYFUNCTION("""COMPUTED_VALUE"""),"")</f>
        <v/>
      </c>
      <c r="F1605" t="str">
        <f>IFERROR(__xludf.DUMMYFUNCTION("""COMPUTED_VALUE"""),"")</f>
        <v/>
      </c>
      <c r="G1605" t="str">
        <f>IFERROR(__xludf.DUMMYFUNCTION("""COMPUTED_VALUE"""),"")</f>
        <v/>
      </c>
      <c r="H1605" t="str">
        <f>IFERROR(__xludf.DUMMYFUNCTION("""COMPUTED_VALUE"""),"")</f>
        <v/>
      </c>
      <c r="I1605" t="str">
        <f>IFERROR(__xludf.DUMMYFUNCTION("""COMPUTED_VALUE"""),"")</f>
        <v/>
      </c>
      <c r="J1605">
        <f>IFERROR(__xludf.DUMMYFUNCTION("""COMPUTED_VALUE"""),0.0)</f>
        <v>0</v>
      </c>
      <c r="L1605" s="250" t="str">
        <f>IFERROR(__xludf.DUMMYFUNCTION("""COMPUTED_VALUE"""),"")</f>
        <v/>
      </c>
      <c r="M1605" s="250" t="str">
        <f>IFERROR(__xludf.DUMMYFUNCTION("""COMPUTED_VALUE"""),"")</f>
        <v/>
      </c>
      <c r="N1605" s="250" t="str">
        <f>IFERROR(__xludf.DUMMYFUNCTION("""COMPUTED_VALUE"""),"")</f>
        <v/>
      </c>
      <c r="O1605" s="250" t="str">
        <f>IFERROR(__xludf.DUMMYFUNCTION("""COMPUTED_VALUE"""),"")</f>
        <v/>
      </c>
      <c r="P1605" s="250" t="str">
        <f>IFERROR(__xludf.DUMMYFUNCTION("""COMPUTED_VALUE"""),"")</f>
        <v/>
      </c>
      <c r="Q1605" s="250" t="str">
        <f>IFERROR(__xludf.DUMMYFUNCTION("""COMPUTED_VALUE"""),"")</f>
        <v/>
      </c>
      <c r="R1605" s="250" t="str">
        <f>IFERROR(__xludf.DUMMYFUNCTION("""COMPUTED_VALUE"""),"")</f>
        <v/>
      </c>
      <c r="U1605" s="250" t="str">
        <f>IFERROR(__xludf.DUMMYFUNCTION("""COMPUTED_VALUE"""),"#N/A")</f>
        <v>#N/A</v>
      </c>
      <c r="V1605" s="250" t="str">
        <f>IFERROR(__xludf.DUMMYFUNCTION("""COMPUTED_VALUE"""),"#N/A")</f>
        <v>#N/A</v>
      </c>
      <c r="W1605" s="250" t="str">
        <f>IFERROR(__xludf.DUMMYFUNCTION("""COMPUTED_VALUE"""),"#N/A")</f>
        <v>#N/A</v>
      </c>
      <c r="X1605" t="b">
        <f t="shared" ref="X1605:Z1605" si="3186">ISBLANK(K1605)</f>
        <v>1</v>
      </c>
      <c r="Y1605" t="b">
        <f t="shared" si="3186"/>
        <v>0</v>
      </c>
      <c r="Z1605" t="b">
        <f t="shared" si="3186"/>
        <v>0</v>
      </c>
      <c r="AA1605">
        <f t="shared" ref="AA1605:AC1605" si="3187">IF(X1605=FALSE,1,0)</f>
        <v>0</v>
      </c>
      <c r="AB1605">
        <f t="shared" si="3187"/>
        <v>1</v>
      </c>
      <c r="AC1605">
        <f t="shared" si="3187"/>
        <v>1</v>
      </c>
      <c r="AD1605">
        <f t="shared" si="6"/>
        <v>2</v>
      </c>
      <c r="AE1605">
        <f t="shared" si="7"/>
        <v>1</v>
      </c>
    </row>
    <row r="1606">
      <c r="B1606" t="str">
        <f>IFERROR(__xludf.DUMMYFUNCTION("""COMPUTED_VALUE"""),"")</f>
        <v/>
      </c>
      <c r="C1606" t="str">
        <f>IFERROR(__xludf.DUMMYFUNCTION("""COMPUTED_VALUE"""),"")</f>
        <v/>
      </c>
      <c r="D1606" t="str">
        <f>IFERROR(__xludf.DUMMYFUNCTION("""COMPUTED_VALUE"""),"")</f>
        <v/>
      </c>
      <c r="E1606" t="str">
        <f>IFERROR(__xludf.DUMMYFUNCTION("""COMPUTED_VALUE"""),"")</f>
        <v/>
      </c>
      <c r="F1606" t="str">
        <f>IFERROR(__xludf.DUMMYFUNCTION("""COMPUTED_VALUE"""),"")</f>
        <v/>
      </c>
      <c r="G1606" t="str">
        <f>IFERROR(__xludf.DUMMYFUNCTION("""COMPUTED_VALUE"""),"")</f>
        <v/>
      </c>
      <c r="H1606" t="str">
        <f>IFERROR(__xludf.DUMMYFUNCTION("""COMPUTED_VALUE"""),"")</f>
        <v/>
      </c>
      <c r="I1606" t="str">
        <f>IFERROR(__xludf.DUMMYFUNCTION("""COMPUTED_VALUE"""),"")</f>
        <v/>
      </c>
      <c r="J1606">
        <f>IFERROR(__xludf.DUMMYFUNCTION("""COMPUTED_VALUE"""),0.0)</f>
        <v>0</v>
      </c>
      <c r="L1606" s="250" t="str">
        <f>IFERROR(__xludf.DUMMYFUNCTION("""COMPUTED_VALUE"""),"")</f>
        <v/>
      </c>
      <c r="M1606" s="250" t="str">
        <f>IFERROR(__xludf.DUMMYFUNCTION("""COMPUTED_VALUE"""),"")</f>
        <v/>
      </c>
      <c r="N1606" s="250" t="str">
        <f>IFERROR(__xludf.DUMMYFUNCTION("""COMPUTED_VALUE"""),"")</f>
        <v/>
      </c>
      <c r="O1606" s="250" t="str">
        <f>IFERROR(__xludf.DUMMYFUNCTION("""COMPUTED_VALUE"""),"")</f>
        <v/>
      </c>
      <c r="P1606" s="250" t="str">
        <f>IFERROR(__xludf.DUMMYFUNCTION("""COMPUTED_VALUE"""),"")</f>
        <v/>
      </c>
      <c r="Q1606" s="250" t="str">
        <f>IFERROR(__xludf.DUMMYFUNCTION("""COMPUTED_VALUE"""),"")</f>
        <v/>
      </c>
      <c r="R1606" s="250" t="str">
        <f>IFERROR(__xludf.DUMMYFUNCTION("""COMPUTED_VALUE"""),"")</f>
        <v/>
      </c>
      <c r="U1606" s="250" t="str">
        <f>IFERROR(__xludf.DUMMYFUNCTION("""COMPUTED_VALUE"""),"#N/A")</f>
        <v>#N/A</v>
      </c>
      <c r="V1606" s="250" t="str">
        <f>IFERROR(__xludf.DUMMYFUNCTION("""COMPUTED_VALUE"""),"#N/A")</f>
        <v>#N/A</v>
      </c>
      <c r="W1606" s="250" t="str">
        <f>IFERROR(__xludf.DUMMYFUNCTION("""COMPUTED_VALUE"""),"#N/A")</f>
        <v>#N/A</v>
      </c>
      <c r="X1606" t="b">
        <f t="shared" ref="X1606:Z1606" si="3188">ISBLANK(K1606)</f>
        <v>1</v>
      </c>
      <c r="Y1606" t="b">
        <f t="shared" si="3188"/>
        <v>0</v>
      </c>
      <c r="Z1606" t="b">
        <f t="shared" si="3188"/>
        <v>0</v>
      </c>
      <c r="AA1606">
        <f t="shared" ref="AA1606:AC1606" si="3189">IF(X1606=FALSE,1,0)</f>
        <v>0</v>
      </c>
      <c r="AB1606">
        <f t="shared" si="3189"/>
        <v>1</v>
      </c>
      <c r="AC1606">
        <f t="shared" si="3189"/>
        <v>1</v>
      </c>
      <c r="AD1606">
        <f t="shared" si="6"/>
        <v>2</v>
      </c>
      <c r="AE1606">
        <f t="shared" si="7"/>
        <v>1</v>
      </c>
    </row>
    <row r="1607">
      <c r="B1607" t="str">
        <f>IFERROR(__xludf.DUMMYFUNCTION("""COMPUTED_VALUE"""),"")</f>
        <v/>
      </c>
      <c r="C1607" t="str">
        <f>IFERROR(__xludf.DUMMYFUNCTION("""COMPUTED_VALUE"""),"")</f>
        <v/>
      </c>
      <c r="D1607" t="str">
        <f>IFERROR(__xludf.DUMMYFUNCTION("""COMPUTED_VALUE"""),"")</f>
        <v/>
      </c>
      <c r="E1607" t="str">
        <f>IFERROR(__xludf.DUMMYFUNCTION("""COMPUTED_VALUE"""),"")</f>
        <v/>
      </c>
      <c r="F1607" t="str">
        <f>IFERROR(__xludf.DUMMYFUNCTION("""COMPUTED_VALUE"""),"")</f>
        <v/>
      </c>
      <c r="G1607" t="str">
        <f>IFERROR(__xludf.DUMMYFUNCTION("""COMPUTED_VALUE"""),"")</f>
        <v/>
      </c>
      <c r="H1607" t="str">
        <f>IFERROR(__xludf.DUMMYFUNCTION("""COMPUTED_VALUE"""),"")</f>
        <v/>
      </c>
      <c r="I1607" t="str">
        <f>IFERROR(__xludf.DUMMYFUNCTION("""COMPUTED_VALUE"""),"")</f>
        <v/>
      </c>
      <c r="J1607">
        <f>IFERROR(__xludf.DUMMYFUNCTION("""COMPUTED_VALUE"""),0.0)</f>
        <v>0</v>
      </c>
      <c r="L1607" s="250" t="str">
        <f>IFERROR(__xludf.DUMMYFUNCTION("""COMPUTED_VALUE"""),"")</f>
        <v/>
      </c>
      <c r="M1607" s="250" t="str">
        <f>IFERROR(__xludf.DUMMYFUNCTION("""COMPUTED_VALUE"""),"")</f>
        <v/>
      </c>
      <c r="N1607" s="250" t="str">
        <f>IFERROR(__xludf.DUMMYFUNCTION("""COMPUTED_VALUE"""),"")</f>
        <v/>
      </c>
      <c r="O1607" s="250" t="str">
        <f>IFERROR(__xludf.DUMMYFUNCTION("""COMPUTED_VALUE"""),"")</f>
        <v/>
      </c>
      <c r="P1607" s="250" t="str">
        <f>IFERROR(__xludf.DUMMYFUNCTION("""COMPUTED_VALUE"""),"")</f>
        <v/>
      </c>
      <c r="Q1607" s="250" t="str">
        <f>IFERROR(__xludf.DUMMYFUNCTION("""COMPUTED_VALUE"""),"")</f>
        <v/>
      </c>
      <c r="R1607" s="250" t="str">
        <f>IFERROR(__xludf.DUMMYFUNCTION("""COMPUTED_VALUE"""),"")</f>
        <v/>
      </c>
      <c r="U1607" s="250" t="str">
        <f>IFERROR(__xludf.DUMMYFUNCTION("""COMPUTED_VALUE"""),"#N/A")</f>
        <v>#N/A</v>
      </c>
      <c r="V1607" s="250" t="str">
        <f>IFERROR(__xludf.DUMMYFUNCTION("""COMPUTED_VALUE"""),"#N/A")</f>
        <v>#N/A</v>
      </c>
      <c r="W1607" s="250" t="str">
        <f>IFERROR(__xludf.DUMMYFUNCTION("""COMPUTED_VALUE"""),"#N/A")</f>
        <v>#N/A</v>
      </c>
      <c r="X1607" t="b">
        <f t="shared" ref="X1607:Z1607" si="3190">ISBLANK(K1607)</f>
        <v>1</v>
      </c>
      <c r="Y1607" t="b">
        <f t="shared" si="3190"/>
        <v>0</v>
      </c>
      <c r="Z1607" t="b">
        <f t="shared" si="3190"/>
        <v>0</v>
      </c>
      <c r="AA1607">
        <f t="shared" ref="AA1607:AC1607" si="3191">IF(X1607=FALSE,1,0)</f>
        <v>0</v>
      </c>
      <c r="AB1607">
        <f t="shared" si="3191"/>
        <v>1</v>
      </c>
      <c r="AC1607">
        <f t="shared" si="3191"/>
        <v>1</v>
      </c>
      <c r="AD1607">
        <f t="shared" si="6"/>
        <v>2</v>
      </c>
      <c r="AE1607">
        <f t="shared" si="7"/>
        <v>1</v>
      </c>
    </row>
    <row r="1608">
      <c r="B1608" t="str">
        <f>IFERROR(__xludf.DUMMYFUNCTION("""COMPUTED_VALUE"""),"")</f>
        <v/>
      </c>
      <c r="C1608" t="str">
        <f>IFERROR(__xludf.DUMMYFUNCTION("""COMPUTED_VALUE"""),"")</f>
        <v/>
      </c>
      <c r="D1608" t="str">
        <f>IFERROR(__xludf.DUMMYFUNCTION("""COMPUTED_VALUE"""),"")</f>
        <v/>
      </c>
      <c r="E1608" t="str">
        <f>IFERROR(__xludf.DUMMYFUNCTION("""COMPUTED_VALUE"""),"")</f>
        <v/>
      </c>
      <c r="F1608" t="str">
        <f>IFERROR(__xludf.DUMMYFUNCTION("""COMPUTED_VALUE"""),"")</f>
        <v/>
      </c>
      <c r="G1608" t="str">
        <f>IFERROR(__xludf.DUMMYFUNCTION("""COMPUTED_VALUE"""),"")</f>
        <v/>
      </c>
      <c r="H1608" t="str">
        <f>IFERROR(__xludf.DUMMYFUNCTION("""COMPUTED_VALUE"""),"")</f>
        <v/>
      </c>
      <c r="I1608" t="str">
        <f>IFERROR(__xludf.DUMMYFUNCTION("""COMPUTED_VALUE"""),"")</f>
        <v/>
      </c>
      <c r="J1608">
        <f>IFERROR(__xludf.DUMMYFUNCTION("""COMPUTED_VALUE"""),0.0)</f>
        <v>0</v>
      </c>
      <c r="L1608" s="250" t="str">
        <f>IFERROR(__xludf.DUMMYFUNCTION("""COMPUTED_VALUE"""),"")</f>
        <v/>
      </c>
      <c r="M1608" s="250" t="str">
        <f>IFERROR(__xludf.DUMMYFUNCTION("""COMPUTED_VALUE"""),"")</f>
        <v/>
      </c>
      <c r="N1608" s="250" t="str">
        <f>IFERROR(__xludf.DUMMYFUNCTION("""COMPUTED_VALUE"""),"")</f>
        <v/>
      </c>
      <c r="O1608" s="250" t="str">
        <f>IFERROR(__xludf.DUMMYFUNCTION("""COMPUTED_VALUE"""),"")</f>
        <v/>
      </c>
      <c r="P1608" s="250" t="str">
        <f>IFERROR(__xludf.DUMMYFUNCTION("""COMPUTED_VALUE"""),"")</f>
        <v/>
      </c>
      <c r="Q1608" s="250" t="str">
        <f>IFERROR(__xludf.DUMMYFUNCTION("""COMPUTED_VALUE"""),"")</f>
        <v/>
      </c>
      <c r="R1608" s="250" t="str">
        <f>IFERROR(__xludf.DUMMYFUNCTION("""COMPUTED_VALUE"""),"")</f>
        <v/>
      </c>
      <c r="U1608" s="250" t="str">
        <f>IFERROR(__xludf.DUMMYFUNCTION("""COMPUTED_VALUE"""),"#N/A")</f>
        <v>#N/A</v>
      </c>
      <c r="V1608" s="250" t="str">
        <f>IFERROR(__xludf.DUMMYFUNCTION("""COMPUTED_VALUE"""),"#N/A")</f>
        <v>#N/A</v>
      </c>
      <c r="W1608" s="250" t="str">
        <f>IFERROR(__xludf.DUMMYFUNCTION("""COMPUTED_VALUE"""),"#N/A")</f>
        <v>#N/A</v>
      </c>
      <c r="X1608" t="b">
        <f t="shared" ref="X1608:Z1608" si="3192">ISBLANK(K1608)</f>
        <v>1</v>
      </c>
      <c r="Y1608" t="b">
        <f t="shared" si="3192"/>
        <v>0</v>
      </c>
      <c r="Z1608" t="b">
        <f t="shared" si="3192"/>
        <v>0</v>
      </c>
      <c r="AA1608">
        <f t="shared" ref="AA1608:AC1608" si="3193">IF(X1608=FALSE,1,0)</f>
        <v>0</v>
      </c>
      <c r="AB1608">
        <f t="shared" si="3193"/>
        <v>1</v>
      </c>
      <c r="AC1608">
        <f t="shared" si="3193"/>
        <v>1</v>
      </c>
      <c r="AD1608">
        <f t="shared" si="6"/>
        <v>2</v>
      </c>
      <c r="AE1608">
        <f t="shared" si="7"/>
        <v>1</v>
      </c>
    </row>
    <row r="1609">
      <c r="B1609" t="str">
        <f>IFERROR(__xludf.DUMMYFUNCTION("""COMPUTED_VALUE"""),"")</f>
        <v/>
      </c>
      <c r="C1609" t="str">
        <f>IFERROR(__xludf.DUMMYFUNCTION("""COMPUTED_VALUE"""),"")</f>
        <v/>
      </c>
      <c r="D1609" t="str">
        <f>IFERROR(__xludf.DUMMYFUNCTION("""COMPUTED_VALUE"""),"")</f>
        <v/>
      </c>
      <c r="E1609" t="str">
        <f>IFERROR(__xludf.DUMMYFUNCTION("""COMPUTED_VALUE"""),"")</f>
        <v/>
      </c>
      <c r="F1609" t="str">
        <f>IFERROR(__xludf.DUMMYFUNCTION("""COMPUTED_VALUE"""),"")</f>
        <v/>
      </c>
      <c r="G1609" t="str">
        <f>IFERROR(__xludf.DUMMYFUNCTION("""COMPUTED_VALUE"""),"")</f>
        <v/>
      </c>
      <c r="H1609" t="str">
        <f>IFERROR(__xludf.DUMMYFUNCTION("""COMPUTED_VALUE"""),"")</f>
        <v/>
      </c>
      <c r="I1609" t="str">
        <f>IFERROR(__xludf.DUMMYFUNCTION("""COMPUTED_VALUE"""),"")</f>
        <v/>
      </c>
      <c r="J1609">
        <f>IFERROR(__xludf.DUMMYFUNCTION("""COMPUTED_VALUE"""),0.0)</f>
        <v>0</v>
      </c>
      <c r="L1609" s="250" t="str">
        <f>IFERROR(__xludf.DUMMYFUNCTION("""COMPUTED_VALUE"""),"")</f>
        <v/>
      </c>
      <c r="M1609" s="250" t="str">
        <f>IFERROR(__xludf.DUMMYFUNCTION("""COMPUTED_VALUE"""),"")</f>
        <v/>
      </c>
      <c r="N1609" s="250" t="str">
        <f>IFERROR(__xludf.DUMMYFUNCTION("""COMPUTED_VALUE"""),"")</f>
        <v/>
      </c>
      <c r="O1609" s="250" t="str">
        <f>IFERROR(__xludf.DUMMYFUNCTION("""COMPUTED_VALUE"""),"")</f>
        <v/>
      </c>
      <c r="P1609" s="250" t="str">
        <f>IFERROR(__xludf.DUMMYFUNCTION("""COMPUTED_VALUE"""),"")</f>
        <v/>
      </c>
      <c r="Q1609" s="250" t="str">
        <f>IFERROR(__xludf.DUMMYFUNCTION("""COMPUTED_VALUE"""),"")</f>
        <v/>
      </c>
      <c r="R1609" s="250" t="str">
        <f>IFERROR(__xludf.DUMMYFUNCTION("""COMPUTED_VALUE"""),"")</f>
        <v/>
      </c>
      <c r="U1609" s="250" t="str">
        <f>IFERROR(__xludf.DUMMYFUNCTION("""COMPUTED_VALUE"""),"#N/A")</f>
        <v>#N/A</v>
      </c>
      <c r="V1609" s="250" t="str">
        <f>IFERROR(__xludf.DUMMYFUNCTION("""COMPUTED_VALUE"""),"#N/A")</f>
        <v>#N/A</v>
      </c>
      <c r="W1609" s="250" t="str">
        <f>IFERROR(__xludf.DUMMYFUNCTION("""COMPUTED_VALUE"""),"#N/A")</f>
        <v>#N/A</v>
      </c>
      <c r="X1609" t="b">
        <f t="shared" ref="X1609:Z1609" si="3194">ISBLANK(K1609)</f>
        <v>1</v>
      </c>
      <c r="Y1609" t="b">
        <f t="shared" si="3194"/>
        <v>0</v>
      </c>
      <c r="Z1609" t="b">
        <f t="shared" si="3194"/>
        <v>0</v>
      </c>
      <c r="AA1609">
        <f t="shared" ref="AA1609:AC1609" si="3195">IF(X1609=FALSE,1,0)</f>
        <v>0</v>
      </c>
      <c r="AB1609">
        <f t="shared" si="3195"/>
        <v>1</v>
      </c>
      <c r="AC1609">
        <f t="shared" si="3195"/>
        <v>1</v>
      </c>
      <c r="AD1609">
        <f t="shared" si="6"/>
        <v>2</v>
      </c>
      <c r="AE1609">
        <f t="shared" si="7"/>
        <v>1</v>
      </c>
    </row>
    <row r="1610">
      <c r="B1610" t="str">
        <f>IFERROR(__xludf.DUMMYFUNCTION("""COMPUTED_VALUE"""),"")</f>
        <v/>
      </c>
      <c r="C1610" t="str">
        <f>IFERROR(__xludf.DUMMYFUNCTION("""COMPUTED_VALUE"""),"")</f>
        <v/>
      </c>
      <c r="D1610" t="str">
        <f>IFERROR(__xludf.DUMMYFUNCTION("""COMPUTED_VALUE"""),"")</f>
        <v/>
      </c>
      <c r="E1610" t="str">
        <f>IFERROR(__xludf.DUMMYFUNCTION("""COMPUTED_VALUE"""),"")</f>
        <v/>
      </c>
      <c r="F1610" t="str">
        <f>IFERROR(__xludf.DUMMYFUNCTION("""COMPUTED_VALUE"""),"")</f>
        <v/>
      </c>
      <c r="G1610" t="str">
        <f>IFERROR(__xludf.DUMMYFUNCTION("""COMPUTED_VALUE"""),"")</f>
        <v/>
      </c>
      <c r="H1610" t="str">
        <f>IFERROR(__xludf.DUMMYFUNCTION("""COMPUTED_VALUE"""),"")</f>
        <v/>
      </c>
      <c r="I1610" t="str">
        <f>IFERROR(__xludf.DUMMYFUNCTION("""COMPUTED_VALUE"""),"")</f>
        <v/>
      </c>
      <c r="J1610">
        <f>IFERROR(__xludf.DUMMYFUNCTION("""COMPUTED_VALUE"""),0.0)</f>
        <v>0</v>
      </c>
      <c r="L1610" s="250" t="str">
        <f>IFERROR(__xludf.DUMMYFUNCTION("""COMPUTED_VALUE"""),"")</f>
        <v/>
      </c>
      <c r="M1610" s="250" t="str">
        <f>IFERROR(__xludf.DUMMYFUNCTION("""COMPUTED_VALUE"""),"")</f>
        <v/>
      </c>
      <c r="N1610" s="250" t="str">
        <f>IFERROR(__xludf.DUMMYFUNCTION("""COMPUTED_VALUE"""),"")</f>
        <v/>
      </c>
      <c r="O1610" s="250" t="str">
        <f>IFERROR(__xludf.DUMMYFUNCTION("""COMPUTED_VALUE"""),"")</f>
        <v/>
      </c>
      <c r="P1610" s="250" t="str">
        <f>IFERROR(__xludf.DUMMYFUNCTION("""COMPUTED_VALUE"""),"")</f>
        <v/>
      </c>
      <c r="Q1610" s="250" t="str">
        <f>IFERROR(__xludf.DUMMYFUNCTION("""COMPUTED_VALUE"""),"")</f>
        <v/>
      </c>
      <c r="R1610" s="250" t="str">
        <f>IFERROR(__xludf.DUMMYFUNCTION("""COMPUTED_VALUE"""),"")</f>
        <v/>
      </c>
      <c r="U1610" s="250" t="str">
        <f>IFERROR(__xludf.DUMMYFUNCTION("""COMPUTED_VALUE"""),"#N/A")</f>
        <v>#N/A</v>
      </c>
      <c r="V1610" s="250" t="str">
        <f>IFERROR(__xludf.DUMMYFUNCTION("""COMPUTED_VALUE"""),"#N/A")</f>
        <v>#N/A</v>
      </c>
      <c r="W1610" s="250" t="str">
        <f>IFERROR(__xludf.DUMMYFUNCTION("""COMPUTED_VALUE"""),"#N/A")</f>
        <v>#N/A</v>
      </c>
      <c r="X1610" t="b">
        <f t="shared" ref="X1610:Z1610" si="3196">ISBLANK(K1610)</f>
        <v>1</v>
      </c>
      <c r="Y1610" t="b">
        <f t="shared" si="3196"/>
        <v>0</v>
      </c>
      <c r="Z1610" t="b">
        <f t="shared" si="3196"/>
        <v>0</v>
      </c>
      <c r="AA1610">
        <f t="shared" ref="AA1610:AC1610" si="3197">IF(X1610=FALSE,1,0)</f>
        <v>0</v>
      </c>
      <c r="AB1610">
        <f t="shared" si="3197"/>
        <v>1</v>
      </c>
      <c r="AC1610">
        <f t="shared" si="3197"/>
        <v>1</v>
      </c>
      <c r="AD1610">
        <f t="shared" si="6"/>
        <v>2</v>
      </c>
      <c r="AE1610">
        <f t="shared" si="7"/>
        <v>1</v>
      </c>
    </row>
    <row r="1611">
      <c r="B1611" t="str">
        <f>IFERROR(__xludf.DUMMYFUNCTION("""COMPUTED_VALUE"""),"")</f>
        <v/>
      </c>
      <c r="C1611" t="str">
        <f>IFERROR(__xludf.DUMMYFUNCTION("""COMPUTED_VALUE"""),"")</f>
        <v/>
      </c>
      <c r="D1611" t="str">
        <f>IFERROR(__xludf.DUMMYFUNCTION("""COMPUTED_VALUE"""),"")</f>
        <v/>
      </c>
      <c r="E1611" t="str">
        <f>IFERROR(__xludf.DUMMYFUNCTION("""COMPUTED_VALUE"""),"")</f>
        <v/>
      </c>
      <c r="F1611" t="str">
        <f>IFERROR(__xludf.DUMMYFUNCTION("""COMPUTED_VALUE"""),"")</f>
        <v/>
      </c>
      <c r="G1611" t="str">
        <f>IFERROR(__xludf.DUMMYFUNCTION("""COMPUTED_VALUE"""),"")</f>
        <v/>
      </c>
      <c r="H1611" t="str">
        <f>IFERROR(__xludf.DUMMYFUNCTION("""COMPUTED_VALUE"""),"")</f>
        <v/>
      </c>
      <c r="I1611" t="str">
        <f>IFERROR(__xludf.DUMMYFUNCTION("""COMPUTED_VALUE"""),"")</f>
        <v/>
      </c>
      <c r="J1611">
        <f>IFERROR(__xludf.DUMMYFUNCTION("""COMPUTED_VALUE"""),0.0)</f>
        <v>0</v>
      </c>
      <c r="L1611" s="250" t="str">
        <f>IFERROR(__xludf.DUMMYFUNCTION("""COMPUTED_VALUE"""),"")</f>
        <v/>
      </c>
      <c r="M1611" s="250" t="str">
        <f>IFERROR(__xludf.DUMMYFUNCTION("""COMPUTED_VALUE"""),"")</f>
        <v/>
      </c>
      <c r="N1611" s="250" t="str">
        <f>IFERROR(__xludf.DUMMYFUNCTION("""COMPUTED_VALUE"""),"")</f>
        <v/>
      </c>
      <c r="O1611" s="250" t="str">
        <f>IFERROR(__xludf.DUMMYFUNCTION("""COMPUTED_VALUE"""),"")</f>
        <v/>
      </c>
      <c r="P1611" s="250" t="str">
        <f>IFERROR(__xludf.DUMMYFUNCTION("""COMPUTED_VALUE"""),"")</f>
        <v/>
      </c>
      <c r="Q1611" s="250" t="str">
        <f>IFERROR(__xludf.DUMMYFUNCTION("""COMPUTED_VALUE"""),"")</f>
        <v/>
      </c>
      <c r="R1611" s="250" t="str">
        <f>IFERROR(__xludf.DUMMYFUNCTION("""COMPUTED_VALUE"""),"")</f>
        <v/>
      </c>
      <c r="U1611" s="250" t="str">
        <f>IFERROR(__xludf.DUMMYFUNCTION("""COMPUTED_VALUE"""),"#N/A")</f>
        <v>#N/A</v>
      </c>
      <c r="V1611" s="250" t="str">
        <f>IFERROR(__xludf.DUMMYFUNCTION("""COMPUTED_VALUE"""),"#N/A")</f>
        <v>#N/A</v>
      </c>
      <c r="W1611" s="250" t="str">
        <f>IFERROR(__xludf.DUMMYFUNCTION("""COMPUTED_VALUE"""),"#N/A")</f>
        <v>#N/A</v>
      </c>
      <c r="X1611" t="b">
        <f t="shared" ref="X1611:Z1611" si="3198">ISBLANK(K1611)</f>
        <v>1</v>
      </c>
      <c r="Y1611" t="b">
        <f t="shared" si="3198"/>
        <v>0</v>
      </c>
      <c r="Z1611" t="b">
        <f t="shared" si="3198"/>
        <v>0</v>
      </c>
      <c r="AA1611">
        <f t="shared" ref="AA1611:AC1611" si="3199">IF(X1611=FALSE,1,0)</f>
        <v>0</v>
      </c>
      <c r="AB1611">
        <f t="shared" si="3199"/>
        <v>1</v>
      </c>
      <c r="AC1611">
        <f t="shared" si="3199"/>
        <v>1</v>
      </c>
      <c r="AD1611">
        <f t="shared" si="6"/>
        <v>2</v>
      </c>
      <c r="AE1611">
        <f t="shared" si="7"/>
        <v>1</v>
      </c>
    </row>
    <row r="1612">
      <c r="B1612" t="str">
        <f>IFERROR(__xludf.DUMMYFUNCTION("""COMPUTED_VALUE"""),"")</f>
        <v/>
      </c>
      <c r="C1612" t="str">
        <f>IFERROR(__xludf.DUMMYFUNCTION("""COMPUTED_VALUE"""),"")</f>
        <v/>
      </c>
      <c r="D1612" t="str">
        <f>IFERROR(__xludf.DUMMYFUNCTION("""COMPUTED_VALUE"""),"")</f>
        <v/>
      </c>
      <c r="E1612" t="str">
        <f>IFERROR(__xludf.DUMMYFUNCTION("""COMPUTED_VALUE"""),"")</f>
        <v/>
      </c>
      <c r="F1612" t="str">
        <f>IFERROR(__xludf.DUMMYFUNCTION("""COMPUTED_VALUE"""),"")</f>
        <v/>
      </c>
      <c r="G1612" t="str">
        <f>IFERROR(__xludf.DUMMYFUNCTION("""COMPUTED_VALUE"""),"")</f>
        <v/>
      </c>
      <c r="H1612" t="str">
        <f>IFERROR(__xludf.DUMMYFUNCTION("""COMPUTED_VALUE"""),"")</f>
        <v/>
      </c>
      <c r="I1612" t="str">
        <f>IFERROR(__xludf.DUMMYFUNCTION("""COMPUTED_VALUE"""),"")</f>
        <v/>
      </c>
      <c r="J1612">
        <f>IFERROR(__xludf.DUMMYFUNCTION("""COMPUTED_VALUE"""),0.0)</f>
        <v>0</v>
      </c>
      <c r="L1612" s="250" t="str">
        <f>IFERROR(__xludf.DUMMYFUNCTION("""COMPUTED_VALUE"""),"")</f>
        <v/>
      </c>
      <c r="M1612" s="250" t="str">
        <f>IFERROR(__xludf.DUMMYFUNCTION("""COMPUTED_VALUE"""),"")</f>
        <v/>
      </c>
      <c r="N1612" s="250" t="str">
        <f>IFERROR(__xludf.DUMMYFUNCTION("""COMPUTED_VALUE"""),"")</f>
        <v/>
      </c>
      <c r="O1612" s="250" t="str">
        <f>IFERROR(__xludf.DUMMYFUNCTION("""COMPUTED_VALUE"""),"")</f>
        <v/>
      </c>
      <c r="P1612" s="250" t="str">
        <f>IFERROR(__xludf.DUMMYFUNCTION("""COMPUTED_VALUE"""),"")</f>
        <v/>
      </c>
      <c r="Q1612" s="250" t="str">
        <f>IFERROR(__xludf.DUMMYFUNCTION("""COMPUTED_VALUE"""),"")</f>
        <v/>
      </c>
      <c r="R1612" s="250" t="str">
        <f>IFERROR(__xludf.DUMMYFUNCTION("""COMPUTED_VALUE"""),"")</f>
        <v/>
      </c>
      <c r="U1612" s="250" t="str">
        <f>IFERROR(__xludf.DUMMYFUNCTION("""COMPUTED_VALUE"""),"#N/A")</f>
        <v>#N/A</v>
      </c>
      <c r="V1612" s="250" t="str">
        <f>IFERROR(__xludf.DUMMYFUNCTION("""COMPUTED_VALUE"""),"#N/A")</f>
        <v>#N/A</v>
      </c>
      <c r="W1612" s="250" t="str">
        <f>IFERROR(__xludf.DUMMYFUNCTION("""COMPUTED_VALUE"""),"#N/A")</f>
        <v>#N/A</v>
      </c>
      <c r="X1612" t="b">
        <f t="shared" ref="X1612:Z1612" si="3200">ISBLANK(K1612)</f>
        <v>1</v>
      </c>
      <c r="Y1612" t="b">
        <f t="shared" si="3200"/>
        <v>0</v>
      </c>
      <c r="Z1612" t="b">
        <f t="shared" si="3200"/>
        <v>0</v>
      </c>
      <c r="AA1612">
        <f t="shared" ref="AA1612:AC1612" si="3201">IF(X1612=FALSE,1,0)</f>
        <v>0</v>
      </c>
      <c r="AB1612">
        <f t="shared" si="3201"/>
        <v>1</v>
      </c>
      <c r="AC1612">
        <f t="shared" si="3201"/>
        <v>1</v>
      </c>
      <c r="AD1612">
        <f t="shared" si="6"/>
        <v>2</v>
      </c>
      <c r="AE1612">
        <f t="shared" si="7"/>
        <v>1</v>
      </c>
    </row>
    <row r="1613">
      <c r="B1613" t="str">
        <f>IFERROR(__xludf.DUMMYFUNCTION("""COMPUTED_VALUE"""),"")</f>
        <v/>
      </c>
      <c r="C1613" t="str">
        <f>IFERROR(__xludf.DUMMYFUNCTION("""COMPUTED_VALUE"""),"")</f>
        <v/>
      </c>
      <c r="D1613" t="str">
        <f>IFERROR(__xludf.DUMMYFUNCTION("""COMPUTED_VALUE"""),"")</f>
        <v/>
      </c>
      <c r="E1613" t="str">
        <f>IFERROR(__xludf.DUMMYFUNCTION("""COMPUTED_VALUE"""),"")</f>
        <v/>
      </c>
      <c r="F1613" t="str">
        <f>IFERROR(__xludf.DUMMYFUNCTION("""COMPUTED_VALUE"""),"")</f>
        <v/>
      </c>
      <c r="G1613" t="str">
        <f>IFERROR(__xludf.DUMMYFUNCTION("""COMPUTED_VALUE"""),"")</f>
        <v/>
      </c>
      <c r="H1613" t="str">
        <f>IFERROR(__xludf.DUMMYFUNCTION("""COMPUTED_VALUE"""),"")</f>
        <v/>
      </c>
      <c r="I1613" t="str">
        <f>IFERROR(__xludf.DUMMYFUNCTION("""COMPUTED_VALUE"""),"")</f>
        <v/>
      </c>
      <c r="J1613">
        <f>IFERROR(__xludf.DUMMYFUNCTION("""COMPUTED_VALUE"""),0.0)</f>
        <v>0</v>
      </c>
      <c r="L1613" s="250" t="str">
        <f>IFERROR(__xludf.DUMMYFUNCTION("""COMPUTED_VALUE"""),"")</f>
        <v/>
      </c>
      <c r="M1613" s="250" t="str">
        <f>IFERROR(__xludf.DUMMYFUNCTION("""COMPUTED_VALUE"""),"")</f>
        <v/>
      </c>
      <c r="N1613" s="250" t="str">
        <f>IFERROR(__xludf.DUMMYFUNCTION("""COMPUTED_VALUE"""),"")</f>
        <v/>
      </c>
      <c r="O1613" s="250" t="str">
        <f>IFERROR(__xludf.DUMMYFUNCTION("""COMPUTED_VALUE"""),"")</f>
        <v/>
      </c>
      <c r="P1613" s="250" t="str">
        <f>IFERROR(__xludf.DUMMYFUNCTION("""COMPUTED_VALUE"""),"")</f>
        <v/>
      </c>
      <c r="Q1613" s="250" t="str">
        <f>IFERROR(__xludf.DUMMYFUNCTION("""COMPUTED_VALUE"""),"")</f>
        <v/>
      </c>
      <c r="R1613" s="250" t="str">
        <f>IFERROR(__xludf.DUMMYFUNCTION("""COMPUTED_VALUE"""),"")</f>
        <v/>
      </c>
      <c r="U1613" s="250" t="str">
        <f>IFERROR(__xludf.DUMMYFUNCTION("""COMPUTED_VALUE"""),"#N/A")</f>
        <v>#N/A</v>
      </c>
      <c r="V1613" s="250" t="str">
        <f>IFERROR(__xludf.DUMMYFUNCTION("""COMPUTED_VALUE"""),"#N/A")</f>
        <v>#N/A</v>
      </c>
      <c r="W1613" s="250" t="str">
        <f>IFERROR(__xludf.DUMMYFUNCTION("""COMPUTED_VALUE"""),"#N/A")</f>
        <v>#N/A</v>
      </c>
      <c r="X1613" t="b">
        <f t="shared" ref="X1613:Z1613" si="3202">ISBLANK(K1613)</f>
        <v>1</v>
      </c>
      <c r="Y1613" t="b">
        <f t="shared" si="3202"/>
        <v>0</v>
      </c>
      <c r="Z1613" t="b">
        <f t="shared" si="3202"/>
        <v>0</v>
      </c>
      <c r="AA1613">
        <f t="shared" ref="AA1613:AC1613" si="3203">IF(X1613=FALSE,1,0)</f>
        <v>0</v>
      </c>
      <c r="AB1613">
        <f t="shared" si="3203"/>
        <v>1</v>
      </c>
      <c r="AC1613">
        <f t="shared" si="3203"/>
        <v>1</v>
      </c>
      <c r="AD1613">
        <f t="shared" si="6"/>
        <v>2</v>
      </c>
      <c r="AE1613">
        <f t="shared" si="7"/>
        <v>1</v>
      </c>
    </row>
    <row r="1614">
      <c r="B1614" t="str">
        <f>IFERROR(__xludf.DUMMYFUNCTION("""COMPUTED_VALUE"""),"")</f>
        <v/>
      </c>
      <c r="C1614" t="str">
        <f>IFERROR(__xludf.DUMMYFUNCTION("""COMPUTED_VALUE"""),"")</f>
        <v/>
      </c>
      <c r="D1614" t="str">
        <f>IFERROR(__xludf.DUMMYFUNCTION("""COMPUTED_VALUE"""),"")</f>
        <v/>
      </c>
      <c r="E1614" t="str">
        <f>IFERROR(__xludf.DUMMYFUNCTION("""COMPUTED_VALUE"""),"")</f>
        <v/>
      </c>
      <c r="F1614" t="str">
        <f>IFERROR(__xludf.DUMMYFUNCTION("""COMPUTED_VALUE"""),"")</f>
        <v/>
      </c>
      <c r="G1614" t="str">
        <f>IFERROR(__xludf.DUMMYFUNCTION("""COMPUTED_VALUE"""),"")</f>
        <v/>
      </c>
      <c r="H1614" t="str">
        <f>IFERROR(__xludf.DUMMYFUNCTION("""COMPUTED_VALUE"""),"")</f>
        <v/>
      </c>
      <c r="I1614" t="str">
        <f>IFERROR(__xludf.DUMMYFUNCTION("""COMPUTED_VALUE"""),"")</f>
        <v/>
      </c>
      <c r="J1614">
        <f>IFERROR(__xludf.DUMMYFUNCTION("""COMPUTED_VALUE"""),0.0)</f>
        <v>0</v>
      </c>
      <c r="L1614" s="250" t="str">
        <f>IFERROR(__xludf.DUMMYFUNCTION("""COMPUTED_VALUE"""),"")</f>
        <v/>
      </c>
      <c r="M1614" s="250" t="str">
        <f>IFERROR(__xludf.DUMMYFUNCTION("""COMPUTED_VALUE"""),"")</f>
        <v/>
      </c>
      <c r="N1614" s="250" t="str">
        <f>IFERROR(__xludf.DUMMYFUNCTION("""COMPUTED_VALUE"""),"")</f>
        <v/>
      </c>
      <c r="O1614" s="250" t="str">
        <f>IFERROR(__xludf.DUMMYFUNCTION("""COMPUTED_VALUE"""),"")</f>
        <v/>
      </c>
      <c r="P1614" s="250" t="str">
        <f>IFERROR(__xludf.DUMMYFUNCTION("""COMPUTED_VALUE"""),"")</f>
        <v/>
      </c>
      <c r="Q1614" s="250" t="str">
        <f>IFERROR(__xludf.DUMMYFUNCTION("""COMPUTED_VALUE"""),"")</f>
        <v/>
      </c>
      <c r="R1614" s="250" t="str">
        <f>IFERROR(__xludf.DUMMYFUNCTION("""COMPUTED_VALUE"""),"")</f>
        <v/>
      </c>
      <c r="U1614" s="250" t="str">
        <f>IFERROR(__xludf.DUMMYFUNCTION("""COMPUTED_VALUE"""),"#N/A")</f>
        <v>#N/A</v>
      </c>
      <c r="V1614" s="250" t="str">
        <f>IFERROR(__xludf.DUMMYFUNCTION("""COMPUTED_VALUE"""),"#N/A")</f>
        <v>#N/A</v>
      </c>
      <c r="W1614" s="250" t="str">
        <f>IFERROR(__xludf.DUMMYFUNCTION("""COMPUTED_VALUE"""),"#N/A")</f>
        <v>#N/A</v>
      </c>
      <c r="X1614" t="b">
        <f t="shared" ref="X1614:Z1614" si="3204">ISBLANK(K1614)</f>
        <v>1</v>
      </c>
      <c r="Y1614" t="b">
        <f t="shared" si="3204"/>
        <v>0</v>
      </c>
      <c r="Z1614" t="b">
        <f t="shared" si="3204"/>
        <v>0</v>
      </c>
      <c r="AA1614">
        <f t="shared" ref="AA1614:AC1614" si="3205">IF(X1614=FALSE,1,0)</f>
        <v>0</v>
      </c>
      <c r="AB1614">
        <f t="shared" si="3205"/>
        <v>1</v>
      </c>
      <c r="AC1614">
        <f t="shared" si="3205"/>
        <v>1</v>
      </c>
      <c r="AD1614">
        <f t="shared" si="6"/>
        <v>2</v>
      </c>
      <c r="AE1614">
        <f t="shared" si="7"/>
        <v>1</v>
      </c>
    </row>
    <row r="1615">
      <c r="B1615" t="str">
        <f>IFERROR(__xludf.DUMMYFUNCTION("""COMPUTED_VALUE"""),"")</f>
        <v/>
      </c>
      <c r="C1615" t="str">
        <f>IFERROR(__xludf.DUMMYFUNCTION("""COMPUTED_VALUE"""),"")</f>
        <v/>
      </c>
      <c r="D1615" t="str">
        <f>IFERROR(__xludf.DUMMYFUNCTION("""COMPUTED_VALUE"""),"")</f>
        <v/>
      </c>
      <c r="E1615" t="str">
        <f>IFERROR(__xludf.DUMMYFUNCTION("""COMPUTED_VALUE"""),"")</f>
        <v/>
      </c>
      <c r="F1615" t="str">
        <f>IFERROR(__xludf.DUMMYFUNCTION("""COMPUTED_VALUE"""),"")</f>
        <v/>
      </c>
      <c r="G1615" t="str">
        <f>IFERROR(__xludf.DUMMYFUNCTION("""COMPUTED_VALUE"""),"")</f>
        <v/>
      </c>
      <c r="H1615" t="str">
        <f>IFERROR(__xludf.DUMMYFUNCTION("""COMPUTED_VALUE"""),"")</f>
        <v/>
      </c>
      <c r="I1615" t="str">
        <f>IFERROR(__xludf.DUMMYFUNCTION("""COMPUTED_VALUE"""),"")</f>
        <v/>
      </c>
      <c r="J1615">
        <f>IFERROR(__xludf.DUMMYFUNCTION("""COMPUTED_VALUE"""),0.0)</f>
        <v>0</v>
      </c>
      <c r="L1615" s="250" t="str">
        <f>IFERROR(__xludf.DUMMYFUNCTION("""COMPUTED_VALUE"""),"")</f>
        <v/>
      </c>
      <c r="M1615" s="250" t="str">
        <f>IFERROR(__xludf.DUMMYFUNCTION("""COMPUTED_VALUE"""),"")</f>
        <v/>
      </c>
      <c r="N1615" s="250" t="str">
        <f>IFERROR(__xludf.DUMMYFUNCTION("""COMPUTED_VALUE"""),"")</f>
        <v/>
      </c>
      <c r="O1615" s="250" t="str">
        <f>IFERROR(__xludf.DUMMYFUNCTION("""COMPUTED_VALUE"""),"")</f>
        <v/>
      </c>
      <c r="P1615" s="250" t="str">
        <f>IFERROR(__xludf.DUMMYFUNCTION("""COMPUTED_VALUE"""),"")</f>
        <v/>
      </c>
      <c r="Q1615" s="250" t="str">
        <f>IFERROR(__xludf.DUMMYFUNCTION("""COMPUTED_VALUE"""),"")</f>
        <v/>
      </c>
      <c r="R1615" s="250" t="str">
        <f>IFERROR(__xludf.DUMMYFUNCTION("""COMPUTED_VALUE"""),"")</f>
        <v/>
      </c>
      <c r="U1615" s="250" t="str">
        <f>IFERROR(__xludf.DUMMYFUNCTION("""COMPUTED_VALUE"""),"#N/A")</f>
        <v>#N/A</v>
      </c>
      <c r="V1615" s="250" t="str">
        <f>IFERROR(__xludf.DUMMYFUNCTION("""COMPUTED_VALUE"""),"#N/A")</f>
        <v>#N/A</v>
      </c>
      <c r="W1615" s="250" t="str">
        <f>IFERROR(__xludf.DUMMYFUNCTION("""COMPUTED_VALUE"""),"#N/A")</f>
        <v>#N/A</v>
      </c>
      <c r="X1615" t="b">
        <f t="shared" ref="X1615:Z1615" si="3206">ISBLANK(K1615)</f>
        <v>1</v>
      </c>
      <c r="Y1615" t="b">
        <f t="shared" si="3206"/>
        <v>0</v>
      </c>
      <c r="Z1615" t="b">
        <f t="shared" si="3206"/>
        <v>0</v>
      </c>
      <c r="AA1615">
        <f t="shared" ref="AA1615:AC1615" si="3207">IF(X1615=FALSE,1,0)</f>
        <v>0</v>
      </c>
      <c r="AB1615">
        <f t="shared" si="3207"/>
        <v>1</v>
      </c>
      <c r="AC1615">
        <f t="shared" si="3207"/>
        <v>1</v>
      </c>
      <c r="AD1615">
        <f t="shared" si="6"/>
        <v>2</v>
      </c>
      <c r="AE1615">
        <f t="shared" si="7"/>
        <v>1</v>
      </c>
    </row>
    <row r="1616">
      <c r="B1616" t="str">
        <f>IFERROR(__xludf.DUMMYFUNCTION("""COMPUTED_VALUE"""),"")</f>
        <v/>
      </c>
      <c r="C1616" t="str">
        <f>IFERROR(__xludf.DUMMYFUNCTION("""COMPUTED_VALUE"""),"")</f>
        <v/>
      </c>
      <c r="D1616" t="str">
        <f>IFERROR(__xludf.DUMMYFUNCTION("""COMPUTED_VALUE"""),"")</f>
        <v/>
      </c>
      <c r="E1616" t="str">
        <f>IFERROR(__xludf.DUMMYFUNCTION("""COMPUTED_VALUE"""),"")</f>
        <v/>
      </c>
      <c r="F1616" t="str">
        <f>IFERROR(__xludf.DUMMYFUNCTION("""COMPUTED_VALUE"""),"")</f>
        <v/>
      </c>
      <c r="G1616" t="str">
        <f>IFERROR(__xludf.DUMMYFUNCTION("""COMPUTED_VALUE"""),"")</f>
        <v/>
      </c>
      <c r="H1616" t="str">
        <f>IFERROR(__xludf.DUMMYFUNCTION("""COMPUTED_VALUE"""),"")</f>
        <v/>
      </c>
      <c r="I1616" t="str">
        <f>IFERROR(__xludf.DUMMYFUNCTION("""COMPUTED_VALUE"""),"")</f>
        <v/>
      </c>
      <c r="J1616">
        <f>IFERROR(__xludf.DUMMYFUNCTION("""COMPUTED_VALUE"""),0.0)</f>
        <v>0</v>
      </c>
      <c r="L1616" s="250" t="str">
        <f>IFERROR(__xludf.DUMMYFUNCTION("""COMPUTED_VALUE"""),"")</f>
        <v/>
      </c>
      <c r="M1616" s="250" t="str">
        <f>IFERROR(__xludf.DUMMYFUNCTION("""COMPUTED_VALUE"""),"")</f>
        <v/>
      </c>
      <c r="N1616" s="250" t="str">
        <f>IFERROR(__xludf.DUMMYFUNCTION("""COMPUTED_VALUE"""),"")</f>
        <v/>
      </c>
      <c r="O1616" s="250" t="str">
        <f>IFERROR(__xludf.DUMMYFUNCTION("""COMPUTED_VALUE"""),"")</f>
        <v/>
      </c>
      <c r="P1616" s="250" t="str">
        <f>IFERROR(__xludf.DUMMYFUNCTION("""COMPUTED_VALUE"""),"")</f>
        <v/>
      </c>
      <c r="Q1616" s="250" t="str">
        <f>IFERROR(__xludf.DUMMYFUNCTION("""COMPUTED_VALUE"""),"")</f>
        <v/>
      </c>
      <c r="R1616" s="250" t="str">
        <f>IFERROR(__xludf.DUMMYFUNCTION("""COMPUTED_VALUE"""),"")</f>
        <v/>
      </c>
      <c r="U1616" s="250" t="str">
        <f>IFERROR(__xludf.DUMMYFUNCTION("""COMPUTED_VALUE"""),"#N/A")</f>
        <v>#N/A</v>
      </c>
      <c r="V1616" s="250" t="str">
        <f>IFERROR(__xludf.DUMMYFUNCTION("""COMPUTED_VALUE"""),"#N/A")</f>
        <v>#N/A</v>
      </c>
      <c r="W1616" s="250" t="str">
        <f>IFERROR(__xludf.DUMMYFUNCTION("""COMPUTED_VALUE"""),"#N/A")</f>
        <v>#N/A</v>
      </c>
      <c r="X1616" t="b">
        <f t="shared" ref="X1616:Z1616" si="3208">ISBLANK(K1616)</f>
        <v>1</v>
      </c>
      <c r="Y1616" t="b">
        <f t="shared" si="3208"/>
        <v>0</v>
      </c>
      <c r="Z1616" t="b">
        <f t="shared" si="3208"/>
        <v>0</v>
      </c>
      <c r="AA1616">
        <f t="shared" ref="AA1616:AC1616" si="3209">IF(X1616=FALSE,1,0)</f>
        <v>0</v>
      </c>
      <c r="AB1616">
        <f t="shared" si="3209"/>
        <v>1</v>
      </c>
      <c r="AC1616">
        <f t="shared" si="3209"/>
        <v>1</v>
      </c>
      <c r="AD1616">
        <f t="shared" si="6"/>
        <v>2</v>
      </c>
      <c r="AE1616">
        <f t="shared" si="7"/>
        <v>1</v>
      </c>
    </row>
    <row r="1617">
      <c r="B1617" t="str">
        <f>IFERROR(__xludf.DUMMYFUNCTION("""COMPUTED_VALUE"""),"")</f>
        <v/>
      </c>
      <c r="C1617" t="str">
        <f>IFERROR(__xludf.DUMMYFUNCTION("""COMPUTED_VALUE"""),"")</f>
        <v/>
      </c>
      <c r="D1617" t="str">
        <f>IFERROR(__xludf.DUMMYFUNCTION("""COMPUTED_VALUE"""),"")</f>
        <v/>
      </c>
      <c r="E1617" t="str">
        <f>IFERROR(__xludf.DUMMYFUNCTION("""COMPUTED_VALUE"""),"")</f>
        <v/>
      </c>
      <c r="F1617" t="str">
        <f>IFERROR(__xludf.DUMMYFUNCTION("""COMPUTED_VALUE"""),"")</f>
        <v/>
      </c>
      <c r="G1617" t="str">
        <f>IFERROR(__xludf.DUMMYFUNCTION("""COMPUTED_VALUE"""),"")</f>
        <v/>
      </c>
      <c r="H1617" t="str">
        <f>IFERROR(__xludf.DUMMYFUNCTION("""COMPUTED_VALUE"""),"")</f>
        <v/>
      </c>
      <c r="I1617" t="str">
        <f>IFERROR(__xludf.DUMMYFUNCTION("""COMPUTED_VALUE"""),"")</f>
        <v/>
      </c>
      <c r="J1617">
        <f>IFERROR(__xludf.DUMMYFUNCTION("""COMPUTED_VALUE"""),0.0)</f>
        <v>0</v>
      </c>
      <c r="L1617" s="250" t="str">
        <f>IFERROR(__xludf.DUMMYFUNCTION("""COMPUTED_VALUE"""),"")</f>
        <v/>
      </c>
      <c r="M1617" s="250" t="str">
        <f>IFERROR(__xludf.DUMMYFUNCTION("""COMPUTED_VALUE"""),"")</f>
        <v/>
      </c>
      <c r="N1617" s="250" t="str">
        <f>IFERROR(__xludf.DUMMYFUNCTION("""COMPUTED_VALUE"""),"")</f>
        <v/>
      </c>
      <c r="O1617" s="250" t="str">
        <f>IFERROR(__xludf.DUMMYFUNCTION("""COMPUTED_VALUE"""),"")</f>
        <v/>
      </c>
      <c r="P1617" s="250" t="str">
        <f>IFERROR(__xludf.DUMMYFUNCTION("""COMPUTED_VALUE"""),"")</f>
        <v/>
      </c>
      <c r="Q1617" s="250" t="str">
        <f>IFERROR(__xludf.DUMMYFUNCTION("""COMPUTED_VALUE"""),"")</f>
        <v/>
      </c>
      <c r="R1617" s="250" t="str">
        <f>IFERROR(__xludf.DUMMYFUNCTION("""COMPUTED_VALUE"""),"")</f>
        <v/>
      </c>
      <c r="U1617" s="250" t="str">
        <f>IFERROR(__xludf.DUMMYFUNCTION("""COMPUTED_VALUE"""),"#N/A")</f>
        <v>#N/A</v>
      </c>
      <c r="V1617" s="250" t="str">
        <f>IFERROR(__xludf.DUMMYFUNCTION("""COMPUTED_VALUE"""),"#N/A")</f>
        <v>#N/A</v>
      </c>
      <c r="W1617" s="250" t="str">
        <f>IFERROR(__xludf.DUMMYFUNCTION("""COMPUTED_VALUE"""),"#N/A")</f>
        <v>#N/A</v>
      </c>
      <c r="X1617" t="b">
        <f t="shared" ref="X1617:Z1617" si="3210">ISBLANK(K1617)</f>
        <v>1</v>
      </c>
      <c r="Y1617" t="b">
        <f t="shared" si="3210"/>
        <v>0</v>
      </c>
      <c r="Z1617" t="b">
        <f t="shared" si="3210"/>
        <v>0</v>
      </c>
      <c r="AA1617">
        <f t="shared" ref="AA1617:AC1617" si="3211">IF(X1617=FALSE,1,0)</f>
        <v>0</v>
      </c>
      <c r="AB1617">
        <f t="shared" si="3211"/>
        <v>1</v>
      </c>
      <c r="AC1617">
        <f t="shared" si="3211"/>
        <v>1</v>
      </c>
      <c r="AD1617">
        <f t="shared" si="6"/>
        <v>2</v>
      </c>
      <c r="AE1617">
        <f t="shared" si="7"/>
        <v>1</v>
      </c>
    </row>
    <row r="1618">
      <c r="B1618" t="str">
        <f>IFERROR(__xludf.DUMMYFUNCTION("""COMPUTED_VALUE"""),"")</f>
        <v/>
      </c>
      <c r="C1618" t="str">
        <f>IFERROR(__xludf.DUMMYFUNCTION("""COMPUTED_VALUE"""),"")</f>
        <v/>
      </c>
      <c r="D1618" t="str">
        <f>IFERROR(__xludf.DUMMYFUNCTION("""COMPUTED_VALUE"""),"")</f>
        <v/>
      </c>
      <c r="E1618" t="str">
        <f>IFERROR(__xludf.DUMMYFUNCTION("""COMPUTED_VALUE"""),"")</f>
        <v/>
      </c>
      <c r="F1618" t="str">
        <f>IFERROR(__xludf.DUMMYFUNCTION("""COMPUTED_VALUE"""),"")</f>
        <v/>
      </c>
      <c r="G1618" t="str">
        <f>IFERROR(__xludf.DUMMYFUNCTION("""COMPUTED_VALUE"""),"")</f>
        <v/>
      </c>
      <c r="H1618" t="str">
        <f>IFERROR(__xludf.DUMMYFUNCTION("""COMPUTED_VALUE"""),"")</f>
        <v/>
      </c>
      <c r="I1618" t="str">
        <f>IFERROR(__xludf.DUMMYFUNCTION("""COMPUTED_VALUE"""),"")</f>
        <v/>
      </c>
      <c r="J1618">
        <f>IFERROR(__xludf.DUMMYFUNCTION("""COMPUTED_VALUE"""),0.0)</f>
        <v>0</v>
      </c>
      <c r="L1618" s="250" t="str">
        <f>IFERROR(__xludf.DUMMYFUNCTION("""COMPUTED_VALUE"""),"")</f>
        <v/>
      </c>
      <c r="M1618" s="250" t="str">
        <f>IFERROR(__xludf.DUMMYFUNCTION("""COMPUTED_VALUE"""),"")</f>
        <v/>
      </c>
      <c r="N1618" s="250" t="str">
        <f>IFERROR(__xludf.DUMMYFUNCTION("""COMPUTED_VALUE"""),"")</f>
        <v/>
      </c>
      <c r="O1618" s="250" t="str">
        <f>IFERROR(__xludf.DUMMYFUNCTION("""COMPUTED_VALUE"""),"")</f>
        <v/>
      </c>
      <c r="P1618" s="250" t="str">
        <f>IFERROR(__xludf.DUMMYFUNCTION("""COMPUTED_VALUE"""),"")</f>
        <v/>
      </c>
      <c r="Q1618" s="250" t="str">
        <f>IFERROR(__xludf.DUMMYFUNCTION("""COMPUTED_VALUE"""),"")</f>
        <v/>
      </c>
      <c r="R1618" s="250" t="str">
        <f>IFERROR(__xludf.DUMMYFUNCTION("""COMPUTED_VALUE"""),"")</f>
        <v/>
      </c>
      <c r="U1618" s="250" t="str">
        <f>IFERROR(__xludf.DUMMYFUNCTION("""COMPUTED_VALUE"""),"#N/A")</f>
        <v>#N/A</v>
      </c>
      <c r="V1618" s="250" t="str">
        <f>IFERROR(__xludf.DUMMYFUNCTION("""COMPUTED_VALUE"""),"#N/A")</f>
        <v>#N/A</v>
      </c>
      <c r="W1618" s="250" t="str">
        <f>IFERROR(__xludf.DUMMYFUNCTION("""COMPUTED_VALUE"""),"#N/A")</f>
        <v>#N/A</v>
      </c>
      <c r="X1618" t="b">
        <f t="shared" ref="X1618:Z1618" si="3212">ISBLANK(K1618)</f>
        <v>1</v>
      </c>
      <c r="Y1618" t="b">
        <f t="shared" si="3212"/>
        <v>0</v>
      </c>
      <c r="Z1618" t="b">
        <f t="shared" si="3212"/>
        <v>0</v>
      </c>
      <c r="AA1618">
        <f t="shared" ref="AA1618:AC1618" si="3213">IF(X1618=FALSE,1,0)</f>
        <v>0</v>
      </c>
      <c r="AB1618">
        <f t="shared" si="3213"/>
        <v>1</v>
      </c>
      <c r="AC1618">
        <f t="shared" si="3213"/>
        <v>1</v>
      </c>
      <c r="AD1618">
        <f t="shared" si="6"/>
        <v>2</v>
      </c>
      <c r="AE1618">
        <f t="shared" si="7"/>
        <v>1</v>
      </c>
    </row>
    <row r="1619">
      <c r="B1619" t="str">
        <f>IFERROR(__xludf.DUMMYFUNCTION("""COMPUTED_VALUE"""),"")</f>
        <v/>
      </c>
      <c r="C1619" t="str">
        <f>IFERROR(__xludf.DUMMYFUNCTION("""COMPUTED_VALUE"""),"")</f>
        <v/>
      </c>
      <c r="D1619" t="str">
        <f>IFERROR(__xludf.DUMMYFUNCTION("""COMPUTED_VALUE"""),"")</f>
        <v/>
      </c>
      <c r="E1619" t="str">
        <f>IFERROR(__xludf.DUMMYFUNCTION("""COMPUTED_VALUE"""),"")</f>
        <v/>
      </c>
      <c r="F1619" t="str">
        <f>IFERROR(__xludf.DUMMYFUNCTION("""COMPUTED_VALUE"""),"")</f>
        <v/>
      </c>
      <c r="G1619" t="str">
        <f>IFERROR(__xludf.DUMMYFUNCTION("""COMPUTED_VALUE"""),"")</f>
        <v/>
      </c>
      <c r="H1619" t="str">
        <f>IFERROR(__xludf.DUMMYFUNCTION("""COMPUTED_VALUE"""),"")</f>
        <v/>
      </c>
      <c r="I1619" t="str">
        <f>IFERROR(__xludf.DUMMYFUNCTION("""COMPUTED_VALUE"""),"")</f>
        <v/>
      </c>
      <c r="J1619">
        <f>IFERROR(__xludf.DUMMYFUNCTION("""COMPUTED_VALUE"""),0.0)</f>
        <v>0</v>
      </c>
      <c r="L1619" s="250" t="str">
        <f>IFERROR(__xludf.DUMMYFUNCTION("""COMPUTED_VALUE"""),"")</f>
        <v/>
      </c>
      <c r="M1619" s="250" t="str">
        <f>IFERROR(__xludf.DUMMYFUNCTION("""COMPUTED_VALUE"""),"")</f>
        <v/>
      </c>
      <c r="N1619" s="250" t="str">
        <f>IFERROR(__xludf.DUMMYFUNCTION("""COMPUTED_VALUE"""),"")</f>
        <v/>
      </c>
      <c r="O1619" s="250" t="str">
        <f>IFERROR(__xludf.DUMMYFUNCTION("""COMPUTED_VALUE"""),"")</f>
        <v/>
      </c>
      <c r="P1619" s="250" t="str">
        <f>IFERROR(__xludf.DUMMYFUNCTION("""COMPUTED_VALUE"""),"")</f>
        <v/>
      </c>
      <c r="Q1619" s="250" t="str">
        <f>IFERROR(__xludf.DUMMYFUNCTION("""COMPUTED_VALUE"""),"")</f>
        <v/>
      </c>
      <c r="R1619" s="250" t="str">
        <f>IFERROR(__xludf.DUMMYFUNCTION("""COMPUTED_VALUE"""),"")</f>
        <v/>
      </c>
      <c r="U1619" s="250" t="str">
        <f>IFERROR(__xludf.DUMMYFUNCTION("""COMPUTED_VALUE"""),"#N/A")</f>
        <v>#N/A</v>
      </c>
      <c r="V1619" s="250" t="str">
        <f>IFERROR(__xludf.DUMMYFUNCTION("""COMPUTED_VALUE"""),"#N/A")</f>
        <v>#N/A</v>
      </c>
      <c r="W1619" s="250" t="str">
        <f>IFERROR(__xludf.DUMMYFUNCTION("""COMPUTED_VALUE"""),"#N/A")</f>
        <v>#N/A</v>
      </c>
      <c r="X1619" t="b">
        <f t="shared" ref="X1619:Z1619" si="3214">ISBLANK(K1619)</f>
        <v>1</v>
      </c>
      <c r="Y1619" t="b">
        <f t="shared" si="3214"/>
        <v>0</v>
      </c>
      <c r="Z1619" t="b">
        <f t="shared" si="3214"/>
        <v>0</v>
      </c>
      <c r="AA1619">
        <f t="shared" ref="AA1619:AC1619" si="3215">IF(X1619=FALSE,1,0)</f>
        <v>0</v>
      </c>
      <c r="AB1619">
        <f t="shared" si="3215"/>
        <v>1</v>
      </c>
      <c r="AC1619">
        <f t="shared" si="3215"/>
        <v>1</v>
      </c>
      <c r="AD1619">
        <f t="shared" si="6"/>
        <v>2</v>
      </c>
      <c r="AE1619">
        <f t="shared" si="7"/>
        <v>1</v>
      </c>
    </row>
    <row r="1620">
      <c r="B1620" t="str">
        <f>IFERROR(__xludf.DUMMYFUNCTION("""COMPUTED_VALUE"""),"")</f>
        <v/>
      </c>
      <c r="C1620" t="str">
        <f>IFERROR(__xludf.DUMMYFUNCTION("""COMPUTED_VALUE"""),"")</f>
        <v/>
      </c>
      <c r="D1620" t="str">
        <f>IFERROR(__xludf.DUMMYFUNCTION("""COMPUTED_VALUE"""),"")</f>
        <v/>
      </c>
      <c r="E1620" t="str">
        <f>IFERROR(__xludf.DUMMYFUNCTION("""COMPUTED_VALUE"""),"")</f>
        <v/>
      </c>
      <c r="F1620" t="str">
        <f>IFERROR(__xludf.DUMMYFUNCTION("""COMPUTED_VALUE"""),"")</f>
        <v/>
      </c>
      <c r="G1620" t="str">
        <f>IFERROR(__xludf.DUMMYFUNCTION("""COMPUTED_VALUE"""),"")</f>
        <v/>
      </c>
      <c r="H1620" t="str">
        <f>IFERROR(__xludf.DUMMYFUNCTION("""COMPUTED_VALUE"""),"")</f>
        <v/>
      </c>
      <c r="I1620" t="str">
        <f>IFERROR(__xludf.DUMMYFUNCTION("""COMPUTED_VALUE"""),"")</f>
        <v/>
      </c>
      <c r="J1620">
        <f>IFERROR(__xludf.DUMMYFUNCTION("""COMPUTED_VALUE"""),0.0)</f>
        <v>0</v>
      </c>
      <c r="L1620" s="250" t="str">
        <f>IFERROR(__xludf.DUMMYFUNCTION("""COMPUTED_VALUE"""),"")</f>
        <v/>
      </c>
      <c r="M1620" s="250" t="str">
        <f>IFERROR(__xludf.DUMMYFUNCTION("""COMPUTED_VALUE"""),"")</f>
        <v/>
      </c>
      <c r="N1620" s="250" t="str">
        <f>IFERROR(__xludf.DUMMYFUNCTION("""COMPUTED_VALUE"""),"")</f>
        <v/>
      </c>
      <c r="O1620" s="250" t="str">
        <f>IFERROR(__xludf.DUMMYFUNCTION("""COMPUTED_VALUE"""),"")</f>
        <v/>
      </c>
      <c r="P1620" s="250" t="str">
        <f>IFERROR(__xludf.DUMMYFUNCTION("""COMPUTED_VALUE"""),"")</f>
        <v/>
      </c>
      <c r="Q1620" s="250" t="str">
        <f>IFERROR(__xludf.DUMMYFUNCTION("""COMPUTED_VALUE"""),"")</f>
        <v/>
      </c>
      <c r="R1620" s="250" t="str">
        <f>IFERROR(__xludf.DUMMYFUNCTION("""COMPUTED_VALUE"""),"")</f>
        <v/>
      </c>
      <c r="U1620" s="250" t="str">
        <f>IFERROR(__xludf.DUMMYFUNCTION("""COMPUTED_VALUE"""),"#N/A")</f>
        <v>#N/A</v>
      </c>
      <c r="V1620" s="250" t="str">
        <f>IFERROR(__xludf.DUMMYFUNCTION("""COMPUTED_VALUE"""),"#N/A")</f>
        <v>#N/A</v>
      </c>
      <c r="W1620" s="250" t="str">
        <f>IFERROR(__xludf.DUMMYFUNCTION("""COMPUTED_VALUE"""),"#N/A")</f>
        <v>#N/A</v>
      </c>
      <c r="X1620" t="b">
        <f t="shared" ref="X1620:Z1620" si="3216">ISBLANK(K1620)</f>
        <v>1</v>
      </c>
      <c r="Y1620" t="b">
        <f t="shared" si="3216"/>
        <v>0</v>
      </c>
      <c r="Z1620" t="b">
        <f t="shared" si="3216"/>
        <v>0</v>
      </c>
      <c r="AA1620">
        <f t="shared" ref="AA1620:AC1620" si="3217">IF(X1620=FALSE,1,0)</f>
        <v>0</v>
      </c>
      <c r="AB1620">
        <f t="shared" si="3217"/>
        <v>1</v>
      </c>
      <c r="AC1620">
        <f t="shared" si="3217"/>
        <v>1</v>
      </c>
      <c r="AD1620">
        <f t="shared" si="6"/>
        <v>2</v>
      </c>
      <c r="AE1620">
        <f t="shared" si="7"/>
        <v>1</v>
      </c>
    </row>
    <row r="1621">
      <c r="B1621" t="str">
        <f>IFERROR(__xludf.DUMMYFUNCTION("""COMPUTED_VALUE"""),"")</f>
        <v/>
      </c>
      <c r="C1621" t="str">
        <f>IFERROR(__xludf.DUMMYFUNCTION("""COMPUTED_VALUE"""),"")</f>
        <v/>
      </c>
      <c r="D1621" t="str">
        <f>IFERROR(__xludf.DUMMYFUNCTION("""COMPUTED_VALUE"""),"")</f>
        <v/>
      </c>
      <c r="E1621" t="str">
        <f>IFERROR(__xludf.DUMMYFUNCTION("""COMPUTED_VALUE"""),"")</f>
        <v/>
      </c>
      <c r="F1621" t="str">
        <f>IFERROR(__xludf.DUMMYFUNCTION("""COMPUTED_VALUE"""),"")</f>
        <v/>
      </c>
      <c r="G1621" t="str">
        <f>IFERROR(__xludf.DUMMYFUNCTION("""COMPUTED_VALUE"""),"")</f>
        <v/>
      </c>
      <c r="H1621" t="str">
        <f>IFERROR(__xludf.DUMMYFUNCTION("""COMPUTED_VALUE"""),"")</f>
        <v/>
      </c>
      <c r="I1621" t="str">
        <f>IFERROR(__xludf.DUMMYFUNCTION("""COMPUTED_VALUE"""),"")</f>
        <v/>
      </c>
      <c r="J1621">
        <f>IFERROR(__xludf.DUMMYFUNCTION("""COMPUTED_VALUE"""),0.0)</f>
        <v>0</v>
      </c>
      <c r="L1621" s="250" t="str">
        <f>IFERROR(__xludf.DUMMYFUNCTION("""COMPUTED_VALUE"""),"")</f>
        <v/>
      </c>
      <c r="M1621" s="250" t="str">
        <f>IFERROR(__xludf.DUMMYFUNCTION("""COMPUTED_VALUE"""),"")</f>
        <v/>
      </c>
      <c r="N1621" s="250" t="str">
        <f>IFERROR(__xludf.DUMMYFUNCTION("""COMPUTED_VALUE"""),"")</f>
        <v/>
      </c>
      <c r="O1621" s="250" t="str">
        <f>IFERROR(__xludf.DUMMYFUNCTION("""COMPUTED_VALUE"""),"")</f>
        <v/>
      </c>
      <c r="P1621" s="250" t="str">
        <f>IFERROR(__xludf.DUMMYFUNCTION("""COMPUTED_VALUE"""),"")</f>
        <v/>
      </c>
      <c r="Q1621" s="250" t="str">
        <f>IFERROR(__xludf.DUMMYFUNCTION("""COMPUTED_VALUE"""),"")</f>
        <v/>
      </c>
      <c r="R1621" s="250" t="str">
        <f>IFERROR(__xludf.DUMMYFUNCTION("""COMPUTED_VALUE"""),"")</f>
        <v/>
      </c>
      <c r="U1621" s="250" t="str">
        <f>IFERROR(__xludf.DUMMYFUNCTION("""COMPUTED_VALUE"""),"#N/A")</f>
        <v>#N/A</v>
      </c>
      <c r="V1621" s="250" t="str">
        <f>IFERROR(__xludf.DUMMYFUNCTION("""COMPUTED_VALUE"""),"#N/A")</f>
        <v>#N/A</v>
      </c>
      <c r="W1621" s="250" t="str">
        <f>IFERROR(__xludf.DUMMYFUNCTION("""COMPUTED_VALUE"""),"#N/A")</f>
        <v>#N/A</v>
      </c>
      <c r="X1621" t="b">
        <f t="shared" ref="X1621:Z1621" si="3218">ISBLANK(K1621)</f>
        <v>1</v>
      </c>
      <c r="Y1621" t="b">
        <f t="shared" si="3218"/>
        <v>0</v>
      </c>
      <c r="Z1621" t="b">
        <f t="shared" si="3218"/>
        <v>0</v>
      </c>
      <c r="AA1621">
        <f t="shared" ref="AA1621:AC1621" si="3219">IF(X1621=FALSE,1,0)</f>
        <v>0</v>
      </c>
      <c r="AB1621">
        <f t="shared" si="3219"/>
        <v>1</v>
      </c>
      <c r="AC1621">
        <f t="shared" si="3219"/>
        <v>1</v>
      </c>
      <c r="AD1621">
        <f t="shared" si="6"/>
        <v>2</v>
      </c>
      <c r="AE1621">
        <f t="shared" si="7"/>
        <v>1</v>
      </c>
    </row>
    <row r="1622">
      <c r="B1622" t="str">
        <f>IFERROR(__xludf.DUMMYFUNCTION("""COMPUTED_VALUE"""),"")</f>
        <v/>
      </c>
      <c r="C1622" t="str">
        <f>IFERROR(__xludf.DUMMYFUNCTION("""COMPUTED_VALUE"""),"")</f>
        <v/>
      </c>
      <c r="D1622" t="str">
        <f>IFERROR(__xludf.DUMMYFUNCTION("""COMPUTED_VALUE"""),"")</f>
        <v/>
      </c>
      <c r="E1622" t="str">
        <f>IFERROR(__xludf.DUMMYFUNCTION("""COMPUTED_VALUE"""),"")</f>
        <v/>
      </c>
      <c r="F1622" t="str">
        <f>IFERROR(__xludf.DUMMYFUNCTION("""COMPUTED_VALUE"""),"")</f>
        <v/>
      </c>
      <c r="G1622" t="str">
        <f>IFERROR(__xludf.DUMMYFUNCTION("""COMPUTED_VALUE"""),"")</f>
        <v/>
      </c>
      <c r="H1622" t="str">
        <f>IFERROR(__xludf.DUMMYFUNCTION("""COMPUTED_VALUE"""),"")</f>
        <v/>
      </c>
      <c r="I1622" t="str">
        <f>IFERROR(__xludf.DUMMYFUNCTION("""COMPUTED_VALUE"""),"")</f>
        <v/>
      </c>
      <c r="J1622">
        <f>IFERROR(__xludf.DUMMYFUNCTION("""COMPUTED_VALUE"""),0.0)</f>
        <v>0</v>
      </c>
      <c r="L1622" s="250" t="str">
        <f>IFERROR(__xludf.DUMMYFUNCTION("""COMPUTED_VALUE"""),"")</f>
        <v/>
      </c>
      <c r="M1622" s="250" t="str">
        <f>IFERROR(__xludf.DUMMYFUNCTION("""COMPUTED_VALUE"""),"")</f>
        <v/>
      </c>
      <c r="N1622" s="250" t="str">
        <f>IFERROR(__xludf.DUMMYFUNCTION("""COMPUTED_VALUE"""),"")</f>
        <v/>
      </c>
      <c r="O1622" s="250" t="str">
        <f>IFERROR(__xludf.DUMMYFUNCTION("""COMPUTED_VALUE"""),"")</f>
        <v/>
      </c>
      <c r="P1622" s="250" t="str">
        <f>IFERROR(__xludf.DUMMYFUNCTION("""COMPUTED_VALUE"""),"")</f>
        <v/>
      </c>
      <c r="Q1622" s="250" t="str">
        <f>IFERROR(__xludf.DUMMYFUNCTION("""COMPUTED_VALUE"""),"")</f>
        <v/>
      </c>
      <c r="R1622" s="250" t="str">
        <f>IFERROR(__xludf.DUMMYFUNCTION("""COMPUTED_VALUE"""),"")</f>
        <v/>
      </c>
      <c r="U1622" s="250" t="str">
        <f>IFERROR(__xludf.DUMMYFUNCTION("""COMPUTED_VALUE"""),"#N/A")</f>
        <v>#N/A</v>
      </c>
      <c r="V1622" s="250" t="str">
        <f>IFERROR(__xludf.DUMMYFUNCTION("""COMPUTED_VALUE"""),"#N/A")</f>
        <v>#N/A</v>
      </c>
      <c r="W1622" s="250" t="str">
        <f>IFERROR(__xludf.DUMMYFUNCTION("""COMPUTED_VALUE"""),"#N/A")</f>
        <v>#N/A</v>
      </c>
      <c r="X1622" t="b">
        <f t="shared" ref="X1622:Z1622" si="3220">ISBLANK(K1622)</f>
        <v>1</v>
      </c>
      <c r="Y1622" t="b">
        <f t="shared" si="3220"/>
        <v>0</v>
      </c>
      <c r="Z1622" t="b">
        <f t="shared" si="3220"/>
        <v>0</v>
      </c>
      <c r="AA1622">
        <f t="shared" ref="AA1622:AC1622" si="3221">IF(X1622=FALSE,1,0)</f>
        <v>0</v>
      </c>
      <c r="AB1622">
        <f t="shared" si="3221"/>
        <v>1</v>
      </c>
      <c r="AC1622">
        <f t="shared" si="3221"/>
        <v>1</v>
      </c>
      <c r="AD1622">
        <f t="shared" si="6"/>
        <v>2</v>
      </c>
      <c r="AE1622">
        <f t="shared" si="7"/>
        <v>1</v>
      </c>
    </row>
    <row r="1623">
      <c r="B1623" t="str">
        <f>IFERROR(__xludf.DUMMYFUNCTION("""COMPUTED_VALUE"""),"")</f>
        <v/>
      </c>
      <c r="C1623" t="str">
        <f>IFERROR(__xludf.DUMMYFUNCTION("""COMPUTED_VALUE"""),"")</f>
        <v/>
      </c>
      <c r="D1623" t="str">
        <f>IFERROR(__xludf.DUMMYFUNCTION("""COMPUTED_VALUE"""),"")</f>
        <v/>
      </c>
      <c r="E1623" t="str">
        <f>IFERROR(__xludf.DUMMYFUNCTION("""COMPUTED_VALUE"""),"")</f>
        <v/>
      </c>
      <c r="F1623" t="str">
        <f>IFERROR(__xludf.DUMMYFUNCTION("""COMPUTED_VALUE"""),"")</f>
        <v/>
      </c>
      <c r="G1623" t="str">
        <f>IFERROR(__xludf.DUMMYFUNCTION("""COMPUTED_VALUE"""),"")</f>
        <v/>
      </c>
      <c r="H1623" t="str">
        <f>IFERROR(__xludf.DUMMYFUNCTION("""COMPUTED_VALUE"""),"")</f>
        <v/>
      </c>
      <c r="I1623" t="str">
        <f>IFERROR(__xludf.DUMMYFUNCTION("""COMPUTED_VALUE"""),"")</f>
        <v/>
      </c>
      <c r="J1623">
        <f>IFERROR(__xludf.DUMMYFUNCTION("""COMPUTED_VALUE"""),0.0)</f>
        <v>0</v>
      </c>
      <c r="L1623" s="250" t="str">
        <f>IFERROR(__xludf.DUMMYFUNCTION("""COMPUTED_VALUE"""),"")</f>
        <v/>
      </c>
      <c r="M1623" s="250" t="str">
        <f>IFERROR(__xludf.DUMMYFUNCTION("""COMPUTED_VALUE"""),"")</f>
        <v/>
      </c>
      <c r="N1623" s="250" t="str">
        <f>IFERROR(__xludf.DUMMYFUNCTION("""COMPUTED_VALUE"""),"")</f>
        <v/>
      </c>
      <c r="O1623" s="250" t="str">
        <f>IFERROR(__xludf.DUMMYFUNCTION("""COMPUTED_VALUE"""),"")</f>
        <v/>
      </c>
      <c r="P1623" s="250" t="str">
        <f>IFERROR(__xludf.DUMMYFUNCTION("""COMPUTED_VALUE"""),"")</f>
        <v/>
      </c>
      <c r="Q1623" s="250" t="str">
        <f>IFERROR(__xludf.DUMMYFUNCTION("""COMPUTED_VALUE"""),"")</f>
        <v/>
      </c>
      <c r="R1623" s="250" t="str">
        <f>IFERROR(__xludf.DUMMYFUNCTION("""COMPUTED_VALUE"""),"")</f>
        <v/>
      </c>
      <c r="U1623" s="250" t="str">
        <f>IFERROR(__xludf.DUMMYFUNCTION("""COMPUTED_VALUE"""),"#N/A")</f>
        <v>#N/A</v>
      </c>
      <c r="V1623" s="250" t="str">
        <f>IFERROR(__xludf.DUMMYFUNCTION("""COMPUTED_VALUE"""),"#N/A")</f>
        <v>#N/A</v>
      </c>
      <c r="W1623" s="250" t="str">
        <f>IFERROR(__xludf.DUMMYFUNCTION("""COMPUTED_VALUE"""),"#N/A")</f>
        <v>#N/A</v>
      </c>
      <c r="X1623" t="b">
        <f t="shared" ref="X1623:Z1623" si="3222">ISBLANK(K1623)</f>
        <v>1</v>
      </c>
      <c r="Y1623" t="b">
        <f t="shared" si="3222"/>
        <v>0</v>
      </c>
      <c r="Z1623" t="b">
        <f t="shared" si="3222"/>
        <v>0</v>
      </c>
      <c r="AA1623">
        <f t="shared" ref="AA1623:AC1623" si="3223">IF(X1623=FALSE,1,0)</f>
        <v>0</v>
      </c>
      <c r="AB1623">
        <f t="shared" si="3223"/>
        <v>1</v>
      </c>
      <c r="AC1623">
        <f t="shared" si="3223"/>
        <v>1</v>
      </c>
      <c r="AD1623">
        <f t="shared" si="6"/>
        <v>2</v>
      </c>
      <c r="AE1623">
        <f t="shared" si="7"/>
        <v>1</v>
      </c>
    </row>
    <row r="1624">
      <c r="B1624" t="str">
        <f>IFERROR(__xludf.DUMMYFUNCTION("""COMPUTED_VALUE"""),"")</f>
        <v/>
      </c>
      <c r="C1624" t="str">
        <f>IFERROR(__xludf.DUMMYFUNCTION("""COMPUTED_VALUE"""),"")</f>
        <v/>
      </c>
      <c r="D1624" t="str">
        <f>IFERROR(__xludf.DUMMYFUNCTION("""COMPUTED_VALUE"""),"")</f>
        <v/>
      </c>
      <c r="E1624" t="str">
        <f>IFERROR(__xludf.DUMMYFUNCTION("""COMPUTED_VALUE"""),"")</f>
        <v/>
      </c>
      <c r="F1624" t="str">
        <f>IFERROR(__xludf.DUMMYFUNCTION("""COMPUTED_VALUE"""),"")</f>
        <v/>
      </c>
      <c r="G1624" t="str">
        <f>IFERROR(__xludf.DUMMYFUNCTION("""COMPUTED_VALUE"""),"")</f>
        <v/>
      </c>
      <c r="H1624" t="str">
        <f>IFERROR(__xludf.DUMMYFUNCTION("""COMPUTED_VALUE"""),"")</f>
        <v/>
      </c>
      <c r="I1624" t="str">
        <f>IFERROR(__xludf.DUMMYFUNCTION("""COMPUTED_VALUE"""),"")</f>
        <v/>
      </c>
      <c r="J1624">
        <f>IFERROR(__xludf.DUMMYFUNCTION("""COMPUTED_VALUE"""),0.0)</f>
        <v>0</v>
      </c>
      <c r="L1624" s="250" t="str">
        <f>IFERROR(__xludf.DUMMYFUNCTION("""COMPUTED_VALUE"""),"")</f>
        <v/>
      </c>
      <c r="M1624" s="250" t="str">
        <f>IFERROR(__xludf.DUMMYFUNCTION("""COMPUTED_VALUE"""),"")</f>
        <v/>
      </c>
      <c r="N1624" s="250" t="str">
        <f>IFERROR(__xludf.DUMMYFUNCTION("""COMPUTED_VALUE"""),"")</f>
        <v/>
      </c>
      <c r="O1624" s="250" t="str">
        <f>IFERROR(__xludf.DUMMYFUNCTION("""COMPUTED_VALUE"""),"")</f>
        <v/>
      </c>
      <c r="P1624" s="250" t="str">
        <f>IFERROR(__xludf.DUMMYFUNCTION("""COMPUTED_VALUE"""),"")</f>
        <v/>
      </c>
      <c r="Q1624" s="250" t="str">
        <f>IFERROR(__xludf.DUMMYFUNCTION("""COMPUTED_VALUE"""),"")</f>
        <v/>
      </c>
      <c r="R1624" s="250" t="str">
        <f>IFERROR(__xludf.DUMMYFUNCTION("""COMPUTED_VALUE"""),"")</f>
        <v/>
      </c>
      <c r="U1624" s="250" t="str">
        <f>IFERROR(__xludf.DUMMYFUNCTION("""COMPUTED_VALUE"""),"#N/A")</f>
        <v>#N/A</v>
      </c>
      <c r="V1624" s="250" t="str">
        <f>IFERROR(__xludf.DUMMYFUNCTION("""COMPUTED_VALUE"""),"#N/A")</f>
        <v>#N/A</v>
      </c>
      <c r="W1624" s="250" t="str">
        <f>IFERROR(__xludf.DUMMYFUNCTION("""COMPUTED_VALUE"""),"#N/A")</f>
        <v>#N/A</v>
      </c>
      <c r="X1624" t="b">
        <f t="shared" ref="X1624:Z1624" si="3224">ISBLANK(K1624)</f>
        <v>1</v>
      </c>
      <c r="Y1624" t="b">
        <f t="shared" si="3224"/>
        <v>0</v>
      </c>
      <c r="Z1624" t="b">
        <f t="shared" si="3224"/>
        <v>0</v>
      </c>
      <c r="AA1624">
        <f t="shared" ref="AA1624:AC1624" si="3225">IF(X1624=FALSE,1,0)</f>
        <v>0</v>
      </c>
      <c r="AB1624">
        <f t="shared" si="3225"/>
        <v>1</v>
      </c>
      <c r="AC1624">
        <f t="shared" si="3225"/>
        <v>1</v>
      </c>
      <c r="AD1624">
        <f t="shared" si="6"/>
        <v>2</v>
      </c>
      <c r="AE1624">
        <f t="shared" si="7"/>
        <v>1</v>
      </c>
    </row>
    <row r="1625">
      <c r="B1625" t="str">
        <f>IFERROR(__xludf.DUMMYFUNCTION("""COMPUTED_VALUE"""),"")</f>
        <v/>
      </c>
      <c r="C1625" t="str">
        <f>IFERROR(__xludf.DUMMYFUNCTION("""COMPUTED_VALUE"""),"")</f>
        <v/>
      </c>
      <c r="D1625" t="str">
        <f>IFERROR(__xludf.DUMMYFUNCTION("""COMPUTED_VALUE"""),"")</f>
        <v/>
      </c>
      <c r="E1625" t="str">
        <f>IFERROR(__xludf.DUMMYFUNCTION("""COMPUTED_VALUE"""),"")</f>
        <v/>
      </c>
      <c r="F1625" t="str">
        <f>IFERROR(__xludf.DUMMYFUNCTION("""COMPUTED_VALUE"""),"")</f>
        <v/>
      </c>
      <c r="G1625" t="str">
        <f>IFERROR(__xludf.DUMMYFUNCTION("""COMPUTED_VALUE"""),"")</f>
        <v/>
      </c>
      <c r="H1625" t="str">
        <f>IFERROR(__xludf.DUMMYFUNCTION("""COMPUTED_VALUE"""),"")</f>
        <v/>
      </c>
      <c r="I1625" t="str">
        <f>IFERROR(__xludf.DUMMYFUNCTION("""COMPUTED_VALUE"""),"")</f>
        <v/>
      </c>
      <c r="J1625">
        <f>IFERROR(__xludf.DUMMYFUNCTION("""COMPUTED_VALUE"""),0.0)</f>
        <v>0</v>
      </c>
      <c r="L1625" s="250" t="str">
        <f>IFERROR(__xludf.DUMMYFUNCTION("""COMPUTED_VALUE"""),"")</f>
        <v/>
      </c>
      <c r="M1625" s="250" t="str">
        <f>IFERROR(__xludf.DUMMYFUNCTION("""COMPUTED_VALUE"""),"")</f>
        <v/>
      </c>
      <c r="N1625" s="250" t="str">
        <f>IFERROR(__xludf.DUMMYFUNCTION("""COMPUTED_VALUE"""),"")</f>
        <v/>
      </c>
      <c r="O1625" s="250" t="str">
        <f>IFERROR(__xludf.DUMMYFUNCTION("""COMPUTED_VALUE"""),"")</f>
        <v/>
      </c>
      <c r="P1625" s="250" t="str">
        <f>IFERROR(__xludf.DUMMYFUNCTION("""COMPUTED_VALUE"""),"")</f>
        <v/>
      </c>
      <c r="Q1625" s="250" t="str">
        <f>IFERROR(__xludf.DUMMYFUNCTION("""COMPUTED_VALUE"""),"")</f>
        <v/>
      </c>
      <c r="R1625" s="250" t="str">
        <f>IFERROR(__xludf.DUMMYFUNCTION("""COMPUTED_VALUE"""),"")</f>
        <v/>
      </c>
      <c r="U1625" s="250" t="str">
        <f>IFERROR(__xludf.DUMMYFUNCTION("""COMPUTED_VALUE"""),"#N/A")</f>
        <v>#N/A</v>
      </c>
      <c r="V1625" s="250" t="str">
        <f>IFERROR(__xludf.DUMMYFUNCTION("""COMPUTED_VALUE"""),"#N/A")</f>
        <v>#N/A</v>
      </c>
      <c r="W1625" s="250" t="str">
        <f>IFERROR(__xludf.DUMMYFUNCTION("""COMPUTED_VALUE"""),"#N/A")</f>
        <v>#N/A</v>
      </c>
      <c r="X1625" t="b">
        <f t="shared" ref="X1625:Z1625" si="3226">ISBLANK(K1625)</f>
        <v>1</v>
      </c>
      <c r="Y1625" t="b">
        <f t="shared" si="3226"/>
        <v>0</v>
      </c>
      <c r="Z1625" t="b">
        <f t="shared" si="3226"/>
        <v>0</v>
      </c>
      <c r="AA1625">
        <f t="shared" ref="AA1625:AC1625" si="3227">IF(X1625=FALSE,1,0)</f>
        <v>0</v>
      </c>
      <c r="AB1625">
        <f t="shared" si="3227"/>
        <v>1</v>
      </c>
      <c r="AC1625">
        <f t="shared" si="3227"/>
        <v>1</v>
      </c>
      <c r="AD1625">
        <f t="shared" si="6"/>
        <v>2</v>
      </c>
      <c r="AE1625">
        <f t="shared" si="7"/>
        <v>1</v>
      </c>
    </row>
    <row r="1626">
      <c r="B1626" t="str">
        <f>IFERROR(__xludf.DUMMYFUNCTION("""COMPUTED_VALUE"""),"")</f>
        <v/>
      </c>
      <c r="C1626" t="str">
        <f>IFERROR(__xludf.DUMMYFUNCTION("""COMPUTED_VALUE"""),"")</f>
        <v/>
      </c>
      <c r="D1626" t="str">
        <f>IFERROR(__xludf.DUMMYFUNCTION("""COMPUTED_VALUE"""),"")</f>
        <v/>
      </c>
      <c r="E1626" t="str">
        <f>IFERROR(__xludf.DUMMYFUNCTION("""COMPUTED_VALUE"""),"")</f>
        <v/>
      </c>
      <c r="F1626" t="str">
        <f>IFERROR(__xludf.DUMMYFUNCTION("""COMPUTED_VALUE"""),"")</f>
        <v/>
      </c>
      <c r="G1626" t="str">
        <f>IFERROR(__xludf.DUMMYFUNCTION("""COMPUTED_VALUE"""),"")</f>
        <v/>
      </c>
      <c r="H1626" t="str">
        <f>IFERROR(__xludf.DUMMYFUNCTION("""COMPUTED_VALUE"""),"")</f>
        <v/>
      </c>
      <c r="I1626" t="str">
        <f>IFERROR(__xludf.DUMMYFUNCTION("""COMPUTED_VALUE"""),"")</f>
        <v/>
      </c>
      <c r="J1626">
        <f>IFERROR(__xludf.DUMMYFUNCTION("""COMPUTED_VALUE"""),0.0)</f>
        <v>0</v>
      </c>
      <c r="L1626" s="250" t="str">
        <f>IFERROR(__xludf.DUMMYFUNCTION("""COMPUTED_VALUE"""),"")</f>
        <v/>
      </c>
      <c r="M1626" s="250" t="str">
        <f>IFERROR(__xludf.DUMMYFUNCTION("""COMPUTED_VALUE"""),"")</f>
        <v/>
      </c>
      <c r="N1626" s="250" t="str">
        <f>IFERROR(__xludf.DUMMYFUNCTION("""COMPUTED_VALUE"""),"")</f>
        <v/>
      </c>
      <c r="O1626" s="250" t="str">
        <f>IFERROR(__xludf.DUMMYFUNCTION("""COMPUTED_VALUE"""),"")</f>
        <v/>
      </c>
      <c r="P1626" s="250" t="str">
        <f>IFERROR(__xludf.DUMMYFUNCTION("""COMPUTED_VALUE"""),"")</f>
        <v/>
      </c>
      <c r="Q1626" s="250" t="str">
        <f>IFERROR(__xludf.DUMMYFUNCTION("""COMPUTED_VALUE"""),"")</f>
        <v/>
      </c>
      <c r="R1626" s="250" t="str">
        <f>IFERROR(__xludf.DUMMYFUNCTION("""COMPUTED_VALUE"""),"")</f>
        <v/>
      </c>
      <c r="U1626" s="250" t="str">
        <f>IFERROR(__xludf.DUMMYFUNCTION("""COMPUTED_VALUE"""),"#N/A")</f>
        <v>#N/A</v>
      </c>
      <c r="V1626" s="250" t="str">
        <f>IFERROR(__xludf.DUMMYFUNCTION("""COMPUTED_VALUE"""),"#N/A")</f>
        <v>#N/A</v>
      </c>
      <c r="W1626" s="250" t="str">
        <f>IFERROR(__xludf.DUMMYFUNCTION("""COMPUTED_VALUE"""),"#N/A")</f>
        <v>#N/A</v>
      </c>
      <c r="X1626" t="b">
        <f t="shared" ref="X1626:Z1626" si="3228">ISBLANK(K1626)</f>
        <v>1</v>
      </c>
      <c r="Y1626" t="b">
        <f t="shared" si="3228"/>
        <v>0</v>
      </c>
      <c r="Z1626" t="b">
        <f t="shared" si="3228"/>
        <v>0</v>
      </c>
      <c r="AA1626">
        <f t="shared" ref="AA1626:AC1626" si="3229">IF(X1626=FALSE,1,0)</f>
        <v>0</v>
      </c>
      <c r="AB1626">
        <f t="shared" si="3229"/>
        <v>1</v>
      </c>
      <c r="AC1626">
        <f t="shared" si="3229"/>
        <v>1</v>
      </c>
      <c r="AD1626">
        <f t="shared" si="6"/>
        <v>2</v>
      </c>
      <c r="AE1626">
        <f t="shared" si="7"/>
        <v>1</v>
      </c>
    </row>
    <row r="1627">
      <c r="B1627" t="str">
        <f>IFERROR(__xludf.DUMMYFUNCTION("""COMPUTED_VALUE"""),"")</f>
        <v/>
      </c>
      <c r="C1627" t="str">
        <f>IFERROR(__xludf.DUMMYFUNCTION("""COMPUTED_VALUE"""),"")</f>
        <v/>
      </c>
      <c r="D1627" t="str">
        <f>IFERROR(__xludf.DUMMYFUNCTION("""COMPUTED_VALUE"""),"")</f>
        <v/>
      </c>
      <c r="E1627" t="str">
        <f>IFERROR(__xludf.DUMMYFUNCTION("""COMPUTED_VALUE"""),"")</f>
        <v/>
      </c>
      <c r="F1627" t="str">
        <f>IFERROR(__xludf.DUMMYFUNCTION("""COMPUTED_VALUE"""),"")</f>
        <v/>
      </c>
      <c r="G1627" t="str">
        <f>IFERROR(__xludf.DUMMYFUNCTION("""COMPUTED_VALUE"""),"")</f>
        <v/>
      </c>
      <c r="H1627" t="str">
        <f>IFERROR(__xludf.DUMMYFUNCTION("""COMPUTED_VALUE"""),"")</f>
        <v/>
      </c>
      <c r="I1627" t="str">
        <f>IFERROR(__xludf.DUMMYFUNCTION("""COMPUTED_VALUE"""),"")</f>
        <v/>
      </c>
      <c r="J1627">
        <f>IFERROR(__xludf.DUMMYFUNCTION("""COMPUTED_VALUE"""),0.0)</f>
        <v>0</v>
      </c>
      <c r="L1627" s="250" t="str">
        <f>IFERROR(__xludf.DUMMYFUNCTION("""COMPUTED_VALUE"""),"")</f>
        <v/>
      </c>
      <c r="M1627" s="250" t="str">
        <f>IFERROR(__xludf.DUMMYFUNCTION("""COMPUTED_VALUE"""),"")</f>
        <v/>
      </c>
      <c r="N1627" s="250" t="str">
        <f>IFERROR(__xludf.DUMMYFUNCTION("""COMPUTED_VALUE"""),"")</f>
        <v/>
      </c>
      <c r="O1627" s="250" t="str">
        <f>IFERROR(__xludf.DUMMYFUNCTION("""COMPUTED_VALUE"""),"")</f>
        <v/>
      </c>
      <c r="P1627" s="250" t="str">
        <f>IFERROR(__xludf.DUMMYFUNCTION("""COMPUTED_VALUE"""),"")</f>
        <v/>
      </c>
      <c r="Q1627" s="250" t="str">
        <f>IFERROR(__xludf.DUMMYFUNCTION("""COMPUTED_VALUE"""),"")</f>
        <v/>
      </c>
      <c r="R1627" s="250" t="str">
        <f>IFERROR(__xludf.DUMMYFUNCTION("""COMPUTED_VALUE"""),"")</f>
        <v/>
      </c>
      <c r="U1627" s="250" t="str">
        <f>IFERROR(__xludf.DUMMYFUNCTION("""COMPUTED_VALUE"""),"#N/A")</f>
        <v>#N/A</v>
      </c>
      <c r="V1627" s="250" t="str">
        <f>IFERROR(__xludf.DUMMYFUNCTION("""COMPUTED_VALUE"""),"#N/A")</f>
        <v>#N/A</v>
      </c>
      <c r="W1627" s="250" t="str">
        <f>IFERROR(__xludf.DUMMYFUNCTION("""COMPUTED_VALUE"""),"#N/A")</f>
        <v>#N/A</v>
      </c>
      <c r="X1627" t="b">
        <f t="shared" ref="X1627:Z1627" si="3230">ISBLANK(K1627)</f>
        <v>1</v>
      </c>
      <c r="Y1627" t="b">
        <f t="shared" si="3230"/>
        <v>0</v>
      </c>
      <c r="Z1627" t="b">
        <f t="shared" si="3230"/>
        <v>0</v>
      </c>
      <c r="AA1627">
        <f t="shared" ref="AA1627:AC1627" si="3231">IF(X1627=FALSE,1,0)</f>
        <v>0</v>
      </c>
      <c r="AB1627">
        <f t="shared" si="3231"/>
        <v>1</v>
      </c>
      <c r="AC1627">
        <f t="shared" si="3231"/>
        <v>1</v>
      </c>
      <c r="AD1627">
        <f t="shared" si="6"/>
        <v>2</v>
      </c>
      <c r="AE1627">
        <f t="shared" si="7"/>
        <v>1</v>
      </c>
    </row>
    <row r="1628">
      <c r="B1628" t="str">
        <f>IFERROR(__xludf.DUMMYFUNCTION("""COMPUTED_VALUE"""),"")</f>
        <v/>
      </c>
      <c r="C1628" t="str">
        <f>IFERROR(__xludf.DUMMYFUNCTION("""COMPUTED_VALUE"""),"")</f>
        <v/>
      </c>
      <c r="D1628" t="str">
        <f>IFERROR(__xludf.DUMMYFUNCTION("""COMPUTED_VALUE"""),"")</f>
        <v/>
      </c>
      <c r="E1628" t="str">
        <f>IFERROR(__xludf.DUMMYFUNCTION("""COMPUTED_VALUE"""),"")</f>
        <v/>
      </c>
      <c r="F1628" t="str">
        <f>IFERROR(__xludf.DUMMYFUNCTION("""COMPUTED_VALUE"""),"")</f>
        <v/>
      </c>
      <c r="G1628" t="str">
        <f>IFERROR(__xludf.DUMMYFUNCTION("""COMPUTED_VALUE"""),"")</f>
        <v/>
      </c>
      <c r="H1628" t="str">
        <f>IFERROR(__xludf.DUMMYFUNCTION("""COMPUTED_VALUE"""),"")</f>
        <v/>
      </c>
      <c r="I1628" t="str">
        <f>IFERROR(__xludf.DUMMYFUNCTION("""COMPUTED_VALUE"""),"")</f>
        <v/>
      </c>
      <c r="J1628">
        <f>IFERROR(__xludf.DUMMYFUNCTION("""COMPUTED_VALUE"""),0.0)</f>
        <v>0</v>
      </c>
      <c r="L1628" s="250" t="str">
        <f>IFERROR(__xludf.DUMMYFUNCTION("""COMPUTED_VALUE"""),"")</f>
        <v/>
      </c>
      <c r="M1628" s="250" t="str">
        <f>IFERROR(__xludf.DUMMYFUNCTION("""COMPUTED_VALUE"""),"")</f>
        <v/>
      </c>
      <c r="N1628" s="250" t="str">
        <f>IFERROR(__xludf.DUMMYFUNCTION("""COMPUTED_VALUE"""),"")</f>
        <v/>
      </c>
      <c r="O1628" s="250" t="str">
        <f>IFERROR(__xludf.DUMMYFUNCTION("""COMPUTED_VALUE"""),"")</f>
        <v/>
      </c>
      <c r="P1628" s="250" t="str">
        <f>IFERROR(__xludf.DUMMYFUNCTION("""COMPUTED_VALUE"""),"")</f>
        <v/>
      </c>
      <c r="Q1628" s="250" t="str">
        <f>IFERROR(__xludf.DUMMYFUNCTION("""COMPUTED_VALUE"""),"")</f>
        <v/>
      </c>
      <c r="R1628" s="250" t="str">
        <f>IFERROR(__xludf.DUMMYFUNCTION("""COMPUTED_VALUE"""),"")</f>
        <v/>
      </c>
      <c r="U1628" s="250" t="str">
        <f>IFERROR(__xludf.DUMMYFUNCTION("""COMPUTED_VALUE"""),"#N/A")</f>
        <v>#N/A</v>
      </c>
      <c r="V1628" s="250" t="str">
        <f>IFERROR(__xludf.DUMMYFUNCTION("""COMPUTED_VALUE"""),"#N/A")</f>
        <v>#N/A</v>
      </c>
      <c r="W1628" s="250" t="str">
        <f>IFERROR(__xludf.DUMMYFUNCTION("""COMPUTED_VALUE"""),"#N/A")</f>
        <v>#N/A</v>
      </c>
      <c r="X1628" t="b">
        <f t="shared" ref="X1628:Z1628" si="3232">ISBLANK(K1628)</f>
        <v>1</v>
      </c>
      <c r="Y1628" t="b">
        <f t="shared" si="3232"/>
        <v>0</v>
      </c>
      <c r="Z1628" t="b">
        <f t="shared" si="3232"/>
        <v>0</v>
      </c>
      <c r="AA1628">
        <f t="shared" ref="AA1628:AC1628" si="3233">IF(X1628=FALSE,1,0)</f>
        <v>0</v>
      </c>
      <c r="AB1628">
        <f t="shared" si="3233"/>
        <v>1</v>
      </c>
      <c r="AC1628">
        <f t="shared" si="3233"/>
        <v>1</v>
      </c>
      <c r="AD1628">
        <f t="shared" si="6"/>
        <v>2</v>
      </c>
      <c r="AE1628">
        <f t="shared" si="7"/>
        <v>1</v>
      </c>
    </row>
    <row r="1629">
      <c r="B1629" t="str">
        <f>IFERROR(__xludf.DUMMYFUNCTION("""COMPUTED_VALUE"""),"")</f>
        <v/>
      </c>
      <c r="C1629" t="str">
        <f>IFERROR(__xludf.DUMMYFUNCTION("""COMPUTED_VALUE"""),"")</f>
        <v/>
      </c>
      <c r="D1629" t="str">
        <f>IFERROR(__xludf.DUMMYFUNCTION("""COMPUTED_VALUE"""),"")</f>
        <v/>
      </c>
      <c r="E1629" t="str">
        <f>IFERROR(__xludf.DUMMYFUNCTION("""COMPUTED_VALUE"""),"")</f>
        <v/>
      </c>
      <c r="F1629" t="str">
        <f>IFERROR(__xludf.DUMMYFUNCTION("""COMPUTED_VALUE"""),"")</f>
        <v/>
      </c>
      <c r="G1629" t="str">
        <f>IFERROR(__xludf.DUMMYFUNCTION("""COMPUTED_VALUE"""),"")</f>
        <v/>
      </c>
      <c r="H1629" t="str">
        <f>IFERROR(__xludf.DUMMYFUNCTION("""COMPUTED_VALUE"""),"")</f>
        <v/>
      </c>
      <c r="I1629" t="str">
        <f>IFERROR(__xludf.DUMMYFUNCTION("""COMPUTED_VALUE"""),"")</f>
        <v/>
      </c>
      <c r="J1629">
        <f>IFERROR(__xludf.DUMMYFUNCTION("""COMPUTED_VALUE"""),0.0)</f>
        <v>0</v>
      </c>
      <c r="L1629" s="250" t="str">
        <f>IFERROR(__xludf.DUMMYFUNCTION("""COMPUTED_VALUE"""),"")</f>
        <v/>
      </c>
      <c r="M1629" s="250" t="str">
        <f>IFERROR(__xludf.DUMMYFUNCTION("""COMPUTED_VALUE"""),"")</f>
        <v/>
      </c>
      <c r="N1629" s="250" t="str">
        <f>IFERROR(__xludf.DUMMYFUNCTION("""COMPUTED_VALUE"""),"")</f>
        <v/>
      </c>
      <c r="O1629" s="250" t="str">
        <f>IFERROR(__xludf.DUMMYFUNCTION("""COMPUTED_VALUE"""),"")</f>
        <v/>
      </c>
      <c r="P1629" s="250" t="str">
        <f>IFERROR(__xludf.DUMMYFUNCTION("""COMPUTED_VALUE"""),"")</f>
        <v/>
      </c>
      <c r="Q1629" s="250" t="str">
        <f>IFERROR(__xludf.DUMMYFUNCTION("""COMPUTED_VALUE"""),"")</f>
        <v/>
      </c>
      <c r="R1629" s="250" t="str">
        <f>IFERROR(__xludf.DUMMYFUNCTION("""COMPUTED_VALUE"""),"")</f>
        <v/>
      </c>
      <c r="U1629" s="250" t="str">
        <f>IFERROR(__xludf.DUMMYFUNCTION("""COMPUTED_VALUE"""),"#N/A")</f>
        <v>#N/A</v>
      </c>
      <c r="V1629" s="250" t="str">
        <f>IFERROR(__xludf.DUMMYFUNCTION("""COMPUTED_VALUE"""),"#N/A")</f>
        <v>#N/A</v>
      </c>
      <c r="W1629" s="250" t="str">
        <f>IFERROR(__xludf.DUMMYFUNCTION("""COMPUTED_VALUE"""),"#N/A")</f>
        <v>#N/A</v>
      </c>
      <c r="X1629" t="b">
        <f t="shared" ref="X1629:Z1629" si="3234">ISBLANK(K1629)</f>
        <v>1</v>
      </c>
      <c r="Y1629" t="b">
        <f t="shared" si="3234"/>
        <v>0</v>
      </c>
      <c r="Z1629" t="b">
        <f t="shared" si="3234"/>
        <v>0</v>
      </c>
      <c r="AA1629">
        <f t="shared" ref="AA1629:AC1629" si="3235">IF(X1629=FALSE,1,0)</f>
        <v>0</v>
      </c>
      <c r="AB1629">
        <f t="shared" si="3235"/>
        <v>1</v>
      </c>
      <c r="AC1629">
        <f t="shared" si="3235"/>
        <v>1</v>
      </c>
      <c r="AD1629">
        <f t="shared" si="6"/>
        <v>2</v>
      </c>
      <c r="AE1629">
        <f t="shared" si="7"/>
        <v>1</v>
      </c>
    </row>
    <row r="1630">
      <c r="B1630" t="str">
        <f>IFERROR(__xludf.DUMMYFUNCTION("""COMPUTED_VALUE"""),"")</f>
        <v/>
      </c>
      <c r="C1630" t="str">
        <f>IFERROR(__xludf.DUMMYFUNCTION("""COMPUTED_VALUE"""),"")</f>
        <v/>
      </c>
      <c r="D1630" t="str">
        <f>IFERROR(__xludf.DUMMYFUNCTION("""COMPUTED_VALUE"""),"")</f>
        <v/>
      </c>
      <c r="E1630" t="str">
        <f>IFERROR(__xludf.DUMMYFUNCTION("""COMPUTED_VALUE"""),"")</f>
        <v/>
      </c>
      <c r="F1630" t="str">
        <f>IFERROR(__xludf.DUMMYFUNCTION("""COMPUTED_VALUE"""),"")</f>
        <v/>
      </c>
      <c r="G1630" t="str">
        <f>IFERROR(__xludf.DUMMYFUNCTION("""COMPUTED_VALUE"""),"")</f>
        <v/>
      </c>
      <c r="H1630" t="str">
        <f>IFERROR(__xludf.DUMMYFUNCTION("""COMPUTED_VALUE"""),"")</f>
        <v/>
      </c>
      <c r="I1630" t="str">
        <f>IFERROR(__xludf.DUMMYFUNCTION("""COMPUTED_VALUE"""),"")</f>
        <v/>
      </c>
      <c r="J1630">
        <f>IFERROR(__xludf.DUMMYFUNCTION("""COMPUTED_VALUE"""),0.0)</f>
        <v>0</v>
      </c>
      <c r="L1630" s="250" t="str">
        <f>IFERROR(__xludf.DUMMYFUNCTION("""COMPUTED_VALUE"""),"")</f>
        <v/>
      </c>
      <c r="M1630" s="250" t="str">
        <f>IFERROR(__xludf.DUMMYFUNCTION("""COMPUTED_VALUE"""),"")</f>
        <v/>
      </c>
      <c r="N1630" s="250" t="str">
        <f>IFERROR(__xludf.DUMMYFUNCTION("""COMPUTED_VALUE"""),"")</f>
        <v/>
      </c>
      <c r="O1630" s="250" t="str">
        <f>IFERROR(__xludf.DUMMYFUNCTION("""COMPUTED_VALUE"""),"")</f>
        <v/>
      </c>
      <c r="P1630" s="250" t="str">
        <f>IFERROR(__xludf.DUMMYFUNCTION("""COMPUTED_VALUE"""),"")</f>
        <v/>
      </c>
      <c r="Q1630" s="250" t="str">
        <f>IFERROR(__xludf.DUMMYFUNCTION("""COMPUTED_VALUE"""),"")</f>
        <v/>
      </c>
      <c r="R1630" s="250" t="str">
        <f>IFERROR(__xludf.DUMMYFUNCTION("""COMPUTED_VALUE"""),"")</f>
        <v/>
      </c>
      <c r="U1630" s="250" t="str">
        <f>IFERROR(__xludf.DUMMYFUNCTION("""COMPUTED_VALUE"""),"#N/A")</f>
        <v>#N/A</v>
      </c>
      <c r="V1630" s="250" t="str">
        <f>IFERROR(__xludf.DUMMYFUNCTION("""COMPUTED_VALUE"""),"#N/A")</f>
        <v>#N/A</v>
      </c>
      <c r="W1630" s="250" t="str">
        <f>IFERROR(__xludf.DUMMYFUNCTION("""COMPUTED_VALUE"""),"#N/A")</f>
        <v>#N/A</v>
      </c>
      <c r="X1630" t="b">
        <f t="shared" ref="X1630:Z1630" si="3236">ISBLANK(K1630)</f>
        <v>1</v>
      </c>
      <c r="Y1630" t="b">
        <f t="shared" si="3236"/>
        <v>0</v>
      </c>
      <c r="Z1630" t="b">
        <f t="shared" si="3236"/>
        <v>0</v>
      </c>
      <c r="AA1630">
        <f t="shared" ref="AA1630:AC1630" si="3237">IF(X1630=FALSE,1,0)</f>
        <v>0</v>
      </c>
      <c r="AB1630">
        <f t="shared" si="3237"/>
        <v>1</v>
      </c>
      <c r="AC1630">
        <f t="shared" si="3237"/>
        <v>1</v>
      </c>
      <c r="AD1630">
        <f t="shared" si="6"/>
        <v>2</v>
      </c>
      <c r="AE1630">
        <f t="shared" si="7"/>
        <v>1</v>
      </c>
    </row>
    <row r="1631">
      <c r="B1631" t="str">
        <f>IFERROR(__xludf.DUMMYFUNCTION("""COMPUTED_VALUE"""),"")</f>
        <v/>
      </c>
      <c r="C1631" t="str">
        <f>IFERROR(__xludf.DUMMYFUNCTION("""COMPUTED_VALUE"""),"")</f>
        <v/>
      </c>
      <c r="D1631" t="str">
        <f>IFERROR(__xludf.DUMMYFUNCTION("""COMPUTED_VALUE"""),"")</f>
        <v/>
      </c>
      <c r="E1631" t="str">
        <f>IFERROR(__xludf.DUMMYFUNCTION("""COMPUTED_VALUE"""),"")</f>
        <v/>
      </c>
      <c r="F1631" t="str">
        <f>IFERROR(__xludf.DUMMYFUNCTION("""COMPUTED_VALUE"""),"")</f>
        <v/>
      </c>
      <c r="G1631" t="str">
        <f>IFERROR(__xludf.DUMMYFUNCTION("""COMPUTED_VALUE"""),"")</f>
        <v/>
      </c>
      <c r="H1631" t="str">
        <f>IFERROR(__xludf.DUMMYFUNCTION("""COMPUTED_VALUE"""),"")</f>
        <v/>
      </c>
      <c r="I1631" t="str">
        <f>IFERROR(__xludf.DUMMYFUNCTION("""COMPUTED_VALUE"""),"")</f>
        <v/>
      </c>
      <c r="J1631">
        <f>IFERROR(__xludf.DUMMYFUNCTION("""COMPUTED_VALUE"""),0.0)</f>
        <v>0</v>
      </c>
      <c r="L1631" s="250" t="str">
        <f>IFERROR(__xludf.DUMMYFUNCTION("""COMPUTED_VALUE"""),"")</f>
        <v/>
      </c>
      <c r="M1631" s="250" t="str">
        <f>IFERROR(__xludf.DUMMYFUNCTION("""COMPUTED_VALUE"""),"")</f>
        <v/>
      </c>
      <c r="N1631" s="250" t="str">
        <f>IFERROR(__xludf.DUMMYFUNCTION("""COMPUTED_VALUE"""),"")</f>
        <v/>
      </c>
      <c r="O1631" s="250" t="str">
        <f>IFERROR(__xludf.DUMMYFUNCTION("""COMPUTED_VALUE"""),"")</f>
        <v/>
      </c>
      <c r="P1631" s="250" t="str">
        <f>IFERROR(__xludf.DUMMYFUNCTION("""COMPUTED_VALUE"""),"")</f>
        <v/>
      </c>
      <c r="Q1631" s="250" t="str">
        <f>IFERROR(__xludf.DUMMYFUNCTION("""COMPUTED_VALUE"""),"")</f>
        <v/>
      </c>
      <c r="R1631" s="250" t="str">
        <f>IFERROR(__xludf.DUMMYFUNCTION("""COMPUTED_VALUE"""),"")</f>
        <v/>
      </c>
      <c r="U1631" s="250" t="str">
        <f>IFERROR(__xludf.DUMMYFUNCTION("""COMPUTED_VALUE"""),"#N/A")</f>
        <v>#N/A</v>
      </c>
      <c r="V1631" s="250" t="str">
        <f>IFERROR(__xludf.DUMMYFUNCTION("""COMPUTED_VALUE"""),"#N/A")</f>
        <v>#N/A</v>
      </c>
      <c r="W1631" s="250" t="str">
        <f>IFERROR(__xludf.DUMMYFUNCTION("""COMPUTED_VALUE"""),"#N/A")</f>
        <v>#N/A</v>
      </c>
      <c r="X1631" t="b">
        <f t="shared" ref="X1631:Z1631" si="3238">ISBLANK(K1631)</f>
        <v>1</v>
      </c>
      <c r="Y1631" t="b">
        <f t="shared" si="3238"/>
        <v>0</v>
      </c>
      <c r="Z1631" t="b">
        <f t="shared" si="3238"/>
        <v>0</v>
      </c>
      <c r="AA1631">
        <f t="shared" ref="AA1631:AC1631" si="3239">IF(X1631=FALSE,1,0)</f>
        <v>0</v>
      </c>
      <c r="AB1631">
        <f t="shared" si="3239"/>
        <v>1</v>
      </c>
      <c r="AC1631">
        <f t="shared" si="3239"/>
        <v>1</v>
      </c>
      <c r="AD1631">
        <f t="shared" si="6"/>
        <v>2</v>
      </c>
      <c r="AE1631">
        <f t="shared" si="7"/>
        <v>1</v>
      </c>
    </row>
    <row r="1632">
      <c r="B1632" t="str">
        <f>IFERROR(__xludf.DUMMYFUNCTION("""COMPUTED_VALUE"""),"")</f>
        <v/>
      </c>
      <c r="C1632" t="str">
        <f>IFERROR(__xludf.DUMMYFUNCTION("""COMPUTED_VALUE"""),"")</f>
        <v/>
      </c>
      <c r="D1632" t="str">
        <f>IFERROR(__xludf.DUMMYFUNCTION("""COMPUTED_VALUE"""),"")</f>
        <v/>
      </c>
      <c r="E1632" t="str">
        <f>IFERROR(__xludf.DUMMYFUNCTION("""COMPUTED_VALUE"""),"")</f>
        <v/>
      </c>
      <c r="F1632" t="str">
        <f>IFERROR(__xludf.DUMMYFUNCTION("""COMPUTED_VALUE"""),"")</f>
        <v/>
      </c>
      <c r="G1632" t="str">
        <f>IFERROR(__xludf.DUMMYFUNCTION("""COMPUTED_VALUE"""),"")</f>
        <v/>
      </c>
      <c r="H1632" t="str">
        <f>IFERROR(__xludf.DUMMYFUNCTION("""COMPUTED_VALUE"""),"")</f>
        <v/>
      </c>
      <c r="I1632" t="str">
        <f>IFERROR(__xludf.DUMMYFUNCTION("""COMPUTED_VALUE"""),"")</f>
        <v/>
      </c>
      <c r="J1632">
        <f>IFERROR(__xludf.DUMMYFUNCTION("""COMPUTED_VALUE"""),0.0)</f>
        <v>0</v>
      </c>
      <c r="L1632" s="250" t="str">
        <f>IFERROR(__xludf.DUMMYFUNCTION("""COMPUTED_VALUE"""),"")</f>
        <v/>
      </c>
      <c r="M1632" s="250" t="str">
        <f>IFERROR(__xludf.DUMMYFUNCTION("""COMPUTED_VALUE"""),"")</f>
        <v/>
      </c>
      <c r="N1632" s="250" t="str">
        <f>IFERROR(__xludf.DUMMYFUNCTION("""COMPUTED_VALUE"""),"")</f>
        <v/>
      </c>
      <c r="O1632" s="250" t="str">
        <f>IFERROR(__xludf.DUMMYFUNCTION("""COMPUTED_VALUE"""),"")</f>
        <v/>
      </c>
      <c r="P1632" s="250" t="str">
        <f>IFERROR(__xludf.DUMMYFUNCTION("""COMPUTED_VALUE"""),"")</f>
        <v/>
      </c>
      <c r="Q1632" s="250" t="str">
        <f>IFERROR(__xludf.DUMMYFUNCTION("""COMPUTED_VALUE"""),"")</f>
        <v/>
      </c>
      <c r="R1632" s="250" t="str">
        <f>IFERROR(__xludf.DUMMYFUNCTION("""COMPUTED_VALUE"""),"")</f>
        <v/>
      </c>
      <c r="U1632" s="250" t="str">
        <f>IFERROR(__xludf.DUMMYFUNCTION("""COMPUTED_VALUE"""),"#N/A")</f>
        <v>#N/A</v>
      </c>
      <c r="V1632" s="250" t="str">
        <f>IFERROR(__xludf.DUMMYFUNCTION("""COMPUTED_VALUE"""),"#N/A")</f>
        <v>#N/A</v>
      </c>
      <c r="W1632" s="250" t="str">
        <f>IFERROR(__xludf.DUMMYFUNCTION("""COMPUTED_VALUE"""),"#N/A")</f>
        <v>#N/A</v>
      </c>
      <c r="X1632" t="b">
        <f t="shared" ref="X1632:Z1632" si="3240">ISBLANK(K1632)</f>
        <v>1</v>
      </c>
      <c r="Y1632" t="b">
        <f t="shared" si="3240"/>
        <v>0</v>
      </c>
      <c r="Z1632" t="b">
        <f t="shared" si="3240"/>
        <v>0</v>
      </c>
      <c r="AA1632">
        <f t="shared" ref="AA1632:AC1632" si="3241">IF(X1632=FALSE,1,0)</f>
        <v>0</v>
      </c>
      <c r="AB1632">
        <f t="shared" si="3241"/>
        <v>1</v>
      </c>
      <c r="AC1632">
        <f t="shared" si="3241"/>
        <v>1</v>
      </c>
      <c r="AD1632">
        <f t="shared" si="6"/>
        <v>2</v>
      </c>
      <c r="AE1632">
        <f t="shared" si="7"/>
        <v>1</v>
      </c>
    </row>
    <row r="1633">
      <c r="B1633" t="str">
        <f>IFERROR(__xludf.DUMMYFUNCTION("""COMPUTED_VALUE"""),"")</f>
        <v/>
      </c>
      <c r="C1633" t="str">
        <f>IFERROR(__xludf.DUMMYFUNCTION("""COMPUTED_VALUE"""),"")</f>
        <v/>
      </c>
      <c r="D1633" t="str">
        <f>IFERROR(__xludf.DUMMYFUNCTION("""COMPUTED_VALUE"""),"")</f>
        <v/>
      </c>
      <c r="E1633" t="str">
        <f>IFERROR(__xludf.DUMMYFUNCTION("""COMPUTED_VALUE"""),"")</f>
        <v/>
      </c>
      <c r="F1633" t="str">
        <f>IFERROR(__xludf.DUMMYFUNCTION("""COMPUTED_VALUE"""),"")</f>
        <v/>
      </c>
      <c r="G1633" t="str">
        <f>IFERROR(__xludf.DUMMYFUNCTION("""COMPUTED_VALUE"""),"")</f>
        <v/>
      </c>
      <c r="H1633" t="str">
        <f>IFERROR(__xludf.DUMMYFUNCTION("""COMPUTED_VALUE"""),"")</f>
        <v/>
      </c>
      <c r="I1633" t="str">
        <f>IFERROR(__xludf.DUMMYFUNCTION("""COMPUTED_VALUE"""),"")</f>
        <v/>
      </c>
      <c r="J1633">
        <f>IFERROR(__xludf.DUMMYFUNCTION("""COMPUTED_VALUE"""),0.0)</f>
        <v>0</v>
      </c>
      <c r="L1633" s="250" t="str">
        <f>IFERROR(__xludf.DUMMYFUNCTION("""COMPUTED_VALUE"""),"")</f>
        <v/>
      </c>
      <c r="M1633" s="250" t="str">
        <f>IFERROR(__xludf.DUMMYFUNCTION("""COMPUTED_VALUE"""),"")</f>
        <v/>
      </c>
      <c r="N1633" s="250" t="str">
        <f>IFERROR(__xludf.DUMMYFUNCTION("""COMPUTED_VALUE"""),"")</f>
        <v/>
      </c>
      <c r="O1633" s="250" t="str">
        <f>IFERROR(__xludf.DUMMYFUNCTION("""COMPUTED_VALUE"""),"")</f>
        <v/>
      </c>
      <c r="P1633" s="250" t="str">
        <f>IFERROR(__xludf.DUMMYFUNCTION("""COMPUTED_VALUE"""),"")</f>
        <v/>
      </c>
      <c r="Q1633" s="250" t="str">
        <f>IFERROR(__xludf.DUMMYFUNCTION("""COMPUTED_VALUE"""),"")</f>
        <v/>
      </c>
      <c r="R1633" s="250" t="str">
        <f>IFERROR(__xludf.DUMMYFUNCTION("""COMPUTED_VALUE"""),"")</f>
        <v/>
      </c>
      <c r="U1633" s="250" t="str">
        <f>IFERROR(__xludf.DUMMYFUNCTION("""COMPUTED_VALUE"""),"#N/A")</f>
        <v>#N/A</v>
      </c>
      <c r="V1633" s="250" t="str">
        <f>IFERROR(__xludf.DUMMYFUNCTION("""COMPUTED_VALUE"""),"#N/A")</f>
        <v>#N/A</v>
      </c>
      <c r="W1633" s="250" t="str">
        <f>IFERROR(__xludf.DUMMYFUNCTION("""COMPUTED_VALUE"""),"#N/A")</f>
        <v>#N/A</v>
      </c>
      <c r="X1633" t="b">
        <f t="shared" ref="X1633:Z1633" si="3242">ISBLANK(K1633)</f>
        <v>1</v>
      </c>
      <c r="Y1633" t="b">
        <f t="shared" si="3242"/>
        <v>0</v>
      </c>
      <c r="Z1633" t="b">
        <f t="shared" si="3242"/>
        <v>0</v>
      </c>
      <c r="AA1633">
        <f t="shared" ref="AA1633:AC1633" si="3243">IF(X1633=FALSE,1,0)</f>
        <v>0</v>
      </c>
      <c r="AB1633">
        <f t="shared" si="3243"/>
        <v>1</v>
      </c>
      <c r="AC1633">
        <f t="shared" si="3243"/>
        <v>1</v>
      </c>
      <c r="AD1633">
        <f t="shared" si="6"/>
        <v>2</v>
      </c>
      <c r="AE1633">
        <f t="shared" si="7"/>
        <v>1</v>
      </c>
    </row>
    <row r="1634">
      <c r="B1634" t="str">
        <f>IFERROR(__xludf.DUMMYFUNCTION("""COMPUTED_VALUE"""),"")</f>
        <v/>
      </c>
      <c r="C1634" t="str">
        <f>IFERROR(__xludf.DUMMYFUNCTION("""COMPUTED_VALUE"""),"")</f>
        <v/>
      </c>
      <c r="D1634" t="str">
        <f>IFERROR(__xludf.DUMMYFUNCTION("""COMPUTED_VALUE"""),"")</f>
        <v/>
      </c>
      <c r="E1634" t="str">
        <f>IFERROR(__xludf.DUMMYFUNCTION("""COMPUTED_VALUE"""),"")</f>
        <v/>
      </c>
      <c r="F1634" t="str">
        <f>IFERROR(__xludf.DUMMYFUNCTION("""COMPUTED_VALUE"""),"")</f>
        <v/>
      </c>
      <c r="G1634" t="str">
        <f>IFERROR(__xludf.DUMMYFUNCTION("""COMPUTED_VALUE"""),"")</f>
        <v/>
      </c>
      <c r="H1634" t="str">
        <f>IFERROR(__xludf.DUMMYFUNCTION("""COMPUTED_VALUE"""),"")</f>
        <v/>
      </c>
      <c r="I1634" t="str">
        <f>IFERROR(__xludf.DUMMYFUNCTION("""COMPUTED_VALUE"""),"")</f>
        <v/>
      </c>
      <c r="J1634">
        <f>IFERROR(__xludf.DUMMYFUNCTION("""COMPUTED_VALUE"""),0.0)</f>
        <v>0</v>
      </c>
      <c r="L1634" s="250" t="str">
        <f>IFERROR(__xludf.DUMMYFUNCTION("""COMPUTED_VALUE"""),"")</f>
        <v/>
      </c>
      <c r="M1634" s="250" t="str">
        <f>IFERROR(__xludf.DUMMYFUNCTION("""COMPUTED_VALUE"""),"")</f>
        <v/>
      </c>
      <c r="N1634" s="250" t="str">
        <f>IFERROR(__xludf.DUMMYFUNCTION("""COMPUTED_VALUE"""),"")</f>
        <v/>
      </c>
      <c r="O1634" s="250" t="str">
        <f>IFERROR(__xludf.DUMMYFUNCTION("""COMPUTED_VALUE"""),"")</f>
        <v/>
      </c>
      <c r="P1634" s="250" t="str">
        <f>IFERROR(__xludf.DUMMYFUNCTION("""COMPUTED_VALUE"""),"")</f>
        <v/>
      </c>
      <c r="Q1634" s="250" t="str">
        <f>IFERROR(__xludf.DUMMYFUNCTION("""COMPUTED_VALUE"""),"")</f>
        <v/>
      </c>
      <c r="R1634" s="250" t="str">
        <f>IFERROR(__xludf.DUMMYFUNCTION("""COMPUTED_VALUE"""),"")</f>
        <v/>
      </c>
      <c r="U1634" s="250" t="str">
        <f>IFERROR(__xludf.DUMMYFUNCTION("""COMPUTED_VALUE"""),"#N/A")</f>
        <v>#N/A</v>
      </c>
      <c r="V1634" s="250" t="str">
        <f>IFERROR(__xludf.DUMMYFUNCTION("""COMPUTED_VALUE"""),"#N/A")</f>
        <v>#N/A</v>
      </c>
      <c r="W1634" s="250" t="str">
        <f>IFERROR(__xludf.DUMMYFUNCTION("""COMPUTED_VALUE"""),"#N/A")</f>
        <v>#N/A</v>
      </c>
      <c r="X1634" t="b">
        <f t="shared" ref="X1634:Z1634" si="3244">ISBLANK(K1634)</f>
        <v>1</v>
      </c>
      <c r="Y1634" t="b">
        <f t="shared" si="3244"/>
        <v>0</v>
      </c>
      <c r="Z1634" t="b">
        <f t="shared" si="3244"/>
        <v>0</v>
      </c>
      <c r="AA1634">
        <f t="shared" ref="AA1634:AC1634" si="3245">IF(X1634=FALSE,1,0)</f>
        <v>0</v>
      </c>
      <c r="AB1634">
        <f t="shared" si="3245"/>
        <v>1</v>
      </c>
      <c r="AC1634">
        <f t="shared" si="3245"/>
        <v>1</v>
      </c>
      <c r="AD1634">
        <f t="shared" si="6"/>
        <v>2</v>
      </c>
      <c r="AE1634">
        <f t="shared" si="7"/>
        <v>1</v>
      </c>
    </row>
    <row r="1635">
      <c r="B1635" t="str">
        <f>IFERROR(__xludf.DUMMYFUNCTION("""COMPUTED_VALUE"""),"")</f>
        <v/>
      </c>
      <c r="C1635" t="str">
        <f>IFERROR(__xludf.DUMMYFUNCTION("""COMPUTED_VALUE"""),"")</f>
        <v/>
      </c>
      <c r="D1635" t="str">
        <f>IFERROR(__xludf.DUMMYFUNCTION("""COMPUTED_VALUE"""),"")</f>
        <v/>
      </c>
      <c r="E1635" t="str">
        <f>IFERROR(__xludf.DUMMYFUNCTION("""COMPUTED_VALUE"""),"")</f>
        <v/>
      </c>
      <c r="F1635" t="str">
        <f>IFERROR(__xludf.DUMMYFUNCTION("""COMPUTED_VALUE"""),"")</f>
        <v/>
      </c>
      <c r="G1635" t="str">
        <f>IFERROR(__xludf.DUMMYFUNCTION("""COMPUTED_VALUE"""),"")</f>
        <v/>
      </c>
      <c r="H1635" t="str">
        <f>IFERROR(__xludf.DUMMYFUNCTION("""COMPUTED_VALUE"""),"")</f>
        <v/>
      </c>
      <c r="I1635" t="str">
        <f>IFERROR(__xludf.DUMMYFUNCTION("""COMPUTED_VALUE"""),"")</f>
        <v/>
      </c>
      <c r="J1635">
        <f>IFERROR(__xludf.DUMMYFUNCTION("""COMPUTED_VALUE"""),0.0)</f>
        <v>0</v>
      </c>
      <c r="L1635" s="250" t="str">
        <f>IFERROR(__xludf.DUMMYFUNCTION("""COMPUTED_VALUE"""),"")</f>
        <v/>
      </c>
      <c r="M1635" s="250" t="str">
        <f>IFERROR(__xludf.DUMMYFUNCTION("""COMPUTED_VALUE"""),"")</f>
        <v/>
      </c>
      <c r="N1635" s="250" t="str">
        <f>IFERROR(__xludf.DUMMYFUNCTION("""COMPUTED_VALUE"""),"")</f>
        <v/>
      </c>
      <c r="O1635" s="250" t="str">
        <f>IFERROR(__xludf.DUMMYFUNCTION("""COMPUTED_VALUE"""),"")</f>
        <v/>
      </c>
      <c r="P1635" s="250" t="str">
        <f>IFERROR(__xludf.DUMMYFUNCTION("""COMPUTED_VALUE"""),"")</f>
        <v/>
      </c>
      <c r="Q1635" s="250" t="str">
        <f>IFERROR(__xludf.DUMMYFUNCTION("""COMPUTED_VALUE"""),"")</f>
        <v/>
      </c>
      <c r="R1635" s="250" t="str">
        <f>IFERROR(__xludf.DUMMYFUNCTION("""COMPUTED_VALUE"""),"")</f>
        <v/>
      </c>
      <c r="U1635" s="250" t="str">
        <f>IFERROR(__xludf.DUMMYFUNCTION("""COMPUTED_VALUE"""),"#N/A")</f>
        <v>#N/A</v>
      </c>
      <c r="V1635" s="250" t="str">
        <f>IFERROR(__xludf.DUMMYFUNCTION("""COMPUTED_VALUE"""),"#N/A")</f>
        <v>#N/A</v>
      </c>
      <c r="W1635" s="250" t="str">
        <f>IFERROR(__xludf.DUMMYFUNCTION("""COMPUTED_VALUE"""),"#N/A")</f>
        <v>#N/A</v>
      </c>
      <c r="X1635" t="b">
        <f t="shared" ref="X1635:Z1635" si="3246">ISBLANK(K1635)</f>
        <v>1</v>
      </c>
      <c r="Y1635" t="b">
        <f t="shared" si="3246"/>
        <v>0</v>
      </c>
      <c r="Z1635" t="b">
        <f t="shared" si="3246"/>
        <v>0</v>
      </c>
      <c r="AA1635">
        <f t="shared" ref="AA1635:AC1635" si="3247">IF(X1635=FALSE,1,0)</f>
        <v>0</v>
      </c>
      <c r="AB1635">
        <f t="shared" si="3247"/>
        <v>1</v>
      </c>
      <c r="AC1635">
        <f t="shared" si="3247"/>
        <v>1</v>
      </c>
      <c r="AD1635">
        <f t="shared" si="6"/>
        <v>2</v>
      </c>
      <c r="AE1635">
        <f t="shared" si="7"/>
        <v>1</v>
      </c>
    </row>
    <row r="1636">
      <c r="B1636" t="str">
        <f>IFERROR(__xludf.DUMMYFUNCTION("""COMPUTED_VALUE"""),"")</f>
        <v/>
      </c>
      <c r="C1636" t="str">
        <f>IFERROR(__xludf.DUMMYFUNCTION("""COMPUTED_VALUE"""),"")</f>
        <v/>
      </c>
      <c r="D1636" t="str">
        <f>IFERROR(__xludf.DUMMYFUNCTION("""COMPUTED_VALUE"""),"")</f>
        <v/>
      </c>
      <c r="E1636" t="str">
        <f>IFERROR(__xludf.DUMMYFUNCTION("""COMPUTED_VALUE"""),"")</f>
        <v/>
      </c>
      <c r="F1636" t="str">
        <f>IFERROR(__xludf.DUMMYFUNCTION("""COMPUTED_VALUE"""),"")</f>
        <v/>
      </c>
      <c r="G1636" t="str">
        <f>IFERROR(__xludf.DUMMYFUNCTION("""COMPUTED_VALUE"""),"")</f>
        <v/>
      </c>
      <c r="H1636" t="str">
        <f>IFERROR(__xludf.DUMMYFUNCTION("""COMPUTED_VALUE"""),"")</f>
        <v/>
      </c>
      <c r="I1636" t="str">
        <f>IFERROR(__xludf.DUMMYFUNCTION("""COMPUTED_VALUE"""),"")</f>
        <v/>
      </c>
      <c r="J1636">
        <f>IFERROR(__xludf.DUMMYFUNCTION("""COMPUTED_VALUE"""),0.0)</f>
        <v>0</v>
      </c>
      <c r="L1636" s="250" t="str">
        <f>IFERROR(__xludf.DUMMYFUNCTION("""COMPUTED_VALUE"""),"")</f>
        <v/>
      </c>
      <c r="M1636" s="250" t="str">
        <f>IFERROR(__xludf.DUMMYFUNCTION("""COMPUTED_VALUE"""),"")</f>
        <v/>
      </c>
      <c r="N1636" s="250" t="str">
        <f>IFERROR(__xludf.DUMMYFUNCTION("""COMPUTED_VALUE"""),"")</f>
        <v/>
      </c>
      <c r="O1636" s="250" t="str">
        <f>IFERROR(__xludf.DUMMYFUNCTION("""COMPUTED_VALUE"""),"")</f>
        <v/>
      </c>
      <c r="P1636" s="250" t="str">
        <f>IFERROR(__xludf.DUMMYFUNCTION("""COMPUTED_VALUE"""),"")</f>
        <v/>
      </c>
      <c r="Q1636" s="250" t="str">
        <f>IFERROR(__xludf.DUMMYFUNCTION("""COMPUTED_VALUE"""),"")</f>
        <v/>
      </c>
      <c r="R1636" s="250" t="str">
        <f>IFERROR(__xludf.DUMMYFUNCTION("""COMPUTED_VALUE"""),"")</f>
        <v/>
      </c>
      <c r="U1636" s="250" t="str">
        <f>IFERROR(__xludf.DUMMYFUNCTION("""COMPUTED_VALUE"""),"#N/A")</f>
        <v>#N/A</v>
      </c>
      <c r="V1636" s="250" t="str">
        <f>IFERROR(__xludf.DUMMYFUNCTION("""COMPUTED_VALUE"""),"#N/A")</f>
        <v>#N/A</v>
      </c>
      <c r="W1636" s="250" t="str">
        <f>IFERROR(__xludf.DUMMYFUNCTION("""COMPUTED_VALUE"""),"#N/A")</f>
        <v>#N/A</v>
      </c>
      <c r="X1636" t="b">
        <f t="shared" ref="X1636:Z1636" si="3248">ISBLANK(K1636)</f>
        <v>1</v>
      </c>
      <c r="Y1636" t="b">
        <f t="shared" si="3248"/>
        <v>0</v>
      </c>
      <c r="Z1636" t="b">
        <f t="shared" si="3248"/>
        <v>0</v>
      </c>
      <c r="AA1636">
        <f t="shared" ref="AA1636:AC1636" si="3249">IF(X1636=FALSE,1,0)</f>
        <v>0</v>
      </c>
      <c r="AB1636">
        <f t="shared" si="3249"/>
        <v>1</v>
      </c>
      <c r="AC1636">
        <f t="shared" si="3249"/>
        <v>1</v>
      </c>
      <c r="AD1636">
        <f t="shared" si="6"/>
        <v>2</v>
      </c>
      <c r="AE1636">
        <f t="shared" si="7"/>
        <v>1</v>
      </c>
    </row>
    <row r="1637">
      <c r="B1637" t="str">
        <f>IFERROR(__xludf.DUMMYFUNCTION("""COMPUTED_VALUE"""),"")</f>
        <v/>
      </c>
      <c r="C1637" t="str">
        <f>IFERROR(__xludf.DUMMYFUNCTION("""COMPUTED_VALUE"""),"")</f>
        <v/>
      </c>
      <c r="D1637" t="str">
        <f>IFERROR(__xludf.DUMMYFUNCTION("""COMPUTED_VALUE"""),"")</f>
        <v/>
      </c>
      <c r="E1637" t="str">
        <f>IFERROR(__xludf.DUMMYFUNCTION("""COMPUTED_VALUE"""),"")</f>
        <v/>
      </c>
      <c r="F1637" t="str">
        <f>IFERROR(__xludf.DUMMYFUNCTION("""COMPUTED_VALUE"""),"")</f>
        <v/>
      </c>
      <c r="G1637" t="str">
        <f>IFERROR(__xludf.DUMMYFUNCTION("""COMPUTED_VALUE"""),"")</f>
        <v/>
      </c>
      <c r="H1637" t="str">
        <f>IFERROR(__xludf.DUMMYFUNCTION("""COMPUTED_VALUE"""),"")</f>
        <v/>
      </c>
      <c r="I1637" t="str">
        <f>IFERROR(__xludf.DUMMYFUNCTION("""COMPUTED_VALUE"""),"")</f>
        <v/>
      </c>
      <c r="J1637">
        <f>IFERROR(__xludf.DUMMYFUNCTION("""COMPUTED_VALUE"""),0.0)</f>
        <v>0</v>
      </c>
      <c r="L1637" s="250" t="str">
        <f>IFERROR(__xludf.DUMMYFUNCTION("""COMPUTED_VALUE"""),"")</f>
        <v/>
      </c>
      <c r="M1637" s="250" t="str">
        <f>IFERROR(__xludf.DUMMYFUNCTION("""COMPUTED_VALUE"""),"")</f>
        <v/>
      </c>
      <c r="N1637" s="250" t="str">
        <f>IFERROR(__xludf.DUMMYFUNCTION("""COMPUTED_VALUE"""),"")</f>
        <v/>
      </c>
      <c r="O1637" s="250" t="str">
        <f>IFERROR(__xludf.DUMMYFUNCTION("""COMPUTED_VALUE"""),"")</f>
        <v/>
      </c>
      <c r="P1637" s="250" t="str">
        <f>IFERROR(__xludf.DUMMYFUNCTION("""COMPUTED_VALUE"""),"")</f>
        <v/>
      </c>
      <c r="Q1637" s="250" t="str">
        <f>IFERROR(__xludf.DUMMYFUNCTION("""COMPUTED_VALUE"""),"")</f>
        <v/>
      </c>
      <c r="R1637" s="250" t="str">
        <f>IFERROR(__xludf.DUMMYFUNCTION("""COMPUTED_VALUE"""),"")</f>
        <v/>
      </c>
      <c r="U1637" s="250" t="str">
        <f>IFERROR(__xludf.DUMMYFUNCTION("""COMPUTED_VALUE"""),"#N/A")</f>
        <v>#N/A</v>
      </c>
      <c r="V1637" s="250" t="str">
        <f>IFERROR(__xludf.DUMMYFUNCTION("""COMPUTED_VALUE"""),"#N/A")</f>
        <v>#N/A</v>
      </c>
      <c r="W1637" s="250" t="str">
        <f>IFERROR(__xludf.DUMMYFUNCTION("""COMPUTED_VALUE"""),"#N/A")</f>
        <v>#N/A</v>
      </c>
      <c r="X1637" t="b">
        <f t="shared" ref="X1637:Z1637" si="3250">ISBLANK(K1637)</f>
        <v>1</v>
      </c>
      <c r="Y1637" t="b">
        <f t="shared" si="3250"/>
        <v>0</v>
      </c>
      <c r="Z1637" t="b">
        <f t="shared" si="3250"/>
        <v>0</v>
      </c>
      <c r="AA1637">
        <f t="shared" ref="AA1637:AC1637" si="3251">IF(X1637=FALSE,1,0)</f>
        <v>0</v>
      </c>
      <c r="AB1637">
        <f t="shared" si="3251"/>
        <v>1</v>
      </c>
      <c r="AC1637">
        <f t="shared" si="3251"/>
        <v>1</v>
      </c>
      <c r="AD1637">
        <f t="shared" si="6"/>
        <v>2</v>
      </c>
      <c r="AE1637">
        <f t="shared" si="7"/>
        <v>1</v>
      </c>
    </row>
    <row r="1638">
      <c r="B1638" t="str">
        <f>IFERROR(__xludf.DUMMYFUNCTION("""COMPUTED_VALUE"""),"")</f>
        <v/>
      </c>
      <c r="C1638" t="str">
        <f>IFERROR(__xludf.DUMMYFUNCTION("""COMPUTED_VALUE"""),"")</f>
        <v/>
      </c>
      <c r="D1638" t="str">
        <f>IFERROR(__xludf.DUMMYFUNCTION("""COMPUTED_VALUE"""),"")</f>
        <v/>
      </c>
      <c r="E1638" t="str">
        <f>IFERROR(__xludf.DUMMYFUNCTION("""COMPUTED_VALUE"""),"")</f>
        <v/>
      </c>
      <c r="F1638" t="str">
        <f>IFERROR(__xludf.DUMMYFUNCTION("""COMPUTED_VALUE"""),"")</f>
        <v/>
      </c>
      <c r="G1638" t="str">
        <f>IFERROR(__xludf.DUMMYFUNCTION("""COMPUTED_VALUE"""),"")</f>
        <v/>
      </c>
      <c r="H1638" t="str">
        <f>IFERROR(__xludf.DUMMYFUNCTION("""COMPUTED_VALUE"""),"")</f>
        <v/>
      </c>
      <c r="I1638" t="str">
        <f>IFERROR(__xludf.DUMMYFUNCTION("""COMPUTED_VALUE"""),"")</f>
        <v/>
      </c>
      <c r="J1638">
        <f>IFERROR(__xludf.DUMMYFUNCTION("""COMPUTED_VALUE"""),0.0)</f>
        <v>0</v>
      </c>
      <c r="L1638" s="250" t="str">
        <f>IFERROR(__xludf.DUMMYFUNCTION("""COMPUTED_VALUE"""),"")</f>
        <v/>
      </c>
      <c r="M1638" s="250" t="str">
        <f>IFERROR(__xludf.DUMMYFUNCTION("""COMPUTED_VALUE"""),"")</f>
        <v/>
      </c>
      <c r="N1638" s="250" t="str">
        <f>IFERROR(__xludf.DUMMYFUNCTION("""COMPUTED_VALUE"""),"")</f>
        <v/>
      </c>
      <c r="O1638" s="250" t="str">
        <f>IFERROR(__xludf.DUMMYFUNCTION("""COMPUTED_VALUE"""),"")</f>
        <v/>
      </c>
      <c r="P1638" s="250" t="str">
        <f>IFERROR(__xludf.DUMMYFUNCTION("""COMPUTED_VALUE"""),"")</f>
        <v/>
      </c>
      <c r="Q1638" s="250" t="str">
        <f>IFERROR(__xludf.DUMMYFUNCTION("""COMPUTED_VALUE"""),"")</f>
        <v/>
      </c>
      <c r="R1638" s="250" t="str">
        <f>IFERROR(__xludf.DUMMYFUNCTION("""COMPUTED_VALUE"""),"")</f>
        <v/>
      </c>
      <c r="U1638" s="250" t="str">
        <f>IFERROR(__xludf.DUMMYFUNCTION("""COMPUTED_VALUE"""),"#N/A")</f>
        <v>#N/A</v>
      </c>
      <c r="V1638" s="250" t="str">
        <f>IFERROR(__xludf.DUMMYFUNCTION("""COMPUTED_VALUE"""),"#N/A")</f>
        <v>#N/A</v>
      </c>
      <c r="W1638" s="250" t="str">
        <f>IFERROR(__xludf.DUMMYFUNCTION("""COMPUTED_VALUE"""),"#N/A")</f>
        <v>#N/A</v>
      </c>
      <c r="X1638" t="b">
        <f t="shared" ref="X1638:Z1638" si="3252">ISBLANK(K1638)</f>
        <v>1</v>
      </c>
      <c r="Y1638" t="b">
        <f t="shared" si="3252"/>
        <v>0</v>
      </c>
      <c r="Z1638" t="b">
        <f t="shared" si="3252"/>
        <v>0</v>
      </c>
      <c r="AA1638">
        <f t="shared" ref="AA1638:AC1638" si="3253">IF(X1638=FALSE,1,0)</f>
        <v>0</v>
      </c>
      <c r="AB1638">
        <f t="shared" si="3253"/>
        <v>1</v>
      </c>
      <c r="AC1638">
        <f t="shared" si="3253"/>
        <v>1</v>
      </c>
      <c r="AD1638">
        <f t="shared" si="6"/>
        <v>2</v>
      </c>
      <c r="AE1638">
        <f t="shared" si="7"/>
        <v>1</v>
      </c>
    </row>
    <row r="1639">
      <c r="B1639" t="str">
        <f>IFERROR(__xludf.DUMMYFUNCTION("""COMPUTED_VALUE"""),"")</f>
        <v/>
      </c>
      <c r="C1639" t="str">
        <f>IFERROR(__xludf.DUMMYFUNCTION("""COMPUTED_VALUE"""),"")</f>
        <v/>
      </c>
      <c r="D1639" t="str">
        <f>IFERROR(__xludf.DUMMYFUNCTION("""COMPUTED_VALUE"""),"")</f>
        <v/>
      </c>
      <c r="E1639" t="str">
        <f>IFERROR(__xludf.DUMMYFUNCTION("""COMPUTED_VALUE"""),"")</f>
        <v/>
      </c>
      <c r="F1639" t="str">
        <f>IFERROR(__xludf.DUMMYFUNCTION("""COMPUTED_VALUE"""),"")</f>
        <v/>
      </c>
      <c r="G1639" t="str">
        <f>IFERROR(__xludf.DUMMYFUNCTION("""COMPUTED_VALUE"""),"")</f>
        <v/>
      </c>
      <c r="H1639" t="str">
        <f>IFERROR(__xludf.DUMMYFUNCTION("""COMPUTED_VALUE"""),"")</f>
        <v/>
      </c>
      <c r="I1639" t="str">
        <f>IFERROR(__xludf.DUMMYFUNCTION("""COMPUTED_VALUE"""),"")</f>
        <v/>
      </c>
      <c r="J1639">
        <f>IFERROR(__xludf.DUMMYFUNCTION("""COMPUTED_VALUE"""),0.0)</f>
        <v>0</v>
      </c>
      <c r="L1639" s="250" t="str">
        <f>IFERROR(__xludf.DUMMYFUNCTION("""COMPUTED_VALUE"""),"")</f>
        <v/>
      </c>
      <c r="M1639" s="250" t="str">
        <f>IFERROR(__xludf.DUMMYFUNCTION("""COMPUTED_VALUE"""),"")</f>
        <v/>
      </c>
      <c r="N1639" s="250" t="str">
        <f>IFERROR(__xludf.DUMMYFUNCTION("""COMPUTED_VALUE"""),"")</f>
        <v/>
      </c>
      <c r="O1639" s="250" t="str">
        <f>IFERROR(__xludf.DUMMYFUNCTION("""COMPUTED_VALUE"""),"")</f>
        <v/>
      </c>
      <c r="P1639" s="250" t="str">
        <f>IFERROR(__xludf.DUMMYFUNCTION("""COMPUTED_VALUE"""),"")</f>
        <v/>
      </c>
      <c r="Q1639" s="250" t="str">
        <f>IFERROR(__xludf.DUMMYFUNCTION("""COMPUTED_VALUE"""),"")</f>
        <v/>
      </c>
      <c r="R1639" s="250" t="str">
        <f>IFERROR(__xludf.DUMMYFUNCTION("""COMPUTED_VALUE"""),"")</f>
        <v/>
      </c>
      <c r="U1639" s="250" t="str">
        <f>IFERROR(__xludf.DUMMYFUNCTION("""COMPUTED_VALUE"""),"#N/A")</f>
        <v>#N/A</v>
      </c>
      <c r="V1639" s="250" t="str">
        <f>IFERROR(__xludf.DUMMYFUNCTION("""COMPUTED_VALUE"""),"#N/A")</f>
        <v>#N/A</v>
      </c>
      <c r="W1639" s="250" t="str">
        <f>IFERROR(__xludf.DUMMYFUNCTION("""COMPUTED_VALUE"""),"#N/A")</f>
        <v>#N/A</v>
      </c>
      <c r="X1639" t="b">
        <f t="shared" ref="X1639:Z1639" si="3254">ISBLANK(K1639)</f>
        <v>1</v>
      </c>
      <c r="Y1639" t="b">
        <f t="shared" si="3254"/>
        <v>0</v>
      </c>
      <c r="Z1639" t="b">
        <f t="shared" si="3254"/>
        <v>0</v>
      </c>
      <c r="AA1639">
        <f t="shared" ref="AA1639:AC1639" si="3255">IF(X1639=FALSE,1,0)</f>
        <v>0</v>
      </c>
      <c r="AB1639">
        <f t="shared" si="3255"/>
        <v>1</v>
      </c>
      <c r="AC1639">
        <f t="shared" si="3255"/>
        <v>1</v>
      </c>
      <c r="AD1639">
        <f t="shared" si="6"/>
        <v>2</v>
      </c>
      <c r="AE1639">
        <f t="shared" si="7"/>
        <v>1</v>
      </c>
    </row>
    <row r="1640">
      <c r="B1640" t="str">
        <f>IFERROR(__xludf.DUMMYFUNCTION("""COMPUTED_VALUE"""),"")</f>
        <v/>
      </c>
      <c r="C1640" t="str">
        <f>IFERROR(__xludf.DUMMYFUNCTION("""COMPUTED_VALUE"""),"")</f>
        <v/>
      </c>
      <c r="D1640" t="str">
        <f>IFERROR(__xludf.DUMMYFUNCTION("""COMPUTED_VALUE"""),"")</f>
        <v/>
      </c>
      <c r="E1640" t="str">
        <f>IFERROR(__xludf.DUMMYFUNCTION("""COMPUTED_VALUE"""),"")</f>
        <v/>
      </c>
      <c r="F1640" t="str">
        <f>IFERROR(__xludf.DUMMYFUNCTION("""COMPUTED_VALUE"""),"")</f>
        <v/>
      </c>
      <c r="G1640" t="str">
        <f>IFERROR(__xludf.DUMMYFUNCTION("""COMPUTED_VALUE"""),"")</f>
        <v/>
      </c>
      <c r="H1640" t="str">
        <f>IFERROR(__xludf.DUMMYFUNCTION("""COMPUTED_VALUE"""),"")</f>
        <v/>
      </c>
      <c r="I1640" t="str">
        <f>IFERROR(__xludf.DUMMYFUNCTION("""COMPUTED_VALUE"""),"")</f>
        <v/>
      </c>
      <c r="J1640">
        <f>IFERROR(__xludf.DUMMYFUNCTION("""COMPUTED_VALUE"""),0.0)</f>
        <v>0</v>
      </c>
      <c r="L1640" s="250" t="str">
        <f>IFERROR(__xludf.DUMMYFUNCTION("""COMPUTED_VALUE"""),"")</f>
        <v/>
      </c>
      <c r="M1640" s="250" t="str">
        <f>IFERROR(__xludf.DUMMYFUNCTION("""COMPUTED_VALUE"""),"")</f>
        <v/>
      </c>
      <c r="N1640" s="250" t="str">
        <f>IFERROR(__xludf.DUMMYFUNCTION("""COMPUTED_VALUE"""),"")</f>
        <v/>
      </c>
      <c r="O1640" s="250" t="str">
        <f>IFERROR(__xludf.DUMMYFUNCTION("""COMPUTED_VALUE"""),"")</f>
        <v/>
      </c>
      <c r="P1640" s="250" t="str">
        <f>IFERROR(__xludf.DUMMYFUNCTION("""COMPUTED_VALUE"""),"")</f>
        <v/>
      </c>
      <c r="Q1640" s="250" t="str">
        <f>IFERROR(__xludf.DUMMYFUNCTION("""COMPUTED_VALUE"""),"")</f>
        <v/>
      </c>
      <c r="R1640" s="250" t="str">
        <f>IFERROR(__xludf.DUMMYFUNCTION("""COMPUTED_VALUE"""),"")</f>
        <v/>
      </c>
      <c r="U1640" s="250" t="str">
        <f>IFERROR(__xludf.DUMMYFUNCTION("""COMPUTED_VALUE"""),"#N/A")</f>
        <v>#N/A</v>
      </c>
      <c r="V1640" s="250" t="str">
        <f>IFERROR(__xludf.DUMMYFUNCTION("""COMPUTED_VALUE"""),"#N/A")</f>
        <v>#N/A</v>
      </c>
      <c r="W1640" s="250" t="str">
        <f>IFERROR(__xludf.DUMMYFUNCTION("""COMPUTED_VALUE"""),"#N/A")</f>
        <v>#N/A</v>
      </c>
      <c r="X1640" t="b">
        <f t="shared" ref="X1640:Z1640" si="3256">ISBLANK(K1640)</f>
        <v>1</v>
      </c>
      <c r="Y1640" t="b">
        <f t="shared" si="3256"/>
        <v>0</v>
      </c>
      <c r="Z1640" t="b">
        <f t="shared" si="3256"/>
        <v>0</v>
      </c>
      <c r="AA1640">
        <f t="shared" ref="AA1640:AC1640" si="3257">IF(X1640=FALSE,1,0)</f>
        <v>0</v>
      </c>
      <c r="AB1640">
        <f t="shared" si="3257"/>
        <v>1</v>
      </c>
      <c r="AC1640">
        <f t="shared" si="3257"/>
        <v>1</v>
      </c>
      <c r="AD1640">
        <f t="shared" si="6"/>
        <v>2</v>
      </c>
      <c r="AE1640">
        <f t="shared" si="7"/>
        <v>1</v>
      </c>
    </row>
    <row r="1641">
      <c r="B1641" t="str">
        <f>IFERROR(__xludf.DUMMYFUNCTION("""COMPUTED_VALUE"""),"")</f>
        <v/>
      </c>
      <c r="C1641" t="str">
        <f>IFERROR(__xludf.DUMMYFUNCTION("""COMPUTED_VALUE"""),"")</f>
        <v/>
      </c>
      <c r="D1641" t="str">
        <f>IFERROR(__xludf.DUMMYFUNCTION("""COMPUTED_VALUE"""),"")</f>
        <v/>
      </c>
      <c r="E1641" t="str">
        <f>IFERROR(__xludf.DUMMYFUNCTION("""COMPUTED_VALUE"""),"")</f>
        <v/>
      </c>
      <c r="F1641" t="str">
        <f>IFERROR(__xludf.DUMMYFUNCTION("""COMPUTED_VALUE"""),"")</f>
        <v/>
      </c>
      <c r="G1641" t="str">
        <f>IFERROR(__xludf.DUMMYFUNCTION("""COMPUTED_VALUE"""),"")</f>
        <v/>
      </c>
      <c r="H1641" t="str">
        <f>IFERROR(__xludf.DUMMYFUNCTION("""COMPUTED_VALUE"""),"")</f>
        <v/>
      </c>
      <c r="I1641" t="str">
        <f>IFERROR(__xludf.DUMMYFUNCTION("""COMPUTED_VALUE"""),"")</f>
        <v/>
      </c>
      <c r="J1641">
        <f>IFERROR(__xludf.DUMMYFUNCTION("""COMPUTED_VALUE"""),0.0)</f>
        <v>0</v>
      </c>
      <c r="L1641" s="250" t="str">
        <f>IFERROR(__xludf.DUMMYFUNCTION("""COMPUTED_VALUE"""),"")</f>
        <v/>
      </c>
      <c r="M1641" s="250" t="str">
        <f>IFERROR(__xludf.DUMMYFUNCTION("""COMPUTED_VALUE"""),"")</f>
        <v/>
      </c>
      <c r="N1641" s="250" t="str">
        <f>IFERROR(__xludf.DUMMYFUNCTION("""COMPUTED_VALUE"""),"")</f>
        <v/>
      </c>
      <c r="O1641" s="250" t="str">
        <f>IFERROR(__xludf.DUMMYFUNCTION("""COMPUTED_VALUE"""),"")</f>
        <v/>
      </c>
      <c r="P1641" s="250" t="str">
        <f>IFERROR(__xludf.DUMMYFUNCTION("""COMPUTED_VALUE"""),"")</f>
        <v/>
      </c>
      <c r="Q1641" s="250" t="str">
        <f>IFERROR(__xludf.DUMMYFUNCTION("""COMPUTED_VALUE"""),"")</f>
        <v/>
      </c>
      <c r="R1641" s="250" t="str">
        <f>IFERROR(__xludf.DUMMYFUNCTION("""COMPUTED_VALUE"""),"")</f>
        <v/>
      </c>
      <c r="U1641" s="250" t="str">
        <f>IFERROR(__xludf.DUMMYFUNCTION("""COMPUTED_VALUE"""),"#N/A")</f>
        <v>#N/A</v>
      </c>
      <c r="V1641" s="250" t="str">
        <f>IFERROR(__xludf.DUMMYFUNCTION("""COMPUTED_VALUE"""),"#N/A")</f>
        <v>#N/A</v>
      </c>
      <c r="W1641" s="250" t="str">
        <f>IFERROR(__xludf.DUMMYFUNCTION("""COMPUTED_VALUE"""),"#N/A")</f>
        <v>#N/A</v>
      </c>
      <c r="X1641" t="b">
        <f t="shared" ref="X1641:Z1641" si="3258">ISBLANK(K1641)</f>
        <v>1</v>
      </c>
      <c r="Y1641" t="b">
        <f t="shared" si="3258"/>
        <v>0</v>
      </c>
      <c r="Z1641" t="b">
        <f t="shared" si="3258"/>
        <v>0</v>
      </c>
      <c r="AA1641">
        <f t="shared" ref="AA1641:AC1641" si="3259">IF(X1641=FALSE,1,0)</f>
        <v>0</v>
      </c>
      <c r="AB1641">
        <f t="shared" si="3259"/>
        <v>1</v>
      </c>
      <c r="AC1641">
        <f t="shared" si="3259"/>
        <v>1</v>
      </c>
      <c r="AD1641">
        <f t="shared" si="6"/>
        <v>2</v>
      </c>
      <c r="AE1641">
        <f t="shared" si="7"/>
        <v>1</v>
      </c>
    </row>
    <row r="1642">
      <c r="B1642" t="str">
        <f>IFERROR(__xludf.DUMMYFUNCTION("""COMPUTED_VALUE"""),"")</f>
        <v/>
      </c>
      <c r="C1642" t="str">
        <f>IFERROR(__xludf.DUMMYFUNCTION("""COMPUTED_VALUE"""),"")</f>
        <v/>
      </c>
      <c r="D1642" t="str">
        <f>IFERROR(__xludf.DUMMYFUNCTION("""COMPUTED_VALUE"""),"")</f>
        <v/>
      </c>
      <c r="E1642" t="str">
        <f>IFERROR(__xludf.DUMMYFUNCTION("""COMPUTED_VALUE"""),"")</f>
        <v/>
      </c>
      <c r="F1642" t="str">
        <f>IFERROR(__xludf.DUMMYFUNCTION("""COMPUTED_VALUE"""),"")</f>
        <v/>
      </c>
      <c r="G1642" t="str">
        <f>IFERROR(__xludf.DUMMYFUNCTION("""COMPUTED_VALUE"""),"")</f>
        <v/>
      </c>
      <c r="H1642" t="str">
        <f>IFERROR(__xludf.DUMMYFUNCTION("""COMPUTED_VALUE"""),"")</f>
        <v/>
      </c>
      <c r="I1642" t="str">
        <f>IFERROR(__xludf.DUMMYFUNCTION("""COMPUTED_VALUE"""),"")</f>
        <v/>
      </c>
      <c r="J1642">
        <f>IFERROR(__xludf.DUMMYFUNCTION("""COMPUTED_VALUE"""),0.0)</f>
        <v>0</v>
      </c>
      <c r="L1642" s="250" t="str">
        <f>IFERROR(__xludf.DUMMYFUNCTION("""COMPUTED_VALUE"""),"")</f>
        <v/>
      </c>
      <c r="M1642" s="250" t="str">
        <f>IFERROR(__xludf.DUMMYFUNCTION("""COMPUTED_VALUE"""),"")</f>
        <v/>
      </c>
      <c r="N1642" s="250" t="str">
        <f>IFERROR(__xludf.DUMMYFUNCTION("""COMPUTED_VALUE"""),"")</f>
        <v/>
      </c>
      <c r="O1642" s="250" t="str">
        <f>IFERROR(__xludf.DUMMYFUNCTION("""COMPUTED_VALUE"""),"")</f>
        <v/>
      </c>
      <c r="P1642" s="250" t="str">
        <f>IFERROR(__xludf.DUMMYFUNCTION("""COMPUTED_VALUE"""),"")</f>
        <v/>
      </c>
      <c r="Q1642" s="250" t="str">
        <f>IFERROR(__xludf.DUMMYFUNCTION("""COMPUTED_VALUE"""),"")</f>
        <v/>
      </c>
      <c r="R1642" s="250" t="str">
        <f>IFERROR(__xludf.DUMMYFUNCTION("""COMPUTED_VALUE"""),"")</f>
        <v/>
      </c>
      <c r="U1642" s="250" t="str">
        <f>IFERROR(__xludf.DUMMYFUNCTION("""COMPUTED_VALUE"""),"#N/A")</f>
        <v>#N/A</v>
      </c>
      <c r="V1642" s="250" t="str">
        <f>IFERROR(__xludf.DUMMYFUNCTION("""COMPUTED_VALUE"""),"#N/A")</f>
        <v>#N/A</v>
      </c>
      <c r="W1642" s="250" t="str">
        <f>IFERROR(__xludf.DUMMYFUNCTION("""COMPUTED_VALUE"""),"#N/A")</f>
        <v>#N/A</v>
      </c>
      <c r="X1642" t="b">
        <f t="shared" ref="X1642:Z1642" si="3260">ISBLANK(K1642)</f>
        <v>1</v>
      </c>
      <c r="Y1642" t="b">
        <f t="shared" si="3260"/>
        <v>0</v>
      </c>
      <c r="Z1642" t="b">
        <f t="shared" si="3260"/>
        <v>0</v>
      </c>
      <c r="AA1642">
        <f t="shared" ref="AA1642:AC1642" si="3261">IF(X1642=FALSE,1,0)</f>
        <v>0</v>
      </c>
      <c r="AB1642">
        <f t="shared" si="3261"/>
        <v>1</v>
      </c>
      <c r="AC1642">
        <f t="shared" si="3261"/>
        <v>1</v>
      </c>
      <c r="AD1642">
        <f t="shared" si="6"/>
        <v>2</v>
      </c>
      <c r="AE1642">
        <f t="shared" si="7"/>
        <v>1</v>
      </c>
    </row>
    <row r="1643">
      <c r="B1643" t="str">
        <f>IFERROR(__xludf.DUMMYFUNCTION("""COMPUTED_VALUE"""),"")</f>
        <v/>
      </c>
      <c r="C1643" t="str">
        <f>IFERROR(__xludf.DUMMYFUNCTION("""COMPUTED_VALUE"""),"")</f>
        <v/>
      </c>
      <c r="D1643" t="str">
        <f>IFERROR(__xludf.DUMMYFUNCTION("""COMPUTED_VALUE"""),"")</f>
        <v/>
      </c>
      <c r="E1643" t="str">
        <f>IFERROR(__xludf.DUMMYFUNCTION("""COMPUTED_VALUE"""),"")</f>
        <v/>
      </c>
      <c r="F1643" t="str">
        <f>IFERROR(__xludf.DUMMYFUNCTION("""COMPUTED_VALUE"""),"")</f>
        <v/>
      </c>
      <c r="G1643" t="str">
        <f>IFERROR(__xludf.DUMMYFUNCTION("""COMPUTED_VALUE"""),"")</f>
        <v/>
      </c>
      <c r="H1643" t="str">
        <f>IFERROR(__xludf.DUMMYFUNCTION("""COMPUTED_VALUE"""),"")</f>
        <v/>
      </c>
      <c r="I1643" t="str">
        <f>IFERROR(__xludf.DUMMYFUNCTION("""COMPUTED_VALUE"""),"")</f>
        <v/>
      </c>
      <c r="J1643">
        <f>IFERROR(__xludf.DUMMYFUNCTION("""COMPUTED_VALUE"""),0.0)</f>
        <v>0</v>
      </c>
      <c r="L1643" s="250" t="str">
        <f>IFERROR(__xludf.DUMMYFUNCTION("""COMPUTED_VALUE"""),"")</f>
        <v/>
      </c>
      <c r="M1643" s="250" t="str">
        <f>IFERROR(__xludf.DUMMYFUNCTION("""COMPUTED_VALUE"""),"")</f>
        <v/>
      </c>
      <c r="N1643" s="250" t="str">
        <f>IFERROR(__xludf.DUMMYFUNCTION("""COMPUTED_VALUE"""),"")</f>
        <v/>
      </c>
      <c r="O1643" s="250" t="str">
        <f>IFERROR(__xludf.DUMMYFUNCTION("""COMPUTED_VALUE"""),"")</f>
        <v/>
      </c>
      <c r="P1643" s="250" t="str">
        <f>IFERROR(__xludf.DUMMYFUNCTION("""COMPUTED_VALUE"""),"")</f>
        <v/>
      </c>
      <c r="Q1643" s="250" t="str">
        <f>IFERROR(__xludf.DUMMYFUNCTION("""COMPUTED_VALUE"""),"")</f>
        <v/>
      </c>
      <c r="R1643" s="250" t="str">
        <f>IFERROR(__xludf.DUMMYFUNCTION("""COMPUTED_VALUE"""),"")</f>
        <v/>
      </c>
      <c r="U1643" s="250" t="str">
        <f>IFERROR(__xludf.DUMMYFUNCTION("""COMPUTED_VALUE"""),"#N/A")</f>
        <v>#N/A</v>
      </c>
      <c r="V1643" s="250" t="str">
        <f>IFERROR(__xludf.DUMMYFUNCTION("""COMPUTED_VALUE"""),"#N/A")</f>
        <v>#N/A</v>
      </c>
      <c r="W1643" s="250" t="str">
        <f>IFERROR(__xludf.DUMMYFUNCTION("""COMPUTED_VALUE"""),"#N/A")</f>
        <v>#N/A</v>
      </c>
      <c r="X1643" t="b">
        <f t="shared" ref="X1643:Z1643" si="3262">ISBLANK(K1643)</f>
        <v>1</v>
      </c>
      <c r="Y1643" t="b">
        <f t="shared" si="3262"/>
        <v>0</v>
      </c>
      <c r="Z1643" t="b">
        <f t="shared" si="3262"/>
        <v>0</v>
      </c>
      <c r="AA1643">
        <f t="shared" ref="AA1643:AC1643" si="3263">IF(X1643=FALSE,1,0)</f>
        <v>0</v>
      </c>
      <c r="AB1643">
        <f t="shared" si="3263"/>
        <v>1</v>
      </c>
      <c r="AC1643">
        <f t="shared" si="3263"/>
        <v>1</v>
      </c>
      <c r="AD1643">
        <f t="shared" si="6"/>
        <v>2</v>
      </c>
      <c r="AE1643">
        <f t="shared" si="7"/>
        <v>1</v>
      </c>
    </row>
    <row r="1644">
      <c r="B1644" t="str">
        <f>IFERROR(__xludf.DUMMYFUNCTION("""COMPUTED_VALUE"""),"")</f>
        <v/>
      </c>
      <c r="C1644" t="str">
        <f>IFERROR(__xludf.DUMMYFUNCTION("""COMPUTED_VALUE"""),"")</f>
        <v/>
      </c>
      <c r="D1644" t="str">
        <f>IFERROR(__xludf.DUMMYFUNCTION("""COMPUTED_VALUE"""),"")</f>
        <v/>
      </c>
      <c r="E1644" t="str">
        <f>IFERROR(__xludf.DUMMYFUNCTION("""COMPUTED_VALUE"""),"")</f>
        <v/>
      </c>
      <c r="F1644" t="str">
        <f>IFERROR(__xludf.DUMMYFUNCTION("""COMPUTED_VALUE"""),"")</f>
        <v/>
      </c>
      <c r="G1644" t="str">
        <f>IFERROR(__xludf.DUMMYFUNCTION("""COMPUTED_VALUE"""),"")</f>
        <v/>
      </c>
      <c r="H1644" t="str">
        <f>IFERROR(__xludf.DUMMYFUNCTION("""COMPUTED_VALUE"""),"")</f>
        <v/>
      </c>
      <c r="I1644" t="str">
        <f>IFERROR(__xludf.DUMMYFUNCTION("""COMPUTED_VALUE"""),"")</f>
        <v/>
      </c>
      <c r="J1644">
        <f>IFERROR(__xludf.DUMMYFUNCTION("""COMPUTED_VALUE"""),0.0)</f>
        <v>0</v>
      </c>
      <c r="L1644" s="250" t="str">
        <f>IFERROR(__xludf.DUMMYFUNCTION("""COMPUTED_VALUE"""),"")</f>
        <v/>
      </c>
      <c r="M1644" s="250" t="str">
        <f>IFERROR(__xludf.DUMMYFUNCTION("""COMPUTED_VALUE"""),"")</f>
        <v/>
      </c>
      <c r="N1644" s="250" t="str">
        <f>IFERROR(__xludf.DUMMYFUNCTION("""COMPUTED_VALUE"""),"")</f>
        <v/>
      </c>
      <c r="O1644" s="250" t="str">
        <f>IFERROR(__xludf.DUMMYFUNCTION("""COMPUTED_VALUE"""),"")</f>
        <v/>
      </c>
      <c r="P1644" s="250" t="str">
        <f>IFERROR(__xludf.DUMMYFUNCTION("""COMPUTED_VALUE"""),"")</f>
        <v/>
      </c>
      <c r="Q1644" s="250" t="str">
        <f>IFERROR(__xludf.DUMMYFUNCTION("""COMPUTED_VALUE"""),"")</f>
        <v/>
      </c>
      <c r="R1644" s="250" t="str">
        <f>IFERROR(__xludf.DUMMYFUNCTION("""COMPUTED_VALUE"""),"")</f>
        <v/>
      </c>
      <c r="U1644" s="250" t="str">
        <f>IFERROR(__xludf.DUMMYFUNCTION("""COMPUTED_VALUE"""),"#N/A")</f>
        <v>#N/A</v>
      </c>
      <c r="V1644" s="250" t="str">
        <f>IFERROR(__xludf.DUMMYFUNCTION("""COMPUTED_VALUE"""),"#N/A")</f>
        <v>#N/A</v>
      </c>
      <c r="W1644" s="250" t="str">
        <f>IFERROR(__xludf.DUMMYFUNCTION("""COMPUTED_VALUE"""),"#N/A")</f>
        <v>#N/A</v>
      </c>
      <c r="X1644" t="b">
        <f t="shared" ref="X1644:Z1644" si="3264">ISBLANK(K1644)</f>
        <v>1</v>
      </c>
      <c r="Y1644" t="b">
        <f t="shared" si="3264"/>
        <v>0</v>
      </c>
      <c r="Z1644" t="b">
        <f t="shared" si="3264"/>
        <v>0</v>
      </c>
      <c r="AA1644">
        <f t="shared" ref="AA1644:AC1644" si="3265">IF(X1644=FALSE,1,0)</f>
        <v>0</v>
      </c>
      <c r="AB1644">
        <f t="shared" si="3265"/>
        <v>1</v>
      </c>
      <c r="AC1644">
        <f t="shared" si="3265"/>
        <v>1</v>
      </c>
      <c r="AD1644">
        <f t="shared" si="6"/>
        <v>2</v>
      </c>
      <c r="AE1644">
        <f t="shared" si="7"/>
        <v>1</v>
      </c>
    </row>
    <row r="1645">
      <c r="B1645" t="str">
        <f>IFERROR(__xludf.DUMMYFUNCTION("""COMPUTED_VALUE"""),"")</f>
        <v/>
      </c>
      <c r="C1645" t="str">
        <f>IFERROR(__xludf.DUMMYFUNCTION("""COMPUTED_VALUE"""),"")</f>
        <v/>
      </c>
      <c r="D1645" t="str">
        <f>IFERROR(__xludf.DUMMYFUNCTION("""COMPUTED_VALUE"""),"")</f>
        <v/>
      </c>
      <c r="E1645" t="str">
        <f>IFERROR(__xludf.DUMMYFUNCTION("""COMPUTED_VALUE"""),"")</f>
        <v/>
      </c>
      <c r="F1645" t="str">
        <f>IFERROR(__xludf.DUMMYFUNCTION("""COMPUTED_VALUE"""),"")</f>
        <v/>
      </c>
      <c r="G1645" t="str">
        <f>IFERROR(__xludf.DUMMYFUNCTION("""COMPUTED_VALUE"""),"")</f>
        <v/>
      </c>
      <c r="H1645" t="str">
        <f>IFERROR(__xludf.DUMMYFUNCTION("""COMPUTED_VALUE"""),"")</f>
        <v/>
      </c>
      <c r="I1645" t="str">
        <f>IFERROR(__xludf.DUMMYFUNCTION("""COMPUTED_VALUE"""),"")</f>
        <v/>
      </c>
      <c r="J1645">
        <f>IFERROR(__xludf.DUMMYFUNCTION("""COMPUTED_VALUE"""),0.0)</f>
        <v>0</v>
      </c>
      <c r="L1645" s="250" t="str">
        <f>IFERROR(__xludf.DUMMYFUNCTION("""COMPUTED_VALUE"""),"")</f>
        <v/>
      </c>
      <c r="M1645" s="250" t="str">
        <f>IFERROR(__xludf.DUMMYFUNCTION("""COMPUTED_VALUE"""),"")</f>
        <v/>
      </c>
      <c r="N1645" s="250" t="str">
        <f>IFERROR(__xludf.DUMMYFUNCTION("""COMPUTED_VALUE"""),"")</f>
        <v/>
      </c>
      <c r="O1645" s="250" t="str">
        <f>IFERROR(__xludf.DUMMYFUNCTION("""COMPUTED_VALUE"""),"")</f>
        <v/>
      </c>
      <c r="P1645" s="250" t="str">
        <f>IFERROR(__xludf.DUMMYFUNCTION("""COMPUTED_VALUE"""),"")</f>
        <v/>
      </c>
      <c r="Q1645" s="250" t="str">
        <f>IFERROR(__xludf.DUMMYFUNCTION("""COMPUTED_VALUE"""),"")</f>
        <v/>
      </c>
      <c r="R1645" s="250" t="str">
        <f>IFERROR(__xludf.DUMMYFUNCTION("""COMPUTED_VALUE"""),"")</f>
        <v/>
      </c>
      <c r="U1645" s="250" t="str">
        <f>IFERROR(__xludf.DUMMYFUNCTION("""COMPUTED_VALUE"""),"#N/A")</f>
        <v>#N/A</v>
      </c>
      <c r="V1645" s="250" t="str">
        <f>IFERROR(__xludf.DUMMYFUNCTION("""COMPUTED_VALUE"""),"#N/A")</f>
        <v>#N/A</v>
      </c>
      <c r="W1645" s="250" t="str">
        <f>IFERROR(__xludf.DUMMYFUNCTION("""COMPUTED_VALUE"""),"#N/A")</f>
        <v>#N/A</v>
      </c>
      <c r="X1645" t="b">
        <f t="shared" ref="X1645:Z1645" si="3266">ISBLANK(K1645)</f>
        <v>1</v>
      </c>
      <c r="Y1645" t="b">
        <f t="shared" si="3266"/>
        <v>0</v>
      </c>
      <c r="Z1645" t="b">
        <f t="shared" si="3266"/>
        <v>0</v>
      </c>
      <c r="AA1645">
        <f t="shared" ref="AA1645:AC1645" si="3267">IF(X1645=FALSE,1,0)</f>
        <v>0</v>
      </c>
      <c r="AB1645">
        <f t="shared" si="3267"/>
        <v>1</v>
      </c>
      <c r="AC1645">
        <f t="shared" si="3267"/>
        <v>1</v>
      </c>
      <c r="AD1645">
        <f t="shared" si="6"/>
        <v>2</v>
      </c>
      <c r="AE1645">
        <f t="shared" si="7"/>
        <v>1</v>
      </c>
    </row>
    <row r="1646">
      <c r="B1646" t="str">
        <f>IFERROR(__xludf.DUMMYFUNCTION("""COMPUTED_VALUE"""),"")</f>
        <v/>
      </c>
      <c r="C1646" t="str">
        <f>IFERROR(__xludf.DUMMYFUNCTION("""COMPUTED_VALUE"""),"")</f>
        <v/>
      </c>
      <c r="D1646" t="str">
        <f>IFERROR(__xludf.DUMMYFUNCTION("""COMPUTED_VALUE"""),"")</f>
        <v/>
      </c>
      <c r="E1646" t="str">
        <f>IFERROR(__xludf.DUMMYFUNCTION("""COMPUTED_VALUE"""),"")</f>
        <v/>
      </c>
      <c r="F1646" t="str">
        <f>IFERROR(__xludf.DUMMYFUNCTION("""COMPUTED_VALUE"""),"")</f>
        <v/>
      </c>
      <c r="G1646" t="str">
        <f>IFERROR(__xludf.DUMMYFUNCTION("""COMPUTED_VALUE"""),"")</f>
        <v/>
      </c>
      <c r="H1646" t="str">
        <f>IFERROR(__xludf.DUMMYFUNCTION("""COMPUTED_VALUE"""),"")</f>
        <v/>
      </c>
      <c r="I1646" t="str">
        <f>IFERROR(__xludf.DUMMYFUNCTION("""COMPUTED_VALUE"""),"")</f>
        <v/>
      </c>
      <c r="J1646">
        <f>IFERROR(__xludf.DUMMYFUNCTION("""COMPUTED_VALUE"""),0.0)</f>
        <v>0</v>
      </c>
      <c r="L1646" s="250" t="str">
        <f>IFERROR(__xludf.DUMMYFUNCTION("""COMPUTED_VALUE"""),"")</f>
        <v/>
      </c>
      <c r="M1646" s="250" t="str">
        <f>IFERROR(__xludf.DUMMYFUNCTION("""COMPUTED_VALUE"""),"")</f>
        <v/>
      </c>
      <c r="N1646" s="250" t="str">
        <f>IFERROR(__xludf.DUMMYFUNCTION("""COMPUTED_VALUE"""),"")</f>
        <v/>
      </c>
      <c r="O1646" s="250" t="str">
        <f>IFERROR(__xludf.DUMMYFUNCTION("""COMPUTED_VALUE"""),"")</f>
        <v/>
      </c>
      <c r="P1646" s="250" t="str">
        <f>IFERROR(__xludf.DUMMYFUNCTION("""COMPUTED_VALUE"""),"")</f>
        <v/>
      </c>
      <c r="Q1646" s="250" t="str">
        <f>IFERROR(__xludf.DUMMYFUNCTION("""COMPUTED_VALUE"""),"")</f>
        <v/>
      </c>
      <c r="R1646" s="250" t="str">
        <f>IFERROR(__xludf.DUMMYFUNCTION("""COMPUTED_VALUE"""),"")</f>
        <v/>
      </c>
      <c r="U1646" s="250" t="str">
        <f>IFERROR(__xludf.DUMMYFUNCTION("""COMPUTED_VALUE"""),"#N/A")</f>
        <v>#N/A</v>
      </c>
      <c r="V1646" s="250" t="str">
        <f>IFERROR(__xludf.DUMMYFUNCTION("""COMPUTED_VALUE"""),"#N/A")</f>
        <v>#N/A</v>
      </c>
      <c r="W1646" s="250" t="str">
        <f>IFERROR(__xludf.DUMMYFUNCTION("""COMPUTED_VALUE"""),"#N/A")</f>
        <v>#N/A</v>
      </c>
      <c r="X1646" t="b">
        <f t="shared" ref="X1646:Z1646" si="3268">ISBLANK(K1646)</f>
        <v>1</v>
      </c>
      <c r="Y1646" t="b">
        <f t="shared" si="3268"/>
        <v>0</v>
      </c>
      <c r="Z1646" t="b">
        <f t="shared" si="3268"/>
        <v>0</v>
      </c>
      <c r="AA1646">
        <f t="shared" ref="AA1646:AC1646" si="3269">IF(X1646=FALSE,1,0)</f>
        <v>0</v>
      </c>
      <c r="AB1646">
        <f t="shared" si="3269"/>
        <v>1</v>
      </c>
      <c r="AC1646">
        <f t="shared" si="3269"/>
        <v>1</v>
      </c>
      <c r="AD1646">
        <f t="shared" si="6"/>
        <v>2</v>
      </c>
      <c r="AE1646">
        <f t="shared" si="7"/>
        <v>1</v>
      </c>
    </row>
    <row r="1647">
      <c r="B1647" t="str">
        <f>IFERROR(__xludf.DUMMYFUNCTION("""COMPUTED_VALUE"""),"")</f>
        <v/>
      </c>
      <c r="C1647" t="str">
        <f>IFERROR(__xludf.DUMMYFUNCTION("""COMPUTED_VALUE"""),"")</f>
        <v/>
      </c>
      <c r="D1647" t="str">
        <f>IFERROR(__xludf.DUMMYFUNCTION("""COMPUTED_VALUE"""),"")</f>
        <v/>
      </c>
      <c r="E1647" t="str">
        <f>IFERROR(__xludf.DUMMYFUNCTION("""COMPUTED_VALUE"""),"")</f>
        <v/>
      </c>
      <c r="F1647" t="str">
        <f>IFERROR(__xludf.DUMMYFUNCTION("""COMPUTED_VALUE"""),"")</f>
        <v/>
      </c>
      <c r="G1647" t="str">
        <f>IFERROR(__xludf.DUMMYFUNCTION("""COMPUTED_VALUE"""),"")</f>
        <v/>
      </c>
      <c r="H1647" t="str">
        <f>IFERROR(__xludf.DUMMYFUNCTION("""COMPUTED_VALUE"""),"")</f>
        <v/>
      </c>
      <c r="I1647" t="str">
        <f>IFERROR(__xludf.DUMMYFUNCTION("""COMPUTED_VALUE"""),"")</f>
        <v/>
      </c>
      <c r="J1647">
        <f>IFERROR(__xludf.DUMMYFUNCTION("""COMPUTED_VALUE"""),0.0)</f>
        <v>0</v>
      </c>
      <c r="L1647" s="250" t="str">
        <f>IFERROR(__xludf.DUMMYFUNCTION("""COMPUTED_VALUE"""),"")</f>
        <v/>
      </c>
      <c r="M1647" s="250" t="str">
        <f>IFERROR(__xludf.DUMMYFUNCTION("""COMPUTED_VALUE"""),"")</f>
        <v/>
      </c>
      <c r="N1647" s="250" t="str">
        <f>IFERROR(__xludf.DUMMYFUNCTION("""COMPUTED_VALUE"""),"")</f>
        <v/>
      </c>
      <c r="O1647" s="250" t="str">
        <f>IFERROR(__xludf.DUMMYFUNCTION("""COMPUTED_VALUE"""),"")</f>
        <v/>
      </c>
      <c r="P1647" s="250" t="str">
        <f>IFERROR(__xludf.DUMMYFUNCTION("""COMPUTED_VALUE"""),"")</f>
        <v/>
      </c>
      <c r="Q1647" s="250" t="str">
        <f>IFERROR(__xludf.DUMMYFUNCTION("""COMPUTED_VALUE"""),"")</f>
        <v/>
      </c>
      <c r="R1647" s="250" t="str">
        <f>IFERROR(__xludf.DUMMYFUNCTION("""COMPUTED_VALUE"""),"")</f>
        <v/>
      </c>
      <c r="U1647" s="250" t="str">
        <f>IFERROR(__xludf.DUMMYFUNCTION("""COMPUTED_VALUE"""),"#N/A")</f>
        <v>#N/A</v>
      </c>
      <c r="V1647" s="250" t="str">
        <f>IFERROR(__xludf.DUMMYFUNCTION("""COMPUTED_VALUE"""),"#N/A")</f>
        <v>#N/A</v>
      </c>
      <c r="W1647" s="250" t="str">
        <f>IFERROR(__xludf.DUMMYFUNCTION("""COMPUTED_VALUE"""),"#N/A")</f>
        <v>#N/A</v>
      </c>
      <c r="X1647" t="b">
        <f t="shared" ref="X1647:Z1647" si="3270">ISBLANK(K1647)</f>
        <v>1</v>
      </c>
      <c r="Y1647" t="b">
        <f t="shared" si="3270"/>
        <v>0</v>
      </c>
      <c r="Z1647" t="b">
        <f t="shared" si="3270"/>
        <v>0</v>
      </c>
      <c r="AA1647">
        <f t="shared" ref="AA1647:AC1647" si="3271">IF(X1647=FALSE,1,0)</f>
        <v>0</v>
      </c>
      <c r="AB1647">
        <f t="shared" si="3271"/>
        <v>1</v>
      </c>
      <c r="AC1647">
        <f t="shared" si="3271"/>
        <v>1</v>
      </c>
      <c r="AD1647">
        <f t="shared" si="6"/>
        <v>2</v>
      </c>
      <c r="AE1647">
        <f t="shared" si="7"/>
        <v>1</v>
      </c>
    </row>
    <row r="1648">
      <c r="B1648" t="str">
        <f>IFERROR(__xludf.DUMMYFUNCTION("""COMPUTED_VALUE"""),"")</f>
        <v/>
      </c>
      <c r="C1648" t="str">
        <f>IFERROR(__xludf.DUMMYFUNCTION("""COMPUTED_VALUE"""),"")</f>
        <v/>
      </c>
      <c r="D1648" t="str">
        <f>IFERROR(__xludf.DUMMYFUNCTION("""COMPUTED_VALUE"""),"")</f>
        <v/>
      </c>
      <c r="E1648" t="str">
        <f>IFERROR(__xludf.DUMMYFUNCTION("""COMPUTED_VALUE"""),"")</f>
        <v/>
      </c>
      <c r="F1648" t="str">
        <f>IFERROR(__xludf.DUMMYFUNCTION("""COMPUTED_VALUE"""),"")</f>
        <v/>
      </c>
      <c r="G1648" t="str">
        <f>IFERROR(__xludf.DUMMYFUNCTION("""COMPUTED_VALUE"""),"")</f>
        <v/>
      </c>
      <c r="H1648" t="str">
        <f>IFERROR(__xludf.DUMMYFUNCTION("""COMPUTED_VALUE"""),"")</f>
        <v/>
      </c>
      <c r="I1648" t="str">
        <f>IFERROR(__xludf.DUMMYFUNCTION("""COMPUTED_VALUE"""),"")</f>
        <v/>
      </c>
      <c r="J1648">
        <f>IFERROR(__xludf.DUMMYFUNCTION("""COMPUTED_VALUE"""),0.0)</f>
        <v>0</v>
      </c>
      <c r="L1648" s="250" t="str">
        <f>IFERROR(__xludf.DUMMYFUNCTION("""COMPUTED_VALUE"""),"")</f>
        <v/>
      </c>
      <c r="M1648" s="250" t="str">
        <f>IFERROR(__xludf.DUMMYFUNCTION("""COMPUTED_VALUE"""),"")</f>
        <v/>
      </c>
      <c r="N1648" s="250" t="str">
        <f>IFERROR(__xludf.DUMMYFUNCTION("""COMPUTED_VALUE"""),"")</f>
        <v/>
      </c>
      <c r="O1648" s="250" t="str">
        <f>IFERROR(__xludf.DUMMYFUNCTION("""COMPUTED_VALUE"""),"")</f>
        <v/>
      </c>
      <c r="P1648" s="250" t="str">
        <f>IFERROR(__xludf.DUMMYFUNCTION("""COMPUTED_VALUE"""),"")</f>
        <v/>
      </c>
      <c r="Q1648" s="250" t="str">
        <f>IFERROR(__xludf.DUMMYFUNCTION("""COMPUTED_VALUE"""),"")</f>
        <v/>
      </c>
      <c r="R1648" s="250" t="str">
        <f>IFERROR(__xludf.DUMMYFUNCTION("""COMPUTED_VALUE"""),"")</f>
        <v/>
      </c>
      <c r="U1648" s="250" t="str">
        <f>IFERROR(__xludf.DUMMYFUNCTION("""COMPUTED_VALUE"""),"#N/A")</f>
        <v>#N/A</v>
      </c>
      <c r="V1648" s="250" t="str">
        <f>IFERROR(__xludf.DUMMYFUNCTION("""COMPUTED_VALUE"""),"#N/A")</f>
        <v>#N/A</v>
      </c>
      <c r="W1648" s="250" t="str">
        <f>IFERROR(__xludf.DUMMYFUNCTION("""COMPUTED_VALUE"""),"#N/A")</f>
        <v>#N/A</v>
      </c>
      <c r="X1648" t="b">
        <f t="shared" ref="X1648:Z1648" si="3272">ISBLANK(K1648)</f>
        <v>1</v>
      </c>
      <c r="Y1648" t="b">
        <f t="shared" si="3272"/>
        <v>0</v>
      </c>
      <c r="Z1648" t="b">
        <f t="shared" si="3272"/>
        <v>0</v>
      </c>
      <c r="AA1648">
        <f t="shared" ref="AA1648:AC1648" si="3273">IF(X1648=FALSE,1,0)</f>
        <v>0</v>
      </c>
      <c r="AB1648">
        <f t="shared" si="3273"/>
        <v>1</v>
      </c>
      <c r="AC1648">
        <f t="shared" si="3273"/>
        <v>1</v>
      </c>
      <c r="AD1648">
        <f t="shared" si="6"/>
        <v>2</v>
      </c>
      <c r="AE1648">
        <f t="shared" si="7"/>
        <v>1</v>
      </c>
    </row>
    <row r="1649">
      <c r="B1649" t="str">
        <f>IFERROR(__xludf.DUMMYFUNCTION("""COMPUTED_VALUE"""),"")</f>
        <v/>
      </c>
      <c r="C1649" t="str">
        <f>IFERROR(__xludf.DUMMYFUNCTION("""COMPUTED_VALUE"""),"")</f>
        <v/>
      </c>
      <c r="D1649" t="str">
        <f>IFERROR(__xludf.DUMMYFUNCTION("""COMPUTED_VALUE"""),"")</f>
        <v/>
      </c>
      <c r="E1649" t="str">
        <f>IFERROR(__xludf.DUMMYFUNCTION("""COMPUTED_VALUE"""),"")</f>
        <v/>
      </c>
      <c r="F1649" t="str">
        <f>IFERROR(__xludf.DUMMYFUNCTION("""COMPUTED_VALUE"""),"")</f>
        <v/>
      </c>
      <c r="G1649" t="str">
        <f>IFERROR(__xludf.DUMMYFUNCTION("""COMPUTED_VALUE"""),"")</f>
        <v/>
      </c>
      <c r="H1649" t="str">
        <f>IFERROR(__xludf.DUMMYFUNCTION("""COMPUTED_VALUE"""),"")</f>
        <v/>
      </c>
      <c r="I1649" t="str">
        <f>IFERROR(__xludf.DUMMYFUNCTION("""COMPUTED_VALUE"""),"")</f>
        <v/>
      </c>
      <c r="J1649">
        <f>IFERROR(__xludf.DUMMYFUNCTION("""COMPUTED_VALUE"""),0.0)</f>
        <v>0</v>
      </c>
      <c r="L1649" s="250" t="str">
        <f>IFERROR(__xludf.DUMMYFUNCTION("""COMPUTED_VALUE"""),"")</f>
        <v/>
      </c>
      <c r="M1649" s="250" t="str">
        <f>IFERROR(__xludf.DUMMYFUNCTION("""COMPUTED_VALUE"""),"")</f>
        <v/>
      </c>
      <c r="N1649" s="250" t="str">
        <f>IFERROR(__xludf.DUMMYFUNCTION("""COMPUTED_VALUE"""),"")</f>
        <v/>
      </c>
      <c r="O1649" s="250" t="str">
        <f>IFERROR(__xludf.DUMMYFUNCTION("""COMPUTED_VALUE"""),"")</f>
        <v/>
      </c>
      <c r="P1649" s="250" t="str">
        <f>IFERROR(__xludf.DUMMYFUNCTION("""COMPUTED_VALUE"""),"")</f>
        <v/>
      </c>
      <c r="Q1649" s="250" t="str">
        <f>IFERROR(__xludf.DUMMYFUNCTION("""COMPUTED_VALUE"""),"")</f>
        <v/>
      </c>
      <c r="R1649" s="250" t="str">
        <f>IFERROR(__xludf.DUMMYFUNCTION("""COMPUTED_VALUE"""),"")</f>
        <v/>
      </c>
      <c r="U1649" s="250" t="str">
        <f>IFERROR(__xludf.DUMMYFUNCTION("""COMPUTED_VALUE"""),"#N/A")</f>
        <v>#N/A</v>
      </c>
      <c r="V1649" s="250" t="str">
        <f>IFERROR(__xludf.DUMMYFUNCTION("""COMPUTED_VALUE"""),"#N/A")</f>
        <v>#N/A</v>
      </c>
      <c r="W1649" s="250" t="str">
        <f>IFERROR(__xludf.DUMMYFUNCTION("""COMPUTED_VALUE"""),"#N/A")</f>
        <v>#N/A</v>
      </c>
      <c r="X1649" t="b">
        <f t="shared" ref="X1649:Z1649" si="3274">ISBLANK(K1649)</f>
        <v>1</v>
      </c>
      <c r="Y1649" t="b">
        <f t="shared" si="3274"/>
        <v>0</v>
      </c>
      <c r="Z1649" t="b">
        <f t="shared" si="3274"/>
        <v>0</v>
      </c>
      <c r="AA1649">
        <f t="shared" ref="AA1649:AC1649" si="3275">IF(X1649=FALSE,1,0)</f>
        <v>0</v>
      </c>
      <c r="AB1649">
        <f t="shared" si="3275"/>
        <v>1</v>
      </c>
      <c r="AC1649">
        <f t="shared" si="3275"/>
        <v>1</v>
      </c>
      <c r="AD1649">
        <f t="shared" si="6"/>
        <v>2</v>
      </c>
      <c r="AE1649">
        <f t="shared" si="7"/>
        <v>1</v>
      </c>
    </row>
    <row r="1650">
      <c r="B1650" t="str">
        <f>IFERROR(__xludf.DUMMYFUNCTION("""COMPUTED_VALUE"""),"")</f>
        <v/>
      </c>
      <c r="C1650" t="str">
        <f>IFERROR(__xludf.DUMMYFUNCTION("""COMPUTED_VALUE"""),"")</f>
        <v/>
      </c>
      <c r="D1650" t="str">
        <f>IFERROR(__xludf.DUMMYFUNCTION("""COMPUTED_VALUE"""),"")</f>
        <v/>
      </c>
      <c r="E1650" t="str">
        <f>IFERROR(__xludf.DUMMYFUNCTION("""COMPUTED_VALUE"""),"")</f>
        <v/>
      </c>
      <c r="F1650" t="str">
        <f>IFERROR(__xludf.DUMMYFUNCTION("""COMPUTED_VALUE"""),"")</f>
        <v/>
      </c>
      <c r="G1650" t="str">
        <f>IFERROR(__xludf.DUMMYFUNCTION("""COMPUTED_VALUE"""),"")</f>
        <v/>
      </c>
      <c r="H1650" t="str">
        <f>IFERROR(__xludf.DUMMYFUNCTION("""COMPUTED_VALUE"""),"")</f>
        <v/>
      </c>
      <c r="I1650" t="str">
        <f>IFERROR(__xludf.DUMMYFUNCTION("""COMPUTED_VALUE"""),"")</f>
        <v/>
      </c>
      <c r="J1650">
        <f>IFERROR(__xludf.DUMMYFUNCTION("""COMPUTED_VALUE"""),0.0)</f>
        <v>0</v>
      </c>
      <c r="L1650" s="250" t="str">
        <f>IFERROR(__xludf.DUMMYFUNCTION("""COMPUTED_VALUE"""),"")</f>
        <v/>
      </c>
      <c r="M1650" s="250" t="str">
        <f>IFERROR(__xludf.DUMMYFUNCTION("""COMPUTED_VALUE"""),"")</f>
        <v/>
      </c>
      <c r="N1650" s="250" t="str">
        <f>IFERROR(__xludf.DUMMYFUNCTION("""COMPUTED_VALUE"""),"")</f>
        <v/>
      </c>
      <c r="O1650" s="250" t="str">
        <f>IFERROR(__xludf.DUMMYFUNCTION("""COMPUTED_VALUE"""),"")</f>
        <v/>
      </c>
      <c r="P1650" s="250" t="str">
        <f>IFERROR(__xludf.DUMMYFUNCTION("""COMPUTED_VALUE"""),"")</f>
        <v/>
      </c>
      <c r="Q1650" s="250" t="str">
        <f>IFERROR(__xludf.DUMMYFUNCTION("""COMPUTED_VALUE"""),"")</f>
        <v/>
      </c>
      <c r="R1650" s="250" t="str">
        <f>IFERROR(__xludf.DUMMYFUNCTION("""COMPUTED_VALUE"""),"")</f>
        <v/>
      </c>
      <c r="U1650" s="250" t="str">
        <f>IFERROR(__xludf.DUMMYFUNCTION("""COMPUTED_VALUE"""),"#N/A")</f>
        <v>#N/A</v>
      </c>
      <c r="V1650" s="250" t="str">
        <f>IFERROR(__xludf.DUMMYFUNCTION("""COMPUTED_VALUE"""),"#N/A")</f>
        <v>#N/A</v>
      </c>
      <c r="W1650" s="250" t="str">
        <f>IFERROR(__xludf.DUMMYFUNCTION("""COMPUTED_VALUE"""),"#N/A")</f>
        <v>#N/A</v>
      </c>
      <c r="X1650" t="b">
        <f t="shared" ref="X1650:Z1650" si="3276">ISBLANK(K1650)</f>
        <v>1</v>
      </c>
      <c r="Y1650" t="b">
        <f t="shared" si="3276"/>
        <v>0</v>
      </c>
      <c r="Z1650" t="b">
        <f t="shared" si="3276"/>
        <v>0</v>
      </c>
      <c r="AA1650">
        <f t="shared" ref="AA1650:AC1650" si="3277">IF(X1650=FALSE,1,0)</f>
        <v>0</v>
      </c>
      <c r="AB1650">
        <f t="shared" si="3277"/>
        <v>1</v>
      </c>
      <c r="AC1650">
        <f t="shared" si="3277"/>
        <v>1</v>
      </c>
      <c r="AD1650">
        <f t="shared" si="6"/>
        <v>2</v>
      </c>
      <c r="AE1650">
        <f t="shared" si="7"/>
        <v>1</v>
      </c>
    </row>
    <row r="1651">
      <c r="B1651" t="str">
        <f>IFERROR(__xludf.DUMMYFUNCTION("""COMPUTED_VALUE"""),"")</f>
        <v/>
      </c>
      <c r="C1651" t="str">
        <f>IFERROR(__xludf.DUMMYFUNCTION("""COMPUTED_VALUE"""),"")</f>
        <v/>
      </c>
      <c r="D1651" t="str">
        <f>IFERROR(__xludf.DUMMYFUNCTION("""COMPUTED_VALUE"""),"")</f>
        <v/>
      </c>
      <c r="E1651" t="str">
        <f>IFERROR(__xludf.DUMMYFUNCTION("""COMPUTED_VALUE"""),"")</f>
        <v/>
      </c>
      <c r="F1651" t="str">
        <f>IFERROR(__xludf.DUMMYFUNCTION("""COMPUTED_VALUE"""),"")</f>
        <v/>
      </c>
      <c r="G1651" t="str">
        <f>IFERROR(__xludf.DUMMYFUNCTION("""COMPUTED_VALUE"""),"")</f>
        <v/>
      </c>
      <c r="H1651" t="str">
        <f>IFERROR(__xludf.DUMMYFUNCTION("""COMPUTED_VALUE"""),"")</f>
        <v/>
      </c>
      <c r="I1651" t="str">
        <f>IFERROR(__xludf.DUMMYFUNCTION("""COMPUTED_VALUE"""),"")</f>
        <v/>
      </c>
      <c r="J1651">
        <f>IFERROR(__xludf.DUMMYFUNCTION("""COMPUTED_VALUE"""),0.0)</f>
        <v>0</v>
      </c>
      <c r="L1651" s="250" t="str">
        <f>IFERROR(__xludf.DUMMYFUNCTION("""COMPUTED_VALUE"""),"")</f>
        <v/>
      </c>
      <c r="M1651" s="250" t="str">
        <f>IFERROR(__xludf.DUMMYFUNCTION("""COMPUTED_VALUE"""),"")</f>
        <v/>
      </c>
      <c r="N1651" s="250" t="str">
        <f>IFERROR(__xludf.DUMMYFUNCTION("""COMPUTED_VALUE"""),"")</f>
        <v/>
      </c>
      <c r="O1651" s="250" t="str">
        <f>IFERROR(__xludf.DUMMYFUNCTION("""COMPUTED_VALUE"""),"")</f>
        <v/>
      </c>
      <c r="P1651" s="250" t="str">
        <f>IFERROR(__xludf.DUMMYFUNCTION("""COMPUTED_VALUE"""),"")</f>
        <v/>
      </c>
      <c r="Q1651" s="250" t="str">
        <f>IFERROR(__xludf.DUMMYFUNCTION("""COMPUTED_VALUE"""),"")</f>
        <v/>
      </c>
      <c r="R1651" s="250" t="str">
        <f>IFERROR(__xludf.DUMMYFUNCTION("""COMPUTED_VALUE"""),"")</f>
        <v/>
      </c>
      <c r="U1651" s="250" t="str">
        <f>IFERROR(__xludf.DUMMYFUNCTION("""COMPUTED_VALUE"""),"#N/A")</f>
        <v>#N/A</v>
      </c>
      <c r="V1651" s="250" t="str">
        <f>IFERROR(__xludf.DUMMYFUNCTION("""COMPUTED_VALUE"""),"#N/A")</f>
        <v>#N/A</v>
      </c>
      <c r="W1651" s="250" t="str">
        <f>IFERROR(__xludf.DUMMYFUNCTION("""COMPUTED_VALUE"""),"#N/A")</f>
        <v>#N/A</v>
      </c>
      <c r="X1651" t="b">
        <f t="shared" ref="X1651:Z1651" si="3278">ISBLANK(K1651)</f>
        <v>1</v>
      </c>
      <c r="Y1651" t="b">
        <f t="shared" si="3278"/>
        <v>0</v>
      </c>
      <c r="Z1651" t="b">
        <f t="shared" si="3278"/>
        <v>0</v>
      </c>
      <c r="AA1651">
        <f t="shared" ref="AA1651:AC1651" si="3279">IF(X1651=FALSE,1,0)</f>
        <v>0</v>
      </c>
      <c r="AB1651">
        <f t="shared" si="3279"/>
        <v>1</v>
      </c>
      <c r="AC1651">
        <f t="shared" si="3279"/>
        <v>1</v>
      </c>
      <c r="AD1651">
        <f t="shared" si="6"/>
        <v>2</v>
      </c>
      <c r="AE1651">
        <f t="shared" si="7"/>
        <v>1</v>
      </c>
    </row>
    <row r="1652">
      <c r="B1652" t="str">
        <f>IFERROR(__xludf.DUMMYFUNCTION("""COMPUTED_VALUE"""),"")</f>
        <v/>
      </c>
      <c r="C1652" t="str">
        <f>IFERROR(__xludf.DUMMYFUNCTION("""COMPUTED_VALUE"""),"")</f>
        <v/>
      </c>
      <c r="D1652" t="str">
        <f>IFERROR(__xludf.DUMMYFUNCTION("""COMPUTED_VALUE"""),"")</f>
        <v/>
      </c>
      <c r="E1652" t="str">
        <f>IFERROR(__xludf.DUMMYFUNCTION("""COMPUTED_VALUE"""),"")</f>
        <v/>
      </c>
      <c r="F1652" t="str">
        <f>IFERROR(__xludf.DUMMYFUNCTION("""COMPUTED_VALUE"""),"")</f>
        <v/>
      </c>
      <c r="G1652" t="str">
        <f>IFERROR(__xludf.DUMMYFUNCTION("""COMPUTED_VALUE"""),"")</f>
        <v/>
      </c>
      <c r="H1652" t="str">
        <f>IFERROR(__xludf.DUMMYFUNCTION("""COMPUTED_VALUE"""),"")</f>
        <v/>
      </c>
      <c r="I1652" t="str">
        <f>IFERROR(__xludf.DUMMYFUNCTION("""COMPUTED_VALUE"""),"")</f>
        <v/>
      </c>
      <c r="J1652">
        <f>IFERROR(__xludf.DUMMYFUNCTION("""COMPUTED_VALUE"""),0.0)</f>
        <v>0</v>
      </c>
      <c r="L1652" s="250" t="str">
        <f>IFERROR(__xludf.DUMMYFUNCTION("""COMPUTED_VALUE"""),"")</f>
        <v/>
      </c>
      <c r="M1652" s="250" t="str">
        <f>IFERROR(__xludf.DUMMYFUNCTION("""COMPUTED_VALUE"""),"")</f>
        <v/>
      </c>
      <c r="N1652" s="250" t="str">
        <f>IFERROR(__xludf.DUMMYFUNCTION("""COMPUTED_VALUE"""),"")</f>
        <v/>
      </c>
      <c r="O1652" s="250" t="str">
        <f>IFERROR(__xludf.DUMMYFUNCTION("""COMPUTED_VALUE"""),"")</f>
        <v/>
      </c>
      <c r="P1652" s="250" t="str">
        <f>IFERROR(__xludf.DUMMYFUNCTION("""COMPUTED_VALUE"""),"")</f>
        <v/>
      </c>
      <c r="Q1652" s="250" t="str">
        <f>IFERROR(__xludf.DUMMYFUNCTION("""COMPUTED_VALUE"""),"")</f>
        <v/>
      </c>
      <c r="R1652" s="250" t="str">
        <f>IFERROR(__xludf.DUMMYFUNCTION("""COMPUTED_VALUE"""),"")</f>
        <v/>
      </c>
      <c r="U1652" s="250" t="str">
        <f>IFERROR(__xludf.DUMMYFUNCTION("""COMPUTED_VALUE"""),"#N/A")</f>
        <v>#N/A</v>
      </c>
      <c r="V1652" s="250" t="str">
        <f>IFERROR(__xludf.DUMMYFUNCTION("""COMPUTED_VALUE"""),"#N/A")</f>
        <v>#N/A</v>
      </c>
      <c r="W1652" s="250" t="str">
        <f>IFERROR(__xludf.DUMMYFUNCTION("""COMPUTED_VALUE"""),"#N/A")</f>
        <v>#N/A</v>
      </c>
      <c r="X1652" t="b">
        <f t="shared" ref="X1652:Z1652" si="3280">ISBLANK(K1652)</f>
        <v>1</v>
      </c>
      <c r="Y1652" t="b">
        <f t="shared" si="3280"/>
        <v>0</v>
      </c>
      <c r="Z1652" t="b">
        <f t="shared" si="3280"/>
        <v>0</v>
      </c>
      <c r="AA1652">
        <f t="shared" ref="AA1652:AC1652" si="3281">IF(X1652=FALSE,1,0)</f>
        <v>0</v>
      </c>
      <c r="AB1652">
        <f t="shared" si="3281"/>
        <v>1</v>
      </c>
      <c r="AC1652">
        <f t="shared" si="3281"/>
        <v>1</v>
      </c>
      <c r="AD1652">
        <f t="shared" si="6"/>
        <v>2</v>
      </c>
      <c r="AE1652">
        <f t="shared" si="7"/>
        <v>1</v>
      </c>
    </row>
    <row r="1653">
      <c r="B1653" t="str">
        <f>IFERROR(__xludf.DUMMYFUNCTION("""COMPUTED_VALUE"""),"")</f>
        <v/>
      </c>
      <c r="C1653" t="str">
        <f>IFERROR(__xludf.DUMMYFUNCTION("""COMPUTED_VALUE"""),"")</f>
        <v/>
      </c>
      <c r="D1653" t="str">
        <f>IFERROR(__xludf.DUMMYFUNCTION("""COMPUTED_VALUE"""),"")</f>
        <v/>
      </c>
      <c r="E1653" t="str">
        <f>IFERROR(__xludf.DUMMYFUNCTION("""COMPUTED_VALUE"""),"")</f>
        <v/>
      </c>
      <c r="F1653" t="str">
        <f>IFERROR(__xludf.DUMMYFUNCTION("""COMPUTED_VALUE"""),"")</f>
        <v/>
      </c>
      <c r="G1653" t="str">
        <f>IFERROR(__xludf.DUMMYFUNCTION("""COMPUTED_VALUE"""),"")</f>
        <v/>
      </c>
      <c r="H1653" t="str">
        <f>IFERROR(__xludf.DUMMYFUNCTION("""COMPUTED_VALUE"""),"")</f>
        <v/>
      </c>
      <c r="I1653" t="str">
        <f>IFERROR(__xludf.DUMMYFUNCTION("""COMPUTED_VALUE"""),"")</f>
        <v/>
      </c>
      <c r="J1653">
        <f>IFERROR(__xludf.DUMMYFUNCTION("""COMPUTED_VALUE"""),0.0)</f>
        <v>0</v>
      </c>
      <c r="L1653" s="250" t="str">
        <f>IFERROR(__xludf.DUMMYFUNCTION("""COMPUTED_VALUE"""),"")</f>
        <v/>
      </c>
      <c r="M1653" s="250" t="str">
        <f>IFERROR(__xludf.DUMMYFUNCTION("""COMPUTED_VALUE"""),"")</f>
        <v/>
      </c>
      <c r="N1653" s="250" t="str">
        <f>IFERROR(__xludf.DUMMYFUNCTION("""COMPUTED_VALUE"""),"")</f>
        <v/>
      </c>
      <c r="O1653" s="250" t="str">
        <f>IFERROR(__xludf.DUMMYFUNCTION("""COMPUTED_VALUE"""),"")</f>
        <v/>
      </c>
      <c r="P1653" s="250" t="str">
        <f>IFERROR(__xludf.DUMMYFUNCTION("""COMPUTED_VALUE"""),"")</f>
        <v/>
      </c>
      <c r="Q1653" s="250" t="str">
        <f>IFERROR(__xludf.DUMMYFUNCTION("""COMPUTED_VALUE"""),"")</f>
        <v/>
      </c>
      <c r="R1653" s="250" t="str">
        <f>IFERROR(__xludf.DUMMYFUNCTION("""COMPUTED_VALUE"""),"")</f>
        <v/>
      </c>
      <c r="U1653" s="250" t="str">
        <f>IFERROR(__xludf.DUMMYFUNCTION("""COMPUTED_VALUE"""),"#N/A")</f>
        <v>#N/A</v>
      </c>
      <c r="V1653" s="250" t="str">
        <f>IFERROR(__xludf.DUMMYFUNCTION("""COMPUTED_VALUE"""),"#N/A")</f>
        <v>#N/A</v>
      </c>
      <c r="W1653" s="250" t="str">
        <f>IFERROR(__xludf.DUMMYFUNCTION("""COMPUTED_VALUE"""),"#N/A")</f>
        <v>#N/A</v>
      </c>
      <c r="X1653" t="b">
        <f t="shared" ref="X1653:Z1653" si="3282">ISBLANK(K1653)</f>
        <v>1</v>
      </c>
      <c r="Y1653" t="b">
        <f t="shared" si="3282"/>
        <v>0</v>
      </c>
      <c r="Z1653" t="b">
        <f t="shared" si="3282"/>
        <v>0</v>
      </c>
      <c r="AA1653">
        <f t="shared" ref="AA1653:AC1653" si="3283">IF(X1653=FALSE,1,0)</f>
        <v>0</v>
      </c>
      <c r="AB1653">
        <f t="shared" si="3283"/>
        <v>1</v>
      </c>
      <c r="AC1653">
        <f t="shared" si="3283"/>
        <v>1</v>
      </c>
      <c r="AD1653">
        <f t="shared" si="6"/>
        <v>2</v>
      </c>
      <c r="AE1653">
        <f t="shared" si="7"/>
        <v>1</v>
      </c>
    </row>
    <row r="1654">
      <c r="B1654" t="str">
        <f>IFERROR(__xludf.DUMMYFUNCTION("""COMPUTED_VALUE"""),"")</f>
        <v/>
      </c>
      <c r="C1654" t="str">
        <f>IFERROR(__xludf.DUMMYFUNCTION("""COMPUTED_VALUE"""),"")</f>
        <v/>
      </c>
      <c r="D1654" t="str">
        <f>IFERROR(__xludf.DUMMYFUNCTION("""COMPUTED_VALUE"""),"")</f>
        <v/>
      </c>
      <c r="E1654" t="str">
        <f>IFERROR(__xludf.DUMMYFUNCTION("""COMPUTED_VALUE"""),"")</f>
        <v/>
      </c>
      <c r="F1654" t="str">
        <f>IFERROR(__xludf.DUMMYFUNCTION("""COMPUTED_VALUE"""),"")</f>
        <v/>
      </c>
      <c r="G1654" t="str">
        <f>IFERROR(__xludf.DUMMYFUNCTION("""COMPUTED_VALUE"""),"")</f>
        <v/>
      </c>
      <c r="H1654" t="str">
        <f>IFERROR(__xludf.DUMMYFUNCTION("""COMPUTED_VALUE"""),"")</f>
        <v/>
      </c>
      <c r="I1654" t="str">
        <f>IFERROR(__xludf.DUMMYFUNCTION("""COMPUTED_VALUE"""),"")</f>
        <v/>
      </c>
      <c r="J1654">
        <f>IFERROR(__xludf.DUMMYFUNCTION("""COMPUTED_VALUE"""),0.0)</f>
        <v>0</v>
      </c>
      <c r="L1654" s="250" t="str">
        <f>IFERROR(__xludf.DUMMYFUNCTION("""COMPUTED_VALUE"""),"")</f>
        <v/>
      </c>
      <c r="M1654" s="250" t="str">
        <f>IFERROR(__xludf.DUMMYFUNCTION("""COMPUTED_VALUE"""),"")</f>
        <v/>
      </c>
      <c r="N1654" s="250" t="str">
        <f>IFERROR(__xludf.DUMMYFUNCTION("""COMPUTED_VALUE"""),"")</f>
        <v/>
      </c>
      <c r="O1654" s="250" t="str">
        <f>IFERROR(__xludf.DUMMYFUNCTION("""COMPUTED_VALUE"""),"")</f>
        <v/>
      </c>
      <c r="P1654" s="250" t="str">
        <f>IFERROR(__xludf.DUMMYFUNCTION("""COMPUTED_VALUE"""),"")</f>
        <v/>
      </c>
      <c r="Q1654" s="250" t="str">
        <f>IFERROR(__xludf.DUMMYFUNCTION("""COMPUTED_VALUE"""),"")</f>
        <v/>
      </c>
      <c r="R1654" s="250" t="str">
        <f>IFERROR(__xludf.DUMMYFUNCTION("""COMPUTED_VALUE"""),"")</f>
        <v/>
      </c>
      <c r="U1654" s="250" t="str">
        <f>IFERROR(__xludf.DUMMYFUNCTION("""COMPUTED_VALUE"""),"#N/A")</f>
        <v>#N/A</v>
      </c>
      <c r="V1654" s="250" t="str">
        <f>IFERROR(__xludf.DUMMYFUNCTION("""COMPUTED_VALUE"""),"#N/A")</f>
        <v>#N/A</v>
      </c>
      <c r="W1654" s="250" t="str">
        <f>IFERROR(__xludf.DUMMYFUNCTION("""COMPUTED_VALUE"""),"#N/A")</f>
        <v>#N/A</v>
      </c>
      <c r="X1654" t="b">
        <f t="shared" ref="X1654:Z1654" si="3284">ISBLANK(K1654)</f>
        <v>1</v>
      </c>
      <c r="Y1654" t="b">
        <f t="shared" si="3284"/>
        <v>0</v>
      </c>
      <c r="Z1654" t="b">
        <f t="shared" si="3284"/>
        <v>0</v>
      </c>
      <c r="AA1654">
        <f t="shared" ref="AA1654:AC1654" si="3285">IF(X1654=FALSE,1,0)</f>
        <v>0</v>
      </c>
      <c r="AB1654">
        <f t="shared" si="3285"/>
        <v>1</v>
      </c>
      <c r="AC1654">
        <f t="shared" si="3285"/>
        <v>1</v>
      </c>
      <c r="AD1654">
        <f t="shared" si="6"/>
        <v>2</v>
      </c>
      <c r="AE1654">
        <f t="shared" si="7"/>
        <v>1</v>
      </c>
    </row>
    <row r="1655">
      <c r="B1655" t="str">
        <f>IFERROR(__xludf.DUMMYFUNCTION("""COMPUTED_VALUE"""),"")</f>
        <v/>
      </c>
      <c r="C1655" t="str">
        <f>IFERROR(__xludf.DUMMYFUNCTION("""COMPUTED_VALUE"""),"")</f>
        <v/>
      </c>
      <c r="D1655" t="str">
        <f>IFERROR(__xludf.DUMMYFUNCTION("""COMPUTED_VALUE"""),"")</f>
        <v/>
      </c>
      <c r="E1655" t="str">
        <f>IFERROR(__xludf.DUMMYFUNCTION("""COMPUTED_VALUE"""),"")</f>
        <v/>
      </c>
      <c r="F1655" t="str">
        <f>IFERROR(__xludf.DUMMYFUNCTION("""COMPUTED_VALUE"""),"")</f>
        <v/>
      </c>
      <c r="G1655" t="str">
        <f>IFERROR(__xludf.DUMMYFUNCTION("""COMPUTED_VALUE"""),"")</f>
        <v/>
      </c>
      <c r="H1655" t="str">
        <f>IFERROR(__xludf.DUMMYFUNCTION("""COMPUTED_VALUE"""),"")</f>
        <v/>
      </c>
      <c r="I1655" t="str">
        <f>IFERROR(__xludf.DUMMYFUNCTION("""COMPUTED_VALUE"""),"")</f>
        <v/>
      </c>
      <c r="J1655">
        <f>IFERROR(__xludf.DUMMYFUNCTION("""COMPUTED_VALUE"""),0.0)</f>
        <v>0</v>
      </c>
      <c r="L1655" s="250" t="str">
        <f>IFERROR(__xludf.DUMMYFUNCTION("""COMPUTED_VALUE"""),"")</f>
        <v/>
      </c>
      <c r="M1655" s="250" t="str">
        <f>IFERROR(__xludf.DUMMYFUNCTION("""COMPUTED_VALUE"""),"")</f>
        <v/>
      </c>
      <c r="N1655" s="250" t="str">
        <f>IFERROR(__xludf.DUMMYFUNCTION("""COMPUTED_VALUE"""),"")</f>
        <v/>
      </c>
      <c r="O1655" s="250" t="str">
        <f>IFERROR(__xludf.DUMMYFUNCTION("""COMPUTED_VALUE"""),"")</f>
        <v/>
      </c>
      <c r="P1655" s="250" t="str">
        <f>IFERROR(__xludf.DUMMYFUNCTION("""COMPUTED_VALUE"""),"")</f>
        <v/>
      </c>
      <c r="Q1655" s="250" t="str">
        <f>IFERROR(__xludf.DUMMYFUNCTION("""COMPUTED_VALUE"""),"")</f>
        <v/>
      </c>
      <c r="R1655" s="250" t="str">
        <f>IFERROR(__xludf.DUMMYFUNCTION("""COMPUTED_VALUE"""),"")</f>
        <v/>
      </c>
      <c r="U1655" s="250" t="str">
        <f>IFERROR(__xludf.DUMMYFUNCTION("""COMPUTED_VALUE"""),"#N/A")</f>
        <v>#N/A</v>
      </c>
      <c r="V1655" s="250" t="str">
        <f>IFERROR(__xludf.DUMMYFUNCTION("""COMPUTED_VALUE"""),"#N/A")</f>
        <v>#N/A</v>
      </c>
      <c r="W1655" s="250" t="str">
        <f>IFERROR(__xludf.DUMMYFUNCTION("""COMPUTED_VALUE"""),"#N/A")</f>
        <v>#N/A</v>
      </c>
      <c r="X1655" t="b">
        <f t="shared" ref="X1655:Z1655" si="3286">ISBLANK(K1655)</f>
        <v>1</v>
      </c>
      <c r="Y1655" t="b">
        <f t="shared" si="3286"/>
        <v>0</v>
      </c>
      <c r="Z1655" t="b">
        <f t="shared" si="3286"/>
        <v>0</v>
      </c>
      <c r="AA1655">
        <f t="shared" ref="AA1655:AC1655" si="3287">IF(X1655=FALSE,1,0)</f>
        <v>0</v>
      </c>
      <c r="AB1655">
        <f t="shared" si="3287"/>
        <v>1</v>
      </c>
      <c r="AC1655">
        <f t="shared" si="3287"/>
        <v>1</v>
      </c>
      <c r="AD1655">
        <f t="shared" si="6"/>
        <v>2</v>
      </c>
      <c r="AE1655">
        <f t="shared" si="7"/>
        <v>1</v>
      </c>
    </row>
    <row r="1656">
      <c r="B1656" t="str">
        <f>IFERROR(__xludf.DUMMYFUNCTION("""COMPUTED_VALUE"""),"")</f>
        <v/>
      </c>
      <c r="C1656" t="str">
        <f>IFERROR(__xludf.DUMMYFUNCTION("""COMPUTED_VALUE"""),"")</f>
        <v/>
      </c>
      <c r="D1656" t="str">
        <f>IFERROR(__xludf.DUMMYFUNCTION("""COMPUTED_VALUE"""),"")</f>
        <v/>
      </c>
      <c r="E1656" t="str">
        <f>IFERROR(__xludf.DUMMYFUNCTION("""COMPUTED_VALUE"""),"")</f>
        <v/>
      </c>
      <c r="F1656" t="str">
        <f>IFERROR(__xludf.DUMMYFUNCTION("""COMPUTED_VALUE"""),"")</f>
        <v/>
      </c>
      <c r="G1656" t="str">
        <f>IFERROR(__xludf.DUMMYFUNCTION("""COMPUTED_VALUE"""),"")</f>
        <v/>
      </c>
      <c r="H1656" t="str">
        <f>IFERROR(__xludf.DUMMYFUNCTION("""COMPUTED_VALUE"""),"")</f>
        <v/>
      </c>
      <c r="I1656" t="str">
        <f>IFERROR(__xludf.DUMMYFUNCTION("""COMPUTED_VALUE"""),"")</f>
        <v/>
      </c>
      <c r="J1656">
        <f>IFERROR(__xludf.DUMMYFUNCTION("""COMPUTED_VALUE"""),0.0)</f>
        <v>0</v>
      </c>
      <c r="L1656" s="250" t="str">
        <f>IFERROR(__xludf.DUMMYFUNCTION("""COMPUTED_VALUE"""),"")</f>
        <v/>
      </c>
      <c r="M1656" s="250" t="str">
        <f>IFERROR(__xludf.DUMMYFUNCTION("""COMPUTED_VALUE"""),"")</f>
        <v/>
      </c>
      <c r="N1656" s="250" t="str">
        <f>IFERROR(__xludf.DUMMYFUNCTION("""COMPUTED_VALUE"""),"")</f>
        <v/>
      </c>
      <c r="O1656" s="250" t="str">
        <f>IFERROR(__xludf.DUMMYFUNCTION("""COMPUTED_VALUE"""),"")</f>
        <v/>
      </c>
      <c r="P1656" s="250" t="str">
        <f>IFERROR(__xludf.DUMMYFUNCTION("""COMPUTED_VALUE"""),"")</f>
        <v/>
      </c>
      <c r="Q1656" s="250" t="str">
        <f>IFERROR(__xludf.DUMMYFUNCTION("""COMPUTED_VALUE"""),"")</f>
        <v/>
      </c>
      <c r="R1656" s="250" t="str">
        <f>IFERROR(__xludf.DUMMYFUNCTION("""COMPUTED_VALUE"""),"")</f>
        <v/>
      </c>
      <c r="U1656" s="250" t="str">
        <f>IFERROR(__xludf.DUMMYFUNCTION("""COMPUTED_VALUE"""),"#N/A")</f>
        <v>#N/A</v>
      </c>
      <c r="V1656" s="250" t="str">
        <f>IFERROR(__xludf.DUMMYFUNCTION("""COMPUTED_VALUE"""),"#N/A")</f>
        <v>#N/A</v>
      </c>
      <c r="W1656" s="250" t="str">
        <f>IFERROR(__xludf.DUMMYFUNCTION("""COMPUTED_VALUE"""),"#N/A")</f>
        <v>#N/A</v>
      </c>
      <c r="X1656" t="b">
        <f t="shared" ref="X1656:Z1656" si="3288">ISBLANK(K1656)</f>
        <v>1</v>
      </c>
      <c r="Y1656" t="b">
        <f t="shared" si="3288"/>
        <v>0</v>
      </c>
      <c r="Z1656" t="b">
        <f t="shared" si="3288"/>
        <v>0</v>
      </c>
      <c r="AA1656">
        <f t="shared" ref="AA1656:AC1656" si="3289">IF(X1656=FALSE,1,0)</f>
        <v>0</v>
      </c>
      <c r="AB1656">
        <f t="shared" si="3289"/>
        <v>1</v>
      </c>
      <c r="AC1656">
        <f t="shared" si="3289"/>
        <v>1</v>
      </c>
      <c r="AD1656">
        <f t="shared" si="6"/>
        <v>2</v>
      </c>
      <c r="AE1656">
        <f t="shared" si="7"/>
        <v>1</v>
      </c>
    </row>
    <row r="1657">
      <c r="B1657" t="str">
        <f>IFERROR(__xludf.DUMMYFUNCTION("""COMPUTED_VALUE"""),"")</f>
        <v/>
      </c>
      <c r="C1657" t="str">
        <f>IFERROR(__xludf.DUMMYFUNCTION("""COMPUTED_VALUE"""),"")</f>
        <v/>
      </c>
      <c r="D1657" t="str">
        <f>IFERROR(__xludf.DUMMYFUNCTION("""COMPUTED_VALUE"""),"")</f>
        <v/>
      </c>
      <c r="E1657" t="str">
        <f>IFERROR(__xludf.DUMMYFUNCTION("""COMPUTED_VALUE"""),"")</f>
        <v/>
      </c>
      <c r="F1657" t="str">
        <f>IFERROR(__xludf.DUMMYFUNCTION("""COMPUTED_VALUE"""),"")</f>
        <v/>
      </c>
      <c r="G1657" t="str">
        <f>IFERROR(__xludf.DUMMYFUNCTION("""COMPUTED_VALUE"""),"")</f>
        <v/>
      </c>
      <c r="H1657" t="str">
        <f>IFERROR(__xludf.DUMMYFUNCTION("""COMPUTED_VALUE"""),"")</f>
        <v/>
      </c>
      <c r="I1657" t="str">
        <f>IFERROR(__xludf.DUMMYFUNCTION("""COMPUTED_VALUE"""),"")</f>
        <v/>
      </c>
      <c r="J1657">
        <f>IFERROR(__xludf.DUMMYFUNCTION("""COMPUTED_VALUE"""),0.0)</f>
        <v>0</v>
      </c>
      <c r="L1657" s="250" t="str">
        <f>IFERROR(__xludf.DUMMYFUNCTION("""COMPUTED_VALUE"""),"")</f>
        <v/>
      </c>
      <c r="M1657" s="250" t="str">
        <f>IFERROR(__xludf.DUMMYFUNCTION("""COMPUTED_VALUE"""),"")</f>
        <v/>
      </c>
      <c r="N1657" s="250" t="str">
        <f>IFERROR(__xludf.DUMMYFUNCTION("""COMPUTED_VALUE"""),"")</f>
        <v/>
      </c>
      <c r="O1657" s="250" t="str">
        <f>IFERROR(__xludf.DUMMYFUNCTION("""COMPUTED_VALUE"""),"")</f>
        <v/>
      </c>
      <c r="P1657" s="250" t="str">
        <f>IFERROR(__xludf.DUMMYFUNCTION("""COMPUTED_VALUE"""),"")</f>
        <v/>
      </c>
      <c r="Q1657" s="250" t="str">
        <f>IFERROR(__xludf.DUMMYFUNCTION("""COMPUTED_VALUE"""),"")</f>
        <v/>
      </c>
      <c r="R1657" s="250" t="str">
        <f>IFERROR(__xludf.DUMMYFUNCTION("""COMPUTED_VALUE"""),"")</f>
        <v/>
      </c>
      <c r="U1657" s="250" t="str">
        <f>IFERROR(__xludf.DUMMYFUNCTION("""COMPUTED_VALUE"""),"#N/A")</f>
        <v>#N/A</v>
      </c>
      <c r="V1657" s="250" t="str">
        <f>IFERROR(__xludf.DUMMYFUNCTION("""COMPUTED_VALUE"""),"#N/A")</f>
        <v>#N/A</v>
      </c>
      <c r="W1657" s="250" t="str">
        <f>IFERROR(__xludf.DUMMYFUNCTION("""COMPUTED_VALUE"""),"#N/A")</f>
        <v>#N/A</v>
      </c>
      <c r="X1657" t="b">
        <f t="shared" ref="X1657:Z1657" si="3290">ISBLANK(K1657)</f>
        <v>1</v>
      </c>
      <c r="Y1657" t="b">
        <f t="shared" si="3290"/>
        <v>0</v>
      </c>
      <c r="Z1657" t="b">
        <f t="shared" si="3290"/>
        <v>0</v>
      </c>
      <c r="AA1657">
        <f t="shared" ref="AA1657:AC1657" si="3291">IF(X1657=FALSE,1,0)</f>
        <v>0</v>
      </c>
      <c r="AB1657">
        <f t="shared" si="3291"/>
        <v>1</v>
      </c>
      <c r="AC1657">
        <f t="shared" si="3291"/>
        <v>1</v>
      </c>
      <c r="AD1657">
        <f t="shared" si="6"/>
        <v>2</v>
      </c>
      <c r="AE1657">
        <f t="shared" si="7"/>
        <v>1</v>
      </c>
    </row>
    <row r="1658">
      <c r="B1658" t="str">
        <f>IFERROR(__xludf.DUMMYFUNCTION("""COMPUTED_VALUE"""),"")</f>
        <v/>
      </c>
      <c r="C1658" t="str">
        <f>IFERROR(__xludf.DUMMYFUNCTION("""COMPUTED_VALUE"""),"")</f>
        <v/>
      </c>
      <c r="D1658" t="str">
        <f>IFERROR(__xludf.DUMMYFUNCTION("""COMPUTED_VALUE"""),"")</f>
        <v/>
      </c>
      <c r="E1658" t="str">
        <f>IFERROR(__xludf.DUMMYFUNCTION("""COMPUTED_VALUE"""),"")</f>
        <v/>
      </c>
      <c r="F1658" t="str">
        <f>IFERROR(__xludf.DUMMYFUNCTION("""COMPUTED_VALUE"""),"")</f>
        <v/>
      </c>
      <c r="G1658" t="str">
        <f>IFERROR(__xludf.DUMMYFUNCTION("""COMPUTED_VALUE"""),"")</f>
        <v/>
      </c>
      <c r="H1658" t="str">
        <f>IFERROR(__xludf.DUMMYFUNCTION("""COMPUTED_VALUE"""),"")</f>
        <v/>
      </c>
      <c r="I1658" t="str">
        <f>IFERROR(__xludf.DUMMYFUNCTION("""COMPUTED_VALUE"""),"")</f>
        <v/>
      </c>
      <c r="J1658">
        <f>IFERROR(__xludf.DUMMYFUNCTION("""COMPUTED_VALUE"""),0.0)</f>
        <v>0</v>
      </c>
      <c r="L1658" s="250" t="str">
        <f>IFERROR(__xludf.DUMMYFUNCTION("""COMPUTED_VALUE"""),"")</f>
        <v/>
      </c>
      <c r="M1658" s="250" t="str">
        <f>IFERROR(__xludf.DUMMYFUNCTION("""COMPUTED_VALUE"""),"")</f>
        <v/>
      </c>
      <c r="N1658" s="250" t="str">
        <f>IFERROR(__xludf.DUMMYFUNCTION("""COMPUTED_VALUE"""),"")</f>
        <v/>
      </c>
      <c r="O1658" s="250" t="str">
        <f>IFERROR(__xludf.DUMMYFUNCTION("""COMPUTED_VALUE"""),"")</f>
        <v/>
      </c>
      <c r="P1658" s="250" t="str">
        <f>IFERROR(__xludf.DUMMYFUNCTION("""COMPUTED_VALUE"""),"")</f>
        <v/>
      </c>
      <c r="Q1658" s="250" t="str">
        <f>IFERROR(__xludf.DUMMYFUNCTION("""COMPUTED_VALUE"""),"")</f>
        <v/>
      </c>
      <c r="R1658" s="250" t="str">
        <f>IFERROR(__xludf.DUMMYFUNCTION("""COMPUTED_VALUE"""),"")</f>
        <v/>
      </c>
      <c r="U1658" s="250" t="str">
        <f>IFERROR(__xludf.DUMMYFUNCTION("""COMPUTED_VALUE"""),"#N/A")</f>
        <v>#N/A</v>
      </c>
      <c r="V1658" s="250" t="str">
        <f>IFERROR(__xludf.DUMMYFUNCTION("""COMPUTED_VALUE"""),"#N/A")</f>
        <v>#N/A</v>
      </c>
      <c r="W1658" s="250" t="str">
        <f>IFERROR(__xludf.DUMMYFUNCTION("""COMPUTED_VALUE"""),"#N/A")</f>
        <v>#N/A</v>
      </c>
      <c r="X1658" t="b">
        <f t="shared" ref="X1658:Z1658" si="3292">ISBLANK(K1658)</f>
        <v>1</v>
      </c>
      <c r="Y1658" t="b">
        <f t="shared" si="3292"/>
        <v>0</v>
      </c>
      <c r="Z1658" t="b">
        <f t="shared" si="3292"/>
        <v>0</v>
      </c>
      <c r="AA1658">
        <f t="shared" ref="AA1658:AC1658" si="3293">IF(X1658=FALSE,1,0)</f>
        <v>0</v>
      </c>
      <c r="AB1658">
        <f t="shared" si="3293"/>
        <v>1</v>
      </c>
      <c r="AC1658">
        <f t="shared" si="3293"/>
        <v>1</v>
      </c>
      <c r="AD1658">
        <f t="shared" si="6"/>
        <v>2</v>
      </c>
      <c r="AE1658">
        <f t="shared" si="7"/>
        <v>1</v>
      </c>
    </row>
    <row r="1659">
      <c r="B1659" t="str">
        <f>IFERROR(__xludf.DUMMYFUNCTION("""COMPUTED_VALUE"""),"")</f>
        <v/>
      </c>
      <c r="C1659" t="str">
        <f>IFERROR(__xludf.DUMMYFUNCTION("""COMPUTED_VALUE"""),"")</f>
        <v/>
      </c>
      <c r="D1659" t="str">
        <f>IFERROR(__xludf.DUMMYFUNCTION("""COMPUTED_VALUE"""),"")</f>
        <v/>
      </c>
      <c r="E1659" t="str">
        <f>IFERROR(__xludf.DUMMYFUNCTION("""COMPUTED_VALUE"""),"")</f>
        <v/>
      </c>
      <c r="F1659" t="str">
        <f>IFERROR(__xludf.DUMMYFUNCTION("""COMPUTED_VALUE"""),"")</f>
        <v/>
      </c>
      <c r="G1659" t="str">
        <f>IFERROR(__xludf.DUMMYFUNCTION("""COMPUTED_VALUE"""),"")</f>
        <v/>
      </c>
      <c r="H1659" t="str">
        <f>IFERROR(__xludf.DUMMYFUNCTION("""COMPUTED_VALUE"""),"")</f>
        <v/>
      </c>
      <c r="I1659" t="str">
        <f>IFERROR(__xludf.DUMMYFUNCTION("""COMPUTED_VALUE"""),"")</f>
        <v/>
      </c>
      <c r="J1659">
        <f>IFERROR(__xludf.DUMMYFUNCTION("""COMPUTED_VALUE"""),0.0)</f>
        <v>0</v>
      </c>
      <c r="L1659" s="250" t="str">
        <f>IFERROR(__xludf.DUMMYFUNCTION("""COMPUTED_VALUE"""),"")</f>
        <v/>
      </c>
      <c r="M1659" s="250" t="str">
        <f>IFERROR(__xludf.DUMMYFUNCTION("""COMPUTED_VALUE"""),"")</f>
        <v/>
      </c>
      <c r="N1659" s="250" t="str">
        <f>IFERROR(__xludf.DUMMYFUNCTION("""COMPUTED_VALUE"""),"")</f>
        <v/>
      </c>
      <c r="O1659" s="250" t="str">
        <f>IFERROR(__xludf.DUMMYFUNCTION("""COMPUTED_VALUE"""),"")</f>
        <v/>
      </c>
      <c r="P1659" s="250" t="str">
        <f>IFERROR(__xludf.DUMMYFUNCTION("""COMPUTED_VALUE"""),"")</f>
        <v/>
      </c>
      <c r="Q1659" s="250" t="str">
        <f>IFERROR(__xludf.DUMMYFUNCTION("""COMPUTED_VALUE"""),"")</f>
        <v/>
      </c>
      <c r="R1659" s="250" t="str">
        <f>IFERROR(__xludf.DUMMYFUNCTION("""COMPUTED_VALUE"""),"")</f>
        <v/>
      </c>
      <c r="U1659" s="250" t="str">
        <f>IFERROR(__xludf.DUMMYFUNCTION("""COMPUTED_VALUE"""),"#N/A")</f>
        <v>#N/A</v>
      </c>
      <c r="V1659" s="250" t="str">
        <f>IFERROR(__xludf.DUMMYFUNCTION("""COMPUTED_VALUE"""),"#N/A")</f>
        <v>#N/A</v>
      </c>
      <c r="W1659" s="250" t="str">
        <f>IFERROR(__xludf.DUMMYFUNCTION("""COMPUTED_VALUE"""),"#N/A")</f>
        <v>#N/A</v>
      </c>
      <c r="X1659" t="b">
        <f t="shared" ref="X1659:Z1659" si="3294">ISBLANK(K1659)</f>
        <v>1</v>
      </c>
      <c r="Y1659" t="b">
        <f t="shared" si="3294"/>
        <v>0</v>
      </c>
      <c r="Z1659" t="b">
        <f t="shared" si="3294"/>
        <v>0</v>
      </c>
      <c r="AA1659">
        <f t="shared" ref="AA1659:AC1659" si="3295">IF(X1659=FALSE,1,0)</f>
        <v>0</v>
      </c>
      <c r="AB1659">
        <f t="shared" si="3295"/>
        <v>1</v>
      </c>
      <c r="AC1659">
        <f t="shared" si="3295"/>
        <v>1</v>
      </c>
      <c r="AD1659">
        <f t="shared" si="6"/>
        <v>2</v>
      </c>
      <c r="AE1659">
        <f t="shared" si="7"/>
        <v>1</v>
      </c>
    </row>
    <row r="1660">
      <c r="B1660" t="str">
        <f>IFERROR(__xludf.DUMMYFUNCTION("""COMPUTED_VALUE"""),"")</f>
        <v/>
      </c>
      <c r="C1660" t="str">
        <f>IFERROR(__xludf.DUMMYFUNCTION("""COMPUTED_VALUE"""),"")</f>
        <v/>
      </c>
      <c r="D1660" t="str">
        <f>IFERROR(__xludf.DUMMYFUNCTION("""COMPUTED_VALUE"""),"")</f>
        <v/>
      </c>
      <c r="E1660" t="str">
        <f>IFERROR(__xludf.DUMMYFUNCTION("""COMPUTED_VALUE"""),"")</f>
        <v/>
      </c>
      <c r="F1660" t="str">
        <f>IFERROR(__xludf.DUMMYFUNCTION("""COMPUTED_VALUE"""),"")</f>
        <v/>
      </c>
      <c r="G1660" t="str">
        <f>IFERROR(__xludf.DUMMYFUNCTION("""COMPUTED_VALUE"""),"")</f>
        <v/>
      </c>
      <c r="H1660" t="str">
        <f>IFERROR(__xludf.DUMMYFUNCTION("""COMPUTED_VALUE"""),"")</f>
        <v/>
      </c>
      <c r="I1660" t="str">
        <f>IFERROR(__xludf.DUMMYFUNCTION("""COMPUTED_VALUE"""),"")</f>
        <v/>
      </c>
      <c r="J1660">
        <f>IFERROR(__xludf.DUMMYFUNCTION("""COMPUTED_VALUE"""),0.0)</f>
        <v>0</v>
      </c>
      <c r="L1660" s="250" t="str">
        <f>IFERROR(__xludf.DUMMYFUNCTION("""COMPUTED_VALUE"""),"")</f>
        <v/>
      </c>
      <c r="M1660" s="250" t="str">
        <f>IFERROR(__xludf.DUMMYFUNCTION("""COMPUTED_VALUE"""),"")</f>
        <v/>
      </c>
      <c r="N1660" s="250" t="str">
        <f>IFERROR(__xludf.DUMMYFUNCTION("""COMPUTED_VALUE"""),"")</f>
        <v/>
      </c>
      <c r="O1660" s="250" t="str">
        <f>IFERROR(__xludf.DUMMYFUNCTION("""COMPUTED_VALUE"""),"")</f>
        <v/>
      </c>
      <c r="P1660" s="250" t="str">
        <f>IFERROR(__xludf.DUMMYFUNCTION("""COMPUTED_VALUE"""),"")</f>
        <v/>
      </c>
      <c r="Q1660" s="250" t="str">
        <f>IFERROR(__xludf.DUMMYFUNCTION("""COMPUTED_VALUE"""),"")</f>
        <v/>
      </c>
      <c r="R1660" s="250" t="str">
        <f>IFERROR(__xludf.DUMMYFUNCTION("""COMPUTED_VALUE"""),"")</f>
        <v/>
      </c>
      <c r="U1660" s="250" t="str">
        <f>IFERROR(__xludf.DUMMYFUNCTION("""COMPUTED_VALUE"""),"#N/A")</f>
        <v>#N/A</v>
      </c>
      <c r="V1660" s="250" t="str">
        <f>IFERROR(__xludf.DUMMYFUNCTION("""COMPUTED_VALUE"""),"#N/A")</f>
        <v>#N/A</v>
      </c>
      <c r="W1660" s="250" t="str">
        <f>IFERROR(__xludf.DUMMYFUNCTION("""COMPUTED_VALUE"""),"#N/A")</f>
        <v>#N/A</v>
      </c>
      <c r="X1660" t="b">
        <f t="shared" ref="X1660:Z1660" si="3296">ISBLANK(K1660)</f>
        <v>1</v>
      </c>
      <c r="Y1660" t="b">
        <f t="shared" si="3296"/>
        <v>0</v>
      </c>
      <c r="Z1660" t="b">
        <f t="shared" si="3296"/>
        <v>0</v>
      </c>
      <c r="AA1660">
        <f t="shared" ref="AA1660:AC1660" si="3297">IF(X1660=FALSE,1,0)</f>
        <v>0</v>
      </c>
      <c r="AB1660">
        <f t="shared" si="3297"/>
        <v>1</v>
      </c>
      <c r="AC1660">
        <f t="shared" si="3297"/>
        <v>1</v>
      </c>
      <c r="AD1660">
        <f t="shared" si="6"/>
        <v>2</v>
      </c>
      <c r="AE1660">
        <f t="shared" si="7"/>
        <v>1</v>
      </c>
    </row>
    <row r="1661">
      <c r="B1661" t="str">
        <f>IFERROR(__xludf.DUMMYFUNCTION("""COMPUTED_VALUE"""),"")</f>
        <v/>
      </c>
      <c r="C1661" t="str">
        <f>IFERROR(__xludf.DUMMYFUNCTION("""COMPUTED_VALUE"""),"")</f>
        <v/>
      </c>
      <c r="D1661" t="str">
        <f>IFERROR(__xludf.DUMMYFUNCTION("""COMPUTED_VALUE"""),"")</f>
        <v/>
      </c>
      <c r="E1661" t="str">
        <f>IFERROR(__xludf.DUMMYFUNCTION("""COMPUTED_VALUE"""),"")</f>
        <v/>
      </c>
      <c r="F1661" t="str">
        <f>IFERROR(__xludf.DUMMYFUNCTION("""COMPUTED_VALUE"""),"")</f>
        <v/>
      </c>
      <c r="G1661" t="str">
        <f>IFERROR(__xludf.DUMMYFUNCTION("""COMPUTED_VALUE"""),"")</f>
        <v/>
      </c>
      <c r="H1661" t="str">
        <f>IFERROR(__xludf.DUMMYFUNCTION("""COMPUTED_VALUE"""),"")</f>
        <v/>
      </c>
      <c r="I1661" t="str">
        <f>IFERROR(__xludf.DUMMYFUNCTION("""COMPUTED_VALUE"""),"")</f>
        <v/>
      </c>
      <c r="J1661">
        <f>IFERROR(__xludf.DUMMYFUNCTION("""COMPUTED_VALUE"""),0.0)</f>
        <v>0</v>
      </c>
      <c r="L1661" s="250" t="str">
        <f>IFERROR(__xludf.DUMMYFUNCTION("""COMPUTED_VALUE"""),"")</f>
        <v/>
      </c>
      <c r="M1661" s="250" t="str">
        <f>IFERROR(__xludf.DUMMYFUNCTION("""COMPUTED_VALUE"""),"")</f>
        <v/>
      </c>
      <c r="N1661" s="250" t="str">
        <f>IFERROR(__xludf.DUMMYFUNCTION("""COMPUTED_VALUE"""),"")</f>
        <v/>
      </c>
      <c r="O1661" s="250" t="str">
        <f>IFERROR(__xludf.DUMMYFUNCTION("""COMPUTED_VALUE"""),"")</f>
        <v/>
      </c>
      <c r="P1661" s="250" t="str">
        <f>IFERROR(__xludf.DUMMYFUNCTION("""COMPUTED_VALUE"""),"")</f>
        <v/>
      </c>
      <c r="Q1661" s="250" t="str">
        <f>IFERROR(__xludf.DUMMYFUNCTION("""COMPUTED_VALUE"""),"")</f>
        <v/>
      </c>
      <c r="R1661" s="250" t="str">
        <f>IFERROR(__xludf.DUMMYFUNCTION("""COMPUTED_VALUE"""),"")</f>
        <v/>
      </c>
      <c r="U1661" s="250" t="str">
        <f>IFERROR(__xludf.DUMMYFUNCTION("""COMPUTED_VALUE"""),"#N/A")</f>
        <v>#N/A</v>
      </c>
      <c r="V1661" s="250" t="str">
        <f>IFERROR(__xludf.DUMMYFUNCTION("""COMPUTED_VALUE"""),"#N/A")</f>
        <v>#N/A</v>
      </c>
      <c r="W1661" s="250" t="str">
        <f>IFERROR(__xludf.DUMMYFUNCTION("""COMPUTED_VALUE"""),"#N/A")</f>
        <v>#N/A</v>
      </c>
      <c r="X1661" t="b">
        <f t="shared" ref="X1661:Z1661" si="3298">ISBLANK(K1661)</f>
        <v>1</v>
      </c>
      <c r="Y1661" t="b">
        <f t="shared" si="3298"/>
        <v>0</v>
      </c>
      <c r="Z1661" t="b">
        <f t="shared" si="3298"/>
        <v>0</v>
      </c>
      <c r="AA1661">
        <f t="shared" ref="AA1661:AC1661" si="3299">IF(X1661=FALSE,1,0)</f>
        <v>0</v>
      </c>
      <c r="AB1661">
        <f t="shared" si="3299"/>
        <v>1</v>
      </c>
      <c r="AC1661">
        <f t="shared" si="3299"/>
        <v>1</v>
      </c>
      <c r="AD1661">
        <f t="shared" si="6"/>
        <v>2</v>
      </c>
      <c r="AE1661">
        <f t="shared" si="7"/>
        <v>1</v>
      </c>
    </row>
    <row r="1662">
      <c r="B1662" t="str">
        <f>IFERROR(__xludf.DUMMYFUNCTION("""COMPUTED_VALUE"""),"")</f>
        <v/>
      </c>
      <c r="C1662" t="str">
        <f>IFERROR(__xludf.DUMMYFUNCTION("""COMPUTED_VALUE"""),"")</f>
        <v/>
      </c>
      <c r="D1662" t="str">
        <f>IFERROR(__xludf.DUMMYFUNCTION("""COMPUTED_VALUE"""),"")</f>
        <v/>
      </c>
      <c r="E1662" t="str">
        <f>IFERROR(__xludf.DUMMYFUNCTION("""COMPUTED_VALUE"""),"")</f>
        <v/>
      </c>
      <c r="F1662" t="str">
        <f>IFERROR(__xludf.DUMMYFUNCTION("""COMPUTED_VALUE"""),"")</f>
        <v/>
      </c>
      <c r="G1662" t="str">
        <f>IFERROR(__xludf.DUMMYFUNCTION("""COMPUTED_VALUE"""),"")</f>
        <v/>
      </c>
      <c r="H1662" t="str">
        <f>IFERROR(__xludf.DUMMYFUNCTION("""COMPUTED_VALUE"""),"")</f>
        <v/>
      </c>
      <c r="I1662" t="str">
        <f>IFERROR(__xludf.DUMMYFUNCTION("""COMPUTED_VALUE"""),"")</f>
        <v/>
      </c>
      <c r="J1662">
        <f>IFERROR(__xludf.DUMMYFUNCTION("""COMPUTED_VALUE"""),0.0)</f>
        <v>0</v>
      </c>
      <c r="L1662" s="250" t="str">
        <f>IFERROR(__xludf.DUMMYFUNCTION("""COMPUTED_VALUE"""),"")</f>
        <v/>
      </c>
      <c r="M1662" s="250" t="str">
        <f>IFERROR(__xludf.DUMMYFUNCTION("""COMPUTED_VALUE"""),"")</f>
        <v/>
      </c>
      <c r="N1662" s="250" t="str">
        <f>IFERROR(__xludf.DUMMYFUNCTION("""COMPUTED_VALUE"""),"")</f>
        <v/>
      </c>
      <c r="O1662" s="250" t="str">
        <f>IFERROR(__xludf.DUMMYFUNCTION("""COMPUTED_VALUE"""),"")</f>
        <v/>
      </c>
      <c r="P1662" s="250" t="str">
        <f>IFERROR(__xludf.DUMMYFUNCTION("""COMPUTED_VALUE"""),"")</f>
        <v/>
      </c>
      <c r="Q1662" s="250" t="str">
        <f>IFERROR(__xludf.DUMMYFUNCTION("""COMPUTED_VALUE"""),"")</f>
        <v/>
      </c>
      <c r="R1662" s="250" t="str">
        <f>IFERROR(__xludf.DUMMYFUNCTION("""COMPUTED_VALUE"""),"")</f>
        <v/>
      </c>
      <c r="U1662" s="250" t="str">
        <f>IFERROR(__xludf.DUMMYFUNCTION("""COMPUTED_VALUE"""),"#N/A")</f>
        <v>#N/A</v>
      </c>
      <c r="V1662" s="250" t="str">
        <f>IFERROR(__xludf.DUMMYFUNCTION("""COMPUTED_VALUE"""),"#N/A")</f>
        <v>#N/A</v>
      </c>
      <c r="W1662" s="250" t="str">
        <f>IFERROR(__xludf.DUMMYFUNCTION("""COMPUTED_VALUE"""),"#N/A")</f>
        <v>#N/A</v>
      </c>
      <c r="X1662" t="b">
        <f t="shared" ref="X1662:Z1662" si="3300">ISBLANK(K1662)</f>
        <v>1</v>
      </c>
      <c r="Y1662" t="b">
        <f t="shared" si="3300"/>
        <v>0</v>
      </c>
      <c r="Z1662" t="b">
        <f t="shared" si="3300"/>
        <v>0</v>
      </c>
      <c r="AA1662">
        <f t="shared" ref="AA1662:AC1662" si="3301">IF(X1662=FALSE,1,0)</f>
        <v>0</v>
      </c>
      <c r="AB1662">
        <f t="shared" si="3301"/>
        <v>1</v>
      </c>
      <c r="AC1662">
        <f t="shared" si="3301"/>
        <v>1</v>
      </c>
      <c r="AD1662">
        <f t="shared" si="6"/>
        <v>2</v>
      </c>
      <c r="AE1662">
        <f t="shared" si="7"/>
        <v>1</v>
      </c>
    </row>
    <row r="1663">
      <c r="B1663" t="str">
        <f>IFERROR(__xludf.DUMMYFUNCTION("""COMPUTED_VALUE"""),"")</f>
        <v/>
      </c>
      <c r="C1663" t="str">
        <f>IFERROR(__xludf.DUMMYFUNCTION("""COMPUTED_VALUE"""),"")</f>
        <v/>
      </c>
      <c r="D1663" t="str">
        <f>IFERROR(__xludf.DUMMYFUNCTION("""COMPUTED_VALUE"""),"")</f>
        <v/>
      </c>
      <c r="E1663" t="str">
        <f>IFERROR(__xludf.DUMMYFUNCTION("""COMPUTED_VALUE"""),"")</f>
        <v/>
      </c>
      <c r="F1663" t="str">
        <f>IFERROR(__xludf.DUMMYFUNCTION("""COMPUTED_VALUE"""),"")</f>
        <v/>
      </c>
      <c r="G1663" t="str">
        <f>IFERROR(__xludf.DUMMYFUNCTION("""COMPUTED_VALUE"""),"")</f>
        <v/>
      </c>
      <c r="H1663" t="str">
        <f>IFERROR(__xludf.DUMMYFUNCTION("""COMPUTED_VALUE"""),"")</f>
        <v/>
      </c>
      <c r="I1663" t="str">
        <f>IFERROR(__xludf.DUMMYFUNCTION("""COMPUTED_VALUE"""),"")</f>
        <v/>
      </c>
      <c r="J1663">
        <f>IFERROR(__xludf.DUMMYFUNCTION("""COMPUTED_VALUE"""),0.0)</f>
        <v>0</v>
      </c>
      <c r="L1663" s="250" t="str">
        <f>IFERROR(__xludf.DUMMYFUNCTION("""COMPUTED_VALUE"""),"")</f>
        <v/>
      </c>
      <c r="M1663" s="250" t="str">
        <f>IFERROR(__xludf.DUMMYFUNCTION("""COMPUTED_VALUE"""),"")</f>
        <v/>
      </c>
      <c r="N1663" s="250" t="str">
        <f>IFERROR(__xludf.DUMMYFUNCTION("""COMPUTED_VALUE"""),"")</f>
        <v/>
      </c>
      <c r="O1663" s="250" t="str">
        <f>IFERROR(__xludf.DUMMYFUNCTION("""COMPUTED_VALUE"""),"")</f>
        <v/>
      </c>
      <c r="P1663" s="250" t="str">
        <f>IFERROR(__xludf.DUMMYFUNCTION("""COMPUTED_VALUE"""),"")</f>
        <v/>
      </c>
      <c r="Q1663" s="250" t="str">
        <f>IFERROR(__xludf.DUMMYFUNCTION("""COMPUTED_VALUE"""),"")</f>
        <v/>
      </c>
      <c r="R1663" s="250" t="str">
        <f>IFERROR(__xludf.DUMMYFUNCTION("""COMPUTED_VALUE"""),"")</f>
        <v/>
      </c>
      <c r="U1663" s="250" t="str">
        <f>IFERROR(__xludf.DUMMYFUNCTION("""COMPUTED_VALUE"""),"#N/A")</f>
        <v>#N/A</v>
      </c>
      <c r="V1663" s="250" t="str">
        <f>IFERROR(__xludf.DUMMYFUNCTION("""COMPUTED_VALUE"""),"#N/A")</f>
        <v>#N/A</v>
      </c>
      <c r="W1663" s="250" t="str">
        <f>IFERROR(__xludf.DUMMYFUNCTION("""COMPUTED_VALUE"""),"#N/A")</f>
        <v>#N/A</v>
      </c>
      <c r="X1663" t="b">
        <f t="shared" ref="X1663:Z1663" si="3302">ISBLANK(K1663)</f>
        <v>1</v>
      </c>
      <c r="Y1663" t="b">
        <f t="shared" si="3302"/>
        <v>0</v>
      </c>
      <c r="Z1663" t="b">
        <f t="shared" si="3302"/>
        <v>0</v>
      </c>
      <c r="AA1663">
        <f t="shared" ref="AA1663:AC1663" si="3303">IF(X1663=FALSE,1,0)</f>
        <v>0</v>
      </c>
      <c r="AB1663">
        <f t="shared" si="3303"/>
        <v>1</v>
      </c>
      <c r="AC1663">
        <f t="shared" si="3303"/>
        <v>1</v>
      </c>
      <c r="AD1663">
        <f t="shared" si="6"/>
        <v>2</v>
      </c>
      <c r="AE1663">
        <f t="shared" si="7"/>
        <v>1</v>
      </c>
    </row>
    <row r="1664">
      <c r="B1664" t="str">
        <f>IFERROR(__xludf.DUMMYFUNCTION("""COMPUTED_VALUE"""),"")</f>
        <v/>
      </c>
      <c r="C1664" t="str">
        <f>IFERROR(__xludf.DUMMYFUNCTION("""COMPUTED_VALUE"""),"")</f>
        <v/>
      </c>
      <c r="D1664" t="str">
        <f>IFERROR(__xludf.DUMMYFUNCTION("""COMPUTED_VALUE"""),"")</f>
        <v/>
      </c>
      <c r="E1664" t="str">
        <f>IFERROR(__xludf.DUMMYFUNCTION("""COMPUTED_VALUE"""),"")</f>
        <v/>
      </c>
      <c r="F1664" t="str">
        <f>IFERROR(__xludf.DUMMYFUNCTION("""COMPUTED_VALUE"""),"")</f>
        <v/>
      </c>
      <c r="G1664" t="str">
        <f>IFERROR(__xludf.DUMMYFUNCTION("""COMPUTED_VALUE"""),"")</f>
        <v/>
      </c>
      <c r="H1664" t="str">
        <f>IFERROR(__xludf.DUMMYFUNCTION("""COMPUTED_VALUE"""),"")</f>
        <v/>
      </c>
      <c r="I1664" t="str">
        <f>IFERROR(__xludf.DUMMYFUNCTION("""COMPUTED_VALUE"""),"")</f>
        <v/>
      </c>
      <c r="J1664">
        <f>IFERROR(__xludf.DUMMYFUNCTION("""COMPUTED_VALUE"""),0.0)</f>
        <v>0</v>
      </c>
      <c r="L1664" s="250" t="str">
        <f>IFERROR(__xludf.DUMMYFUNCTION("""COMPUTED_VALUE"""),"")</f>
        <v/>
      </c>
      <c r="M1664" s="250" t="str">
        <f>IFERROR(__xludf.DUMMYFUNCTION("""COMPUTED_VALUE"""),"")</f>
        <v/>
      </c>
      <c r="N1664" s="250" t="str">
        <f>IFERROR(__xludf.DUMMYFUNCTION("""COMPUTED_VALUE"""),"")</f>
        <v/>
      </c>
      <c r="O1664" s="250" t="str">
        <f>IFERROR(__xludf.DUMMYFUNCTION("""COMPUTED_VALUE"""),"")</f>
        <v/>
      </c>
      <c r="P1664" s="250" t="str">
        <f>IFERROR(__xludf.DUMMYFUNCTION("""COMPUTED_VALUE"""),"")</f>
        <v/>
      </c>
      <c r="Q1664" s="250" t="str">
        <f>IFERROR(__xludf.DUMMYFUNCTION("""COMPUTED_VALUE"""),"")</f>
        <v/>
      </c>
      <c r="R1664" s="250" t="str">
        <f>IFERROR(__xludf.DUMMYFUNCTION("""COMPUTED_VALUE"""),"")</f>
        <v/>
      </c>
      <c r="U1664" s="250" t="str">
        <f>IFERROR(__xludf.DUMMYFUNCTION("""COMPUTED_VALUE"""),"#N/A")</f>
        <v>#N/A</v>
      </c>
      <c r="V1664" s="250" t="str">
        <f>IFERROR(__xludf.DUMMYFUNCTION("""COMPUTED_VALUE"""),"#N/A")</f>
        <v>#N/A</v>
      </c>
      <c r="W1664" s="250" t="str">
        <f>IFERROR(__xludf.DUMMYFUNCTION("""COMPUTED_VALUE"""),"#N/A")</f>
        <v>#N/A</v>
      </c>
      <c r="X1664" t="b">
        <f t="shared" ref="X1664:Z1664" si="3304">ISBLANK(K1664)</f>
        <v>1</v>
      </c>
      <c r="Y1664" t="b">
        <f t="shared" si="3304"/>
        <v>0</v>
      </c>
      <c r="Z1664" t="b">
        <f t="shared" si="3304"/>
        <v>0</v>
      </c>
      <c r="AA1664">
        <f t="shared" ref="AA1664:AC1664" si="3305">IF(X1664=FALSE,1,0)</f>
        <v>0</v>
      </c>
      <c r="AB1664">
        <f t="shared" si="3305"/>
        <v>1</v>
      </c>
      <c r="AC1664">
        <f t="shared" si="3305"/>
        <v>1</v>
      </c>
      <c r="AD1664">
        <f t="shared" si="6"/>
        <v>2</v>
      </c>
      <c r="AE1664">
        <f t="shared" si="7"/>
        <v>1</v>
      </c>
    </row>
    <row r="1665">
      <c r="B1665" t="str">
        <f>IFERROR(__xludf.DUMMYFUNCTION("""COMPUTED_VALUE"""),"")</f>
        <v/>
      </c>
      <c r="C1665" t="str">
        <f>IFERROR(__xludf.DUMMYFUNCTION("""COMPUTED_VALUE"""),"")</f>
        <v/>
      </c>
      <c r="D1665" t="str">
        <f>IFERROR(__xludf.DUMMYFUNCTION("""COMPUTED_VALUE"""),"")</f>
        <v/>
      </c>
      <c r="E1665" t="str">
        <f>IFERROR(__xludf.DUMMYFUNCTION("""COMPUTED_VALUE"""),"")</f>
        <v/>
      </c>
      <c r="F1665" t="str">
        <f>IFERROR(__xludf.DUMMYFUNCTION("""COMPUTED_VALUE"""),"")</f>
        <v/>
      </c>
      <c r="G1665" t="str">
        <f>IFERROR(__xludf.DUMMYFUNCTION("""COMPUTED_VALUE"""),"")</f>
        <v/>
      </c>
      <c r="H1665" t="str">
        <f>IFERROR(__xludf.DUMMYFUNCTION("""COMPUTED_VALUE"""),"")</f>
        <v/>
      </c>
      <c r="I1665" t="str">
        <f>IFERROR(__xludf.DUMMYFUNCTION("""COMPUTED_VALUE"""),"")</f>
        <v/>
      </c>
      <c r="J1665">
        <f>IFERROR(__xludf.DUMMYFUNCTION("""COMPUTED_VALUE"""),0.0)</f>
        <v>0</v>
      </c>
      <c r="L1665" s="250" t="str">
        <f>IFERROR(__xludf.DUMMYFUNCTION("""COMPUTED_VALUE"""),"")</f>
        <v/>
      </c>
      <c r="M1665" s="250" t="str">
        <f>IFERROR(__xludf.DUMMYFUNCTION("""COMPUTED_VALUE"""),"")</f>
        <v/>
      </c>
      <c r="N1665" s="250" t="str">
        <f>IFERROR(__xludf.DUMMYFUNCTION("""COMPUTED_VALUE"""),"")</f>
        <v/>
      </c>
      <c r="O1665" s="250" t="str">
        <f>IFERROR(__xludf.DUMMYFUNCTION("""COMPUTED_VALUE"""),"")</f>
        <v/>
      </c>
      <c r="P1665" s="250" t="str">
        <f>IFERROR(__xludf.DUMMYFUNCTION("""COMPUTED_VALUE"""),"")</f>
        <v/>
      </c>
      <c r="Q1665" s="250" t="str">
        <f>IFERROR(__xludf.DUMMYFUNCTION("""COMPUTED_VALUE"""),"")</f>
        <v/>
      </c>
      <c r="R1665" s="250" t="str">
        <f>IFERROR(__xludf.DUMMYFUNCTION("""COMPUTED_VALUE"""),"")</f>
        <v/>
      </c>
      <c r="U1665" s="250" t="str">
        <f>IFERROR(__xludf.DUMMYFUNCTION("""COMPUTED_VALUE"""),"#N/A")</f>
        <v>#N/A</v>
      </c>
      <c r="V1665" s="250" t="str">
        <f>IFERROR(__xludf.DUMMYFUNCTION("""COMPUTED_VALUE"""),"#N/A")</f>
        <v>#N/A</v>
      </c>
      <c r="W1665" s="250" t="str">
        <f>IFERROR(__xludf.DUMMYFUNCTION("""COMPUTED_VALUE"""),"#N/A")</f>
        <v>#N/A</v>
      </c>
      <c r="X1665" t="b">
        <f t="shared" ref="X1665:Z1665" si="3306">ISBLANK(K1665)</f>
        <v>1</v>
      </c>
      <c r="Y1665" t="b">
        <f t="shared" si="3306"/>
        <v>0</v>
      </c>
      <c r="Z1665" t="b">
        <f t="shared" si="3306"/>
        <v>0</v>
      </c>
      <c r="AA1665">
        <f t="shared" ref="AA1665:AC1665" si="3307">IF(X1665=FALSE,1,0)</f>
        <v>0</v>
      </c>
      <c r="AB1665">
        <f t="shared" si="3307"/>
        <v>1</v>
      </c>
      <c r="AC1665">
        <f t="shared" si="3307"/>
        <v>1</v>
      </c>
      <c r="AD1665">
        <f t="shared" si="6"/>
        <v>2</v>
      </c>
      <c r="AE1665">
        <f t="shared" si="7"/>
        <v>1</v>
      </c>
    </row>
    <row r="1666">
      <c r="B1666" t="str">
        <f>IFERROR(__xludf.DUMMYFUNCTION("""COMPUTED_VALUE"""),"")</f>
        <v/>
      </c>
      <c r="C1666" t="str">
        <f>IFERROR(__xludf.DUMMYFUNCTION("""COMPUTED_VALUE"""),"")</f>
        <v/>
      </c>
      <c r="D1666" t="str">
        <f>IFERROR(__xludf.DUMMYFUNCTION("""COMPUTED_VALUE"""),"")</f>
        <v/>
      </c>
      <c r="E1666" t="str">
        <f>IFERROR(__xludf.DUMMYFUNCTION("""COMPUTED_VALUE"""),"")</f>
        <v/>
      </c>
      <c r="F1666" t="str">
        <f>IFERROR(__xludf.DUMMYFUNCTION("""COMPUTED_VALUE"""),"")</f>
        <v/>
      </c>
      <c r="G1666" t="str">
        <f>IFERROR(__xludf.DUMMYFUNCTION("""COMPUTED_VALUE"""),"")</f>
        <v/>
      </c>
      <c r="H1666" t="str">
        <f>IFERROR(__xludf.DUMMYFUNCTION("""COMPUTED_VALUE"""),"")</f>
        <v/>
      </c>
      <c r="I1666" t="str">
        <f>IFERROR(__xludf.DUMMYFUNCTION("""COMPUTED_VALUE"""),"")</f>
        <v/>
      </c>
      <c r="J1666">
        <f>IFERROR(__xludf.DUMMYFUNCTION("""COMPUTED_VALUE"""),0.0)</f>
        <v>0</v>
      </c>
      <c r="L1666" s="250" t="str">
        <f>IFERROR(__xludf.DUMMYFUNCTION("""COMPUTED_VALUE"""),"")</f>
        <v/>
      </c>
      <c r="M1666" s="250" t="str">
        <f>IFERROR(__xludf.DUMMYFUNCTION("""COMPUTED_VALUE"""),"")</f>
        <v/>
      </c>
      <c r="N1666" s="250" t="str">
        <f>IFERROR(__xludf.DUMMYFUNCTION("""COMPUTED_VALUE"""),"")</f>
        <v/>
      </c>
      <c r="O1666" s="250" t="str">
        <f>IFERROR(__xludf.DUMMYFUNCTION("""COMPUTED_VALUE"""),"")</f>
        <v/>
      </c>
      <c r="P1666" s="250" t="str">
        <f>IFERROR(__xludf.DUMMYFUNCTION("""COMPUTED_VALUE"""),"")</f>
        <v/>
      </c>
      <c r="Q1666" s="250" t="str">
        <f>IFERROR(__xludf.DUMMYFUNCTION("""COMPUTED_VALUE"""),"")</f>
        <v/>
      </c>
      <c r="R1666" s="250" t="str">
        <f>IFERROR(__xludf.DUMMYFUNCTION("""COMPUTED_VALUE"""),"")</f>
        <v/>
      </c>
      <c r="U1666" s="250" t="str">
        <f>IFERROR(__xludf.DUMMYFUNCTION("""COMPUTED_VALUE"""),"#N/A")</f>
        <v>#N/A</v>
      </c>
      <c r="V1666" s="250" t="str">
        <f>IFERROR(__xludf.DUMMYFUNCTION("""COMPUTED_VALUE"""),"#N/A")</f>
        <v>#N/A</v>
      </c>
      <c r="W1666" s="250" t="str">
        <f>IFERROR(__xludf.DUMMYFUNCTION("""COMPUTED_VALUE"""),"#N/A")</f>
        <v>#N/A</v>
      </c>
      <c r="X1666" t="b">
        <f t="shared" ref="X1666:Z1666" si="3308">ISBLANK(K1666)</f>
        <v>1</v>
      </c>
      <c r="Y1666" t="b">
        <f t="shared" si="3308"/>
        <v>0</v>
      </c>
      <c r="Z1666" t="b">
        <f t="shared" si="3308"/>
        <v>0</v>
      </c>
      <c r="AA1666">
        <f t="shared" ref="AA1666:AC1666" si="3309">IF(X1666=FALSE,1,0)</f>
        <v>0</v>
      </c>
      <c r="AB1666">
        <f t="shared" si="3309"/>
        <v>1</v>
      </c>
      <c r="AC1666">
        <f t="shared" si="3309"/>
        <v>1</v>
      </c>
      <c r="AD1666">
        <f t="shared" si="6"/>
        <v>2</v>
      </c>
      <c r="AE1666">
        <f t="shared" si="7"/>
        <v>1</v>
      </c>
    </row>
    <row r="1667">
      <c r="B1667" t="str">
        <f>IFERROR(__xludf.DUMMYFUNCTION("""COMPUTED_VALUE"""),"")</f>
        <v/>
      </c>
      <c r="C1667" t="str">
        <f>IFERROR(__xludf.DUMMYFUNCTION("""COMPUTED_VALUE"""),"")</f>
        <v/>
      </c>
      <c r="D1667" t="str">
        <f>IFERROR(__xludf.DUMMYFUNCTION("""COMPUTED_VALUE"""),"")</f>
        <v/>
      </c>
      <c r="E1667" t="str">
        <f>IFERROR(__xludf.DUMMYFUNCTION("""COMPUTED_VALUE"""),"")</f>
        <v/>
      </c>
      <c r="F1667" t="str">
        <f>IFERROR(__xludf.DUMMYFUNCTION("""COMPUTED_VALUE"""),"")</f>
        <v/>
      </c>
      <c r="G1667" t="str">
        <f>IFERROR(__xludf.DUMMYFUNCTION("""COMPUTED_VALUE"""),"")</f>
        <v/>
      </c>
      <c r="H1667" t="str">
        <f>IFERROR(__xludf.DUMMYFUNCTION("""COMPUTED_VALUE"""),"")</f>
        <v/>
      </c>
      <c r="I1667" t="str">
        <f>IFERROR(__xludf.DUMMYFUNCTION("""COMPUTED_VALUE"""),"")</f>
        <v/>
      </c>
      <c r="J1667">
        <f>IFERROR(__xludf.DUMMYFUNCTION("""COMPUTED_VALUE"""),0.0)</f>
        <v>0</v>
      </c>
      <c r="L1667" s="250" t="str">
        <f>IFERROR(__xludf.DUMMYFUNCTION("""COMPUTED_VALUE"""),"")</f>
        <v/>
      </c>
      <c r="M1667" s="250" t="str">
        <f>IFERROR(__xludf.DUMMYFUNCTION("""COMPUTED_VALUE"""),"")</f>
        <v/>
      </c>
      <c r="N1667" s="250" t="str">
        <f>IFERROR(__xludf.DUMMYFUNCTION("""COMPUTED_VALUE"""),"")</f>
        <v/>
      </c>
      <c r="O1667" s="250" t="str">
        <f>IFERROR(__xludf.DUMMYFUNCTION("""COMPUTED_VALUE"""),"")</f>
        <v/>
      </c>
      <c r="P1667" s="250" t="str">
        <f>IFERROR(__xludf.DUMMYFUNCTION("""COMPUTED_VALUE"""),"")</f>
        <v/>
      </c>
      <c r="Q1667" s="250" t="str">
        <f>IFERROR(__xludf.DUMMYFUNCTION("""COMPUTED_VALUE"""),"")</f>
        <v/>
      </c>
      <c r="R1667" s="250" t="str">
        <f>IFERROR(__xludf.DUMMYFUNCTION("""COMPUTED_VALUE"""),"")</f>
        <v/>
      </c>
      <c r="U1667" s="250" t="str">
        <f>IFERROR(__xludf.DUMMYFUNCTION("""COMPUTED_VALUE"""),"#N/A")</f>
        <v>#N/A</v>
      </c>
      <c r="V1667" s="250" t="str">
        <f>IFERROR(__xludf.DUMMYFUNCTION("""COMPUTED_VALUE"""),"#N/A")</f>
        <v>#N/A</v>
      </c>
      <c r="W1667" s="250" t="str">
        <f>IFERROR(__xludf.DUMMYFUNCTION("""COMPUTED_VALUE"""),"#N/A")</f>
        <v>#N/A</v>
      </c>
      <c r="X1667" t="b">
        <f t="shared" ref="X1667:Z1667" si="3310">ISBLANK(K1667)</f>
        <v>1</v>
      </c>
      <c r="Y1667" t="b">
        <f t="shared" si="3310"/>
        <v>0</v>
      </c>
      <c r="Z1667" t="b">
        <f t="shared" si="3310"/>
        <v>0</v>
      </c>
      <c r="AA1667">
        <f t="shared" ref="AA1667:AC1667" si="3311">IF(X1667=FALSE,1,0)</f>
        <v>0</v>
      </c>
      <c r="AB1667">
        <f t="shared" si="3311"/>
        <v>1</v>
      </c>
      <c r="AC1667">
        <f t="shared" si="3311"/>
        <v>1</v>
      </c>
      <c r="AD1667">
        <f t="shared" si="6"/>
        <v>2</v>
      </c>
      <c r="AE1667">
        <f t="shared" si="7"/>
        <v>1</v>
      </c>
    </row>
    <row r="1668">
      <c r="B1668" t="str">
        <f>IFERROR(__xludf.DUMMYFUNCTION("""COMPUTED_VALUE"""),"")</f>
        <v/>
      </c>
      <c r="C1668" t="str">
        <f>IFERROR(__xludf.DUMMYFUNCTION("""COMPUTED_VALUE"""),"")</f>
        <v/>
      </c>
      <c r="D1668" t="str">
        <f>IFERROR(__xludf.DUMMYFUNCTION("""COMPUTED_VALUE"""),"")</f>
        <v/>
      </c>
      <c r="E1668" t="str">
        <f>IFERROR(__xludf.DUMMYFUNCTION("""COMPUTED_VALUE"""),"")</f>
        <v/>
      </c>
      <c r="F1668" t="str">
        <f>IFERROR(__xludf.DUMMYFUNCTION("""COMPUTED_VALUE"""),"")</f>
        <v/>
      </c>
      <c r="G1668" t="str">
        <f>IFERROR(__xludf.DUMMYFUNCTION("""COMPUTED_VALUE"""),"")</f>
        <v/>
      </c>
      <c r="H1668" t="str">
        <f>IFERROR(__xludf.DUMMYFUNCTION("""COMPUTED_VALUE"""),"")</f>
        <v/>
      </c>
      <c r="I1668" t="str">
        <f>IFERROR(__xludf.DUMMYFUNCTION("""COMPUTED_VALUE"""),"")</f>
        <v/>
      </c>
      <c r="J1668">
        <f>IFERROR(__xludf.DUMMYFUNCTION("""COMPUTED_VALUE"""),0.0)</f>
        <v>0</v>
      </c>
      <c r="L1668" s="250" t="str">
        <f>IFERROR(__xludf.DUMMYFUNCTION("""COMPUTED_VALUE"""),"")</f>
        <v/>
      </c>
      <c r="M1668" s="250" t="str">
        <f>IFERROR(__xludf.DUMMYFUNCTION("""COMPUTED_VALUE"""),"")</f>
        <v/>
      </c>
      <c r="N1668" s="250" t="str">
        <f>IFERROR(__xludf.DUMMYFUNCTION("""COMPUTED_VALUE"""),"")</f>
        <v/>
      </c>
      <c r="O1668" s="250" t="str">
        <f>IFERROR(__xludf.DUMMYFUNCTION("""COMPUTED_VALUE"""),"")</f>
        <v/>
      </c>
      <c r="P1668" s="250" t="str">
        <f>IFERROR(__xludf.DUMMYFUNCTION("""COMPUTED_VALUE"""),"")</f>
        <v/>
      </c>
      <c r="Q1668" s="250" t="str">
        <f>IFERROR(__xludf.DUMMYFUNCTION("""COMPUTED_VALUE"""),"")</f>
        <v/>
      </c>
      <c r="R1668" s="250" t="str">
        <f>IFERROR(__xludf.DUMMYFUNCTION("""COMPUTED_VALUE"""),"")</f>
        <v/>
      </c>
      <c r="U1668" s="250" t="str">
        <f>IFERROR(__xludf.DUMMYFUNCTION("""COMPUTED_VALUE"""),"#N/A")</f>
        <v>#N/A</v>
      </c>
      <c r="V1668" s="250" t="str">
        <f>IFERROR(__xludf.DUMMYFUNCTION("""COMPUTED_VALUE"""),"#N/A")</f>
        <v>#N/A</v>
      </c>
      <c r="W1668" s="250" t="str">
        <f>IFERROR(__xludf.DUMMYFUNCTION("""COMPUTED_VALUE"""),"#N/A")</f>
        <v>#N/A</v>
      </c>
      <c r="X1668" t="b">
        <f t="shared" ref="X1668:Z1668" si="3312">ISBLANK(K1668)</f>
        <v>1</v>
      </c>
      <c r="Y1668" t="b">
        <f t="shared" si="3312"/>
        <v>0</v>
      </c>
      <c r="Z1668" t="b">
        <f t="shared" si="3312"/>
        <v>0</v>
      </c>
      <c r="AA1668">
        <f t="shared" ref="AA1668:AC1668" si="3313">IF(X1668=FALSE,1,0)</f>
        <v>0</v>
      </c>
      <c r="AB1668">
        <f t="shared" si="3313"/>
        <v>1</v>
      </c>
      <c r="AC1668">
        <f t="shared" si="3313"/>
        <v>1</v>
      </c>
      <c r="AD1668">
        <f t="shared" si="6"/>
        <v>2</v>
      </c>
      <c r="AE1668">
        <f t="shared" si="7"/>
        <v>1</v>
      </c>
    </row>
    <row r="1669">
      <c r="B1669" t="str">
        <f>IFERROR(__xludf.DUMMYFUNCTION("""COMPUTED_VALUE"""),"")</f>
        <v/>
      </c>
      <c r="C1669" t="str">
        <f>IFERROR(__xludf.DUMMYFUNCTION("""COMPUTED_VALUE"""),"")</f>
        <v/>
      </c>
      <c r="D1669" t="str">
        <f>IFERROR(__xludf.DUMMYFUNCTION("""COMPUTED_VALUE"""),"")</f>
        <v/>
      </c>
      <c r="E1669" t="str">
        <f>IFERROR(__xludf.DUMMYFUNCTION("""COMPUTED_VALUE"""),"")</f>
        <v/>
      </c>
      <c r="F1669" t="str">
        <f>IFERROR(__xludf.DUMMYFUNCTION("""COMPUTED_VALUE"""),"")</f>
        <v/>
      </c>
      <c r="G1669" t="str">
        <f>IFERROR(__xludf.DUMMYFUNCTION("""COMPUTED_VALUE"""),"")</f>
        <v/>
      </c>
      <c r="H1669" t="str">
        <f>IFERROR(__xludf.DUMMYFUNCTION("""COMPUTED_VALUE"""),"")</f>
        <v/>
      </c>
      <c r="I1669" t="str">
        <f>IFERROR(__xludf.DUMMYFUNCTION("""COMPUTED_VALUE"""),"")</f>
        <v/>
      </c>
      <c r="J1669">
        <f>IFERROR(__xludf.DUMMYFUNCTION("""COMPUTED_VALUE"""),0.0)</f>
        <v>0</v>
      </c>
      <c r="L1669" s="250" t="str">
        <f>IFERROR(__xludf.DUMMYFUNCTION("""COMPUTED_VALUE"""),"")</f>
        <v/>
      </c>
      <c r="M1669" s="250" t="str">
        <f>IFERROR(__xludf.DUMMYFUNCTION("""COMPUTED_VALUE"""),"")</f>
        <v/>
      </c>
      <c r="N1669" s="250" t="str">
        <f>IFERROR(__xludf.DUMMYFUNCTION("""COMPUTED_VALUE"""),"")</f>
        <v/>
      </c>
      <c r="O1669" s="250" t="str">
        <f>IFERROR(__xludf.DUMMYFUNCTION("""COMPUTED_VALUE"""),"")</f>
        <v/>
      </c>
      <c r="P1669" s="250" t="str">
        <f>IFERROR(__xludf.DUMMYFUNCTION("""COMPUTED_VALUE"""),"")</f>
        <v/>
      </c>
      <c r="Q1669" s="250" t="str">
        <f>IFERROR(__xludf.DUMMYFUNCTION("""COMPUTED_VALUE"""),"")</f>
        <v/>
      </c>
      <c r="R1669" s="250" t="str">
        <f>IFERROR(__xludf.DUMMYFUNCTION("""COMPUTED_VALUE"""),"")</f>
        <v/>
      </c>
      <c r="U1669" s="250" t="str">
        <f>IFERROR(__xludf.DUMMYFUNCTION("""COMPUTED_VALUE"""),"#N/A")</f>
        <v>#N/A</v>
      </c>
      <c r="V1669" s="250" t="str">
        <f>IFERROR(__xludf.DUMMYFUNCTION("""COMPUTED_VALUE"""),"#N/A")</f>
        <v>#N/A</v>
      </c>
      <c r="W1669" s="250" t="str">
        <f>IFERROR(__xludf.DUMMYFUNCTION("""COMPUTED_VALUE"""),"#N/A")</f>
        <v>#N/A</v>
      </c>
      <c r="X1669" t="b">
        <f t="shared" ref="X1669:Z1669" si="3314">ISBLANK(K1669)</f>
        <v>1</v>
      </c>
      <c r="Y1669" t="b">
        <f t="shared" si="3314"/>
        <v>0</v>
      </c>
      <c r="Z1669" t="b">
        <f t="shared" si="3314"/>
        <v>0</v>
      </c>
      <c r="AA1669">
        <f t="shared" ref="AA1669:AC1669" si="3315">IF(X1669=FALSE,1,0)</f>
        <v>0</v>
      </c>
      <c r="AB1669">
        <f t="shared" si="3315"/>
        <v>1</v>
      </c>
      <c r="AC1669">
        <f t="shared" si="3315"/>
        <v>1</v>
      </c>
      <c r="AD1669">
        <f t="shared" si="6"/>
        <v>2</v>
      </c>
      <c r="AE1669">
        <f t="shared" si="7"/>
        <v>1</v>
      </c>
    </row>
    <row r="1670">
      <c r="B1670" t="str">
        <f>IFERROR(__xludf.DUMMYFUNCTION("""COMPUTED_VALUE"""),"")</f>
        <v/>
      </c>
      <c r="C1670" t="str">
        <f>IFERROR(__xludf.DUMMYFUNCTION("""COMPUTED_VALUE"""),"")</f>
        <v/>
      </c>
      <c r="D1670" t="str">
        <f>IFERROR(__xludf.DUMMYFUNCTION("""COMPUTED_VALUE"""),"")</f>
        <v/>
      </c>
      <c r="E1670" t="str">
        <f>IFERROR(__xludf.DUMMYFUNCTION("""COMPUTED_VALUE"""),"")</f>
        <v/>
      </c>
      <c r="F1670" t="str">
        <f>IFERROR(__xludf.DUMMYFUNCTION("""COMPUTED_VALUE"""),"")</f>
        <v/>
      </c>
      <c r="G1670" t="str">
        <f>IFERROR(__xludf.DUMMYFUNCTION("""COMPUTED_VALUE"""),"")</f>
        <v/>
      </c>
      <c r="H1670" t="str">
        <f>IFERROR(__xludf.DUMMYFUNCTION("""COMPUTED_VALUE"""),"")</f>
        <v/>
      </c>
      <c r="I1670" t="str">
        <f>IFERROR(__xludf.DUMMYFUNCTION("""COMPUTED_VALUE"""),"")</f>
        <v/>
      </c>
      <c r="J1670">
        <f>IFERROR(__xludf.DUMMYFUNCTION("""COMPUTED_VALUE"""),0.0)</f>
        <v>0</v>
      </c>
      <c r="L1670" s="250" t="str">
        <f>IFERROR(__xludf.DUMMYFUNCTION("""COMPUTED_VALUE"""),"")</f>
        <v/>
      </c>
      <c r="M1670" s="250" t="str">
        <f>IFERROR(__xludf.DUMMYFUNCTION("""COMPUTED_VALUE"""),"")</f>
        <v/>
      </c>
      <c r="N1670" s="250" t="str">
        <f>IFERROR(__xludf.DUMMYFUNCTION("""COMPUTED_VALUE"""),"")</f>
        <v/>
      </c>
      <c r="O1670" s="250" t="str">
        <f>IFERROR(__xludf.DUMMYFUNCTION("""COMPUTED_VALUE"""),"")</f>
        <v/>
      </c>
      <c r="P1670" s="250" t="str">
        <f>IFERROR(__xludf.DUMMYFUNCTION("""COMPUTED_VALUE"""),"")</f>
        <v/>
      </c>
      <c r="Q1670" s="250" t="str">
        <f>IFERROR(__xludf.DUMMYFUNCTION("""COMPUTED_VALUE"""),"")</f>
        <v/>
      </c>
      <c r="R1670" s="250" t="str">
        <f>IFERROR(__xludf.DUMMYFUNCTION("""COMPUTED_VALUE"""),"")</f>
        <v/>
      </c>
      <c r="U1670" s="250" t="str">
        <f>IFERROR(__xludf.DUMMYFUNCTION("""COMPUTED_VALUE"""),"#N/A")</f>
        <v>#N/A</v>
      </c>
      <c r="V1670" s="250" t="str">
        <f>IFERROR(__xludf.DUMMYFUNCTION("""COMPUTED_VALUE"""),"#N/A")</f>
        <v>#N/A</v>
      </c>
      <c r="W1670" s="250" t="str">
        <f>IFERROR(__xludf.DUMMYFUNCTION("""COMPUTED_VALUE"""),"#N/A")</f>
        <v>#N/A</v>
      </c>
      <c r="X1670" t="b">
        <f t="shared" ref="X1670:Z1670" si="3316">ISBLANK(K1670)</f>
        <v>1</v>
      </c>
      <c r="Y1670" t="b">
        <f t="shared" si="3316"/>
        <v>0</v>
      </c>
      <c r="Z1670" t="b">
        <f t="shared" si="3316"/>
        <v>0</v>
      </c>
      <c r="AA1670">
        <f t="shared" ref="AA1670:AC1670" si="3317">IF(X1670=FALSE,1,0)</f>
        <v>0</v>
      </c>
      <c r="AB1670">
        <f t="shared" si="3317"/>
        <v>1</v>
      </c>
      <c r="AC1670">
        <f t="shared" si="3317"/>
        <v>1</v>
      </c>
      <c r="AD1670">
        <f t="shared" si="6"/>
        <v>2</v>
      </c>
      <c r="AE1670">
        <f t="shared" si="7"/>
        <v>1</v>
      </c>
    </row>
    <row r="1671">
      <c r="B1671" t="str">
        <f>IFERROR(__xludf.DUMMYFUNCTION("""COMPUTED_VALUE"""),"")</f>
        <v/>
      </c>
      <c r="C1671" t="str">
        <f>IFERROR(__xludf.DUMMYFUNCTION("""COMPUTED_VALUE"""),"")</f>
        <v/>
      </c>
      <c r="D1671" t="str">
        <f>IFERROR(__xludf.DUMMYFUNCTION("""COMPUTED_VALUE"""),"")</f>
        <v/>
      </c>
      <c r="E1671" t="str">
        <f>IFERROR(__xludf.DUMMYFUNCTION("""COMPUTED_VALUE"""),"")</f>
        <v/>
      </c>
      <c r="F1671" t="str">
        <f>IFERROR(__xludf.DUMMYFUNCTION("""COMPUTED_VALUE"""),"")</f>
        <v/>
      </c>
      <c r="G1671" t="str">
        <f>IFERROR(__xludf.DUMMYFUNCTION("""COMPUTED_VALUE"""),"")</f>
        <v/>
      </c>
      <c r="H1671" t="str">
        <f>IFERROR(__xludf.DUMMYFUNCTION("""COMPUTED_VALUE"""),"")</f>
        <v/>
      </c>
      <c r="I1671" t="str">
        <f>IFERROR(__xludf.DUMMYFUNCTION("""COMPUTED_VALUE"""),"")</f>
        <v/>
      </c>
      <c r="J1671">
        <f>IFERROR(__xludf.DUMMYFUNCTION("""COMPUTED_VALUE"""),0.0)</f>
        <v>0</v>
      </c>
      <c r="L1671" s="250" t="str">
        <f>IFERROR(__xludf.DUMMYFUNCTION("""COMPUTED_VALUE"""),"")</f>
        <v/>
      </c>
      <c r="M1671" s="250" t="str">
        <f>IFERROR(__xludf.DUMMYFUNCTION("""COMPUTED_VALUE"""),"")</f>
        <v/>
      </c>
      <c r="N1671" s="250" t="str">
        <f>IFERROR(__xludf.DUMMYFUNCTION("""COMPUTED_VALUE"""),"")</f>
        <v/>
      </c>
      <c r="O1671" s="250" t="str">
        <f>IFERROR(__xludf.DUMMYFUNCTION("""COMPUTED_VALUE"""),"")</f>
        <v/>
      </c>
      <c r="P1671" s="250" t="str">
        <f>IFERROR(__xludf.DUMMYFUNCTION("""COMPUTED_VALUE"""),"")</f>
        <v/>
      </c>
      <c r="Q1671" s="250" t="str">
        <f>IFERROR(__xludf.DUMMYFUNCTION("""COMPUTED_VALUE"""),"")</f>
        <v/>
      </c>
      <c r="R1671" s="250" t="str">
        <f>IFERROR(__xludf.DUMMYFUNCTION("""COMPUTED_VALUE"""),"")</f>
        <v/>
      </c>
      <c r="U1671" s="250" t="str">
        <f>IFERROR(__xludf.DUMMYFUNCTION("""COMPUTED_VALUE"""),"#N/A")</f>
        <v>#N/A</v>
      </c>
      <c r="V1671" s="250" t="str">
        <f>IFERROR(__xludf.DUMMYFUNCTION("""COMPUTED_VALUE"""),"#N/A")</f>
        <v>#N/A</v>
      </c>
      <c r="W1671" s="250" t="str">
        <f>IFERROR(__xludf.DUMMYFUNCTION("""COMPUTED_VALUE"""),"#N/A")</f>
        <v>#N/A</v>
      </c>
      <c r="X1671" t="b">
        <f t="shared" ref="X1671:Z1671" si="3318">ISBLANK(K1671)</f>
        <v>1</v>
      </c>
      <c r="Y1671" t="b">
        <f t="shared" si="3318"/>
        <v>0</v>
      </c>
      <c r="Z1671" t="b">
        <f t="shared" si="3318"/>
        <v>0</v>
      </c>
      <c r="AA1671">
        <f t="shared" ref="AA1671:AC1671" si="3319">IF(X1671=FALSE,1,0)</f>
        <v>0</v>
      </c>
      <c r="AB1671">
        <f t="shared" si="3319"/>
        <v>1</v>
      </c>
      <c r="AC1671">
        <f t="shared" si="3319"/>
        <v>1</v>
      </c>
      <c r="AD1671">
        <f t="shared" si="6"/>
        <v>2</v>
      </c>
      <c r="AE1671">
        <f t="shared" si="7"/>
        <v>1</v>
      </c>
    </row>
    <row r="1672">
      <c r="B1672" t="str">
        <f>IFERROR(__xludf.DUMMYFUNCTION("""COMPUTED_VALUE"""),"")</f>
        <v/>
      </c>
      <c r="C1672" t="str">
        <f>IFERROR(__xludf.DUMMYFUNCTION("""COMPUTED_VALUE"""),"")</f>
        <v/>
      </c>
      <c r="D1672" t="str">
        <f>IFERROR(__xludf.DUMMYFUNCTION("""COMPUTED_VALUE"""),"")</f>
        <v/>
      </c>
      <c r="E1672" t="str">
        <f>IFERROR(__xludf.DUMMYFUNCTION("""COMPUTED_VALUE"""),"")</f>
        <v/>
      </c>
      <c r="F1672" t="str">
        <f>IFERROR(__xludf.DUMMYFUNCTION("""COMPUTED_VALUE"""),"")</f>
        <v/>
      </c>
      <c r="G1672" t="str">
        <f>IFERROR(__xludf.DUMMYFUNCTION("""COMPUTED_VALUE"""),"")</f>
        <v/>
      </c>
      <c r="H1672" t="str">
        <f>IFERROR(__xludf.DUMMYFUNCTION("""COMPUTED_VALUE"""),"")</f>
        <v/>
      </c>
      <c r="I1672" t="str">
        <f>IFERROR(__xludf.DUMMYFUNCTION("""COMPUTED_VALUE"""),"")</f>
        <v/>
      </c>
      <c r="J1672">
        <f>IFERROR(__xludf.DUMMYFUNCTION("""COMPUTED_VALUE"""),0.0)</f>
        <v>0</v>
      </c>
      <c r="L1672" s="250" t="str">
        <f>IFERROR(__xludf.DUMMYFUNCTION("""COMPUTED_VALUE"""),"")</f>
        <v/>
      </c>
      <c r="M1672" s="250" t="str">
        <f>IFERROR(__xludf.DUMMYFUNCTION("""COMPUTED_VALUE"""),"")</f>
        <v/>
      </c>
      <c r="N1672" s="250" t="str">
        <f>IFERROR(__xludf.DUMMYFUNCTION("""COMPUTED_VALUE"""),"")</f>
        <v/>
      </c>
      <c r="O1672" s="250" t="str">
        <f>IFERROR(__xludf.DUMMYFUNCTION("""COMPUTED_VALUE"""),"")</f>
        <v/>
      </c>
      <c r="P1672" s="250" t="str">
        <f>IFERROR(__xludf.DUMMYFUNCTION("""COMPUTED_VALUE"""),"")</f>
        <v/>
      </c>
      <c r="Q1672" s="250" t="str">
        <f>IFERROR(__xludf.DUMMYFUNCTION("""COMPUTED_VALUE"""),"")</f>
        <v/>
      </c>
      <c r="R1672" s="250" t="str">
        <f>IFERROR(__xludf.DUMMYFUNCTION("""COMPUTED_VALUE"""),"")</f>
        <v/>
      </c>
      <c r="U1672" s="250" t="str">
        <f>IFERROR(__xludf.DUMMYFUNCTION("""COMPUTED_VALUE"""),"#N/A")</f>
        <v>#N/A</v>
      </c>
      <c r="V1672" s="250" t="str">
        <f>IFERROR(__xludf.DUMMYFUNCTION("""COMPUTED_VALUE"""),"#N/A")</f>
        <v>#N/A</v>
      </c>
      <c r="W1672" s="250" t="str">
        <f>IFERROR(__xludf.DUMMYFUNCTION("""COMPUTED_VALUE"""),"#N/A")</f>
        <v>#N/A</v>
      </c>
      <c r="X1672" t="b">
        <f t="shared" ref="X1672:Z1672" si="3320">ISBLANK(K1672)</f>
        <v>1</v>
      </c>
      <c r="Y1672" t="b">
        <f t="shared" si="3320"/>
        <v>0</v>
      </c>
      <c r="Z1672" t="b">
        <f t="shared" si="3320"/>
        <v>0</v>
      </c>
      <c r="AA1672">
        <f t="shared" ref="AA1672:AC1672" si="3321">IF(X1672=FALSE,1,0)</f>
        <v>0</v>
      </c>
      <c r="AB1672">
        <f t="shared" si="3321"/>
        <v>1</v>
      </c>
      <c r="AC1672">
        <f t="shared" si="3321"/>
        <v>1</v>
      </c>
      <c r="AD1672">
        <f t="shared" si="6"/>
        <v>2</v>
      </c>
      <c r="AE1672">
        <f t="shared" si="7"/>
        <v>1</v>
      </c>
    </row>
    <row r="1673">
      <c r="B1673" t="str">
        <f>IFERROR(__xludf.DUMMYFUNCTION("""COMPUTED_VALUE"""),"")</f>
        <v/>
      </c>
      <c r="C1673" t="str">
        <f>IFERROR(__xludf.DUMMYFUNCTION("""COMPUTED_VALUE"""),"")</f>
        <v/>
      </c>
      <c r="D1673" t="str">
        <f>IFERROR(__xludf.DUMMYFUNCTION("""COMPUTED_VALUE"""),"")</f>
        <v/>
      </c>
      <c r="E1673" t="str">
        <f>IFERROR(__xludf.DUMMYFUNCTION("""COMPUTED_VALUE"""),"")</f>
        <v/>
      </c>
      <c r="F1673" t="str">
        <f>IFERROR(__xludf.DUMMYFUNCTION("""COMPUTED_VALUE"""),"")</f>
        <v/>
      </c>
      <c r="G1673" t="str">
        <f>IFERROR(__xludf.DUMMYFUNCTION("""COMPUTED_VALUE"""),"")</f>
        <v/>
      </c>
      <c r="H1673" t="str">
        <f>IFERROR(__xludf.DUMMYFUNCTION("""COMPUTED_VALUE"""),"")</f>
        <v/>
      </c>
      <c r="I1673" t="str">
        <f>IFERROR(__xludf.DUMMYFUNCTION("""COMPUTED_VALUE"""),"")</f>
        <v/>
      </c>
      <c r="J1673">
        <f>IFERROR(__xludf.DUMMYFUNCTION("""COMPUTED_VALUE"""),0.0)</f>
        <v>0</v>
      </c>
      <c r="L1673" s="250" t="str">
        <f>IFERROR(__xludf.DUMMYFUNCTION("""COMPUTED_VALUE"""),"")</f>
        <v/>
      </c>
      <c r="M1673" s="250" t="str">
        <f>IFERROR(__xludf.DUMMYFUNCTION("""COMPUTED_VALUE"""),"")</f>
        <v/>
      </c>
      <c r="N1673" s="250" t="str">
        <f>IFERROR(__xludf.DUMMYFUNCTION("""COMPUTED_VALUE"""),"")</f>
        <v/>
      </c>
      <c r="O1673" s="250" t="str">
        <f>IFERROR(__xludf.DUMMYFUNCTION("""COMPUTED_VALUE"""),"")</f>
        <v/>
      </c>
      <c r="P1673" s="250" t="str">
        <f>IFERROR(__xludf.DUMMYFUNCTION("""COMPUTED_VALUE"""),"")</f>
        <v/>
      </c>
      <c r="Q1673" s="250" t="str">
        <f>IFERROR(__xludf.DUMMYFUNCTION("""COMPUTED_VALUE"""),"")</f>
        <v/>
      </c>
      <c r="R1673" s="250" t="str">
        <f>IFERROR(__xludf.DUMMYFUNCTION("""COMPUTED_VALUE"""),"")</f>
        <v/>
      </c>
      <c r="U1673" s="250" t="str">
        <f>IFERROR(__xludf.DUMMYFUNCTION("""COMPUTED_VALUE"""),"#N/A")</f>
        <v>#N/A</v>
      </c>
      <c r="V1673" s="250" t="str">
        <f>IFERROR(__xludf.DUMMYFUNCTION("""COMPUTED_VALUE"""),"#N/A")</f>
        <v>#N/A</v>
      </c>
      <c r="W1673" s="250" t="str">
        <f>IFERROR(__xludf.DUMMYFUNCTION("""COMPUTED_VALUE"""),"#N/A")</f>
        <v>#N/A</v>
      </c>
      <c r="X1673" t="b">
        <f t="shared" ref="X1673:Z1673" si="3322">ISBLANK(K1673)</f>
        <v>1</v>
      </c>
      <c r="Y1673" t="b">
        <f t="shared" si="3322"/>
        <v>0</v>
      </c>
      <c r="Z1673" t="b">
        <f t="shared" si="3322"/>
        <v>0</v>
      </c>
      <c r="AA1673">
        <f t="shared" ref="AA1673:AC1673" si="3323">IF(X1673=FALSE,1,0)</f>
        <v>0</v>
      </c>
      <c r="AB1673">
        <f t="shared" si="3323"/>
        <v>1</v>
      </c>
      <c r="AC1673">
        <f t="shared" si="3323"/>
        <v>1</v>
      </c>
      <c r="AD1673">
        <f t="shared" si="6"/>
        <v>2</v>
      </c>
      <c r="AE1673">
        <f t="shared" si="7"/>
        <v>1</v>
      </c>
    </row>
    <row r="1674">
      <c r="B1674" t="str">
        <f>IFERROR(__xludf.DUMMYFUNCTION("""COMPUTED_VALUE"""),"")</f>
        <v/>
      </c>
      <c r="C1674" t="str">
        <f>IFERROR(__xludf.DUMMYFUNCTION("""COMPUTED_VALUE"""),"")</f>
        <v/>
      </c>
      <c r="D1674" t="str">
        <f>IFERROR(__xludf.DUMMYFUNCTION("""COMPUTED_VALUE"""),"")</f>
        <v/>
      </c>
      <c r="E1674" t="str">
        <f>IFERROR(__xludf.DUMMYFUNCTION("""COMPUTED_VALUE"""),"")</f>
        <v/>
      </c>
      <c r="F1674" t="str">
        <f>IFERROR(__xludf.DUMMYFUNCTION("""COMPUTED_VALUE"""),"")</f>
        <v/>
      </c>
      <c r="G1674" t="str">
        <f>IFERROR(__xludf.DUMMYFUNCTION("""COMPUTED_VALUE"""),"")</f>
        <v/>
      </c>
      <c r="H1674" t="str">
        <f>IFERROR(__xludf.DUMMYFUNCTION("""COMPUTED_VALUE"""),"")</f>
        <v/>
      </c>
      <c r="I1674" t="str">
        <f>IFERROR(__xludf.DUMMYFUNCTION("""COMPUTED_VALUE"""),"")</f>
        <v/>
      </c>
      <c r="J1674">
        <f>IFERROR(__xludf.DUMMYFUNCTION("""COMPUTED_VALUE"""),0.0)</f>
        <v>0</v>
      </c>
      <c r="L1674" s="250" t="str">
        <f>IFERROR(__xludf.DUMMYFUNCTION("""COMPUTED_VALUE"""),"")</f>
        <v/>
      </c>
      <c r="M1674" s="250" t="str">
        <f>IFERROR(__xludf.DUMMYFUNCTION("""COMPUTED_VALUE"""),"")</f>
        <v/>
      </c>
      <c r="N1674" s="250" t="str">
        <f>IFERROR(__xludf.DUMMYFUNCTION("""COMPUTED_VALUE"""),"")</f>
        <v/>
      </c>
      <c r="O1674" s="250" t="str">
        <f>IFERROR(__xludf.DUMMYFUNCTION("""COMPUTED_VALUE"""),"")</f>
        <v/>
      </c>
      <c r="P1674" s="250" t="str">
        <f>IFERROR(__xludf.DUMMYFUNCTION("""COMPUTED_VALUE"""),"")</f>
        <v/>
      </c>
      <c r="Q1674" s="250" t="str">
        <f>IFERROR(__xludf.DUMMYFUNCTION("""COMPUTED_VALUE"""),"")</f>
        <v/>
      </c>
      <c r="R1674" s="250" t="str">
        <f>IFERROR(__xludf.DUMMYFUNCTION("""COMPUTED_VALUE"""),"")</f>
        <v/>
      </c>
      <c r="U1674" s="250" t="str">
        <f>IFERROR(__xludf.DUMMYFUNCTION("""COMPUTED_VALUE"""),"#N/A")</f>
        <v>#N/A</v>
      </c>
      <c r="V1674" s="250" t="str">
        <f>IFERROR(__xludf.DUMMYFUNCTION("""COMPUTED_VALUE"""),"#N/A")</f>
        <v>#N/A</v>
      </c>
      <c r="W1674" s="250" t="str">
        <f>IFERROR(__xludf.DUMMYFUNCTION("""COMPUTED_VALUE"""),"#N/A")</f>
        <v>#N/A</v>
      </c>
      <c r="X1674" t="b">
        <f t="shared" ref="X1674:Z1674" si="3324">ISBLANK(K1674)</f>
        <v>1</v>
      </c>
      <c r="Y1674" t="b">
        <f t="shared" si="3324"/>
        <v>0</v>
      </c>
      <c r="Z1674" t="b">
        <f t="shared" si="3324"/>
        <v>0</v>
      </c>
      <c r="AA1674">
        <f t="shared" ref="AA1674:AC1674" si="3325">IF(X1674=FALSE,1,0)</f>
        <v>0</v>
      </c>
      <c r="AB1674">
        <f t="shared" si="3325"/>
        <v>1</v>
      </c>
      <c r="AC1674">
        <f t="shared" si="3325"/>
        <v>1</v>
      </c>
      <c r="AD1674">
        <f t="shared" si="6"/>
        <v>2</v>
      </c>
      <c r="AE1674">
        <f t="shared" si="7"/>
        <v>1</v>
      </c>
    </row>
    <row r="1675">
      <c r="B1675" t="str">
        <f>IFERROR(__xludf.DUMMYFUNCTION("""COMPUTED_VALUE"""),"")</f>
        <v/>
      </c>
      <c r="C1675" t="str">
        <f>IFERROR(__xludf.DUMMYFUNCTION("""COMPUTED_VALUE"""),"")</f>
        <v/>
      </c>
      <c r="D1675" t="str">
        <f>IFERROR(__xludf.DUMMYFUNCTION("""COMPUTED_VALUE"""),"")</f>
        <v/>
      </c>
      <c r="E1675" t="str">
        <f>IFERROR(__xludf.DUMMYFUNCTION("""COMPUTED_VALUE"""),"")</f>
        <v/>
      </c>
      <c r="F1675" t="str">
        <f>IFERROR(__xludf.DUMMYFUNCTION("""COMPUTED_VALUE"""),"")</f>
        <v/>
      </c>
      <c r="G1675" t="str">
        <f>IFERROR(__xludf.DUMMYFUNCTION("""COMPUTED_VALUE"""),"")</f>
        <v/>
      </c>
      <c r="H1675" t="str">
        <f>IFERROR(__xludf.DUMMYFUNCTION("""COMPUTED_VALUE"""),"")</f>
        <v/>
      </c>
      <c r="I1675" t="str">
        <f>IFERROR(__xludf.DUMMYFUNCTION("""COMPUTED_VALUE"""),"")</f>
        <v/>
      </c>
      <c r="J1675">
        <f>IFERROR(__xludf.DUMMYFUNCTION("""COMPUTED_VALUE"""),0.0)</f>
        <v>0</v>
      </c>
      <c r="L1675" s="250" t="str">
        <f>IFERROR(__xludf.DUMMYFUNCTION("""COMPUTED_VALUE"""),"")</f>
        <v/>
      </c>
      <c r="M1675" s="250" t="str">
        <f>IFERROR(__xludf.DUMMYFUNCTION("""COMPUTED_VALUE"""),"")</f>
        <v/>
      </c>
      <c r="N1675" s="250" t="str">
        <f>IFERROR(__xludf.DUMMYFUNCTION("""COMPUTED_VALUE"""),"")</f>
        <v/>
      </c>
      <c r="O1675" s="250" t="str">
        <f>IFERROR(__xludf.DUMMYFUNCTION("""COMPUTED_VALUE"""),"")</f>
        <v/>
      </c>
      <c r="P1675" s="250" t="str">
        <f>IFERROR(__xludf.DUMMYFUNCTION("""COMPUTED_VALUE"""),"")</f>
        <v/>
      </c>
      <c r="Q1675" s="250" t="str">
        <f>IFERROR(__xludf.DUMMYFUNCTION("""COMPUTED_VALUE"""),"")</f>
        <v/>
      </c>
      <c r="R1675" s="250" t="str">
        <f>IFERROR(__xludf.DUMMYFUNCTION("""COMPUTED_VALUE"""),"")</f>
        <v/>
      </c>
      <c r="U1675" s="250" t="str">
        <f>IFERROR(__xludf.DUMMYFUNCTION("""COMPUTED_VALUE"""),"#N/A")</f>
        <v>#N/A</v>
      </c>
      <c r="V1675" s="250" t="str">
        <f>IFERROR(__xludf.DUMMYFUNCTION("""COMPUTED_VALUE"""),"#N/A")</f>
        <v>#N/A</v>
      </c>
      <c r="W1675" s="250" t="str">
        <f>IFERROR(__xludf.DUMMYFUNCTION("""COMPUTED_VALUE"""),"#N/A")</f>
        <v>#N/A</v>
      </c>
      <c r="X1675" t="b">
        <f t="shared" ref="X1675:Z1675" si="3326">ISBLANK(K1675)</f>
        <v>1</v>
      </c>
      <c r="Y1675" t="b">
        <f t="shared" si="3326"/>
        <v>0</v>
      </c>
      <c r="Z1675" t="b">
        <f t="shared" si="3326"/>
        <v>0</v>
      </c>
      <c r="AA1675">
        <f t="shared" ref="AA1675:AC1675" si="3327">IF(X1675=FALSE,1,0)</f>
        <v>0</v>
      </c>
      <c r="AB1675">
        <f t="shared" si="3327"/>
        <v>1</v>
      </c>
      <c r="AC1675">
        <f t="shared" si="3327"/>
        <v>1</v>
      </c>
      <c r="AD1675">
        <f t="shared" si="6"/>
        <v>2</v>
      </c>
      <c r="AE1675">
        <f t="shared" si="7"/>
        <v>1</v>
      </c>
    </row>
    <row r="1676">
      <c r="B1676" t="str">
        <f>IFERROR(__xludf.DUMMYFUNCTION("""COMPUTED_VALUE"""),"")</f>
        <v/>
      </c>
      <c r="C1676" t="str">
        <f>IFERROR(__xludf.DUMMYFUNCTION("""COMPUTED_VALUE"""),"")</f>
        <v/>
      </c>
      <c r="D1676" t="str">
        <f>IFERROR(__xludf.DUMMYFUNCTION("""COMPUTED_VALUE"""),"")</f>
        <v/>
      </c>
      <c r="E1676" t="str">
        <f>IFERROR(__xludf.DUMMYFUNCTION("""COMPUTED_VALUE"""),"")</f>
        <v/>
      </c>
      <c r="F1676" t="str">
        <f>IFERROR(__xludf.DUMMYFUNCTION("""COMPUTED_VALUE"""),"")</f>
        <v/>
      </c>
      <c r="G1676" t="str">
        <f>IFERROR(__xludf.DUMMYFUNCTION("""COMPUTED_VALUE"""),"")</f>
        <v/>
      </c>
      <c r="H1676" t="str">
        <f>IFERROR(__xludf.DUMMYFUNCTION("""COMPUTED_VALUE"""),"")</f>
        <v/>
      </c>
      <c r="I1676" t="str">
        <f>IFERROR(__xludf.DUMMYFUNCTION("""COMPUTED_VALUE"""),"")</f>
        <v/>
      </c>
      <c r="J1676">
        <f>IFERROR(__xludf.DUMMYFUNCTION("""COMPUTED_VALUE"""),0.0)</f>
        <v>0</v>
      </c>
      <c r="L1676" s="250" t="str">
        <f>IFERROR(__xludf.DUMMYFUNCTION("""COMPUTED_VALUE"""),"")</f>
        <v/>
      </c>
      <c r="M1676" s="250" t="str">
        <f>IFERROR(__xludf.DUMMYFUNCTION("""COMPUTED_VALUE"""),"")</f>
        <v/>
      </c>
      <c r="N1676" s="250" t="str">
        <f>IFERROR(__xludf.DUMMYFUNCTION("""COMPUTED_VALUE"""),"")</f>
        <v/>
      </c>
      <c r="O1676" s="250" t="str">
        <f>IFERROR(__xludf.DUMMYFUNCTION("""COMPUTED_VALUE"""),"")</f>
        <v/>
      </c>
      <c r="P1676" s="250" t="str">
        <f>IFERROR(__xludf.DUMMYFUNCTION("""COMPUTED_VALUE"""),"")</f>
        <v/>
      </c>
      <c r="Q1676" s="250" t="str">
        <f>IFERROR(__xludf.DUMMYFUNCTION("""COMPUTED_VALUE"""),"")</f>
        <v/>
      </c>
      <c r="R1676" s="250" t="str">
        <f>IFERROR(__xludf.DUMMYFUNCTION("""COMPUTED_VALUE"""),"")</f>
        <v/>
      </c>
      <c r="U1676" s="250" t="str">
        <f>IFERROR(__xludf.DUMMYFUNCTION("""COMPUTED_VALUE"""),"#N/A")</f>
        <v>#N/A</v>
      </c>
      <c r="V1676" s="250" t="str">
        <f>IFERROR(__xludf.DUMMYFUNCTION("""COMPUTED_VALUE"""),"#N/A")</f>
        <v>#N/A</v>
      </c>
      <c r="W1676" s="250" t="str">
        <f>IFERROR(__xludf.DUMMYFUNCTION("""COMPUTED_VALUE"""),"#N/A")</f>
        <v>#N/A</v>
      </c>
      <c r="X1676" t="b">
        <f t="shared" ref="X1676:Z1676" si="3328">ISBLANK(K1676)</f>
        <v>1</v>
      </c>
      <c r="Y1676" t="b">
        <f t="shared" si="3328"/>
        <v>0</v>
      </c>
      <c r="Z1676" t="b">
        <f t="shared" si="3328"/>
        <v>0</v>
      </c>
      <c r="AA1676">
        <f t="shared" ref="AA1676:AC1676" si="3329">IF(X1676=FALSE,1,0)</f>
        <v>0</v>
      </c>
      <c r="AB1676">
        <f t="shared" si="3329"/>
        <v>1</v>
      </c>
      <c r="AC1676">
        <f t="shared" si="3329"/>
        <v>1</v>
      </c>
      <c r="AD1676">
        <f t="shared" si="6"/>
        <v>2</v>
      </c>
      <c r="AE1676">
        <f t="shared" si="7"/>
        <v>1</v>
      </c>
    </row>
    <row r="1677">
      <c r="B1677" t="str">
        <f>IFERROR(__xludf.DUMMYFUNCTION("""COMPUTED_VALUE"""),"")</f>
        <v/>
      </c>
      <c r="C1677" t="str">
        <f>IFERROR(__xludf.DUMMYFUNCTION("""COMPUTED_VALUE"""),"")</f>
        <v/>
      </c>
      <c r="D1677" t="str">
        <f>IFERROR(__xludf.DUMMYFUNCTION("""COMPUTED_VALUE"""),"")</f>
        <v/>
      </c>
      <c r="E1677" t="str">
        <f>IFERROR(__xludf.DUMMYFUNCTION("""COMPUTED_VALUE"""),"")</f>
        <v/>
      </c>
      <c r="F1677" t="str">
        <f>IFERROR(__xludf.DUMMYFUNCTION("""COMPUTED_VALUE"""),"")</f>
        <v/>
      </c>
      <c r="G1677" t="str">
        <f>IFERROR(__xludf.DUMMYFUNCTION("""COMPUTED_VALUE"""),"")</f>
        <v/>
      </c>
      <c r="H1677" t="str">
        <f>IFERROR(__xludf.DUMMYFUNCTION("""COMPUTED_VALUE"""),"")</f>
        <v/>
      </c>
      <c r="I1677" t="str">
        <f>IFERROR(__xludf.DUMMYFUNCTION("""COMPUTED_VALUE"""),"")</f>
        <v/>
      </c>
      <c r="J1677">
        <f>IFERROR(__xludf.DUMMYFUNCTION("""COMPUTED_VALUE"""),0.0)</f>
        <v>0</v>
      </c>
      <c r="L1677" s="250" t="str">
        <f>IFERROR(__xludf.DUMMYFUNCTION("""COMPUTED_VALUE"""),"")</f>
        <v/>
      </c>
      <c r="M1677" s="250" t="str">
        <f>IFERROR(__xludf.DUMMYFUNCTION("""COMPUTED_VALUE"""),"")</f>
        <v/>
      </c>
      <c r="N1677" s="250" t="str">
        <f>IFERROR(__xludf.DUMMYFUNCTION("""COMPUTED_VALUE"""),"")</f>
        <v/>
      </c>
      <c r="O1677" s="250" t="str">
        <f>IFERROR(__xludf.DUMMYFUNCTION("""COMPUTED_VALUE"""),"")</f>
        <v/>
      </c>
      <c r="P1677" s="250" t="str">
        <f>IFERROR(__xludf.DUMMYFUNCTION("""COMPUTED_VALUE"""),"")</f>
        <v/>
      </c>
      <c r="Q1677" s="250" t="str">
        <f>IFERROR(__xludf.DUMMYFUNCTION("""COMPUTED_VALUE"""),"")</f>
        <v/>
      </c>
      <c r="R1677" s="250" t="str">
        <f>IFERROR(__xludf.DUMMYFUNCTION("""COMPUTED_VALUE"""),"")</f>
        <v/>
      </c>
      <c r="U1677" s="250" t="str">
        <f>IFERROR(__xludf.DUMMYFUNCTION("""COMPUTED_VALUE"""),"#N/A")</f>
        <v>#N/A</v>
      </c>
      <c r="V1677" s="250" t="str">
        <f>IFERROR(__xludf.DUMMYFUNCTION("""COMPUTED_VALUE"""),"#N/A")</f>
        <v>#N/A</v>
      </c>
      <c r="W1677" s="250" t="str">
        <f>IFERROR(__xludf.DUMMYFUNCTION("""COMPUTED_VALUE"""),"#N/A")</f>
        <v>#N/A</v>
      </c>
      <c r="X1677" t="b">
        <f t="shared" ref="X1677:Z1677" si="3330">ISBLANK(K1677)</f>
        <v>1</v>
      </c>
      <c r="Y1677" t="b">
        <f t="shared" si="3330"/>
        <v>0</v>
      </c>
      <c r="Z1677" t="b">
        <f t="shared" si="3330"/>
        <v>0</v>
      </c>
      <c r="AA1677">
        <f t="shared" ref="AA1677:AC1677" si="3331">IF(X1677=FALSE,1,0)</f>
        <v>0</v>
      </c>
      <c r="AB1677">
        <f t="shared" si="3331"/>
        <v>1</v>
      </c>
      <c r="AC1677">
        <f t="shared" si="3331"/>
        <v>1</v>
      </c>
      <c r="AD1677">
        <f t="shared" si="6"/>
        <v>2</v>
      </c>
      <c r="AE1677">
        <f t="shared" si="7"/>
        <v>1</v>
      </c>
    </row>
    <row r="1678">
      <c r="B1678" t="str">
        <f>IFERROR(__xludf.DUMMYFUNCTION("""COMPUTED_VALUE"""),"")</f>
        <v/>
      </c>
      <c r="C1678" t="str">
        <f>IFERROR(__xludf.DUMMYFUNCTION("""COMPUTED_VALUE"""),"")</f>
        <v/>
      </c>
      <c r="D1678" t="str">
        <f>IFERROR(__xludf.DUMMYFUNCTION("""COMPUTED_VALUE"""),"")</f>
        <v/>
      </c>
      <c r="E1678" t="str">
        <f>IFERROR(__xludf.DUMMYFUNCTION("""COMPUTED_VALUE"""),"")</f>
        <v/>
      </c>
      <c r="F1678" t="str">
        <f>IFERROR(__xludf.DUMMYFUNCTION("""COMPUTED_VALUE"""),"")</f>
        <v/>
      </c>
      <c r="G1678" t="str">
        <f>IFERROR(__xludf.DUMMYFUNCTION("""COMPUTED_VALUE"""),"")</f>
        <v/>
      </c>
      <c r="H1678" t="str">
        <f>IFERROR(__xludf.DUMMYFUNCTION("""COMPUTED_VALUE"""),"")</f>
        <v/>
      </c>
      <c r="I1678" t="str">
        <f>IFERROR(__xludf.DUMMYFUNCTION("""COMPUTED_VALUE"""),"")</f>
        <v/>
      </c>
      <c r="J1678">
        <f>IFERROR(__xludf.DUMMYFUNCTION("""COMPUTED_VALUE"""),0.0)</f>
        <v>0</v>
      </c>
      <c r="L1678" s="250" t="str">
        <f>IFERROR(__xludf.DUMMYFUNCTION("""COMPUTED_VALUE"""),"")</f>
        <v/>
      </c>
      <c r="M1678" s="250" t="str">
        <f>IFERROR(__xludf.DUMMYFUNCTION("""COMPUTED_VALUE"""),"")</f>
        <v/>
      </c>
      <c r="N1678" s="250" t="str">
        <f>IFERROR(__xludf.DUMMYFUNCTION("""COMPUTED_VALUE"""),"")</f>
        <v/>
      </c>
      <c r="O1678" s="250" t="str">
        <f>IFERROR(__xludf.DUMMYFUNCTION("""COMPUTED_VALUE"""),"")</f>
        <v/>
      </c>
      <c r="P1678" s="250" t="str">
        <f>IFERROR(__xludf.DUMMYFUNCTION("""COMPUTED_VALUE"""),"")</f>
        <v/>
      </c>
      <c r="Q1678" s="250" t="str">
        <f>IFERROR(__xludf.DUMMYFUNCTION("""COMPUTED_VALUE"""),"")</f>
        <v/>
      </c>
      <c r="R1678" s="250" t="str">
        <f>IFERROR(__xludf.DUMMYFUNCTION("""COMPUTED_VALUE"""),"")</f>
        <v/>
      </c>
      <c r="U1678" s="250" t="str">
        <f>IFERROR(__xludf.DUMMYFUNCTION("""COMPUTED_VALUE"""),"#N/A")</f>
        <v>#N/A</v>
      </c>
      <c r="V1678" s="250" t="str">
        <f>IFERROR(__xludf.DUMMYFUNCTION("""COMPUTED_VALUE"""),"#N/A")</f>
        <v>#N/A</v>
      </c>
      <c r="W1678" s="250" t="str">
        <f>IFERROR(__xludf.DUMMYFUNCTION("""COMPUTED_VALUE"""),"#N/A")</f>
        <v>#N/A</v>
      </c>
      <c r="X1678" t="b">
        <f t="shared" ref="X1678:Z1678" si="3332">ISBLANK(K1678)</f>
        <v>1</v>
      </c>
      <c r="Y1678" t="b">
        <f t="shared" si="3332"/>
        <v>0</v>
      </c>
      <c r="Z1678" t="b">
        <f t="shared" si="3332"/>
        <v>0</v>
      </c>
      <c r="AA1678">
        <f t="shared" ref="AA1678:AC1678" si="3333">IF(X1678=FALSE,1,0)</f>
        <v>0</v>
      </c>
      <c r="AB1678">
        <f t="shared" si="3333"/>
        <v>1</v>
      </c>
      <c r="AC1678">
        <f t="shared" si="3333"/>
        <v>1</v>
      </c>
      <c r="AD1678">
        <f t="shared" si="6"/>
        <v>2</v>
      </c>
      <c r="AE1678">
        <f t="shared" si="7"/>
        <v>1</v>
      </c>
    </row>
    <row r="1679">
      <c r="B1679" t="str">
        <f>IFERROR(__xludf.DUMMYFUNCTION("""COMPUTED_VALUE"""),"")</f>
        <v/>
      </c>
      <c r="C1679" t="str">
        <f>IFERROR(__xludf.DUMMYFUNCTION("""COMPUTED_VALUE"""),"")</f>
        <v/>
      </c>
      <c r="D1679" t="str">
        <f>IFERROR(__xludf.DUMMYFUNCTION("""COMPUTED_VALUE"""),"")</f>
        <v/>
      </c>
      <c r="E1679" t="str">
        <f>IFERROR(__xludf.DUMMYFUNCTION("""COMPUTED_VALUE"""),"")</f>
        <v/>
      </c>
      <c r="F1679" t="str">
        <f>IFERROR(__xludf.DUMMYFUNCTION("""COMPUTED_VALUE"""),"")</f>
        <v/>
      </c>
      <c r="G1679" t="str">
        <f>IFERROR(__xludf.DUMMYFUNCTION("""COMPUTED_VALUE"""),"")</f>
        <v/>
      </c>
      <c r="H1679" t="str">
        <f>IFERROR(__xludf.DUMMYFUNCTION("""COMPUTED_VALUE"""),"")</f>
        <v/>
      </c>
      <c r="I1679" t="str">
        <f>IFERROR(__xludf.DUMMYFUNCTION("""COMPUTED_VALUE"""),"")</f>
        <v/>
      </c>
      <c r="J1679">
        <f>IFERROR(__xludf.DUMMYFUNCTION("""COMPUTED_VALUE"""),0.0)</f>
        <v>0</v>
      </c>
      <c r="L1679" s="250" t="str">
        <f>IFERROR(__xludf.DUMMYFUNCTION("""COMPUTED_VALUE"""),"")</f>
        <v/>
      </c>
      <c r="M1679" s="250" t="str">
        <f>IFERROR(__xludf.DUMMYFUNCTION("""COMPUTED_VALUE"""),"")</f>
        <v/>
      </c>
      <c r="N1679" s="250" t="str">
        <f>IFERROR(__xludf.DUMMYFUNCTION("""COMPUTED_VALUE"""),"")</f>
        <v/>
      </c>
      <c r="O1679" s="250" t="str">
        <f>IFERROR(__xludf.DUMMYFUNCTION("""COMPUTED_VALUE"""),"")</f>
        <v/>
      </c>
      <c r="P1679" s="250" t="str">
        <f>IFERROR(__xludf.DUMMYFUNCTION("""COMPUTED_VALUE"""),"")</f>
        <v/>
      </c>
      <c r="Q1679" s="250" t="str">
        <f>IFERROR(__xludf.DUMMYFUNCTION("""COMPUTED_VALUE"""),"")</f>
        <v/>
      </c>
      <c r="R1679" s="250" t="str">
        <f>IFERROR(__xludf.DUMMYFUNCTION("""COMPUTED_VALUE"""),"")</f>
        <v/>
      </c>
      <c r="U1679" s="250" t="str">
        <f>IFERROR(__xludf.DUMMYFUNCTION("""COMPUTED_VALUE"""),"#N/A")</f>
        <v>#N/A</v>
      </c>
      <c r="V1679" s="250" t="str">
        <f>IFERROR(__xludf.DUMMYFUNCTION("""COMPUTED_VALUE"""),"#N/A")</f>
        <v>#N/A</v>
      </c>
      <c r="W1679" s="250" t="str">
        <f>IFERROR(__xludf.DUMMYFUNCTION("""COMPUTED_VALUE"""),"#N/A")</f>
        <v>#N/A</v>
      </c>
      <c r="X1679" t="b">
        <f t="shared" ref="X1679:Z1679" si="3334">ISBLANK(K1679)</f>
        <v>1</v>
      </c>
      <c r="Y1679" t="b">
        <f t="shared" si="3334"/>
        <v>0</v>
      </c>
      <c r="Z1679" t="b">
        <f t="shared" si="3334"/>
        <v>0</v>
      </c>
      <c r="AA1679">
        <f t="shared" ref="AA1679:AC1679" si="3335">IF(X1679=FALSE,1,0)</f>
        <v>0</v>
      </c>
      <c r="AB1679">
        <f t="shared" si="3335"/>
        <v>1</v>
      </c>
      <c r="AC1679">
        <f t="shared" si="3335"/>
        <v>1</v>
      </c>
      <c r="AD1679">
        <f t="shared" si="6"/>
        <v>2</v>
      </c>
      <c r="AE1679">
        <f t="shared" si="7"/>
        <v>1</v>
      </c>
    </row>
    <row r="1680">
      <c r="B1680" t="str">
        <f>IFERROR(__xludf.DUMMYFUNCTION("""COMPUTED_VALUE"""),"")</f>
        <v/>
      </c>
      <c r="C1680" t="str">
        <f>IFERROR(__xludf.DUMMYFUNCTION("""COMPUTED_VALUE"""),"")</f>
        <v/>
      </c>
      <c r="D1680" t="str">
        <f>IFERROR(__xludf.DUMMYFUNCTION("""COMPUTED_VALUE"""),"")</f>
        <v/>
      </c>
      <c r="E1680" t="str">
        <f>IFERROR(__xludf.DUMMYFUNCTION("""COMPUTED_VALUE"""),"")</f>
        <v/>
      </c>
      <c r="F1680" t="str">
        <f>IFERROR(__xludf.DUMMYFUNCTION("""COMPUTED_VALUE"""),"")</f>
        <v/>
      </c>
      <c r="G1680" t="str">
        <f>IFERROR(__xludf.DUMMYFUNCTION("""COMPUTED_VALUE"""),"")</f>
        <v/>
      </c>
      <c r="H1680" t="str">
        <f>IFERROR(__xludf.DUMMYFUNCTION("""COMPUTED_VALUE"""),"")</f>
        <v/>
      </c>
      <c r="I1680" t="str">
        <f>IFERROR(__xludf.DUMMYFUNCTION("""COMPUTED_VALUE"""),"")</f>
        <v/>
      </c>
      <c r="J1680">
        <f>IFERROR(__xludf.DUMMYFUNCTION("""COMPUTED_VALUE"""),0.0)</f>
        <v>0</v>
      </c>
      <c r="L1680" s="250" t="str">
        <f>IFERROR(__xludf.DUMMYFUNCTION("""COMPUTED_VALUE"""),"")</f>
        <v/>
      </c>
      <c r="M1680" s="250" t="str">
        <f>IFERROR(__xludf.DUMMYFUNCTION("""COMPUTED_VALUE"""),"")</f>
        <v/>
      </c>
      <c r="N1680" s="250" t="str">
        <f>IFERROR(__xludf.DUMMYFUNCTION("""COMPUTED_VALUE"""),"")</f>
        <v/>
      </c>
      <c r="O1680" s="250" t="str">
        <f>IFERROR(__xludf.DUMMYFUNCTION("""COMPUTED_VALUE"""),"")</f>
        <v/>
      </c>
      <c r="P1680" s="250" t="str">
        <f>IFERROR(__xludf.DUMMYFUNCTION("""COMPUTED_VALUE"""),"")</f>
        <v/>
      </c>
      <c r="Q1680" s="250" t="str">
        <f>IFERROR(__xludf.DUMMYFUNCTION("""COMPUTED_VALUE"""),"")</f>
        <v/>
      </c>
      <c r="R1680" s="250" t="str">
        <f>IFERROR(__xludf.DUMMYFUNCTION("""COMPUTED_VALUE"""),"")</f>
        <v/>
      </c>
      <c r="U1680" s="250" t="str">
        <f>IFERROR(__xludf.DUMMYFUNCTION("""COMPUTED_VALUE"""),"#N/A")</f>
        <v>#N/A</v>
      </c>
      <c r="V1680" s="250" t="str">
        <f>IFERROR(__xludf.DUMMYFUNCTION("""COMPUTED_VALUE"""),"#N/A")</f>
        <v>#N/A</v>
      </c>
      <c r="W1680" s="250" t="str">
        <f>IFERROR(__xludf.DUMMYFUNCTION("""COMPUTED_VALUE"""),"#N/A")</f>
        <v>#N/A</v>
      </c>
      <c r="X1680" t="b">
        <f t="shared" ref="X1680:Z1680" si="3336">ISBLANK(K1680)</f>
        <v>1</v>
      </c>
      <c r="Y1680" t="b">
        <f t="shared" si="3336"/>
        <v>0</v>
      </c>
      <c r="Z1680" t="b">
        <f t="shared" si="3336"/>
        <v>0</v>
      </c>
      <c r="AA1680">
        <f t="shared" ref="AA1680:AC1680" si="3337">IF(X1680=FALSE,1,0)</f>
        <v>0</v>
      </c>
      <c r="AB1680">
        <f t="shared" si="3337"/>
        <v>1</v>
      </c>
      <c r="AC1680">
        <f t="shared" si="3337"/>
        <v>1</v>
      </c>
      <c r="AD1680">
        <f t="shared" si="6"/>
        <v>2</v>
      </c>
      <c r="AE1680">
        <f t="shared" si="7"/>
        <v>1</v>
      </c>
    </row>
    <row r="1681">
      <c r="B1681" t="str">
        <f>IFERROR(__xludf.DUMMYFUNCTION("""COMPUTED_VALUE"""),"")</f>
        <v/>
      </c>
      <c r="C1681" t="str">
        <f>IFERROR(__xludf.DUMMYFUNCTION("""COMPUTED_VALUE"""),"")</f>
        <v/>
      </c>
      <c r="D1681" t="str">
        <f>IFERROR(__xludf.DUMMYFUNCTION("""COMPUTED_VALUE"""),"")</f>
        <v/>
      </c>
      <c r="E1681" t="str">
        <f>IFERROR(__xludf.DUMMYFUNCTION("""COMPUTED_VALUE"""),"")</f>
        <v/>
      </c>
      <c r="F1681" t="str">
        <f>IFERROR(__xludf.DUMMYFUNCTION("""COMPUTED_VALUE"""),"")</f>
        <v/>
      </c>
      <c r="G1681" t="str">
        <f>IFERROR(__xludf.DUMMYFUNCTION("""COMPUTED_VALUE"""),"")</f>
        <v/>
      </c>
      <c r="H1681" t="str">
        <f>IFERROR(__xludf.DUMMYFUNCTION("""COMPUTED_VALUE"""),"")</f>
        <v/>
      </c>
      <c r="I1681" t="str">
        <f>IFERROR(__xludf.DUMMYFUNCTION("""COMPUTED_VALUE"""),"")</f>
        <v/>
      </c>
      <c r="J1681">
        <f>IFERROR(__xludf.DUMMYFUNCTION("""COMPUTED_VALUE"""),0.0)</f>
        <v>0</v>
      </c>
      <c r="L1681" s="250" t="str">
        <f>IFERROR(__xludf.DUMMYFUNCTION("""COMPUTED_VALUE"""),"")</f>
        <v/>
      </c>
      <c r="M1681" s="250" t="str">
        <f>IFERROR(__xludf.DUMMYFUNCTION("""COMPUTED_VALUE"""),"")</f>
        <v/>
      </c>
      <c r="N1681" s="250" t="str">
        <f>IFERROR(__xludf.DUMMYFUNCTION("""COMPUTED_VALUE"""),"")</f>
        <v/>
      </c>
      <c r="O1681" s="250" t="str">
        <f>IFERROR(__xludf.DUMMYFUNCTION("""COMPUTED_VALUE"""),"")</f>
        <v/>
      </c>
      <c r="P1681" s="250" t="str">
        <f>IFERROR(__xludf.DUMMYFUNCTION("""COMPUTED_VALUE"""),"")</f>
        <v/>
      </c>
      <c r="Q1681" s="250" t="str">
        <f>IFERROR(__xludf.DUMMYFUNCTION("""COMPUTED_VALUE"""),"")</f>
        <v/>
      </c>
      <c r="R1681" s="250" t="str">
        <f>IFERROR(__xludf.DUMMYFUNCTION("""COMPUTED_VALUE"""),"")</f>
        <v/>
      </c>
      <c r="U1681" s="250" t="str">
        <f>IFERROR(__xludf.DUMMYFUNCTION("""COMPUTED_VALUE"""),"#N/A")</f>
        <v>#N/A</v>
      </c>
      <c r="V1681" s="250" t="str">
        <f>IFERROR(__xludf.DUMMYFUNCTION("""COMPUTED_VALUE"""),"#N/A")</f>
        <v>#N/A</v>
      </c>
      <c r="W1681" s="250" t="str">
        <f>IFERROR(__xludf.DUMMYFUNCTION("""COMPUTED_VALUE"""),"#N/A")</f>
        <v>#N/A</v>
      </c>
      <c r="X1681" t="b">
        <f t="shared" ref="X1681:Z1681" si="3338">ISBLANK(K1681)</f>
        <v>1</v>
      </c>
      <c r="Y1681" t="b">
        <f t="shared" si="3338"/>
        <v>0</v>
      </c>
      <c r="Z1681" t="b">
        <f t="shared" si="3338"/>
        <v>0</v>
      </c>
      <c r="AA1681">
        <f t="shared" ref="AA1681:AC1681" si="3339">IF(X1681=FALSE,1,0)</f>
        <v>0</v>
      </c>
      <c r="AB1681">
        <f t="shared" si="3339"/>
        <v>1</v>
      </c>
      <c r="AC1681">
        <f t="shared" si="3339"/>
        <v>1</v>
      </c>
      <c r="AD1681">
        <f t="shared" si="6"/>
        <v>2</v>
      </c>
      <c r="AE1681">
        <f t="shared" si="7"/>
        <v>1</v>
      </c>
    </row>
    <row r="1682">
      <c r="B1682" t="str">
        <f>IFERROR(__xludf.DUMMYFUNCTION("""COMPUTED_VALUE"""),"")</f>
        <v/>
      </c>
      <c r="C1682" t="str">
        <f>IFERROR(__xludf.DUMMYFUNCTION("""COMPUTED_VALUE"""),"")</f>
        <v/>
      </c>
      <c r="D1682" t="str">
        <f>IFERROR(__xludf.DUMMYFUNCTION("""COMPUTED_VALUE"""),"")</f>
        <v/>
      </c>
      <c r="E1682" t="str">
        <f>IFERROR(__xludf.DUMMYFUNCTION("""COMPUTED_VALUE"""),"")</f>
        <v/>
      </c>
      <c r="F1682" t="str">
        <f>IFERROR(__xludf.DUMMYFUNCTION("""COMPUTED_VALUE"""),"")</f>
        <v/>
      </c>
      <c r="G1682" t="str">
        <f>IFERROR(__xludf.DUMMYFUNCTION("""COMPUTED_VALUE"""),"")</f>
        <v/>
      </c>
      <c r="H1682" t="str">
        <f>IFERROR(__xludf.DUMMYFUNCTION("""COMPUTED_VALUE"""),"")</f>
        <v/>
      </c>
      <c r="I1682" t="str">
        <f>IFERROR(__xludf.DUMMYFUNCTION("""COMPUTED_VALUE"""),"")</f>
        <v/>
      </c>
      <c r="J1682">
        <f>IFERROR(__xludf.DUMMYFUNCTION("""COMPUTED_VALUE"""),0.0)</f>
        <v>0</v>
      </c>
      <c r="L1682" s="250" t="str">
        <f>IFERROR(__xludf.DUMMYFUNCTION("""COMPUTED_VALUE"""),"")</f>
        <v/>
      </c>
      <c r="M1682" s="250" t="str">
        <f>IFERROR(__xludf.DUMMYFUNCTION("""COMPUTED_VALUE"""),"")</f>
        <v/>
      </c>
      <c r="N1682" s="250" t="str">
        <f>IFERROR(__xludf.DUMMYFUNCTION("""COMPUTED_VALUE"""),"")</f>
        <v/>
      </c>
      <c r="O1682" s="250" t="str">
        <f>IFERROR(__xludf.DUMMYFUNCTION("""COMPUTED_VALUE"""),"")</f>
        <v/>
      </c>
      <c r="P1682" s="250" t="str">
        <f>IFERROR(__xludf.DUMMYFUNCTION("""COMPUTED_VALUE"""),"")</f>
        <v/>
      </c>
      <c r="Q1682" s="250" t="str">
        <f>IFERROR(__xludf.DUMMYFUNCTION("""COMPUTED_VALUE"""),"")</f>
        <v/>
      </c>
      <c r="R1682" s="250" t="str">
        <f>IFERROR(__xludf.DUMMYFUNCTION("""COMPUTED_VALUE"""),"")</f>
        <v/>
      </c>
      <c r="U1682" s="250" t="str">
        <f>IFERROR(__xludf.DUMMYFUNCTION("""COMPUTED_VALUE"""),"#N/A")</f>
        <v>#N/A</v>
      </c>
      <c r="V1682" s="250" t="str">
        <f>IFERROR(__xludf.DUMMYFUNCTION("""COMPUTED_VALUE"""),"#N/A")</f>
        <v>#N/A</v>
      </c>
      <c r="W1682" s="250" t="str">
        <f>IFERROR(__xludf.DUMMYFUNCTION("""COMPUTED_VALUE"""),"#N/A")</f>
        <v>#N/A</v>
      </c>
      <c r="X1682" t="b">
        <f t="shared" ref="X1682:Z1682" si="3340">ISBLANK(K1682)</f>
        <v>1</v>
      </c>
      <c r="Y1682" t="b">
        <f t="shared" si="3340"/>
        <v>0</v>
      </c>
      <c r="Z1682" t="b">
        <f t="shared" si="3340"/>
        <v>0</v>
      </c>
      <c r="AA1682">
        <f t="shared" ref="AA1682:AC1682" si="3341">IF(X1682=FALSE,1,0)</f>
        <v>0</v>
      </c>
      <c r="AB1682">
        <f t="shared" si="3341"/>
        <v>1</v>
      </c>
      <c r="AC1682">
        <f t="shared" si="3341"/>
        <v>1</v>
      </c>
      <c r="AD1682">
        <f t="shared" si="6"/>
        <v>2</v>
      </c>
      <c r="AE1682">
        <f t="shared" si="7"/>
        <v>1</v>
      </c>
    </row>
    <row r="1683">
      <c r="B1683" t="str">
        <f>IFERROR(__xludf.DUMMYFUNCTION("""COMPUTED_VALUE"""),"")</f>
        <v/>
      </c>
      <c r="C1683" t="str">
        <f>IFERROR(__xludf.DUMMYFUNCTION("""COMPUTED_VALUE"""),"")</f>
        <v/>
      </c>
      <c r="D1683" t="str">
        <f>IFERROR(__xludf.DUMMYFUNCTION("""COMPUTED_VALUE"""),"")</f>
        <v/>
      </c>
      <c r="E1683" t="str">
        <f>IFERROR(__xludf.DUMMYFUNCTION("""COMPUTED_VALUE"""),"")</f>
        <v/>
      </c>
      <c r="F1683" t="str">
        <f>IFERROR(__xludf.DUMMYFUNCTION("""COMPUTED_VALUE"""),"")</f>
        <v/>
      </c>
      <c r="G1683" t="str">
        <f>IFERROR(__xludf.DUMMYFUNCTION("""COMPUTED_VALUE"""),"")</f>
        <v/>
      </c>
      <c r="H1683" t="str">
        <f>IFERROR(__xludf.DUMMYFUNCTION("""COMPUTED_VALUE"""),"")</f>
        <v/>
      </c>
      <c r="I1683" t="str">
        <f>IFERROR(__xludf.DUMMYFUNCTION("""COMPUTED_VALUE"""),"")</f>
        <v/>
      </c>
      <c r="J1683">
        <f>IFERROR(__xludf.DUMMYFUNCTION("""COMPUTED_VALUE"""),0.0)</f>
        <v>0</v>
      </c>
      <c r="L1683" s="250" t="str">
        <f>IFERROR(__xludf.DUMMYFUNCTION("""COMPUTED_VALUE"""),"")</f>
        <v/>
      </c>
      <c r="M1683" s="250" t="str">
        <f>IFERROR(__xludf.DUMMYFUNCTION("""COMPUTED_VALUE"""),"")</f>
        <v/>
      </c>
      <c r="N1683" s="250" t="str">
        <f>IFERROR(__xludf.DUMMYFUNCTION("""COMPUTED_VALUE"""),"")</f>
        <v/>
      </c>
      <c r="O1683" s="250" t="str">
        <f>IFERROR(__xludf.DUMMYFUNCTION("""COMPUTED_VALUE"""),"")</f>
        <v/>
      </c>
      <c r="P1683" s="250" t="str">
        <f>IFERROR(__xludf.DUMMYFUNCTION("""COMPUTED_VALUE"""),"")</f>
        <v/>
      </c>
      <c r="Q1683" s="250" t="str">
        <f>IFERROR(__xludf.DUMMYFUNCTION("""COMPUTED_VALUE"""),"")</f>
        <v/>
      </c>
      <c r="R1683" s="250" t="str">
        <f>IFERROR(__xludf.DUMMYFUNCTION("""COMPUTED_VALUE"""),"")</f>
        <v/>
      </c>
      <c r="U1683" s="250" t="str">
        <f>IFERROR(__xludf.DUMMYFUNCTION("""COMPUTED_VALUE"""),"#N/A")</f>
        <v>#N/A</v>
      </c>
      <c r="V1683" s="250" t="str">
        <f>IFERROR(__xludf.DUMMYFUNCTION("""COMPUTED_VALUE"""),"#N/A")</f>
        <v>#N/A</v>
      </c>
      <c r="W1683" s="250" t="str">
        <f>IFERROR(__xludf.DUMMYFUNCTION("""COMPUTED_VALUE"""),"#N/A")</f>
        <v>#N/A</v>
      </c>
      <c r="X1683" t="b">
        <f t="shared" ref="X1683:Z1683" si="3342">ISBLANK(K1683)</f>
        <v>1</v>
      </c>
      <c r="Y1683" t="b">
        <f t="shared" si="3342"/>
        <v>0</v>
      </c>
      <c r="Z1683" t="b">
        <f t="shared" si="3342"/>
        <v>0</v>
      </c>
      <c r="AA1683">
        <f t="shared" ref="AA1683:AC1683" si="3343">IF(X1683=FALSE,1,0)</f>
        <v>0</v>
      </c>
      <c r="AB1683">
        <f t="shared" si="3343"/>
        <v>1</v>
      </c>
      <c r="AC1683">
        <f t="shared" si="3343"/>
        <v>1</v>
      </c>
      <c r="AD1683">
        <f t="shared" si="6"/>
        <v>2</v>
      </c>
      <c r="AE1683">
        <f t="shared" si="7"/>
        <v>1</v>
      </c>
    </row>
    <row r="1684">
      <c r="B1684" t="str">
        <f>IFERROR(__xludf.DUMMYFUNCTION("""COMPUTED_VALUE"""),"")</f>
        <v/>
      </c>
      <c r="C1684" t="str">
        <f>IFERROR(__xludf.DUMMYFUNCTION("""COMPUTED_VALUE"""),"")</f>
        <v/>
      </c>
      <c r="D1684" t="str">
        <f>IFERROR(__xludf.DUMMYFUNCTION("""COMPUTED_VALUE"""),"")</f>
        <v/>
      </c>
      <c r="E1684" t="str">
        <f>IFERROR(__xludf.DUMMYFUNCTION("""COMPUTED_VALUE"""),"")</f>
        <v/>
      </c>
      <c r="F1684" t="str">
        <f>IFERROR(__xludf.DUMMYFUNCTION("""COMPUTED_VALUE"""),"")</f>
        <v/>
      </c>
      <c r="G1684" t="str">
        <f>IFERROR(__xludf.DUMMYFUNCTION("""COMPUTED_VALUE"""),"")</f>
        <v/>
      </c>
      <c r="H1684" t="str">
        <f>IFERROR(__xludf.DUMMYFUNCTION("""COMPUTED_VALUE"""),"")</f>
        <v/>
      </c>
      <c r="I1684" t="str">
        <f>IFERROR(__xludf.DUMMYFUNCTION("""COMPUTED_VALUE"""),"")</f>
        <v/>
      </c>
      <c r="J1684">
        <f>IFERROR(__xludf.DUMMYFUNCTION("""COMPUTED_VALUE"""),0.0)</f>
        <v>0</v>
      </c>
      <c r="L1684" s="250" t="str">
        <f>IFERROR(__xludf.DUMMYFUNCTION("""COMPUTED_VALUE"""),"")</f>
        <v/>
      </c>
      <c r="M1684" s="250" t="str">
        <f>IFERROR(__xludf.DUMMYFUNCTION("""COMPUTED_VALUE"""),"")</f>
        <v/>
      </c>
      <c r="N1684" s="250" t="str">
        <f>IFERROR(__xludf.DUMMYFUNCTION("""COMPUTED_VALUE"""),"")</f>
        <v/>
      </c>
      <c r="O1684" s="250" t="str">
        <f>IFERROR(__xludf.DUMMYFUNCTION("""COMPUTED_VALUE"""),"")</f>
        <v/>
      </c>
      <c r="P1684" s="250" t="str">
        <f>IFERROR(__xludf.DUMMYFUNCTION("""COMPUTED_VALUE"""),"")</f>
        <v/>
      </c>
      <c r="Q1684" s="250" t="str">
        <f>IFERROR(__xludf.DUMMYFUNCTION("""COMPUTED_VALUE"""),"")</f>
        <v/>
      </c>
      <c r="R1684" s="250" t="str">
        <f>IFERROR(__xludf.DUMMYFUNCTION("""COMPUTED_VALUE"""),"")</f>
        <v/>
      </c>
      <c r="U1684" s="250" t="str">
        <f>IFERROR(__xludf.DUMMYFUNCTION("""COMPUTED_VALUE"""),"#N/A")</f>
        <v>#N/A</v>
      </c>
      <c r="V1684" s="250" t="str">
        <f>IFERROR(__xludf.DUMMYFUNCTION("""COMPUTED_VALUE"""),"#N/A")</f>
        <v>#N/A</v>
      </c>
      <c r="W1684" s="250" t="str">
        <f>IFERROR(__xludf.DUMMYFUNCTION("""COMPUTED_VALUE"""),"#N/A")</f>
        <v>#N/A</v>
      </c>
      <c r="X1684" t="b">
        <f t="shared" ref="X1684:Z1684" si="3344">ISBLANK(K1684)</f>
        <v>1</v>
      </c>
      <c r="Y1684" t="b">
        <f t="shared" si="3344"/>
        <v>0</v>
      </c>
      <c r="Z1684" t="b">
        <f t="shared" si="3344"/>
        <v>0</v>
      </c>
      <c r="AA1684">
        <f t="shared" ref="AA1684:AC1684" si="3345">IF(X1684=FALSE,1,0)</f>
        <v>0</v>
      </c>
      <c r="AB1684">
        <f t="shared" si="3345"/>
        <v>1</v>
      </c>
      <c r="AC1684">
        <f t="shared" si="3345"/>
        <v>1</v>
      </c>
      <c r="AD1684">
        <f t="shared" si="6"/>
        <v>2</v>
      </c>
      <c r="AE1684">
        <f t="shared" si="7"/>
        <v>1</v>
      </c>
    </row>
    <row r="1685">
      <c r="B1685" t="str">
        <f>IFERROR(__xludf.DUMMYFUNCTION("""COMPUTED_VALUE"""),"")</f>
        <v/>
      </c>
      <c r="C1685" t="str">
        <f>IFERROR(__xludf.DUMMYFUNCTION("""COMPUTED_VALUE"""),"")</f>
        <v/>
      </c>
      <c r="D1685" t="str">
        <f>IFERROR(__xludf.DUMMYFUNCTION("""COMPUTED_VALUE"""),"")</f>
        <v/>
      </c>
      <c r="E1685" t="str">
        <f>IFERROR(__xludf.DUMMYFUNCTION("""COMPUTED_VALUE"""),"")</f>
        <v/>
      </c>
      <c r="F1685" t="str">
        <f>IFERROR(__xludf.DUMMYFUNCTION("""COMPUTED_VALUE"""),"")</f>
        <v/>
      </c>
      <c r="G1685" t="str">
        <f>IFERROR(__xludf.DUMMYFUNCTION("""COMPUTED_VALUE"""),"")</f>
        <v/>
      </c>
      <c r="H1685" t="str">
        <f>IFERROR(__xludf.DUMMYFUNCTION("""COMPUTED_VALUE"""),"")</f>
        <v/>
      </c>
      <c r="I1685" t="str">
        <f>IFERROR(__xludf.DUMMYFUNCTION("""COMPUTED_VALUE"""),"")</f>
        <v/>
      </c>
      <c r="J1685">
        <f>IFERROR(__xludf.DUMMYFUNCTION("""COMPUTED_VALUE"""),0.0)</f>
        <v>0</v>
      </c>
      <c r="L1685" s="250" t="str">
        <f>IFERROR(__xludf.DUMMYFUNCTION("""COMPUTED_VALUE"""),"")</f>
        <v/>
      </c>
      <c r="M1685" s="250" t="str">
        <f>IFERROR(__xludf.DUMMYFUNCTION("""COMPUTED_VALUE"""),"")</f>
        <v/>
      </c>
      <c r="N1685" s="250" t="str">
        <f>IFERROR(__xludf.DUMMYFUNCTION("""COMPUTED_VALUE"""),"")</f>
        <v/>
      </c>
      <c r="O1685" s="250" t="str">
        <f>IFERROR(__xludf.DUMMYFUNCTION("""COMPUTED_VALUE"""),"")</f>
        <v/>
      </c>
      <c r="P1685" s="250" t="str">
        <f>IFERROR(__xludf.DUMMYFUNCTION("""COMPUTED_VALUE"""),"")</f>
        <v/>
      </c>
      <c r="Q1685" s="250" t="str">
        <f>IFERROR(__xludf.DUMMYFUNCTION("""COMPUTED_VALUE"""),"")</f>
        <v/>
      </c>
      <c r="R1685" s="250" t="str">
        <f>IFERROR(__xludf.DUMMYFUNCTION("""COMPUTED_VALUE"""),"")</f>
        <v/>
      </c>
      <c r="U1685" s="250" t="str">
        <f>IFERROR(__xludf.DUMMYFUNCTION("""COMPUTED_VALUE"""),"#N/A")</f>
        <v>#N/A</v>
      </c>
      <c r="V1685" s="250" t="str">
        <f>IFERROR(__xludf.DUMMYFUNCTION("""COMPUTED_VALUE"""),"#N/A")</f>
        <v>#N/A</v>
      </c>
      <c r="W1685" s="250" t="str">
        <f>IFERROR(__xludf.DUMMYFUNCTION("""COMPUTED_VALUE"""),"#N/A")</f>
        <v>#N/A</v>
      </c>
      <c r="X1685" t="b">
        <f t="shared" ref="X1685:Z1685" si="3346">ISBLANK(K1685)</f>
        <v>1</v>
      </c>
      <c r="Y1685" t="b">
        <f t="shared" si="3346"/>
        <v>0</v>
      </c>
      <c r="Z1685" t="b">
        <f t="shared" si="3346"/>
        <v>0</v>
      </c>
      <c r="AA1685">
        <f t="shared" ref="AA1685:AC1685" si="3347">IF(X1685=FALSE,1,0)</f>
        <v>0</v>
      </c>
      <c r="AB1685">
        <f t="shared" si="3347"/>
        <v>1</v>
      </c>
      <c r="AC1685">
        <f t="shared" si="3347"/>
        <v>1</v>
      </c>
      <c r="AD1685">
        <f t="shared" si="6"/>
        <v>2</v>
      </c>
      <c r="AE1685">
        <f t="shared" si="7"/>
        <v>1</v>
      </c>
    </row>
    <row r="1686">
      <c r="B1686" t="str">
        <f>IFERROR(__xludf.DUMMYFUNCTION("""COMPUTED_VALUE"""),"")</f>
        <v/>
      </c>
      <c r="C1686" t="str">
        <f>IFERROR(__xludf.DUMMYFUNCTION("""COMPUTED_VALUE"""),"")</f>
        <v/>
      </c>
      <c r="D1686" t="str">
        <f>IFERROR(__xludf.DUMMYFUNCTION("""COMPUTED_VALUE"""),"")</f>
        <v/>
      </c>
      <c r="E1686" t="str">
        <f>IFERROR(__xludf.DUMMYFUNCTION("""COMPUTED_VALUE"""),"")</f>
        <v/>
      </c>
      <c r="F1686" t="str">
        <f>IFERROR(__xludf.DUMMYFUNCTION("""COMPUTED_VALUE"""),"")</f>
        <v/>
      </c>
      <c r="G1686" t="str">
        <f>IFERROR(__xludf.DUMMYFUNCTION("""COMPUTED_VALUE"""),"")</f>
        <v/>
      </c>
      <c r="H1686" t="str">
        <f>IFERROR(__xludf.DUMMYFUNCTION("""COMPUTED_VALUE"""),"")</f>
        <v/>
      </c>
      <c r="I1686" t="str">
        <f>IFERROR(__xludf.DUMMYFUNCTION("""COMPUTED_VALUE"""),"")</f>
        <v/>
      </c>
      <c r="J1686">
        <f>IFERROR(__xludf.DUMMYFUNCTION("""COMPUTED_VALUE"""),0.0)</f>
        <v>0</v>
      </c>
      <c r="L1686" s="250" t="str">
        <f>IFERROR(__xludf.DUMMYFUNCTION("""COMPUTED_VALUE"""),"")</f>
        <v/>
      </c>
      <c r="M1686" s="250" t="str">
        <f>IFERROR(__xludf.DUMMYFUNCTION("""COMPUTED_VALUE"""),"")</f>
        <v/>
      </c>
      <c r="N1686" s="250" t="str">
        <f>IFERROR(__xludf.DUMMYFUNCTION("""COMPUTED_VALUE"""),"")</f>
        <v/>
      </c>
      <c r="O1686" s="250" t="str">
        <f>IFERROR(__xludf.DUMMYFUNCTION("""COMPUTED_VALUE"""),"")</f>
        <v/>
      </c>
      <c r="P1686" s="250" t="str">
        <f>IFERROR(__xludf.DUMMYFUNCTION("""COMPUTED_VALUE"""),"")</f>
        <v/>
      </c>
      <c r="Q1686" s="250" t="str">
        <f>IFERROR(__xludf.DUMMYFUNCTION("""COMPUTED_VALUE"""),"")</f>
        <v/>
      </c>
      <c r="R1686" s="250" t="str">
        <f>IFERROR(__xludf.DUMMYFUNCTION("""COMPUTED_VALUE"""),"")</f>
        <v/>
      </c>
      <c r="U1686" s="250" t="str">
        <f>IFERROR(__xludf.DUMMYFUNCTION("""COMPUTED_VALUE"""),"#N/A")</f>
        <v>#N/A</v>
      </c>
      <c r="V1686" s="250" t="str">
        <f>IFERROR(__xludf.DUMMYFUNCTION("""COMPUTED_VALUE"""),"#N/A")</f>
        <v>#N/A</v>
      </c>
      <c r="W1686" s="250" t="str">
        <f>IFERROR(__xludf.DUMMYFUNCTION("""COMPUTED_VALUE"""),"#N/A")</f>
        <v>#N/A</v>
      </c>
      <c r="X1686" t="b">
        <f t="shared" ref="X1686:Z1686" si="3348">ISBLANK(K1686)</f>
        <v>1</v>
      </c>
      <c r="Y1686" t="b">
        <f t="shared" si="3348"/>
        <v>0</v>
      </c>
      <c r="Z1686" t="b">
        <f t="shared" si="3348"/>
        <v>0</v>
      </c>
      <c r="AA1686">
        <f t="shared" ref="AA1686:AC1686" si="3349">IF(X1686=FALSE,1,0)</f>
        <v>0</v>
      </c>
      <c r="AB1686">
        <f t="shared" si="3349"/>
        <v>1</v>
      </c>
      <c r="AC1686">
        <f t="shared" si="3349"/>
        <v>1</v>
      </c>
      <c r="AD1686">
        <f t="shared" si="6"/>
        <v>2</v>
      </c>
      <c r="AE1686">
        <f t="shared" si="7"/>
        <v>1</v>
      </c>
    </row>
    <row r="1687">
      <c r="B1687" t="str">
        <f>IFERROR(__xludf.DUMMYFUNCTION("""COMPUTED_VALUE"""),"")</f>
        <v/>
      </c>
      <c r="C1687" t="str">
        <f>IFERROR(__xludf.DUMMYFUNCTION("""COMPUTED_VALUE"""),"")</f>
        <v/>
      </c>
      <c r="D1687" t="str">
        <f>IFERROR(__xludf.DUMMYFUNCTION("""COMPUTED_VALUE"""),"")</f>
        <v/>
      </c>
      <c r="E1687" t="str">
        <f>IFERROR(__xludf.DUMMYFUNCTION("""COMPUTED_VALUE"""),"")</f>
        <v/>
      </c>
      <c r="F1687" t="str">
        <f>IFERROR(__xludf.DUMMYFUNCTION("""COMPUTED_VALUE"""),"")</f>
        <v/>
      </c>
      <c r="G1687" t="str">
        <f>IFERROR(__xludf.DUMMYFUNCTION("""COMPUTED_VALUE"""),"")</f>
        <v/>
      </c>
      <c r="H1687" t="str">
        <f>IFERROR(__xludf.DUMMYFUNCTION("""COMPUTED_VALUE"""),"")</f>
        <v/>
      </c>
      <c r="I1687" t="str">
        <f>IFERROR(__xludf.DUMMYFUNCTION("""COMPUTED_VALUE"""),"")</f>
        <v/>
      </c>
      <c r="J1687">
        <f>IFERROR(__xludf.DUMMYFUNCTION("""COMPUTED_VALUE"""),0.0)</f>
        <v>0</v>
      </c>
      <c r="L1687" s="250" t="str">
        <f>IFERROR(__xludf.DUMMYFUNCTION("""COMPUTED_VALUE"""),"")</f>
        <v/>
      </c>
      <c r="M1687" s="250" t="str">
        <f>IFERROR(__xludf.DUMMYFUNCTION("""COMPUTED_VALUE"""),"")</f>
        <v/>
      </c>
      <c r="N1687" s="250" t="str">
        <f>IFERROR(__xludf.DUMMYFUNCTION("""COMPUTED_VALUE"""),"")</f>
        <v/>
      </c>
      <c r="O1687" s="250" t="str">
        <f>IFERROR(__xludf.DUMMYFUNCTION("""COMPUTED_VALUE"""),"")</f>
        <v/>
      </c>
      <c r="P1687" s="250" t="str">
        <f>IFERROR(__xludf.DUMMYFUNCTION("""COMPUTED_VALUE"""),"")</f>
        <v/>
      </c>
      <c r="Q1687" s="250" t="str">
        <f>IFERROR(__xludf.DUMMYFUNCTION("""COMPUTED_VALUE"""),"")</f>
        <v/>
      </c>
      <c r="R1687" s="250" t="str">
        <f>IFERROR(__xludf.DUMMYFUNCTION("""COMPUTED_VALUE"""),"")</f>
        <v/>
      </c>
      <c r="U1687" s="250" t="str">
        <f>IFERROR(__xludf.DUMMYFUNCTION("""COMPUTED_VALUE"""),"#N/A")</f>
        <v>#N/A</v>
      </c>
      <c r="V1687" s="250" t="str">
        <f>IFERROR(__xludf.DUMMYFUNCTION("""COMPUTED_VALUE"""),"#N/A")</f>
        <v>#N/A</v>
      </c>
      <c r="W1687" s="250" t="str">
        <f>IFERROR(__xludf.DUMMYFUNCTION("""COMPUTED_VALUE"""),"#N/A")</f>
        <v>#N/A</v>
      </c>
      <c r="X1687" t="b">
        <f t="shared" ref="X1687:Z1687" si="3350">ISBLANK(K1687)</f>
        <v>1</v>
      </c>
      <c r="Y1687" t="b">
        <f t="shared" si="3350"/>
        <v>0</v>
      </c>
      <c r="Z1687" t="b">
        <f t="shared" si="3350"/>
        <v>0</v>
      </c>
      <c r="AA1687">
        <f t="shared" ref="AA1687:AC1687" si="3351">IF(X1687=FALSE,1,0)</f>
        <v>0</v>
      </c>
      <c r="AB1687">
        <f t="shared" si="3351"/>
        <v>1</v>
      </c>
      <c r="AC1687">
        <f t="shared" si="3351"/>
        <v>1</v>
      </c>
      <c r="AD1687">
        <f t="shared" si="6"/>
        <v>2</v>
      </c>
      <c r="AE1687">
        <f t="shared" si="7"/>
        <v>1</v>
      </c>
    </row>
    <row r="1688">
      <c r="B1688" t="str">
        <f>IFERROR(__xludf.DUMMYFUNCTION("""COMPUTED_VALUE"""),"")</f>
        <v/>
      </c>
      <c r="C1688" t="str">
        <f>IFERROR(__xludf.DUMMYFUNCTION("""COMPUTED_VALUE"""),"")</f>
        <v/>
      </c>
      <c r="D1688" t="str">
        <f>IFERROR(__xludf.DUMMYFUNCTION("""COMPUTED_VALUE"""),"")</f>
        <v/>
      </c>
      <c r="E1688" t="str">
        <f>IFERROR(__xludf.DUMMYFUNCTION("""COMPUTED_VALUE"""),"")</f>
        <v/>
      </c>
      <c r="F1688" t="str">
        <f>IFERROR(__xludf.DUMMYFUNCTION("""COMPUTED_VALUE"""),"")</f>
        <v/>
      </c>
      <c r="G1688" t="str">
        <f>IFERROR(__xludf.DUMMYFUNCTION("""COMPUTED_VALUE"""),"")</f>
        <v/>
      </c>
      <c r="H1688" t="str">
        <f>IFERROR(__xludf.DUMMYFUNCTION("""COMPUTED_VALUE"""),"")</f>
        <v/>
      </c>
      <c r="I1688" t="str">
        <f>IFERROR(__xludf.DUMMYFUNCTION("""COMPUTED_VALUE"""),"")</f>
        <v/>
      </c>
      <c r="J1688">
        <f>IFERROR(__xludf.DUMMYFUNCTION("""COMPUTED_VALUE"""),0.0)</f>
        <v>0</v>
      </c>
      <c r="L1688" s="250" t="str">
        <f>IFERROR(__xludf.DUMMYFUNCTION("""COMPUTED_VALUE"""),"")</f>
        <v/>
      </c>
      <c r="M1688" s="250" t="str">
        <f>IFERROR(__xludf.DUMMYFUNCTION("""COMPUTED_VALUE"""),"")</f>
        <v/>
      </c>
      <c r="N1688" s="250" t="str">
        <f>IFERROR(__xludf.DUMMYFUNCTION("""COMPUTED_VALUE"""),"")</f>
        <v/>
      </c>
      <c r="O1688" s="250" t="str">
        <f>IFERROR(__xludf.DUMMYFUNCTION("""COMPUTED_VALUE"""),"")</f>
        <v/>
      </c>
      <c r="P1688" s="250" t="str">
        <f>IFERROR(__xludf.DUMMYFUNCTION("""COMPUTED_VALUE"""),"")</f>
        <v/>
      </c>
      <c r="Q1688" s="250" t="str">
        <f>IFERROR(__xludf.DUMMYFUNCTION("""COMPUTED_VALUE"""),"")</f>
        <v/>
      </c>
      <c r="R1688" s="250" t="str">
        <f>IFERROR(__xludf.DUMMYFUNCTION("""COMPUTED_VALUE"""),"")</f>
        <v/>
      </c>
      <c r="U1688" s="250" t="str">
        <f>IFERROR(__xludf.DUMMYFUNCTION("""COMPUTED_VALUE"""),"#N/A")</f>
        <v>#N/A</v>
      </c>
      <c r="V1688" s="250" t="str">
        <f>IFERROR(__xludf.DUMMYFUNCTION("""COMPUTED_VALUE"""),"#N/A")</f>
        <v>#N/A</v>
      </c>
      <c r="W1688" s="250" t="str">
        <f>IFERROR(__xludf.DUMMYFUNCTION("""COMPUTED_VALUE"""),"#N/A")</f>
        <v>#N/A</v>
      </c>
      <c r="X1688" t="b">
        <f t="shared" ref="X1688:Z1688" si="3352">ISBLANK(K1688)</f>
        <v>1</v>
      </c>
      <c r="Y1688" t="b">
        <f t="shared" si="3352"/>
        <v>0</v>
      </c>
      <c r="Z1688" t="b">
        <f t="shared" si="3352"/>
        <v>0</v>
      </c>
      <c r="AA1688">
        <f t="shared" ref="AA1688:AC1688" si="3353">IF(X1688=FALSE,1,0)</f>
        <v>0</v>
      </c>
      <c r="AB1688">
        <f t="shared" si="3353"/>
        <v>1</v>
      </c>
      <c r="AC1688">
        <f t="shared" si="3353"/>
        <v>1</v>
      </c>
      <c r="AD1688">
        <f t="shared" si="6"/>
        <v>2</v>
      </c>
      <c r="AE1688">
        <f t="shared" si="7"/>
        <v>1</v>
      </c>
    </row>
    <row r="1689">
      <c r="B1689" t="str">
        <f>IFERROR(__xludf.DUMMYFUNCTION("""COMPUTED_VALUE"""),"")</f>
        <v/>
      </c>
      <c r="C1689" t="str">
        <f>IFERROR(__xludf.DUMMYFUNCTION("""COMPUTED_VALUE"""),"")</f>
        <v/>
      </c>
      <c r="D1689" t="str">
        <f>IFERROR(__xludf.DUMMYFUNCTION("""COMPUTED_VALUE"""),"")</f>
        <v/>
      </c>
      <c r="E1689" t="str">
        <f>IFERROR(__xludf.DUMMYFUNCTION("""COMPUTED_VALUE"""),"")</f>
        <v/>
      </c>
      <c r="F1689" t="str">
        <f>IFERROR(__xludf.DUMMYFUNCTION("""COMPUTED_VALUE"""),"")</f>
        <v/>
      </c>
      <c r="G1689" t="str">
        <f>IFERROR(__xludf.DUMMYFUNCTION("""COMPUTED_VALUE"""),"")</f>
        <v/>
      </c>
      <c r="H1689" t="str">
        <f>IFERROR(__xludf.DUMMYFUNCTION("""COMPUTED_VALUE"""),"")</f>
        <v/>
      </c>
      <c r="I1689" t="str">
        <f>IFERROR(__xludf.DUMMYFUNCTION("""COMPUTED_VALUE"""),"")</f>
        <v/>
      </c>
      <c r="J1689">
        <f>IFERROR(__xludf.DUMMYFUNCTION("""COMPUTED_VALUE"""),0.0)</f>
        <v>0</v>
      </c>
      <c r="L1689" s="250" t="str">
        <f>IFERROR(__xludf.DUMMYFUNCTION("""COMPUTED_VALUE"""),"")</f>
        <v/>
      </c>
      <c r="M1689" s="250" t="str">
        <f>IFERROR(__xludf.DUMMYFUNCTION("""COMPUTED_VALUE"""),"")</f>
        <v/>
      </c>
      <c r="N1689" s="250" t="str">
        <f>IFERROR(__xludf.DUMMYFUNCTION("""COMPUTED_VALUE"""),"")</f>
        <v/>
      </c>
      <c r="O1689" s="250" t="str">
        <f>IFERROR(__xludf.DUMMYFUNCTION("""COMPUTED_VALUE"""),"")</f>
        <v/>
      </c>
      <c r="P1689" s="250" t="str">
        <f>IFERROR(__xludf.DUMMYFUNCTION("""COMPUTED_VALUE"""),"")</f>
        <v/>
      </c>
      <c r="Q1689" s="250" t="str">
        <f>IFERROR(__xludf.DUMMYFUNCTION("""COMPUTED_VALUE"""),"")</f>
        <v/>
      </c>
      <c r="R1689" s="250" t="str">
        <f>IFERROR(__xludf.DUMMYFUNCTION("""COMPUTED_VALUE"""),"")</f>
        <v/>
      </c>
      <c r="U1689" s="250" t="str">
        <f>IFERROR(__xludf.DUMMYFUNCTION("""COMPUTED_VALUE"""),"#N/A")</f>
        <v>#N/A</v>
      </c>
      <c r="V1689" s="250" t="str">
        <f>IFERROR(__xludf.DUMMYFUNCTION("""COMPUTED_VALUE"""),"#N/A")</f>
        <v>#N/A</v>
      </c>
      <c r="W1689" s="250" t="str">
        <f>IFERROR(__xludf.DUMMYFUNCTION("""COMPUTED_VALUE"""),"#N/A")</f>
        <v>#N/A</v>
      </c>
      <c r="X1689" t="b">
        <f t="shared" ref="X1689:Z1689" si="3354">ISBLANK(K1689)</f>
        <v>1</v>
      </c>
      <c r="Y1689" t="b">
        <f t="shared" si="3354"/>
        <v>0</v>
      </c>
      <c r="Z1689" t="b">
        <f t="shared" si="3354"/>
        <v>0</v>
      </c>
      <c r="AA1689">
        <f t="shared" ref="AA1689:AC1689" si="3355">IF(X1689=FALSE,1,0)</f>
        <v>0</v>
      </c>
      <c r="AB1689">
        <f t="shared" si="3355"/>
        <v>1</v>
      </c>
      <c r="AC1689">
        <f t="shared" si="3355"/>
        <v>1</v>
      </c>
      <c r="AD1689">
        <f t="shared" si="6"/>
        <v>2</v>
      </c>
      <c r="AE1689">
        <f t="shared" si="7"/>
        <v>1</v>
      </c>
    </row>
    <row r="1690">
      <c r="B1690" t="str">
        <f>IFERROR(__xludf.DUMMYFUNCTION("""COMPUTED_VALUE"""),"")</f>
        <v/>
      </c>
      <c r="C1690" t="str">
        <f>IFERROR(__xludf.DUMMYFUNCTION("""COMPUTED_VALUE"""),"")</f>
        <v/>
      </c>
      <c r="D1690" t="str">
        <f>IFERROR(__xludf.DUMMYFUNCTION("""COMPUTED_VALUE"""),"")</f>
        <v/>
      </c>
      <c r="E1690" t="str">
        <f>IFERROR(__xludf.DUMMYFUNCTION("""COMPUTED_VALUE"""),"")</f>
        <v/>
      </c>
      <c r="F1690" t="str">
        <f>IFERROR(__xludf.DUMMYFUNCTION("""COMPUTED_VALUE"""),"")</f>
        <v/>
      </c>
      <c r="G1690" t="str">
        <f>IFERROR(__xludf.DUMMYFUNCTION("""COMPUTED_VALUE"""),"")</f>
        <v/>
      </c>
      <c r="H1690" t="str">
        <f>IFERROR(__xludf.DUMMYFUNCTION("""COMPUTED_VALUE"""),"")</f>
        <v/>
      </c>
      <c r="I1690" t="str">
        <f>IFERROR(__xludf.DUMMYFUNCTION("""COMPUTED_VALUE"""),"")</f>
        <v/>
      </c>
      <c r="J1690">
        <f>IFERROR(__xludf.DUMMYFUNCTION("""COMPUTED_VALUE"""),0.0)</f>
        <v>0</v>
      </c>
      <c r="L1690" s="250" t="str">
        <f>IFERROR(__xludf.DUMMYFUNCTION("""COMPUTED_VALUE"""),"")</f>
        <v/>
      </c>
      <c r="M1690" s="250" t="str">
        <f>IFERROR(__xludf.DUMMYFUNCTION("""COMPUTED_VALUE"""),"")</f>
        <v/>
      </c>
      <c r="N1690" s="250" t="str">
        <f>IFERROR(__xludf.DUMMYFUNCTION("""COMPUTED_VALUE"""),"")</f>
        <v/>
      </c>
      <c r="O1690" s="250" t="str">
        <f>IFERROR(__xludf.DUMMYFUNCTION("""COMPUTED_VALUE"""),"")</f>
        <v/>
      </c>
      <c r="P1690" s="250" t="str">
        <f>IFERROR(__xludf.DUMMYFUNCTION("""COMPUTED_VALUE"""),"")</f>
        <v/>
      </c>
      <c r="Q1690" s="250" t="str">
        <f>IFERROR(__xludf.DUMMYFUNCTION("""COMPUTED_VALUE"""),"")</f>
        <v/>
      </c>
      <c r="R1690" s="250" t="str">
        <f>IFERROR(__xludf.DUMMYFUNCTION("""COMPUTED_VALUE"""),"")</f>
        <v/>
      </c>
      <c r="U1690" s="250" t="str">
        <f>IFERROR(__xludf.DUMMYFUNCTION("""COMPUTED_VALUE"""),"#N/A")</f>
        <v>#N/A</v>
      </c>
      <c r="V1690" s="250" t="str">
        <f>IFERROR(__xludf.DUMMYFUNCTION("""COMPUTED_VALUE"""),"#N/A")</f>
        <v>#N/A</v>
      </c>
      <c r="W1690" s="250" t="str">
        <f>IFERROR(__xludf.DUMMYFUNCTION("""COMPUTED_VALUE"""),"#N/A")</f>
        <v>#N/A</v>
      </c>
      <c r="X1690" t="b">
        <f t="shared" ref="X1690:Z1690" si="3356">ISBLANK(K1690)</f>
        <v>1</v>
      </c>
      <c r="Y1690" t="b">
        <f t="shared" si="3356"/>
        <v>0</v>
      </c>
      <c r="Z1690" t="b">
        <f t="shared" si="3356"/>
        <v>0</v>
      </c>
      <c r="AA1690">
        <f t="shared" ref="AA1690:AC1690" si="3357">IF(X1690=FALSE,1,0)</f>
        <v>0</v>
      </c>
      <c r="AB1690">
        <f t="shared" si="3357"/>
        <v>1</v>
      </c>
      <c r="AC1690">
        <f t="shared" si="3357"/>
        <v>1</v>
      </c>
      <c r="AD1690">
        <f t="shared" si="6"/>
        <v>2</v>
      </c>
      <c r="AE1690">
        <f t="shared" si="7"/>
        <v>1</v>
      </c>
    </row>
    <row r="1691">
      <c r="B1691" t="str">
        <f>IFERROR(__xludf.DUMMYFUNCTION("""COMPUTED_VALUE"""),"")</f>
        <v/>
      </c>
      <c r="C1691" t="str">
        <f>IFERROR(__xludf.DUMMYFUNCTION("""COMPUTED_VALUE"""),"")</f>
        <v/>
      </c>
      <c r="D1691" t="str">
        <f>IFERROR(__xludf.DUMMYFUNCTION("""COMPUTED_VALUE"""),"")</f>
        <v/>
      </c>
      <c r="E1691" t="str">
        <f>IFERROR(__xludf.DUMMYFUNCTION("""COMPUTED_VALUE"""),"")</f>
        <v/>
      </c>
      <c r="F1691" t="str">
        <f>IFERROR(__xludf.DUMMYFUNCTION("""COMPUTED_VALUE"""),"")</f>
        <v/>
      </c>
      <c r="G1691" t="str">
        <f>IFERROR(__xludf.DUMMYFUNCTION("""COMPUTED_VALUE"""),"")</f>
        <v/>
      </c>
      <c r="H1691" t="str">
        <f>IFERROR(__xludf.DUMMYFUNCTION("""COMPUTED_VALUE"""),"")</f>
        <v/>
      </c>
      <c r="I1691" t="str">
        <f>IFERROR(__xludf.DUMMYFUNCTION("""COMPUTED_VALUE"""),"")</f>
        <v/>
      </c>
      <c r="J1691">
        <f>IFERROR(__xludf.DUMMYFUNCTION("""COMPUTED_VALUE"""),0.0)</f>
        <v>0</v>
      </c>
      <c r="L1691" s="250" t="str">
        <f>IFERROR(__xludf.DUMMYFUNCTION("""COMPUTED_VALUE"""),"")</f>
        <v/>
      </c>
      <c r="M1691" s="250" t="str">
        <f>IFERROR(__xludf.DUMMYFUNCTION("""COMPUTED_VALUE"""),"")</f>
        <v/>
      </c>
      <c r="N1691" s="250" t="str">
        <f>IFERROR(__xludf.DUMMYFUNCTION("""COMPUTED_VALUE"""),"")</f>
        <v/>
      </c>
      <c r="O1691" s="250" t="str">
        <f>IFERROR(__xludf.DUMMYFUNCTION("""COMPUTED_VALUE"""),"")</f>
        <v/>
      </c>
      <c r="P1691" s="250" t="str">
        <f>IFERROR(__xludf.DUMMYFUNCTION("""COMPUTED_VALUE"""),"")</f>
        <v/>
      </c>
      <c r="Q1691" s="250" t="str">
        <f>IFERROR(__xludf.DUMMYFUNCTION("""COMPUTED_VALUE"""),"")</f>
        <v/>
      </c>
      <c r="R1691" s="250" t="str">
        <f>IFERROR(__xludf.DUMMYFUNCTION("""COMPUTED_VALUE"""),"")</f>
        <v/>
      </c>
      <c r="U1691" s="250" t="str">
        <f>IFERROR(__xludf.DUMMYFUNCTION("""COMPUTED_VALUE"""),"#N/A")</f>
        <v>#N/A</v>
      </c>
      <c r="V1691" s="250" t="str">
        <f>IFERROR(__xludf.DUMMYFUNCTION("""COMPUTED_VALUE"""),"#N/A")</f>
        <v>#N/A</v>
      </c>
      <c r="W1691" s="250" t="str">
        <f>IFERROR(__xludf.DUMMYFUNCTION("""COMPUTED_VALUE"""),"#N/A")</f>
        <v>#N/A</v>
      </c>
      <c r="X1691" t="b">
        <f t="shared" ref="X1691:Z1691" si="3358">ISBLANK(K1691)</f>
        <v>1</v>
      </c>
      <c r="Y1691" t="b">
        <f t="shared" si="3358"/>
        <v>0</v>
      </c>
      <c r="Z1691" t="b">
        <f t="shared" si="3358"/>
        <v>0</v>
      </c>
      <c r="AA1691">
        <f t="shared" ref="AA1691:AC1691" si="3359">IF(X1691=FALSE,1,0)</f>
        <v>0</v>
      </c>
      <c r="AB1691">
        <f t="shared" si="3359"/>
        <v>1</v>
      </c>
      <c r="AC1691">
        <f t="shared" si="3359"/>
        <v>1</v>
      </c>
      <c r="AD1691">
        <f t="shared" si="6"/>
        <v>2</v>
      </c>
      <c r="AE1691">
        <f t="shared" si="7"/>
        <v>1</v>
      </c>
    </row>
    <row r="1692">
      <c r="B1692" t="str">
        <f>IFERROR(__xludf.DUMMYFUNCTION("""COMPUTED_VALUE"""),"")</f>
        <v/>
      </c>
      <c r="C1692" t="str">
        <f>IFERROR(__xludf.DUMMYFUNCTION("""COMPUTED_VALUE"""),"")</f>
        <v/>
      </c>
      <c r="D1692" t="str">
        <f>IFERROR(__xludf.DUMMYFUNCTION("""COMPUTED_VALUE"""),"")</f>
        <v/>
      </c>
      <c r="E1692" t="str">
        <f>IFERROR(__xludf.DUMMYFUNCTION("""COMPUTED_VALUE"""),"")</f>
        <v/>
      </c>
      <c r="F1692" t="str">
        <f>IFERROR(__xludf.DUMMYFUNCTION("""COMPUTED_VALUE"""),"")</f>
        <v/>
      </c>
      <c r="G1692" t="str">
        <f>IFERROR(__xludf.DUMMYFUNCTION("""COMPUTED_VALUE"""),"")</f>
        <v/>
      </c>
      <c r="H1692" t="str">
        <f>IFERROR(__xludf.DUMMYFUNCTION("""COMPUTED_VALUE"""),"")</f>
        <v/>
      </c>
      <c r="I1692" t="str">
        <f>IFERROR(__xludf.DUMMYFUNCTION("""COMPUTED_VALUE"""),"")</f>
        <v/>
      </c>
      <c r="J1692">
        <f>IFERROR(__xludf.DUMMYFUNCTION("""COMPUTED_VALUE"""),0.0)</f>
        <v>0</v>
      </c>
      <c r="L1692" s="250" t="str">
        <f>IFERROR(__xludf.DUMMYFUNCTION("""COMPUTED_VALUE"""),"")</f>
        <v/>
      </c>
      <c r="M1692" s="250" t="str">
        <f>IFERROR(__xludf.DUMMYFUNCTION("""COMPUTED_VALUE"""),"")</f>
        <v/>
      </c>
      <c r="N1692" s="250" t="str">
        <f>IFERROR(__xludf.DUMMYFUNCTION("""COMPUTED_VALUE"""),"")</f>
        <v/>
      </c>
      <c r="O1692" s="250" t="str">
        <f>IFERROR(__xludf.DUMMYFUNCTION("""COMPUTED_VALUE"""),"")</f>
        <v/>
      </c>
      <c r="P1692" s="250" t="str">
        <f>IFERROR(__xludf.DUMMYFUNCTION("""COMPUTED_VALUE"""),"")</f>
        <v/>
      </c>
      <c r="Q1692" s="250" t="str">
        <f>IFERROR(__xludf.DUMMYFUNCTION("""COMPUTED_VALUE"""),"")</f>
        <v/>
      </c>
      <c r="R1692" s="250" t="str">
        <f>IFERROR(__xludf.DUMMYFUNCTION("""COMPUTED_VALUE"""),"")</f>
        <v/>
      </c>
      <c r="U1692" s="250" t="str">
        <f>IFERROR(__xludf.DUMMYFUNCTION("""COMPUTED_VALUE"""),"#N/A")</f>
        <v>#N/A</v>
      </c>
      <c r="V1692" s="250" t="str">
        <f>IFERROR(__xludf.DUMMYFUNCTION("""COMPUTED_VALUE"""),"#N/A")</f>
        <v>#N/A</v>
      </c>
      <c r="W1692" s="250" t="str">
        <f>IFERROR(__xludf.DUMMYFUNCTION("""COMPUTED_VALUE"""),"#N/A")</f>
        <v>#N/A</v>
      </c>
      <c r="X1692" t="b">
        <f t="shared" ref="X1692:Z1692" si="3360">ISBLANK(K1692)</f>
        <v>1</v>
      </c>
      <c r="Y1692" t="b">
        <f t="shared" si="3360"/>
        <v>0</v>
      </c>
      <c r="Z1692" t="b">
        <f t="shared" si="3360"/>
        <v>0</v>
      </c>
      <c r="AA1692">
        <f t="shared" ref="AA1692:AC1692" si="3361">IF(X1692=FALSE,1,0)</f>
        <v>0</v>
      </c>
      <c r="AB1692">
        <f t="shared" si="3361"/>
        <v>1</v>
      </c>
      <c r="AC1692">
        <f t="shared" si="3361"/>
        <v>1</v>
      </c>
      <c r="AD1692">
        <f t="shared" si="6"/>
        <v>2</v>
      </c>
      <c r="AE1692">
        <f t="shared" si="7"/>
        <v>1</v>
      </c>
    </row>
    <row r="1693">
      <c r="B1693" t="str">
        <f>IFERROR(__xludf.DUMMYFUNCTION("""COMPUTED_VALUE"""),"")</f>
        <v/>
      </c>
      <c r="C1693" t="str">
        <f>IFERROR(__xludf.DUMMYFUNCTION("""COMPUTED_VALUE"""),"")</f>
        <v/>
      </c>
      <c r="D1693" t="str">
        <f>IFERROR(__xludf.DUMMYFUNCTION("""COMPUTED_VALUE"""),"")</f>
        <v/>
      </c>
      <c r="E1693" t="str">
        <f>IFERROR(__xludf.DUMMYFUNCTION("""COMPUTED_VALUE"""),"")</f>
        <v/>
      </c>
      <c r="F1693" t="str">
        <f>IFERROR(__xludf.DUMMYFUNCTION("""COMPUTED_VALUE"""),"")</f>
        <v/>
      </c>
      <c r="G1693" t="str">
        <f>IFERROR(__xludf.DUMMYFUNCTION("""COMPUTED_VALUE"""),"")</f>
        <v/>
      </c>
      <c r="H1693" t="str">
        <f>IFERROR(__xludf.DUMMYFUNCTION("""COMPUTED_VALUE"""),"")</f>
        <v/>
      </c>
      <c r="I1693" t="str">
        <f>IFERROR(__xludf.DUMMYFUNCTION("""COMPUTED_VALUE"""),"")</f>
        <v/>
      </c>
      <c r="J1693">
        <f>IFERROR(__xludf.DUMMYFUNCTION("""COMPUTED_VALUE"""),0.0)</f>
        <v>0</v>
      </c>
      <c r="L1693" s="250" t="str">
        <f>IFERROR(__xludf.DUMMYFUNCTION("""COMPUTED_VALUE"""),"")</f>
        <v/>
      </c>
      <c r="M1693" s="250" t="str">
        <f>IFERROR(__xludf.DUMMYFUNCTION("""COMPUTED_VALUE"""),"")</f>
        <v/>
      </c>
      <c r="N1693" s="250" t="str">
        <f>IFERROR(__xludf.DUMMYFUNCTION("""COMPUTED_VALUE"""),"")</f>
        <v/>
      </c>
      <c r="O1693" s="250" t="str">
        <f>IFERROR(__xludf.DUMMYFUNCTION("""COMPUTED_VALUE"""),"")</f>
        <v/>
      </c>
      <c r="P1693" s="250" t="str">
        <f>IFERROR(__xludf.DUMMYFUNCTION("""COMPUTED_VALUE"""),"")</f>
        <v/>
      </c>
      <c r="Q1693" s="250" t="str">
        <f>IFERROR(__xludf.DUMMYFUNCTION("""COMPUTED_VALUE"""),"")</f>
        <v/>
      </c>
      <c r="R1693" s="250" t="str">
        <f>IFERROR(__xludf.DUMMYFUNCTION("""COMPUTED_VALUE"""),"")</f>
        <v/>
      </c>
      <c r="U1693" s="250" t="str">
        <f>IFERROR(__xludf.DUMMYFUNCTION("""COMPUTED_VALUE"""),"#N/A")</f>
        <v>#N/A</v>
      </c>
      <c r="V1693" s="250" t="str">
        <f>IFERROR(__xludf.DUMMYFUNCTION("""COMPUTED_VALUE"""),"#N/A")</f>
        <v>#N/A</v>
      </c>
      <c r="W1693" s="250" t="str">
        <f>IFERROR(__xludf.DUMMYFUNCTION("""COMPUTED_VALUE"""),"#N/A")</f>
        <v>#N/A</v>
      </c>
      <c r="X1693" t="b">
        <f t="shared" ref="X1693:Z1693" si="3362">ISBLANK(K1693)</f>
        <v>1</v>
      </c>
      <c r="Y1693" t="b">
        <f t="shared" si="3362"/>
        <v>0</v>
      </c>
      <c r="Z1693" t="b">
        <f t="shared" si="3362"/>
        <v>0</v>
      </c>
      <c r="AA1693">
        <f t="shared" ref="AA1693:AC1693" si="3363">IF(X1693=FALSE,1,0)</f>
        <v>0</v>
      </c>
      <c r="AB1693">
        <f t="shared" si="3363"/>
        <v>1</v>
      </c>
      <c r="AC1693">
        <f t="shared" si="3363"/>
        <v>1</v>
      </c>
      <c r="AD1693">
        <f t="shared" si="6"/>
        <v>2</v>
      </c>
      <c r="AE1693">
        <f t="shared" si="7"/>
        <v>1</v>
      </c>
    </row>
    <row r="1694">
      <c r="B1694" t="str">
        <f>IFERROR(__xludf.DUMMYFUNCTION("""COMPUTED_VALUE"""),"")</f>
        <v/>
      </c>
      <c r="C1694" t="str">
        <f>IFERROR(__xludf.DUMMYFUNCTION("""COMPUTED_VALUE"""),"")</f>
        <v/>
      </c>
      <c r="D1694" t="str">
        <f>IFERROR(__xludf.DUMMYFUNCTION("""COMPUTED_VALUE"""),"")</f>
        <v/>
      </c>
      <c r="E1694" t="str">
        <f>IFERROR(__xludf.DUMMYFUNCTION("""COMPUTED_VALUE"""),"")</f>
        <v/>
      </c>
      <c r="F1694" t="str">
        <f>IFERROR(__xludf.DUMMYFUNCTION("""COMPUTED_VALUE"""),"")</f>
        <v/>
      </c>
      <c r="G1694" t="str">
        <f>IFERROR(__xludf.DUMMYFUNCTION("""COMPUTED_VALUE"""),"")</f>
        <v/>
      </c>
      <c r="H1694" t="str">
        <f>IFERROR(__xludf.DUMMYFUNCTION("""COMPUTED_VALUE"""),"")</f>
        <v/>
      </c>
      <c r="I1694" t="str">
        <f>IFERROR(__xludf.DUMMYFUNCTION("""COMPUTED_VALUE"""),"")</f>
        <v/>
      </c>
      <c r="J1694">
        <f>IFERROR(__xludf.DUMMYFUNCTION("""COMPUTED_VALUE"""),0.0)</f>
        <v>0</v>
      </c>
      <c r="L1694" s="250" t="str">
        <f>IFERROR(__xludf.DUMMYFUNCTION("""COMPUTED_VALUE"""),"")</f>
        <v/>
      </c>
      <c r="M1694" s="250" t="str">
        <f>IFERROR(__xludf.DUMMYFUNCTION("""COMPUTED_VALUE"""),"")</f>
        <v/>
      </c>
      <c r="N1694" s="250" t="str">
        <f>IFERROR(__xludf.DUMMYFUNCTION("""COMPUTED_VALUE"""),"")</f>
        <v/>
      </c>
      <c r="O1694" s="250" t="str">
        <f>IFERROR(__xludf.DUMMYFUNCTION("""COMPUTED_VALUE"""),"")</f>
        <v/>
      </c>
      <c r="P1694" s="250" t="str">
        <f>IFERROR(__xludf.DUMMYFUNCTION("""COMPUTED_VALUE"""),"")</f>
        <v/>
      </c>
      <c r="Q1694" s="250" t="str">
        <f>IFERROR(__xludf.DUMMYFUNCTION("""COMPUTED_VALUE"""),"")</f>
        <v/>
      </c>
      <c r="R1694" s="250" t="str">
        <f>IFERROR(__xludf.DUMMYFUNCTION("""COMPUTED_VALUE"""),"")</f>
        <v/>
      </c>
      <c r="U1694" s="250" t="str">
        <f>IFERROR(__xludf.DUMMYFUNCTION("""COMPUTED_VALUE"""),"#N/A")</f>
        <v>#N/A</v>
      </c>
      <c r="V1694" s="250" t="str">
        <f>IFERROR(__xludf.DUMMYFUNCTION("""COMPUTED_VALUE"""),"#N/A")</f>
        <v>#N/A</v>
      </c>
      <c r="W1694" s="250" t="str">
        <f>IFERROR(__xludf.DUMMYFUNCTION("""COMPUTED_VALUE"""),"#N/A")</f>
        <v>#N/A</v>
      </c>
      <c r="X1694" t="b">
        <f t="shared" ref="X1694:Z1694" si="3364">ISBLANK(K1694)</f>
        <v>1</v>
      </c>
      <c r="Y1694" t="b">
        <f t="shared" si="3364"/>
        <v>0</v>
      </c>
      <c r="Z1694" t="b">
        <f t="shared" si="3364"/>
        <v>0</v>
      </c>
      <c r="AA1694">
        <f t="shared" ref="AA1694:AC1694" si="3365">IF(X1694=FALSE,1,0)</f>
        <v>0</v>
      </c>
      <c r="AB1694">
        <f t="shared" si="3365"/>
        <v>1</v>
      </c>
      <c r="AC1694">
        <f t="shared" si="3365"/>
        <v>1</v>
      </c>
      <c r="AD1694">
        <f t="shared" si="6"/>
        <v>2</v>
      </c>
      <c r="AE1694">
        <f t="shared" si="7"/>
        <v>1</v>
      </c>
    </row>
    <row r="1695">
      <c r="B1695" t="str">
        <f>IFERROR(__xludf.DUMMYFUNCTION("""COMPUTED_VALUE"""),"")</f>
        <v/>
      </c>
      <c r="C1695" t="str">
        <f>IFERROR(__xludf.DUMMYFUNCTION("""COMPUTED_VALUE"""),"")</f>
        <v/>
      </c>
      <c r="D1695" t="str">
        <f>IFERROR(__xludf.DUMMYFUNCTION("""COMPUTED_VALUE"""),"")</f>
        <v/>
      </c>
      <c r="E1695" t="str">
        <f>IFERROR(__xludf.DUMMYFUNCTION("""COMPUTED_VALUE"""),"")</f>
        <v/>
      </c>
      <c r="F1695" t="str">
        <f>IFERROR(__xludf.DUMMYFUNCTION("""COMPUTED_VALUE"""),"")</f>
        <v/>
      </c>
      <c r="G1695" t="str">
        <f>IFERROR(__xludf.DUMMYFUNCTION("""COMPUTED_VALUE"""),"")</f>
        <v/>
      </c>
      <c r="H1695" t="str">
        <f>IFERROR(__xludf.DUMMYFUNCTION("""COMPUTED_VALUE"""),"")</f>
        <v/>
      </c>
      <c r="I1695" t="str">
        <f>IFERROR(__xludf.DUMMYFUNCTION("""COMPUTED_VALUE"""),"")</f>
        <v/>
      </c>
      <c r="J1695">
        <f>IFERROR(__xludf.DUMMYFUNCTION("""COMPUTED_VALUE"""),0.0)</f>
        <v>0</v>
      </c>
      <c r="L1695" s="250" t="str">
        <f>IFERROR(__xludf.DUMMYFUNCTION("""COMPUTED_VALUE"""),"")</f>
        <v/>
      </c>
      <c r="M1695" s="250" t="str">
        <f>IFERROR(__xludf.DUMMYFUNCTION("""COMPUTED_VALUE"""),"")</f>
        <v/>
      </c>
      <c r="N1695" s="250" t="str">
        <f>IFERROR(__xludf.DUMMYFUNCTION("""COMPUTED_VALUE"""),"")</f>
        <v/>
      </c>
      <c r="O1695" s="250" t="str">
        <f>IFERROR(__xludf.DUMMYFUNCTION("""COMPUTED_VALUE"""),"")</f>
        <v/>
      </c>
      <c r="P1695" s="250" t="str">
        <f>IFERROR(__xludf.DUMMYFUNCTION("""COMPUTED_VALUE"""),"")</f>
        <v/>
      </c>
      <c r="Q1695" s="250" t="str">
        <f>IFERROR(__xludf.DUMMYFUNCTION("""COMPUTED_VALUE"""),"")</f>
        <v/>
      </c>
      <c r="R1695" s="250" t="str">
        <f>IFERROR(__xludf.DUMMYFUNCTION("""COMPUTED_VALUE"""),"")</f>
        <v/>
      </c>
      <c r="U1695" s="250" t="str">
        <f>IFERROR(__xludf.DUMMYFUNCTION("""COMPUTED_VALUE"""),"#N/A")</f>
        <v>#N/A</v>
      </c>
      <c r="V1695" s="250" t="str">
        <f>IFERROR(__xludf.DUMMYFUNCTION("""COMPUTED_VALUE"""),"#N/A")</f>
        <v>#N/A</v>
      </c>
      <c r="W1695" s="250" t="str">
        <f>IFERROR(__xludf.DUMMYFUNCTION("""COMPUTED_VALUE"""),"#N/A")</f>
        <v>#N/A</v>
      </c>
      <c r="X1695" t="b">
        <f t="shared" ref="X1695:Z1695" si="3366">ISBLANK(K1695)</f>
        <v>1</v>
      </c>
      <c r="Y1695" t="b">
        <f t="shared" si="3366"/>
        <v>0</v>
      </c>
      <c r="Z1695" t="b">
        <f t="shared" si="3366"/>
        <v>0</v>
      </c>
      <c r="AA1695">
        <f t="shared" ref="AA1695:AC1695" si="3367">IF(X1695=FALSE,1,0)</f>
        <v>0</v>
      </c>
      <c r="AB1695">
        <f t="shared" si="3367"/>
        <v>1</v>
      </c>
      <c r="AC1695">
        <f t="shared" si="3367"/>
        <v>1</v>
      </c>
      <c r="AD1695">
        <f t="shared" si="6"/>
        <v>2</v>
      </c>
      <c r="AE1695">
        <f t="shared" si="7"/>
        <v>1</v>
      </c>
    </row>
    <row r="1696">
      <c r="B1696" t="str">
        <f>IFERROR(__xludf.DUMMYFUNCTION("""COMPUTED_VALUE"""),"")</f>
        <v/>
      </c>
      <c r="C1696" t="str">
        <f>IFERROR(__xludf.DUMMYFUNCTION("""COMPUTED_VALUE"""),"")</f>
        <v/>
      </c>
      <c r="D1696" t="str">
        <f>IFERROR(__xludf.DUMMYFUNCTION("""COMPUTED_VALUE"""),"")</f>
        <v/>
      </c>
      <c r="E1696" t="str">
        <f>IFERROR(__xludf.DUMMYFUNCTION("""COMPUTED_VALUE"""),"")</f>
        <v/>
      </c>
      <c r="F1696" t="str">
        <f>IFERROR(__xludf.DUMMYFUNCTION("""COMPUTED_VALUE"""),"")</f>
        <v/>
      </c>
      <c r="G1696" t="str">
        <f>IFERROR(__xludf.DUMMYFUNCTION("""COMPUTED_VALUE"""),"")</f>
        <v/>
      </c>
      <c r="H1696" t="str">
        <f>IFERROR(__xludf.DUMMYFUNCTION("""COMPUTED_VALUE"""),"")</f>
        <v/>
      </c>
      <c r="I1696" t="str">
        <f>IFERROR(__xludf.DUMMYFUNCTION("""COMPUTED_VALUE"""),"")</f>
        <v/>
      </c>
      <c r="J1696">
        <f>IFERROR(__xludf.DUMMYFUNCTION("""COMPUTED_VALUE"""),0.0)</f>
        <v>0</v>
      </c>
      <c r="L1696" s="250" t="str">
        <f>IFERROR(__xludf.DUMMYFUNCTION("""COMPUTED_VALUE"""),"")</f>
        <v/>
      </c>
      <c r="M1696" s="250" t="str">
        <f>IFERROR(__xludf.DUMMYFUNCTION("""COMPUTED_VALUE"""),"")</f>
        <v/>
      </c>
      <c r="N1696" s="250" t="str">
        <f>IFERROR(__xludf.DUMMYFUNCTION("""COMPUTED_VALUE"""),"")</f>
        <v/>
      </c>
      <c r="O1696" s="250" t="str">
        <f>IFERROR(__xludf.DUMMYFUNCTION("""COMPUTED_VALUE"""),"")</f>
        <v/>
      </c>
      <c r="P1696" s="250" t="str">
        <f>IFERROR(__xludf.DUMMYFUNCTION("""COMPUTED_VALUE"""),"")</f>
        <v/>
      </c>
      <c r="Q1696" s="250" t="str">
        <f>IFERROR(__xludf.DUMMYFUNCTION("""COMPUTED_VALUE"""),"")</f>
        <v/>
      </c>
      <c r="R1696" s="250" t="str">
        <f>IFERROR(__xludf.DUMMYFUNCTION("""COMPUTED_VALUE"""),"")</f>
        <v/>
      </c>
      <c r="U1696" s="250" t="str">
        <f>IFERROR(__xludf.DUMMYFUNCTION("""COMPUTED_VALUE"""),"#N/A")</f>
        <v>#N/A</v>
      </c>
      <c r="V1696" s="250" t="str">
        <f>IFERROR(__xludf.DUMMYFUNCTION("""COMPUTED_VALUE"""),"#N/A")</f>
        <v>#N/A</v>
      </c>
      <c r="W1696" s="250" t="str">
        <f>IFERROR(__xludf.DUMMYFUNCTION("""COMPUTED_VALUE"""),"#N/A")</f>
        <v>#N/A</v>
      </c>
      <c r="X1696" t="b">
        <f t="shared" ref="X1696:Z1696" si="3368">ISBLANK(K1696)</f>
        <v>1</v>
      </c>
      <c r="Y1696" t="b">
        <f t="shared" si="3368"/>
        <v>0</v>
      </c>
      <c r="Z1696" t="b">
        <f t="shared" si="3368"/>
        <v>0</v>
      </c>
      <c r="AA1696">
        <f t="shared" ref="AA1696:AC1696" si="3369">IF(X1696=FALSE,1,0)</f>
        <v>0</v>
      </c>
      <c r="AB1696">
        <f t="shared" si="3369"/>
        <v>1</v>
      </c>
      <c r="AC1696">
        <f t="shared" si="3369"/>
        <v>1</v>
      </c>
      <c r="AD1696">
        <f t="shared" si="6"/>
        <v>2</v>
      </c>
      <c r="AE1696">
        <f t="shared" si="7"/>
        <v>1</v>
      </c>
    </row>
    <row r="1697">
      <c r="B1697" t="str">
        <f>IFERROR(__xludf.DUMMYFUNCTION("""COMPUTED_VALUE"""),"")</f>
        <v/>
      </c>
      <c r="C1697" t="str">
        <f>IFERROR(__xludf.DUMMYFUNCTION("""COMPUTED_VALUE"""),"")</f>
        <v/>
      </c>
      <c r="D1697" t="str">
        <f>IFERROR(__xludf.DUMMYFUNCTION("""COMPUTED_VALUE"""),"")</f>
        <v/>
      </c>
      <c r="E1697" t="str">
        <f>IFERROR(__xludf.DUMMYFUNCTION("""COMPUTED_VALUE"""),"")</f>
        <v/>
      </c>
      <c r="F1697" t="str">
        <f>IFERROR(__xludf.DUMMYFUNCTION("""COMPUTED_VALUE"""),"")</f>
        <v/>
      </c>
      <c r="G1697" t="str">
        <f>IFERROR(__xludf.DUMMYFUNCTION("""COMPUTED_VALUE"""),"")</f>
        <v/>
      </c>
      <c r="H1697" t="str">
        <f>IFERROR(__xludf.DUMMYFUNCTION("""COMPUTED_VALUE"""),"")</f>
        <v/>
      </c>
      <c r="I1697" t="str">
        <f>IFERROR(__xludf.DUMMYFUNCTION("""COMPUTED_VALUE"""),"")</f>
        <v/>
      </c>
      <c r="J1697">
        <f>IFERROR(__xludf.DUMMYFUNCTION("""COMPUTED_VALUE"""),0.0)</f>
        <v>0</v>
      </c>
      <c r="L1697" s="250" t="str">
        <f>IFERROR(__xludf.DUMMYFUNCTION("""COMPUTED_VALUE"""),"")</f>
        <v/>
      </c>
      <c r="M1697" s="250" t="str">
        <f>IFERROR(__xludf.DUMMYFUNCTION("""COMPUTED_VALUE"""),"")</f>
        <v/>
      </c>
      <c r="N1697" s="250" t="str">
        <f>IFERROR(__xludf.DUMMYFUNCTION("""COMPUTED_VALUE"""),"")</f>
        <v/>
      </c>
      <c r="O1697" s="250" t="str">
        <f>IFERROR(__xludf.DUMMYFUNCTION("""COMPUTED_VALUE"""),"")</f>
        <v/>
      </c>
      <c r="P1697" s="250" t="str">
        <f>IFERROR(__xludf.DUMMYFUNCTION("""COMPUTED_VALUE"""),"")</f>
        <v/>
      </c>
      <c r="Q1697" s="250" t="str">
        <f>IFERROR(__xludf.DUMMYFUNCTION("""COMPUTED_VALUE"""),"")</f>
        <v/>
      </c>
      <c r="R1697" s="250" t="str">
        <f>IFERROR(__xludf.DUMMYFUNCTION("""COMPUTED_VALUE"""),"")</f>
        <v/>
      </c>
      <c r="U1697" s="250" t="str">
        <f>IFERROR(__xludf.DUMMYFUNCTION("""COMPUTED_VALUE"""),"#N/A")</f>
        <v>#N/A</v>
      </c>
      <c r="V1697" s="250" t="str">
        <f>IFERROR(__xludf.DUMMYFUNCTION("""COMPUTED_VALUE"""),"#N/A")</f>
        <v>#N/A</v>
      </c>
      <c r="W1697" s="250" t="str">
        <f>IFERROR(__xludf.DUMMYFUNCTION("""COMPUTED_VALUE"""),"#N/A")</f>
        <v>#N/A</v>
      </c>
      <c r="X1697" t="b">
        <f t="shared" ref="X1697:Z1697" si="3370">ISBLANK(K1697)</f>
        <v>1</v>
      </c>
      <c r="Y1697" t="b">
        <f t="shared" si="3370"/>
        <v>0</v>
      </c>
      <c r="Z1697" t="b">
        <f t="shared" si="3370"/>
        <v>0</v>
      </c>
      <c r="AA1697">
        <f t="shared" ref="AA1697:AC1697" si="3371">IF(X1697=FALSE,1,0)</f>
        <v>0</v>
      </c>
      <c r="AB1697">
        <f t="shared" si="3371"/>
        <v>1</v>
      </c>
      <c r="AC1697">
        <f t="shared" si="3371"/>
        <v>1</v>
      </c>
      <c r="AD1697">
        <f t="shared" si="6"/>
        <v>2</v>
      </c>
      <c r="AE1697">
        <f t="shared" si="7"/>
        <v>1</v>
      </c>
    </row>
    <row r="1698">
      <c r="B1698" t="str">
        <f>IFERROR(__xludf.DUMMYFUNCTION("""COMPUTED_VALUE"""),"")</f>
        <v/>
      </c>
      <c r="C1698" t="str">
        <f>IFERROR(__xludf.DUMMYFUNCTION("""COMPUTED_VALUE"""),"")</f>
        <v/>
      </c>
      <c r="D1698" t="str">
        <f>IFERROR(__xludf.DUMMYFUNCTION("""COMPUTED_VALUE"""),"")</f>
        <v/>
      </c>
      <c r="E1698" t="str">
        <f>IFERROR(__xludf.DUMMYFUNCTION("""COMPUTED_VALUE"""),"")</f>
        <v/>
      </c>
      <c r="F1698" t="str">
        <f>IFERROR(__xludf.DUMMYFUNCTION("""COMPUTED_VALUE"""),"")</f>
        <v/>
      </c>
      <c r="G1698" t="str">
        <f>IFERROR(__xludf.DUMMYFUNCTION("""COMPUTED_VALUE"""),"")</f>
        <v/>
      </c>
      <c r="H1698" t="str">
        <f>IFERROR(__xludf.DUMMYFUNCTION("""COMPUTED_VALUE"""),"")</f>
        <v/>
      </c>
      <c r="I1698" t="str">
        <f>IFERROR(__xludf.DUMMYFUNCTION("""COMPUTED_VALUE"""),"")</f>
        <v/>
      </c>
      <c r="J1698">
        <f>IFERROR(__xludf.DUMMYFUNCTION("""COMPUTED_VALUE"""),0.0)</f>
        <v>0</v>
      </c>
      <c r="L1698" s="250" t="str">
        <f>IFERROR(__xludf.DUMMYFUNCTION("""COMPUTED_VALUE"""),"")</f>
        <v/>
      </c>
      <c r="M1698" s="250" t="str">
        <f>IFERROR(__xludf.DUMMYFUNCTION("""COMPUTED_VALUE"""),"")</f>
        <v/>
      </c>
      <c r="N1698" s="250" t="str">
        <f>IFERROR(__xludf.DUMMYFUNCTION("""COMPUTED_VALUE"""),"")</f>
        <v/>
      </c>
      <c r="O1698" s="250" t="str">
        <f>IFERROR(__xludf.DUMMYFUNCTION("""COMPUTED_VALUE"""),"")</f>
        <v/>
      </c>
      <c r="P1698" s="250" t="str">
        <f>IFERROR(__xludf.DUMMYFUNCTION("""COMPUTED_VALUE"""),"")</f>
        <v/>
      </c>
      <c r="Q1698" s="250" t="str">
        <f>IFERROR(__xludf.DUMMYFUNCTION("""COMPUTED_VALUE"""),"")</f>
        <v/>
      </c>
      <c r="R1698" s="250" t="str">
        <f>IFERROR(__xludf.DUMMYFUNCTION("""COMPUTED_VALUE"""),"")</f>
        <v/>
      </c>
      <c r="U1698" s="250" t="str">
        <f>IFERROR(__xludf.DUMMYFUNCTION("""COMPUTED_VALUE"""),"#N/A")</f>
        <v>#N/A</v>
      </c>
      <c r="V1698" s="250" t="str">
        <f>IFERROR(__xludf.DUMMYFUNCTION("""COMPUTED_VALUE"""),"#N/A")</f>
        <v>#N/A</v>
      </c>
      <c r="W1698" s="250" t="str">
        <f>IFERROR(__xludf.DUMMYFUNCTION("""COMPUTED_VALUE"""),"#N/A")</f>
        <v>#N/A</v>
      </c>
      <c r="X1698" t="b">
        <f t="shared" ref="X1698:Z1698" si="3372">ISBLANK(K1698)</f>
        <v>1</v>
      </c>
      <c r="Y1698" t="b">
        <f t="shared" si="3372"/>
        <v>0</v>
      </c>
      <c r="Z1698" t="b">
        <f t="shared" si="3372"/>
        <v>0</v>
      </c>
      <c r="AA1698">
        <f t="shared" ref="AA1698:AC1698" si="3373">IF(X1698=FALSE,1,0)</f>
        <v>0</v>
      </c>
      <c r="AB1698">
        <f t="shared" si="3373"/>
        <v>1</v>
      </c>
      <c r="AC1698">
        <f t="shared" si="3373"/>
        <v>1</v>
      </c>
      <c r="AD1698">
        <f t="shared" si="6"/>
        <v>2</v>
      </c>
      <c r="AE1698">
        <f t="shared" si="7"/>
        <v>1</v>
      </c>
    </row>
    <row r="1699">
      <c r="B1699" t="str">
        <f>IFERROR(__xludf.DUMMYFUNCTION("""COMPUTED_VALUE"""),"")</f>
        <v/>
      </c>
      <c r="C1699" t="str">
        <f>IFERROR(__xludf.DUMMYFUNCTION("""COMPUTED_VALUE"""),"")</f>
        <v/>
      </c>
      <c r="D1699" t="str">
        <f>IFERROR(__xludf.DUMMYFUNCTION("""COMPUTED_VALUE"""),"")</f>
        <v/>
      </c>
      <c r="E1699" t="str">
        <f>IFERROR(__xludf.DUMMYFUNCTION("""COMPUTED_VALUE"""),"")</f>
        <v/>
      </c>
      <c r="F1699" t="str">
        <f>IFERROR(__xludf.DUMMYFUNCTION("""COMPUTED_VALUE"""),"")</f>
        <v/>
      </c>
      <c r="G1699" t="str">
        <f>IFERROR(__xludf.DUMMYFUNCTION("""COMPUTED_VALUE"""),"")</f>
        <v/>
      </c>
      <c r="H1699" t="str">
        <f>IFERROR(__xludf.DUMMYFUNCTION("""COMPUTED_VALUE"""),"")</f>
        <v/>
      </c>
      <c r="I1699" t="str">
        <f>IFERROR(__xludf.DUMMYFUNCTION("""COMPUTED_VALUE"""),"")</f>
        <v/>
      </c>
      <c r="J1699">
        <f>IFERROR(__xludf.DUMMYFUNCTION("""COMPUTED_VALUE"""),0.0)</f>
        <v>0</v>
      </c>
      <c r="L1699" s="250" t="str">
        <f>IFERROR(__xludf.DUMMYFUNCTION("""COMPUTED_VALUE"""),"")</f>
        <v/>
      </c>
      <c r="M1699" s="250" t="str">
        <f>IFERROR(__xludf.DUMMYFUNCTION("""COMPUTED_VALUE"""),"")</f>
        <v/>
      </c>
      <c r="N1699" s="250" t="str">
        <f>IFERROR(__xludf.DUMMYFUNCTION("""COMPUTED_VALUE"""),"")</f>
        <v/>
      </c>
      <c r="O1699" s="250" t="str">
        <f>IFERROR(__xludf.DUMMYFUNCTION("""COMPUTED_VALUE"""),"")</f>
        <v/>
      </c>
      <c r="P1699" s="250" t="str">
        <f>IFERROR(__xludf.DUMMYFUNCTION("""COMPUTED_VALUE"""),"")</f>
        <v/>
      </c>
      <c r="Q1699" s="250" t="str">
        <f>IFERROR(__xludf.DUMMYFUNCTION("""COMPUTED_VALUE"""),"")</f>
        <v/>
      </c>
      <c r="R1699" s="250" t="str">
        <f>IFERROR(__xludf.DUMMYFUNCTION("""COMPUTED_VALUE"""),"")</f>
        <v/>
      </c>
      <c r="U1699" s="250" t="str">
        <f>IFERROR(__xludf.DUMMYFUNCTION("""COMPUTED_VALUE"""),"#N/A")</f>
        <v>#N/A</v>
      </c>
      <c r="V1699" s="250" t="str">
        <f>IFERROR(__xludf.DUMMYFUNCTION("""COMPUTED_VALUE"""),"#N/A")</f>
        <v>#N/A</v>
      </c>
      <c r="W1699" s="250" t="str">
        <f>IFERROR(__xludf.DUMMYFUNCTION("""COMPUTED_VALUE"""),"#N/A")</f>
        <v>#N/A</v>
      </c>
      <c r="X1699" t="b">
        <f t="shared" ref="X1699:Z1699" si="3374">ISBLANK(K1699)</f>
        <v>1</v>
      </c>
      <c r="Y1699" t="b">
        <f t="shared" si="3374"/>
        <v>0</v>
      </c>
      <c r="Z1699" t="b">
        <f t="shared" si="3374"/>
        <v>0</v>
      </c>
      <c r="AA1699">
        <f t="shared" ref="AA1699:AC1699" si="3375">IF(X1699=FALSE,1,0)</f>
        <v>0</v>
      </c>
      <c r="AB1699">
        <f t="shared" si="3375"/>
        <v>1</v>
      </c>
      <c r="AC1699">
        <f t="shared" si="3375"/>
        <v>1</v>
      </c>
      <c r="AD1699">
        <f t="shared" si="6"/>
        <v>2</v>
      </c>
      <c r="AE1699">
        <f t="shared" si="7"/>
        <v>1</v>
      </c>
    </row>
    <row r="1700">
      <c r="B1700" t="str">
        <f>IFERROR(__xludf.DUMMYFUNCTION("""COMPUTED_VALUE"""),"")</f>
        <v/>
      </c>
      <c r="C1700" t="str">
        <f>IFERROR(__xludf.DUMMYFUNCTION("""COMPUTED_VALUE"""),"")</f>
        <v/>
      </c>
      <c r="D1700" t="str">
        <f>IFERROR(__xludf.DUMMYFUNCTION("""COMPUTED_VALUE"""),"")</f>
        <v/>
      </c>
      <c r="E1700" t="str">
        <f>IFERROR(__xludf.DUMMYFUNCTION("""COMPUTED_VALUE"""),"")</f>
        <v/>
      </c>
      <c r="F1700" t="str">
        <f>IFERROR(__xludf.DUMMYFUNCTION("""COMPUTED_VALUE"""),"")</f>
        <v/>
      </c>
      <c r="G1700" t="str">
        <f>IFERROR(__xludf.DUMMYFUNCTION("""COMPUTED_VALUE"""),"")</f>
        <v/>
      </c>
      <c r="H1700" t="str">
        <f>IFERROR(__xludf.DUMMYFUNCTION("""COMPUTED_VALUE"""),"")</f>
        <v/>
      </c>
      <c r="I1700" t="str">
        <f>IFERROR(__xludf.DUMMYFUNCTION("""COMPUTED_VALUE"""),"")</f>
        <v/>
      </c>
      <c r="J1700">
        <f>IFERROR(__xludf.DUMMYFUNCTION("""COMPUTED_VALUE"""),0.0)</f>
        <v>0</v>
      </c>
      <c r="L1700" s="250" t="str">
        <f>IFERROR(__xludf.DUMMYFUNCTION("""COMPUTED_VALUE"""),"")</f>
        <v/>
      </c>
      <c r="M1700" s="250" t="str">
        <f>IFERROR(__xludf.DUMMYFUNCTION("""COMPUTED_VALUE"""),"")</f>
        <v/>
      </c>
      <c r="N1700" s="250" t="str">
        <f>IFERROR(__xludf.DUMMYFUNCTION("""COMPUTED_VALUE"""),"")</f>
        <v/>
      </c>
      <c r="O1700" s="250" t="str">
        <f>IFERROR(__xludf.DUMMYFUNCTION("""COMPUTED_VALUE"""),"")</f>
        <v/>
      </c>
      <c r="P1700" s="250" t="str">
        <f>IFERROR(__xludf.DUMMYFUNCTION("""COMPUTED_VALUE"""),"")</f>
        <v/>
      </c>
      <c r="Q1700" s="250" t="str">
        <f>IFERROR(__xludf.DUMMYFUNCTION("""COMPUTED_VALUE"""),"")</f>
        <v/>
      </c>
      <c r="R1700" s="250" t="str">
        <f>IFERROR(__xludf.DUMMYFUNCTION("""COMPUTED_VALUE"""),"")</f>
        <v/>
      </c>
      <c r="U1700" s="250" t="str">
        <f>IFERROR(__xludf.DUMMYFUNCTION("""COMPUTED_VALUE"""),"#N/A")</f>
        <v>#N/A</v>
      </c>
      <c r="V1700" s="250" t="str">
        <f>IFERROR(__xludf.DUMMYFUNCTION("""COMPUTED_VALUE"""),"#N/A")</f>
        <v>#N/A</v>
      </c>
      <c r="W1700" s="250" t="str">
        <f>IFERROR(__xludf.DUMMYFUNCTION("""COMPUTED_VALUE"""),"#N/A")</f>
        <v>#N/A</v>
      </c>
      <c r="X1700" t="b">
        <f t="shared" ref="X1700:Z1700" si="3376">ISBLANK(K1700)</f>
        <v>1</v>
      </c>
      <c r="Y1700" t="b">
        <f t="shared" si="3376"/>
        <v>0</v>
      </c>
      <c r="Z1700" t="b">
        <f t="shared" si="3376"/>
        <v>0</v>
      </c>
      <c r="AA1700">
        <f t="shared" ref="AA1700:AC1700" si="3377">IF(X1700=FALSE,1,0)</f>
        <v>0</v>
      </c>
      <c r="AB1700">
        <f t="shared" si="3377"/>
        <v>1</v>
      </c>
      <c r="AC1700">
        <f t="shared" si="3377"/>
        <v>1</v>
      </c>
      <c r="AD1700">
        <f t="shared" si="6"/>
        <v>2</v>
      </c>
      <c r="AE1700">
        <f t="shared" si="7"/>
        <v>1</v>
      </c>
    </row>
    <row r="1701">
      <c r="B1701" t="str">
        <f>IFERROR(__xludf.DUMMYFUNCTION("""COMPUTED_VALUE"""),"")</f>
        <v/>
      </c>
      <c r="C1701" t="str">
        <f>IFERROR(__xludf.DUMMYFUNCTION("""COMPUTED_VALUE"""),"")</f>
        <v/>
      </c>
      <c r="D1701" t="str">
        <f>IFERROR(__xludf.DUMMYFUNCTION("""COMPUTED_VALUE"""),"")</f>
        <v/>
      </c>
      <c r="E1701" t="str">
        <f>IFERROR(__xludf.DUMMYFUNCTION("""COMPUTED_VALUE"""),"")</f>
        <v/>
      </c>
      <c r="F1701" t="str">
        <f>IFERROR(__xludf.DUMMYFUNCTION("""COMPUTED_VALUE"""),"")</f>
        <v/>
      </c>
      <c r="G1701" t="str">
        <f>IFERROR(__xludf.DUMMYFUNCTION("""COMPUTED_VALUE"""),"")</f>
        <v/>
      </c>
      <c r="H1701" t="str">
        <f>IFERROR(__xludf.DUMMYFUNCTION("""COMPUTED_VALUE"""),"")</f>
        <v/>
      </c>
      <c r="I1701" t="str">
        <f>IFERROR(__xludf.DUMMYFUNCTION("""COMPUTED_VALUE"""),"")</f>
        <v/>
      </c>
      <c r="J1701">
        <f>IFERROR(__xludf.DUMMYFUNCTION("""COMPUTED_VALUE"""),0.0)</f>
        <v>0</v>
      </c>
      <c r="L1701" s="250" t="str">
        <f>IFERROR(__xludf.DUMMYFUNCTION("""COMPUTED_VALUE"""),"")</f>
        <v/>
      </c>
      <c r="M1701" s="250" t="str">
        <f>IFERROR(__xludf.DUMMYFUNCTION("""COMPUTED_VALUE"""),"")</f>
        <v/>
      </c>
      <c r="N1701" s="250" t="str">
        <f>IFERROR(__xludf.DUMMYFUNCTION("""COMPUTED_VALUE"""),"")</f>
        <v/>
      </c>
      <c r="O1701" s="250" t="str">
        <f>IFERROR(__xludf.DUMMYFUNCTION("""COMPUTED_VALUE"""),"")</f>
        <v/>
      </c>
      <c r="P1701" s="250" t="str">
        <f>IFERROR(__xludf.DUMMYFUNCTION("""COMPUTED_VALUE"""),"")</f>
        <v/>
      </c>
      <c r="Q1701" s="250" t="str">
        <f>IFERROR(__xludf.DUMMYFUNCTION("""COMPUTED_VALUE"""),"")</f>
        <v/>
      </c>
      <c r="R1701" s="250" t="str">
        <f>IFERROR(__xludf.DUMMYFUNCTION("""COMPUTED_VALUE"""),"")</f>
        <v/>
      </c>
      <c r="U1701" s="250" t="str">
        <f>IFERROR(__xludf.DUMMYFUNCTION("""COMPUTED_VALUE"""),"#N/A")</f>
        <v>#N/A</v>
      </c>
      <c r="V1701" s="250" t="str">
        <f>IFERROR(__xludf.DUMMYFUNCTION("""COMPUTED_VALUE"""),"#N/A")</f>
        <v>#N/A</v>
      </c>
      <c r="W1701" s="250" t="str">
        <f>IFERROR(__xludf.DUMMYFUNCTION("""COMPUTED_VALUE"""),"#N/A")</f>
        <v>#N/A</v>
      </c>
      <c r="X1701" t="b">
        <f t="shared" ref="X1701:Z1701" si="3378">ISBLANK(K1701)</f>
        <v>1</v>
      </c>
      <c r="Y1701" t="b">
        <f t="shared" si="3378"/>
        <v>0</v>
      </c>
      <c r="Z1701" t="b">
        <f t="shared" si="3378"/>
        <v>0</v>
      </c>
      <c r="AA1701">
        <f t="shared" ref="AA1701:AC1701" si="3379">IF(X1701=FALSE,1,0)</f>
        <v>0</v>
      </c>
      <c r="AB1701">
        <f t="shared" si="3379"/>
        <v>1</v>
      </c>
      <c r="AC1701">
        <f t="shared" si="3379"/>
        <v>1</v>
      </c>
      <c r="AD1701">
        <f t="shared" si="6"/>
        <v>2</v>
      </c>
      <c r="AE1701">
        <f t="shared" si="7"/>
        <v>1</v>
      </c>
    </row>
    <row r="1702">
      <c r="B1702" t="str">
        <f>IFERROR(__xludf.DUMMYFUNCTION("""COMPUTED_VALUE"""),"")</f>
        <v/>
      </c>
      <c r="C1702" t="str">
        <f>IFERROR(__xludf.DUMMYFUNCTION("""COMPUTED_VALUE"""),"")</f>
        <v/>
      </c>
      <c r="D1702" t="str">
        <f>IFERROR(__xludf.DUMMYFUNCTION("""COMPUTED_VALUE"""),"")</f>
        <v/>
      </c>
      <c r="E1702" t="str">
        <f>IFERROR(__xludf.DUMMYFUNCTION("""COMPUTED_VALUE"""),"")</f>
        <v/>
      </c>
      <c r="F1702" t="str">
        <f>IFERROR(__xludf.DUMMYFUNCTION("""COMPUTED_VALUE"""),"")</f>
        <v/>
      </c>
      <c r="G1702" t="str">
        <f>IFERROR(__xludf.DUMMYFUNCTION("""COMPUTED_VALUE"""),"")</f>
        <v/>
      </c>
      <c r="H1702" t="str">
        <f>IFERROR(__xludf.DUMMYFUNCTION("""COMPUTED_VALUE"""),"")</f>
        <v/>
      </c>
      <c r="I1702" t="str">
        <f>IFERROR(__xludf.DUMMYFUNCTION("""COMPUTED_VALUE"""),"")</f>
        <v/>
      </c>
      <c r="J1702">
        <f>IFERROR(__xludf.DUMMYFUNCTION("""COMPUTED_VALUE"""),0.0)</f>
        <v>0</v>
      </c>
      <c r="L1702" s="250" t="str">
        <f>IFERROR(__xludf.DUMMYFUNCTION("""COMPUTED_VALUE"""),"")</f>
        <v/>
      </c>
      <c r="M1702" s="250" t="str">
        <f>IFERROR(__xludf.DUMMYFUNCTION("""COMPUTED_VALUE"""),"")</f>
        <v/>
      </c>
      <c r="N1702" s="250" t="str">
        <f>IFERROR(__xludf.DUMMYFUNCTION("""COMPUTED_VALUE"""),"")</f>
        <v/>
      </c>
      <c r="O1702" s="250" t="str">
        <f>IFERROR(__xludf.DUMMYFUNCTION("""COMPUTED_VALUE"""),"")</f>
        <v/>
      </c>
      <c r="P1702" s="250" t="str">
        <f>IFERROR(__xludf.DUMMYFUNCTION("""COMPUTED_VALUE"""),"")</f>
        <v/>
      </c>
      <c r="Q1702" s="250" t="str">
        <f>IFERROR(__xludf.DUMMYFUNCTION("""COMPUTED_VALUE"""),"")</f>
        <v/>
      </c>
      <c r="R1702" s="250" t="str">
        <f>IFERROR(__xludf.DUMMYFUNCTION("""COMPUTED_VALUE"""),"")</f>
        <v/>
      </c>
      <c r="U1702" s="250" t="str">
        <f>IFERROR(__xludf.DUMMYFUNCTION("""COMPUTED_VALUE"""),"#N/A")</f>
        <v>#N/A</v>
      </c>
      <c r="V1702" s="250" t="str">
        <f>IFERROR(__xludf.DUMMYFUNCTION("""COMPUTED_VALUE"""),"#N/A")</f>
        <v>#N/A</v>
      </c>
      <c r="W1702" s="250" t="str">
        <f>IFERROR(__xludf.DUMMYFUNCTION("""COMPUTED_VALUE"""),"#N/A")</f>
        <v>#N/A</v>
      </c>
      <c r="X1702" t="b">
        <f t="shared" ref="X1702:Z1702" si="3380">ISBLANK(K1702)</f>
        <v>1</v>
      </c>
      <c r="Y1702" t="b">
        <f t="shared" si="3380"/>
        <v>0</v>
      </c>
      <c r="Z1702" t="b">
        <f t="shared" si="3380"/>
        <v>0</v>
      </c>
      <c r="AA1702">
        <f t="shared" ref="AA1702:AC1702" si="3381">IF(X1702=FALSE,1,0)</f>
        <v>0</v>
      </c>
      <c r="AB1702">
        <f t="shared" si="3381"/>
        <v>1</v>
      </c>
      <c r="AC1702">
        <f t="shared" si="3381"/>
        <v>1</v>
      </c>
      <c r="AD1702">
        <f t="shared" si="6"/>
        <v>2</v>
      </c>
      <c r="AE1702">
        <f t="shared" si="7"/>
        <v>1</v>
      </c>
    </row>
    <row r="1703">
      <c r="B1703" t="str">
        <f>IFERROR(__xludf.DUMMYFUNCTION("""COMPUTED_VALUE"""),"")</f>
        <v/>
      </c>
      <c r="C1703" t="str">
        <f>IFERROR(__xludf.DUMMYFUNCTION("""COMPUTED_VALUE"""),"")</f>
        <v/>
      </c>
      <c r="D1703" t="str">
        <f>IFERROR(__xludf.DUMMYFUNCTION("""COMPUTED_VALUE"""),"")</f>
        <v/>
      </c>
      <c r="E1703" t="str">
        <f>IFERROR(__xludf.DUMMYFUNCTION("""COMPUTED_VALUE"""),"")</f>
        <v/>
      </c>
      <c r="F1703" t="str">
        <f>IFERROR(__xludf.DUMMYFUNCTION("""COMPUTED_VALUE"""),"")</f>
        <v/>
      </c>
      <c r="G1703" t="str">
        <f>IFERROR(__xludf.DUMMYFUNCTION("""COMPUTED_VALUE"""),"")</f>
        <v/>
      </c>
      <c r="H1703" t="str">
        <f>IFERROR(__xludf.DUMMYFUNCTION("""COMPUTED_VALUE"""),"")</f>
        <v/>
      </c>
      <c r="I1703" t="str">
        <f>IFERROR(__xludf.DUMMYFUNCTION("""COMPUTED_VALUE"""),"")</f>
        <v/>
      </c>
      <c r="J1703">
        <f>IFERROR(__xludf.DUMMYFUNCTION("""COMPUTED_VALUE"""),0.0)</f>
        <v>0</v>
      </c>
      <c r="L1703" s="250" t="str">
        <f>IFERROR(__xludf.DUMMYFUNCTION("""COMPUTED_VALUE"""),"")</f>
        <v/>
      </c>
      <c r="M1703" s="250" t="str">
        <f>IFERROR(__xludf.DUMMYFUNCTION("""COMPUTED_VALUE"""),"")</f>
        <v/>
      </c>
      <c r="N1703" s="250" t="str">
        <f>IFERROR(__xludf.DUMMYFUNCTION("""COMPUTED_VALUE"""),"")</f>
        <v/>
      </c>
      <c r="O1703" s="250" t="str">
        <f>IFERROR(__xludf.DUMMYFUNCTION("""COMPUTED_VALUE"""),"")</f>
        <v/>
      </c>
      <c r="P1703" s="250" t="str">
        <f>IFERROR(__xludf.DUMMYFUNCTION("""COMPUTED_VALUE"""),"")</f>
        <v/>
      </c>
      <c r="Q1703" s="250" t="str">
        <f>IFERROR(__xludf.DUMMYFUNCTION("""COMPUTED_VALUE"""),"")</f>
        <v/>
      </c>
      <c r="R1703" s="250" t="str">
        <f>IFERROR(__xludf.DUMMYFUNCTION("""COMPUTED_VALUE"""),"")</f>
        <v/>
      </c>
      <c r="U1703" s="250" t="str">
        <f>IFERROR(__xludf.DUMMYFUNCTION("""COMPUTED_VALUE"""),"#N/A")</f>
        <v>#N/A</v>
      </c>
      <c r="V1703" s="250" t="str">
        <f>IFERROR(__xludf.DUMMYFUNCTION("""COMPUTED_VALUE"""),"#N/A")</f>
        <v>#N/A</v>
      </c>
      <c r="W1703" s="250" t="str">
        <f>IFERROR(__xludf.DUMMYFUNCTION("""COMPUTED_VALUE"""),"#N/A")</f>
        <v>#N/A</v>
      </c>
      <c r="X1703" t="b">
        <f t="shared" ref="X1703:Z1703" si="3382">ISBLANK(K1703)</f>
        <v>1</v>
      </c>
      <c r="Y1703" t="b">
        <f t="shared" si="3382"/>
        <v>0</v>
      </c>
      <c r="Z1703" t="b">
        <f t="shared" si="3382"/>
        <v>0</v>
      </c>
      <c r="AA1703">
        <f t="shared" ref="AA1703:AC1703" si="3383">IF(X1703=FALSE,1,0)</f>
        <v>0</v>
      </c>
      <c r="AB1703">
        <f t="shared" si="3383"/>
        <v>1</v>
      </c>
      <c r="AC1703">
        <f t="shared" si="3383"/>
        <v>1</v>
      </c>
      <c r="AD1703">
        <f t="shared" si="6"/>
        <v>2</v>
      </c>
      <c r="AE1703">
        <f t="shared" si="7"/>
        <v>1</v>
      </c>
    </row>
    <row r="1704">
      <c r="B1704" t="str">
        <f>IFERROR(__xludf.DUMMYFUNCTION("""COMPUTED_VALUE"""),"")</f>
        <v/>
      </c>
      <c r="C1704" t="str">
        <f>IFERROR(__xludf.DUMMYFUNCTION("""COMPUTED_VALUE"""),"")</f>
        <v/>
      </c>
      <c r="D1704" t="str">
        <f>IFERROR(__xludf.DUMMYFUNCTION("""COMPUTED_VALUE"""),"")</f>
        <v/>
      </c>
      <c r="E1704" t="str">
        <f>IFERROR(__xludf.DUMMYFUNCTION("""COMPUTED_VALUE"""),"")</f>
        <v/>
      </c>
      <c r="F1704" t="str">
        <f>IFERROR(__xludf.DUMMYFUNCTION("""COMPUTED_VALUE"""),"")</f>
        <v/>
      </c>
      <c r="G1704" t="str">
        <f>IFERROR(__xludf.DUMMYFUNCTION("""COMPUTED_VALUE"""),"")</f>
        <v/>
      </c>
      <c r="H1704" t="str">
        <f>IFERROR(__xludf.DUMMYFUNCTION("""COMPUTED_VALUE"""),"")</f>
        <v/>
      </c>
      <c r="I1704" t="str">
        <f>IFERROR(__xludf.DUMMYFUNCTION("""COMPUTED_VALUE"""),"")</f>
        <v/>
      </c>
      <c r="J1704">
        <f>IFERROR(__xludf.DUMMYFUNCTION("""COMPUTED_VALUE"""),0.0)</f>
        <v>0</v>
      </c>
      <c r="L1704" s="250" t="str">
        <f>IFERROR(__xludf.DUMMYFUNCTION("""COMPUTED_VALUE"""),"")</f>
        <v/>
      </c>
      <c r="M1704" s="250" t="str">
        <f>IFERROR(__xludf.DUMMYFUNCTION("""COMPUTED_VALUE"""),"")</f>
        <v/>
      </c>
      <c r="N1704" s="250" t="str">
        <f>IFERROR(__xludf.DUMMYFUNCTION("""COMPUTED_VALUE"""),"")</f>
        <v/>
      </c>
      <c r="O1704" s="250" t="str">
        <f>IFERROR(__xludf.DUMMYFUNCTION("""COMPUTED_VALUE"""),"")</f>
        <v/>
      </c>
      <c r="P1704" s="250" t="str">
        <f>IFERROR(__xludf.DUMMYFUNCTION("""COMPUTED_VALUE"""),"")</f>
        <v/>
      </c>
      <c r="Q1704" s="250" t="str">
        <f>IFERROR(__xludf.DUMMYFUNCTION("""COMPUTED_VALUE"""),"")</f>
        <v/>
      </c>
      <c r="R1704" s="250" t="str">
        <f>IFERROR(__xludf.DUMMYFUNCTION("""COMPUTED_VALUE"""),"")</f>
        <v/>
      </c>
      <c r="U1704" s="250" t="str">
        <f>IFERROR(__xludf.DUMMYFUNCTION("""COMPUTED_VALUE"""),"#N/A")</f>
        <v>#N/A</v>
      </c>
      <c r="V1704" s="250" t="str">
        <f>IFERROR(__xludf.DUMMYFUNCTION("""COMPUTED_VALUE"""),"#N/A")</f>
        <v>#N/A</v>
      </c>
      <c r="W1704" s="250" t="str">
        <f>IFERROR(__xludf.DUMMYFUNCTION("""COMPUTED_VALUE"""),"#N/A")</f>
        <v>#N/A</v>
      </c>
      <c r="X1704" t="b">
        <f t="shared" ref="X1704:Z1704" si="3384">ISBLANK(K1704)</f>
        <v>1</v>
      </c>
      <c r="Y1704" t="b">
        <f t="shared" si="3384"/>
        <v>0</v>
      </c>
      <c r="Z1704" t="b">
        <f t="shared" si="3384"/>
        <v>0</v>
      </c>
      <c r="AA1704">
        <f t="shared" ref="AA1704:AC1704" si="3385">IF(X1704=FALSE,1,0)</f>
        <v>0</v>
      </c>
      <c r="AB1704">
        <f t="shared" si="3385"/>
        <v>1</v>
      </c>
      <c r="AC1704">
        <f t="shared" si="3385"/>
        <v>1</v>
      </c>
      <c r="AD1704">
        <f t="shared" si="6"/>
        <v>2</v>
      </c>
      <c r="AE1704">
        <f t="shared" si="7"/>
        <v>1</v>
      </c>
    </row>
    <row r="1705">
      <c r="B1705" t="str">
        <f>IFERROR(__xludf.DUMMYFUNCTION("""COMPUTED_VALUE"""),"")</f>
        <v/>
      </c>
      <c r="C1705" t="str">
        <f>IFERROR(__xludf.DUMMYFUNCTION("""COMPUTED_VALUE"""),"")</f>
        <v/>
      </c>
      <c r="D1705" t="str">
        <f>IFERROR(__xludf.DUMMYFUNCTION("""COMPUTED_VALUE"""),"")</f>
        <v/>
      </c>
      <c r="E1705" t="str">
        <f>IFERROR(__xludf.DUMMYFUNCTION("""COMPUTED_VALUE"""),"")</f>
        <v/>
      </c>
      <c r="F1705" t="str">
        <f>IFERROR(__xludf.DUMMYFUNCTION("""COMPUTED_VALUE"""),"")</f>
        <v/>
      </c>
      <c r="G1705" t="str">
        <f>IFERROR(__xludf.DUMMYFUNCTION("""COMPUTED_VALUE"""),"")</f>
        <v/>
      </c>
      <c r="H1705" t="str">
        <f>IFERROR(__xludf.DUMMYFUNCTION("""COMPUTED_VALUE"""),"")</f>
        <v/>
      </c>
      <c r="I1705" t="str">
        <f>IFERROR(__xludf.DUMMYFUNCTION("""COMPUTED_VALUE"""),"")</f>
        <v/>
      </c>
      <c r="J1705">
        <f>IFERROR(__xludf.DUMMYFUNCTION("""COMPUTED_VALUE"""),0.0)</f>
        <v>0</v>
      </c>
      <c r="L1705" s="250" t="str">
        <f>IFERROR(__xludf.DUMMYFUNCTION("""COMPUTED_VALUE"""),"")</f>
        <v/>
      </c>
      <c r="M1705" s="250" t="str">
        <f>IFERROR(__xludf.DUMMYFUNCTION("""COMPUTED_VALUE"""),"")</f>
        <v/>
      </c>
      <c r="N1705" s="250" t="str">
        <f>IFERROR(__xludf.DUMMYFUNCTION("""COMPUTED_VALUE"""),"")</f>
        <v/>
      </c>
      <c r="O1705" s="250" t="str">
        <f>IFERROR(__xludf.DUMMYFUNCTION("""COMPUTED_VALUE"""),"")</f>
        <v/>
      </c>
      <c r="P1705" s="250" t="str">
        <f>IFERROR(__xludf.DUMMYFUNCTION("""COMPUTED_VALUE"""),"")</f>
        <v/>
      </c>
      <c r="Q1705" s="250" t="str">
        <f>IFERROR(__xludf.DUMMYFUNCTION("""COMPUTED_VALUE"""),"")</f>
        <v/>
      </c>
      <c r="R1705" s="250" t="str">
        <f>IFERROR(__xludf.DUMMYFUNCTION("""COMPUTED_VALUE"""),"")</f>
        <v/>
      </c>
      <c r="U1705" s="250" t="str">
        <f>IFERROR(__xludf.DUMMYFUNCTION("""COMPUTED_VALUE"""),"#N/A")</f>
        <v>#N/A</v>
      </c>
      <c r="V1705" s="250" t="str">
        <f>IFERROR(__xludf.DUMMYFUNCTION("""COMPUTED_VALUE"""),"#N/A")</f>
        <v>#N/A</v>
      </c>
      <c r="W1705" s="250" t="str">
        <f>IFERROR(__xludf.DUMMYFUNCTION("""COMPUTED_VALUE"""),"#N/A")</f>
        <v>#N/A</v>
      </c>
      <c r="X1705" t="b">
        <f t="shared" ref="X1705:Z1705" si="3386">ISBLANK(K1705)</f>
        <v>1</v>
      </c>
      <c r="Y1705" t="b">
        <f t="shared" si="3386"/>
        <v>0</v>
      </c>
      <c r="Z1705" t="b">
        <f t="shared" si="3386"/>
        <v>0</v>
      </c>
      <c r="AA1705">
        <f t="shared" ref="AA1705:AC1705" si="3387">IF(X1705=FALSE,1,0)</f>
        <v>0</v>
      </c>
      <c r="AB1705">
        <f t="shared" si="3387"/>
        <v>1</v>
      </c>
      <c r="AC1705">
        <f t="shared" si="3387"/>
        <v>1</v>
      </c>
      <c r="AD1705">
        <f t="shared" si="6"/>
        <v>2</v>
      </c>
      <c r="AE1705">
        <f t="shared" si="7"/>
        <v>1</v>
      </c>
    </row>
    <row r="1706">
      <c r="B1706" t="str">
        <f>IFERROR(__xludf.DUMMYFUNCTION("""COMPUTED_VALUE"""),"")</f>
        <v/>
      </c>
      <c r="C1706" t="str">
        <f>IFERROR(__xludf.DUMMYFUNCTION("""COMPUTED_VALUE"""),"")</f>
        <v/>
      </c>
      <c r="D1706" t="str">
        <f>IFERROR(__xludf.DUMMYFUNCTION("""COMPUTED_VALUE"""),"")</f>
        <v/>
      </c>
      <c r="E1706" t="str">
        <f>IFERROR(__xludf.DUMMYFUNCTION("""COMPUTED_VALUE"""),"")</f>
        <v/>
      </c>
      <c r="F1706" t="str">
        <f>IFERROR(__xludf.DUMMYFUNCTION("""COMPUTED_VALUE"""),"")</f>
        <v/>
      </c>
      <c r="G1706" t="str">
        <f>IFERROR(__xludf.DUMMYFUNCTION("""COMPUTED_VALUE"""),"")</f>
        <v/>
      </c>
      <c r="H1706" t="str">
        <f>IFERROR(__xludf.DUMMYFUNCTION("""COMPUTED_VALUE"""),"")</f>
        <v/>
      </c>
      <c r="I1706" t="str">
        <f>IFERROR(__xludf.DUMMYFUNCTION("""COMPUTED_VALUE"""),"")</f>
        <v/>
      </c>
      <c r="J1706">
        <f>IFERROR(__xludf.DUMMYFUNCTION("""COMPUTED_VALUE"""),0.0)</f>
        <v>0</v>
      </c>
      <c r="L1706" s="250" t="str">
        <f>IFERROR(__xludf.DUMMYFUNCTION("""COMPUTED_VALUE"""),"")</f>
        <v/>
      </c>
      <c r="M1706" s="250" t="str">
        <f>IFERROR(__xludf.DUMMYFUNCTION("""COMPUTED_VALUE"""),"")</f>
        <v/>
      </c>
      <c r="N1706" s="250" t="str">
        <f>IFERROR(__xludf.DUMMYFUNCTION("""COMPUTED_VALUE"""),"")</f>
        <v/>
      </c>
      <c r="O1706" s="250" t="str">
        <f>IFERROR(__xludf.DUMMYFUNCTION("""COMPUTED_VALUE"""),"")</f>
        <v/>
      </c>
      <c r="P1706" s="250" t="str">
        <f>IFERROR(__xludf.DUMMYFUNCTION("""COMPUTED_VALUE"""),"")</f>
        <v/>
      </c>
      <c r="Q1706" s="250" t="str">
        <f>IFERROR(__xludf.DUMMYFUNCTION("""COMPUTED_VALUE"""),"")</f>
        <v/>
      </c>
      <c r="R1706" s="250" t="str">
        <f>IFERROR(__xludf.DUMMYFUNCTION("""COMPUTED_VALUE"""),"")</f>
        <v/>
      </c>
      <c r="U1706" s="250" t="str">
        <f>IFERROR(__xludf.DUMMYFUNCTION("""COMPUTED_VALUE"""),"#N/A")</f>
        <v>#N/A</v>
      </c>
      <c r="V1706" s="250" t="str">
        <f>IFERROR(__xludf.DUMMYFUNCTION("""COMPUTED_VALUE"""),"#N/A")</f>
        <v>#N/A</v>
      </c>
      <c r="W1706" s="250" t="str">
        <f>IFERROR(__xludf.DUMMYFUNCTION("""COMPUTED_VALUE"""),"#N/A")</f>
        <v>#N/A</v>
      </c>
      <c r="X1706" t="b">
        <f t="shared" ref="X1706:Z1706" si="3388">ISBLANK(K1706)</f>
        <v>1</v>
      </c>
      <c r="Y1706" t="b">
        <f t="shared" si="3388"/>
        <v>0</v>
      </c>
      <c r="Z1706" t="b">
        <f t="shared" si="3388"/>
        <v>0</v>
      </c>
      <c r="AA1706">
        <f t="shared" ref="AA1706:AC1706" si="3389">IF(X1706=FALSE,1,0)</f>
        <v>0</v>
      </c>
      <c r="AB1706">
        <f t="shared" si="3389"/>
        <v>1</v>
      </c>
      <c r="AC1706">
        <f t="shared" si="3389"/>
        <v>1</v>
      </c>
      <c r="AD1706">
        <f t="shared" si="6"/>
        <v>2</v>
      </c>
      <c r="AE1706">
        <f t="shared" si="7"/>
        <v>1</v>
      </c>
    </row>
    <row r="1707">
      <c r="B1707" t="str">
        <f>IFERROR(__xludf.DUMMYFUNCTION("""COMPUTED_VALUE"""),"")</f>
        <v/>
      </c>
      <c r="C1707" t="str">
        <f>IFERROR(__xludf.DUMMYFUNCTION("""COMPUTED_VALUE"""),"")</f>
        <v/>
      </c>
      <c r="D1707" t="str">
        <f>IFERROR(__xludf.DUMMYFUNCTION("""COMPUTED_VALUE"""),"")</f>
        <v/>
      </c>
      <c r="E1707" t="str">
        <f>IFERROR(__xludf.DUMMYFUNCTION("""COMPUTED_VALUE"""),"")</f>
        <v/>
      </c>
      <c r="F1707" t="str">
        <f>IFERROR(__xludf.DUMMYFUNCTION("""COMPUTED_VALUE"""),"")</f>
        <v/>
      </c>
      <c r="G1707" t="str">
        <f>IFERROR(__xludf.DUMMYFUNCTION("""COMPUTED_VALUE"""),"")</f>
        <v/>
      </c>
      <c r="H1707" t="str">
        <f>IFERROR(__xludf.DUMMYFUNCTION("""COMPUTED_VALUE"""),"")</f>
        <v/>
      </c>
      <c r="I1707" t="str">
        <f>IFERROR(__xludf.DUMMYFUNCTION("""COMPUTED_VALUE"""),"")</f>
        <v/>
      </c>
      <c r="J1707">
        <f>IFERROR(__xludf.DUMMYFUNCTION("""COMPUTED_VALUE"""),0.0)</f>
        <v>0</v>
      </c>
      <c r="L1707" s="250" t="str">
        <f>IFERROR(__xludf.DUMMYFUNCTION("""COMPUTED_VALUE"""),"")</f>
        <v/>
      </c>
      <c r="M1707" s="250" t="str">
        <f>IFERROR(__xludf.DUMMYFUNCTION("""COMPUTED_VALUE"""),"")</f>
        <v/>
      </c>
      <c r="N1707" s="250" t="str">
        <f>IFERROR(__xludf.DUMMYFUNCTION("""COMPUTED_VALUE"""),"")</f>
        <v/>
      </c>
      <c r="O1707" s="250" t="str">
        <f>IFERROR(__xludf.DUMMYFUNCTION("""COMPUTED_VALUE"""),"")</f>
        <v/>
      </c>
      <c r="P1707" s="250" t="str">
        <f>IFERROR(__xludf.DUMMYFUNCTION("""COMPUTED_VALUE"""),"")</f>
        <v/>
      </c>
      <c r="Q1707" s="250" t="str">
        <f>IFERROR(__xludf.DUMMYFUNCTION("""COMPUTED_VALUE"""),"")</f>
        <v/>
      </c>
      <c r="R1707" s="250" t="str">
        <f>IFERROR(__xludf.DUMMYFUNCTION("""COMPUTED_VALUE"""),"")</f>
        <v/>
      </c>
      <c r="U1707" s="250" t="str">
        <f>IFERROR(__xludf.DUMMYFUNCTION("""COMPUTED_VALUE"""),"#N/A")</f>
        <v>#N/A</v>
      </c>
      <c r="V1707" s="250" t="str">
        <f>IFERROR(__xludf.DUMMYFUNCTION("""COMPUTED_VALUE"""),"#N/A")</f>
        <v>#N/A</v>
      </c>
      <c r="W1707" s="250" t="str">
        <f>IFERROR(__xludf.DUMMYFUNCTION("""COMPUTED_VALUE"""),"#N/A")</f>
        <v>#N/A</v>
      </c>
      <c r="X1707" t="b">
        <f t="shared" ref="X1707:Z1707" si="3390">ISBLANK(K1707)</f>
        <v>1</v>
      </c>
      <c r="Y1707" t="b">
        <f t="shared" si="3390"/>
        <v>0</v>
      </c>
      <c r="Z1707" t="b">
        <f t="shared" si="3390"/>
        <v>0</v>
      </c>
      <c r="AA1707">
        <f t="shared" ref="AA1707:AC1707" si="3391">IF(X1707=FALSE,1,0)</f>
        <v>0</v>
      </c>
      <c r="AB1707">
        <f t="shared" si="3391"/>
        <v>1</v>
      </c>
      <c r="AC1707">
        <f t="shared" si="3391"/>
        <v>1</v>
      </c>
      <c r="AD1707">
        <f t="shared" si="6"/>
        <v>2</v>
      </c>
      <c r="AE1707">
        <f t="shared" si="7"/>
        <v>1</v>
      </c>
    </row>
    <row r="1708">
      <c r="B1708" t="str">
        <f>IFERROR(__xludf.DUMMYFUNCTION("""COMPUTED_VALUE"""),"")</f>
        <v/>
      </c>
      <c r="C1708" t="str">
        <f>IFERROR(__xludf.DUMMYFUNCTION("""COMPUTED_VALUE"""),"")</f>
        <v/>
      </c>
      <c r="D1708" t="str">
        <f>IFERROR(__xludf.DUMMYFUNCTION("""COMPUTED_VALUE"""),"")</f>
        <v/>
      </c>
      <c r="E1708" t="str">
        <f>IFERROR(__xludf.DUMMYFUNCTION("""COMPUTED_VALUE"""),"")</f>
        <v/>
      </c>
      <c r="F1708" t="str">
        <f>IFERROR(__xludf.DUMMYFUNCTION("""COMPUTED_VALUE"""),"")</f>
        <v/>
      </c>
      <c r="G1708" t="str">
        <f>IFERROR(__xludf.DUMMYFUNCTION("""COMPUTED_VALUE"""),"")</f>
        <v/>
      </c>
      <c r="H1708" t="str">
        <f>IFERROR(__xludf.DUMMYFUNCTION("""COMPUTED_VALUE"""),"")</f>
        <v/>
      </c>
      <c r="I1708" t="str">
        <f>IFERROR(__xludf.DUMMYFUNCTION("""COMPUTED_VALUE"""),"")</f>
        <v/>
      </c>
      <c r="J1708">
        <f>IFERROR(__xludf.DUMMYFUNCTION("""COMPUTED_VALUE"""),0.0)</f>
        <v>0</v>
      </c>
      <c r="L1708" s="250" t="str">
        <f>IFERROR(__xludf.DUMMYFUNCTION("""COMPUTED_VALUE"""),"")</f>
        <v/>
      </c>
      <c r="M1708" s="250" t="str">
        <f>IFERROR(__xludf.DUMMYFUNCTION("""COMPUTED_VALUE"""),"")</f>
        <v/>
      </c>
      <c r="N1708" s="250" t="str">
        <f>IFERROR(__xludf.DUMMYFUNCTION("""COMPUTED_VALUE"""),"")</f>
        <v/>
      </c>
      <c r="O1708" s="250" t="str">
        <f>IFERROR(__xludf.DUMMYFUNCTION("""COMPUTED_VALUE"""),"")</f>
        <v/>
      </c>
      <c r="P1708" s="250" t="str">
        <f>IFERROR(__xludf.DUMMYFUNCTION("""COMPUTED_VALUE"""),"")</f>
        <v/>
      </c>
      <c r="Q1708" s="250" t="str">
        <f>IFERROR(__xludf.DUMMYFUNCTION("""COMPUTED_VALUE"""),"")</f>
        <v/>
      </c>
      <c r="R1708" s="250" t="str">
        <f>IFERROR(__xludf.DUMMYFUNCTION("""COMPUTED_VALUE"""),"")</f>
        <v/>
      </c>
      <c r="U1708" s="250" t="str">
        <f>IFERROR(__xludf.DUMMYFUNCTION("""COMPUTED_VALUE"""),"#N/A")</f>
        <v>#N/A</v>
      </c>
      <c r="V1708" s="250" t="str">
        <f>IFERROR(__xludf.DUMMYFUNCTION("""COMPUTED_VALUE"""),"#N/A")</f>
        <v>#N/A</v>
      </c>
      <c r="W1708" s="250" t="str">
        <f>IFERROR(__xludf.DUMMYFUNCTION("""COMPUTED_VALUE"""),"#N/A")</f>
        <v>#N/A</v>
      </c>
      <c r="X1708" t="b">
        <f t="shared" ref="X1708:Z1708" si="3392">ISBLANK(K1708)</f>
        <v>1</v>
      </c>
      <c r="Y1708" t="b">
        <f t="shared" si="3392"/>
        <v>0</v>
      </c>
      <c r="Z1708" t="b">
        <f t="shared" si="3392"/>
        <v>0</v>
      </c>
      <c r="AA1708">
        <f t="shared" ref="AA1708:AC1708" si="3393">IF(X1708=FALSE,1,0)</f>
        <v>0</v>
      </c>
      <c r="AB1708">
        <f t="shared" si="3393"/>
        <v>1</v>
      </c>
      <c r="AC1708">
        <f t="shared" si="3393"/>
        <v>1</v>
      </c>
      <c r="AD1708">
        <f t="shared" si="6"/>
        <v>2</v>
      </c>
      <c r="AE1708">
        <f t="shared" si="7"/>
        <v>1</v>
      </c>
    </row>
    <row r="1709">
      <c r="B1709" t="str">
        <f>IFERROR(__xludf.DUMMYFUNCTION("""COMPUTED_VALUE"""),"")</f>
        <v/>
      </c>
      <c r="C1709" t="str">
        <f>IFERROR(__xludf.DUMMYFUNCTION("""COMPUTED_VALUE"""),"")</f>
        <v/>
      </c>
      <c r="D1709" t="str">
        <f>IFERROR(__xludf.DUMMYFUNCTION("""COMPUTED_VALUE"""),"")</f>
        <v/>
      </c>
      <c r="E1709" t="str">
        <f>IFERROR(__xludf.DUMMYFUNCTION("""COMPUTED_VALUE"""),"")</f>
        <v/>
      </c>
      <c r="F1709" t="str">
        <f>IFERROR(__xludf.DUMMYFUNCTION("""COMPUTED_VALUE"""),"")</f>
        <v/>
      </c>
      <c r="G1709" t="str">
        <f>IFERROR(__xludf.DUMMYFUNCTION("""COMPUTED_VALUE"""),"")</f>
        <v/>
      </c>
      <c r="H1709" t="str">
        <f>IFERROR(__xludf.DUMMYFUNCTION("""COMPUTED_VALUE"""),"")</f>
        <v/>
      </c>
      <c r="I1709" t="str">
        <f>IFERROR(__xludf.DUMMYFUNCTION("""COMPUTED_VALUE"""),"")</f>
        <v/>
      </c>
      <c r="J1709">
        <f>IFERROR(__xludf.DUMMYFUNCTION("""COMPUTED_VALUE"""),0.0)</f>
        <v>0</v>
      </c>
      <c r="L1709" s="250" t="str">
        <f>IFERROR(__xludf.DUMMYFUNCTION("""COMPUTED_VALUE"""),"")</f>
        <v/>
      </c>
      <c r="M1709" s="250" t="str">
        <f>IFERROR(__xludf.DUMMYFUNCTION("""COMPUTED_VALUE"""),"")</f>
        <v/>
      </c>
      <c r="N1709" s="250" t="str">
        <f>IFERROR(__xludf.DUMMYFUNCTION("""COMPUTED_VALUE"""),"")</f>
        <v/>
      </c>
      <c r="O1709" s="250" t="str">
        <f>IFERROR(__xludf.DUMMYFUNCTION("""COMPUTED_VALUE"""),"")</f>
        <v/>
      </c>
      <c r="P1709" s="250" t="str">
        <f>IFERROR(__xludf.DUMMYFUNCTION("""COMPUTED_VALUE"""),"")</f>
        <v/>
      </c>
      <c r="Q1709" s="250" t="str">
        <f>IFERROR(__xludf.DUMMYFUNCTION("""COMPUTED_VALUE"""),"")</f>
        <v/>
      </c>
      <c r="R1709" s="250" t="str">
        <f>IFERROR(__xludf.DUMMYFUNCTION("""COMPUTED_VALUE"""),"")</f>
        <v/>
      </c>
      <c r="U1709" s="250" t="str">
        <f>IFERROR(__xludf.DUMMYFUNCTION("""COMPUTED_VALUE"""),"#N/A")</f>
        <v>#N/A</v>
      </c>
      <c r="V1709" s="250" t="str">
        <f>IFERROR(__xludf.DUMMYFUNCTION("""COMPUTED_VALUE"""),"#N/A")</f>
        <v>#N/A</v>
      </c>
      <c r="W1709" s="250" t="str">
        <f>IFERROR(__xludf.DUMMYFUNCTION("""COMPUTED_VALUE"""),"#N/A")</f>
        <v>#N/A</v>
      </c>
      <c r="X1709" t="b">
        <f t="shared" ref="X1709:Z1709" si="3394">ISBLANK(K1709)</f>
        <v>1</v>
      </c>
      <c r="Y1709" t="b">
        <f t="shared" si="3394"/>
        <v>0</v>
      </c>
      <c r="Z1709" t="b">
        <f t="shared" si="3394"/>
        <v>0</v>
      </c>
      <c r="AA1709">
        <f t="shared" ref="AA1709:AC1709" si="3395">IF(X1709=FALSE,1,0)</f>
        <v>0</v>
      </c>
      <c r="AB1709">
        <f t="shared" si="3395"/>
        <v>1</v>
      </c>
      <c r="AC1709">
        <f t="shared" si="3395"/>
        <v>1</v>
      </c>
      <c r="AD1709">
        <f t="shared" si="6"/>
        <v>2</v>
      </c>
      <c r="AE1709">
        <f t="shared" si="7"/>
        <v>1</v>
      </c>
    </row>
    <row r="1710">
      <c r="B1710" t="str">
        <f>IFERROR(__xludf.DUMMYFUNCTION("""COMPUTED_VALUE"""),"")</f>
        <v/>
      </c>
      <c r="C1710" t="str">
        <f>IFERROR(__xludf.DUMMYFUNCTION("""COMPUTED_VALUE"""),"")</f>
        <v/>
      </c>
      <c r="D1710" t="str">
        <f>IFERROR(__xludf.DUMMYFUNCTION("""COMPUTED_VALUE"""),"")</f>
        <v/>
      </c>
      <c r="E1710" t="str">
        <f>IFERROR(__xludf.DUMMYFUNCTION("""COMPUTED_VALUE"""),"")</f>
        <v/>
      </c>
      <c r="F1710" t="str">
        <f>IFERROR(__xludf.DUMMYFUNCTION("""COMPUTED_VALUE"""),"")</f>
        <v/>
      </c>
      <c r="G1710" t="str">
        <f>IFERROR(__xludf.DUMMYFUNCTION("""COMPUTED_VALUE"""),"")</f>
        <v/>
      </c>
      <c r="H1710" t="str">
        <f>IFERROR(__xludf.DUMMYFUNCTION("""COMPUTED_VALUE"""),"")</f>
        <v/>
      </c>
      <c r="I1710" t="str">
        <f>IFERROR(__xludf.DUMMYFUNCTION("""COMPUTED_VALUE"""),"")</f>
        <v/>
      </c>
      <c r="J1710">
        <f>IFERROR(__xludf.DUMMYFUNCTION("""COMPUTED_VALUE"""),0.0)</f>
        <v>0</v>
      </c>
      <c r="L1710" s="250" t="str">
        <f>IFERROR(__xludf.DUMMYFUNCTION("""COMPUTED_VALUE"""),"")</f>
        <v/>
      </c>
      <c r="M1710" s="250" t="str">
        <f>IFERROR(__xludf.DUMMYFUNCTION("""COMPUTED_VALUE"""),"")</f>
        <v/>
      </c>
      <c r="N1710" s="250" t="str">
        <f>IFERROR(__xludf.DUMMYFUNCTION("""COMPUTED_VALUE"""),"")</f>
        <v/>
      </c>
      <c r="O1710" s="250" t="str">
        <f>IFERROR(__xludf.DUMMYFUNCTION("""COMPUTED_VALUE"""),"")</f>
        <v/>
      </c>
      <c r="P1710" s="250" t="str">
        <f>IFERROR(__xludf.DUMMYFUNCTION("""COMPUTED_VALUE"""),"")</f>
        <v/>
      </c>
      <c r="Q1710" s="250" t="str">
        <f>IFERROR(__xludf.DUMMYFUNCTION("""COMPUTED_VALUE"""),"")</f>
        <v/>
      </c>
      <c r="R1710" s="250" t="str">
        <f>IFERROR(__xludf.DUMMYFUNCTION("""COMPUTED_VALUE"""),"")</f>
        <v/>
      </c>
      <c r="U1710" s="250" t="str">
        <f>IFERROR(__xludf.DUMMYFUNCTION("""COMPUTED_VALUE"""),"#N/A")</f>
        <v>#N/A</v>
      </c>
      <c r="V1710" s="250" t="str">
        <f>IFERROR(__xludf.DUMMYFUNCTION("""COMPUTED_VALUE"""),"#N/A")</f>
        <v>#N/A</v>
      </c>
      <c r="W1710" s="250" t="str">
        <f>IFERROR(__xludf.DUMMYFUNCTION("""COMPUTED_VALUE"""),"#N/A")</f>
        <v>#N/A</v>
      </c>
      <c r="X1710" t="b">
        <f t="shared" ref="X1710:Z1710" si="3396">ISBLANK(K1710)</f>
        <v>1</v>
      </c>
      <c r="Y1710" t="b">
        <f t="shared" si="3396"/>
        <v>0</v>
      </c>
      <c r="Z1710" t="b">
        <f t="shared" si="3396"/>
        <v>0</v>
      </c>
      <c r="AA1710">
        <f t="shared" ref="AA1710:AC1710" si="3397">IF(X1710=FALSE,1,0)</f>
        <v>0</v>
      </c>
      <c r="AB1710">
        <f t="shared" si="3397"/>
        <v>1</v>
      </c>
      <c r="AC1710">
        <f t="shared" si="3397"/>
        <v>1</v>
      </c>
      <c r="AD1710">
        <f t="shared" si="6"/>
        <v>2</v>
      </c>
      <c r="AE1710">
        <f t="shared" si="7"/>
        <v>1</v>
      </c>
    </row>
    <row r="1711">
      <c r="B1711" t="str">
        <f>IFERROR(__xludf.DUMMYFUNCTION("""COMPUTED_VALUE"""),"")</f>
        <v/>
      </c>
      <c r="C1711" t="str">
        <f>IFERROR(__xludf.DUMMYFUNCTION("""COMPUTED_VALUE"""),"")</f>
        <v/>
      </c>
      <c r="D1711" t="str">
        <f>IFERROR(__xludf.DUMMYFUNCTION("""COMPUTED_VALUE"""),"")</f>
        <v/>
      </c>
      <c r="E1711" t="str">
        <f>IFERROR(__xludf.DUMMYFUNCTION("""COMPUTED_VALUE"""),"")</f>
        <v/>
      </c>
      <c r="F1711" t="str">
        <f>IFERROR(__xludf.DUMMYFUNCTION("""COMPUTED_VALUE"""),"")</f>
        <v/>
      </c>
      <c r="G1711" t="str">
        <f>IFERROR(__xludf.DUMMYFUNCTION("""COMPUTED_VALUE"""),"")</f>
        <v/>
      </c>
      <c r="H1711" t="str">
        <f>IFERROR(__xludf.DUMMYFUNCTION("""COMPUTED_VALUE"""),"")</f>
        <v/>
      </c>
      <c r="I1711" t="str">
        <f>IFERROR(__xludf.DUMMYFUNCTION("""COMPUTED_VALUE"""),"")</f>
        <v/>
      </c>
      <c r="J1711">
        <f>IFERROR(__xludf.DUMMYFUNCTION("""COMPUTED_VALUE"""),0.0)</f>
        <v>0</v>
      </c>
      <c r="L1711" s="250" t="str">
        <f>IFERROR(__xludf.DUMMYFUNCTION("""COMPUTED_VALUE"""),"")</f>
        <v/>
      </c>
      <c r="M1711" s="250" t="str">
        <f>IFERROR(__xludf.DUMMYFUNCTION("""COMPUTED_VALUE"""),"")</f>
        <v/>
      </c>
      <c r="N1711" s="250" t="str">
        <f>IFERROR(__xludf.DUMMYFUNCTION("""COMPUTED_VALUE"""),"")</f>
        <v/>
      </c>
      <c r="O1711" s="250" t="str">
        <f>IFERROR(__xludf.DUMMYFUNCTION("""COMPUTED_VALUE"""),"")</f>
        <v/>
      </c>
      <c r="P1711" s="250" t="str">
        <f>IFERROR(__xludf.DUMMYFUNCTION("""COMPUTED_VALUE"""),"")</f>
        <v/>
      </c>
      <c r="Q1711" s="250" t="str">
        <f>IFERROR(__xludf.DUMMYFUNCTION("""COMPUTED_VALUE"""),"")</f>
        <v/>
      </c>
      <c r="R1711" s="250" t="str">
        <f>IFERROR(__xludf.DUMMYFUNCTION("""COMPUTED_VALUE"""),"")</f>
        <v/>
      </c>
      <c r="U1711" s="250" t="str">
        <f>IFERROR(__xludf.DUMMYFUNCTION("""COMPUTED_VALUE"""),"#N/A")</f>
        <v>#N/A</v>
      </c>
      <c r="V1711" s="250" t="str">
        <f>IFERROR(__xludf.DUMMYFUNCTION("""COMPUTED_VALUE"""),"#N/A")</f>
        <v>#N/A</v>
      </c>
      <c r="W1711" s="250" t="str">
        <f>IFERROR(__xludf.DUMMYFUNCTION("""COMPUTED_VALUE"""),"#N/A")</f>
        <v>#N/A</v>
      </c>
      <c r="X1711" t="b">
        <f t="shared" ref="X1711:Z1711" si="3398">ISBLANK(K1711)</f>
        <v>1</v>
      </c>
      <c r="Y1711" t="b">
        <f t="shared" si="3398"/>
        <v>0</v>
      </c>
      <c r="Z1711" t="b">
        <f t="shared" si="3398"/>
        <v>0</v>
      </c>
      <c r="AA1711">
        <f t="shared" ref="AA1711:AC1711" si="3399">IF(X1711=FALSE,1,0)</f>
        <v>0</v>
      </c>
      <c r="AB1711">
        <f t="shared" si="3399"/>
        <v>1</v>
      </c>
      <c r="AC1711">
        <f t="shared" si="3399"/>
        <v>1</v>
      </c>
      <c r="AD1711">
        <f t="shared" si="6"/>
        <v>2</v>
      </c>
      <c r="AE1711">
        <f t="shared" si="7"/>
        <v>1</v>
      </c>
    </row>
    <row r="1712">
      <c r="B1712" t="str">
        <f>IFERROR(__xludf.DUMMYFUNCTION("""COMPUTED_VALUE"""),"")</f>
        <v/>
      </c>
      <c r="C1712" t="str">
        <f>IFERROR(__xludf.DUMMYFUNCTION("""COMPUTED_VALUE"""),"")</f>
        <v/>
      </c>
      <c r="D1712" t="str">
        <f>IFERROR(__xludf.DUMMYFUNCTION("""COMPUTED_VALUE"""),"")</f>
        <v/>
      </c>
      <c r="E1712" t="str">
        <f>IFERROR(__xludf.DUMMYFUNCTION("""COMPUTED_VALUE"""),"")</f>
        <v/>
      </c>
      <c r="F1712" t="str">
        <f>IFERROR(__xludf.DUMMYFUNCTION("""COMPUTED_VALUE"""),"")</f>
        <v/>
      </c>
      <c r="G1712" t="str">
        <f>IFERROR(__xludf.DUMMYFUNCTION("""COMPUTED_VALUE"""),"")</f>
        <v/>
      </c>
      <c r="H1712" t="str">
        <f>IFERROR(__xludf.DUMMYFUNCTION("""COMPUTED_VALUE"""),"")</f>
        <v/>
      </c>
      <c r="I1712" t="str">
        <f>IFERROR(__xludf.DUMMYFUNCTION("""COMPUTED_VALUE"""),"")</f>
        <v/>
      </c>
      <c r="J1712">
        <f>IFERROR(__xludf.DUMMYFUNCTION("""COMPUTED_VALUE"""),0.0)</f>
        <v>0</v>
      </c>
      <c r="L1712" s="250" t="str">
        <f>IFERROR(__xludf.DUMMYFUNCTION("""COMPUTED_VALUE"""),"")</f>
        <v/>
      </c>
      <c r="M1712" s="250" t="str">
        <f>IFERROR(__xludf.DUMMYFUNCTION("""COMPUTED_VALUE"""),"")</f>
        <v/>
      </c>
      <c r="N1712" s="250" t="str">
        <f>IFERROR(__xludf.DUMMYFUNCTION("""COMPUTED_VALUE"""),"")</f>
        <v/>
      </c>
      <c r="O1712" s="250" t="str">
        <f>IFERROR(__xludf.DUMMYFUNCTION("""COMPUTED_VALUE"""),"")</f>
        <v/>
      </c>
      <c r="P1712" s="250" t="str">
        <f>IFERROR(__xludf.DUMMYFUNCTION("""COMPUTED_VALUE"""),"")</f>
        <v/>
      </c>
      <c r="Q1712" s="250" t="str">
        <f>IFERROR(__xludf.DUMMYFUNCTION("""COMPUTED_VALUE"""),"")</f>
        <v/>
      </c>
      <c r="R1712" s="250" t="str">
        <f>IFERROR(__xludf.DUMMYFUNCTION("""COMPUTED_VALUE"""),"")</f>
        <v/>
      </c>
      <c r="U1712" s="250" t="str">
        <f>IFERROR(__xludf.DUMMYFUNCTION("""COMPUTED_VALUE"""),"#N/A")</f>
        <v>#N/A</v>
      </c>
      <c r="V1712" s="250" t="str">
        <f>IFERROR(__xludf.DUMMYFUNCTION("""COMPUTED_VALUE"""),"#N/A")</f>
        <v>#N/A</v>
      </c>
      <c r="W1712" s="250" t="str">
        <f>IFERROR(__xludf.DUMMYFUNCTION("""COMPUTED_VALUE"""),"#N/A")</f>
        <v>#N/A</v>
      </c>
      <c r="X1712" t="b">
        <f t="shared" ref="X1712:Z1712" si="3400">ISBLANK(K1712)</f>
        <v>1</v>
      </c>
      <c r="Y1712" t="b">
        <f t="shared" si="3400"/>
        <v>0</v>
      </c>
      <c r="Z1712" t="b">
        <f t="shared" si="3400"/>
        <v>0</v>
      </c>
      <c r="AA1712">
        <f t="shared" ref="AA1712:AC1712" si="3401">IF(X1712=FALSE,1,0)</f>
        <v>0</v>
      </c>
      <c r="AB1712">
        <f t="shared" si="3401"/>
        <v>1</v>
      </c>
      <c r="AC1712">
        <f t="shared" si="3401"/>
        <v>1</v>
      </c>
      <c r="AD1712">
        <f t="shared" si="6"/>
        <v>2</v>
      </c>
      <c r="AE1712">
        <f t="shared" si="7"/>
        <v>1</v>
      </c>
    </row>
    <row r="1713">
      <c r="B1713" t="str">
        <f>IFERROR(__xludf.DUMMYFUNCTION("""COMPUTED_VALUE"""),"")</f>
        <v/>
      </c>
      <c r="C1713" t="str">
        <f>IFERROR(__xludf.DUMMYFUNCTION("""COMPUTED_VALUE"""),"")</f>
        <v/>
      </c>
      <c r="D1713" t="str">
        <f>IFERROR(__xludf.DUMMYFUNCTION("""COMPUTED_VALUE"""),"")</f>
        <v/>
      </c>
      <c r="E1713" t="str">
        <f>IFERROR(__xludf.DUMMYFUNCTION("""COMPUTED_VALUE"""),"")</f>
        <v/>
      </c>
      <c r="F1713" t="str">
        <f>IFERROR(__xludf.DUMMYFUNCTION("""COMPUTED_VALUE"""),"")</f>
        <v/>
      </c>
      <c r="G1713" t="str">
        <f>IFERROR(__xludf.DUMMYFUNCTION("""COMPUTED_VALUE"""),"")</f>
        <v/>
      </c>
      <c r="H1713" t="str">
        <f>IFERROR(__xludf.DUMMYFUNCTION("""COMPUTED_VALUE"""),"")</f>
        <v/>
      </c>
      <c r="I1713" t="str">
        <f>IFERROR(__xludf.DUMMYFUNCTION("""COMPUTED_VALUE"""),"")</f>
        <v/>
      </c>
      <c r="J1713">
        <f>IFERROR(__xludf.DUMMYFUNCTION("""COMPUTED_VALUE"""),0.0)</f>
        <v>0</v>
      </c>
      <c r="L1713" s="250" t="str">
        <f>IFERROR(__xludf.DUMMYFUNCTION("""COMPUTED_VALUE"""),"")</f>
        <v/>
      </c>
      <c r="M1713" s="250" t="str">
        <f>IFERROR(__xludf.DUMMYFUNCTION("""COMPUTED_VALUE"""),"")</f>
        <v/>
      </c>
      <c r="N1713" s="250" t="str">
        <f>IFERROR(__xludf.DUMMYFUNCTION("""COMPUTED_VALUE"""),"")</f>
        <v/>
      </c>
      <c r="O1713" s="250" t="str">
        <f>IFERROR(__xludf.DUMMYFUNCTION("""COMPUTED_VALUE"""),"")</f>
        <v/>
      </c>
      <c r="P1713" s="250" t="str">
        <f>IFERROR(__xludf.DUMMYFUNCTION("""COMPUTED_VALUE"""),"")</f>
        <v/>
      </c>
      <c r="Q1713" s="250" t="str">
        <f>IFERROR(__xludf.DUMMYFUNCTION("""COMPUTED_VALUE"""),"")</f>
        <v/>
      </c>
      <c r="R1713" s="250" t="str">
        <f>IFERROR(__xludf.DUMMYFUNCTION("""COMPUTED_VALUE"""),"")</f>
        <v/>
      </c>
      <c r="U1713" s="250" t="str">
        <f>IFERROR(__xludf.DUMMYFUNCTION("""COMPUTED_VALUE"""),"#N/A")</f>
        <v>#N/A</v>
      </c>
      <c r="V1713" s="250" t="str">
        <f>IFERROR(__xludf.DUMMYFUNCTION("""COMPUTED_VALUE"""),"#N/A")</f>
        <v>#N/A</v>
      </c>
      <c r="W1713" s="250" t="str">
        <f>IFERROR(__xludf.DUMMYFUNCTION("""COMPUTED_VALUE"""),"#N/A")</f>
        <v>#N/A</v>
      </c>
      <c r="X1713" t="b">
        <f t="shared" ref="X1713:Z1713" si="3402">ISBLANK(K1713)</f>
        <v>1</v>
      </c>
      <c r="Y1713" t="b">
        <f t="shared" si="3402"/>
        <v>0</v>
      </c>
      <c r="Z1713" t="b">
        <f t="shared" si="3402"/>
        <v>0</v>
      </c>
      <c r="AA1713">
        <f t="shared" ref="AA1713:AC1713" si="3403">IF(X1713=FALSE,1,0)</f>
        <v>0</v>
      </c>
      <c r="AB1713">
        <f t="shared" si="3403"/>
        <v>1</v>
      </c>
      <c r="AC1713">
        <f t="shared" si="3403"/>
        <v>1</v>
      </c>
      <c r="AD1713">
        <f t="shared" si="6"/>
        <v>2</v>
      </c>
      <c r="AE1713">
        <f t="shared" si="7"/>
        <v>1</v>
      </c>
    </row>
    <row r="1714">
      <c r="B1714" t="str">
        <f>IFERROR(__xludf.DUMMYFUNCTION("""COMPUTED_VALUE"""),"")</f>
        <v/>
      </c>
      <c r="C1714" t="str">
        <f>IFERROR(__xludf.DUMMYFUNCTION("""COMPUTED_VALUE"""),"")</f>
        <v/>
      </c>
      <c r="D1714" t="str">
        <f>IFERROR(__xludf.DUMMYFUNCTION("""COMPUTED_VALUE"""),"")</f>
        <v/>
      </c>
      <c r="E1714" t="str">
        <f>IFERROR(__xludf.DUMMYFUNCTION("""COMPUTED_VALUE"""),"")</f>
        <v/>
      </c>
      <c r="F1714" t="str">
        <f>IFERROR(__xludf.DUMMYFUNCTION("""COMPUTED_VALUE"""),"")</f>
        <v/>
      </c>
      <c r="G1714" t="str">
        <f>IFERROR(__xludf.DUMMYFUNCTION("""COMPUTED_VALUE"""),"")</f>
        <v/>
      </c>
      <c r="H1714" t="str">
        <f>IFERROR(__xludf.DUMMYFUNCTION("""COMPUTED_VALUE"""),"")</f>
        <v/>
      </c>
      <c r="I1714" t="str">
        <f>IFERROR(__xludf.DUMMYFUNCTION("""COMPUTED_VALUE"""),"")</f>
        <v/>
      </c>
      <c r="J1714">
        <f>IFERROR(__xludf.DUMMYFUNCTION("""COMPUTED_VALUE"""),0.0)</f>
        <v>0</v>
      </c>
      <c r="L1714" s="250" t="str">
        <f>IFERROR(__xludf.DUMMYFUNCTION("""COMPUTED_VALUE"""),"")</f>
        <v/>
      </c>
      <c r="M1714" s="250" t="str">
        <f>IFERROR(__xludf.DUMMYFUNCTION("""COMPUTED_VALUE"""),"")</f>
        <v/>
      </c>
      <c r="N1714" s="250" t="str">
        <f>IFERROR(__xludf.DUMMYFUNCTION("""COMPUTED_VALUE"""),"")</f>
        <v/>
      </c>
      <c r="O1714" s="250" t="str">
        <f>IFERROR(__xludf.DUMMYFUNCTION("""COMPUTED_VALUE"""),"")</f>
        <v/>
      </c>
      <c r="P1714" s="250" t="str">
        <f>IFERROR(__xludf.DUMMYFUNCTION("""COMPUTED_VALUE"""),"")</f>
        <v/>
      </c>
      <c r="Q1714" s="250" t="str">
        <f>IFERROR(__xludf.DUMMYFUNCTION("""COMPUTED_VALUE"""),"")</f>
        <v/>
      </c>
      <c r="R1714" s="250" t="str">
        <f>IFERROR(__xludf.DUMMYFUNCTION("""COMPUTED_VALUE"""),"")</f>
        <v/>
      </c>
      <c r="U1714" s="250" t="str">
        <f>IFERROR(__xludf.DUMMYFUNCTION("""COMPUTED_VALUE"""),"#N/A")</f>
        <v>#N/A</v>
      </c>
      <c r="V1714" s="250" t="str">
        <f>IFERROR(__xludf.DUMMYFUNCTION("""COMPUTED_VALUE"""),"#N/A")</f>
        <v>#N/A</v>
      </c>
      <c r="W1714" s="250" t="str">
        <f>IFERROR(__xludf.DUMMYFUNCTION("""COMPUTED_VALUE"""),"#N/A")</f>
        <v>#N/A</v>
      </c>
      <c r="X1714" t="b">
        <f t="shared" ref="X1714:Z1714" si="3404">ISBLANK(K1714)</f>
        <v>1</v>
      </c>
      <c r="Y1714" t="b">
        <f t="shared" si="3404"/>
        <v>0</v>
      </c>
      <c r="Z1714" t="b">
        <f t="shared" si="3404"/>
        <v>0</v>
      </c>
      <c r="AA1714">
        <f t="shared" ref="AA1714:AC1714" si="3405">IF(X1714=FALSE,1,0)</f>
        <v>0</v>
      </c>
      <c r="AB1714">
        <f t="shared" si="3405"/>
        <v>1</v>
      </c>
      <c r="AC1714">
        <f t="shared" si="3405"/>
        <v>1</v>
      </c>
      <c r="AD1714">
        <f t="shared" si="6"/>
        <v>2</v>
      </c>
      <c r="AE1714">
        <f t="shared" si="7"/>
        <v>1</v>
      </c>
    </row>
    <row r="1715">
      <c r="B1715" t="str">
        <f>IFERROR(__xludf.DUMMYFUNCTION("""COMPUTED_VALUE"""),"")</f>
        <v/>
      </c>
      <c r="C1715" t="str">
        <f>IFERROR(__xludf.DUMMYFUNCTION("""COMPUTED_VALUE"""),"")</f>
        <v/>
      </c>
      <c r="D1715" t="str">
        <f>IFERROR(__xludf.DUMMYFUNCTION("""COMPUTED_VALUE"""),"")</f>
        <v/>
      </c>
      <c r="E1715" t="str">
        <f>IFERROR(__xludf.DUMMYFUNCTION("""COMPUTED_VALUE"""),"")</f>
        <v/>
      </c>
      <c r="F1715" t="str">
        <f>IFERROR(__xludf.DUMMYFUNCTION("""COMPUTED_VALUE"""),"")</f>
        <v/>
      </c>
      <c r="G1715" t="str">
        <f>IFERROR(__xludf.DUMMYFUNCTION("""COMPUTED_VALUE"""),"")</f>
        <v/>
      </c>
      <c r="H1715" t="str">
        <f>IFERROR(__xludf.DUMMYFUNCTION("""COMPUTED_VALUE"""),"")</f>
        <v/>
      </c>
      <c r="I1715" t="str">
        <f>IFERROR(__xludf.DUMMYFUNCTION("""COMPUTED_VALUE"""),"")</f>
        <v/>
      </c>
      <c r="J1715">
        <f>IFERROR(__xludf.DUMMYFUNCTION("""COMPUTED_VALUE"""),0.0)</f>
        <v>0</v>
      </c>
      <c r="L1715" s="250" t="str">
        <f>IFERROR(__xludf.DUMMYFUNCTION("""COMPUTED_VALUE"""),"")</f>
        <v/>
      </c>
      <c r="M1715" s="250" t="str">
        <f>IFERROR(__xludf.DUMMYFUNCTION("""COMPUTED_VALUE"""),"")</f>
        <v/>
      </c>
      <c r="N1715" s="250" t="str">
        <f>IFERROR(__xludf.DUMMYFUNCTION("""COMPUTED_VALUE"""),"")</f>
        <v/>
      </c>
      <c r="O1715" s="250" t="str">
        <f>IFERROR(__xludf.DUMMYFUNCTION("""COMPUTED_VALUE"""),"")</f>
        <v/>
      </c>
      <c r="P1715" s="250" t="str">
        <f>IFERROR(__xludf.DUMMYFUNCTION("""COMPUTED_VALUE"""),"")</f>
        <v/>
      </c>
      <c r="Q1715" s="250" t="str">
        <f>IFERROR(__xludf.DUMMYFUNCTION("""COMPUTED_VALUE"""),"")</f>
        <v/>
      </c>
      <c r="R1715" s="250" t="str">
        <f>IFERROR(__xludf.DUMMYFUNCTION("""COMPUTED_VALUE"""),"")</f>
        <v/>
      </c>
      <c r="U1715" s="250" t="str">
        <f>IFERROR(__xludf.DUMMYFUNCTION("""COMPUTED_VALUE"""),"#N/A")</f>
        <v>#N/A</v>
      </c>
      <c r="V1715" s="250" t="str">
        <f>IFERROR(__xludf.DUMMYFUNCTION("""COMPUTED_VALUE"""),"#N/A")</f>
        <v>#N/A</v>
      </c>
      <c r="W1715" s="250" t="str">
        <f>IFERROR(__xludf.DUMMYFUNCTION("""COMPUTED_VALUE"""),"#N/A")</f>
        <v>#N/A</v>
      </c>
      <c r="X1715" t="b">
        <f t="shared" ref="X1715:Z1715" si="3406">ISBLANK(K1715)</f>
        <v>1</v>
      </c>
      <c r="Y1715" t="b">
        <f t="shared" si="3406"/>
        <v>0</v>
      </c>
      <c r="Z1715" t="b">
        <f t="shared" si="3406"/>
        <v>0</v>
      </c>
      <c r="AA1715">
        <f t="shared" ref="AA1715:AC1715" si="3407">IF(X1715=FALSE,1,0)</f>
        <v>0</v>
      </c>
      <c r="AB1715">
        <f t="shared" si="3407"/>
        <v>1</v>
      </c>
      <c r="AC1715">
        <f t="shared" si="3407"/>
        <v>1</v>
      </c>
      <c r="AD1715">
        <f t="shared" si="6"/>
        <v>2</v>
      </c>
      <c r="AE1715">
        <f t="shared" si="7"/>
        <v>1</v>
      </c>
    </row>
    <row r="1716">
      <c r="B1716" t="str">
        <f>IFERROR(__xludf.DUMMYFUNCTION("""COMPUTED_VALUE"""),"")</f>
        <v/>
      </c>
      <c r="C1716" t="str">
        <f>IFERROR(__xludf.DUMMYFUNCTION("""COMPUTED_VALUE"""),"")</f>
        <v/>
      </c>
      <c r="D1716" t="str">
        <f>IFERROR(__xludf.DUMMYFUNCTION("""COMPUTED_VALUE"""),"")</f>
        <v/>
      </c>
      <c r="E1716" t="str">
        <f>IFERROR(__xludf.DUMMYFUNCTION("""COMPUTED_VALUE"""),"")</f>
        <v/>
      </c>
      <c r="F1716" t="str">
        <f>IFERROR(__xludf.DUMMYFUNCTION("""COMPUTED_VALUE"""),"")</f>
        <v/>
      </c>
      <c r="G1716" t="str">
        <f>IFERROR(__xludf.DUMMYFUNCTION("""COMPUTED_VALUE"""),"")</f>
        <v/>
      </c>
      <c r="H1716" t="str">
        <f>IFERROR(__xludf.DUMMYFUNCTION("""COMPUTED_VALUE"""),"")</f>
        <v/>
      </c>
      <c r="I1716" t="str">
        <f>IFERROR(__xludf.DUMMYFUNCTION("""COMPUTED_VALUE"""),"")</f>
        <v/>
      </c>
      <c r="J1716">
        <f>IFERROR(__xludf.DUMMYFUNCTION("""COMPUTED_VALUE"""),0.0)</f>
        <v>0</v>
      </c>
      <c r="L1716" s="250" t="str">
        <f>IFERROR(__xludf.DUMMYFUNCTION("""COMPUTED_VALUE"""),"")</f>
        <v/>
      </c>
      <c r="M1716" s="250" t="str">
        <f>IFERROR(__xludf.DUMMYFUNCTION("""COMPUTED_VALUE"""),"")</f>
        <v/>
      </c>
      <c r="N1716" s="250" t="str">
        <f>IFERROR(__xludf.DUMMYFUNCTION("""COMPUTED_VALUE"""),"")</f>
        <v/>
      </c>
      <c r="O1716" s="250" t="str">
        <f>IFERROR(__xludf.DUMMYFUNCTION("""COMPUTED_VALUE"""),"")</f>
        <v/>
      </c>
      <c r="P1716" s="250" t="str">
        <f>IFERROR(__xludf.DUMMYFUNCTION("""COMPUTED_VALUE"""),"")</f>
        <v/>
      </c>
      <c r="Q1716" s="250" t="str">
        <f>IFERROR(__xludf.DUMMYFUNCTION("""COMPUTED_VALUE"""),"")</f>
        <v/>
      </c>
      <c r="R1716" s="250" t="str">
        <f>IFERROR(__xludf.DUMMYFUNCTION("""COMPUTED_VALUE"""),"")</f>
        <v/>
      </c>
      <c r="U1716" s="250" t="str">
        <f>IFERROR(__xludf.DUMMYFUNCTION("""COMPUTED_VALUE"""),"#N/A")</f>
        <v>#N/A</v>
      </c>
      <c r="V1716" s="250" t="str">
        <f>IFERROR(__xludf.DUMMYFUNCTION("""COMPUTED_VALUE"""),"#N/A")</f>
        <v>#N/A</v>
      </c>
      <c r="W1716" s="250" t="str">
        <f>IFERROR(__xludf.DUMMYFUNCTION("""COMPUTED_VALUE"""),"#N/A")</f>
        <v>#N/A</v>
      </c>
      <c r="X1716" t="b">
        <f t="shared" ref="X1716:Z1716" si="3408">ISBLANK(K1716)</f>
        <v>1</v>
      </c>
      <c r="Y1716" t="b">
        <f t="shared" si="3408"/>
        <v>0</v>
      </c>
      <c r="Z1716" t="b">
        <f t="shared" si="3408"/>
        <v>0</v>
      </c>
      <c r="AA1716">
        <f t="shared" ref="AA1716:AC1716" si="3409">IF(X1716=FALSE,1,0)</f>
        <v>0</v>
      </c>
      <c r="AB1716">
        <f t="shared" si="3409"/>
        <v>1</v>
      </c>
      <c r="AC1716">
        <f t="shared" si="3409"/>
        <v>1</v>
      </c>
      <c r="AD1716">
        <f t="shared" si="6"/>
        <v>2</v>
      </c>
      <c r="AE1716">
        <f t="shared" si="7"/>
        <v>1</v>
      </c>
    </row>
    <row r="1717">
      <c r="B1717" t="str">
        <f>IFERROR(__xludf.DUMMYFUNCTION("""COMPUTED_VALUE"""),"")</f>
        <v/>
      </c>
      <c r="C1717" t="str">
        <f>IFERROR(__xludf.DUMMYFUNCTION("""COMPUTED_VALUE"""),"")</f>
        <v/>
      </c>
      <c r="D1717" t="str">
        <f>IFERROR(__xludf.DUMMYFUNCTION("""COMPUTED_VALUE"""),"")</f>
        <v/>
      </c>
      <c r="E1717" t="str">
        <f>IFERROR(__xludf.DUMMYFUNCTION("""COMPUTED_VALUE"""),"")</f>
        <v/>
      </c>
      <c r="F1717" t="str">
        <f>IFERROR(__xludf.DUMMYFUNCTION("""COMPUTED_VALUE"""),"")</f>
        <v/>
      </c>
      <c r="G1717" t="str">
        <f>IFERROR(__xludf.DUMMYFUNCTION("""COMPUTED_VALUE"""),"")</f>
        <v/>
      </c>
      <c r="H1717" t="str">
        <f>IFERROR(__xludf.DUMMYFUNCTION("""COMPUTED_VALUE"""),"")</f>
        <v/>
      </c>
      <c r="I1717" t="str">
        <f>IFERROR(__xludf.DUMMYFUNCTION("""COMPUTED_VALUE"""),"")</f>
        <v/>
      </c>
      <c r="J1717">
        <f>IFERROR(__xludf.DUMMYFUNCTION("""COMPUTED_VALUE"""),0.0)</f>
        <v>0</v>
      </c>
      <c r="L1717" s="250" t="str">
        <f>IFERROR(__xludf.DUMMYFUNCTION("""COMPUTED_VALUE"""),"")</f>
        <v/>
      </c>
      <c r="M1717" s="250" t="str">
        <f>IFERROR(__xludf.DUMMYFUNCTION("""COMPUTED_VALUE"""),"")</f>
        <v/>
      </c>
      <c r="N1717" s="250" t="str">
        <f>IFERROR(__xludf.DUMMYFUNCTION("""COMPUTED_VALUE"""),"")</f>
        <v/>
      </c>
      <c r="O1717" s="250" t="str">
        <f>IFERROR(__xludf.DUMMYFUNCTION("""COMPUTED_VALUE"""),"")</f>
        <v/>
      </c>
      <c r="P1717" s="250" t="str">
        <f>IFERROR(__xludf.DUMMYFUNCTION("""COMPUTED_VALUE"""),"")</f>
        <v/>
      </c>
      <c r="Q1717" s="250" t="str">
        <f>IFERROR(__xludf.DUMMYFUNCTION("""COMPUTED_VALUE"""),"")</f>
        <v/>
      </c>
      <c r="R1717" s="250" t="str">
        <f>IFERROR(__xludf.DUMMYFUNCTION("""COMPUTED_VALUE"""),"")</f>
        <v/>
      </c>
      <c r="U1717" s="250" t="str">
        <f>IFERROR(__xludf.DUMMYFUNCTION("""COMPUTED_VALUE"""),"#N/A")</f>
        <v>#N/A</v>
      </c>
      <c r="V1717" s="250" t="str">
        <f>IFERROR(__xludf.DUMMYFUNCTION("""COMPUTED_VALUE"""),"#N/A")</f>
        <v>#N/A</v>
      </c>
      <c r="W1717" s="250" t="str">
        <f>IFERROR(__xludf.DUMMYFUNCTION("""COMPUTED_VALUE"""),"#N/A")</f>
        <v>#N/A</v>
      </c>
      <c r="X1717" t="b">
        <f t="shared" ref="X1717:Z1717" si="3410">ISBLANK(K1717)</f>
        <v>1</v>
      </c>
      <c r="Y1717" t="b">
        <f t="shared" si="3410"/>
        <v>0</v>
      </c>
      <c r="Z1717" t="b">
        <f t="shared" si="3410"/>
        <v>0</v>
      </c>
      <c r="AA1717">
        <f t="shared" ref="AA1717:AC1717" si="3411">IF(X1717=FALSE,1,0)</f>
        <v>0</v>
      </c>
      <c r="AB1717">
        <f t="shared" si="3411"/>
        <v>1</v>
      </c>
      <c r="AC1717">
        <f t="shared" si="3411"/>
        <v>1</v>
      </c>
      <c r="AD1717">
        <f t="shared" si="6"/>
        <v>2</v>
      </c>
      <c r="AE1717">
        <f t="shared" si="7"/>
        <v>1</v>
      </c>
    </row>
    <row r="1718">
      <c r="B1718" t="str">
        <f>IFERROR(__xludf.DUMMYFUNCTION("""COMPUTED_VALUE"""),"")</f>
        <v/>
      </c>
      <c r="C1718" t="str">
        <f>IFERROR(__xludf.DUMMYFUNCTION("""COMPUTED_VALUE"""),"")</f>
        <v/>
      </c>
      <c r="D1718" t="str">
        <f>IFERROR(__xludf.DUMMYFUNCTION("""COMPUTED_VALUE"""),"")</f>
        <v/>
      </c>
      <c r="E1718" t="str">
        <f>IFERROR(__xludf.DUMMYFUNCTION("""COMPUTED_VALUE"""),"")</f>
        <v/>
      </c>
      <c r="F1718" t="str">
        <f>IFERROR(__xludf.DUMMYFUNCTION("""COMPUTED_VALUE"""),"")</f>
        <v/>
      </c>
      <c r="G1718" t="str">
        <f>IFERROR(__xludf.DUMMYFUNCTION("""COMPUTED_VALUE"""),"")</f>
        <v/>
      </c>
      <c r="H1718" t="str">
        <f>IFERROR(__xludf.DUMMYFUNCTION("""COMPUTED_VALUE"""),"")</f>
        <v/>
      </c>
      <c r="I1718" t="str">
        <f>IFERROR(__xludf.DUMMYFUNCTION("""COMPUTED_VALUE"""),"")</f>
        <v/>
      </c>
      <c r="J1718">
        <f>IFERROR(__xludf.DUMMYFUNCTION("""COMPUTED_VALUE"""),0.0)</f>
        <v>0</v>
      </c>
      <c r="L1718" s="250" t="str">
        <f>IFERROR(__xludf.DUMMYFUNCTION("""COMPUTED_VALUE"""),"")</f>
        <v/>
      </c>
      <c r="M1718" s="250" t="str">
        <f>IFERROR(__xludf.DUMMYFUNCTION("""COMPUTED_VALUE"""),"")</f>
        <v/>
      </c>
      <c r="N1718" s="250" t="str">
        <f>IFERROR(__xludf.DUMMYFUNCTION("""COMPUTED_VALUE"""),"")</f>
        <v/>
      </c>
      <c r="O1718" s="250" t="str">
        <f>IFERROR(__xludf.DUMMYFUNCTION("""COMPUTED_VALUE"""),"")</f>
        <v/>
      </c>
      <c r="P1718" s="250" t="str">
        <f>IFERROR(__xludf.DUMMYFUNCTION("""COMPUTED_VALUE"""),"")</f>
        <v/>
      </c>
      <c r="Q1718" s="250" t="str">
        <f>IFERROR(__xludf.DUMMYFUNCTION("""COMPUTED_VALUE"""),"")</f>
        <v/>
      </c>
      <c r="R1718" s="250" t="str">
        <f>IFERROR(__xludf.DUMMYFUNCTION("""COMPUTED_VALUE"""),"")</f>
        <v/>
      </c>
      <c r="U1718" s="250" t="str">
        <f>IFERROR(__xludf.DUMMYFUNCTION("""COMPUTED_VALUE"""),"#N/A")</f>
        <v>#N/A</v>
      </c>
      <c r="V1718" s="250" t="str">
        <f>IFERROR(__xludf.DUMMYFUNCTION("""COMPUTED_VALUE"""),"#N/A")</f>
        <v>#N/A</v>
      </c>
      <c r="W1718" s="250" t="str">
        <f>IFERROR(__xludf.DUMMYFUNCTION("""COMPUTED_VALUE"""),"#N/A")</f>
        <v>#N/A</v>
      </c>
      <c r="X1718" t="b">
        <f t="shared" ref="X1718:Z1718" si="3412">ISBLANK(K1718)</f>
        <v>1</v>
      </c>
      <c r="Y1718" t="b">
        <f t="shared" si="3412"/>
        <v>0</v>
      </c>
      <c r="Z1718" t="b">
        <f t="shared" si="3412"/>
        <v>0</v>
      </c>
      <c r="AA1718">
        <f t="shared" ref="AA1718:AC1718" si="3413">IF(X1718=FALSE,1,0)</f>
        <v>0</v>
      </c>
      <c r="AB1718">
        <f t="shared" si="3413"/>
        <v>1</v>
      </c>
      <c r="AC1718">
        <f t="shared" si="3413"/>
        <v>1</v>
      </c>
      <c r="AD1718">
        <f t="shared" si="6"/>
        <v>2</v>
      </c>
      <c r="AE1718">
        <f t="shared" si="7"/>
        <v>1</v>
      </c>
    </row>
    <row r="1719">
      <c r="B1719" t="str">
        <f>IFERROR(__xludf.DUMMYFUNCTION("""COMPUTED_VALUE"""),"")</f>
        <v/>
      </c>
      <c r="C1719" t="str">
        <f>IFERROR(__xludf.DUMMYFUNCTION("""COMPUTED_VALUE"""),"")</f>
        <v/>
      </c>
      <c r="D1719" t="str">
        <f>IFERROR(__xludf.DUMMYFUNCTION("""COMPUTED_VALUE"""),"")</f>
        <v/>
      </c>
      <c r="E1719" t="str">
        <f>IFERROR(__xludf.DUMMYFUNCTION("""COMPUTED_VALUE"""),"")</f>
        <v/>
      </c>
      <c r="F1719" t="str">
        <f>IFERROR(__xludf.DUMMYFUNCTION("""COMPUTED_VALUE"""),"")</f>
        <v/>
      </c>
      <c r="G1719" t="str">
        <f>IFERROR(__xludf.DUMMYFUNCTION("""COMPUTED_VALUE"""),"")</f>
        <v/>
      </c>
      <c r="H1719" t="str">
        <f>IFERROR(__xludf.DUMMYFUNCTION("""COMPUTED_VALUE"""),"")</f>
        <v/>
      </c>
      <c r="I1719" t="str">
        <f>IFERROR(__xludf.DUMMYFUNCTION("""COMPUTED_VALUE"""),"")</f>
        <v/>
      </c>
      <c r="J1719">
        <f>IFERROR(__xludf.DUMMYFUNCTION("""COMPUTED_VALUE"""),0.0)</f>
        <v>0</v>
      </c>
      <c r="L1719" s="250" t="str">
        <f>IFERROR(__xludf.DUMMYFUNCTION("""COMPUTED_VALUE"""),"")</f>
        <v/>
      </c>
      <c r="M1719" s="250" t="str">
        <f>IFERROR(__xludf.DUMMYFUNCTION("""COMPUTED_VALUE"""),"")</f>
        <v/>
      </c>
      <c r="N1719" s="250" t="str">
        <f>IFERROR(__xludf.DUMMYFUNCTION("""COMPUTED_VALUE"""),"")</f>
        <v/>
      </c>
      <c r="O1719" s="250" t="str">
        <f>IFERROR(__xludf.DUMMYFUNCTION("""COMPUTED_VALUE"""),"")</f>
        <v/>
      </c>
      <c r="P1719" s="250" t="str">
        <f>IFERROR(__xludf.DUMMYFUNCTION("""COMPUTED_VALUE"""),"")</f>
        <v/>
      </c>
      <c r="Q1719" s="250" t="str">
        <f>IFERROR(__xludf.DUMMYFUNCTION("""COMPUTED_VALUE"""),"")</f>
        <v/>
      </c>
      <c r="R1719" s="250" t="str">
        <f>IFERROR(__xludf.DUMMYFUNCTION("""COMPUTED_VALUE"""),"")</f>
        <v/>
      </c>
      <c r="U1719" s="250" t="str">
        <f>IFERROR(__xludf.DUMMYFUNCTION("""COMPUTED_VALUE"""),"#N/A")</f>
        <v>#N/A</v>
      </c>
      <c r="V1719" s="250" t="str">
        <f>IFERROR(__xludf.DUMMYFUNCTION("""COMPUTED_VALUE"""),"#N/A")</f>
        <v>#N/A</v>
      </c>
      <c r="W1719" s="250" t="str">
        <f>IFERROR(__xludf.DUMMYFUNCTION("""COMPUTED_VALUE"""),"#N/A")</f>
        <v>#N/A</v>
      </c>
      <c r="X1719" t="b">
        <f t="shared" ref="X1719:Z1719" si="3414">ISBLANK(K1719)</f>
        <v>1</v>
      </c>
      <c r="Y1719" t="b">
        <f t="shared" si="3414"/>
        <v>0</v>
      </c>
      <c r="Z1719" t="b">
        <f t="shared" si="3414"/>
        <v>0</v>
      </c>
      <c r="AA1719">
        <f t="shared" ref="AA1719:AC1719" si="3415">IF(X1719=FALSE,1,0)</f>
        <v>0</v>
      </c>
      <c r="AB1719">
        <f t="shared" si="3415"/>
        <v>1</v>
      </c>
      <c r="AC1719">
        <f t="shared" si="3415"/>
        <v>1</v>
      </c>
      <c r="AD1719">
        <f t="shared" si="6"/>
        <v>2</v>
      </c>
      <c r="AE1719">
        <f t="shared" si="7"/>
        <v>1</v>
      </c>
    </row>
    <row r="1720">
      <c r="B1720" t="str">
        <f>IFERROR(__xludf.DUMMYFUNCTION("""COMPUTED_VALUE"""),"")</f>
        <v/>
      </c>
      <c r="C1720" t="str">
        <f>IFERROR(__xludf.DUMMYFUNCTION("""COMPUTED_VALUE"""),"")</f>
        <v/>
      </c>
      <c r="D1720" t="str">
        <f>IFERROR(__xludf.DUMMYFUNCTION("""COMPUTED_VALUE"""),"")</f>
        <v/>
      </c>
      <c r="E1720" t="str">
        <f>IFERROR(__xludf.DUMMYFUNCTION("""COMPUTED_VALUE"""),"")</f>
        <v/>
      </c>
      <c r="F1720" t="str">
        <f>IFERROR(__xludf.DUMMYFUNCTION("""COMPUTED_VALUE"""),"")</f>
        <v/>
      </c>
      <c r="G1720" t="str">
        <f>IFERROR(__xludf.DUMMYFUNCTION("""COMPUTED_VALUE"""),"")</f>
        <v/>
      </c>
      <c r="H1720" t="str">
        <f>IFERROR(__xludf.DUMMYFUNCTION("""COMPUTED_VALUE"""),"")</f>
        <v/>
      </c>
      <c r="I1720" t="str">
        <f>IFERROR(__xludf.DUMMYFUNCTION("""COMPUTED_VALUE"""),"")</f>
        <v/>
      </c>
      <c r="J1720">
        <f>IFERROR(__xludf.DUMMYFUNCTION("""COMPUTED_VALUE"""),0.0)</f>
        <v>0</v>
      </c>
      <c r="L1720" s="250" t="str">
        <f>IFERROR(__xludf.DUMMYFUNCTION("""COMPUTED_VALUE"""),"")</f>
        <v/>
      </c>
      <c r="M1720" s="250" t="str">
        <f>IFERROR(__xludf.DUMMYFUNCTION("""COMPUTED_VALUE"""),"")</f>
        <v/>
      </c>
      <c r="N1720" s="250" t="str">
        <f>IFERROR(__xludf.DUMMYFUNCTION("""COMPUTED_VALUE"""),"")</f>
        <v/>
      </c>
      <c r="O1720" s="250" t="str">
        <f>IFERROR(__xludf.DUMMYFUNCTION("""COMPUTED_VALUE"""),"")</f>
        <v/>
      </c>
      <c r="P1720" s="250" t="str">
        <f>IFERROR(__xludf.DUMMYFUNCTION("""COMPUTED_VALUE"""),"")</f>
        <v/>
      </c>
      <c r="Q1720" s="250" t="str">
        <f>IFERROR(__xludf.DUMMYFUNCTION("""COMPUTED_VALUE"""),"")</f>
        <v/>
      </c>
      <c r="R1720" s="250" t="str">
        <f>IFERROR(__xludf.DUMMYFUNCTION("""COMPUTED_VALUE"""),"")</f>
        <v/>
      </c>
      <c r="U1720" s="250" t="str">
        <f>IFERROR(__xludf.DUMMYFUNCTION("""COMPUTED_VALUE"""),"#N/A")</f>
        <v>#N/A</v>
      </c>
      <c r="V1720" s="250" t="str">
        <f>IFERROR(__xludf.DUMMYFUNCTION("""COMPUTED_VALUE"""),"#N/A")</f>
        <v>#N/A</v>
      </c>
      <c r="W1720" s="250" t="str">
        <f>IFERROR(__xludf.DUMMYFUNCTION("""COMPUTED_VALUE"""),"#N/A")</f>
        <v>#N/A</v>
      </c>
      <c r="X1720" t="b">
        <f t="shared" ref="X1720:Z1720" si="3416">ISBLANK(K1720)</f>
        <v>1</v>
      </c>
      <c r="Y1720" t="b">
        <f t="shared" si="3416"/>
        <v>0</v>
      </c>
      <c r="Z1720" t="b">
        <f t="shared" si="3416"/>
        <v>0</v>
      </c>
      <c r="AA1720">
        <f t="shared" ref="AA1720:AC1720" si="3417">IF(X1720=FALSE,1,0)</f>
        <v>0</v>
      </c>
      <c r="AB1720">
        <f t="shared" si="3417"/>
        <v>1</v>
      </c>
      <c r="AC1720">
        <f t="shared" si="3417"/>
        <v>1</v>
      </c>
      <c r="AD1720">
        <f t="shared" si="6"/>
        <v>2</v>
      </c>
      <c r="AE1720">
        <f t="shared" si="7"/>
        <v>1</v>
      </c>
    </row>
    <row r="1721">
      <c r="B1721" t="str">
        <f>IFERROR(__xludf.DUMMYFUNCTION("""COMPUTED_VALUE"""),"")</f>
        <v/>
      </c>
      <c r="C1721" t="str">
        <f>IFERROR(__xludf.DUMMYFUNCTION("""COMPUTED_VALUE"""),"")</f>
        <v/>
      </c>
      <c r="D1721" t="str">
        <f>IFERROR(__xludf.DUMMYFUNCTION("""COMPUTED_VALUE"""),"")</f>
        <v/>
      </c>
      <c r="E1721" t="str">
        <f>IFERROR(__xludf.DUMMYFUNCTION("""COMPUTED_VALUE"""),"")</f>
        <v/>
      </c>
      <c r="F1721" t="str">
        <f>IFERROR(__xludf.DUMMYFUNCTION("""COMPUTED_VALUE"""),"")</f>
        <v/>
      </c>
      <c r="G1721" t="str">
        <f>IFERROR(__xludf.DUMMYFUNCTION("""COMPUTED_VALUE"""),"")</f>
        <v/>
      </c>
      <c r="H1721" t="str">
        <f>IFERROR(__xludf.DUMMYFUNCTION("""COMPUTED_VALUE"""),"")</f>
        <v/>
      </c>
      <c r="I1721" t="str">
        <f>IFERROR(__xludf.DUMMYFUNCTION("""COMPUTED_VALUE"""),"")</f>
        <v/>
      </c>
      <c r="J1721">
        <f>IFERROR(__xludf.DUMMYFUNCTION("""COMPUTED_VALUE"""),0.0)</f>
        <v>0</v>
      </c>
      <c r="L1721" s="250" t="str">
        <f>IFERROR(__xludf.DUMMYFUNCTION("""COMPUTED_VALUE"""),"")</f>
        <v/>
      </c>
      <c r="M1721" s="250" t="str">
        <f>IFERROR(__xludf.DUMMYFUNCTION("""COMPUTED_VALUE"""),"")</f>
        <v/>
      </c>
      <c r="N1721" s="250" t="str">
        <f>IFERROR(__xludf.DUMMYFUNCTION("""COMPUTED_VALUE"""),"")</f>
        <v/>
      </c>
      <c r="O1721" s="250" t="str">
        <f>IFERROR(__xludf.DUMMYFUNCTION("""COMPUTED_VALUE"""),"")</f>
        <v/>
      </c>
      <c r="P1721" s="250" t="str">
        <f>IFERROR(__xludf.DUMMYFUNCTION("""COMPUTED_VALUE"""),"")</f>
        <v/>
      </c>
      <c r="Q1721" s="250" t="str">
        <f>IFERROR(__xludf.DUMMYFUNCTION("""COMPUTED_VALUE"""),"")</f>
        <v/>
      </c>
      <c r="R1721" s="250" t="str">
        <f>IFERROR(__xludf.DUMMYFUNCTION("""COMPUTED_VALUE"""),"")</f>
        <v/>
      </c>
      <c r="U1721" s="250" t="str">
        <f>IFERROR(__xludf.DUMMYFUNCTION("""COMPUTED_VALUE"""),"#N/A")</f>
        <v>#N/A</v>
      </c>
      <c r="V1721" s="250" t="str">
        <f>IFERROR(__xludf.DUMMYFUNCTION("""COMPUTED_VALUE"""),"#N/A")</f>
        <v>#N/A</v>
      </c>
      <c r="W1721" s="250" t="str">
        <f>IFERROR(__xludf.DUMMYFUNCTION("""COMPUTED_VALUE"""),"#N/A")</f>
        <v>#N/A</v>
      </c>
      <c r="X1721" t="b">
        <f t="shared" ref="X1721:Z1721" si="3418">ISBLANK(K1721)</f>
        <v>1</v>
      </c>
      <c r="Y1721" t="b">
        <f t="shared" si="3418"/>
        <v>0</v>
      </c>
      <c r="Z1721" t="b">
        <f t="shared" si="3418"/>
        <v>0</v>
      </c>
      <c r="AA1721">
        <f t="shared" ref="AA1721:AC1721" si="3419">IF(X1721=FALSE,1,0)</f>
        <v>0</v>
      </c>
      <c r="AB1721">
        <f t="shared" si="3419"/>
        <v>1</v>
      </c>
      <c r="AC1721">
        <f t="shared" si="3419"/>
        <v>1</v>
      </c>
      <c r="AD1721">
        <f t="shared" si="6"/>
        <v>2</v>
      </c>
      <c r="AE1721">
        <f t="shared" si="7"/>
        <v>1</v>
      </c>
    </row>
    <row r="1722">
      <c r="B1722" t="str">
        <f>IFERROR(__xludf.DUMMYFUNCTION("""COMPUTED_VALUE"""),"")</f>
        <v/>
      </c>
      <c r="C1722" t="str">
        <f>IFERROR(__xludf.DUMMYFUNCTION("""COMPUTED_VALUE"""),"")</f>
        <v/>
      </c>
      <c r="D1722" t="str">
        <f>IFERROR(__xludf.DUMMYFUNCTION("""COMPUTED_VALUE"""),"")</f>
        <v/>
      </c>
      <c r="E1722" t="str">
        <f>IFERROR(__xludf.DUMMYFUNCTION("""COMPUTED_VALUE"""),"")</f>
        <v/>
      </c>
      <c r="F1722" t="str">
        <f>IFERROR(__xludf.DUMMYFUNCTION("""COMPUTED_VALUE"""),"")</f>
        <v/>
      </c>
      <c r="G1722" t="str">
        <f>IFERROR(__xludf.DUMMYFUNCTION("""COMPUTED_VALUE"""),"")</f>
        <v/>
      </c>
      <c r="H1722" t="str">
        <f>IFERROR(__xludf.DUMMYFUNCTION("""COMPUTED_VALUE"""),"")</f>
        <v/>
      </c>
      <c r="I1722" t="str">
        <f>IFERROR(__xludf.DUMMYFUNCTION("""COMPUTED_VALUE"""),"")</f>
        <v/>
      </c>
      <c r="J1722">
        <f>IFERROR(__xludf.DUMMYFUNCTION("""COMPUTED_VALUE"""),0.0)</f>
        <v>0</v>
      </c>
      <c r="L1722" s="250" t="str">
        <f>IFERROR(__xludf.DUMMYFUNCTION("""COMPUTED_VALUE"""),"")</f>
        <v/>
      </c>
      <c r="M1722" s="250" t="str">
        <f>IFERROR(__xludf.DUMMYFUNCTION("""COMPUTED_VALUE"""),"")</f>
        <v/>
      </c>
      <c r="N1722" s="250" t="str">
        <f>IFERROR(__xludf.DUMMYFUNCTION("""COMPUTED_VALUE"""),"")</f>
        <v/>
      </c>
      <c r="O1722" s="250" t="str">
        <f>IFERROR(__xludf.DUMMYFUNCTION("""COMPUTED_VALUE"""),"")</f>
        <v/>
      </c>
      <c r="P1722" s="250" t="str">
        <f>IFERROR(__xludf.DUMMYFUNCTION("""COMPUTED_VALUE"""),"")</f>
        <v/>
      </c>
      <c r="Q1722" s="250" t="str">
        <f>IFERROR(__xludf.DUMMYFUNCTION("""COMPUTED_VALUE"""),"")</f>
        <v/>
      </c>
      <c r="R1722" s="250" t="str">
        <f>IFERROR(__xludf.DUMMYFUNCTION("""COMPUTED_VALUE"""),"")</f>
        <v/>
      </c>
      <c r="U1722" s="250" t="str">
        <f>IFERROR(__xludf.DUMMYFUNCTION("""COMPUTED_VALUE"""),"#N/A")</f>
        <v>#N/A</v>
      </c>
      <c r="V1722" s="250" t="str">
        <f>IFERROR(__xludf.DUMMYFUNCTION("""COMPUTED_VALUE"""),"#N/A")</f>
        <v>#N/A</v>
      </c>
      <c r="W1722" s="250" t="str">
        <f>IFERROR(__xludf.DUMMYFUNCTION("""COMPUTED_VALUE"""),"#N/A")</f>
        <v>#N/A</v>
      </c>
      <c r="X1722" t="b">
        <f t="shared" ref="X1722:Z1722" si="3420">ISBLANK(K1722)</f>
        <v>1</v>
      </c>
      <c r="Y1722" t="b">
        <f t="shared" si="3420"/>
        <v>0</v>
      </c>
      <c r="Z1722" t="b">
        <f t="shared" si="3420"/>
        <v>0</v>
      </c>
      <c r="AA1722">
        <f t="shared" ref="AA1722:AC1722" si="3421">IF(X1722=FALSE,1,0)</f>
        <v>0</v>
      </c>
      <c r="AB1722">
        <f t="shared" si="3421"/>
        <v>1</v>
      </c>
      <c r="AC1722">
        <f t="shared" si="3421"/>
        <v>1</v>
      </c>
      <c r="AD1722">
        <f t="shared" si="6"/>
        <v>2</v>
      </c>
      <c r="AE1722">
        <f t="shared" si="7"/>
        <v>1</v>
      </c>
    </row>
    <row r="1723">
      <c r="B1723" t="str">
        <f>IFERROR(__xludf.DUMMYFUNCTION("""COMPUTED_VALUE"""),"")</f>
        <v/>
      </c>
      <c r="C1723" t="str">
        <f>IFERROR(__xludf.DUMMYFUNCTION("""COMPUTED_VALUE"""),"")</f>
        <v/>
      </c>
      <c r="D1723" t="str">
        <f>IFERROR(__xludf.DUMMYFUNCTION("""COMPUTED_VALUE"""),"")</f>
        <v/>
      </c>
      <c r="E1723" t="str">
        <f>IFERROR(__xludf.DUMMYFUNCTION("""COMPUTED_VALUE"""),"")</f>
        <v/>
      </c>
      <c r="F1723" t="str">
        <f>IFERROR(__xludf.DUMMYFUNCTION("""COMPUTED_VALUE"""),"")</f>
        <v/>
      </c>
      <c r="G1723" t="str">
        <f>IFERROR(__xludf.DUMMYFUNCTION("""COMPUTED_VALUE"""),"")</f>
        <v/>
      </c>
      <c r="H1723" t="str">
        <f>IFERROR(__xludf.DUMMYFUNCTION("""COMPUTED_VALUE"""),"")</f>
        <v/>
      </c>
      <c r="I1723" t="str">
        <f>IFERROR(__xludf.DUMMYFUNCTION("""COMPUTED_VALUE"""),"")</f>
        <v/>
      </c>
      <c r="J1723">
        <f>IFERROR(__xludf.DUMMYFUNCTION("""COMPUTED_VALUE"""),0.0)</f>
        <v>0</v>
      </c>
      <c r="L1723" s="250" t="str">
        <f>IFERROR(__xludf.DUMMYFUNCTION("""COMPUTED_VALUE"""),"")</f>
        <v/>
      </c>
      <c r="M1723" s="250" t="str">
        <f>IFERROR(__xludf.DUMMYFUNCTION("""COMPUTED_VALUE"""),"")</f>
        <v/>
      </c>
      <c r="N1723" s="250" t="str">
        <f>IFERROR(__xludf.DUMMYFUNCTION("""COMPUTED_VALUE"""),"")</f>
        <v/>
      </c>
      <c r="O1723" s="250" t="str">
        <f>IFERROR(__xludf.DUMMYFUNCTION("""COMPUTED_VALUE"""),"")</f>
        <v/>
      </c>
      <c r="P1723" s="250" t="str">
        <f>IFERROR(__xludf.DUMMYFUNCTION("""COMPUTED_VALUE"""),"")</f>
        <v/>
      </c>
      <c r="Q1723" s="250" t="str">
        <f>IFERROR(__xludf.DUMMYFUNCTION("""COMPUTED_VALUE"""),"")</f>
        <v/>
      </c>
      <c r="R1723" s="250" t="str">
        <f>IFERROR(__xludf.DUMMYFUNCTION("""COMPUTED_VALUE"""),"")</f>
        <v/>
      </c>
      <c r="U1723" s="250" t="str">
        <f>IFERROR(__xludf.DUMMYFUNCTION("""COMPUTED_VALUE"""),"#N/A")</f>
        <v>#N/A</v>
      </c>
      <c r="V1723" s="250" t="str">
        <f>IFERROR(__xludf.DUMMYFUNCTION("""COMPUTED_VALUE"""),"#N/A")</f>
        <v>#N/A</v>
      </c>
      <c r="W1723" s="250" t="str">
        <f>IFERROR(__xludf.DUMMYFUNCTION("""COMPUTED_VALUE"""),"#N/A")</f>
        <v>#N/A</v>
      </c>
      <c r="X1723" t="b">
        <f t="shared" ref="X1723:Z1723" si="3422">ISBLANK(K1723)</f>
        <v>1</v>
      </c>
      <c r="Y1723" t="b">
        <f t="shared" si="3422"/>
        <v>0</v>
      </c>
      <c r="Z1723" t="b">
        <f t="shared" si="3422"/>
        <v>0</v>
      </c>
      <c r="AA1723">
        <f t="shared" ref="AA1723:AC1723" si="3423">IF(X1723=FALSE,1,0)</f>
        <v>0</v>
      </c>
      <c r="AB1723">
        <f t="shared" si="3423"/>
        <v>1</v>
      </c>
      <c r="AC1723">
        <f t="shared" si="3423"/>
        <v>1</v>
      </c>
      <c r="AD1723">
        <f t="shared" si="6"/>
        <v>2</v>
      </c>
      <c r="AE1723">
        <f t="shared" si="7"/>
        <v>1</v>
      </c>
    </row>
    <row r="1724">
      <c r="B1724" t="str">
        <f>IFERROR(__xludf.DUMMYFUNCTION("""COMPUTED_VALUE"""),"")</f>
        <v/>
      </c>
      <c r="C1724" t="str">
        <f>IFERROR(__xludf.DUMMYFUNCTION("""COMPUTED_VALUE"""),"")</f>
        <v/>
      </c>
      <c r="D1724" t="str">
        <f>IFERROR(__xludf.DUMMYFUNCTION("""COMPUTED_VALUE"""),"")</f>
        <v/>
      </c>
      <c r="E1724" t="str">
        <f>IFERROR(__xludf.DUMMYFUNCTION("""COMPUTED_VALUE"""),"")</f>
        <v/>
      </c>
      <c r="F1724" t="str">
        <f>IFERROR(__xludf.DUMMYFUNCTION("""COMPUTED_VALUE"""),"")</f>
        <v/>
      </c>
      <c r="G1724" t="str">
        <f>IFERROR(__xludf.DUMMYFUNCTION("""COMPUTED_VALUE"""),"")</f>
        <v/>
      </c>
      <c r="H1724" t="str">
        <f>IFERROR(__xludf.DUMMYFUNCTION("""COMPUTED_VALUE"""),"")</f>
        <v/>
      </c>
      <c r="I1724" t="str">
        <f>IFERROR(__xludf.DUMMYFUNCTION("""COMPUTED_VALUE"""),"")</f>
        <v/>
      </c>
      <c r="J1724">
        <f>IFERROR(__xludf.DUMMYFUNCTION("""COMPUTED_VALUE"""),0.0)</f>
        <v>0</v>
      </c>
      <c r="L1724" s="250" t="str">
        <f>IFERROR(__xludf.DUMMYFUNCTION("""COMPUTED_VALUE"""),"")</f>
        <v/>
      </c>
      <c r="M1724" s="250" t="str">
        <f>IFERROR(__xludf.DUMMYFUNCTION("""COMPUTED_VALUE"""),"")</f>
        <v/>
      </c>
      <c r="N1724" s="250" t="str">
        <f>IFERROR(__xludf.DUMMYFUNCTION("""COMPUTED_VALUE"""),"")</f>
        <v/>
      </c>
      <c r="O1724" s="250" t="str">
        <f>IFERROR(__xludf.DUMMYFUNCTION("""COMPUTED_VALUE"""),"")</f>
        <v/>
      </c>
      <c r="P1724" s="250" t="str">
        <f>IFERROR(__xludf.DUMMYFUNCTION("""COMPUTED_VALUE"""),"")</f>
        <v/>
      </c>
      <c r="Q1724" s="250" t="str">
        <f>IFERROR(__xludf.DUMMYFUNCTION("""COMPUTED_VALUE"""),"")</f>
        <v/>
      </c>
      <c r="R1724" s="250" t="str">
        <f>IFERROR(__xludf.DUMMYFUNCTION("""COMPUTED_VALUE"""),"")</f>
        <v/>
      </c>
      <c r="U1724" s="250" t="str">
        <f>IFERROR(__xludf.DUMMYFUNCTION("""COMPUTED_VALUE"""),"#N/A")</f>
        <v>#N/A</v>
      </c>
      <c r="V1724" s="250" t="str">
        <f>IFERROR(__xludf.DUMMYFUNCTION("""COMPUTED_VALUE"""),"#N/A")</f>
        <v>#N/A</v>
      </c>
      <c r="W1724" s="250" t="str">
        <f>IFERROR(__xludf.DUMMYFUNCTION("""COMPUTED_VALUE"""),"#N/A")</f>
        <v>#N/A</v>
      </c>
      <c r="X1724" t="b">
        <f t="shared" ref="X1724:Z1724" si="3424">ISBLANK(K1724)</f>
        <v>1</v>
      </c>
      <c r="Y1724" t="b">
        <f t="shared" si="3424"/>
        <v>0</v>
      </c>
      <c r="Z1724" t="b">
        <f t="shared" si="3424"/>
        <v>0</v>
      </c>
      <c r="AA1724">
        <f t="shared" ref="AA1724:AC1724" si="3425">IF(X1724=FALSE,1,0)</f>
        <v>0</v>
      </c>
      <c r="AB1724">
        <f t="shared" si="3425"/>
        <v>1</v>
      </c>
      <c r="AC1724">
        <f t="shared" si="3425"/>
        <v>1</v>
      </c>
      <c r="AD1724">
        <f t="shared" si="6"/>
        <v>2</v>
      </c>
      <c r="AE1724">
        <f t="shared" si="7"/>
        <v>1</v>
      </c>
    </row>
    <row r="1725">
      <c r="B1725" t="str">
        <f>IFERROR(__xludf.DUMMYFUNCTION("""COMPUTED_VALUE"""),"")</f>
        <v/>
      </c>
      <c r="C1725" t="str">
        <f>IFERROR(__xludf.DUMMYFUNCTION("""COMPUTED_VALUE"""),"")</f>
        <v/>
      </c>
      <c r="D1725" t="str">
        <f>IFERROR(__xludf.DUMMYFUNCTION("""COMPUTED_VALUE"""),"")</f>
        <v/>
      </c>
      <c r="E1725" t="str">
        <f>IFERROR(__xludf.DUMMYFUNCTION("""COMPUTED_VALUE"""),"")</f>
        <v/>
      </c>
      <c r="F1725" t="str">
        <f>IFERROR(__xludf.DUMMYFUNCTION("""COMPUTED_VALUE"""),"")</f>
        <v/>
      </c>
      <c r="G1725" t="str">
        <f>IFERROR(__xludf.DUMMYFUNCTION("""COMPUTED_VALUE"""),"")</f>
        <v/>
      </c>
      <c r="H1725" t="str">
        <f>IFERROR(__xludf.DUMMYFUNCTION("""COMPUTED_VALUE"""),"")</f>
        <v/>
      </c>
      <c r="I1725" t="str">
        <f>IFERROR(__xludf.DUMMYFUNCTION("""COMPUTED_VALUE"""),"")</f>
        <v/>
      </c>
      <c r="J1725">
        <f>IFERROR(__xludf.DUMMYFUNCTION("""COMPUTED_VALUE"""),0.0)</f>
        <v>0</v>
      </c>
      <c r="L1725" s="250" t="str">
        <f>IFERROR(__xludf.DUMMYFUNCTION("""COMPUTED_VALUE"""),"")</f>
        <v/>
      </c>
      <c r="M1725" s="250" t="str">
        <f>IFERROR(__xludf.DUMMYFUNCTION("""COMPUTED_VALUE"""),"")</f>
        <v/>
      </c>
      <c r="N1725" s="250" t="str">
        <f>IFERROR(__xludf.DUMMYFUNCTION("""COMPUTED_VALUE"""),"")</f>
        <v/>
      </c>
      <c r="O1725" s="250" t="str">
        <f>IFERROR(__xludf.DUMMYFUNCTION("""COMPUTED_VALUE"""),"")</f>
        <v/>
      </c>
      <c r="P1725" s="250" t="str">
        <f>IFERROR(__xludf.DUMMYFUNCTION("""COMPUTED_VALUE"""),"")</f>
        <v/>
      </c>
      <c r="Q1725" s="250" t="str">
        <f>IFERROR(__xludf.DUMMYFUNCTION("""COMPUTED_VALUE"""),"")</f>
        <v/>
      </c>
      <c r="R1725" s="250" t="str">
        <f>IFERROR(__xludf.DUMMYFUNCTION("""COMPUTED_VALUE"""),"")</f>
        <v/>
      </c>
      <c r="U1725" s="250" t="str">
        <f>IFERROR(__xludf.DUMMYFUNCTION("""COMPUTED_VALUE"""),"#N/A")</f>
        <v>#N/A</v>
      </c>
      <c r="V1725" s="250" t="str">
        <f>IFERROR(__xludf.DUMMYFUNCTION("""COMPUTED_VALUE"""),"#N/A")</f>
        <v>#N/A</v>
      </c>
      <c r="W1725" s="250" t="str">
        <f>IFERROR(__xludf.DUMMYFUNCTION("""COMPUTED_VALUE"""),"#N/A")</f>
        <v>#N/A</v>
      </c>
      <c r="X1725" t="b">
        <f t="shared" ref="X1725:Z1725" si="3426">ISBLANK(K1725)</f>
        <v>1</v>
      </c>
      <c r="Y1725" t="b">
        <f t="shared" si="3426"/>
        <v>0</v>
      </c>
      <c r="Z1725" t="b">
        <f t="shared" si="3426"/>
        <v>0</v>
      </c>
      <c r="AA1725">
        <f t="shared" ref="AA1725:AC1725" si="3427">IF(X1725=FALSE,1,0)</f>
        <v>0</v>
      </c>
      <c r="AB1725">
        <f t="shared" si="3427"/>
        <v>1</v>
      </c>
      <c r="AC1725">
        <f t="shared" si="3427"/>
        <v>1</v>
      </c>
      <c r="AD1725">
        <f t="shared" si="6"/>
        <v>2</v>
      </c>
      <c r="AE1725">
        <f t="shared" si="7"/>
        <v>1</v>
      </c>
    </row>
    <row r="1726">
      <c r="B1726" t="str">
        <f>IFERROR(__xludf.DUMMYFUNCTION("""COMPUTED_VALUE"""),"")</f>
        <v/>
      </c>
      <c r="C1726" t="str">
        <f>IFERROR(__xludf.DUMMYFUNCTION("""COMPUTED_VALUE"""),"")</f>
        <v/>
      </c>
      <c r="D1726" t="str">
        <f>IFERROR(__xludf.DUMMYFUNCTION("""COMPUTED_VALUE"""),"")</f>
        <v/>
      </c>
      <c r="E1726" t="str">
        <f>IFERROR(__xludf.DUMMYFUNCTION("""COMPUTED_VALUE"""),"")</f>
        <v/>
      </c>
      <c r="F1726" t="str">
        <f>IFERROR(__xludf.DUMMYFUNCTION("""COMPUTED_VALUE"""),"")</f>
        <v/>
      </c>
      <c r="G1726" t="str">
        <f>IFERROR(__xludf.DUMMYFUNCTION("""COMPUTED_VALUE"""),"")</f>
        <v/>
      </c>
      <c r="H1726" t="str">
        <f>IFERROR(__xludf.DUMMYFUNCTION("""COMPUTED_VALUE"""),"")</f>
        <v/>
      </c>
      <c r="I1726" t="str">
        <f>IFERROR(__xludf.DUMMYFUNCTION("""COMPUTED_VALUE"""),"")</f>
        <v/>
      </c>
      <c r="J1726">
        <f>IFERROR(__xludf.DUMMYFUNCTION("""COMPUTED_VALUE"""),0.0)</f>
        <v>0</v>
      </c>
      <c r="L1726" s="250" t="str">
        <f>IFERROR(__xludf.DUMMYFUNCTION("""COMPUTED_VALUE"""),"")</f>
        <v/>
      </c>
      <c r="M1726" s="250" t="str">
        <f>IFERROR(__xludf.DUMMYFUNCTION("""COMPUTED_VALUE"""),"")</f>
        <v/>
      </c>
      <c r="N1726" s="250" t="str">
        <f>IFERROR(__xludf.DUMMYFUNCTION("""COMPUTED_VALUE"""),"")</f>
        <v/>
      </c>
      <c r="O1726" s="250" t="str">
        <f>IFERROR(__xludf.DUMMYFUNCTION("""COMPUTED_VALUE"""),"")</f>
        <v/>
      </c>
      <c r="P1726" s="250" t="str">
        <f>IFERROR(__xludf.DUMMYFUNCTION("""COMPUTED_VALUE"""),"")</f>
        <v/>
      </c>
      <c r="Q1726" s="250" t="str">
        <f>IFERROR(__xludf.DUMMYFUNCTION("""COMPUTED_VALUE"""),"")</f>
        <v/>
      </c>
      <c r="R1726" s="250" t="str">
        <f>IFERROR(__xludf.DUMMYFUNCTION("""COMPUTED_VALUE"""),"")</f>
        <v/>
      </c>
      <c r="U1726" s="250" t="str">
        <f>IFERROR(__xludf.DUMMYFUNCTION("""COMPUTED_VALUE"""),"#N/A")</f>
        <v>#N/A</v>
      </c>
      <c r="V1726" s="250" t="str">
        <f>IFERROR(__xludf.DUMMYFUNCTION("""COMPUTED_VALUE"""),"#N/A")</f>
        <v>#N/A</v>
      </c>
      <c r="W1726" s="250" t="str">
        <f>IFERROR(__xludf.DUMMYFUNCTION("""COMPUTED_VALUE"""),"#N/A")</f>
        <v>#N/A</v>
      </c>
      <c r="X1726" t="b">
        <f t="shared" ref="X1726:Z1726" si="3428">ISBLANK(K1726)</f>
        <v>1</v>
      </c>
      <c r="Y1726" t="b">
        <f t="shared" si="3428"/>
        <v>0</v>
      </c>
      <c r="Z1726" t="b">
        <f t="shared" si="3428"/>
        <v>0</v>
      </c>
      <c r="AA1726">
        <f t="shared" ref="AA1726:AC1726" si="3429">IF(X1726=FALSE,1,0)</f>
        <v>0</v>
      </c>
      <c r="AB1726">
        <f t="shared" si="3429"/>
        <v>1</v>
      </c>
      <c r="AC1726">
        <f t="shared" si="3429"/>
        <v>1</v>
      </c>
      <c r="AD1726">
        <f t="shared" si="6"/>
        <v>2</v>
      </c>
      <c r="AE1726">
        <f t="shared" si="7"/>
        <v>1</v>
      </c>
    </row>
    <row r="1727">
      <c r="B1727" t="str">
        <f>IFERROR(__xludf.DUMMYFUNCTION("""COMPUTED_VALUE"""),"")</f>
        <v/>
      </c>
      <c r="C1727" t="str">
        <f>IFERROR(__xludf.DUMMYFUNCTION("""COMPUTED_VALUE"""),"")</f>
        <v/>
      </c>
      <c r="D1727" t="str">
        <f>IFERROR(__xludf.DUMMYFUNCTION("""COMPUTED_VALUE"""),"")</f>
        <v/>
      </c>
      <c r="E1727" t="str">
        <f>IFERROR(__xludf.DUMMYFUNCTION("""COMPUTED_VALUE"""),"")</f>
        <v/>
      </c>
      <c r="F1727" t="str">
        <f>IFERROR(__xludf.DUMMYFUNCTION("""COMPUTED_VALUE"""),"")</f>
        <v/>
      </c>
      <c r="G1727" t="str">
        <f>IFERROR(__xludf.DUMMYFUNCTION("""COMPUTED_VALUE"""),"")</f>
        <v/>
      </c>
      <c r="H1727" t="str">
        <f>IFERROR(__xludf.DUMMYFUNCTION("""COMPUTED_VALUE"""),"")</f>
        <v/>
      </c>
      <c r="I1727" t="str">
        <f>IFERROR(__xludf.DUMMYFUNCTION("""COMPUTED_VALUE"""),"")</f>
        <v/>
      </c>
      <c r="J1727">
        <f>IFERROR(__xludf.DUMMYFUNCTION("""COMPUTED_VALUE"""),0.0)</f>
        <v>0</v>
      </c>
      <c r="L1727" s="250" t="str">
        <f>IFERROR(__xludf.DUMMYFUNCTION("""COMPUTED_VALUE"""),"")</f>
        <v/>
      </c>
      <c r="M1727" s="250" t="str">
        <f>IFERROR(__xludf.DUMMYFUNCTION("""COMPUTED_VALUE"""),"")</f>
        <v/>
      </c>
      <c r="N1727" s="250" t="str">
        <f>IFERROR(__xludf.DUMMYFUNCTION("""COMPUTED_VALUE"""),"")</f>
        <v/>
      </c>
      <c r="O1727" s="250" t="str">
        <f>IFERROR(__xludf.DUMMYFUNCTION("""COMPUTED_VALUE"""),"")</f>
        <v/>
      </c>
      <c r="P1727" s="250" t="str">
        <f>IFERROR(__xludf.DUMMYFUNCTION("""COMPUTED_VALUE"""),"")</f>
        <v/>
      </c>
      <c r="Q1727" s="250" t="str">
        <f>IFERROR(__xludf.DUMMYFUNCTION("""COMPUTED_VALUE"""),"")</f>
        <v/>
      </c>
      <c r="R1727" s="250" t="str">
        <f>IFERROR(__xludf.DUMMYFUNCTION("""COMPUTED_VALUE"""),"")</f>
        <v/>
      </c>
      <c r="U1727" s="250" t="str">
        <f>IFERROR(__xludf.DUMMYFUNCTION("""COMPUTED_VALUE"""),"#N/A")</f>
        <v>#N/A</v>
      </c>
      <c r="V1727" s="250" t="str">
        <f>IFERROR(__xludf.DUMMYFUNCTION("""COMPUTED_VALUE"""),"#N/A")</f>
        <v>#N/A</v>
      </c>
      <c r="W1727" s="250" t="str">
        <f>IFERROR(__xludf.DUMMYFUNCTION("""COMPUTED_VALUE"""),"#N/A")</f>
        <v>#N/A</v>
      </c>
      <c r="X1727" t="b">
        <f t="shared" ref="X1727:Z1727" si="3430">ISBLANK(K1727)</f>
        <v>1</v>
      </c>
      <c r="Y1727" t="b">
        <f t="shared" si="3430"/>
        <v>0</v>
      </c>
      <c r="Z1727" t="b">
        <f t="shared" si="3430"/>
        <v>0</v>
      </c>
      <c r="AA1727">
        <f t="shared" ref="AA1727:AC1727" si="3431">IF(X1727=FALSE,1,0)</f>
        <v>0</v>
      </c>
      <c r="AB1727">
        <f t="shared" si="3431"/>
        <v>1</v>
      </c>
      <c r="AC1727">
        <f t="shared" si="3431"/>
        <v>1</v>
      </c>
      <c r="AD1727">
        <f t="shared" si="6"/>
        <v>2</v>
      </c>
      <c r="AE1727">
        <f t="shared" si="7"/>
        <v>1</v>
      </c>
    </row>
    <row r="1728">
      <c r="B1728" t="str">
        <f>IFERROR(__xludf.DUMMYFUNCTION("""COMPUTED_VALUE"""),"")</f>
        <v/>
      </c>
      <c r="C1728" t="str">
        <f>IFERROR(__xludf.DUMMYFUNCTION("""COMPUTED_VALUE"""),"")</f>
        <v/>
      </c>
      <c r="D1728" t="str">
        <f>IFERROR(__xludf.DUMMYFUNCTION("""COMPUTED_VALUE"""),"")</f>
        <v/>
      </c>
      <c r="E1728" t="str">
        <f>IFERROR(__xludf.DUMMYFUNCTION("""COMPUTED_VALUE"""),"")</f>
        <v/>
      </c>
      <c r="F1728" t="str">
        <f>IFERROR(__xludf.DUMMYFUNCTION("""COMPUTED_VALUE"""),"")</f>
        <v/>
      </c>
      <c r="G1728" t="str">
        <f>IFERROR(__xludf.DUMMYFUNCTION("""COMPUTED_VALUE"""),"")</f>
        <v/>
      </c>
      <c r="H1728" t="str">
        <f>IFERROR(__xludf.DUMMYFUNCTION("""COMPUTED_VALUE"""),"")</f>
        <v/>
      </c>
      <c r="I1728" t="str">
        <f>IFERROR(__xludf.DUMMYFUNCTION("""COMPUTED_VALUE"""),"")</f>
        <v/>
      </c>
      <c r="J1728">
        <f>IFERROR(__xludf.DUMMYFUNCTION("""COMPUTED_VALUE"""),0.0)</f>
        <v>0</v>
      </c>
      <c r="L1728" s="250" t="str">
        <f>IFERROR(__xludf.DUMMYFUNCTION("""COMPUTED_VALUE"""),"")</f>
        <v/>
      </c>
      <c r="M1728" s="250" t="str">
        <f>IFERROR(__xludf.DUMMYFUNCTION("""COMPUTED_VALUE"""),"")</f>
        <v/>
      </c>
      <c r="N1728" s="250" t="str">
        <f>IFERROR(__xludf.DUMMYFUNCTION("""COMPUTED_VALUE"""),"")</f>
        <v/>
      </c>
      <c r="O1728" s="250" t="str">
        <f>IFERROR(__xludf.DUMMYFUNCTION("""COMPUTED_VALUE"""),"")</f>
        <v/>
      </c>
      <c r="P1728" s="250" t="str">
        <f>IFERROR(__xludf.DUMMYFUNCTION("""COMPUTED_VALUE"""),"")</f>
        <v/>
      </c>
      <c r="Q1728" s="250" t="str">
        <f>IFERROR(__xludf.DUMMYFUNCTION("""COMPUTED_VALUE"""),"")</f>
        <v/>
      </c>
      <c r="R1728" s="250" t="str">
        <f>IFERROR(__xludf.DUMMYFUNCTION("""COMPUTED_VALUE"""),"")</f>
        <v/>
      </c>
      <c r="U1728" s="250" t="str">
        <f>IFERROR(__xludf.DUMMYFUNCTION("""COMPUTED_VALUE"""),"#N/A")</f>
        <v>#N/A</v>
      </c>
      <c r="V1728" s="250" t="str">
        <f>IFERROR(__xludf.DUMMYFUNCTION("""COMPUTED_VALUE"""),"#N/A")</f>
        <v>#N/A</v>
      </c>
      <c r="W1728" s="250" t="str">
        <f>IFERROR(__xludf.DUMMYFUNCTION("""COMPUTED_VALUE"""),"#N/A")</f>
        <v>#N/A</v>
      </c>
      <c r="X1728" t="b">
        <f t="shared" ref="X1728:Z1728" si="3432">ISBLANK(K1728)</f>
        <v>1</v>
      </c>
      <c r="Y1728" t="b">
        <f t="shared" si="3432"/>
        <v>0</v>
      </c>
      <c r="Z1728" t="b">
        <f t="shared" si="3432"/>
        <v>0</v>
      </c>
      <c r="AA1728">
        <f t="shared" ref="AA1728:AC1728" si="3433">IF(X1728=FALSE,1,0)</f>
        <v>0</v>
      </c>
      <c r="AB1728">
        <f t="shared" si="3433"/>
        <v>1</v>
      </c>
      <c r="AC1728">
        <f t="shared" si="3433"/>
        <v>1</v>
      </c>
      <c r="AD1728">
        <f t="shared" si="6"/>
        <v>2</v>
      </c>
      <c r="AE1728">
        <f t="shared" si="7"/>
        <v>1</v>
      </c>
    </row>
    <row r="1729">
      <c r="B1729" t="str">
        <f>IFERROR(__xludf.DUMMYFUNCTION("""COMPUTED_VALUE"""),"")</f>
        <v/>
      </c>
      <c r="C1729" t="str">
        <f>IFERROR(__xludf.DUMMYFUNCTION("""COMPUTED_VALUE"""),"")</f>
        <v/>
      </c>
      <c r="D1729" t="str">
        <f>IFERROR(__xludf.DUMMYFUNCTION("""COMPUTED_VALUE"""),"")</f>
        <v/>
      </c>
      <c r="E1729" t="str">
        <f>IFERROR(__xludf.DUMMYFUNCTION("""COMPUTED_VALUE"""),"")</f>
        <v/>
      </c>
      <c r="F1729" t="str">
        <f>IFERROR(__xludf.DUMMYFUNCTION("""COMPUTED_VALUE"""),"")</f>
        <v/>
      </c>
      <c r="G1729" t="str">
        <f>IFERROR(__xludf.DUMMYFUNCTION("""COMPUTED_VALUE"""),"")</f>
        <v/>
      </c>
      <c r="H1729" t="str">
        <f>IFERROR(__xludf.DUMMYFUNCTION("""COMPUTED_VALUE"""),"")</f>
        <v/>
      </c>
      <c r="I1729" t="str">
        <f>IFERROR(__xludf.DUMMYFUNCTION("""COMPUTED_VALUE"""),"")</f>
        <v/>
      </c>
      <c r="J1729">
        <f>IFERROR(__xludf.DUMMYFUNCTION("""COMPUTED_VALUE"""),0.0)</f>
        <v>0</v>
      </c>
      <c r="L1729" s="250" t="str">
        <f>IFERROR(__xludf.DUMMYFUNCTION("""COMPUTED_VALUE"""),"")</f>
        <v/>
      </c>
      <c r="M1729" s="250" t="str">
        <f>IFERROR(__xludf.DUMMYFUNCTION("""COMPUTED_VALUE"""),"")</f>
        <v/>
      </c>
      <c r="N1729" s="250" t="str">
        <f>IFERROR(__xludf.DUMMYFUNCTION("""COMPUTED_VALUE"""),"")</f>
        <v/>
      </c>
      <c r="O1729" s="250" t="str">
        <f>IFERROR(__xludf.DUMMYFUNCTION("""COMPUTED_VALUE"""),"")</f>
        <v/>
      </c>
      <c r="P1729" s="250" t="str">
        <f>IFERROR(__xludf.DUMMYFUNCTION("""COMPUTED_VALUE"""),"")</f>
        <v/>
      </c>
      <c r="Q1729" s="250" t="str">
        <f>IFERROR(__xludf.DUMMYFUNCTION("""COMPUTED_VALUE"""),"")</f>
        <v/>
      </c>
      <c r="R1729" s="250" t="str">
        <f>IFERROR(__xludf.DUMMYFUNCTION("""COMPUTED_VALUE"""),"")</f>
        <v/>
      </c>
      <c r="U1729" s="250" t="str">
        <f>IFERROR(__xludf.DUMMYFUNCTION("""COMPUTED_VALUE"""),"#N/A")</f>
        <v>#N/A</v>
      </c>
      <c r="V1729" s="250" t="str">
        <f>IFERROR(__xludf.DUMMYFUNCTION("""COMPUTED_VALUE"""),"#N/A")</f>
        <v>#N/A</v>
      </c>
      <c r="W1729" s="250" t="str">
        <f>IFERROR(__xludf.DUMMYFUNCTION("""COMPUTED_VALUE"""),"#N/A")</f>
        <v>#N/A</v>
      </c>
      <c r="X1729" t="b">
        <f t="shared" ref="X1729:Z1729" si="3434">ISBLANK(K1729)</f>
        <v>1</v>
      </c>
      <c r="Y1729" t="b">
        <f t="shared" si="3434"/>
        <v>0</v>
      </c>
      <c r="Z1729" t="b">
        <f t="shared" si="3434"/>
        <v>0</v>
      </c>
      <c r="AA1729">
        <f t="shared" ref="AA1729:AC1729" si="3435">IF(X1729=FALSE,1,0)</f>
        <v>0</v>
      </c>
      <c r="AB1729">
        <f t="shared" si="3435"/>
        <v>1</v>
      </c>
      <c r="AC1729">
        <f t="shared" si="3435"/>
        <v>1</v>
      </c>
      <c r="AD1729">
        <f t="shared" si="6"/>
        <v>2</v>
      </c>
      <c r="AE1729">
        <f t="shared" si="7"/>
        <v>1</v>
      </c>
    </row>
    <row r="1730">
      <c r="B1730" t="str">
        <f>IFERROR(__xludf.DUMMYFUNCTION("""COMPUTED_VALUE"""),"")</f>
        <v/>
      </c>
      <c r="C1730" t="str">
        <f>IFERROR(__xludf.DUMMYFUNCTION("""COMPUTED_VALUE"""),"")</f>
        <v/>
      </c>
      <c r="D1730" t="str">
        <f>IFERROR(__xludf.DUMMYFUNCTION("""COMPUTED_VALUE"""),"")</f>
        <v/>
      </c>
      <c r="E1730" t="str">
        <f>IFERROR(__xludf.DUMMYFUNCTION("""COMPUTED_VALUE"""),"")</f>
        <v/>
      </c>
      <c r="F1730" t="str">
        <f>IFERROR(__xludf.DUMMYFUNCTION("""COMPUTED_VALUE"""),"")</f>
        <v/>
      </c>
      <c r="G1730" t="str">
        <f>IFERROR(__xludf.DUMMYFUNCTION("""COMPUTED_VALUE"""),"")</f>
        <v/>
      </c>
      <c r="H1730" t="str">
        <f>IFERROR(__xludf.DUMMYFUNCTION("""COMPUTED_VALUE"""),"")</f>
        <v/>
      </c>
      <c r="I1730" t="str">
        <f>IFERROR(__xludf.DUMMYFUNCTION("""COMPUTED_VALUE"""),"")</f>
        <v/>
      </c>
      <c r="J1730">
        <f>IFERROR(__xludf.DUMMYFUNCTION("""COMPUTED_VALUE"""),0.0)</f>
        <v>0</v>
      </c>
      <c r="L1730" s="250" t="str">
        <f>IFERROR(__xludf.DUMMYFUNCTION("""COMPUTED_VALUE"""),"")</f>
        <v/>
      </c>
      <c r="M1730" s="250" t="str">
        <f>IFERROR(__xludf.DUMMYFUNCTION("""COMPUTED_VALUE"""),"")</f>
        <v/>
      </c>
      <c r="N1730" s="250" t="str">
        <f>IFERROR(__xludf.DUMMYFUNCTION("""COMPUTED_VALUE"""),"")</f>
        <v/>
      </c>
      <c r="O1730" s="250" t="str">
        <f>IFERROR(__xludf.DUMMYFUNCTION("""COMPUTED_VALUE"""),"")</f>
        <v/>
      </c>
      <c r="P1730" s="250" t="str">
        <f>IFERROR(__xludf.DUMMYFUNCTION("""COMPUTED_VALUE"""),"")</f>
        <v/>
      </c>
      <c r="Q1730" s="250" t="str">
        <f>IFERROR(__xludf.DUMMYFUNCTION("""COMPUTED_VALUE"""),"")</f>
        <v/>
      </c>
      <c r="R1730" s="250" t="str">
        <f>IFERROR(__xludf.DUMMYFUNCTION("""COMPUTED_VALUE"""),"")</f>
        <v/>
      </c>
      <c r="U1730" s="250" t="str">
        <f>IFERROR(__xludf.DUMMYFUNCTION("""COMPUTED_VALUE"""),"#N/A")</f>
        <v>#N/A</v>
      </c>
      <c r="V1730" s="250" t="str">
        <f>IFERROR(__xludf.DUMMYFUNCTION("""COMPUTED_VALUE"""),"#N/A")</f>
        <v>#N/A</v>
      </c>
      <c r="W1730" s="250" t="str">
        <f>IFERROR(__xludf.DUMMYFUNCTION("""COMPUTED_VALUE"""),"#N/A")</f>
        <v>#N/A</v>
      </c>
      <c r="X1730" t="b">
        <f t="shared" ref="X1730:Z1730" si="3436">ISBLANK(K1730)</f>
        <v>1</v>
      </c>
      <c r="Y1730" t="b">
        <f t="shared" si="3436"/>
        <v>0</v>
      </c>
      <c r="Z1730" t="b">
        <f t="shared" si="3436"/>
        <v>0</v>
      </c>
      <c r="AA1730">
        <f t="shared" ref="AA1730:AC1730" si="3437">IF(X1730=FALSE,1,0)</f>
        <v>0</v>
      </c>
      <c r="AB1730">
        <f t="shared" si="3437"/>
        <v>1</v>
      </c>
      <c r="AC1730">
        <f t="shared" si="3437"/>
        <v>1</v>
      </c>
      <c r="AD1730">
        <f t="shared" si="6"/>
        <v>2</v>
      </c>
      <c r="AE1730">
        <f t="shared" si="7"/>
        <v>1</v>
      </c>
    </row>
    <row r="1731">
      <c r="B1731" t="str">
        <f>IFERROR(__xludf.DUMMYFUNCTION("""COMPUTED_VALUE"""),"")</f>
        <v/>
      </c>
      <c r="C1731" t="str">
        <f>IFERROR(__xludf.DUMMYFUNCTION("""COMPUTED_VALUE"""),"")</f>
        <v/>
      </c>
      <c r="D1731" t="str">
        <f>IFERROR(__xludf.DUMMYFUNCTION("""COMPUTED_VALUE"""),"")</f>
        <v/>
      </c>
      <c r="E1731" t="str">
        <f>IFERROR(__xludf.DUMMYFUNCTION("""COMPUTED_VALUE"""),"")</f>
        <v/>
      </c>
      <c r="F1731" t="str">
        <f>IFERROR(__xludf.DUMMYFUNCTION("""COMPUTED_VALUE"""),"")</f>
        <v/>
      </c>
      <c r="G1731" t="str">
        <f>IFERROR(__xludf.DUMMYFUNCTION("""COMPUTED_VALUE"""),"")</f>
        <v/>
      </c>
      <c r="H1731" t="str">
        <f>IFERROR(__xludf.DUMMYFUNCTION("""COMPUTED_VALUE"""),"")</f>
        <v/>
      </c>
      <c r="I1731" t="str">
        <f>IFERROR(__xludf.DUMMYFUNCTION("""COMPUTED_VALUE"""),"")</f>
        <v/>
      </c>
      <c r="J1731">
        <f>IFERROR(__xludf.DUMMYFUNCTION("""COMPUTED_VALUE"""),0.0)</f>
        <v>0</v>
      </c>
      <c r="L1731" s="250" t="str">
        <f>IFERROR(__xludf.DUMMYFUNCTION("""COMPUTED_VALUE"""),"")</f>
        <v/>
      </c>
      <c r="M1731" s="250" t="str">
        <f>IFERROR(__xludf.DUMMYFUNCTION("""COMPUTED_VALUE"""),"")</f>
        <v/>
      </c>
      <c r="N1731" s="250" t="str">
        <f>IFERROR(__xludf.DUMMYFUNCTION("""COMPUTED_VALUE"""),"")</f>
        <v/>
      </c>
      <c r="O1731" s="250" t="str">
        <f>IFERROR(__xludf.DUMMYFUNCTION("""COMPUTED_VALUE"""),"")</f>
        <v/>
      </c>
      <c r="P1731" s="250" t="str">
        <f>IFERROR(__xludf.DUMMYFUNCTION("""COMPUTED_VALUE"""),"")</f>
        <v/>
      </c>
      <c r="Q1731" s="250" t="str">
        <f>IFERROR(__xludf.DUMMYFUNCTION("""COMPUTED_VALUE"""),"")</f>
        <v/>
      </c>
      <c r="R1731" s="250" t="str">
        <f>IFERROR(__xludf.DUMMYFUNCTION("""COMPUTED_VALUE"""),"")</f>
        <v/>
      </c>
      <c r="U1731" s="250" t="str">
        <f>IFERROR(__xludf.DUMMYFUNCTION("""COMPUTED_VALUE"""),"#N/A")</f>
        <v>#N/A</v>
      </c>
      <c r="V1731" s="250" t="str">
        <f>IFERROR(__xludf.DUMMYFUNCTION("""COMPUTED_VALUE"""),"#N/A")</f>
        <v>#N/A</v>
      </c>
      <c r="W1731" s="250" t="str">
        <f>IFERROR(__xludf.DUMMYFUNCTION("""COMPUTED_VALUE"""),"#N/A")</f>
        <v>#N/A</v>
      </c>
      <c r="X1731" t="b">
        <f t="shared" ref="X1731:Z1731" si="3438">ISBLANK(K1731)</f>
        <v>1</v>
      </c>
      <c r="Y1731" t="b">
        <f t="shared" si="3438"/>
        <v>0</v>
      </c>
      <c r="Z1731" t="b">
        <f t="shared" si="3438"/>
        <v>0</v>
      </c>
      <c r="AA1731">
        <f t="shared" ref="AA1731:AC1731" si="3439">IF(X1731=FALSE,1,0)</f>
        <v>0</v>
      </c>
      <c r="AB1731">
        <f t="shared" si="3439"/>
        <v>1</v>
      </c>
      <c r="AC1731">
        <f t="shared" si="3439"/>
        <v>1</v>
      </c>
      <c r="AD1731">
        <f t="shared" si="6"/>
        <v>2</v>
      </c>
      <c r="AE1731">
        <f t="shared" si="7"/>
        <v>1</v>
      </c>
    </row>
    <row r="1732">
      <c r="B1732" t="str">
        <f>IFERROR(__xludf.DUMMYFUNCTION("""COMPUTED_VALUE"""),"")</f>
        <v/>
      </c>
      <c r="C1732" t="str">
        <f>IFERROR(__xludf.DUMMYFUNCTION("""COMPUTED_VALUE"""),"")</f>
        <v/>
      </c>
      <c r="D1732" t="str">
        <f>IFERROR(__xludf.DUMMYFUNCTION("""COMPUTED_VALUE"""),"")</f>
        <v/>
      </c>
      <c r="E1732" t="str">
        <f>IFERROR(__xludf.DUMMYFUNCTION("""COMPUTED_VALUE"""),"")</f>
        <v/>
      </c>
      <c r="F1732" t="str">
        <f>IFERROR(__xludf.DUMMYFUNCTION("""COMPUTED_VALUE"""),"")</f>
        <v/>
      </c>
      <c r="G1732" t="str">
        <f>IFERROR(__xludf.DUMMYFUNCTION("""COMPUTED_VALUE"""),"")</f>
        <v/>
      </c>
      <c r="H1732" t="str">
        <f>IFERROR(__xludf.DUMMYFUNCTION("""COMPUTED_VALUE"""),"")</f>
        <v/>
      </c>
      <c r="I1732" t="str">
        <f>IFERROR(__xludf.DUMMYFUNCTION("""COMPUTED_VALUE"""),"")</f>
        <v/>
      </c>
      <c r="J1732">
        <f>IFERROR(__xludf.DUMMYFUNCTION("""COMPUTED_VALUE"""),0.0)</f>
        <v>0</v>
      </c>
      <c r="L1732" s="250" t="str">
        <f>IFERROR(__xludf.DUMMYFUNCTION("""COMPUTED_VALUE"""),"")</f>
        <v/>
      </c>
      <c r="M1732" s="250" t="str">
        <f>IFERROR(__xludf.DUMMYFUNCTION("""COMPUTED_VALUE"""),"")</f>
        <v/>
      </c>
      <c r="N1732" s="250" t="str">
        <f>IFERROR(__xludf.DUMMYFUNCTION("""COMPUTED_VALUE"""),"")</f>
        <v/>
      </c>
      <c r="O1732" s="250" t="str">
        <f>IFERROR(__xludf.DUMMYFUNCTION("""COMPUTED_VALUE"""),"")</f>
        <v/>
      </c>
      <c r="P1732" s="250" t="str">
        <f>IFERROR(__xludf.DUMMYFUNCTION("""COMPUTED_VALUE"""),"")</f>
        <v/>
      </c>
      <c r="Q1732" s="250" t="str">
        <f>IFERROR(__xludf.DUMMYFUNCTION("""COMPUTED_VALUE"""),"")</f>
        <v/>
      </c>
      <c r="R1732" s="250" t="str">
        <f>IFERROR(__xludf.DUMMYFUNCTION("""COMPUTED_VALUE"""),"")</f>
        <v/>
      </c>
      <c r="U1732" s="250" t="str">
        <f>IFERROR(__xludf.DUMMYFUNCTION("""COMPUTED_VALUE"""),"#N/A")</f>
        <v>#N/A</v>
      </c>
      <c r="V1732" s="250" t="str">
        <f>IFERROR(__xludf.DUMMYFUNCTION("""COMPUTED_VALUE"""),"#N/A")</f>
        <v>#N/A</v>
      </c>
      <c r="W1732" s="250" t="str">
        <f>IFERROR(__xludf.DUMMYFUNCTION("""COMPUTED_VALUE"""),"#N/A")</f>
        <v>#N/A</v>
      </c>
      <c r="X1732" t="b">
        <f t="shared" ref="X1732:Z1732" si="3440">ISBLANK(K1732)</f>
        <v>1</v>
      </c>
      <c r="Y1732" t="b">
        <f t="shared" si="3440"/>
        <v>0</v>
      </c>
      <c r="Z1732" t="b">
        <f t="shared" si="3440"/>
        <v>0</v>
      </c>
      <c r="AA1732">
        <f t="shared" ref="AA1732:AC1732" si="3441">IF(X1732=FALSE,1,0)</f>
        <v>0</v>
      </c>
      <c r="AB1732">
        <f t="shared" si="3441"/>
        <v>1</v>
      </c>
      <c r="AC1732">
        <f t="shared" si="3441"/>
        <v>1</v>
      </c>
      <c r="AD1732">
        <f t="shared" si="6"/>
        <v>2</v>
      </c>
      <c r="AE1732">
        <f t="shared" si="7"/>
        <v>1</v>
      </c>
    </row>
    <row r="1733">
      <c r="B1733" t="str">
        <f>IFERROR(__xludf.DUMMYFUNCTION("""COMPUTED_VALUE"""),"")</f>
        <v/>
      </c>
      <c r="C1733" t="str">
        <f>IFERROR(__xludf.DUMMYFUNCTION("""COMPUTED_VALUE"""),"")</f>
        <v/>
      </c>
      <c r="D1733" t="str">
        <f>IFERROR(__xludf.DUMMYFUNCTION("""COMPUTED_VALUE"""),"")</f>
        <v/>
      </c>
      <c r="E1733" t="str">
        <f>IFERROR(__xludf.DUMMYFUNCTION("""COMPUTED_VALUE"""),"")</f>
        <v/>
      </c>
      <c r="F1733" t="str">
        <f>IFERROR(__xludf.DUMMYFUNCTION("""COMPUTED_VALUE"""),"")</f>
        <v/>
      </c>
      <c r="G1733" t="str">
        <f>IFERROR(__xludf.DUMMYFUNCTION("""COMPUTED_VALUE"""),"")</f>
        <v/>
      </c>
      <c r="H1733" t="str">
        <f>IFERROR(__xludf.DUMMYFUNCTION("""COMPUTED_VALUE"""),"")</f>
        <v/>
      </c>
      <c r="I1733" t="str">
        <f>IFERROR(__xludf.DUMMYFUNCTION("""COMPUTED_VALUE"""),"")</f>
        <v/>
      </c>
      <c r="J1733">
        <f>IFERROR(__xludf.DUMMYFUNCTION("""COMPUTED_VALUE"""),0.0)</f>
        <v>0</v>
      </c>
      <c r="L1733" s="250" t="str">
        <f>IFERROR(__xludf.DUMMYFUNCTION("""COMPUTED_VALUE"""),"")</f>
        <v/>
      </c>
      <c r="M1733" s="250" t="str">
        <f>IFERROR(__xludf.DUMMYFUNCTION("""COMPUTED_VALUE"""),"")</f>
        <v/>
      </c>
      <c r="N1733" s="250" t="str">
        <f>IFERROR(__xludf.DUMMYFUNCTION("""COMPUTED_VALUE"""),"")</f>
        <v/>
      </c>
      <c r="O1733" s="250" t="str">
        <f>IFERROR(__xludf.DUMMYFUNCTION("""COMPUTED_VALUE"""),"")</f>
        <v/>
      </c>
      <c r="P1733" s="250" t="str">
        <f>IFERROR(__xludf.DUMMYFUNCTION("""COMPUTED_VALUE"""),"")</f>
        <v/>
      </c>
      <c r="Q1733" s="250" t="str">
        <f>IFERROR(__xludf.DUMMYFUNCTION("""COMPUTED_VALUE"""),"")</f>
        <v/>
      </c>
      <c r="R1733" s="250" t="str">
        <f>IFERROR(__xludf.DUMMYFUNCTION("""COMPUTED_VALUE"""),"")</f>
        <v/>
      </c>
      <c r="U1733" s="250" t="str">
        <f>IFERROR(__xludf.DUMMYFUNCTION("""COMPUTED_VALUE"""),"#N/A")</f>
        <v>#N/A</v>
      </c>
      <c r="V1733" s="250" t="str">
        <f>IFERROR(__xludf.DUMMYFUNCTION("""COMPUTED_VALUE"""),"#N/A")</f>
        <v>#N/A</v>
      </c>
      <c r="W1733" s="250" t="str">
        <f>IFERROR(__xludf.DUMMYFUNCTION("""COMPUTED_VALUE"""),"#N/A")</f>
        <v>#N/A</v>
      </c>
      <c r="X1733" t="b">
        <f t="shared" ref="X1733:Z1733" si="3442">ISBLANK(K1733)</f>
        <v>1</v>
      </c>
      <c r="Y1733" t="b">
        <f t="shared" si="3442"/>
        <v>0</v>
      </c>
      <c r="Z1733" t="b">
        <f t="shared" si="3442"/>
        <v>0</v>
      </c>
      <c r="AA1733">
        <f t="shared" ref="AA1733:AC1733" si="3443">IF(X1733=FALSE,1,0)</f>
        <v>0</v>
      </c>
      <c r="AB1733">
        <f t="shared" si="3443"/>
        <v>1</v>
      </c>
      <c r="AC1733">
        <f t="shared" si="3443"/>
        <v>1</v>
      </c>
      <c r="AD1733">
        <f t="shared" si="6"/>
        <v>2</v>
      </c>
      <c r="AE1733">
        <f t="shared" si="7"/>
        <v>1</v>
      </c>
    </row>
    <row r="1734">
      <c r="B1734" t="str">
        <f>IFERROR(__xludf.DUMMYFUNCTION("""COMPUTED_VALUE"""),"")</f>
        <v/>
      </c>
      <c r="C1734" t="str">
        <f>IFERROR(__xludf.DUMMYFUNCTION("""COMPUTED_VALUE"""),"")</f>
        <v/>
      </c>
      <c r="D1734" t="str">
        <f>IFERROR(__xludf.DUMMYFUNCTION("""COMPUTED_VALUE"""),"")</f>
        <v/>
      </c>
      <c r="E1734" t="str">
        <f>IFERROR(__xludf.DUMMYFUNCTION("""COMPUTED_VALUE"""),"")</f>
        <v/>
      </c>
      <c r="F1734" t="str">
        <f>IFERROR(__xludf.DUMMYFUNCTION("""COMPUTED_VALUE"""),"")</f>
        <v/>
      </c>
      <c r="G1734" t="str">
        <f>IFERROR(__xludf.DUMMYFUNCTION("""COMPUTED_VALUE"""),"")</f>
        <v/>
      </c>
      <c r="H1734" t="str">
        <f>IFERROR(__xludf.DUMMYFUNCTION("""COMPUTED_VALUE"""),"")</f>
        <v/>
      </c>
      <c r="I1734" t="str">
        <f>IFERROR(__xludf.DUMMYFUNCTION("""COMPUTED_VALUE"""),"")</f>
        <v/>
      </c>
      <c r="J1734">
        <f>IFERROR(__xludf.DUMMYFUNCTION("""COMPUTED_VALUE"""),0.0)</f>
        <v>0</v>
      </c>
      <c r="L1734" s="250" t="str">
        <f>IFERROR(__xludf.DUMMYFUNCTION("""COMPUTED_VALUE"""),"")</f>
        <v/>
      </c>
      <c r="M1734" s="250" t="str">
        <f>IFERROR(__xludf.DUMMYFUNCTION("""COMPUTED_VALUE"""),"")</f>
        <v/>
      </c>
      <c r="N1734" s="250" t="str">
        <f>IFERROR(__xludf.DUMMYFUNCTION("""COMPUTED_VALUE"""),"")</f>
        <v/>
      </c>
      <c r="O1734" s="250" t="str">
        <f>IFERROR(__xludf.DUMMYFUNCTION("""COMPUTED_VALUE"""),"")</f>
        <v/>
      </c>
      <c r="P1734" s="250" t="str">
        <f>IFERROR(__xludf.DUMMYFUNCTION("""COMPUTED_VALUE"""),"")</f>
        <v/>
      </c>
      <c r="Q1734" s="250" t="str">
        <f>IFERROR(__xludf.DUMMYFUNCTION("""COMPUTED_VALUE"""),"")</f>
        <v/>
      </c>
      <c r="R1734" s="250" t="str">
        <f>IFERROR(__xludf.DUMMYFUNCTION("""COMPUTED_VALUE"""),"")</f>
        <v/>
      </c>
      <c r="U1734" s="250" t="str">
        <f>IFERROR(__xludf.DUMMYFUNCTION("""COMPUTED_VALUE"""),"#N/A")</f>
        <v>#N/A</v>
      </c>
      <c r="V1734" s="250" t="str">
        <f>IFERROR(__xludf.DUMMYFUNCTION("""COMPUTED_VALUE"""),"#N/A")</f>
        <v>#N/A</v>
      </c>
      <c r="W1734" s="250" t="str">
        <f>IFERROR(__xludf.DUMMYFUNCTION("""COMPUTED_VALUE"""),"#N/A")</f>
        <v>#N/A</v>
      </c>
      <c r="X1734" t="b">
        <f t="shared" ref="X1734:Z1734" si="3444">ISBLANK(K1734)</f>
        <v>1</v>
      </c>
      <c r="Y1734" t="b">
        <f t="shared" si="3444"/>
        <v>0</v>
      </c>
      <c r="Z1734" t="b">
        <f t="shared" si="3444"/>
        <v>0</v>
      </c>
      <c r="AA1734">
        <f t="shared" ref="AA1734:AC1734" si="3445">IF(X1734=FALSE,1,0)</f>
        <v>0</v>
      </c>
      <c r="AB1734">
        <f t="shared" si="3445"/>
        <v>1</v>
      </c>
      <c r="AC1734">
        <f t="shared" si="3445"/>
        <v>1</v>
      </c>
      <c r="AD1734">
        <f t="shared" si="6"/>
        <v>2</v>
      </c>
      <c r="AE1734">
        <f t="shared" si="7"/>
        <v>1</v>
      </c>
    </row>
    <row r="1735">
      <c r="B1735" t="str">
        <f>IFERROR(__xludf.DUMMYFUNCTION("""COMPUTED_VALUE"""),"")</f>
        <v/>
      </c>
      <c r="C1735" t="str">
        <f>IFERROR(__xludf.DUMMYFUNCTION("""COMPUTED_VALUE"""),"")</f>
        <v/>
      </c>
      <c r="D1735" t="str">
        <f>IFERROR(__xludf.DUMMYFUNCTION("""COMPUTED_VALUE"""),"")</f>
        <v/>
      </c>
      <c r="E1735" t="str">
        <f>IFERROR(__xludf.DUMMYFUNCTION("""COMPUTED_VALUE"""),"")</f>
        <v/>
      </c>
      <c r="F1735" t="str">
        <f>IFERROR(__xludf.DUMMYFUNCTION("""COMPUTED_VALUE"""),"")</f>
        <v/>
      </c>
      <c r="G1735" t="str">
        <f>IFERROR(__xludf.DUMMYFUNCTION("""COMPUTED_VALUE"""),"")</f>
        <v/>
      </c>
      <c r="H1735" t="str">
        <f>IFERROR(__xludf.DUMMYFUNCTION("""COMPUTED_VALUE"""),"")</f>
        <v/>
      </c>
      <c r="I1735" t="str">
        <f>IFERROR(__xludf.DUMMYFUNCTION("""COMPUTED_VALUE"""),"")</f>
        <v/>
      </c>
      <c r="J1735">
        <f>IFERROR(__xludf.DUMMYFUNCTION("""COMPUTED_VALUE"""),0.0)</f>
        <v>0</v>
      </c>
      <c r="L1735" s="250" t="str">
        <f>IFERROR(__xludf.DUMMYFUNCTION("""COMPUTED_VALUE"""),"")</f>
        <v/>
      </c>
      <c r="M1735" s="250" t="str">
        <f>IFERROR(__xludf.DUMMYFUNCTION("""COMPUTED_VALUE"""),"")</f>
        <v/>
      </c>
      <c r="N1735" s="250" t="str">
        <f>IFERROR(__xludf.DUMMYFUNCTION("""COMPUTED_VALUE"""),"")</f>
        <v/>
      </c>
      <c r="O1735" s="250" t="str">
        <f>IFERROR(__xludf.DUMMYFUNCTION("""COMPUTED_VALUE"""),"")</f>
        <v/>
      </c>
      <c r="P1735" s="250" t="str">
        <f>IFERROR(__xludf.DUMMYFUNCTION("""COMPUTED_VALUE"""),"")</f>
        <v/>
      </c>
      <c r="Q1735" s="250" t="str">
        <f>IFERROR(__xludf.DUMMYFUNCTION("""COMPUTED_VALUE"""),"")</f>
        <v/>
      </c>
      <c r="R1735" s="250" t="str">
        <f>IFERROR(__xludf.DUMMYFUNCTION("""COMPUTED_VALUE"""),"")</f>
        <v/>
      </c>
      <c r="U1735" s="250" t="str">
        <f>IFERROR(__xludf.DUMMYFUNCTION("""COMPUTED_VALUE"""),"#N/A")</f>
        <v>#N/A</v>
      </c>
      <c r="V1735" s="250" t="str">
        <f>IFERROR(__xludf.DUMMYFUNCTION("""COMPUTED_VALUE"""),"#N/A")</f>
        <v>#N/A</v>
      </c>
      <c r="W1735" s="250" t="str">
        <f>IFERROR(__xludf.DUMMYFUNCTION("""COMPUTED_VALUE"""),"#N/A")</f>
        <v>#N/A</v>
      </c>
      <c r="X1735" t="b">
        <f t="shared" ref="X1735:Z1735" si="3446">ISBLANK(K1735)</f>
        <v>1</v>
      </c>
      <c r="Y1735" t="b">
        <f t="shared" si="3446"/>
        <v>0</v>
      </c>
      <c r="Z1735" t="b">
        <f t="shared" si="3446"/>
        <v>0</v>
      </c>
      <c r="AA1735">
        <f t="shared" ref="AA1735:AC1735" si="3447">IF(X1735=FALSE,1,0)</f>
        <v>0</v>
      </c>
      <c r="AB1735">
        <f t="shared" si="3447"/>
        <v>1</v>
      </c>
      <c r="AC1735">
        <f t="shared" si="3447"/>
        <v>1</v>
      </c>
      <c r="AD1735">
        <f t="shared" si="6"/>
        <v>2</v>
      </c>
      <c r="AE1735">
        <f t="shared" si="7"/>
        <v>1</v>
      </c>
    </row>
    <row r="1736">
      <c r="B1736" t="str">
        <f>IFERROR(__xludf.DUMMYFUNCTION("""COMPUTED_VALUE"""),"")</f>
        <v/>
      </c>
      <c r="C1736" t="str">
        <f>IFERROR(__xludf.DUMMYFUNCTION("""COMPUTED_VALUE"""),"")</f>
        <v/>
      </c>
      <c r="D1736" t="str">
        <f>IFERROR(__xludf.DUMMYFUNCTION("""COMPUTED_VALUE"""),"")</f>
        <v/>
      </c>
      <c r="E1736" t="str">
        <f>IFERROR(__xludf.DUMMYFUNCTION("""COMPUTED_VALUE"""),"")</f>
        <v/>
      </c>
      <c r="F1736" t="str">
        <f>IFERROR(__xludf.DUMMYFUNCTION("""COMPUTED_VALUE"""),"")</f>
        <v/>
      </c>
      <c r="G1736" t="str">
        <f>IFERROR(__xludf.DUMMYFUNCTION("""COMPUTED_VALUE"""),"")</f>
        <v/>
      </c>
      <c r="H1736" t="str">
        <f>IFERROR(__xludf.DUMMYFUNCTION("""COMPUTED_VALUE"""),"")</f>
        <v/>
      </c>
      <c r="I1736" t="str">
        <f>IFERROR(__xludf.DUMMYFUNCTION("""COMPUTED_VALUE"""),"")</f>
        <v/>
      </c>
      <c r="J1736">
        <f>IFERROR(__xludf.DUMMYFUNCTION("""COMPUTED_VALUE"""),0.0)</f>
        <v>0</v>
      </c>
      <c r="L1736" s="250" t="str">
        <f>IFERROR(__xludf.DUMMYFUNCTION("""COMPUTED_VALUE"""),"")</f>
        <v/>
      </c>
      <c r="M1736" s="250" t="str">
        <f>IFERROR(__xludf.DUMMYFUNCTION("""COMPUTED_VALUE"""),"")</f>
        <v/>
      </c>
      <c r="N1736" s="250" t="str">
        <f>IFERROR(__xludf.DUMMYFUNCTION("""COMPUTED_VALUE"""),"")</f>
        <v/>
      </c>
      <c r="O1736" s="250" t="str">
        <f>IFERROR(__xludf.DUMMYFUNCTION("""COMPUTED_VALUE"""),"")</f>
        <v/>
      </c>
      <c r="P1736" s="250" t="str">
        <f>IFERROR(__xludf.DUMMYFUNCTION("""COMPUTED_VALUE"""),"")</f>
        <v/>
      </c>
      <c r="Q1736" s="250" t="str">
        <f>IFERROR(__xludf.DUMMYFUNCTION("""COMPUTED_VALUE"""),"")</f>
        <v/>
      </c>
      <c r="R1736" s="250" t="str">
        <f>IFERROR(__xludf.DUMMYFUNCTION("""COMPUTED_VALUE"""),"")</f>
        <v/>
      </c>
      <c r="U1736" s="250" t="str">
        <f>IFERROR(__xludf.DUMMYFUNCTION("""COMPUTED_VALUE"""),"#N/A")</f>
        <v>#N/A</v>
      </c>
      <c r="V1736" s="250" t="str">
        <f>IFERROR(__xludf.DUMMYFUNCTION("""COMPUTED_VALUE"""),"#N/A")</f>
        <v>#N/A</v>
      </c>
      <c r="W1736" s="250" t="str">
        <f>IFERROR(__xludf.DUMMYFUNCTION("""COMPUTED_VALUE"""),"#N/A")</f>
        <v>#N/A</v>
      </c>
      <c r="X1736" t="b">
        <f t="shared" ref="X1736:Z1736" si="3448">ISBLANK(K1736)</f>
        <v>1</v>
      </c>
      <c r="Y1736" t="b">
        <f t="shared" si="3448"/>
        <v>0</v>
      </c>
      <c r="Z1736" t="b">
        <f t="shared" si="3448"/>
        <v>0</v>
      </c>
      <c r="AA1736">
        <f t="shared" ref="AA1736:AC1736" si="3449">IF(X1736=FALSE,1,0)</f>
        <v>0</v>
      </c>
      <c r="AB1736">
        <f t="shared" si="3449"/>
        <v>1</v>
      </c>
      <c r="AC1736">
        <f t="shared" si="3449"/>
        <v>1</v>
      </c>
      <c r="AD1736">
        <f t="shared" si="6"/>
        <v>2</v>
      </c>
      <c r="AE1736">
        <f t="shared" si="7"/>
        <v>1</v>
      </c>
    </row>
    <row r="1737">
      <c r="B1737" t="str">
        <f>IFERROR(__xludf.DUMMYFUNCTION("""COMPUTED_VALUE"""),"")</f>
        <v/>
      </c>
      <c r="C1737" t="str">
        <f>IFERROR(__xludf.DUMMYFUNCTION("""COMPUTED_VALUE"""),"")</f>
        <v/>
      </c>
      <c r="D1737" t="str">
        <f>IFERROR(__xludf.DUMMYFUNCTION("""COMPUTED_VALUE"""),"")</f>
        <v/>
      </c>
      <c r="E1737" t="str">
        <f>IFERROR(__xludf.DUMMYFUNCTION("""COMPUTED_VALUE"""),"")</f>
        <v/>
      </c>
      <c r="F1737" t="str">
        <f>IFERROR(__xludf.DUMMYFUNCTION("""COMPUTED_VALUE"""),"")</f>
        <v/>
      </c>
      <c r="G1737" t="str">
        <f>IFERROR(__xludf.DUMMYFUNCTION("""COMPUTED_VALUE"""),"")</f>
        <v/>
      </c>
      <c r="H1737" t="str">
        <f>IFERROR(__xludf.DUMMYFUNCTION("""COMPUTED_VALUE"""),"")</f>
        <v/>
      </c>
      <c r="I1737" t="str">
        <f>IFERROR(__xludf.DUMMYFUNCTION("""COMPUTED_VALUE"""),"")</f>
        <v/>
      </c>
      <c r="J1737">
        <f>IFERROR(__xludf.DUMMYFUNCTION("""COMPUTED_VALUE"""),0.0)</f>
        <v>0</v>
      </c>
      <c r="L1737" s="250" t="str">
        <f>IFERROR(__xludf.DUMMYFUNCTION("""COMPUTED_VALUE"""),"")</f>
        <v/>
      </c>
      <c r="M1737" s="250" t="str">
        <f>IFERROR(__xludf.DUMMYFUNCTION("""COMPUTED_VALUE"""),"")</f>
        <v/>
      </c>
      <c r="N1737" s="250" t="str">
        <f>IFERROR(__xludf.DUMMYFUNCTION("""COMPUTED_VALUE"""),"")</f>
        <v/>
      </c>
      <c r="O1737" s="250" t="str">
        <f>IFERROR(__xludf.DUMMYFUNCTION("""COMPUTED_VALUE"""),"")</f>
        <v/>
      </c>
      <c r="P1737" s="250" t="str">
        <f>IFERROR(__xludf.DUMMYFUNCTION("""COMPUTED_VALUE"""),"")</f>
        <v/>
      </c>
      <c r="Q1737" s="250" t="str">
        <f>IFERROR(__xludf.DUMMYFUNCTION("""COMPUTED_VALUE"""),"")</f>
        <v/>
      </c>
      <c r="R1737" s="250" t="str">
        <f>IFERROR(__xludf.DUMMYFUNCTION("""COMPUTED_VALUE"""),"")</f>
        <v/>
      </c>
      <c r="U1737" s="250" t="str">
        <f>IFERROR(__xludf.DUMMYFUNCTION("""COMPUTED_VALUE"""),"#N/A")</f>
        <v>#N/A</v>
      </c>
      <c r="V1737" s="250" t="str">
        <f>IFERROR(__xludf.DUMMYFUNCTION("""COMPUTED_VALUE"""),"#N/A")</f>
        <v>#N/A</v>
      </c>
      <c r="W1737" s="250" t="str">
        <f>IFERROR(__xludf.DUMMYFUNCTION("""COMPUTED_VALUE"""),"#N/A")</f>
        <v>#N/A</v>
      </c>
      <c r="X1737" t="b">
        <f t="shared" ref="X1737:Z1737" si="3450">ISBLANK(K1737)</f>
        <v>1</v>
      </c>
      <c r="Y1737" t="b">
        <f t="shared" si="3450"/>
        <v>0</v>
      </c>
      <c r="Z1737" t="b">
        <f t="shared" si="3450"/>
        <v>0</v>
      </c>
      <c r="AA1737">
        <f t="shared" ref="AA1737:AC1737" si="3451">IF(X1737=FALSE,1,0)</f>
        <v>0</v>
      </c>
      <c r="AB1737">
        <f t="shared" si="3451"/>
        <v>1</v>
      </c>
      <c r="AC1737">
        <f t="shared" si="3451"/>
        <v>1</v>
      </c>
      <c r="AD1737">
        <f t="shared" si="6"/>
        <v>2</v>
      </c>
      <c r="AE1737">
        <f t="shared" si="7"/>
        <v>1</v>
      </c>
    </row>
    <row r="1738">
      <c r="B1738" t="str">
        <f>IFERROR(__xludf.DUMMYFUNCTION("""COMPUTED_VALUE"""),"")</f>
        <v/>
      </c>
      <c r="C1738" t="str">
        <f>IFERROR(__xludf.DUMMYFUNCTION("""COMPUTED_VALUE"""),"")</f>
        <v/>
      </c>
      <c r="D1738" t="str">
        <f>IFERROR(__xludf.DUMMYFUNCTION("""COMPUTED_VALUE"""),"")</f>
        <v/>
      </c>
      <c r="E1738" t="str">
        <f>IFERROR(__xludf.DUMMYFUNCTION("""COMPUTED_VALUE"""),"")</f>
        <v/>
      </c>
      <c r="F1738" t="str">
        <f>IFERROR(__xludf.DUMMYFUNCTION("""COMPUTED_VALUE"""),"")</f>
        <v/>
      </c>
      <c r="G1738" t="str">
        <f>IFERROR(__xludf.DUMMYFUNCTION("""COMPUTED_VALUE"""),"")</f>
        <v/>
      </c>
      <c r="H1738" t="str">
        <f>IFERROR(__xludf.DUMMYFUNCTION("""COMPUTED_VALUE"""),"")</f>
        <v/>
      </c>
      <c r="I1738" t="str">
        <f>IFERROR(__xludf.DUMMYFUNCTION("""COMPUTED_VALUE"""),"")</f>
        <v/>
      </c>
      <c r="J1738">
        <f>IFERROR(__xludf.DUMMYFUNCTION("""COMPUTED_VALUE"""),0.0)</f>
        <v>0</v>
      </c>
      <c r="L1738" s="250" t="str">
        <f>IFERROR(__xludf.DUMMYFUNCTION("""COMPUTED_VALUE"""),"")</f>
        <v/>
      </c>
      <c r="M1738" s="250" t="str">
        <f>IFERROR(__xludf.DUMMYFUNCTION("""COMPUTED_VALUE"""),"")</f>
        <v/>
      </c>
      <c r="N1738" s="250" t="str">
        <f>IFERROR(__xludf.DUMMYFUNCTION("""COMPUTED_VALUE"""),"")</f>
        <v/>
      </c>
      <c r="O1738" s="250" t="str">
        <f>IFERROR(__xludf.DUMMYFUNCTION("""COMPUTED_VALUE"""),"")</f>
        <v/>
      </c>
      <c r="P1738" s="250" t="str">
        <f>IFERROR(__xludf.DUMMYFUNCTION("""COMPUTED_VALUE"""),"")</f>
        <v/>
      </c>
      <c r="Q1738" s="250" t="str">
        <f>IFERROR(__xludf.DUMMYFUNCTION("""COMPUTED_VALUE"""),"")</f>
        <v/>
      </c>
      <c r="R1738" s="250" t="str">
        <f>IFERROR(__xludf.DUMMYFUNCTION("""COMPUTED_VALUE"""),"")</f>
        <v/>
      </c>
      <c r="U1738" s="250" t="str">
        <f>IFERROR(__xludf.DUMMYFUNCTION("""COMPUTED_VALUE"""),"#N/A")</f>
        <v>#N/A</v>
      </c>
      <c r="V1738" s="250" t="str">
        <f>IFERROR(__xludf.DUMMYFUNCTION("""COMPUTED_VALUE"""),"#N/A")</f>
        <v>#N/A</v>
      </c>
      <c r="W1738" s="250" t="str">
        <f>IFERROR(__xludf.DUMMYFUNCTION("""COMPUTED_VALUE"""),"#N/A")</f>
        <v>#N/A</v>
      </c>
      <c r="X1738" t="b">
        <f t="shared" ref="X1738:Z1738" si="3452">ISBLANK(K1738)</f>
        <v>1</v>
      </c>
      <c r="Y1738" t="b">
        <f t="shared" si="3452"/>
        <v>0</v>
      </c>
      <c r="Z1738" t="b">
        <f t="shared" si="3452"/>
        <v>0</v>
      </c>
      <c r="AA1738">
        <f t="shared" ref="AA1738:AC1738" si="3453">IF(X1738=FALSE,1,0)</f>
        <v>0</v>
      </c>
      <c r="AB1738">
        <f t="shared" si="3453"/>
        <v>1</v>
      </c>
      <c r="AC1738">
        <f t="shared" si="3453"/>
        <v>1</v>
      </c>
      <c r="AD1738">
        <f t="shared" si="6"/>
        <v>2</v>
      </c>
      <c r="AE1738">
        <f t="shared" si="7"/>
        <v>1</v>
      </c>
    </row>
    <row r="1739">
      <c r="B1739" t="str">
        <f>IFERROR(__xludf.DUMMYFUNCTION("""COMPUTED_VALUE"""),"")</f>
        <v/>
      </c>
      <c r="C1739" t="str">
        <f>IFERROR(__xludf.DUMMYFUNCTION("""COMPUTED_VALUE"""),"")</f>
        <v/>
      </c>
      <c r="D1739" t="str">
        <f>IFERROR(__xludf.DUMMYFUNCTION("""COMPUTED_VALUE"""),"")</f>
        <v/>
      </c>
      <c r="E1739" t="str">
        <f>IFERROR(__xludf.DUMMYFUNCTION("""COMPUTED_VALUE"""),"")</f>
        <v/>
      </c>
      <c r="F1739" t="str">
        <f>IFERROR(__xludf.DUMMYFUNCTION("""COMPUTED_VALUE"""),"")</f>
        <v/>
      </c>
      <c r="G1739" t="str">
        <f>IFERROR(__xludf.DUMMYFUNCTION("""COMPUTED_VALUE"""),"")</f>
        <v/>
      </c>
      <c r="H1739" t="str">
        <f>IFERROR(__xludf.DUMMYFUNCTION("""COMPUTED_VALUE"""),"")</f>
        <v/>
      </c>
      <c r="I1739" t="str">
        <f>IFERROR(__xludf.DUMMYFUNCTION("""COMPUTED_VALUE"""),"")</f>
        <v/>
      </c>
      <c r="J1739">
        <f>IFERROR(__xludf.DUMMYFUNCTION("""COMPUTED_VALUE"""),0.0)</f>
        <v>0</v>
      </c>
      <c r="L1739" s="250" t="str">
        <f>IFERROR(__xludf.DUMMYFUNCTION("""COMPUTED_VALUE"""),"")</f>
        <v/>
      </c>
      <c r="M1739" s="250" t="str">
        <f>IFERROR(__xludf.DUMMYFUNCTION("""COMPUTED_VALUE"""),"")</f>
        <v/>
      </c>
      <c r="N1739" s="250" t="str">
        <f>IFERROR(__xludf.DUMMYFUNCTION("""COMPUTED_VALUE"""),"")</f>
        <v/>
      </c>
      <c r="O1739" s="250" t="str">
        <f>IFERROR(__xludf.DUMMYFUNCTION("""COMPUTED_VALUE"""),"")</f>
        <v/>
      </c>
      <c r="P1739" s="250" t="str">
        <f>IFERROR(__xludf.DUMMYFUNCTION("""COMPUTED_VALUE"""),"")</f>
        <v/>
      </c>
      <c r="Q1739" s="250" t="str">
        <f>IFERROR(__xludf.DUMMYFUNCTION("""COMPUTED_VALUE"""),"")</f>
        <v/>
      </c>
      <c r="R1739" s="250" t="str">
        <f>IFERROR(__xludf.DUMMYFUNCTION("""COMPUTED_VALUE"""),"")</f>
        <v/>
      </c>
      <c r="U1739" s="250" t="str">
        <f>IFERROR(__xludf.DUMMYFUNCTION("""COMPUTED_VALUE"""),"#N/A")</f>
        <v>#N/A</v>
      </c>
      <c r="V1739" s="250" t="str">
        <f>IFERROR(__xludf.DUMMYFUNCTION("""COMPUTED_VALUE"""),"#N/A")</f>
        <v>#N/A</v>
      </c>
      <c r="W1739" s="250" t="str">
        <f>IFERROR(__xludf.DUMMYFUNCTION("""COMPUTED_VALUE"""),"#N/A")</f>
        <v>#N/A</v>
      </c>
      <c r="X1739" t="b">
        <f t="shared" ref="X1739:Z1739" si="3454">ISBLANK(K1739)</f>
        <v>1</v>
      </c>
      <c r="Y1739" t="b">
        <f t="shared" si="3454"/>
        <v>0</v>
      </c>
      <c r="Z1739" t="b">
        <f t="shared" si="3454"/>
        <v>0</v>
      </c>
      <c r="AA1739">
        <f t="shared" ref="AA1739:AC1739" si="3455">IF(X1739=FALSE,1,0)</f>
        <v>0</v>
      </c>
      <c r="AB1739">
        <f t="shared" si="3455"/>
        <v>1</v>
      </c>
      <c r="AC1739">
        <f t="shared" si="3455"/>
        <v>1</v>
      </c>
      <c r="AD1739">
        <f t="shared" si="6"/>
        <v>2</v>
      </c>
      <c r="AE1739">
        <f t="shared" si="7"/>
        <v>1</v>
      </c>
    </row>
    <row r="1740">
      <c r="B1740" t="str">
        <f>IFERROR(__xludf.DUMMYFUNCTION("""COMPUTED_VALUE"""),"")</f>
        <v/>
      </c>
      <c r="C1740" t="str">
        <f>IFERROR(__xludf.DUMMYFUNCTION("""COMPUTED_VALUE"""),"")</f>
        <v/>
      </c>
      <c r="D1740" t="str">
        <f>IFERROR(__xludf.DUMMYFUNCTION("""COMPUTED_VALUE"""),"")</f>
        <v/>
      </c>
      <c r="E1740" t="str">
        <f>IFERROR(__xludf.DUMMYFUNCTION("""COMPUTED_VALUE"""),"")</f>
        <v/>
      </c>
      <c r="F1740" t="str">
        <f>IFERROR(__xludf.DUMMYFUNCTION("""COMPUTED_VALUE"""),"")</f>
        <v/>
      </c>
      <c r="G1740" t="str">
        <f>IFERROR(__xludf.DUMMYFUNCTION("""COMPUTED_VALUE"""),"")</f>
        <v/>
      </c>
      <c r="H1740" t="str">
        <f>IFERROR(__xludf.DUMMYFUNCTION("""COMPUTED_VALUE"""),"")</f>
        <v/>
      </c>
      <c r="I1740" t="str">
        <f>IFERROR(__xludf.DUMMYFUNCTION("""COMPUTED_VALUE"""),"")</f>
        <v/>
      </c>
      <c r="J1740">
        <f>IFERROR(__xludf.DUMMYFUNCTION("""COMPUTED_VALUE"""),0.0)</f>
        <v>0</v>
      </c>
      <c r="L1740" s="250" t="str">
        <f>IFERROR(__xludf.DUMMYFUNCTION("""COMPUTED_VALUE"""),"")</f>
        <v/>
      </c>
      <c r="M1740" s="250" t="str">
        <f>IFERROR(__xludf.DUMMYFUNCTION("""COMPUTED_VALUE"""),"")</f>
        <v/>
      </c>
      <c r="N1740" s="250" t="str">
        <f>IFERROR(__xludf.DUMMYFUNCTION("""COMPUTED_VALUE"""),"")</f>
        <v/>
      </c>
      <c r="O1740" s="250" t="str">
        <f>IFERROR(__xludf.DUMMYFUNCTION("""COMPUTED_VALUE"""),"")</f>
        <v/>
      </c>
      <c r="P1740" s="250" t="str">
        <f>IFERROR(__xludf.DUMMYFUNCTION("""COMPUTED_VALUE"""),"")</f>
        <v/>
      </c>
      <c r="Q1740" s="250" t="str">
        <f>IFERROR(__xludf.DUMMYFUNCTION("""COMPUTED_VALUE"""),"")</f>
        <v/>
      </c>
      <c r="R1740" s="250" t="str">
        <f>IFERROR(__xludf.DUMMYFUNCTION("""COMPUTED_VALUE"""),"")</f>
        <v/>
      </c>
      <c r="U1740" s="250" t="str">
        <f>IFERROR(__xludf.DUMMYFUNCTION("""COMPUTED_VALUE"""),"#N/A")</f>
        <v>#N/A</v>
      </c>
      <c r="V1740" s="250" t="str">
        <f>IFERROR(__xludf.DUMMYFUNCTION("""COMPUTED_VALUE"""),"#N/A")</f>
        <v>#N/A</v>
      </c>
      <c r="W1740" s="250" t="str">
        <f>IFERROR(__xludf.DUMMYFUNCTION("""COMPUTED_VALUE"""),"#N/A")</f>
        <v>#N/A</v>
      </c>
      <c r="X1740" t="b">
        <f t="shared" ref="X1740:Z1740" si="3456">ISBLANK(K1740)</f>
        <v>1</v>
      </c>
      <c r="Y1740" t="b">
        <f t="shared" si="3456"/>
        <v>0</v>
      </c>
      <c r="Z1740" t="b">
        <f t="shared" si="3456"/>
        <v>0</v>
      </c>
      <c r="AA1740">
        <f t="shared" ref="AA1740:AC1740" si="3457">IF(X1740=FALSE,1,0)</f>
        <v>0</v>
      </c>
      <c r="AB1740">
        <f t="shared" si="3457"/>
        <v>1</v>
      </c>
      <c r="AC1740">
        <f t="shared" si="3457"/>
        <v>1</v>
      </c>
      <c r="AD1740">
        <f t="shared" si="6"/>
        <v>2</v>
      </c>
      <c r="AE1740">
        <f t="shared" si="7"/>
        <v>1</v>
      </c>
    </row>
    <row r="1741">
      <c r="B1741" t="str">
        <f>IFERROR(__xludf.DUMMYFUNCTION("""COMPUTED_VALUE"""),"")</f>
        <v/>
      </c>
      <c r="C1741" t="str">
        <f>IFERROR(__xludf.DUMMYFUNCTION("""COMPUTED_VALUE"""),"")</f>
        <v/>
      </c>
      <c r="D1741" t="str">
        <f>IFERROR(__xludf.DUMMYFUNCTION("""COMPUTED_VALUE"""),"")</f>
        <v/>
      </c>
      <c r="E1741" t="str">
        <f>IFERROR(__xludf.DUMMYFUNCTION("""COMPUTED_VALUE"""),"")</f>
        <v/>
      </c>
      <c r="F1741" t="str">
        <f>IFERROR(__xludf.DUMMYFUNCTION("""COMPUTED_VALUE"""),"")</f>
        <v/>
      </c>
      <c r="G1741" t="str">
        <f>IFERROR(__xludf.DUMMYFUNCTION("""COMPUTED_VALUE"""),"")</f>
        <v/>
      </c>
      <c r="H1741" t="str">
        <f>IFERROR(__xludf.DUMMYFUNCTION("""COMPUTED_VALUE"""),"")</f>
        <v/>
      </c>
      <c r="I1741" t="str">
        <f>IFERROR(__xludf.DUMMYFUNCTION("""COMPUTED_VALUE"""),"")</f>
        <v/>
      </c>
      <c r="J1741">
        <f>IFERROR(__xludf.DUMMYFUNCTION("""COMPUTED_VALUE"""),0.0)</f>
        <v>0</v>
      </c>
      <c r="L1741" s="250" t="str">
        <f>IFERROR(__xludf.DUMMYFUNCTION("""COMPUTED_VALUE"""),"")</f>
        <v/>
      </c>
      <c r="M1741" s="250" t="str">
        <f>IFERROR(__xludf.DUMMYFUNCTION("""COMPUTED_VALUE"""),"")</f>
        <v/>
      </c>
      <c r="N1741" s="250" t="str">
        <f>IFERROR(__xludf.DUMMYFUNCTION("""COMPUTED_VALUE"""),"")</f>
        <v/>
      </c>
      <c r="O1741" s="250" t="str">
        <f>IFERROR(__xludf.DUMMYFUNCTION("""COMPUTED_VALUE"""),"")</f>
        <v/>
      </c>
      <c r="P1741" s="250" t="str">
        <f>IFERROR(__xludf.DUMMYFUNCTION("""COMPUTED_VALUE"""),"")</f>
        <v/>
      </c>
      <c r="Q1741" s="250" t="str">
        <f>IFERROR(__xludf.DUMMYFUNCTION("""COMPUTED_VALUE"""),"")</f>
        <v/>
      </c>
      <c r="R1741" s="250" t="str">
        <f>IFERROR(__xludf.DUMMYFUNCTION("""COMPUTED_VALUE"""),"")</f>
        <v/>
      </c>
      <c r="U1741" s="250" t="str">
        <f>IFERROR(__xludf.DUMMYFUNCTION("""COMPUTED_VALUE"""),"#N/A")</f>
        <v>#N/A</v>
      </c>
      <c r="V1741" s="250" t="str">
        <f>IFERROR(__xludf.DUMMYFUNCTION("""COMPUTED_VALUE"""),"#N/A")</f>
        <v>#N/A</v>
      </c>
      <c r="W1741" s="250" t="str">
        <f>IFERROR(__xludf.DUMMYFUNCTION("""COMPUTED_VALUE"""),"#N/A")</f>
        <v>#N/A</v>
      </c>
      <c r="X1741" t="b">
        <f t="shared" ref="X1741:Z1741" si="3458">ISBLANK(K1741)</f>
        <v>1</v>
      </c>
      <c r="Y1741" t="b">
        <f t="shared" si="3458"/>
        <v>0</v>
      </c>
      <c r="Z1741" t="b">
        <f t="shared" si="3458"/>
        <v>0</v>
      </c>
      <c r="AA1741">
        <f t="shared" ref="AA1741:AC1741" si="3459">IF(X1741=FALSE,1,0)</f>
        <v>0</v>
      </c>
      <c r="AB1741">
        <f t="shared" si="3459"/>
        <v>1</v>
      </c>
      <c r="AC1741">
        <f t="shared" si="3459"/>
        <v>1</v>
      </c>
      <c r="AD1741">
        <f t="shared" si="6"/>
        <v>2</v>
      </c>
      <c r="AE1741">
        <f t="shared" si="7"/>
        <v>1</v>
      </c>
    </row>
    <row r="1742">
      <c r="B1742" t="str">
        <f>IFERROR(__xludf.DUMMYFUNCTION("""COMPUTED_VALUE"""),"")</f>
        <v/>
      </c>
      <c r="C1742" t="str">
        <f>IFERROR(__xludf.DUMMYFUNCTION("""COMPUTED_VALUE"""),"")</f>
        <v/>
      </c>
      <c r="D1742" t="str">
        <f>IFERROR(__xludf.DUMMYFUNCTION("""COMPUTED_VALUE"""),"")</f>
        <v/>
      </c>
      <c r="E1742" t="str">
        <f>IFERROR(__xludf.DUMMYFUNCTION("""COMPUTED_VALUE"""),"")</f>
        <v/>
      </c>
      <c r="F1742" t="str">
        <f>IFERROR(__xludf.DUMMYFUNCTION("""COMPUTED_VALUE"""),"")</f>
        <v/>
      </c>
      <c r="G1742" t="str">
        <f>IFERROR(__xludf.DUMMYFUNCTION("""COMPUTED_VALUE"""),"")</f>
        <v/>
      </c>
      <c r="H1742" t="str">
        <f>IFERROR(__xludf.DUMMYFUNCTION("""COMPUTED_VALUE"""),"")</f>
        <v/>
      </c>
      <c r="I1742" t="str">
        <f>IFERROR(__xludf.DUMMYFUNCTION("""COMPUTED_VALUE"""),"")</f>
        <v/>
      </c>
      <c r="J1742">
        <f>IFERROR(__xludf.DUMMYFUNCTION("""COMPUTED_VALUE"""),0.0)</f>
        <v>0</v>
      </c>
      <c r="L1742" s="250" t="str">
        <f>IFERROR(__xludf.DUMMYFUNCTION("""COMPUTED_VALUE"""),"")</f>
        <v/>
      </c>
      <c r="M1742" s="250" t="str">
        <f>IFERROR(__xludf.DUMMYFUNCTION("""COMPUTED_VALUE"""),"")</f>
        <v/>
      </c>
      <c r="N1742" s="250" t="str">
        <f>IFERROR(__xludf.DUMMYFUNCTION("""COMPUTED_VALUE"""),"")</f>
        <v/>
      </c>
      <c r="O1742" s="250" t="str">
        <f>IFERROR(__xludf.DUMMYFUNCTION("""COMPUTED_VALUE"""),"")</f>
        <v/>
      </c>
      <c r="P1742" s="250" t="str">
        <f>IFERROR(__xludf.DUMMYFUNCTION("""COMPUTED_VALUE"""),"")</f>
        <v/>
      </c>
      <c r="Q1742" s="250" t="str">
        <f>IFERROR(__xludf.DUMMYFUNCTION("""COMPUTED_VALUE"""),"")</f>
        <v/>
      </c>
      <c r="R1742" s="250" t="str">
        <f>IFERROR(__xludf.DUMMYFUNCTION("""COMPUTED_VALUE"""),"")</f>
        <v/>
      </c>
      <c r="U1742" s="250" t="str">
        <f>IFERROR(__xludf.DUMMYFUNCTION("""COMPUTED_VALUE"""),"#N/A")</f>
        <v>#N/A</v>
      </c>
      <c r="V1742" s="250" t="str">
        <f>IFERROR(__xludf.DUMMYFUNCTION("""COMPUTED_VALUE"""),"#N/A")</f>
        <v>#N/A</v>
      </c>
      <c r="W1742" s="250" t="str">
        <f>IFERROR(__xludf.DUMMYFUNCTION("""COMPUTED_VALUE"""),"#N/A")</f>
        <v>#N/A</v>
      </c>
      <c r="X1742" t="b">
        <f t="shared" ref="X1742:Z1742" si="3460">ISBLANK(K1742)</f>
        <v>1</v>
      </c>
      <c r="Y1742" t="b">
        <f t="shared" si="3460"/>
        <v>0</v>
      </c>
      <c r="Z1742" t="b">
        <f t="shared" si="3460"/>
        <v>0</v>
      </c>
      <c r="AA1742">
        <f t="shared" ref="AA1742:AC1742" si="3461">IF(X1742=FALSE,1,0)</f>
        <v>0</v>
      </c>
      <c r="AB1742">
        <f t="shared" si="3461"/>
        <v>1</v>
      </c>
      <c r="AC1742">
        <f t="shared" si="3461"/>
        <v>1</v>
      </c>
      <c r="AD1742">
        <f t="shared" si="6"/>
        <v>2</v>
      </c>
      <c r="AE1742">
        <f t="shared" si="7"/>
        <v>1</v>
      </c>
    </row>
    <row r="1743">
      <c r="B1743" t="str">
        <f>IFERROR(__xludf.DUMMYFUNCTION("""COMPUTED_VALUE"""),"")</f>
        <v/>
      </c>
      <c r="C1743" t="str">
        <f>IFERROR(__xludf.DUMMYFUNCTION("""COMPUTED_VALUE"""),"")</f>
        <v/>
      </c>
      <c r="D1743" t="str">
        <f>IFERROR(__xludf.DUMMYFUNCTION("""COMPUTED_VALUE"""),"")</f>
        <v/>
      </c>
      <c r="E1743" t="str">
        <f>IFERROR(__xludf.DUMMYFUNCTION("""COMPUTED_VALUE"""),"")</f>
        <v/>
      </c>
      <c r="F1743" t="str">
        <f>IFERROR(__xludf.DUMMYFUNCTION("""COMPUTED_VALUE"""),"")</f>
        <v/>
      </c>
      <c r="G1743" t="str">
        <f>IFERROR(__xludf.DUMMYFUNCTION("""COMPUTED_VALUE"""),"")</f>
        <v/>
      </c>
      <c r="H1743" t="str">
        <f>IFERROR(__xludf.DUMMYFUNCTION("""COMPUTED_VALUE"""),"")</f>
        <v/>
      </c>
      <c r="I1743" t="str">
        <f>IFERROR(__xludf.DUMMYFUNCTION("""COMPUTED_VALUE"""),"")</f>
        <v/>
      </c>
      <c r="J1743">
        <f>IFERROR(__xludf.DUMMYFUNCTION("""COMPUTED_VALUE"""),0.0)</f>
        <v>0</v>
      </c>
      <c r="L1743" s="250" t="str">
        <f>IFERROR(__xludf.DUMMYFUNCTION("""COMPUTED_VALUE"""),"")</f>
        <v/>
      </c>
      <c r="M1743" s="250" t="str">
        <f>IFERROR(__xludf.DUMMYFUNCTION("""COMPUTED_VALUE"""),"")</f>
        <v/>
      </c>
      <c r="N1743" s="250" t="str">
        <f>IFERROR(__xludf.DUMMYFUNCTION("""COMPUTED_VALUE"""),"")</f>
        <v/>
      </c>
      <c r="O1743" s="250" t="str">
        <f>IFERROR(__xludf.DUMMYFUNCTION("""COMPUTED_VALUE"""),"")</f>
        <v/>
      </c>
      <c r="P1743" s="250" t="str">
        <f>IFERROR(__xludf.DUMMYFUNCTION("""COMPUTED_VALUE"""),"")</f>
        <v/>
      </c>
      <c r="Q1743" s="250" t="str">
        <f>IFERROR(__xludf.DUMMYFUNCTION("""COMPUTED_VALUE"""),"")</f>
        <v/>
      </c>
      <c r="R1743" s="250" t="str">
        <f>IFERROR(__xludf.DUMMYFUNCTION("""COMPUTED_VALUE"""),"")</f>
        <v/>
      </c>
      <c r="U1743" s="250" t="str">
        <f>IFERROR(__xludf.DUMMYFUNCTION("""COMPUTED_VALUE"""),"#N/A")</f>
        <v>#N/A</v>
      </c>
      <c r="V1743" s="250" t="str">
        <f>IFERROR(__xludf.DUMMYFUNCTION("""COMPUTED_VALUE"""),"#N/A")</f>
        <v>#N/A</v>
      </c>
      <c r="W1743" s="250" t="str">
        <f>IFERROR(__xludf.DUMMYFUNCTION("""COMPUTED_VALUE"""),"#N/A")</f>
        <v>#N/A</v>
      </c>
      <c r="X1743" t="b">
        <f t="shared" ref="X1743:Z1743" si="3462">ISBLANK(K1743)</f>
        <v>1</v>
      </c>
      <c r="Y1743" t="b">
        <f t="shared" si="3462"/>
        <v>0</v>
      </c>
      <c r="Z1743" t="b">
        <f t="shared" si="3462"/>
        <v>0</v>
      </c>
      <c r="AA1743">
        <f t="shared" ref="AA1743:AC1743" si="3463">IF(X1743=FALSE,1,0)</f>
        <v>0</v>
      </c>
      <c r="AB1743">
        <f t="shared" si="3463"/>
        <v>1</v>
      </c>
      <c r="AC1743">
        <f t="shared" si="3463"/>
        <v>1</v>
      </c>
      <c r="AD1743">
        <f t="shared" si="6"/>
        <v>2</v>
      </c>
      <c r="AE1743">
        <f t="shared" si="7"/>
        <v>1</v>
      </c>
    </row>
    <row r="1744">
      <c r="B1744" t="str">
        <f>IFERROR(__xludf.DUMMYFUNCTION("""COMPUTED_VALUE"""),"")</f>
        <v/>
      </c>
      <c r="C1744" t="str">
        <f>IFERROR(__xludf.DUMMYFUNCTION("""COMPUTED_VALUE"""),"")</f>
        <v/>
      </c>
      <c r="D1744" t="str">
        <f>IFERROR(__xludf.DUMMYFUNCTION("""COMPUTED_VALUE"""),"")</f>
        <v/>
      </c>
      <c r="E1744" t="str">
        <f>IFERROR(__xludf.DUMMYFUNCTION("""COMPUTED_VALUE"""),"")</f>
        <v/>
      </c>
      <c r="F1744" t="str">
        <f>IFERROR(__xludf.DUMMYFUNCTION("""COMPUTED_VALUE"""),"")</f>
        <v/>
      </c>
      <c r="G1744" t="str">
        <f>IFERROR(__xludf.DUMMYFUNCTION("""COMPUTED_VALUE"""),"")</f>
        <v/>
      </c>
      <c r="H1744" t="str">
        <f>IFERROR(__xludf.DUMMYFUNCTION("""COMPUTED_VALUE"""),"")</f>
        <v/>
      </c>
      <c r="I1744" t="str">
        <f>IFERROR(__xludf.DUMMYFUNCTION("""COMPUTED_VALUE"""),"")</f>
        <v/>
      </c>
      <c r="J1744">
        <f>IFERROR(__xludf.DUMMYFUNCTION("""COMPUTED_VALUE"""),0.0)</f>
        <v>0</v>
      </c>
      <c r="L1744" s="250" t="str">
        <f>IFERROR(__xludf.DUMMYFUNCTION("""COMPUTED_VALUE"""),"")</f>
        <v/>
      </c>
      <c r="M1744" s="250" t="str">
        <f>IFERROR(__xludf.DUMMYFUNCTION("""COMPUTED_VALUE"""),"")</f>
        <v/>
      </c>
      <c r="N1744" s="250" t="str">
        <f>IFERROR(__xludf.DUMMYFUNCTION("""COMPUTED_VALUE"""),"")</f>
        <v/>
      </c>
      <c r="O1744" s="250" t="str">
        <f>IFERROR(__xludf.DUMMYFUNCTION("""COMPUTED_VALUE"""),"")</f>
        <v/>
      </c>
      <c r="P1744" s="250" t="str">
        <f>IFERROR(__xludf.DUMMYFUNCTION("""COMPUTED_VALUE"""),"")</f>
        <v/>
      </c>
      <c r="Q1744" s="250" t="str">
        <f>IFERROR(__xludf.DUMMYFUNCTION("""COMPUTED_VALUE"""),"")</f>
        <v/>
      </c>
      <c r="R1744" s="250" t="str">
        <f>IFERROR(__xludf.DUMMYFUNCTION("""COMPUTED_VALUE"""),"")</f>
        <v/>
      </c>
      <c r="U1744" s="250" t="str">
        <f>IFERROR(__xludf.DUMMYFUNCTION("""COMPUTED_VALUE"""),"#N/A")</f>
        <v>#N/A</v>
      </c>
      <c r="V1744" s="250" t="str">
        <f>IFERROR(__xludf.DUMMYFUNCTION("""COMPUTED_VALUE"""),"#N/A")</f>
        <v>#N/A</v>
      </c>
      <c r="W1744" s="250" t="str">
        <f>IFERROR(__xludf.DUMMYFUNCTION("""COMPUTED_VALUE"""),"#N/A")</f>
        <v>#N/A</v>
      </c>
      <c r="X1744" t="b">
        <f t="shared" ref="X1744:Z1744" si="3464">ISBLANK(K1744)</f>
        <v>1</v>
      </c>
      <c r="Y1744" t="b">
        <f t="shared" si="3464"/>
        <v>0</v>
      </c>
      <c r="Z1744" t="b">
        <f t="shared" si="3464"/>
        <v>0</v>
      </c>
      <c r="AA1744">
        <f t="shared" ref="AA1744:AC1744" si="3465">IF(X1744=FALSE,1,0)</f>
        <v>0</v>
      </c>
      <c r="AB1744">
        <f t="shared" si="3465"/>
        <v>1</v>
      </c>
      <c r="AC1744">
        <f t="shared" si="3465"/>
        <v>1</v>
      </c>
      <c r="AD1744">
        <f t="shared" si="6"/>
        <v>2</v>
      </c>
      <c r="AE1744">
        <f t="shared" si="7"/>
        <v>1</v>
      </c>
    </row>
    <row r="1745">
      <c r="B1745" t="str">
        <f>IFERROR(__xludf.DUMMYFUNCTION("""COMPUTED_VALUE"""),"")</f>
        <v/>
      </c>
      <c r="C1745" t="str">
        <f>IFERROR(__xludf.DUMMYFUNCTION("""COMPUTED_VALUE"""),"")</f>
        <v/>
      </c>
      <c r="D1745" t="str">
        <f>IFERROR(__xludf.DUMMYFUNCTION("""COMPUTED_VALUE"""),"")</f>
        <v/>
      </c>
      <c r="E1745" t="str">
        <f>IFERROR(__xludf.DUMMYFUNCTION("""COMPUTED_VALUE"""),"")</f>
        <v/>
      </c>
      <c r="F1745" t="str">
        <f>IFERROR(__xludf.DUMMYFUNCTION("""COMPUTED_VALUE"""),"")</f>
        <v/>
      </c>
      <c r="G1745" t="str">
        <f>IFERROR(__xludf.DUMMYFUNCTION("""COMPUTED_VALUE"""),"")</f>
        <v/>
      </c>
      <c r="H1745" t="str">
        <f>IFERROR(__xludf.DUMMYFUNCTION("""COMPUTED_VALUE"""),"")</f>
        <v/>
      </c>
      <c r="I1745" t="str">
        <f>IFERROR(__xludf.DUMMYFUNCTION("""COMPUTED_VALUE"""),"")</f>
        <v/>
      </c>
      <c r="J1745">
        <f>IFERROR(__xludf.DUMMYFUNCTION("""COMPUTED_VALUE"""),0.0)</f>
        <v>0</v>
      </c>
      <c r="L1745" s="250" t="str">
        <f>IFERROR(__xludf.DUMMYFUNCTION("""COMPUTED_VALUE"""),"")</f>
        <v/>
      </c>
      <c r="M1745" s="250" t="str">
        <f>IFERROR(__xludf.DUMMYFUNCTION("""COMPUTED_VALUE"""),"")</f>
        <v/>
      </c>
      <c r="N1745" s="250" t="str">
        <f>IFERROR(__xludf.DUMMYFUNCTION("""COMPUTED_VALUE"""),"")</f>
        <v/>
      </c>
      <c r="O1745" s="250" t="str">
        <f>IFERROR(__xludf.DUMMYFUNCTION("""COMPUTED_VALUE"""),"")</f>
        <v/>
      </c>
      <c r="P1745" s="250" t="str">
        <f>IFERROR(__xludf.DUMMYFUNCTION("""COMPUTED_VALUE"""),"")</f>
        <v/>
      </c>
      <c r="Q1745" s="250" t="str">
        <f>IFERROR(__xludf.DUMMYFUNCTION("""COMPUTED_VALUE"""),"")</f>
        <v/>
      </c>
      <c r="R1745" s="250" t="str">
        <f>IFERROR(__xludf.DUMMYFUNCTION("""COMPUTED_VALUE"""),"")</f>
        <v/>
      </c>
      <c r="U1745" s="250" t="str">
        <f>IFERROR(__xludf.DUMMYFUNCTION("""COMPUTED_VALUE"""),"#N/A")</f>
        <v>#N/A</v>
      </c>
      <c r="V1745" s="250" t="str">
        <f>IFERROR(__xludf.DUMMYFUNCTION("""COMPUTED_VALUE"""),"#N/A")</f>
        <v>#N/A</v>
      </c>
      <c r="W1745" s="250" t="str">
        <f>IFERROR(__xludf.DUMMYFUNCTION("""COMPUTED_VALUE"""),"#N/A")</f>
        <v>#N/A</v>
      </c>
      <c r="X1745" t="b">
        <f t="shared" ref="X1745:Z1745" si="3466">ISBLANK(K1745)</f>
        <v>1</v>
      </c>
      <c r="Y1745" t="b">
        <f t="shared" si="3466"/>
        <v>0</v>
      </c>
      <c r="Z1745" t="b">
        <f t="shared" si="3466"/>
        <v>0</v>
      </c>
      <c r="AA1745">
        <f t="shared" ref="AA1745:AC1745" si="3467">IF(X1745=FALSE,1,0)</f>
        <v>0</v>
      </c>
      <c r="AB1745">
        <f t="shared" si="3467"/>
        <v>1</v>
      </c>
      <c r="AC1745">
        <f t="shared" si="3467"/>
        <v>1</v>
      </c>
      <c r="AD1745">
        <f t="shared" si="6"/>
        <v>2</v>
      </c>
      <c r="AE1745">
        <f t="shared" si="7"/>
        <v>1</v>
      </c>
    </row>
    <row r="1746">
      <c r="B1746" t="str">
        <f>IFERROR(__xludf.DUMMYFUNCTION("""COMPUTED_VALUE"""),"")</f>
        <v/>
      </c>
      <c r="C1746" t="str">
        <f>IFERROR(__xludf.DUMMYFUNCTION("""COMPUTED_VALUE"""),"")</f>
        <v/>
      </c>
      <c r="D1746" t="str">
        <f>IFERROR(__xludf.DUMMYFUNCTION("""COMPUTED_VALUE"""),"")</f>
        <v/>
      </c>
      <c r="E1746" t="str">
        <f>IFERROR(__xludf.DUMMYFUNCTION("""COMPUTED_VALUE"""),"")</f>
        <v/>
      </c>
      <c r="F1746" t="str">
        <f>IFERROR(__xludf.DUMMYFUNCTION("""COMPUTED_VALUE"""),"")</f>
        <v/>
      </c>
      <c r="G1746" t="str">
        <f>IFERROR(__xludf.DUMMYFUNCTION("""COMPUTED_VALUE"""),"")</f>
        <v/>
      </c>
      <c r="H1746" t="str">
        <f>IFERROR(__xludf.DUMMYFUNCTION("""COMPUTED_VALUE"""),"")</f>
        <v/>
      </c>
      <c r="I1746" t="str">
        <f>IFERROR(__xludf.DUMMYFUNCTION("""COMPUTED_VALUE"""),"")</f>
        <v/>
      </c>
      <c r="J1746">
        <f>IFERROR(__xludf.DUMMYFUNCTION("""COMPUTED_VALUE"""),0.0)</f>
        <v>0</v>
      </c>
      <c r="L1746" s="250" t="str">
        <f>IFERROR(__xludf.DUMMYFUNCTION("""COMPUTED_VALUE"""),"")</f>
        <v/>
      </c>
      <c r="M1746" s="250" t="str">
        <f>IFERROR(__xludf.DUMMYFUNCTION("""COMPUTED_VALUE"""),"")</f>
        <v/>
      </c>
      <c r="N1746" s="250" t="str">
        <f>IFERROR(__xludf.DUMMYFUNCTION("""COMPUTED_VALUE"""),"")</f>
        <v/>
      </c>
      <c r="O1746" s="250" t="str">
        <f>IFERROR(__xludf.DUMMYFUNCTION("""COMPUTED_VALUE"""),"")</f>
        <v/>
      </c>
      <c r="P1746" s="250" t="str">
        <f>IFERROR(__xludf.DUMMYFUNCTION("""COMPUTED_VALUE"""),"")</f>
        <v/>
      </c>
      <c r="Q1746" s="250" t="str">
        <f>IFERROR(__xludf.DUMMYFUNCTION("""COMPUTED_VALUE"""),"")</f>
        <v/>
      </c>
      <c r="R1746" s="250" t="str">
        <f>IFERROR(__xludf.DUMMYFUNCTION("""COMPUTED_VALUE"""),"")</f>
        <v/>
      </c>
      <c r="U1746" s="250" t="str">
        <f>IFERROR(__xludf.DUMMYFUNCTION("""COMPUTED_VALUE"""),"#N/A")</f>
        <v>#N/A</v>
      </c>
      <c r="V1746" s="250" t="str">
        <f>IFERROR(__xludf.DUMMYFUNCTION("""COMPUTED_VALUE"""),"#N/A")</f>
        <v>#N/A</v>
      </c>
      <c r="W1746" s="250" t="str">
        <f>IFERROR(__xludf.DUMMYFUNCTION("""COMPUTED_VALUE"""),"#N/A")</f>
        <v>#N/A</v>
      </c>
      <c r="X1746" t="b">
        <f t="shared" ref="X1746:Z1746" si="3468">ISBLANK(K1746)</f>
        <v>1</v>
      </c>
      <c r="Y1746" t="b">
        <f t="shared" si="3468"/>
        <v>0</v>
      </c>
      <c r="Z1746" t="b">
        <f t="shared" si="3468"/>
        <v>0</v>
      </c>
      <c r="AA1746">
        <f t="shared" ref="AA1746:AC1746" si="3469">IF(X1746=FALSE,1,0)</f>
        <v>0</v>
      </c>
      <c r="AB1746">
        <f t="shared" si="3469"/>
        <v>1</v>
      </c>
      <c r="AC1746">
        <f t="shared" si="3469"/>
        <v>1</v>
      </c>
      <c r="AD1746">
        <f t="shared" si="6"/>
        <v>2</v>
      </c>
      <c r="AE1746">
        <f t="shared" si="7"/>
        <v>1</v>
      </c>
    </row>
    <row r="1747">
      <c r="B1747" t="str">
        <f>IFERROR(__xludf.DUMMYFUNCTION("""COMPUTED_VALUE"""),"")</f>
        <v/>
      </c>
      <c r="C1747" t="str">
        <f>IFERROR(__xludf.DUMMYFUNCTION("""COMPUTED_VALUE"""),"")</f>
        <v/>
      </c>
      <c r="D1747" t="str">
        <f>IFERROR(__xludf.DUMMYFUNCTION("""COMPUTED_VALUE"""),"")</f>
        <v/>
      </c>
      <c r="E1747" t="str">
        <f>IFERROR(__xludf.DUMMYFUNCTION("""COMPUTED_VALUE"""),"")</f>
        <v/>
      </c>
      <c r="F1747" t="str">
        <f>IFERROR(__xludf.DUMMYFUNCTION("""COMPUTED_VALUE"""),"")</f>
        <v/>
      </c>
      <c r="G1747" t="str">
        <f>IFERROR(__xludf.DUMMYFUNCTION("""COMPUTED_VALUE"""),"")</f>
        <v/>
      </c>
      <c r="H1747" t="str">
        <f>IFERROR(__xludf.DUMMYFUNCTION("""COMPUTED_VALUE"""),"")</f>
        <v/>
      </c>
      <c r="I1747" t="str">
        <f>IFERROR(__xludf.DUMMYFUNCTION("""COMPUTED_VALUE"""),"")</f>
        <v/>
      </c>
      <c r="J1747">
        <f>IFERROR(__xludf.DUMMYFUNCTION("""COMPUTED_VALUE"""),0.0)</f>
        <v>0</v>
      </c>
      <c r="L1747" s="250" t="str">
        <f>IFERROR(__xludf.DUMMYFUNCTION("""COMPUTED_VALUE"""),"")</f>
        <v/>
      </c>
      <c r="M1747" s="250" t="str">
        <f>IFERROR(__xludf.DUMMYFUNCTION("""COMPUTED_VALUE"""),"")</f>
        <v/>
      </c>
      <c r="N1747" s="250" t="str">
        <f>IFERROR(__xludf.DUMMYFUNCTION("""COMPUTED_VALUE"""),"")</f>
        <v/>
      </c>
      <c r="O1747" s="250" t="str">
        <f>IFERROR(__xludf.DUMMYFUNCTION("""COMPUTED_VALUE"""),"")</f>
        <v/>
      </c>
      <c r="P1747" s="250" t="str">
        <f>IFERROR(__xludf.DUMMYFUNCTION("""COMPUTED_VALUE"""),"")</f>
        <v/>
      </c>
      <c r="Q1747" s="250" t="str">
        <f>IFERROR(__xludf.DUMMYFUNCTION("""COMPUTED_VALUE"""),"")</f>
        <v/>
      </c>
      <c r="R1747" s="250" t="str">
        <f>IFERROR(__xludf.DUMMYFUNCTION("""COMPUTED_VALUE"""),"")</f>
        <v/>
      </c>
      <c r="U1747" s="250" t="str">
        <f>IFERROR(__xludf.DUMMYFUNCTION("""COMPUTED_VALUE"""),"#N/A")</f>
        <v>#N/A</v>
      </c>
      <c r="V1747" s="250" t="str">
        <f>IFERROR(__xludf.DUMMYFUNCTION("""COMPUTED_VALUE"""),"#N/A")</f>
        <v>#N/A</v>
      </c>
      <c r="W1747" s="250" t="str">
        <f>IFERROR(__xludf.DUMMYFUNCTION("""COMPUTED_VALUE"""),"#N/A")</f>
        <v>#N/A</v>
      </c>
      <c r="X1747" t="b">
        <f t="shared" ref="X1747:Z1747" si="3470">ISBLANK(K1747)</f>
        <v>1</v>
      </c>
      <c r="Y1747" t="b">
        <f t="shared" si="3470"/>
        <v>0</v>
      </c>
      <c r="Z1747" t="b">
        <f t="shared" si="3470"/>
        <v>0</v>
      </c>
      <c r="AA1747">
        <f t="shared" ref="AA1747:AC1747" si="3471">IF(X1747=FALSE,1,0)</f>
        <v>0</v>
      </c>
      <c r="AB1747">
        <f t="shared" si="3471"/>
        <v>1</v>
      </c>
      <c r="AC1747">
        <f t="shared" si="3471"/>
        <v>1</v>
      </c>
      <c r="AD1747">
        <f t="shared" si="6"/>
        <v>2</v>
      </c>
      <c r="AE1747">
        <f t="shared" si="7"/>
        <v>1</v>
      </c>
    </row>
    <row r="1748">
      <c r="B1748" t="str">
        <f>IFERROR(__xludf.DUMMYFUNCTION("""COMPUTED_VALUE"""),"")</f>
        <v/>
      </c>
      <c r="C1748" t="str">
        <f>IFERROR(__xludf.DUMMYFUNCTION("""COMPUTED_VALUE"""),"")</f>
        <v/>
      </c>
      <c r="D1748" t="str">
        <f>IFERROR(__xludf.DUMMYFUNCTION("""COMPUTED_VALUE"""),"")</f>
        <v/>
      </c>
      <c r="E1748" t="str">
        <f>IFERROR(__xludf.DUMMYFUNCTION("""COMPUTED_VALUE"""),"")</f>
        <v/>
      </c>
      <c r="F1748" t="str">
        <f>IFERROR(__xludf.DUMMYFUNCTION("""COMPUTED_VALUE"""),"")</f>
        <v/>
      </c>
      <c r="G1748" t="str">
        <f>IFERROR(__xludf.DUMMYFUNCTION("""COMPUTED_VALUE"""),"")</f>
        <v/>
      </c>
      <c r="H1748" t="str">
        <f>IFERROR(__xludf.DUMMYFUNCTION("""COMPUTED_VALUE"""),"")</f>
        <v/>
      </c>
      <c r="I1748" t="str">
        <f>IFERROR(__xludf.DUMMYFUNCTION("""COMPUTED_VALUE"""),"")</f>
        <v/>
      </c>
      <c r="J1748">
        <f>IFERROR(__xludf.DUMMYFUNCTION("""COMPUTED_VALUE"""),0.0)</f>
        <v>0</v>
      </c>
      <c r="L1748" s="250" t="str">
        <f>IFERROR(__xludf.DUMMYFUNCTION("""COMPUTED_VALUE"""),"")</f>
        <v/>
      </c>
      <c r="M1748" s="250" t="str">
        <f>IFERROR(__xludf.DUMMYFUNCTION("""COMPUTED_VALUE"""),"")</f>
        <v/>
      </c>
      <c r="N1748" s="250" t="str">
        <f>IFERROR(__xludf.DUMMYFUNCTION("""COMPUTED_VALUE"""),"")</f>
        <v/>
      </c>
      <c r="O1748" s="250" t="str">
        <f>IFERROR(__xludf.DUMMYFUNCTION("""COMPUTED_VALUE"""),"")</f>
        <v/>
      </c>
      <c r="P1748" s="250" t="str">
        <f>IFERROR(__xludf.DUMMYFUNCTION("""COMPUTED_VALUE"""),"")</f>
        <v/>
      </c>
      <c r="Q1748" s="250" t="str">
        <f>IFERROR(__xludf.DUMMYFUNCTION("""COMPUTED_VALUE"""),"")</f>
        <v/>
      </c>
      <c r="R1748" s="250" t="str">
        <f>IFERROR(__xludf.DUMMYFUNCTION("""COMPUTED_VALUE"""),"")</f>
        <v/>
      </c>
      <c r="U1748" s="250" t="str">
        <f>IFERROR(__xludf.DUMMYFUNCTION("""COMPUTED_VALUE"""),"#N/A")</f>
        <v>#N/A</v>
      </c>
      <c r="V1748" s="250" t="str">
        <f>IFERROR(__xludf.DUMMYFUNCTION("""COMPUTED_VALUE"""),"#N/A")</f>
        <v>#N/A</v>
      </c>
      <c r="W1748" s="250" t="str">
        <f>IFERROR(__xludf.DUMMYFUNCTION("""COMPUTED_VALUE"""),"#N/A")</f>
        <v>#N/A</v>
      </c>
      <c r="X1748" t="b">
        <f t="shared" ref="X1748:Z1748" si="3472">ISBLANK(K1748)</f>
        <v>1</v>
      </c>
      <c r="Y1748" t="b">
        <f t="shared" si="3472"/>
        <v>0</v>
      </c>
      <c r="Z1748" t="b">
        <f t="shared" si="3472"/>
        <v>0</v>
      </c>
      <c r="AA1748">
        <f t="shared" ref="AA1748:AC1748" si="3473">IF(X1748=FALSE,1,0)</f>
        <v>0</v>
      </c>
      <c r="AB1748">
        <f t="shared" si="3473"/>
        <v>1</v>
      </c>
      <c r="AC1748">
        <f t="shared" si="3473"/>
        <v>1</v>
      </c>
      <c r="AD1748">
        <f t="shared" si="6"/>
        <v>2</v>
      </c>
      <c r="AE1748">
        <f t="shared" si="7"/>
        <v>1</v>
      </c>
    </row>
    <row r="1749">
      <c r="B1749" t="str">
        <f>IFERROR(__xludf.DUMMYFUNCTION("""COMPUTED_VALUE"""),"")</f>
        <v/>
      </c>
      <c r="C1749" t="str">
        <f>IFERROR(__xludf.DUMMYFUNCTION("""COMPUTED_VALUE"""),"")</f>
        <v/>
      </c>
      <c r="D1749" t="str">
        <f>IFERROR(__xludf.DUMMYFUNCTION("""COMPUTED_VALUE"""),"")</f>
        <v/>
      </c>
      <c r="E1749" t="str">
        <f>IFERROR(__xludf.DUMMYFUNCTION("""COMPUTED_VALUE"""),"")</f>
        <v/>
      </c>
      <c r="F1749" t="str">
        <f>IFERROR(__xludf.DUMMYFUNCTION("""COMPUTED_VALUE"""),"")</f>
        <v/>
      </c>
      <c r="G1749" t="str">
        <f>IFERROR(__xludf.DUMMYFUNCTION("""COMPUTED_VALUE"""),"")</f>
        <v/>
      </c>
      <c r="H1749" t="str">
        <f>IFERROR(__xludf.DUMMYFUNCTION("""COMPUTED_VALUE"""),"")</f>
        <v/>
      </c>
      <c r="I1749" t="str">
        <f>IFERROR(__xludf.DUMMYFUNCTION("""COMPUTED_VALUE"""),"")</f>
        <v/>
      </c>
      <c r="J1749">
        <f>IFERROR(__xludf.DUMMYFUNCTION("""COMPUTED_VALUE"""),0.0)</f>
        <v>0</v>
      </c>
      <c r="L1749" s="250" t="str">
        <f>IFERROR(__xludf.DUMMYFUNCTION("""COMPUTED_VALUE"""),"")</f>
        <v/>
      </c>
      <c r="M1749" s="250" t="str">
        <f>IFERROR(__xludf.DUMMYFUNCTION("""COMPUTED_VALUE"""),"")</f>
        <v/>
      </c>
      <c r="N1749" s="250" t="str">
        <f>IFERROR(__xludf.DUMMYFUNCTION("""COMPUTED_VALUE"""),"")</f>
        <v/>
      </c>
      <c r="O1749" s="250" t="str">
        <f>IFERROR(__xludf.DUMMYFUNCTION("""COMPUTED_VALUE"""),"")</f>
        <v/>
      </c>
      <c r="P1749" s="250" t="str">
        <f>IFERROR(__xludf.DUMMYFUNCTION("""COMPUTED_VALUE"""),"")</f>
        <v/>
      </c>
      <c r="Q1749" s="250" t="str">
        <f>IFERROR(__xludf.DUMMYFUNCTION("""COMPUTED_VALUE"""),"")</f>
        <v/>
      </c>
      <c r="R1749" s="250" t="str">
        <f>IFERROR(__xludf.DUMMYFUNCTION("""COMPUTED_VALUE"""),"")</f>
        <v/>
      </c>
      <c r="U1749" s="250" t="str">
        <f>IFERROR(__xludf.DUMMYFUNCTION("""COMPUTED_VALUE"""),"#N/A")</f>
        <v>#N/A</v>
      </c>
      <c r="V1749" s="250" t="str">
        <f>IFERROR(__xludf.DUMMYFUNCTION("""COMPUTED_VALUE"""),"#N/A")</f>
        <v>#N/A</v>
      </c>
      <c r="W1749" s="250" t="str">
        <f>IFERROR(__xludf.DUMMYFUNCTION("""COMPUTED_VALUE"""),"#N/A")</f>
        <v>#N/A</v>
      </c>
      <c r="X1749" t="b">
        <f t="shared" ref="X1749:Z1749" si="3474">ISBLANK(K1749)</f>
        <v>1</v>
      </c>
      <c r="Y1749" t="b">
        <f t="shared" si="3474"/>
        <v>0</v>
      </c>
      <c r="Z1749" t="b">
        <f t="shared" si="3474"/>
        <v>0</v>
      </c>
      <c r="AA1749">
        <f t="shared" ref="AA1749:AC1749" si="3475">IF(X1749=FALSE,1,0)</f>
        <v>0</v>
      </c>
      <c r="AB1749">
        <f t="shared" si="3475"/>
        <v>1</v>
      </c>
      <c r="AC1749">
        <f t="shared" si="3475"/>
        <v>1</v>
      </c>
      <c r="AD1749">
        <f t="shared" si="6"/>
        <v>2</v>
      </c>
      <c r="AE1749">
        <f t="shared" si="7"/>
        <v>1</v>
      </c>
    </row>
    <row r="1750">
      <c r="B1750" t="str">
        <f>IFERROR(__xludf.DUMMYFUNCTION("""COMPUTED_VALUE"""),"")</f>
        <v/>
      </c>
      <c r="C1750" t="str">
        <f>IFERROR(__xludf.DUMMYFUNCTION("""COMPUTED_VALUE"""),"")</f>
        <v/>
      </c>
      <c r="D1750" t="str">
        <f>IFERROR(__xludf.DUMMYFUNCTION("""COMPUTED_VALUE"""),"")</f>
        <v/>
      </c>
      <c r="E1750" t="str">
        <f>IFERROR(__xludf.DUMMYFUNCTION("""COMPUTED_VALUE"""),"")</f>
        <v/>
      </c>
      <c r="F1750" t="str">
        <f>IFERROR(__xludf.DUMMYFUNCTION("""COMPUTED_VALUE"""),"")</f>
        <v/>
      </c>
      <c r="G1750" t="str">
        <f>IFERROR(__xludf.DUMMYFUNCTION("""COMPUTED_VALUE"""),"")</f>
        <v/>
      </c>
      <c r="H1750" t="str">
        <f>IFERROR(__xludf.DUMMYFUNCTION("""COMPUTED_VALUE"""),"")</f>
        <v/>
      </c>
      <c r="I1750" t="str">
        <f>IFERROR(__xludf.DUMMYFUNCTION("""COMPUTED_VALUE"""),"")</f>
        <v/>
      </c>
      <c r="J1750">
        <f>IFERROR(__xludf.DUMMYFUNCTION("""COMPUTED_VALUE"""),0.0)</f>
        <v>0</v>
      </c>
      <c r="L1750" s="250" t="str">
        <f>IFERROR(__xludf.DUMMYFUNCTION("""COMPUTED_VALUE"""),"")</f>
        <v/>
      </c>
      <c r="M1750" s="250" t="str">
        <f>IFERROR(__xludf.DUMMYFUNCTION("""COMPUTED_VALUE"""),"")</f>
        <v/>
      </c>
      <c r="N1750" s="250" t="str">
        <f>IFERROR(__xludf.DUMMYFUNCTION("""COMPUTED_VALUE"""),"")</f>
        <v/>
      </c>
      <c r="O1750" s="250" t="str">
        <f>IFERROR(__xludf.DUMMYFUNCTION("""COMPUTED_VALUE"""),"")</f>
        <v/>
      </c>
      <c r="P1750" s="250" t="str">
        <f>IFERROR(__xludf.DUMMYFUNCTION("""COMPUTED_VALUE"""),"")</f>
        <v/>
      </c>
      <c r="Q1750" s="250" t="str">
        <f>IFERROR(__xludf.DUMMYFUNCTION("""COMPUTED_VALUE"""),"")</f>
        <v/>
      </c>
      <c r="R1750" s="250" t="str">
        <f>IFERROR(__xludf.DUMMYFUNCTION("""COMPUTED_VALUE"""),"")</f>
        <v/>
      </c>
      <c r="U1750" s="250" t="str">
        <f>IFERROR(__xludf.DUMMYFUNCTION("""COMPUTED_VALUE"""),"#N/A")</f>
        <v>#N/A</v>
      </c>
      <c r="V1750" s="250" t="str">
        <f>IFERROR(__xludf.DUMMYFUNCTION("""COMPUTED_VALUE"""),"#N/A")</f>
        <v>#N/A</v>
      </c>
      <c r="W1750" s="250" t="str">
        <f>IFERROR(__xludf.DUMMYFUNCTION("""COMPUTED_VALUE"""),"#N/A")</f>
        <v>#N/A</v>
      </c>
      <c r="X1750" t="b">
        <f t="shared" ref="X1750:Z1750" si="3476">ISBLANK(K1750)</f>
        <v>1</v>
      </c>
      <c r="Y1750" t="b">
        <f t="shared" si="3476"/>
        <v>0</v>
      </c>
      <c r="Z1750" t="b">
        <f t="shared" si="3476"/>
        <v>0</v>
      </c>
      <c r="AA1750">
        <f t="shared" ref="AA1750:AC1750" si="3477">IF(X1750=FALSE,1,0)</f>
        <v>0</v>
      </c>
      <c r="AB1750">
        <f t="shared" si="3477"/>
        <v>1</v>
      </c>
      <c r="AC1750">
        <f t="shared" si="3477"/>
        <v>1</v>
      </c>
      <c r="AD1750">
        <f t="shared" si="6"/>
        <v>2</v>
      </c>
      <c r="AE1750">
        <f t="shared" si="7"/>
        <v>1</v>
      </c>
    </row>
    <row r="1751">
      <c r="B1751" t="str">
        <f>IFERROR(__xludf.DUMMYFUNCTION("""COMPUTED_VALUE"""),"")</f>
        <v/>
      </c>
      <c r="C1751" t="str">
        <f>IFERROR(__xludf.DUMMYFUNCTION("""COMPUTED_VALUE"""),"")</f>
        <v/>
      </c>
      <c r="D1751" t="str">
        <f>IFERROR(__xludf.DUMMYFUNCTION("""COMPUTED_VALUE"""),"")</f>
        <v/>
      </c>
      <c r="E1751" t="str">
        <f>IFERROR(__xludf.DUMMYFUNCTION("""COMPUTED_VALUE"""),"")</f>
        <v/>
      </c>
      <c r="F1751" t="str">
        <f>IFERROR(__xludf.DUMMYFUNCTION("""COMPUTED_VALUE"""),"")</f>
        <v/>
      </c>
      <c r="G1751" t="str">
        <f>IFERROR(__xludf.DUMMYFUNCTION("""COMPUTED_VALUE"""),"")</f>
        <v/>
      </c>
      <c r="H1751" t="str">
        <f>IFERROR(__xludf.DUMMYFUNCTION("""COMPUTED_VALUE"""),"")</f>
        <v/>
      </c>
      <c r="I1751" t="str">
        <f>IFERROR(__xludf.DUMMYFUNCTION("""COMPUTED_VALUE"""),"")</f>
        <v/>
      </c>
      <c r="J1751">
        <f>IFERROR(__xludf.DUMMYFUNCTION("""COMPUTED_VALUE"""),0.0)</f>
        <v>0</v>
      </c>
      <c r="L1751" s="250" t="str">
        <f>IFERROR(__xludf.DUMMYFUNCTION("""COMPUTED_VALUE"""),"")</f>
        <v/>
      </c>
      <c r="M1751" s="250" t="str">
        <f>IFERROR(__xludf.DUMMYFUNCTION("""COMPUTED_VALUE"""),"")</f>
        <v/>
      </c>
      <c r="N1751" s="250" t="str">
        <f>IFERROR(__xludf.DUMMYFUNCTION("""COMPUTED_VALUE"""),"")</f>
        <v/>
      </c>
      <c r="O1751" s="250" t="str">
        <f>IFERROR(__xludf.DUMMYFUNCTION("""COMPUTED_VALUE"""),"")</f>
        <v/>
      </c>
      <c r="P1751" s="250" t="str">
        <f>IFERROR(__xludf.DUMMYFUNCTION("""COMPUTED_VALUE"""),"")</f>
        <v/>
      </c>
      <c r="Q1751" s="250" t="str">
        <f>IFERROR(__xludf.DUMMYFUNCTION("""COMPUTED_VALUE"""),"")</f>
        <v/>
      </c>
      <c r="R1751" s="250" t="str">
        <f>IFERROR(__xludf.DUMMYFUNCTION("""COMPUTED_VALUE"""),"")</f>
        <v/>
      </c>
      <c r="U1751" s="250" t="str">
        <f>IFERROR(__xludf.DUMMYFUNCTION("""COMPUTED_VALUE"""),"#N/A")</f>
        <v>#N/A</v>
      </c>
      <c r="V1751" s="250" t="str">
        <f>IFERROR(__xludf.DUMMYFUNCTION("""COMPUTED_VALUE"""),"#N/A")</f>
        <v>#N/A</v>
      </c>
      <c r="W1751" s="250" t="str">
        <f>IFERROR(__xludf.DUMMYFUNCTION("""COMPUTED_VALUE"""),"#N/A")</f>
        <v>#N/A</v>
      </c>
      <c r="X1751" t="b">
        <f t="shared" ref="X1751:Z1751" si="3478">ISBLANK(K1751)</f>
        <v>1</v>
      </c>
      <c r="Y1751" t="b">
        <f t="shared" si="3478"/>
        <v>0</v>
      </c>
      <c r="Z1751" t="b">
        <f t="shared" si="3478"/>
        <v>0</v>
      </c>
      <c r="AA1751">
        <f t="shared" ref="AA1751:AC1751" si="3479">IF(X1751=FALSE,1,0)</f>
        <v>0</v>
      </c>
      <c r="AB1751">
        <f t="shared" si="3479"/>
        <v>1</v>
      </c>
      <c r="AC1751">
        <f t="shared" si="3479"/>
        <v>1</v>
      </c>
      <c r="AD1751">
        <f t="shared" si="6"/>
        <v>2</v>
      </c>
      <c r="AE1751">
        <f t="shared" si="7"/>
        <v>1</v>
      </c>
    </row>
    <row r="1752">
      <c r="B1752" t="str">
        <f>IFERROR(__xludf.DUMMYFUNCTION("""COMPUTED_VALUE"""),"")</f>
        <v/>
      </c>
      <c r="C1752" t="str">
        <f>IFERROR(__xludf.DUMMYFUNCTION("""COMPUTED_VALUE"""),"")</f>
        <v/>
      </c>
      <c r="D1752" t="str">
        <f>IFERROR(__xludf.DUMMYFUNCTION("""COMPUTED_VALUE"""),"")</f>
        <v/>
      </c>
      <c r="E1752" t="str">
        <f>IFERROR(__xludf.DUMMYFUNCTION("""COMPUTED_VALUE"""),"")</f>
        <v/>
      </c>
      <c r="F1752" t="str">
        <f>IFERROR(__xludf.DUMMYFUNCTION("""COMPUTED_VALUE"""),"")</f>
        <v/>
      </c>
      <c r="G1752" t="str">
        <f>IFERROR(__xludf.DUMMYFUNCTION("""COMPUTED_VALUE"""),"")</f>
        <v/>
      </c>
      <c r="H1752" t="str">
        <f>IFERROR(__xludf.DUMMYFUNCTION("""COMPUTED_VALUE"""),"")</f>
        <v/>
      </c>
      <c r="I1752" t="str">
        <f>IFERROR(__xludf.DUMMYFUNCTION("""COMPUTED_VALUE"""),"")</f>
        <v/>
      </c>
      <c r="J1752">
        <f>IFERROR(__xludf.DUMMYFUNCTION("""COMPUTED_VALUE"""),0.0)</f>
        <v>0</v>
      </c>
      <c r="L1752" s="250" t="str">
        <f>IFERROR(__xludf.DUMMYFUNCTION("""COMPUTED_VALUE"""),"")</f>
        <v/>
      </c>
      <c r="M1752" s="250" t="str">
        <f>IFERROR(__xludf.DUMMYFUNCTION("""COMPUTED_VALUE"""),"")</f>
        <v/>
      </c>
      <c r="N1752" s="250" t="str">
        <f>IFERROR(__xludf.DUMMYFUNCTION("""COMPUTED_VALUE"""),"")</f>
        <v/>
      </c>
      <c r="O1752" s="250" t="str">
        <f>IFERROR(__xludf.DUMMYFUNCTION("""COMPUTED_VALUE"""),"")</f>
        <v/>
      </c>
      <c r="P1752" s="250" t="str">
        <f>IFERROR(__xludf.DUMMYFUNCTION("""COMPUTED_VALUE"""),"")</f>
        <v/>
      </c>
      <c r="Q1752" s="250" t="str">
        <f>IFERROR(__xludf.DUMMYFUNCTION("""COMPUTED_VALUE"""),"")</f>
        <v/>
      </c>
      <c r="R1752" s="250" t="str">
        <f>IFERROR(__xludf.DUMMYFUNCTION("""COMPUTED_VALUE"""),"")</f>
        <v/>
      </c>
      <c r="U1752" s="250" t="str">
        <f>IFERROR(__xludf.DUMMYFUNCTION("""COMPUTED_VALUE"""),"#N/A")</f>
        <v>#N/A</v>
      </c>
      <c r="V1752" s="250" t="str">
        <f>IFERROR(__xludf.DUMMYFUNCTION("""COMPUTED_VALUE"""),"#N/A")</f>
        <v>#N/A</v>
      </c>
      <c r="W1752" s="250" t="str">
        <f>IFERROR(__xludf.DUMMYFUNCTION("""COMPUTED_VALUE"""),"#N/A")</f>
        <v>#N/A</v>
      </c>
      <c r="X1752" t="b">
        <f t="shared" ref="X1752:Z1752" si="3480">ISBLANK(K1752)</f>
        <v>1</v>
      </c>
      <c r="Y1752" t="b">
        <f t="shared" si="3480"/>
        <v>0</v>
      </c>
      <c r="Z1752" t="b">
        <f t="shared" si="3480"/>
        <v>0</v>
      </c>
      <c r="AA1752">
        <f t="shared" ref="AA1752:AC1752" si="3481">IF(X1752=FALSE,1,0)</f>
        <v>0</v>
      </c>
      <c r="AB1752">
        <f t="shared" si="3481"/>
        <v>1</v>
      </c>
      <c r="AC1752">
        <f t="shared" si="3481"/>
        <v>1</v>
      </c>
      <c r="AD1752">
        <f t="shared" si="6"/>
        <v>2</v>
      </c>
      <c r="AE1752">
        <f t="shared" si="7"/>
        <v>1</v>
      </c>
    </row>
    <row r="1753">
      <c r="B1753" t="str">
        <f>IFERROR(__xludf.DUMMYFUNCTION("""COMPUTED_VALUE"""),"")</f>
        <v/>
      </c>
      <c r="C1753" t="str">
        <f>IFERROR(__xludf.DUMMYFUNCTION("""COMPUTED_VALUE"""),"")</f>
        <v/>
      </c>
      <c r="D1753" t="str">
        <f>IFERROR(__xludf.DUMMYFUNCTION("""COMPUTED_VALUE"""),"")</f>
        <v/>
      </c>
      <c r="E1753" t="str">
        <f>IFERROR(__xludf.DUMMYFUNCTION("""COMPUTED_VALUE"""),"")</f>
        <v/>
      </c>
      <c r="F1753" t="str">
        <f>IFERROR(__xludf.DUMMYFUNCTION("""COMPUTED_VALUE"""),"")</f>
        <v/>
      </c>
      <c r="G1753" t="str">
        <f>IFERROR(__xludf.DUMMYFUNCTION("""COMPUTED_VALUE"""),"")</f>
        <v/>
      </c>
      <c r="H1753" t="str">
        <f>IFERROR(__xludf.DUMMYFUNCTION("""COMPUTED_VALUE"""),"")</f>
        <v/>
      </c>
      <c r="I1753" t="str">
        <f>IFERROR(__xludf.DUMMYFUNCTION("""COMPUTED_VALUE"""),"")</f>
        <v/>
      </c>
      <c r="J1753">
        <f>IFERROR(__xludf.DUMMYFUNCTION("""COMPUTED_VALUE"""),0.0)</f>
        <v>0</v>
      </c>
      <c r="L1753" s="250" t="str">
        <f>IFERROR(__xludf.DUMMYFUNCTION("""COMPUTED_VALUE"""),"")</f>
        <v/>
      </c>
      <c r="M1753" s="250" t="str">
        <f>IFERROR(__xludf.DUMMYFUNCTION("""COMPUTED_VALUE"""),"")</f>
        <v/>
      </c>
      <c r="N1753" s="250" t="str">
        <f>IFERROR(__xludf.DUMMYFUNCTION("""COMPUTED_VALUE"""),"")</f>
        <v/>
      </c>
      <c r="O1753" s="250" t="str">
        <f>IFERROR(__xludf.DUMMYFUNCTION("""COMPUTED_VALUE"""),"")</f>
        <v/>
      </c>
      <c r="P1753" s="250" t="str">
        <f>IFERROR(__xludf.DUMMYFUNCTION("""COMPUTED_VALUE"""),"")</f>
        <v/>
      </c>
      <c r="Q1753" s="250" t="str">
        <f>IFERROR(__xludf.DUMMYFUNCTION("""COMPUTED_VALUE"""),"")</f>
        <v/>
      </c>
      <c r="R1753" s="250" t="str">
        <f>IFERROR(__xludf.DUMMYFUNCTION("""COMPUTED_VALUE"""),"")</f>
        <v/>
      </c>
      <c r="U1753" s="250" t="str">
        <f>IFERROR(__xludf.DUMMYFUNCTION("""COMPUTED_VALUE"""),"#N/A")</f>
        <v>#N/A</v>
      </c>
      <c r="V1753" s="250" t="str">
        <f>IFERROR(__xludf.DUMMYFUNCTION("""COMPUTED_VALUE"""),"#N/A")</f>
        <v>#N/A</v>
      </c>
      <c r="W1753" s="250" t="str">
        <f>IFERROR(__xludf.DUMMYFUNCTION("""COMPUTED_VALUE"""),"#N/A")</f>
        <v>#N/A</v>
      </c>
      <c r="X1753" t="b">
        <f t="shared" ref="X1753:Z1753" si="3482">ISBLANK(K1753)</f>
        <v>1</v>
      </c>
      <c r="Y1753" t="b">
        <f t="shared" si="3482"/>
        <v>0</v>
      </c>
      <c r="Z1753" t="b">
        <f t="shared" si="3482"/>
        <v>0</v>
      </c>
      <c r="AA1753">
        <f t="shared" ref="AA1753:AC1753" si="3483">IF(X1753=FALSE,1,0)</f>
        <v>0</v>
      </c>
      <c r="AB1753">
        <f t="shared" si="3483"/>
        <v>1</v>
      </c>
      <c r="AC1753">
        <f t="shared" si="3483"/>
        <v>1</v>
      </c>
      <c r="AD1753">
        <f t="shared" si="6"/>
        <v>2</v>
      </c>
      <c r="AE1753">
        <f t="shared" si="7"/>
        <v>1</v>
      </c>
    </row>
    <row r="1754">
      <c r="B1754" t="str">
        <f>IFERROR(__xludf.DUMMYFUNCTION("""COMPUTED_VALUE"""),"")</f>
        <v/>
      </c>
      <c r="C1754" t="str">
        <f>IFERROR(__xludf.DUMMYFUNCTION("""COMPUTED_VALUE"""),"")</f>
        <v/>
      </c>
      <c r="D1754" t="str">
        <f>IFERROR(__xludf.DUMMYFUNCTION("""COMPUTED_VALUE"""),"")</f>
        <v/>
      </c>
      <c r="E1754" t="str">
        <f>IFERROR(__xludf.DUMMYFUNCTION("""COMPUTED_VALUE"""),"")</f>
        <v/>
      </c>
      <c r="F1754" t="str">
        <f>IFERROR(__xludf.DUMMYFUNCTION("""COMPUTED_VALUE"""),"")</f>
        <v/>
      </c>
      <c r="G1754" t="str">
        <f>IFERROR(__xludf.DUMMYFUNCTION("""COMPUTED_VALUE"""),"")</f>
        <v/>
      </c>
      <c r="H1754" t="str">
        <f>IFERROR(__xludf.DUMMYFUNCTION("""COMPUTED_VALUE"""),"")</f>
        <v/>
      </c>
      <c r="I1754" t="str">
        <f>IFERROR(__xludf.DUMMYFUNCTION("""COMPUTED_VALUE"""),"")</f>
        <v/>
      </c>
      <c r="J1754">
        <f>IFERROR(__xludf.DUMMYFUNCTION("""COMPUTED_VALUE"""),0.0)</f>
        <v>0</v>
      </c>
      <c r="L1754" s="250" t="str">
        <f>IFERROR(__xludf.DUMMYFUNCTION("""COMPUTED_VALUE"""),"")</f>
        <v/>
      </c>
      <c r="M1754" s="250" t="str">
        <f>IFERROR(__xludf.DUMMYFUNCTION("""COMPUTED_VALUE"""),"")</f>
        <v/>
      </c>
      <c r="N1754" s="250" t="str">
        <f>IFERROR(__xludf.DUMMYFUNCTION("""COMPUTED_VALUE"""),"")</f>
        <v/>
      </c>
      <c r="O1754" s="250" t="str">
        <f>IFERROR(__xludf.DUMMYFUNCTION("""COMPUTED_VALUE"""),"")</f>
        <v/>
      </c>
      <c r="P1754" s="250" t="str">
        <f>IFERROR(__xludf.DUMMYFUNCTION("""COMPUTED_VALUE"""),"")</f>
        <v/>
      </c>
      <c r="Q1754" s="250" t="str">
        <f>IFERROR(__xludf.DUMMYFUNCTION("""COMPUTED_VALUE"""),"")</f>
        <v/>
      </c>
      <c r="R1754" s="250" t="str">
        <f>IFERROR(__xludf.DUMMYFUNCTION("""COMPUTED_VALUE"""),"")</f>
        <v/>
      </c>
      <c r="U1754" s="250" t="str">
        <f>IFERROR(__xludf.DUMMYFUNCTION("""COMPUTED_VALUE"""),"#N/A")</f>
        <v>#N/A</v>
      </c>
      <c r="V1754" s="250" t="str">
        <f>IFERROR(__xludf.DUMMYFUNCTION("""COMPUTED_VALUE"""),"#N/A")</f>
        <v>#N/A</v>
      </c>
      <c r="W1754" s="250" t="str">
        <f>IFERROR(__xludf.DUMMYFUNCTION("""COMPUTED_VALUE"""),"#N/A")</f>
        <v>#N/A</v>
      </c>
      <c r="X1754" t="b">
        <f t="shared" ref="X1754:Z1754" si="3484">ISBLANK(K1754)</f>
        <v>1</v>
      </c>
      <c r="Y1754" t="b">
        <f t="shared" si="3484"/>
        <v>0</v>
      </c>
      <c r="Z1754" t="b">
        <f t="shared" si="3484"/>
        <v>0</v>
      </c>
      <c r="AA1754">
        <f t="shared" ref="AA1754:AC1754" si="3485">IF(X1754=FALSE,1,0)</f>
        <v>0</v>
      </c>
      <c r="AB1754">
        <f t="shared" si="3485"/>
        <v>1</v>
      </c>
      <c r="AC1754">
        <f t="shared" si="3485"/>
        <v>1</v>
      </c>
      <c r="AD1754">
        <f t="shared" si="6"/>
        <v>2</v>
      </c>
      <c r="AE1754">
        <f t="shared" si="7"/>
        <v>1</v>
      </c>
    </row>
    <row r="1755">
      <c r="B1755" t="str">
        <f>IFERROR(__xludf.DUMMYFUNCTION("""COMPUTED_VALUE"""),"")</f>
        <v/>
      </c>
      <c r="C1755" t="str">
        <f>IFERROR(__xludf.DUMMYFUNCTION("""COMPUTED_VALUE"""),"")</f>
        <v/>
      </c>
      <c r="D1755" t="str">
        <f>IFERROR(__xludf.DUMMYFUNCTION("""COMPUTED_VALUE"""),"")</f>
        <v/>
      </c>
      <c r="E1755" t="str">
        <f>IFERROR(__xludf.DUMMYFUNCTION("""COMPUTED_VALUE"""),"")</f>
        <v/>
      </c>
      <c r="F1755" t="str">
        <f>IFERROR(__xludf.DUMMYFUNCTION("""COMPUTED_VALUE"""),"")</f>
        <v/>
      </c>
      <c r="G1755" t="str">
        <f>IFERROR(__xludf.DUMMYFUNCTION("""COMPUTED_VALUE"""),"")</f>
        <v/>
      </c>
      <c r="H1755" t="str">
        <f>IFERROR(__xludf.DUMMYFUNCTION("""COMPUTED_VALUE"""),"")</f>
        <v/>
      </c>
      <c r="I1755" t="str">
        <f>IFERROR(__xludf.DUMMYFUNCTION("""COMPUTED_VALUE"""),"")</f>
        <v/>
      </c>
      <c r="J1755">
        <f>IFERROR(__xludf.DUMMYFUNCTION("""COMPUTED_VALUE"""),0.0)</f>
        <v>0</v>
      </c>
      <c r="L1755" s="250" t="str">
        <f>IFERROR(__xludf.DUMMYFUNCTION("""COMPUTED_VALUE"""),"")</f>
        <v/>
      </c>
      <c r="M1755" s="250" t="str">
        <f>IFERROR(__xludf.DUMMYFUNCTION("""COMPUTED_VALUE"""),"")</f>
        <v/>
      </c>
      <c r="N1755" s="250" t="str">
        <f>IFERROR(__xludf.DUMMYFUNCTION("""COMPUTED_VALUE"""),"")</f>
        <v/>
      </c>
      <c r="O1755" s="250" t="str">
        <f>IFERROR(__xludf.DUMMYFUNCTION("""COMPUTED_VALUE"""),"")</f>
        <v/>
      </c>
      <c r="P1755" s="250" t="str">
        <f>IFERROR(__xludf.DUMMYFUNCTION("""COMPUTED_VALUE"""),"")</f>
        <v/>
      </c>
      <c r="Q1755" s="250" t="str">
        <f>IFERROR(__xludf.DUMMYFUNCTION("""COMPUTED_VALUE"""),"")</f>
        <v/>
      </c>
      <c r="R1755" s="250" t="str">
        <f>IFERROR(__xludf.DUMMYFUNCTION("""COMPUTED_VALUE"""),"")</f>
        <v/>
      </c>
      <c r="U1755" s="250" t="str">
        <f>IFERROR(__xludf.DUMMYFUNCTION("""COMPUTED_VALUE"""),"#N/A")</f>
        <v>#N/A</v>
      </c>
      <c r="V1755" s="250" t="str">
        <f>IFERROR(__xludf.DUMMYFUNCTION("""COMPUTED_VALUE"""),"#N/A")</f>
        <v>#N/A</v>
      </c>
      <c r="W1755" s="250" t="str">
        <f>IFERROR(__xludf.DUMMYFUNCTION("""COMPUTED_VALUE"""),"#N/A")</f>
        <v>#N/A</v>
      </c>
      <c r="X1755" t="b">
        <f t="shared" ref="X1755:Z1755" si="3486">ISBLANK(K1755)</f>
        <v>1</v>
      </c>
      <c r="Y1755" t="b">
        <f t="shared" si="3486"/>
        <v>0</v>
      </c>
      <c r="Z1755" t="b">
        <f t="shared" si="3486"/>
        <v>0</v>
      </c>
      <c r="AA1755">
        <f t="shared" ref="AA1755:AC1755" si="3487">IF(X1755=FALSE,1,0)</f>
        <v>0</v>
      </c>
      <c r="AB1755">
        <f t="shared" si="3487"/>
        <v>1</v>
      </c>
      <c r="AC1755">
        <f t="shared" si="3487"/>
        <v>1</v>
      </c>
      <c r="AD1755">
        <f t="shared" si="6"/>
        <v>2</v>
      </c>
      <c r="AE1755">
        <f t="shared" si="7"/>
        <v>1</v>
      </c>
    </row>
    <row r="1756">
      <c r="B1756" t="str">
        <f>IFERROR(__xludf.DUMMYFUNCTION("""COMPUTED_VALUE"""),"")</f>
        <v/>
      </c>
      <c r="C1756" t="str">
        <f>IFERROR(__xludf.DUMMYFUNCTION("""COMPUTED_VALUE"""),"")</f>
        <v/>
      </c>
      <c r="D1756" t="str">
        <f>IFERROR(__xludf.DUMMYFUNCTION("""COMPUTED_VALUE"""),"")</f>
        <v/>
      </c>
      <c r="E1756" t="str">
        <f>IFERROR(__xludf.DUMMYFUNCTION("""COMPUTED_VALUE"""),"")</f>
        <v/>
      </c>
      <c r="F1756" t="str">
        <f>IFERROR(__xludf.DUMMYFUNCTION("""COMPUTED_VALUE"""),"")</f>
        <v/>
      </c>
      <c r="G1756" t="str">
        <f>IFERROR(__xludf.DUMMYFUNCTION("""COMPUTED_VALUE"""),"")</f>
        <v/>
      </c>
      <c r="H1756" t="str">
        <f>IFERROR(__xludf.DUMMYFUNCTION("""COMPUTED_VALUE"""),"")</f>
        <v/>
      </c>
      <c r="I1756" t="str">
        <f>IFERROR(__xludf.DUMMYFUNCTION("""COMPUTED_VALUE"""),"")</f>
        <v/>
      </c>
      <c r="J1756">
        <f>IFERROR(__xludf.DUMMYFUNCTION("""COMPUTED_VALUE"""),0.0)</f>
        <v>0</v>
      </c>
      <c r="L1756" s="250" t="str">
        <f>IFERROR(__xludf.DUMMYFUNCTION("""COMPUTED_VALUE"""),"")</f>
        <v/>
      </c>
      <c r="M1756" s="250" t="str">
        <f>IFERROR(__xludf.DUMMYFUNCTION("""COMPUTED_VALUE"""),"")</f>
        <v/>
      </c>
      <c r="N1756" s="250" t="str">
        <f>IFERROR(__xludf.DUMMYFUNCTION("""COMPUTED_VALUE"""),"")</f>
        <v/>
      </c>
      <c r="O1756" s="250" t="str">
        <f>IFERROR(__xludf.DUMMYFUNCTION("""COMPUTED_VALUE"""),"")</f>
        <v/>
      </c>
      <c r="P1756" s="250" t="str">
        <f>IFERROR(__xludf.DUMMYFUNCTION("""COMPUTED_VALUE"""),"")</f>
        <v/>
      </c>
      <c r="Q1756" s="250" t="str">
        <f>IFERROR(__xludf.DUMMYFUNCTION("""COMPUTED_VALUE"""),"")</f>
        <v/>
      </c>
      <c r="R1756" s="250" t="str">
        <f>IFERROR(__xludf.DUMMYFUNCTION("""COMPUTED_VALUE"""),"")</f>
        <v/>
      </c>
      <c r="U1756" s="250" t="str">
        <f>IFERROR(__xludf.DUMMYFUNCTION("""COMPUTED_VALUE"""),"#N/A")</f>
        <v>#N/A</v>
      </c>
      <c r="V1756" s="250" t="str">
        <f>IFERROR(__xludf.DUMMYFUNCTION("""COMPUTED_VALUE"""),"#N/A")</f>
        <v>#N/A</v>
      </c>
      <c r="W1756" s="250" t="str">
        <f>IFERROR(__xludf.DUMMYFUNCTION("""COMPUTED_VALUE"""),"#N/A")</f>
        <v>#N/A</v>
      </c>
      <c r="X1756" t="b">
        <f t="shared" ref="X1756:Z1756" si="3488">ISBLANK(K1756)</f>
        <v>1</v>
      </c>
      <c r="Y1756" t="b">
        <f t="shared" si="3488"/>
        <v>0</v>
      </c>
      <c r="Z1756" t="b">
        <f t="shared" si="3488"/>
        <v>0</v>
      </c>
      <c r="AA1756">
        <f t="shared" ref="AA1756:AC1756" si="3489">IF(X1756=FALSE,1,0)</f>
        <v>0</v>
      </c>
      <c r="AB1756">
        <f t="shared" si="3489"/>
        <v>1</v>
      </c>
      <c r="AC1756">
        <f t="shared" si="3489"/>
        <v>1</v>
      </c>
      <c r="AD1756">
        <f t="shared" si="6"/>
        <v>2</v>
      </c>
      <c r="AE1756">
        <f t="shared" si="7"/>
        <v>1</v>
      </c>
    </row>
    <row r="1757">
      <c r="B1757" t="str">
        <f>IFERROR(__xludf.DUMMYFUNCTION("""COMPUTED_VALUE"""),"")</f>
        <v/>
      </c>
      <c r="C1757" t="str">
        <f>IFERROR(__xludf.DUMMYFUNCTION("""COMPUTED_VALUE"""),"")</f>
        <v/>
      </c>
      <c r="D1757" t="str">
        <f>IFERROR(__xludf.DUMMYFUNCTION("""COMPUTED_VALUE"""),"")</f>
        <v/>
      </c>
      <c r="E1757" t="str">
        <f>IFERROR(__xludf.DUMMYFUNCTION("""COMPUTED_VALUE"""),"")</f>
        <v/>
      </c>
      <c r="F1757" t="str">
        <f>IFERROR(__xludf.DUMMYFUNCTION("""COMPUTED_VALUE"""),"")</f>
        <v/>
      </c>
      <c r="G1757" t="str">
        <f>IFERROR(__xludf.DUMMYFUNCTION("""COMPUTED_VALUE"""),"")</f>
        <v/>
      </c>
      <c r="H1757" t="str">
        <f>IFERROR(__xludf.DUMMYFUNCTION("""COMPUTED_VALUE"""),"")</f>
        <v/>
      </c>
      <c r="I1757" t="str">
        <f>IFERROR(__xludf.DUMMYFUNCTION("""COMPUTED_VALUE"""),"")</f>
        <v/>
      </c>
      <c r="J1757">
        <f>IFERROR(__xludf.DUMMYFUNCTION("""COMPUTED_VALUE"""),0.0)</f>
        <v>0</v>
      </c>
      <c r="L1757" s="250" t="str">
        <f>IFERROR(__xludf.DUMMYFUNCTION("""COMPUTED_VALUE"""),"")</f>
        <v/>
      </c>
      <c r="M1757" s="250" t="str">
        <f>IFERROR(__xludf.DUMMYFUNCTION("""COMPUTED_VALUE"""),"")</f>
        <v/>
      </c>
      <c r="N1757" s="250" t="str">
        <f>IFERROR(__xludf.DUMMYFUNCTION("""COMPUTED_VALUE"""),"")</f>
        <v/>
      </c>
      <c r="O1757" s="250" t="str">
        <f>IFERROR(__xludf.DUMMYFUNCTION("""COMPUTED_VALUE"""),"")</f>
        <v/>
      </c>
      <c r="P1757" s="250" t="str">
        <f>IFERROR(__xludf.DUMMYFUNCTION("""COMPUTED_VALUE"""),"")</f>
        <v/>
      </c>
      <c r="Q1757" s="250" t="str">
        <f>IFERROR(__xludf.DUMMYFUNCTION("""COMPUTED_VALUE"""),"")</f>
        <v/>
      </c>
      <c r="R1757" s="250" t="str">
        <f>IFERROR(__xludf.DUMMYFUNCTION("""COMPUTED_VALUE"""),"")</f>
        <v/>
      </c>
      <c r="U1757" s="250" t="str">
        <f>IFERROR(__xludf.DUMMYFUNCTION("""COMPUTED_VALUE"""),"#N/A")</f>
        <v>#N/A</v>
      </c>
      <c r="V1757" s="250" t="str">
        <f>IFERROR(__xludf.DUMMYFUNCTION("""COMPUTED_VALUE"""),"#N/A")</f>
        <v>#N/A</v>
      </c>
      <c r="W1757" s="250" t="str">
        <f>IFERROR(__xludf.DUMMYFUNCTION("""COMPUTED_VALUE"""),"#N/A")</f>
        <v>#N/A</v>
      </c>
      <c r="X1757" t="b">
        <f t="shared" ref="X1757:Z1757" si="3490">ISBLANK(K1757)</f>
        <v>1</v>
      </c>
      <c r="Y1757" t="b">
        <f t="shared" si="3490"/>
        <v>0</v>
      </c>
      <c r="Z1757" t="b">
        <f t="shared" si="3490"/>
        <v>0</v>
      </c>
      <c r="AA1757">
        <f t="shared" ref="AA1757:AC1757" si="3491">IF(X1757=FALSE,1,0)</f>
        <v>0</v>
      </c>
      <c r="AB1757">
        <f t="shared" si="3491"/>
        <v>1</v>
      </c>
      <c r="AC1757">
        <f t="shared" si="3491"/>
        <v>1</v>
      </c>
      <c r="AD1757">
        <f t="shared" si="6"/>
        <v>2</v>
      </c>
      <c r="AE1757">
        <f t="shared" si="7"/>
        <v>1</v>
      </c>
    </row>
    <row r="1758">
      <c r="B1758" t="str">
        <f>IFERROR(__xludf.DUMMYFUNCTION("""COMPUTED_VALUE"""),"")</f>
        <v/>
      </c>
      <c r="C1758" t="str">
        <f>IFERROR(__xludf.DUMMYFUNCTION("""COMPUTED_VALUE"""),"")</f>
        <v/>
      </c>
      <c r="D1758" t="str">
        <f>IFERROR(__xludf.DUMMYFUNCTION("""COMPUTED_VALUE"""),"")</f>
        <v/>
      </c>
      <c r="E1758" t="str">
        <f>IFERROR(__xludf.DUMMYFUNCTION("""COMPUTED_VALUE"""),"")</f>
        <v/>
      </c>
      <c r="F1758" t="str">
        <f>IFERROR(__xludf.DUMMYFUNCTION("""COMPUTED_VALUE"""),"")</f>
        <v/>
      </c>
      <c r="G1758" t="str">
        <f>IFERROR(__xludf.DUMMYFUNCTION("""COMPUTED_VALUE"""),"")</f>
        <v/>
      </c>
      <c r="H1758" t="str">
        <f>IFERROR(__xludf.DUMMYFUNCTION("""COMPUTED_VALUE"""),"")</f>
        <v/>
      </c>
      <c r="I1758" t="str">
        <f>IFERROR(__xludf.DUMMYFUNCTION("""COMPUTED_VALUE"""),"")</f>
        <v/>
      </c>
      <c r="J1758">
        <f>IFERROR(__xludf.DUMMYFUNCTION("""COMPUTED_VALUE"""),0.0)</f>
        <v>0</v>
      </c>
      <c r="L1758" s="250" t="str">
        <f>IFERROR(__xludf.DUMMYFUNCTION("""COMPUTED_VALUE"""),"")</f>
        <v/>
      </c>
      <c r="M1758" s="250" t="str">
        <f>IFERROR(__xludf.DUMMYFUNCTION("""COMPUTED_VALUE"""),"")</f>
        <v/>
      </c>
      <c r="N1758" s="250" t="str">
        <f>IFERROR(__xludf.DUMMYFUNCTION("""COMPUTED_VALUE"""),"")</f>
        <v/>
      </c>
      <c r="O1758" s="250" t="str">
        <f>IFERROR(__xludf.DUMMYFUNCTION("""COMPUTED_VALUE"""),"")</f>
        <v/>
      </c>
      <c r="P1758" s="250" t="str">
        <f>IFERROR(__xludf.DUMMYFUNCTION("""COMPUTED_VALUE"""),"")</f>
        <v/>
      </c>
      <c r="Q1758" s="250" t="str">
        <f>IFERROR(__xludf.DUMMYFUNCTION("""COMPUTED_VALUE"""),"")</f>
        <v/>
      </c>
      <c r="R1758" s="250" t="str">
        <f>IFERROR(__xludf.DUMMYFUNCTION("""COMPUTED_VALUE"""),"")</f>
        <v/>
      </c>
      <c r="U1758" s="250" t="str">
        <f>IFERROR(__xludf.DUMMYFUNCTION("""COMPUTED_VALUE"""),"#N/A")</f>
        <v>#N/A</v>
      </c>
      <c r="V1758" s="250" t="str">
        <f>IFERROR(__xludf.DUMMYFUNCTION("""COMPUTED_VALUE"""),"#N/A")</f>
        <v>#N/A</v>
      </c>
      <c r="W1758" s="250" t="str">
        <f>IFERROR(__xludf.DUMMYFUNCTION("""COMPUTED_VALUE"""),"#N/A")</f>
        <v>#N/A</v>
      </c>
      <c r="X1758" t="b">
        <f t="shared" ref="X1758:Z1758" si="3492">ISBLANK(K1758)</f>
        <v>1</v>
      </c>
      <c r="Y1758" t="b">
        <f t="shared" si="3492"/>
        <v>0</v>
      </c>
      <c r="Z1758" t="b">
        <f t="shared" si="3492"/>
        <v>0</v>
      </c>
      <c r="AA1758">
        <f t="shared" ref="AA1758:AC1758" si="3493">IF(X1758=FALSE,1,0)</f>
        <v>0</v>
      </c>
      <c r="AB1758">
        <f t="shared" si="3493"/>
        <v>1</v>
      </c>
      <c r="AC1758">
        <f t="shared" si="3493"/>
        <v>1</v>
      </c>
      <c r="AD1758">
        <f t="shared" si="6"/>
        <v>2</v>
      </c>
      <c r="AE1758">
        <f t="shared" si="7"/>
        <v>1</v>
      </c>
    </row>
    <row r="1759">
      <c r="B1759" t="str">
        <f>IFERROR(__xludf.DUMMYFUNCTION("""COMPUTED_VALUE"""),"")</f>
        <v/>
      </c>
      <c r="C1759" t="str">
        <f>IFERROR(__xludf.DUMMYFUNCTION("""COMPUTED_VALUE"""),"")</f>
        <v/>
      </c>
      <c r="D1759" t="str">
        <f>IFERROR(__xludf.DUMMYFUNCTION("""COMPUTED_VALUE"""),"")</f>
        <v/>
      </c>
      <c r="E1759" t="str">
        <f>IFERROR(__xludf.DUMMYFUNCTION("""COMPUTED_VALUE"""),"")</f>
        <v/>
      </c>
      <c r="F1759" t="str">
        <f>IFERROR(__xludf.DUMMYFUNCTION("""COMPUTED_VALUE"""),"")</f>
        <v/>
      </c>
      <c r="G1759" t="str">
        <f>IFERROR(__xludf.DUMMYFUNCTION("""COMPUTED_VALUE"""),"")</f>
        <v/>
      </c>
      <c r="H1759" t="str">
        <f>IFERROR(__xludf.DUMMYFUNCTION("""COMPUTED_VALUE"""),"")</f>
        <v/>
      </c>
      <c r="I1759" t="str">
        <f>IFERROR(__xludf.DUMMYFUNCTION("""COMPUTED_VALUE"""),"")</f>
        <v/>
      </c>
      <c r="J1759">
        <f>IFERROR(__xludf.DUMMYFUNCTION("""COMPUTED_VALUE"""),0.0)</f>
        <v>0</v>
      </c>
      <c r="L1759" s="250" t="str">
        <f>IFERROR(__xludf.DUMMYFUNCTION("""COMPUTED_VALUE"""),"")</f>
        <v/>
      </c>
      <c r="M1759" s="250" t="str">
        <f>IFERROR(__xludf.DUMMYFUNCTION("""COMPUTED_VALUE"""),"")</f>
        <v/>
      </c>
      <c r="N1759" s="250" t="str">
        <f>IFERROR(__xludf.DUMMYFUNCTION("""COMPUTED_VALUE"""),"")</f>
        <v/>
      </c>
      <c r="O1759" s="250" t="str">
        <f>IFERROR(__xludf.DUMMYFUNCTION("""COMPUTED_VALUE"""),"")</f>
        <v/>
      </c>
      <c r="P1759" s="250" t="str">
        <f>IFERROR(__xludf.DUMMYFUNCTION("""COMPUTED_VALUE"""),"")</f>
        <v/>
      </c>
      <c r="Q1759" s="250" t="str">
        <f>IFERROR(__xludf.DUMMYFUNCTION("""COMPUTED_VALUE"""),"")</f>
        <v/>
      </c>
      <c r="R1759" s="250" t="str">
        <f>IFERROR(__xludf.DUMMYFUNCTION("""COMPUTED_VALUE"""),"")</f>
        <v/>
      </c>
      <c r="U1759" s="250" t="str">
        <f>IFERROR(__xludf.DUMMYFUNCTION("""COMPUTED_VALUE"""),"#N/A")</f>
        <v>#N/A</v>
      </c>
      <c r="V1759" s="250" t="str">
        <f>IFERROR(__xludf.DUMMYFUNCTION("""COMPUTED_VALUE"""),"#N/A")</f>
        <v>#N/A</v>
      </c>
      <c r="W1759" s="250" t="str">
        <f>IFERROR(__xludf.DUMMYFUNCTION("""COMPUTED_VALUE"""),"#N/A")</f>
        <v>#N/A</v>
      </c>
      <c r="X1759" t="b">
        <f t="shared" ref="X1759:Z1759" si="3494">ISBLANK(K1759)</f>
        <v>1</v>
      </c>
      <c r="Y1759" t="b">
        <f t="shared" si="3494"/>
        <v>0</v>
      </c>
      <c r="Z1759" t="b">
        <f t="shared" si="3494"/>
        <v>0</v>
      </c>
      <c r="AA1759">
        <f t="shared" ref="AA1759:AC1759" si="3495">IF(X1759=FALSE,1,0)</f>
        <v>0</v>
      </c>
      <c r="AB1759">
        <f t="shared" si="3495"/>
        <v>1</v>
      </c>
      <c r="AC1759">
        <f t="shared" si="3495"/>
        <v>1</v>
      </c>
      <c r="AD1759">
        <f t="shared" si="6"/>
        <v>2</v>
      </c>
      <c r="AE1759">
        <f t="shared" si="7"/>
        <v>1</v>
      </c>
    </row>
    <row r="1760">
      <c r="B1760" t="str">
        <f>IFERROR(__xludf.DUMMYFUNCTION("""COMPUTED_VALUE"""),"")</f>
        <v/>
      </c>
      <c r="C1760" t="str">
        <f>IFERROR(__xludf.DUMMYFUNCTION("""COMPUTED_VALUE"""),"")</f>
        <v/>
      </c>
      <c r="D1760" t="str">
        <f>IFERROR(__xludf.DUMMYFUNCTION("""COMPUTED_VALUE"""),"")</f>
        <v/>
      </c>
      <c r="E1760" t="str">
        <f>IFERROR(__xludf.DUMMYFUNCTION("""COMPUTED_VALUE"""),"")</f>
        <v/>
      </c>
      <c r="F1760" t="str">
        <f>IFERROR(__xludf.DUMMYFUNCTION("""COMPUTED_VALUE"""),"")</f>
        <v/>
      </c>
      <c r="G1760" t="str">
        <f>IFERROR(__xludf.DUMMYFUNCTION("""COMPUTED_VALUE"""),"")</f>
        <v/>
      </c>
      <c r="H1760" t="str">
        <f>IFERROR(__xludf.DUMMYFUNCTION("""COMPUTED_VALUE"""),"")</f>
        <v/>
      </c>
      <c r="I1760" t="str">
        <f>IFERROR(__xludf.DUMMYFUNCTION("""COMPUTED_VALUE"""),"")</f>
        <v/>
      </c>
      <c r="J1760">
        <f>IFERROR(__xludf.DUMMYFUNCTION("""COMPUTED_VALUE"""),0.0)</f>
        <v>0</v>
      </c>
      <c r="L1760" s="250" t="str">
        <f>IFERROR(__xludf.DUMMYFUNCTION("""COMPUTED_VALUE"""),"")</f>
        <v/>
      </c>
      <c r="M1760" s="250" t="str">
        <f>IFERROR(__xludf.DUMMYFUNCTION("""COMPUTED_VALUE"""),"")</f>
        <v/>
      </c>
      <c r="N1760" s="250" t="str">
        <f>IFERROR(__xludf.DUMMYFUNCTION("""COMPUTED_VALUE"""),"")</f>
        <v/>
      </c>
      <c r="O1760" s="250" t="str">
        <f>IFERROR(__xludf.DUMMYFUNCTION("""COMPUTED_VALUE"""),"")</f>
        <v/>
      </c>
      <c r="P1760" s="250" t="str">
        <f>IFERROR(__xludf.DUMMYFUNCTION("""COMPUTED_VALUE"""),"")</f>
        <v/>
      </c>
      <c r="Q1760" s="250" t="str">
        <f>IFERROR(__xludf.DUMMYFUNCTION("""COMPUTED_VALUE"""),"")</f>
        <v/>
      </c>
      <c r="R1760" s="250" t="str">
        <f>IFERROR(__xludf.DUMMYFUNCTION("""COMPUTED_VALUE"""),"")</f>
        <v/>
      </c>
      <c r="U1760" s="250" t="str">
        <f>IFERROR(__xludf.DUMMYFUNCTION("""COMPUTED_VALUE"""),"#N/A")</f>
        <v>#N/A</v>
      </c>
      <c r="V1760" s="250" t="str">
        <f>IFERROR(__xludf.DUMMYFUNCTION("""COMPUTED_VALUE"""),"#N/A")</f>
        <v>#N/A</v>
      </c>
      <c r="W1760" s="250" t="str">
        <f>IFERROR(__xludf.DUMMYFUNCTION("""COMPUTED_VALUE"""),"#N/A")</f>
        <v>#N/A</v>
      </c>
      <c r="X1760" t="b">
        <f t="shared" ref="X1760:Z1760" si="3496">ISBLANK(K1760)</f>
        <v>1</v>
      </c>
      <c r="Y1760" t="b">
        <f t="shared" si="3496"/>
        <v>0</v>
      </c>
      <c r="Z1760" t="b">
        <f t="shared" si="3496"/>
        <v>0</v>
      </c>
      <c r="AA1760">
        <f t="shared" ref="AA1760:AC1760" si="3497">IF(X1760=FALSE,1,0)</f>
        <v>0</v>
      </c>
      <c r="AB1760">
        <f t="shared" si="3497"/>
        <v>1</v>
      </c>
      <c r="AC1760">
        <f t="shared" si="3497"/>
        <v>1</v>
      </c>
      <c r="AD1760">
        <f t="shared" si="6"/>
        <v>2</v>
      </c>
      <c r="AE1760">
        <f t="shared" si="7"/>
        <v>1</v>
      </c>
    </row>
    <row r="1761">
      <c r="B1761" t="str">
        <f>IFERROR(__xludf.DUMMYFUNCTION("""COMPUTED_VALUE"""),"")</f>
        <v/>
      </c>
      <c r="C1761" t="str">
        <f>IFERROR(__xludf.DUMMYFUNCTION("""COMPUTED_VALUE"""),"")</f>
        <v/>
      </c>
      <c r="D1761" t="str">
        <f>IFERROR(__xludf.DUMMYFUNCTION("""COMPUTED_VALUE"""),"")</f>
        <v/>
      </c>
      <c r="E1761" t="str">
        <f>IFERROR(__xludf.DUMMYFUNCTION("""COMPUTED_VALUE"""),"")</f>
        <v/>
      </c>
      <c r="F1761" t="str">
        <f>IFERROR(__xludf.DUMMYFUNCTION("""COMPUTED_VALUE"""),"")</f>
        <v/>
      </c>
      <c r="G1761" t="str">
        <f>IFERROR(__xludf.DUMMYFUNCTION("""COMPUTED_VALUE"""),"")</f>
        <v/>
      </c>
      <c r="H1761" t="str">
        <f>IFERROR(__xludf.DUMMYFUNCTION("""COMPUTED_VALUE"""),"")</f>
        <v/>
      </c>
      <c r="I1761" t="str">
        <f>IFERROR(__xludf.DUMMYFUNCTION("""COMPUTED_VALUE"""),"")</f>
        <v/>
      </c>
      <c r="J1761">
        <f>IFERROR(__xludf.DUMMYFUNCTION("""COMPUTED_VALUE"""),0.0)</f>
        <v>0</v>
      </c>
      <c r="L1761" s="250" t="str">
        <f>IFERROR(__xludf.DUMMYFUNCTION("""COMPUTED_VALUE"""),"")</f>
        <v/>
      </c>
      <c r="M1761" s="250" t="str">
        <f>IFERROR(__xludf.DUMMYFUNCTION("""COMPUTED_VALUE"""),"")</f>
        <v/>
      </c>
      <c r="N1761" s="250" t="str">
        <f>IFERROR(__xludf.DUMMYFUNCTION("""COMPUTED_VALUE"""),"")</f>
        <v/>
      </c>
      <c r="O1761" s="250" t="str">
        <f>IFERROR(__xludf.DUMMYFUNCTION("""COMPUTED_VALUE"""),"")</f>
        <v/>
      </c>
      <c r="P1761" s="250" t="str">
        <f>IFERROR(__xludf.DUMMYFUNCTION("""COMPUTED_VALUE"""),"")</f>
        <v/>
      </c>
      <c r="Q1761" s="250" t="str">
        <f>IFERROR(__xludf.DUMMYFUNCTION("""COMPUTED_VALUE"""),"")</f>
        <v/>
      </c>
      <c r="R1761" s="250" t="str">
        <f>IFERROR(__xludf.DUMMYFUNCTION("""COMPUTED_VALUE"""),"")</f>
        <v/>
      </c>
      <c r="U1761" s="250" t="str">
        <f>IFERROR(__xludf.DUMMYFUNCTION("""COMPUTED_VALUE"""),"#N/A")</f>
        <v>#N/A</v>
      </c>
      <c r="V1761" s="250" t="str">
        <f>IFERROR(__xludf.DUMMYFUNCTION("""COMPUTED_VALUE"""),"#N/A")</f>
        <v>#N/A</v>
      </c>
      <c r="W1761" s="250" t="str">
        <f>IFERROR(__xludf.DUMMYFUNCTION("""COMPUTED_VALUE"""),"#N/A")</f>
        <v>#N/A</v>
      </c>
      <c r="X1761" t="b">
        <f t="shared" ref="X1761:Z1761" si="3498">ISBLANK(K1761)</f>
        <v>1</v>
      </c>
      <c r="Y1761" t="b">
        <f t="shared" si="3498"/>
        <v>0</v>
      </c>
      <c r="Z1761" t="b">
        <f t="shared" si="3498"/>
        <v>0</v>
      </c>
      <c r="AA1761">
        <f t="shared" ref="AA1761:AC1761" si="3499">IF(X1761=FALSE,1,0)</f>
        <v>0</v>
      </c>
      <c r="AB1761">
        <f t="shared" si="3499"/>
        <v>1</v>
      </c>
      <c r="AC1761">
        <f t="shared" si="3499"/>
        <v>1</v>
      </c>
      <c r="AD1761">
        <f t="shared" si="6"/>
        <v>2</v>
      </c>
      <c r="AE1761">
        <f t="shared" si="7"/>
        <v>1</v>
      </c>
    </row>
    <row r="1762">
      <c r="B1762" t="str">
        <f>IFERROR(__xludf.DUMMYFUNCTION("""COMPUTED_VALUE"""),"")</f>
        <v/>
      </c>
      <c r="C1762" t="str">
        <f>IFERROR(__xludf.DUMMYFUNCTION("""COMPUTED_VALUE"""),"")</f>
        <v/>
      </c>
      <c r="D1762" t="str">
        <f>IFERROR(__xludf.DUMMYFUNCTION("""COMPUTED_VALUE"""),"")</f>
        <v/>
      </c>
      <c r="E1762" t="str">
        <f>IFERROR(__xludf.DUMMYFUNCTION("""COMPUTED_VALUE"""),"")</f>
        <v/>
      </c>
      <c r="F1762" t="str">
        <f>IFERROR(__xludf.DUMMYFUNCTION("""COMPUTED_VALUE"""),"")</f>
        <v/>
      </c>
      <c r="G1762" t="str">
        <f>IFERROR(__xludf.DUMMYFUNCTION("""COMPUTED_VALUE"""),"")</f>
        <v/>
      </c>
      <c r="H1762" t="str">
        <f>IFERROR(__xludf.DUMMYFUNCTION("""COMPUTED_VALUE"""),"")</f>
        <v/>
      </c>
      <c r="I1762" t="str">
        <f>IFERROR(__xludf.DUMMYFUNCTION("""COMPUTED_VALUE"""),"")</f>
        <v/>
      </c>
      <c r="J1762">
        <f>IFERROR(__xludf.DUMMYFUNCTION("""COMPUTED_VALUE"""),0.0)</f>
        <v>0</v>
      </c>
      <c r="L1762" s="250" t="str">
        <f>IFERROR(__xludf.DUMMYFUNCTION("""COMPUTED_VALUE"""),"")</f>
        <v/>
      </c>
      <c r="M1762" s="250" t="str">
        <f>IFERROR(__xludf.DUMMYFUNCTION("""COMPUTED_VALUE"""),"")</f>
        <v/>
      </c>
      <c r="N1762" s="250" t="str">
        <f>IFERROR(__xludf.DUMMYFUNCTION("""COMPUTED_VALUE"""),"")</f>
        <v/>
      </c>
      <c r="O1762" s="250" t="str">
        <f>IFERROR(__xludf.DUMMYFUNCTION("""COMPUTED_VALUE"""),"")</f>
        <v/>
      </c>
      <c r="P1762" s="250" t="str">
        <f>IFERROR(__xludf.DUMMYFUNCTION("""COMPUTED_VALUE"""),"")</f>
        <v/>
      </c>
      <c r="Q1762" s="250" t="str">
        <f>IFERROR(__xludf.DUMMYFUNCTION("""COMPUTED_VALUE"""),"")</f>
        <v/>
      </c>
      <c r="R1762" s="250" t="str">
        <f>IFERROR(__xludf.DUMMYFUNCTION("""COMPUTED_VALUE"""),"")</f>
        <v/>
      </c>
      <c r="U1762" s="250" t="str">
        <f>IFERROR(__xludf.DUMMYFUNCTION("""COMPUTED_VALUE"""),"#N/A")</f>
        <v>#N/A</v>
      </c>
      <c r="V1762" s="250" t="str">
        <f>IFERROR(__xludf.DUMMYFUNCTION("""COMPUTED_VALUE"""),"#N/A")</f>
        <v>#N/A</v>
      </c>
      <c r="W1762" s="250" t="str">
        <f>IFERROR(__xludf.DUMMYFUNCTION("""COMPUTED_VALUE"""),"#N/A")</f>
        <v>#N/A</v>
      </c>
      <c r="X1762" t="b">
        <f t="shared" ref="X1762:Z1762" si="3500">ISBLANK(K1762)</f>
        <v>1</v>
      </c>
      <c r="Y1762" t="b">
        <f t="shared" si="3500"/>
        <v>0</v>
      </c>
      <c r="Z1762" t="b">
        <f t="shared" si="3500"/>
        <v>0</v>
      </c>
      <c r="AA1762">
        <f t="shared" ref="AA1762:AC1762" si="3501">IF(X1762=FALSE,1,0)</f>
        <v>0</v>
      </c>
      <c r="AB1762">
        <f t="shared" si="3501"/>
        <v>1</v>
      </c>
      <c r="AC1762">
        <f t="shared" si="3501"/>
        <v>1</v>
      </c>
      <c r="AD1762">
        <f t="shared" si="6"/>
        <v>2</v>
      </c>
      <c r="AE1762">
        <f t="shared" si="7"/>
        <v>1</v>
      </c>
    </row>
    <row r="1763">
      <c r="B1763" t="str">
        <f>IFERROR(__xludf.DUMMYFUNCTION("""COMPUTED_VALUE"""),"")</f>
        <v/>
      </c>
      <c r="C1763" t="str">
        <f>IFERROR(__xludf.DUMMYFUNCTION("""COMPUTED_VALUE"""),"")</f>
        <v/>
      </c>
      <c r="D1763" t="str">
        <f>IFERROR(__xludf.DUMMYFUNCTION("""COMPUTED_VALUE"""),"")</f>
        <v/>
      </c>
      <c r="E1763" t="str">
        <f>IFERROR(__xludf.DUMMYFUNCTION("""COMPUTED_VALUE"""),"")</f>
        <v/>
      </c>
      <c r="F1763" t="str">
        <f>IFERROR(__xludf.DUMMYFUNCTION("""COMPUTED_VALUE"""),"")</f>
        <v/>
      </c>
      <c r="G1763" t="str">
        <f>IFERROR(__xludf.DUMMYFUNCTION("""COMPUTED_VALUE"""),"")</f>
        <v/>
      </c>
      <c r="H1763" t="str">
        <f>IFERROR(__xludf.DUMMYFUNCTION("""COMPUTED_VALUE"""),"")</f>
        <v/>
      </c>
      <c r="I1763" t="str">
        <f>IFERROR(__xludf.DUMMYFUNCTION("""COMPUTED_VALUE"""),"")</f>
        <v/>
      </c>
      <c r="J1763">
        <f>IFERROR(__xludf.DUMMYFUNCTION("""COMPUTED_VALUE"""),0.0)</f>
        <v>0</v>
      </c>
      <c r="L1763" s="250" t="str">
        <f>IFERROR(__xludf.DUMMYFUNCTION("""COMPUTED_VALUE"""),"")</f>
        <v/>
      </c>
      <c r="M1763" s="250" t="str">
        <f>IFERROR(__xludf.DUMMYFUNCTION("""COMPUTED_VALUE"""),"")</f>
        <v/>
      </c>
      <c r="N1763" s="250" t="str">
        <f>IFERROR(__xludf.DUMMYFUNCTION("""COMPUTED_VALUE"""),"")</f>
        <v/>
      </c>
      <c r="O1763" s="250" t="str">
        <f>IFERROR(__xludf.DUMMYFUNCTION("""COMPUTED_VALUE"""),"")</f>
        <v/>
      </c>
      <c r="P1763" s="250" t="str">
        <f>IFERROR(__xludf.DUMMYFUNCTION("""COMPUTED_VALUE"""),"")</f>
        <v/>
      </c>
      <c r="Q1763" s="250" t="str">
        <f>IFERROR(__xludf.DUMMYFUNCTION("""COMPUTED_VALUE"""),"")</f>
        <v/>
      </c>
      <c r="R1763" s="250" t="str">
        <f>IFERROR(__xludf.DUMMYFUNCTION("""COMPUTED_VALUE"""),"")</f>
        <v/>
      </c>
      <c r="U1763" s="250" t="str">
        <f>IFERROR(__xludf.DUMMYFUNCTION("""COMPUTED_VALUE"""),"#N/A")</f>
        <v>#N/A</v>
      </c>
      <c r="V1763" s="250" t="str">
        <f>IFERROR(__xludf.DUMMYFUNCTION("""COMPUTED_VALUE"""),"#N/A")</f>
        <v>#N/A</v>
      </c>
      <c r="W1763" s="250" t="str">
        <f>IFERROR(__xludf.DUMMYFUNCTION("""COMPUTED_VALUE"""),"#N/A")</f>
        <v>#N/A</v>
      </c>
      <c r="X1763" t="b">
        <f t="shared" ref="X1763:Z1763" si="3502">ISBLANK(K1763)</f>
        <v>1</v>
      </c>
      <c r="Y1763" t="b">
        <f t="shared" si="3502"/>
        <v>0</v>
      </c>
      <c r="Z1763" t="b">
        <f t="shared" si="3502"/>
        <v>0</v>
      </c>
      <c r="AA1763">
        <f t="shared" ref="AA1763:AC1763" si="3503">IF(X1763=FALSE,1,0)</f>
        <v>0</v>
      </c>
      <c r="AB1763">
        <f t="shared" si="3503"/>
        <v>1</v>
      </c>
      <c r="AC1763">
        <f t="shared" si="3503"/>
        <v>1</v>
      </c>
      <c r="AD1763">
        <f t="shared" si="6"/>
        <v>2</v>
      </c>
      <c r="AE1763">
        <f t="shared" si="7"/>
        <v>1</v>
      </c>
    </row>
    <row r="1764">
      <c r="B1764" t="str">
        <f>IFERROR(__xludf.DUMMYFUNCTION("""COMPUTED_VALUE"""),"")</f>
        <v/>
      </c>
      <c r="C1764" t="str">
        <f>IFERROR(__xludf.DUMMYFUNCTION("""COMPUTED_VALUE"""),"")</f>
        <v/>
      </c>
      <c r="D1764" t="str">
        <f>IFERROR(__xludf.DUMMYFUNCTION("""COMPUTED_VALUE"""),"")</f>
        <v/>
      </c>
      <c r="E1764" t="str">
        <f>IFERROR(__xludf.DUMMYFUNCTION("""COMPUTED_VALUE"""),"")</f>
        <v/>
      </c>
      <c r="F1764" t="str">
        <f>IFERROR(__xludf.DUMMYFUNCTION("""COMPUTED_VALUE"""),"")</f>
        <v/>
      </c>
      <c r="G1764" t="str">
        <f>IFERROR(__xludf.DUMMYFUNCTION("""COMPUTED_VALUE"""),"")</f>
        <v/>
      </c>
      <c r="H1764" t="str">
        <f>IFERROR(__xludf.DUMMYFUNCTION("""COMPUTED_VALUE"""),"")</f>
        <v/>
      </c>
      <c r="I1764" t="str">
        <f>IFERROR(__xludf.DUMMYFUNCTION("""COMPUTED_VALUE"""),"")</f>
        <v/>
      </c>
      <c r="J1764">
        <f>IFERROR(__xludf.DUMMYFUNCTION("""COMPUTED_VALUE"""),0.0)</f>
        <v>0</v>
      </c>
      <c r="L1764" s="250" t="str">
        <f>IFERROR(__xludf.DUMMYFUNCTION("""COMPUTED_VALUE"""),"")</f>
        <v/>
      </c>
      <c r="M1764" s="250" t="str">
        <f>IFERROR(__xludf.DUMMYFUNCTION("""COMPUTED_VALUE"""),"")</f>
        <v/>
      </c>
      <c r="N1764" s="250" t="str">
        <f>IFERROR(__xludf.DUMMYFUNCTION("""COMPUTED_VALUE"""),"")</f>
        <v/>
      </c>
      <c r="O1764" s="250" t="str">
        <f>IFERROR(__xludf.DUMMYFUNCTION("""COMPUTED_VALUE"""),"")</f>
        <v/>
      </c>
      <c r="P1764" s="250" t="str">
        <f>IFERROR(__xludf.DUMMYFUNCTION("""COMPUTED_VALUE"""),"")</f>
        <v/>
      </c>
      <c r="Q1764" s="250" t="str">
        <f>IFERROR(__xludf.DUMMYFUNCTION("""COMPUTED_VALUE"""),"")</f>
        <v/>
      </c>
      <c r="R1764" s="250" t="str">
        <f>IFERROR(__xludf.DUMMYFUNCTION("""COMPUTED_VALUE"""),"")</f>
        <v/>
      </c>
      <c r="U1764" s="250" t="str">
        <f>IFERROR(__xludf.DUMMYFUNCTION("""COMPUTED_VALUE"""),"#N/A")</f>
        <v>#N/A</v>
      </c>
      <c r="V1764" s="250" t="str">
        <f>IFERROR(__xludf.DUMMYFUNCTION("""COMPUTED_VALUE"""),"#N/A")</f>
        <v>#N/A</v>
      </c>
      <c r="W1764" s="250" t="str">
        <f>IFERROR(__xludf.DUMMYFUNCTION("""COMPUTED_VALUE"""),"#N/A")</f>
        <v>#N/A</v>
      </c>
      <c r="X1764" t="b">
        <f t="shared" ref="X1764:Z1764" si="3504">ISBLANK(K1764)</f>
        <v>1</v>
      </c>
      <c r="Y1764" t="b">
        <f t="shared" si="3504"/>
        <v>0</v>
      </c>
      <c r="Z1764" t="b">
        <f t="shared" si="3504"/>
        <v>0</v>
      </c>
      <c r="AA1764">
        <f t="shared" ref="AA1764:AC1764" si="3505">IF(X1764=FALSE,1,0)</f>
        <v>0</v>
      </c>
      <c r="AB1764">
        <f t="shared" si="3505"/>
        <v>1</v>
      </c>
      <c r="AC1764">
        <f t="shared" si="3505"/>
        <v>1</v>
      </c>
      <c r="AD1764">
        <f t="shared" si="6"/>
        <v>2</v>
      </c>
      <c r="AE1764">
        <f t="shared" si="7"/>
        <v>1</v>
      </c>
    </row>
    <row r="1765">
      <c r="B1765" t="str">
        <f>IFERROR(__xludf.DUMMYFUNCTION("""COMPUTED_VALUE"""),"")</f>
        <v/>
      </c>
      <c r="C1765" t="str">
        <f>IFERROR(__xludf.DUMMYFUNCTION("""COMPUTED_VALUE"""),"")</f>
        <v/>
      </c>
      <c r="D1765" t="str">
        <f>IFERROR(__xludf.DUMMYFUNCTION("""COMPUTED_VALUE"""),"")</f>
        <v/>
      </c>
      <c r="E1765" t="str">
        <f>IFERROR(__xludf.DUMMYFUNCTION("""COMPUTED_VALUE"""),"")</f>
        <v/>
      </c>
      <c r="F1765" t="str">
        <f>IFERROR(__xludf.DUMMYFUNCTION("""COMPUTED_VALUE"""),"")</f>
        <v/>
      </c>
      <c r="G1765" t="str">
        <f>IFERROR(__xludf.DUMMYFUNCTION("""COMPUTED_VALUE"""),"")</f>
        <v/>
      </c>
      <c r="H1765" t="str">
        <f>IFERROR(__xludf.DUMMYFUNCTION("""COMPUTED_VALUE"""),"")</f>
        <v/>
      </c>
      <c r="I1765" t="str">
        <f>IFERROR(__xludf.DUMMYFUNCTION("""COMPUTED_VALUE"""),"")</f>
        <v/>
      </c>
      <c r="J1765">
        <f>IFERROR(__xludf.DUMMYFUNCTION("""COMPUTED_VALUE"""),0.0)</f>
        <v>0</v>
      </c>
      <c r="L1765" s="250" t="str">
        <f>IFERROR(__xludf.DUMMYFUNCTION("""COMPUTED_VALUE"""),"")</f>
        <v/>
      </c>
      <c r="M1765" s="250" t="str">
        <f>IFERROR(__xludf.DUMMYFUNCTION("""COMPUTED_VALUE"""),"")</f>
        <v/>
      </c>
      <c r="N1765" s="250" t="str">
        <f>IFERROR(__xludf.DUMMYFUNCTION("""COMPUTED_VALUE"""),"")</f>
        <v/>
      </c>
      <c r="O1765" s="250" t="str">
        <f>IFERROR(__xludf.DUMMYFUNCTION("""COMPUTED_VALUE"""),"")</f>
        <v/>
      </c>
      <c r="P1765" s="250" t="str">
        <f>IFERROR(__xludf.DUMMYFUNCTION("""COMPUTED_VALUE"""),"")</f>
        <v/>
      </c>
      <c r="Q1765" s="250" t="str">
        <f>IFERROR(__xludf.DUMMYFUNCTION("""COMPUTED_VALUE"""),"")</f>
        <v/>
      </c>
      <c r="R1765" s="250" t="str">
        <f>IFERROR(__xludf.DUMMYFUNCTION("""COMPUTED_VALUE"""),"")</f>
        <v/>
      </c>
      <c r="U1765" s="250" t="str">
        <f>IFERROR(__xludf.DUMMYFUNCTION("""COMPUTED_VALUE"""),"#N/A")</f>
        <v>#N/A</v>
      </c>
      <c r="V1765" s="250" t="str">
        <f>IFERROR(__xludf.DUMMYFUNCTION("""COMPUTED_VALUE"""),"#N/A")</f>
        <v>#N/A</v>
      </c>
      <c r="W1765" s="250" t="str">
        <f>IFERROR(__xludf.DUMMYFUNCTION("""COMPUTED_VALUE"""),"#N/A")</f>
        <v>#N/A</v>
      </c>
      <c r="X1765" t="b">
        <f t="shared" ref="X1765:Z1765" si="3506">ISBLANK(K1765)</f>
        <v>1</v>
      </c>
      <c r="Y1765" t="b">
        <f t="shared" si="3506"/>
        <v>0</v>
      </c>
      <c r="Z1765" t="b">
        <f t="shared" si="3506"/>
        <v>0</v>
      </c>
      <c r="AA1765">
        <f t="shared" ref="AA1765:AC1765" si="3507">IF(X1765=FALSE,1,0)</f>
        <v>0</v>
      </c>
      <c r="AB1765">
        <f t="shared" si="3507"/>
        <v>1</v>
      </c>
      <c r="AC1765">
        <f t="shared" si="3507"/>
        <v>1</v>
      </c>
      <c r="AD1765">
        <f t="shared" si="6"/>
        <v>2</v>
      </c>
      <c r="AE1765">
        <f t="shared" si="7"/>
        <v>1</v>
      </c>
    </row>
    <row r="1766">
      <c r="B1766" t="str">
        <f>IFERROR(__xludf.DUMMYFUNCTION("""COMPUTED_VALUE"""),"")</f>
        <v/>
      </c>
      <c r="C1766" t="str">
        <f>IFERROR(__xludf.DUMMYFUNCTION("""COMPUTED_VALUE"""),"")</f>
        <v/>
      </c>
      <c r="D1766" t="str">
        <f>IFERROR(__xludf.DUMMYFUNCTION("""COMPUTED_VALUE"""),"")</f>
        <v/>
      </c>
      <c r="E1766" t="str">
        <f>IFERROR(__xludf.DUMMYFUNCTION("""COMPUTED_VALUE"""),"")</f>
        <v/>
      </c>
      <c r="F1766" t="str">
        <f>IFERROR(__xludf.DUMMYFUNCTION("""COMPUTED_VALUE"""),"")</f>
        <v/>
      </c>
      <c r="G1766" t="str">
        <f>IFERROR(__xludf.DUMMYFUNCTION("""COMPUTED_VALUE"""),"")</f>
        <v/>
      </c>
      <c r="H1766" t="str">
        <f>IFERROR(__xludf.DUMMYFUNCTION("""COMPUTED_VALUE"""),"")</f>
        <v/>
      </c>
      <c r="I1766" t="str">
        <f>IFERROR(__xludf.DUMMYFUNCTION("""COMPUTED_VALUE"""),"")</f>
        <v/>
      </c>
      <c r="J1766">
        <f>IFERROR(__xludf.DUMMYFUNCTION("""COMPUTED_VALUE"""),0.0)</f>
        <v>0</v>
      </c>
      <c r="L1766" s="250" t="str">
        <f>IFERROR(__xludf.DUMMYFUNCTION("""COMPUTED_VALUE"""),"")</f>
        <v/>
      </c>
      <c r="M1766" s="250" t="str">
        <f>IFERROR(__xludf.DUMMYFUNCTION("""COMPUTED_VALUE"""),"")</f>
        <v/>
      </c>
      <c r="N1766" s="250" t="str">
        <f>IFERROR(__xludf.DUMMYFUNCTION("""COMPUTED_VALUE"""),"")</f>
        <v/>
      </c>
      <c r="O1766" s="250" t="str">
        <f>IFERROR(__xludf.DUMMYFUNCTION("""COMPUTED_VALUE"""),"")</f>
        <v/>
      </c>
      <c r="P1766" s="250" t="str">
        <f>IFERROR(__xludf.DUMMYFUNCTION("""COMPUTED_VALUE"""),"")</f>
        <v/>
      </c>
      <c r="Q1766" s="250" t="str">
        <f>IFERROR(__xludf.DUMMYFUNCTION("""COMPUTED_VALUE"""),"")</f>
        <v/>
      </c>
      <c r="R1766" s="250" t="str">
        <f>IFERROR(__xludf.DUMMYFUNCTION("""COMPUTED_VALUE"""),"")</f>
        <v/>
      </c>
      <c r="U1766" s="250" t="str">
        <f>IFERROR(__xludf.DUMMYFUNCTION("""COMPUTED_VALUE"""),"#N/A")</f>
        <v>#N/A</v>
      </c>
      <c r="V1766" s="250" t="str">
        <f>IFERROR(__xludf.DUMMYFUNCTION("""COMPUTED_VALUE"""),"#N/A")</f>
        <v>#N/A</v>
      </c>
      <c r="W1766" s="250" t="str">
        <f>IFERROR(__xludf.DUMMYFUNCTION("""COMPUTED_VALUE"""),"#N/A")</f>
        <v>#N/A</v>
      </c>
      <c r="X1766" t="b">
        <f t="shared" ref="X1766:Z1766" si="3508">ISBLANK(K1766)</f>
        <v>1</v>
      </c>
      <c r="Y1766" t="b">
        <f t="shared" si="3508"/>
        <v>0</v>
      </c>
      <c r="Z1766" t="b">
        <f t="shared" si="3508"/>
        <v>0</v>
      </c>
      <c r="AA1766">
        <f t="shared" ref="AA1766:AC1766" si="3509">IF(X1766=FALSE,1,0)</f>
        <v>0</v>
      </c>
      <c r="AB1766">
        <f t="shared" si="3509"/>
        <v>1</v>
      </c>
      <c r="AC1766">
        <f t="shared" si="3509"/>
        <v>1</v>
      </c>
      <c r="AD1766">
        <f t="shared" si="6"/>
        <v>2</v>
      </c>
      <c r="AE1766">
        <f t="shared" si="7"/>
        <v>1</v>
      </c>
    </row>
    <row r="1767">
      <c r="B1767" t="str">
        <f>IFERROR(__xludf.DUMMYFUNCTION("""COMPUTED_VALUE"""),"")</f>
        <v/>
      </c>
      <c r="C1767" t="str">
        <f>IFERROR(__xludf.DUMMYFUNCTION("""COMPUTED_VALUE"""),"")</f>
        <v/>
      </c>
      <c r="D1767" t="str">
        <f>IFERROR(__xludf.DUMMYFUNCTION("""COMPUTED_VALUE"""),"")</f>
        <v/>
      </c>
      <c r="E1767" t="str">
        <f>IFERROR(__xludf.DUMMYFUNCTION("""COMPUTED_VALUE"""),"")</f>
        <v/>
      </c>
      <c r="F1767" t="str">
        <f>IFERROR(__xludf.DUMMYFUNCTION("""COMPUTED_VALUE"""),"")</f>
        <v/>
      </c>
      <c r="G1767" t="str">
        <f>IFERROR(__xludf.DUMMYFUNCTION("""COMPUTED_VALUE"""),"")</f>
        <v/>
      </c>
      <c r="H1767" t="str">
        <f>IFERROR(__xludf.DUMMYFUNCTION("""COMPUTED_VALUE"""),"")</f>
        <v/>
      </c>
      <c r="I1767" t="str">
        <f>IFERROR(__xludf.DUMMYFUNCTION("""COMPUTED_VALUE"""),"")</f>
        <v/>
      </c>
      <c r="J1767">
        <f>IFERROR(__xludf.DUMMYFUNCTION("""COMPUTED_VALUE"""),0.0)</f>
        <v>0</v>
      </c>
      <c r="L1767" s="250" t="str">
        <f>IFERROR(__xludf.DUMMYFUNCTION("""COMPUTED_VALUE"""),"")</f>
        <v/>
      </c>
      <c r="M1767" s="250" t="str">
        <f>IFERROR(__xludf.DUMMYFUNCTION("""COMPUTED_VALUE"""),"")</f>
        <v/>
      </c>
      <c r="N1767" s="250" t="str">
        <f>IFERROR(__xludf.DUMMYFUNCTION("""COMPUTED_VALUE"""),"")</f>
        <v/>
      </c>
      <c r="O1767" s="250" t="str">
        <f>IFERROR(__xludf.DUMMYFUNCTION("""COMPUTED_VALUE"""),"")</f>
        <v/>
      </c>
      <c r="P1767" s="250" t="str">
        <f>IFERROR(__xludf.DUMMYFUNCTION("""COMPUTED_VALUE"""),"")</f>
        <v/>
      </c>
      <c r="Q1767" s="250" t="str">
        <f>IFERROR(__xludf.DUMMYFUNCTION("""COMPUTED_VALUE"""),"")</f>
        <v/>
      </c>
      <c r="R1767" s="250" t="str">
        <f>IFERROR(__xludf.DUMMYFUNCTION("""COMPUTED_VALUE"""),"")</f>
        <v/>
      </c>
      <c r="U1767" s="250" t="str">
        <f>IFERROR(__xludf.DUMMYFUNCTION("""COMPUTED_VALUE"""),"#N/A")</f>
        <v>#N/A</v>
      </c>
      <c r="V1767" s="250" t="str">
        <f>IFERROR(__xludf.DUMMYFUNCTION("""COMPUTED_VALUE"""),"#N/A")</f>
        <v>#N/A</v>
      </c>
      <c r="W1767" s="250" t="str">
        <f>IFERROR(__xludf.DUMMYFUNCTION("""COMPUTED_VALUE"""),"#N/A")</f>
        <v>#N/A</v>
      </c>
      <c r="X1767" t="b">
        <f t="shared" ref="X1767:Z1767" si="3510">ISBLANK(K1767)</f>
        <v>1</v>
      </c>
      <c r="Y1767" t="b">
        <f t="shared" si="3510"/>
        <v>0</v>
      </c>
      <c r="Z1767" t="b">
        <f t="shared" si="3510"/>
        <v>0</v>
      </c>
      <c r="AA1767">
        <f t="shared" ref="AA1767:AC1767" si="3511">IF(X1767=FALSE,1,0)</f>
        <v>0</v>
      </c>
      <c r="AB1767">
        <f t="shared" si="3511"/>
        <v>1</v>
      </c>
      <c r="AC1767">
        <f t="shared" si="3511"/>
        <v>1</v>
      </c>
      <c r="AD1767">
        <f t="shared" si="6"/>
        <v>2</v>
      </c>
      <c r="AE1767">
        <f t="shared" si="7"/>
        <v>1</v>
      </c>
    </row>
    <row r="1768">
      <c r="B1768" t="str">
        <f>IFERROR(__xludf.DUMMYFUNCTION("""COMPUTED_VALUE"""),"")</f>
        <v/>
      </c>
      <c r="C1768" t="str">
        <f>IFERROR(__xludf.DUMMYFUNCTION("""COMPUTED_VALUE"""),"")</f>
        <v/>
      </c>
      <c r="D1768" t="str">
        <f>IFERROR(__xludf.DUMMYFUNCTION("""COMPUTED_VALUE"""),"")</f>
        <v/>
      </c>
      <c r="E1768" t="str">
        <f>IFERROR(__xludf.DUMMYFUNCTION("""COMPUTED_VALUE"""),"")</f>
        <v/>
      </c>
      <c r="F1768" t="str">
        <f>IFERROR(__xludf.DUMMYFUNCTION("""COMPUTED_VALUE"""),"")</f>
        <v/>
      </c>
      <c r="G1768" t="str">
        <f>IFERROR(__xludf.DUMMYFUNCTION("""COMPUTED_VALUE"""),"")</f>
        <v/>
      </c>
      <c r="H1768" t="str">
        <f>IFERROR(__xludf.DUMMYFUNCTION("""COMPUTED_VALUE"""),"")</f>
        <v/>
      </c>
      <c r="I1768" t="str">
        <f>IFERROR(__xludf.DUMMYFUNCTION("""COMPUTED_VALUE"""),"")</f>
        <v/>
      </c>
      <c r="J1768">
        <f>IFERROR(__xludf.DUMMYFUNCTION("""COMPUTED_VALUE"""),0.0)</f>
        <v>0</v>
      </c>
      <c r="L1768" s="250" t="str">
        <f>IFERROR(__xludf.DUMMYFUNCTION("""COMPUTED_VALUE"""),"")</f>
        <v/>
      </c>
      <c r="M1768" s="250" t="str">
        <f>IFERROR(__xludf.DUMMYFUNCTION("""COMPUTED_VALUE"""),"")</f>
        <v/>
      </c>
      <c r="N1768" s="250" t="str">
        <f>IFERROR(__xludf.DUMMYFUNCTION("""COMPUTED_VALUE"""),"")</f>
        <v/>
      </c>
      <c r="O1768" s="250" t="str">
        <f>IFERROR(__xludf.DUMMYFUNCTION("""COMPUTED_VALUE"""),"")</f>
        <v/>
      </c>
      <c r="P1768" s="250" t="str">
        <f>IFERROR(__xludf.DUMMYFUNCTION("""COMPUTED_VALUE"""),"")</f>
        <v/>
      </c>
      <c r="Q1768" s="250" t="str">
        <f>IFERROR(__xludf.DUMMYFUNCTION("""COMPUTED_VALUE"""),"")</f>
        <v/>
      </c>
      <c r="R1768" s="250" t="str">
        <f>IFERROR(__xludf.DUMMYFUNCTION("""COMPUTED_VALUE"""),"")</f>
        <v/>
      </c>
      <c r="U1768" s="250" t="str">
        <f>IFERROR(__xludf.DUMMYFUNCTION("""COMPUTED_VALUE"""),"#N/A")</f>
        <v>#N/A</v>
      </c>
      <c r="V1768" s="250" t="str">
        <f>IFERROR(__xludf.DUMMYFUNCTION("""COMPUTED_VALUE"""),"#N/A")</f>
        <v>#N/A</v>
      </c>
      <c r="W1768" s="250" t="str">
        <f>IFERROR(__xludf.DUMMYFUNCTION("""COMPUTED_VALUE"""),"#N/A")</f>
        <v>#N/A</v>
      </c>
      <c r="X1768" t="b">
        <f t="shared" ref="X1768:Z1768" si="3512">ISBLANK(K1768)</f>
        <v>1</v>
      </c>
      <c r="Y1768" t="b">
        <f t="shared" si="3512"/>
        <v>0</v>
      </c>
      <c r="Z1768" t="b">
        <f t="shared" si="3512"/>
        <v>0</v>
      </c>
      <c r="AA1768">
        <f t="shared" ref="AA1768:AC1768" si="3513">IF(X1768=FALSE,1,0)</f>
        <v>0</v>
      </c>
      <c r="AB1768">
        <f t="shared" si="3513"/>
        <v>1</v>
      </c>
      <c r="AC1768">
        <f t="shared" si="3513"/>
        <v>1</v>
      </c>
      <c r="AD1768">
        <f t="shared" si="6"/>
        <v>2</v>
      </c>
      <c r="AE1768">
        <f t="shared" si="7"/>
        <v>1</v>
      </c>
    </row>
    <row r="1769">
      <c r="B1769" t="str">
        <f>IFERROR(__xludf.DUMMYFUNCTION("""COMPUTED_VALUE"""),"")</f>
        <v/>
      </c>
      <c r="C1769" t="str">
        <f>IFERROR(__xludf.DUMMYFUNCTION("""COMPUTED_VALUE"""),"")</f>
        <v/>
      </c>
      <c r="D1769" t="str">
        <f>IFERROR(__xludf.DUMMYFUNCTION("""COMPUTED_VALUE"""),"")</f>
        <v/>
      </c>
      <c r="E1769" t="str">
        <f>IFERROR(__xludf.DUMMYFUNCTION("""COMPUTED_VALUE"""),"")</f>
        <v/>
      </c>
      <c r="F1769" t="str">
        <f>IFERROR(__xludf.DUMMYFUNCTION("""COMPUTED_VALUE"""),"")</f>
        <v/>
      </c>
      <c r="G1769" t="str">
        <f>IFERROR(__xludf.DUMMYFUNCTION("""COMPUTED_VALUE"""),"")</f>
        <v/>
      </c>
      <c r="H1769" t="str">
        <f>IFERROR(__xludf.DUMMYFUNCTION("""COMPUTED_VALUE"""),"")</f>
        <v/>
      </c>
      <c r="I1769" t="str">
        <f>IFERROR(__xludf.DUMMYFUNCTION("""COMPUTED_VALUE"""),"")</f>
        <v/>
      </c>
      <c r="J1769">
        <f>IFERROR(__xludf.DUMMYFUNCTION("""COMPUTED_VALUE"""),0.0)</f>
        <v>0</v>
      </c>
      <c r="L1769" s="250" t="str">
        <f>IFERROR(__xludf.DUMMYFUNCTION("""COMPUTED_VALUE"""),"")</f>
        <v/>
      </c>
      <c r="M1769" s="250" t="str">
        <f>IFERROR(__xludf.DUMMYFUNCTION("""COMPUTED_VALUE"""),"")</f>
        <v/>
      </c>
      <c r="N1769" s="250" t="str">
        <f>IFERROR(__xludf.DUMMYFUNCTION("""COMPUTED_VALUE"""),"")</f>
        <v/>
      </c>
      <c r="O1769" s="250" t="str">
        <f>IFERROR(__xludf.DUMMYFUNCTION("""COMPUTED_VALUE"""),"")</f>
        <v/>
      </c>
      <c r="P1769" s="250" t="str">
        <f>IFERROR(__xludf.DUMMYFUNCTION("""COMPUTED_VALUE"""),"")</f>
        <v/>
      </c>
      <c r="Q1769" s="250" t="str">
        <f>IFERROR(__xludf.DUMMYFUNCTION("""COMPUTED_VALUE"""),"")</f>
        <v/>
      </c>
      <c r="R1769" s="250" t="str">
        <f>IFERROR(__xludf.DUMMYFUNCTION("""COMPUTED_VALUE"""),"")</f>
        <v/>
      </c>
      <c r="U1769" s="250" t="str">
        <f>IFERROR(__xludf.DUMMYFUNCTION("""COMPUTED_VALUE"""),"#N/A")</f>
        <v>#N/A</v>
      </c>
      <c r="V1769" s="250" t="str">
        <f>IFERROR(__xludf.DUMMYFUNCTION("""COMPUTED_VALUE"""),"#N/A")</f>
        <v>#N/A</v>
      </c>
      <c r="W1769" s="250" t="str">
        <f>IFERROR(__xludf.DUMMYFUNCTION("""COMPUTED_VALUE"""),"#N/A")</f>
        <v>#N/A</v>
      </c>
      <c r="X1769" t="b">
        <f t="shared" ref="X1769:Z1769" si="3514">ISBLANK(K1769)</f>
        <v>1</v>
      </c>
      <c r="Y1769" t="b">
        <f t="shared" si="3514"/>
        <v>0</v>
      </c>
      <c r="Z1769" t="b">
        <f t="shared" si="3514"/>
        <v>0</v>
      </c>
      <c r="AA1769">
        <f t="shared" ref="AA1769:AC1769" si="3515">IF(X1769=FALSE,1,0)</f>
        <v>0</v>
      </c>
      <c r="AB1769">
        <f t="shared" si="3515"/>
        <v>1</v>
      </c>
      <c r="AC1769">
        <f t="shared" si="3515"/>
        <v>1</v>
      </c>
      <c r="AD1769">
        <f t="shared" si="6"/>
        <v>2</v>
      </c>
      <c r="AE1769">
        <f t="shared" si="7"/>
        <v>1</v>
      </c>
    </row>
    <row r="1770">
      <c r="B1770" t="str">
        <f>IFERROR(__xludf.DUMMYFUNCTION("""COMPUTED_VALUE"""),"")</f>
        <v/>
      </c>
      <c r="C1770" t="str">
        <f>IFERROR(__xludf.DUMMYFUNCTION("""COMPUTED_VALUE"""),"")</f>
        <v/>
      </c>
      <c r="D1770" t="str">
        <f>IFERROR(__xludf.DUMMYFUNCTION("""COMPUTED_VALUE"""),"")</f>
        <v/>
      </c>
      <c r="E1770" t="str">
        <f>IFERROR(__xludf.DUMMYFUNCTION("""COMPUTED_VALUE"""),"")</f>
        <v/>
      </c>
      <c r="F1770" t="str">
        <f>IFERROR(__xludf.DUMMYFUNCTION("""COMPUTED_VALUE"""),"")</f>
        <v/>
      </c>
      <c r="G1770" t="str">
        <f>IFERROR(__xludf.DUMMYFUNCTION("""COMPUTED_VALUE"""),"")</f>
        <v/>
      </c>
      <c r="H1770" t="str">
        <f>IFERROR(__xludf.DUMMYFUNCTION("""COMPUTED_VALUE"""),"")</f>
        <v/>
      </c>
      <c r="I1770" t="str">
        <f>IFERROR(__xludf.DUMMYFUNCTION("""COMPUTED_VALUE"""),"")</f>
        <v/>
      </c>
      <c r="J1770">
        <f>IFERROR(__xludf.DUMMYFUNCTION("""COMPUTED_VALUE"""),0.0)</f>
        <v>0</v>
      </c>
      <c r="L1770" s="250" t="str">
        <f>IFERROR(__xludf.DUMMYFUNCTION("""COMPUTED_VALUE"""),"")</f>
        <v/>
      </c>
      <c r="M1770" s="250" t="str">
        <f>IFERROR(__xludf.DUMMYFUNCTION("""COMPUTED_VALUE"""),"")</f>
        <v/>
      </c>
      <c r="N1770" s="250" t="str">
        <f>IFERROR(__xludf.DUMMYFUNCTION("""COMPUTED_VALUE"""),"")</f>
        <v/>
      </c>
      <c r="O1770" s="250" t="str">
        <f>IFERROR(__xludf.DUMMYFUNCTION("""COMPUTED_VALUE"""),"")</f>
        <v/>
      </c>
      <c r="P1770" s="250" t="str">
        <f>IFERROR(__xludf.DUMMYFUNCTION("""COMPUTED_VALUE"""),"")</f>
        <v/>
      </c>
      <c r="Q1770" s="250" t="str">
        <f>IFERROR(__xludf.DUMMYFUNCTION("""COMPUTED_VALUE"""),"")</f>
        <v/>
      </c>
      <c r="R1770" s="250" t="str">
        <f>IFERROR(__xludf.DUMMYFUNCTION("""COMPUTED_VALUE"""),"")</f>
        <v/>
      </c>
      <c r="U1770" s="250" t="str">
        <f>IFERROR(__xludf.DUMMYFUNCTION("""COMPUTED_VALUE"""),"#N/A")</f>
        <v>#N/A</v>
      </c>
      <c r="V1770" s="250" t="str">
        <f>IFERROR(__xludf.DUMMYFUNCTION("""COMPUTED_VALUE"""),"#N/A")</f>
        <v>#N/A</v>
      </c>
      <c r="W1770" s="250" t="str">
        <f>IFERROR(__xludf.DUMMYFUNCTION("""COMPUTED_VALUE"""),"#N/A")</f>
        <v>#N/A</v>
      </c>
      <c r="X1770" t="b">
        <f t="shared" ref="X1770:Z1770" si="3516">ISBLANK(K1770)</f>
        <v>1</v>
      </c>
      <c r="Y1770" t="b">
        <f t="shared" si="3516"/>
        <v>0</v>
      </c>
      <c r="Z1770" t="b">
        <f t="shared" si="3516"/>
        <v>0</v>
      </c>
      <c r="AA1770">
        <f t="shared" ref="AA1770:AC1770" si="3517">IF(X1770=FALSE,1,0)</f>
        <v>0</v>
      </c>
      <c r="AB1770">
        <f t="shared" si="3517"/>
        <v>1</v>
      </c>
      <c r="AC1770">
        <f t="shared" si="3517"/>
        <v>1</v>
      </c>
      <c r="AD1770">
        <f t="shared" si="6"/>
        <v>2</v>
      </c>
      <c r="AE1770">
        <f t="shared" si="7"/>
        <v>1</v>
      </c>
    </row>
    <row r="1771">
      <c r="B1771" t="str">
        <f>IFERROR(__xludf.DUMMYFUNCTION("""COMPUTED_VALUE"""),"")</f>
        <v/>
      </c>
      <c r="C1771" t="str">
        <f>IFERROR(__xludf.DUMMYFUNCTION("""COMPUTED_VALUE"""),"")</f>
        <v/>
      </c>
      <c r="D1771" t="str">
        <f>IFERROR(__xludf.DUMMYFUNCTION("""COMPUTED_VALUE"""),"")</f>
        <v/>
      </c>
      <c r="E1771" t="str">
        <f>IFERROR(__xludf.DUMMYFUNCTION("""COMPUTED_VALUE"""),"")</f>
        <v/>
      </c>
      <c r="F1771" t="str">
        <f>IFERROR(__xludf.DUMMYFUNCTION("""COMPUTED_VALUE"""),"")</f>
        <v/>
      </c>
      <c r="G1771" t="str">
        <f>IFERROR(__xludf.DUMMYFUNCTION("""COMPUTED_VALUE"""),"")</f>
        <v/>
      </c>
      <c r="H1771" t="str">
        <f>IFERROR(__xludf.DUMMYFUNCTION("""COMPUTED_VALUE"""),"")</f>
        <v/>
      </c>
      <c r="I1771" t="str">
        <f>IFERROR(__xludf.DUMMYFUNCTION("""COMPUTED_VALUE"""),"")</f>
        <v/>
      </c>
      <c r="J1771">
        <f>IFERROR(__xludf.DUMMYFUNCTION("""COMPUTED_VALUE"""),0.0)</f>
        <v>0</v>
      </c>
      <c r="L1771" s="250" t="str">
        <f>IFERROR(__xludf.DUMMYFUNCTION("""COMPUTED_VALUE"""),"")</f>
        <v/>
      </c>
      <c r="M1771" s="250" t="str">
        <f>IFERROR(__xludf.DUMMYFUNCTION("""COMPUTED_VALUE"""),"")</f>
        <v/>
      </c>
      <c r="N1771" s="250" t="str">
        <f>IFERROR(__xludf.DUMMYFUNCTION("""COMPUTED_VALUE"""),"")</f>
        <v/>
      </c>
      <c r="O1771" s="250" t="str">
        <f>IFERROR(__xludf.DUMMYFUNCTION("""COMPUTED_VALUE"""),"")</f>
        <v/>
      </c>
      <c r="P1771" s="250" t="str">
        <f>IFERROR(__xludf.DUMMYFUNCTION("""COMPUTED_VALUE"""),"")</f>
        <v/>
      </c>
      <c r="Q1771" s="250" t="str">
        <f>IFERROR(__xludf.DUMMYFUNCTION("""COMPUTED_VALUE"""),"")</f>
        <v/>
      </c>
      <c r="R1771" s="250" t="str">
        <f>IFERROR(__xludf.DUMMYFUNCTION("""COMPUTED_VALUE"""),"")</f>
        <v/>
      </c>
      <c r="U1771" s="250" t="str">
        <f>IFERROR(__xludf.DUMMYFUNCTION("""COMPUTED_VALUE"""),"#N/A")</f>
        <v>#N/A</v>
      </c>
      <c r="V1771" s="250" t="str">
        <f>IFERROR(__xludf.DUMMYFUNCTION("""COMPUTED_VALUE"""),"#N/A")</f>
        <v>#N/A</v>
      </c>
      <c r="W1771" s="250" t="str">
        <f>IFERROR(__xludf.DUMMYFUNCTION("""COMPUTED_VALUE"""),"#N/A")</f>
        <v>#N/A</v>
      </c>
      <c r="X1771" t="b">
        <f t="shared" ref="X1771:Z1771" si="3518">ISBLANK(K1771)</f>
        <v>1</v>
      </c>
      <c r="Y1771" t="b">
        <f t="shared" si="3518"/>
        <v>0</v>
      </c>
      <c r="Z1771" t="b">
        <f t="shared" si="3518"/>
        <v>0</v>
      </c>
      <c r="AA1771">
        <f t="shared" ref="AA1771:AC1771" si="3519">IF(X1771=FALSE,1,0)</f>
        <v>0</v>
      </c>
      <c r="AB1771">
        <f t="shared" si="3519"/>
        <v>1</v>
      </c>
      <c r="AC1771">
        <f t="shared" si="3519"/>
        <v>1</v>
      </c>
      <c r="AD1771">
        <f t="shared" si="6"/>
        <v>2</v>
      </c>
      <c r="AE1771">
        <f t="shared" si="7"/>
        <v>1</v>
      </c>
    </row>
    <row r="1772">
      <c r="B1772" t="str">
        <f>IFERROR(__xludf.DUMMYFUNCTION("""COMPUTED_VALUE"""),"")</f>
        <v/>
      </c>
      <c r="C1772" t="str">
        <f>IFERROR(__xludf.DUMMYFUNCTION("""COMPUTED_VALUE"""),"")</f>
        <v/>
      </c>
      <c r="D1772" t="str">
        <f>IFERROR(__xludf.DUMMYFUNCTION("""COMPUTED_VALUE"""),"")</f>
        <v/>
      </c>
      <c r="E1772" t="str">
        <f>IFERROR(__xludf.DUMMYFUNCTION("""COMPUTED_VALUE"""),"")</f>
        <v/>
      </c>
      <c r="F1772" t="str">
        <f>IFERROR(__xludf.DUMMYFUNCTION("""COMPUTED_VALUE"""),"")</f>
        <v/>
      </c>
      <c r="G1772" t="str">
        <f>IFERROR(__xludf.DUMMYFUNCTION("""COMPUTED_VALUE"""),"")</f>
        <v/>
      </c>
      <c r="H1772" t="str">
        <f>IFERROR(__xludf.DUMMYFUNCTION("""COMPUTED_VALUE"""),"")</f>
        <v/>
      </c>
      <c r="I1772" t="str">
        <f>IFERROR(__xludf.DUMMYFUNCTION("""COMPUTED_VALUE"""),"")</f>
        <v/>
      </c>
      <c r="J1772">
        <f>IFERROR(__xludf.DUMMYFUNCTION("""COMPUTED_VALUE"""),0.0)</f>
        <v>0</v>
      </c>
      <c r="L1772" s="250" t="str">
        <f>IFERROR(__xludf.DUMMYFUNCTION("""COMPUTED_VALUE"""),"")</f>
        <v/>
      </c>
      <c r="M1772" s="250" t="str">
        <f>IFERROR(__xludf.DUMMYFUNCTION("""COMPUTED_VALUE"""),"")</f>
        <v/>
      </c>
      <c r="N1772" s="250" t="str">
        <f>IFERROR(__xludf.DUMMYFUNCTION("""COMPUTED_VALUE"""),"")</f>
        <v/>
      </c>
      <c r="O1772" s="250" t="str">
        <f>IFERROR(__xludf.DUMMYFUNCTION("""COMPUTED_VALUE"""),"")</f>
        <v/>
      </c>
      <c r="P1772" s="250" t="str">
        <f>IFERROR(__xludf.DUMMYFUNCTION("""COMPUTED_VALUE"""),"")</f>
        <v/>
      </c>
      <c r="Q1772" s="250" t="str">
        <f>IFERROR(__xludf.DUMMYFUNCTION("""COMPUTED_VALUE"""),"")</f>
        <v/>
      </c>
      <c r="R1772" s="250" t="str">
        <f>IFERROR(__xludf.DUMMYFUNCTION("""COMPUTED_VALUE"""),"")</f>
        <v/>
      </c>
      <c r="U1772" s="250" t="str">
        <f>IFERROR(__xludf.DUMMYFUNCTION("""COMPUTED_VALUE"""),"#N/A")</f>
        <v>#N/A</v>
      </c>
      <c r="V1772" s="250" t="str">
        <f>IFERROR(__xludf.DUMMYFUNCTION("""COMPUTED_VALUE"""),"#N/A")</f>
        <v>#N/A</v>
      </c>
      <c r="W1772" s="250" t="str">
        <f>IFERROR(__xludf.DUMMYFUNCTION("""COMPUTED_VALUE"""),"#N/A")</f>
        <v>#N/A</v>
      </c>
      <c r="X1772" t="b">
        <f t="shared" ref="X1772:Z1772" si="3520">ISBLANK(K1772)</f>
        <v>1</v>
      </c>
      <c r="Y1772" t="b">
        <f t="shared" si="3520"/>
        <v>0</v>
      </c>
      <c r="Z1772" t="b">
        <f t="shared" si="3520"/>
        <v>0</v>
      </c>
      <c r="AA1772">
        <f t="shared" ref="AA1772:AC1772" si="3521">IF(X1772=FALSE,1,0)</f>
        <v>0</v>
      </c>
      <c r="AB1772">
        <f t="shared" si="3521"/>
        <v>1</v>
      </c>
      <c r="AC1772">
        <f t="shared" si="3521"/>
        <v>1</v>
      </c>
      <c r="AD1772">
        <f t="shared" si="6"/>
        <v>2</v>
      </c>
      <c r="AE1772">
        <f t="shared" si="7"/>
        <v>1</v>
      </c>
    </row>
    <row r="1773">
      <c r="B1773" t="str">
        <f>IFERROR(__xludf.DUMMYFUNCTION("""COMPUTED_VALUE"""),"")</f>
        <v/>
      </c>
      <c r="C1773" t="str">
        <f>IFERROR(__xludf.DUMMYFUNCTION("""COMPUTED_VALUE"""),"")</f>
        <v/>
      </c>
      <c r="D1773" t="str">
        <f>IFERROR(__xludf.DUMMYFUNCTION("""COMPUTED_VALUE"""),"")</f>
        <v/>
      </c>
      <c r="E1773" t="str">
        <f>IFERROR(__xludf.DUMMYFUNCTION("""COMPUTED_VALUE"""),"")</f>
        <v/>
      </c>
      <c r="F1773" t="str">
        <f>IFERROR(__xludf.DUMMYFUNCTION("""COMPUTED_VALUE"""),"")</f>
        <v/>
      </c>
      <c r="G1773" t="str">
        <f>IFERROR(__xludf.DUMMYFUNCTION("""COMPUTED_VALUE"""),"")</f>
        <v/>
      </c>
      <c r="H1773" t="str">
        <f>IFERROR(__xludf.DUMMYFUNCTION("""COMPUTED_VALUE"""),"")</f>
        <v/>
      </c>
      <c r="I1773" t="str">
        <f>IFERROR(__xludf.DUMMYFUNCTION("""COMPUTED_VALUE"""),"")</f>
        <v/>
      </c>
      <c r="J1773">
        <f>IFERROR(__xludf.DUMMYFUNCTION("""COMPUTED_VALUE"""),0.0)</f>
        <v>0</v>
      </c>
      <c r="L1773" s="250" t="str">
        <f>IFERROR(__xludf.DUMMYFUNCTION("""COMPUTED_VALUE"""),"")</f>
        <v/>
      </c>
      <c r="M1773" s="250" t="str">
        <f>IFERROR(__xludf.DUMMYFUNCTION("""COMPUTED_VALUE"""),"")</f>
        <v/>
      </c>
      <c r="N1773" s="250" t="str">
        <f>IFERROR(__xludf.DUMMYFUNCTION("""COMPUTED_VALUE"""),"")</f>
        <v/>
      </c>
      <c r="O1773" s="250" t="str">
        <f>IFERROR(__xludf.DUMMYFUNCTION("""COMPUTED_VALUE"""),"")</f>
        <v/>
      </c>
      <c r="P1773" s="250" t="str">
        <f>IFERROR(__xludf.DUMMYFUNCTION("""COMPUTED_VALUE"""),"")</f>
        <v/>
      </c>
      <c r="Q1773" s="250" t="str">
        <f>IFERROR(__xludf.DUMMYFUNCTION("""COMPUTED_VALUE"""),"")</f>
        <v/>
      </c>
      <c r="R1773" s="250" t="str">
        <f>IFERROR(__xludf.DUMMYFUNCTION("""COMPUTED_VALUE"""),"")</f>
        <v/>
      </c>
      <c r="U1773" s="250" t="str">
        <f>IFERROR(__xludf.DUMMYFUNCTION("""COMPUTED_VALUE"""),"#N/A")</f>
        <v>#N/A</v>
      </c>
      <c r="V1773" s="250" t="str">
        <f>IFERROR(__xludf.DUMMYFUNCTION("""COMPUTED_VALUE"""),"#N/A")</f>
        <v>#N/A</v>
      </c>
      <c r="W1773" s="250" t="str">
        <f>IFERROR(__xludf.DUMMYFUNCTION("""COMPUTED_VALUE"""),"#N/A")</f>
        <v>#N/A</v>
      </c>
      <c r="X1773" t="b">
        <f t="shared" ref="X1773:Z1773" si="3522">ISBLANK(K1773)</f>
        <v>1</v>
      </c>
      <c r="Y1773" t="b">
        <f t="shared" si="3522"/>
        <v>0</v>
      </c>
      <c r="Z1773" t="b">
        <f t="shared" si="3522"/>
        <v>0</v>
      </c>
      <c r="AA1773">
        <f t="shared" ref="AA1773:AC1773" si="3523">IF(X1773=FALSE,1,0)</f>
        <v>0</v>
      </c>
      <c r="AB1773">
        <f t="shared" si="3523"/>
        <v>1</v>
      </c>
      <c r="AC1773">
        <f t="shared" si="3523"/>
        <v>1</v>
      </c>
      <c r="AD1773">
        <f t="shared" si="6"/>
        <v>2</v>
      </c>
      <c r="AE1773">
        <f t="shared" si="7"/>
        <v>1</v>
      </c>
    </row>
    <row r="1774">
      <c r="B1774" t="str">
        <f>IFERROR(__xludf.DUMMYFUNCTION("""COMPUTED_VALUE"""),"")</f>
        <v/>
      </c>
      <c r="C1774" t="str">
        <f>IFERROR(__xludf.DUMMYFUNCTION("""COMPUTED_VALUE"""),"")</f>
        <v/>
      </c>
      <c r="D1774" t="str">
        <f>IFERROR(__xludf.DUMMYFUNCTION("""COMPUTED_VALUE"""),"")</f>
        <v/>
      </c>
      <c r="E1774" t="str">
        <f>IFERROR(__xludf.DUMMYFUNCTION("""COMPUTED_VALUE"""),"")</f>
        <v/>
      </c>
      <c r="F1774" t="str">
        <f>IFERROR(__xludf.DUMMYFUNCTION("""COMPUTED_VALUE"""),"")</f>
        <v/>
      </c>
      <c r="G1774" t="str">
        <f>IFERROR(__xludf.DUMMYFUNCTION("""COMPUTED_VALUE"""),"")</f>
        <v/>
      </c>
      <c r="H1774" t="str">
        <f>IFERROR(__xludf.DUMMYFUNCTION("""COMPUTED_VALUE"""),"")</f>
        <v/>
      </c>
      <c r="I1774" t="str">
        <f>IFERROR(__xludf.DUMMYFUNCTION("""COMPUTED_VALUE"""),"")</f>
        <v/>
      </c>
      <c r="J1774">
        <f>IFERROR(__xludf.DUMMYFUNCTION("""COMPUTED_VALUE"""),0.0)</f>
        <v>0</v>
      </c>
      <c r="L1774" s="250" t="str">
        <f>IFERROR(__xludf.DUMMYFUNCTION("""COMPUTED_VALUE"""),"")</f>
        <v/>
      </c>
      <c r="M1774" s="250" t="str">
        <f>IFERROR(__xludf.DUMMYFUNCTION("""COMPUTED_VALUE"""),"")</f>
        <v/>
      </c>
      <c r="N1774" s="250" t="str">
        <f>IFERROR(__xludf.DUMMYFUNCTION("""COMPUTED_VALUE"""),"")</f>
        <v/>
      </c>
      <c r="O1774" s="250" t="str">
        <f>IFERROR(__xludf.DUMMYFUNCTION("""COMPUTED_VALUE"""),"")</f>
        <v/>
      </c>
      <c r="P1774" s="250" t="str">
        <f>IFERROR(__xludf.DUMMYFUNCTION("""COMPUTED_VALUE"""),"")</f>
        <v/>
      </c>
      <c r="Q1774" s="250" t="str">
        <f>IFERROR(__xludf.DUMMYFUNCTION("""COMPUTED_VALUE"""),"")</f>
        <v/>
      </c>
      <c r="R1774" s="250" t="str">
        <f>IFERROR(__xludf.DUMMYFUNCTION("""COMPUTED_VALUE"""),"")</f>
        <v/>
      </c>
      <c r="U1774" s="250" t="str">
        <f>IFERROR(__xludf.DUMMYFUNCTION("""COMPUTED_VALUE"""),"#N/A")</f>
        <v>#N/A</v>
      </c>
      <c r="V1774" s="250" t="str">
        <f>IFERROR(__xludf.DUMMYFUNCTION("""COMPUTED_VALUE"""),"#N/A")</f>
        <v>#N/A</v>
      </c>
      <c r="W1774" s="250" t="str">
        <f>IFERROR(__xludf.DUMMYFUNCTION("""COMPUTED_VALUE"""),"#N/A")</f>
        <v>#N/A</v>
      </c>
      <c r="X1774" t="b">
        <f t="shared" ref="X1774:Z1774" si="3524">ISBLANK(K1774)</f>
        <v>1</v>
      </c>
      <c r="Y1774" t="b">
        <f t="shared" si="3524"/>
        <v>0</v>
      </c>
      <c r="Z1774" t="b">
        <f t="shared" si="3524"/>
        <v>0</v>
      </c>
      <c r="AA1774">
        <f t="shared" ref="AA1774:AC1774" si="3525">IF(X1774=FALSE,1,0)</f>
        <v>0</v>
      </c>
      <c r="AB1774">
        <f t="shared" si="3525"/>
        <v>1</v>
      </c>
      <c r="AC1774">
        <f t="shared" si="3525"/>
        <v>1</v>
      </c>
      <c r="AD1774">
        <f t="shared" si="6"/>
        <v>2</v>
      </c>
      <c r="AE1774">
        <f t="shared" si="7"/>
        <v>1</v>
      </c>
    </row>
    <row r="1775">
      <c r="B1775" t="str">
        <f>IFERROR(__xludf.DUMMYFUNCTION("""COMPUTED_VALUE"""),"")</f>
        <v/>
      </c>
      <c r="C1775" t="str">
        <f>IFERROR(__xludf.DUMMYFUNCTION("""COMPUTED_VALUE"""),"")</f>
        <v/>
      </c>
      <c r="D1775" t="str">
        <f>IFERROR(__xludf.DUMMYFUNCTION("""COMPUTED_VALUE"""),"")</f>
        <v/>
      </c>
      <c r="E1775" t="str">
        <f>IFERROR(__xludf.DUMMYFUNCTION("""COMPUTED_VALUE"""),"")</f>
        <v/>
      </c>
      <c r="F1775" t="str">
        <f>IFERROR(__xludf.DUMMYFUNCTION("""COMPUTED_VALUE"""),"")</f>
        <v/>
      </c>
      <c r="G1775" t="str">
        <f>IFERROR(__xludf.DUMMYFUNCTION("""COMPUTED_VALUE"""),"")</f>
        <v/>
      </c>
      <c r="H1775" t="str">
        <f>IFERROR(__xludf.DUMMYFUNCTION("""COMPUTED_VALUE"""),"")</f>
        <v/>
      </c>
      <c r="I1775" t="str">
        <f>IFERROR(__xludf.DUMMYFUNCTION("""COMPUTED_VALUE"""),"")</f>
        <v/>
      </c>
      <c r="J1775">
        <f>IFERROR(__xludf.DUMMYFUNCTION("""COMPUTED_VALUE"""),0.0)</f>
        <v>0</v>
      </c>
      <c r="L1775" s="250" t="str">
        <f>IFERROR(__xludf.DUMMYFUNCTION("""COMPUTED_VALUE"""),"")</f>
        <v/>
      </c>
      <c r="M1775" s="250" t="str">
        <f>IFERROR(__xludf.DUMMYFUNCTION("""COMPUTED_VALUE"""),"")</f>
        <v/>
      </c>
      <c r="N1775" s="250" t="str">
        <f>IFERROR(__xludf.DUMMYFUNCTION("""COMPUTED_VALUE"""),"")</f>
        <v/>
      </c>
      <c r="O1775" s="250" t="str">
        <f>IFERROR(__xludf.DUMMYFUNCTION("""COMPUTED_VALUE"""),"")</f>
        <v/>
      </c>
      <c r="P1775" s="250" t="str">
        <f>IFERROR(__xludf.DUMMYFUNCTION("""COMPUTED_VALUE"""),"")</f>
        <v/>
      </c>
      <c r="Q1775" s="250" t="str">
        <f>IFERROR(__xludf.DUMMYFUNCTION("""COMPUTED_VALUE"""),"")</f>
        <v/>
      </c>
      <c r="R1775" s="250" t="str">
        <f>IFERROR(__xludf.DUMMYFUNCTION("""COMPUTED_VALUE"""),"")</f>
        <v/>
      </c>
      <c r="U1775" s="250" t="str">
        <f>IFERROR(__xludf.DUMMYFUNCTION("""COMPUTED_VALUE"""),"#N/A")</f>
        <v>#N/A</v>
      </c>
      <c r="V1775" s="250" t="str">
        <f>IFERROR(__xludf.DUMMYFUNCTION("""COMPUTED_VALUE"""),"#N/A")</f>
        <v>#N/A</v>
      </c>
      <c r="W1775" s="250" t="str">
        <f>IFERROR(__xludf.DUMMYFUNCTION("""COMPUTED_VALUE"""),"#N/A")</f>
        <v>#N/A</v>
      </c>
      <c r="X1775" t="b">
        <f t="shared" ref="X1775:Z1775" si="3526">ISBLANK(K1775)</f>
        <v>1</v>
      </c>
      <c r="Y1775" t="b">
        <f t="shared" si="3526"/>
        <v>0</v>
      </c>
      <c r="Z1775" t="b">
        <f t="shared" si="3526"/>
        <v>0</v>
      </c>
      <c r="AA1775">
        <f t="shared" ref="AA1775:AC1775" si="3527">IF(X1775=FALSE,1,0)</f>
        <v>0</v>
      </c>
      <c r="AB1775">
        <f t="shared" si="3527"/>
        <v>1</v>
      </c>
      <c r="AC1775">
        <f t="shared" si="3527"/>
        <v>1</v>
      </c>
      <c r="AD1775">
        <f t="shared" si="6"/>
        <v>2</v>
      </c>
      <c r="AE1775">
        <f t="shared" si="7"/>
        <v>1</v>
      </c>
    </row>
    <row r="1776">
      <c r="B1776" t="str">
        <f>IFERROR(__xludf.DUMMYFUNCTION("""COMPUTED_VALUE"""),"")</f>
        <v/>
      </c>
      <c r="C1776" t="str">
        <f>IFERROR(__xludf.DUMMYFUNCTION("""COMPUTED_VALUE"""),"")</f>
        <v/>
      </c>
      <c r="D1776" t="str">
        <f>IFERROR(__xludf.DUMMYFUNCTION("""COMPUTED_VALUE"""),"")</f>
        <v/>
      </c>
      <c r="E1776" t="str">
        <f>IFERROR(__xludf.DUMMYFUNCTION("""COMPUTED_VALUE"""),"")</f>
        <v/>
      </c>
      <c r="F1776" t="str">
        <f>IFERROR(__xludf.DUMMYFUNCTION("""COMPUTED_VALUE"""),"")</f>
        <v/>
      </c>
      <c r="G1776" t="str">
        <f>IFERROR(__xludf.DUMMYFUNCTION("""COMPUTED_VALUE"""),"")</f>
        <v/>
      </c>
      <c r="H1776" t="str">
        <f>IFERROR(__xludf.DUMMYFUNCTION("""COMPUTED_VALUE"""),"")</f>
        <v/>
      </c>
      <c r="I1776" t="str">
        <f>IFERROR(__xludf.DUMMYFUNCTION("""COMPUTED_VALUE"""),"")</f>
        <v/>
      </c>
      <c r="J1776">
        <f>IFERROR(__xludf.DUMMYFUNCTION("""COMPUTED_VALUE"""),0.0)</f>
        <v>0</v>
      </c>
      <c r="L1776" s="250" t="str">
        <f>IFERROR(__xludf.DUMMYFUNCTION("""COMPUTED_VALUE"""),"")</f>
        <v/>
      </c>
      <c r="M1776" s="250" t="str">
        <f>IFERROR(__xludf.DUMMYFUNCTION("""COMPUTED_VALUE"""),"")</f>
        <v/>
      </c>
      <c r="N1776" s="250" t="str">
        <f>IFERROR(__xludf.DUMMYFUNCTION("""COMPUTED_VALUE"""),"")</f>
        <v/>
      </c>
      <c r="O1776" s="250" t="str">
        <f>IFERROR(__xludf.DUMMYFUNCTION("""COMPUTED_VALUE"""),"")</f>
        <v/>
      </c>
      <c r="P1776" s="250" t="str">
        <f>IFERROR(__xludf.DUMMYFUNCTION("""COMPUTED_VALUE"""),"")</f>
        <v/>
      </c>
      <c r="Q1776" s="250" t="str">
        <f>IFERROR(__xludf.DUMMYFUNCTION("""COMPUTED_VALUE"""),"")</f>
        <v/>
      </c>
      <c r="R1776" s="250" t="str">
        <f>IFERROR(__xludf.DUMMYFUNCTION("""COMPUTED_VALUE"""),"")</f>
        <v/>
      </c>
      <c r="U1776" s="250" t="str">
        <f>IFERROR(__xludf.DUMMYFUNCTION("""COMPUTED_VALUE"""),"#N/A")</f>
        <v>#N/A</v>
      </c>
      <c r="V1776" s="250" t="str">
        <f>IFERROR(__xludf.DUMMYFUNCTION("""COMPUTED_VALUE"""),"#N/A")</f>
        <v>#N/A</v>
      </c>
      <c r="W1776" s="250" t="str">
        <f>IFERROR(__xludf.DUMMYFUNCTION("""COMPUTED_VALUE"""),"#N/A")</f>
        <v>#N/A</v>
      </c>
      <c r="X1776" t="b">
        <f t="shared" ref="X1776:Z1776" si="3528">ISBLANK(K1776)</f>
        <v>1</v>
      </c>
      <c r="Y1776" t="b">
        <f t="shared" si="3528"/>
        <v>0</v>
      </c>
      <c r="Z1776" t="b">
        <f t="shared" si="3528"/>
        <v>0</v>
      </c>
      <c r="AA1776">
        <f t="shared" ref="AA1776:AC1776" si="3529">IF(X1776=FALSE,1,0)</f>
        <v>0</v>
      </c>
      <c r="AB1776">
        <f t="shared" si="3529"/>
        <v>1</v>
      </c>
      <c r="AC1776">
        <f t="shared" si="3529"/>
        <v>1</v>
      </c>
      <c r="AD1776">
        <f t="shared" si="6"/>
        <v>2</v>
      </c>
      <c r="AE1776">
        <f t="shared" si="7"/>
        <v>1</v>
      </c>
    </row>
    <row r="1777">
      <c r="B1777" t="str">
        <f>IFERROR(__xludf.DUMMYFUNCTION("""COMPUTED_VALUE"""),"")</f>
        <v/>
      </c>
      <c r="C1777" t="str">
        <f>IFERROR(__xludf.DUMMYFUNCTION("""COMPUTED_VALUE"""),"")</f>
        <v/>
      </c>
      <c r="D1777" t="str">
        <f>IFERROR(__xludf.DUMMYFUNCTION("""COMPUTED_VALUE"""),"")</f>
        <v/>
      </c>
      <c r="E1777" t="str">
        <f>IFERROR(__xludf.DUMMYFUNCTION("""COMPUTED_VALUE"""),"")</f>
        <v/>
      </c>
      <c r="F1777" t="str">
        <f>IFERROR(__xludf.DUMMYFUNCTION("""COMPUTED_VALUE"""),"")</f>
        <v/>
      </c>
      <c r="G1777" t="str">
        <f>IFERROR(__xludf.DUMMYFUNCTION("""COMPUTED_VALUE"""),"")</f>
        <v/>
      </c>
      <c r="H1777" t="str">
        <f>IFERROR(__xludf.DUMMYFUNCTION("""COMPUTED_VALUE"""),"")</f>
        <v/>
      </c>
      <c r="I1777" t="str">
        <f>IFERROR(__xludf.DUMMYFUNCTION("""COMPUTED_VALUE"""),"")</f>
        <v/>
      </c>
      <c r="J1777">
        <f>IFERROR(__xludf.DUMMYFUNCTION("""COMPUTED_VALUE"""),0.0)</f>
        <v>0</v>
      </c>
      <c r="L1777" s="250" t="str">
        <f>IFERROR(__xludf.DUMMYFUNCTION("""COMPUTED_VALUE"""),"")</f>
        <v/>
      </c>
      <c r="M1777" s="250" t="str">
        <f>IFERROR(__xludf.DUMMYFUNCTION("""COMPUTED_VALUE"""),"")</f>
        <v/>
      </c>
      <c r="N1777" s="250" t="str">
        <f>IFERROR(__xludf.DUMMYFUNCTION("""COMPUTED_VALUE"""),"")</f>
        <v/>
      </c>
      <c r="O1777" s="250" t="str">
        <f>IFERROR(__xludf.DUMMYFUNCTION("""COMPUTED_VALUE"""),"")</f>
        <v/>
      </c>
      <c r="P1777" s="250" t="str">
        <f>IFERROR(__xludf.DUMMYFUNCTION("""COMPUTED_VALUE"""),"")</f>
        <v/>
      </c>
      <c r="Q1777" s="250" t="str">
        <f>IFERROR(__xludf.DUMMYFUNCTION("""COMPUTED_VALUE"""),"")</f>
        <v/>
      </c>
      <c r="R1777" s="250" t="str">
        <f>IFERROR(__xludf.DUMMYFUNCTION("""COMPUTED_VALUE"""),"")</f>
        <v/>
      </c>
      <c r="U1777" s="250" t="str">
        <f>IFERROR(__xludf.DUMMYFUNCTION("""COMPUTED_VALUE"""),"#N/A")</f>
        <v>#N/A</v>
      </c>
      <c r="V1777" s="250" t="str">
        <f>IFERROR(__xludf.DUMMYFUNCTION("""COMPUTED_VALUE"""),"#N/A")</f>
        <v>#N/A</v>
      </c>
      <c r="W1777" s="250" t="str">
        <f>IFERROR(__xludf.DUMMYFUNCTION("""COMPUTED_VALUE"""),"#N/A")</f>
        <v>#N/A</v>
      </c>
      <c r="X1777" t="b">
        <f t="shared" ref="X1777:Z1777" si="3530">ISBLANK(K1777)</f>
        <v>1</v>
      </c>
      <c r="Y1777" t="b">
        <f t="shared" si="3530"/>
        <v>0</v>
      </c>
      <c r="Z1777" t="b">
        <f t="shared" si="3530"/>
        <v>0</v>
      </c>
      <c r="AA1777">
        <f t="shared" ref="AA1777:AC1777" si="3531">IF(X1777=FALSE,1,0)</f>
        <v>0</v>
      </c>
      <c r="AB1777">
        <f t="shared" si="3531"/>
        <v>1</v>
      </c>
      <c r="AC1777">
        <f t="shared" si="3531"/>
        <v>1</v>
      </c>
      <c r="AD1777">
        <f t="shared" si="6"/>
        <v>2</v>
      </c>
      <c r="AE1777">
        <f t="shared" si="7"/>
        <v>1</v>
      </c>
    </row>
    <row r="1778">
      <c r="B1778" t="str">
        <f>IFERROR(__xludf.DUMMYFUNCTION("""COMPUTED_VALUE"""),"")</f>
        <v/>
      </c>
      <c r="C1778" t="str">
        <f>IFERROR(__xludf.DUMMYFUNCTION("""COMPUTED_VALUE"""),"")</f>
        <v/>
      </c>
      <c r="D1778" t="str">
        <f>IFERROR(__xludf.DUMMYFUNCTION("""COMPUTED_VALUE"""),"")</f>
        <v/>
      </c>
      <c r="E1778" t="str">
        <f>IFERROR(__xludf.DUMMYFUNCTION("""COMPUTED_VALUE"""),"")</f>
        <v/>
      </c>
      <c r="F1778" t="str">
        <f>IFERROR(__xludf.DUMMYFUNCTION("""COMPUTED_VALUE"""),"")</f>
        <v/>
      </c>
      <c r="G1778" t="str">
        <f>IFERROR(__xludf.DUMMYFUNCTION("""COMPUTED_VALUE"""),"")</f>
        <v/>
      </c>
      <c r="H1778" t="str">
        <f>IFERROR(__xludf.DUMMYFUNCTION("""COMPUTED_VALUE"""),"")</f>
        <v/>
      </c>
      <c r="I1778" t="str">
        <f>IFERROR(__xludf.DUMMYFUNCTION("""COMPUTED_VALUE"""),"")</f>
        <v/>
      </c>
      <c r="J1778">
        <f>IFERROR(__xludf.DUMMYFUNCTION("""COMPUTED_VALUE"""),0.0)</f>
        <v>0</v>
      </c>
      <c r="L1778" s="250" t="str">
        <f>IFERROR(__xludf.DUMMYFUNCTION("""COMPUTED_VALUE"""),"")</f>
        <v/>
      </c>
      <c r="M1778" s="250" t="str">
        <f>IFERROR(__xludf.DUMMYFUNCTION("""COMPUTED_VALUE"""),"")</f>
        <v/>
      </c>
      <c r="N1778" s="250" t="str">
        <f>IFERROR(__xludf.DUMMYFUNCTION("""COMPUTED_VALUE"""),"")</f>
        <v/>
      </c>
      <c r="O1778" s="250" t="str">
        <f>IFERROR(__xludf.DUMMYFUNCTION("""COMPUTED_VALUE"""),"")</f>
        <v/>
      </c>
      <c r="P1778" s="250" t="str">
        <f>IFERROR(__xludf.DUMMYFUNCTION("""COMPUTED_VALUE"""),"")</f>
        <v/>
      </c>
      <c r="Q1778" s="250" t="str">
        <f>IFERROR(__xludf.DUMMYFUNCTION("""COMPUTED_VALUE"""),"")</f>
        <v/>
      </c>
      <c r="R1778" s="250" t="str">
        <f>IFERROR(__xludf.DUMMYFUNCTION("""COMPUTED_VALUE"""),"")</f>
        <v/>
      </c>
      <c r="U1778" s="250" t="str">
        <f>IFERROR(__xludf.DUMMYFUNCTION("""COMPUTED_VALUE"""),"#N/A")</f>
        <v>#N/A</v>
      </c>
      <c r="V1778" s="250" t="str">
        <f>IFERROR(__xludf.DUMMYFUNCTION("""COMPUTED_VALUE"""),"#N/A")</f>
        <v>#N/A</v>
      </c>
      <c r="W1778" s="250" t="str">
        <f>IFERROR(__xludf.DUMMYFUNCTION("""COMPUTED_VALUE"""),"#N/A")</f>
        <v>#N/A</v>
      </c>
      <c r="X1778" t="b">
        <f t="shared" ref="X1778:Z1778" si="3532">ISBLANK(K1778)</f>
        <v>1</v>
      </c>
      <c r="Y1778" t="b">
        <f t="shared" si="3532"/>
        <v>0</v>
      </c>
      <c r="Z1778" t="b">
        <f t="shared" si="3532"/>
        <v>0</v>
      </c>
      <c r="AA1778">
        <f t="shared" ref="AA1778:AC1778" si="3533">IF(X1778=FALSE,1,0)</f>
        <v>0</v>
      </c>
      <c r="AB1778">
        <f t="shared" si="3533"/>
        <v>1</v>
      </c>
      <c r="AC1778">
        <f t="shared" si="3533"/>
        <v>1</v>
      </c>
      <c r="AD1778">
        <f t="shared" si="6"/>
        <v>2</v>
      </c>
      <c r="AE1778">
        <f t="shared" si="7"/>
        <v>1</v>
      </c>
    </row>
    <row r="1779">
      <c r="B1779" t="str">
        <f>IFERROR(__xludf.DUMMYFUNCTION("""COMPUTED_VALUE"""),"")</f>
        <v/>
      </c>
      <c r="C1779" t="str">
        <f>IFERROR(__xludf.DUMMYFUNCTION("""COMPUTED_VALUE"""),"")</f>
        <v/>
      </c>
      <c r="D1779" t="str">
        <f>IFERROR(__xludf.DUMMYFUNCTION("""COMPUTED_VALUE"""),"")</f>
        <v/>
      </c>
      <c r="E1779" t="str">
        <f>IFERROR(__xludf.DUMMYFUNCTION("""COMPUTED_VALUE"""),"")</f>
        <v/>
      </c>
      <c r="F1779" t="str">
        <f>IFERROR(__xludf.DUMMYFUNCTION("""COMPUTED_VALUE"""),"")</f>
        <v/>
      </c>
      <c r="G1779" t="str">
        <f>IFERROR(__xludf.DUMMYFUNCTION("""COMPUTED_VALUE"""),"")</f>
        <v/>
      </c>
      <c r="H1779" t="str">
        <f>IFERROR(__xludf.DUMMYFUNCTION("""COMPUTED_VALUE"""),"")</f>
        <v/>
      </c>
      <c r="I1779" t="str">
        <f>IFERROR(__xludf.DUMMYFUNCTION("""COMPUTED_VALUE"""),"")</f>
        <v/>
      </c>
      <c r="J1779">
        <f>IFERROR(__xludf.DUMMYFUNCTION("""COMPUTED_VALUE"""),0.0)</f>
        <v>0</v>
      </c>
      <c r="L1779" s="250" t="str">
        <f>IFERROR(__xludf.DUMMYFUNCTION("""COMPUTED_VALUE"""),"")</f>
        <v/>
      </c>
      <c r="M1779" s="250" t="str">
        <f>IFERROR(__xludf.DUMMYFUNCTION("""COMPUTED_VALUE"""),"")</f>
        <v/>
      </c>
      <c r="N1779" s="250" t="str">
        <f>IFERROR(__xludf.DUMMYFUNCTION("""COMPUTED_VALUE"""),"")</f>
        <v/>
      </c>
      <c r="O1779" s="250" t="str">
        <f>IFERROR(__xludf.DUMMYFUNCTION("""COMPUTED_VALUE"""),"")</f>
        <v/>
      </c>
      <c r="P1779" s="250" t="str">
        <f>IFERROR(__xludf.DUMMYFUNCTION("""COMPUTED_VALUE"""),"")</f>
        <v/>
      </c>
      <c r="Q1779" s="250" t="str">
        <f>IFERROR(__xludf.DUMMYFUNCTION("""COMPUTED_VALUE"""),"")</f>
        <v/>
      </c>
      <c r="R1779" s="250" t="str">
        <f>IFERROR(__xludf.DUMMYFUNCTION("""COMPUTED_VALUE"""),"")</f>
        <v/>
      </c>
      <c r="U1779" s="250" t="str">
        <f>IFERROR(__xludf.DUMMYFUNCTION("""COMPUTED_VALUE"""),"#N/A")</f>
        <v>#N/A</v>
      </c>
      <c r="V1779" s="250" t="str">
        <f>IFERROR(__xludf.DUMMYFUNCTION("""COMPUTED_VALUE"""),"#N/A")</f>
        <v>#N/A</v>
      </c>
      <c r="W1779" s="250" t="str">
        <f>IFERROR(__xludf.DUMMYFUNCTION("""COMPUTED_VALUE"""),"#N/A")</f>
        <v>#N/A</v>
      </c>
      <c r="X1779" t="b">
        <f t="shared" ref="X1779:Z1779" si="3534">ISBLANK(K1779)</f>
        <v>1</v>
      </c>
      <c r="Y1779" t="b">
        <f t="shared" si="3534"/>
        <v>0</v>
      </c>
      <c r="Z1779" t="b">
        <f t="shared" si="3534"/>
        <v>0</v>
      </c>
      <c r="AA1779">
        <f t="shared" ref="AA1779:AC1779" si="3535">IF(X1779=FALSE,1,0)</f>
        <v>0</v>
      </c>
      <c r="AB1779">
        <f t="shared" si="3535"/>
        <v>1</v>
      </c>
      <c r="AC1779">
        <f t="shared" si="3535"/>
        <v>1</v>
      </c>
      <c r="AD1779">
        <f t="shared" si="6"/>
        <v>2</v>
      </c>
      <c r="AE1779">
        <f t="shared" si="7"/>
        <v>1</v>
      </c>
    </row>
    <row r="1780">
      <c r="B1780" t="str">
        <f>IFERROR(__xludf.DUMMYFUNCTION("""COMPUTED_VALUE"""),"")</f>
        <v/>
      </c>
      <c r="C1780" t="str">
        <f>IFERROR(__xludf.DUMMYFUNCTION("""COMPUTED_VALUE"""),"")</f>
        <v/>
      </c>
      <c r="D1780" t="str">
        <f>IFERROR(__xludf.DUMMYFUNCTION("""COMPUTED_VALUE"""),"")</f>
        <v/>
      </c>
      <c r="E1780" t="str">
        <f>IFERROR(__xludf.DUMMYFUNCTION("""COMPUTED_VALUE"""),"")</f>
        <v/>
      </c>
      <c r="F1780" t="str">
        <f>IFERROR(__xludf.DUMMYFUNCTION("""COMPUTED_VALUE"""),"")</f>
        <v/>
      </c>
      <c r="G1780" t="str">
        <f>IFERROR(__xludf.DUMMYFUNCTION("""COMPUTED_VALUE"""),"")</f>
        <v/>
      </c>
      <c r="H1780" t="str">
        <f>IFERROR(__xludf.DUMMYFUNCTION("""COMPUTED_VALUE"""),"")</f>
        <v/>
      </c>
      <c r="I1780" t="str">
        <f>IFERROR(__xludf.DUMMYFUNCTION("""COMPUTED_VALUE"""),"")</f>
        <v/>
      </c>
      <c r="J1780">
        <f>IFERROR(__xludf.DUMMYFUNCTION("""COMPUTED_VALUE"""),0.0)</f>
        <v>0</v>
      </c>
      <c r="L1780" s="250" t="str">
        <f>IFERROR(__xludf.DUMMYFUNCTION("""COMPUTED_VALUE"""),"")</f>
        <v/>
      </c>
      <c r="M1780" s="250" t="str">
        <f>IFERROR(__xludf.DUMMYFUNCTION("""COMPUTED_VALUE"""),"")</f>
        <v/>
      </c>
      <c r="N1780" s="250" t="str">
        <f>IFERROR(__xludf.DUMMYFUNCTION("""COMPUTED_VALUE"""),"")</f>
        <v/>
      </c>
      <c r="O1780" s="250" t="str">
        <f>IFERROR(__xludf.DUMMYFUNCTION("""COMPUTED_VALUE"""),"")</f>
        <v/>
      </c>
      <c r="P1780" s="250" t="str">
        <f>IFERROR(__xludf.DUMMYFUNCTION("""COMPUTED_VALUE"""),"")</f>
        <v/>
      </c>
      <c r="Q1780" s="250" t="str">
        <f>IFERROR(__xludf.DUMMYFUNCTION("""COMPUTED_VALUE"""),"")</f>
        <v/>
      </c>
      <c r="R1780" s="250" t="str">
        <f>IFERROR(__xludf.DUMMYFUNCTION("""COMPUTED_VALUE"""),"")</f>
        <v/>
      </c>
      <c r="U1780" s="250" t="str">
        <f>IFERROR(__xludf.DUMMYFUNCTION("""COMPUTED_VALUE"""),"#N/A")</f>
        <v>#N/A</v>
      </c>
      <c r="V1780" s="250" t="str">
        <f>IFERROR(__xludf.DUMMYFUNCTION("""COMPUTED_VALUE"""),"#N/A")</f>
        <v>#N/A</v>
      </c>
      <c r="W1780" s="250" t="str">
        <f>IFERROR(__xludf.DUMMYFUNCTION("""COMPUTED_VALUE"""),"#N/A")</f>
        <v>#N/A</v>
      </c>
      <c r="X1780" t="b">
        <f t="shared" ref="X1780:Z1780" si="3536">ISBLANK(K1780)</f>
        <v>1</v>
      </c>
      <c r="Y1780" t="b">
        <f t="shared" si="3536"/>
        <v>0</v>
      </c>
      <c r="Z1780" t="b">
        <f t="shared" si="3536"/>
        <v>0</v>
      </c>
      <c r="AA1780">
        <f t="shared" ref="AA1780:AC1780" si="3537">IF(X1780=FALSE,1,0)</f>
        <v>0</v>
      </c>
      <c r="AB1780">
        <f t="shared" si="3537"/>
        <v>1</v>
      </c>
      <c r="AC1780">
        <f t="shared" si="3537"/>
        <v>1</v>
      </c>
      <c r="AD1780">
        <f t="shared" si="6"/>
        <v>2</v>
      </c>
      <c r="AE1780">
        <f t="shared" si="7"/>
        <v>1</v>
      </c>
    </row>
    <row r="1781">
      <c r="B1781" t="str">
        <f>IFERROR(__xludf.DUMMYFUNCTION("""COMPUTED_VALUE"""),"")</f>
        <v/>
      </c>
      <c r="C1781" t="str">
        <f>IFERROR(__xludf.DUMMYFUNCTION("""COMPUTED_VALUE"""),"")</f>
        <v/>
      </c>
      <c r="D1781" t="str">
        <f>IFERROR(__xludf.DUMMYFUNCTION("""COMPUTED_VALUE"""),"")</f>
        <v/>
      </c>
      <c r="E1781" t="str">
        <f>IFERROR(__xludf.DUMMYFUNCTION("""COMPUTED_VALUE"""),"")</f>
        <v/>
      </c>
      <c r="F1781" t="str">
        <f>IFERROR(__xludf.DUMMYFUNCTION("""COMPUTED_VALUE"""),"")</f>
        <v/>
      </c>
      <c r="G1781" t="str">
        <f>IFERROR(__xludf.DUMMYFUNCTION("""COMPUTED_VALUE"""),"")</f>
        <v/>
      </c>
      <c r="H1781" t="str">
        <f>IFERROR(__xludf.DUMMYFUNCTION("""COMPUTED_VALUE"""),"")</f>
        <v/>
      </c>
      <c r="I1781" t="str">
        <f>IFERROR(__xludf.DUMMYFUNCTION("""COMPUTED_VALUE"""),"")</f>
        <v/>
      </c>
      <c r="J1781">
        <f>IFERROR(__xludf.DUMMYFUNCTION("""COMPUTED_VALUE"""),0.0)</f>
        <v>0</v>
      </c>
      <c r="L1781" s="250" t="str">
        <f>IFERROR(__xludf.DUMMYFUNCTION("""COMPUTED_VALUE"""),"")</f>
        <v/>
      </c>
      <c r="M1781" s="250" t="str">
        <f>IFERROR(__xludf.DUMMYFUNCTION("""COMPUTED_VALUE"""),"")</f>
        <v/>
      </c>
      <c r="N1781" s="250" t="str">
        <f>IFERROR(__xludf.DUMMYFUNCTION("""COMPUTED_VALUE"""),"")</f>
        <v/>
      </c>
      <c r="O1781" s="250" t="str">
        <f>IFERROR(__xludf.DUMMYFUNCTION("""COMPUTED_VALUE"""),"")</f>
        <v/>
      </c>
      <c r="P1781" s="250" t="str">
        <f>IFERROR(__xludf.DUMMYFUNCTION("""COMPUTED_VALUE"""),"")</f>
        <v/>
      </c>
      <c r="Q1781" s="250" t="str">
        <f>IFERROR(__xludf.DUMMYFUNCTION("""COMPUTED_VALUE"""),"")</f>
        <v/>
      </c>
      <c r="R1781" s="250" t="str">
        <f>IFERROR(__xludf.DUMMYFUNCTION("""COMPUTED_VALUE"""),"")</f>
        <v/>
      </c>
      <c r="U1781" s="250" t="str">
        <f>IFERROR(__xludf.DUMMYFUNCTION("""COMPUTED_VALUE"""),"#N/A")</f>
        <v>#N/A</v>
      </c>
      <c r="V1781" s="250" t="str">
        <f>IFERROR(__xludf.DUMMYFUNCTION("""COMPUTED_VALUE"""),"#N/A")</f>
        <v>#N/A</v>
      </c>
      <c r="W1781" s="250" t="str">
        <f>IFERROR(__xludf.DUMMYFUNCTION("""COMPUTED_VALUE"""),"#N/A")</f>
        <v>#N/A</v>
      </c>
      <c r="X1781" t="b">
        <f t="shared" ref="X1781:Z1781" si="3538">ISBLANK(K1781)</f>
        <v>1</v>
      </c>
      <c r="Y1781" t="b">
        <f t="shared" si="3538"/>
        <v>0</v>
      </c>
      <c r="Z1781" t="b">
        <f t="shared" si="3538"/>
        <v>0</v>
      </c>
      <c r="AA1781">
        <f t="shared" ref="AA1781:AC1781" si="3539">IF(X1781=FALSE,1,0)</f>
        <v>0</v>
      </c>
      <c r="AB1781">
        <f t="shared" si="3539"/>
        <v>1</v>
      </c>
      <c r="AC1781">
        <f t="shared" si="3539"/>
        <v>1</v>
      </c>
      <c r="AD1781">
        <f t="shared" si="6"/>
        <v>2</v>
      </c>
      <c r="AE1781">
        <f t="shared" si="7"/>
        <v>1</v>
      </c>
    </row>
    <row r="1782">
      <c r="B1782" t="str">
        <f>IFERROR(__xludf.DUMMYFUNCTION("""COMPUTED_VALUE"""),"")</f>
        <v/>
      </c>
      <c r="C1782" t="str">
        <f>IFERROR(__xludf.DUMMYFUNCTION("""COMPUTED_VALUE"""),"")</f>
        <v/>
      </c>
      <c r="D1782" t="str">
        <f>IFERROR(__xludf.DUMMYFUNCTION("""COMPUTED_VALUE"""),"")</f>
        <v/>
      </c>
      <c r="E1782" t="str">
        <f>IFERROR(__xludf.DUMMYFUNCTION("""COMPUTED_VALUE"""),"")</f>
        <v/>
      </c>
      <c r="F1782" t="str">
        <f>IFERROR(__xludf.DUMMYFUNCTION("""COMPUTED_VALUE"""),"")</f>
        <v/>
      </c>
      <c r="G1782" t="str">
        <f>IFERROR(__xludf.DUMMYFUNCTION("""COMPUTED_VALUE"""),"")</f>
        <v/>
      </c>
      <c r="H1782" t="str">
        <f>IFERROR(__xludf.DUMMYFUNCTION("""COMPUTED_VALUE"""),"")</f>
        <v/>
      </c>
      <c r="I1782" t="str">
        <f>IFERROR(__xludf.DUMMYFUNCTION("""COMPUTED_VALUE"""),"")</f>
        <v/>
      </c>
      <c r="J1782">
        <f>IFERROR(__xludf.DUMMYFUNCTION("""COMPUTED_VALUE"""),0.0)</f>
        <v>0</v>
      </c>
      <c r="L1782" s="250" t="str">
        <f>IFERROR(__xludf.DUMMYFUNCTION("""COMPUTED_VALUE"""),"")</f>
        <v/>
      </c>
      <c r="M1782" s="250" t="str">
        <f>IFERROR(__xludf.DUMMYFUNCTION("""COMPUTED_VALUE"""),"")</f>
        <v/>
      </c>
      <c r="N1782" s="250" t="str">
        <f>IFERROR(__xludf.DUMMYFUNCTION("""COMPUTED_VALUE"""),"")</f>
        <v/>
      </c>
      <c r="O1782" s="250" t="str">
        <f>IFERROR(__xludf.DUMMYFUNCTION("""COMPUTED_VALUE"""),"")</f>
        <v/>
      </c>
      <c r="P1782" s="250" t="str">
        <f>IFERROR(__xludf.DUMMYFUNCTION("""COMPUTED_VALUE"""),"")</f>
        <v/>
      </c>
      <c r="Q1782" s="250" t="str">
        <f>IFERROR(__xludf.DUMMYFUNCTION("""COMPUTED_VALUE"""),"")</f>
        <v/>
      </c>
      <c r="R1782" s="250" t="str">
        <f>IFERROR(__xludf.DUMMYFUNCTION("""COMPUTED_VALUE"""),"")</f>
        <v/>
      </c>
      <c r="U1782" s="250" t="str">
        <f>IFERROR(__xludf.DUMMYFUNCTION("""COMPUTED_VALUE"""),"#N/A")</f>
        <v>#N/A</v>
      </c>
      <c r="V1782" s="250" t="str">
        <f>IFERROR(__xludf.DUMMYFUNCTION("""COMPUTED_VALUE"""),"#N/A")</f>
        <v>#N/A</v>
      </c>
      <c r="W1782" s="250" t="str">
        <f>IFERROR(__xludf.DUMMYFUNCTION("""COMPUTED_VALUE"""),"#N/A")</f>
        <v>#N/A</v>
      </c>
      <c r="X1782" t="b">
        <f t="shared" ref="X1782:Z1782" si="3540">ISBLANK(K1782)</f>
        <v>1</v>
      </c>
      <c r="Y1782" t="b">
        <f t="shared" si="3540"/>
        <v>0</v>
      </c>
      <c r="Z1782" t="b">
        <f t="shared" si="3540"/>
        <v>0</v>
      </c>
      <c r="AA1782">
        <f t="shared" ref="AA1782:AC1782" si="3541">IF(X1782=FALSE,1,0)</f>
        <v>0</v>
      </c>
      <c r="AB1782">
        <f t="shared" si="3541"/>
        <v>1</v>
      </c>
      <c r="AC1782">
        <f t="shared" si="3541"/>
        <v>1</v>
      </c>
      <c r="AD1782">
        <f t="shared" si="6"/>
        <v>2</v>
      </c>
      <c r="AE1782">
        <f t="shared" si="7"/>
        <v>1</v>
      </c>
    </row>
    <row r="1783">
      <c r="B1783" t="str">
        <f>IFERROR(__xludf.DUMMYFUNCTION("""COMPUTED_VALUE"""),"")</f>
        <v/>
      </c>
      <c r="C1783" t="str">
        <f>IFERROR(__xludf.DUMMYFUNCTION("""COMPUTED_VALUE"""),"")</f>
        <v/>
      </c>
      <c r="D1783" t="str">
        <f>IFERROR(__xludf.DUMMYFUNCTION("""COMPUTED_VALUE"""),"")</f>
        <v/>
      </c>
      <c r="E1783" t="str">
        <f>IFERROR(__xludf.DUMMYFUNCTION("""COMPUTED_VALUE"""),"")</f>
        <v/>
      </c>
      <c r="F1783" t="str">
        <f>IFERROR(__xludf.DUMMYFUNCTION("""COMPUTED_VALUE"""),"")</f>
        <v/>
      </c>
      <c r="G1783" t="str">
        <f>IFERROR(__xludf.DUMMYFUNCTION("""COMPUTED_VALUE"""),"")</f>
        <v/>
      </c>
      <c r="H1783" t="str">
        <f>IFERROR(__xludf.DUMMYFUNCTION("""COMPUTED_VALUE"""),"")</f>
        <v/>
      </c>
      <c r="I1783" t="str">
        <f>IFERROR(__xludf.DUMMYFUNCTION("""COMPUTED_VALUE"""),"")</f>
        <v/>
      </c>
      <c r="J1783">
        <f>IFERROR(__xludf.DUMMYFUNCTION("""COMPUTED_VALUE"""),0.0)</f>
        <v>0</v>
      </c>
      <c r="L1783" s="250" t="str">
        <f>IFERROR(__xludf.DUMMYFUNCTION("""COMPUTED_VALUE"""),"")</f>
        <v/>
      </c>
      <c r="M1783" s="250" t="str">
        <f>IFERROR(__xludf.DUMMYFUNCTION("""COMPUTED_VALUE"""),"")</f>
        <v/>
      </c>
      <c r="N1783" s="250" t="str">
        <f>IFERROR(__xludf.DUMMYFUNCTION("""COMPUTED_VALUE"""),"")</f>
        <v/>
      </c>
      <c r="O1783" s="250" t="str">
        <f>IFERROR(__xludf.DUMMYFUNCTION("""COMPUTED_VALUE"""),"")</f>
        <v/>
      </c>
      <c r="P1783" s="250" t="str">
        <f>IFERROR(__xludf.DUMMYFUNCTION("""COMPUTED_VALUE"""),"")</f>
        <v/>
      </c>
      <c r="Q1783" s="250" t="str">
        <f>IFERROR(__xludf.DUMMYFUNCTION("""COMPUTED_VALUE"""),"")</f>
        <v/>
      </c>
      <c r="R1783" s="250" t="str">
        <f>IFERROR(__xludf.DUMMYFUNCTION("""COMPUTED_VALUE"""),"")</f>
        <v/>
      </c>
      <c r="U1783" s="250" t="str">
        <f>IFERROR(__xludf.DUMMYFUNCTION("""COMPUTED_VALUE"""),"#N/A")</f>
        <v>#N/A</v>
      </c>
      <c r="V1783" s="250" t="str">
        <f>IFERROR(__xludf.DUMMYFUNCTION("""COMPUTED_VALUE"""),"#N/A")</f>
        <v>#N/A</v>
      </c>
      <c r="W1783" s="250" t="str">
        <f>IFERROR(__xludf.DUMMYFUNCTION("""COMPUTED_VALUE"""),"#N/A")</f>
        <v>#N/A</v>
      </c>
      <c r="X1783" t="b">
        <f t="shared" ref="X1783:Z1783" si="3542">ISBLANK(K1783)</f>
        <v>1</v>
      </c>
      <c r="Y1783" t="b">
        <f t="shared" si="3542"/>
        <v>0</v>
      </c>
      <c r="Z1783" t="b">
        <f t="shared" si="3542"/>
        <v>0</v>
      </c>
      <c r="AA1783">
        <f t="shared" ref="AA1783:AC1783" si="3543">IF(X1783=FALSE,1,0)</f>
        <v>0</v>
      </c>
      <c r="AB1783">
        <f t="shared" si="3543"/>
        <v>1</v>
      </c>
      <c r="AC1783">
        <f t="shared" si="3543"/>
        <v>1</v>
      </c>
      <c r="AD1783">
        <f t="shared" si="6"/>
        <v>2</v>
      </c>
      <c r="AE1783">
        <f t="shared" si="7"/>
        <v>1</v>
      </c>
    </row>
    <row r="1784">
      <c r="B1784" t="str">
        <f>IFERROR(__xludf.DUMMYFUNCTION("""COMPUTED_VALUE"""),"")</f>
        <v/>
      </c>
      <c r="C1784" t="str">
        <f>IFERROR(__xludf.DUMMYFUNCTION("""COMPUTED_VALUE"""),"")</f>
        <v/>
      </c>
      <c r="D1784" t="str">
        <f>IFERROR(__xludf.DUMMYFUNCTION("""COMPUTED_VALUE"""),"")</f>
        <v/>
      </c>
      <c r="E1784" t="str">
        <f>IFERROR(__xludf.DUMMYFUNCTION("""COMPUTED_VALUE"""),"")</f>
        <v/>
      </c>
      <c r="F1784" t="str">
        <f>IFERROR(__xludf.DUMMYFUNCTION("""COMPUTED_VALUE"""),"")</f>
        <v/>
      </c>
      <c r="G1784" t="str">
        <f>IFERROR(__xludf.DUMMYFUNCTION("""COMPUTED_VALUE"""),"")</f>
        <v/>
      </c>
      <c r="H1784" t="str">
        <f>IFERROR(__xludf.DUMMYFUNCTION("""COMPUTED_VALUE"""),"")</f>
        <v/>
      </c>
      <c r="I1784" t="str">
        <f>IFERROR(__xludf.DUMMYFUNCTION("""COMPUTED_VALUE"""),"")</f>
        <v/>
      </c>
      <c r="J1784">
        <f>IFERROR(__xludf.DUMMYFUNCTION("""COMPUTED_VALUE"""),0.0)</f>
        <v>0</v>
      </c>
      <c r="L1784" s="250" t="str">
        <f>IFERROR(__xludf.DUMMYFUNCTION("""COMPUTED_VALUE"""),"")</f>
        <v/>
      </c>
      <c r="M1784" s="250" t="str">
        <f>IFERROR(__xludf.DUMMYFUNCTION("""COMPUTED_VALUE"""),"")</f>
        <v/>
      </c>
      <c r="N1784" s="250" t="str">
        <f>IFERROR(__xludf.DUMMYFUNCTION("""COMPUTED_VALUE"""),"")</f>
        <v/>
      </c>
      <c r="O1784" s="250" t="str">
        <f>IFERROR(__xludf.DUMMYFUNCTION("""COMPUTED_VALUE"""),"")</f>
        <v/>
      </c>
      <c r="P1784" s="250" t="str">
        <f>IFERROR(__xludf.DUMMYFUNCTION("""COMPUTED_VALUE"""),"")</f>
        <v/>
      </c>
      <c r="Q1784" s="250" t="str">
        <f>IFERROR(__xludf.DUMMYFUNCTION("""COMPUTED_VALUE"""),"")</f>
        <v/>
      </c>
      <c r="R1784" s="250" t="str">
        <f>IFERROR(__xludf.DUMMYFUNCTION("""COMPUTED_VALUE"""),"")</f>
        <v/>
      </c>
      <c r="U1784" s="250" t="str">
        <f>IFERROR(__xludf.DUMMYFUNCTION("""COMPUTED_VALUE"""),"#N/A")</f>
        <v>#N/A</v>
      </c>
      <c r="V1784" s="250" t="str">
        <f>IFERROR(__xludf.DUMMYFUNCTION("""COMPUTED_VALUE"""),"#N/A")</f>
        <v>#N/A</v>
      </c>
      <c r="W1784" s="250" t="str">
        <f>IFERROR(__xludf.DUMMYFUNCTION("""COMPUTED_VALUE"""),"#N/A")</f>
        <v>#N/A</v>
      </c>
      <c r="X1784" t="b">
        <f t="shared" ref="X1784:Z1784" si="3544">ISBLANK(K1784)</f>
        <v>1</v>
      </c>
      <c r="Y1784" t="b">
        <f t="shared" si="3544"/>
        <v>0</v>
      </c>
      <c r="Z1784" t="b">
        <f t="shared" si="3544"/>
        <v>0</v>
      </c>
      <c r="AA1784">
        <f t="shared" ref="AA1784:AC1784" si="3545">IF(X1784=FALSE,1,0)</f>
        <v>0</v>
      </c>
      <c r="AB1784">
        <f t="shared" si="3545"/>
        <v>1</v>
      </c>
      <c r="AC1784">
        <f t="shared" si="3545"/>
        <v>1</v>
      </c>
      <c r="AD1784">
        <f t="shared" si="6"/>
        <v>2</v>
      </c>
      <c r="AE1784">
        <f t="shared" si="7"/>
        <v>1</v>
      </c>
    </row>
    <row r="1785">
      <c r="B1785" t="str">
        <f>IFERROR(__xludf.DUMMYFUNCTION("""COMPUTED_VALUE"""),"")</f>
        <v/>
      </c>
      <c r="C1785" t="str">
        <f>IFERROR(__xludf.DUMMYFUNCTION("""COMPUTED_VALUE"""),"")</f>
        <v/>
      </c>
      <c r="D1785" t="str">
        <f>IFERROR(__xludf.DUMMYFUNCTION("""COMPUTED_VALUE"""),"")</f>
        <v/>
      </c>
      <c r="E1785" t="str">
        <f>IFERROR(__xludf.DUMMYFUNCTION("""COMPUTED_VALUE"""),"")</f>
        <v/>
      </c>
      <c r="F1785" t="str">
        <f>IFERROR(__xludf.DUMMYFUNCTION("""COMPUTED_VALUE"""),"")</f>
        <v/>
      </c>
      <c r="G1785" t="str">
        <f>IFERROR(__xludf.DUMMYFUNCTION("""COMPUTED_VALUE"""),"")</f>
        <v/>
      </c>
      <c r="H1785" t="str">
        <f>IFERROR(__xludf.DUMMYFUNCTION("""COMPUTED_VALUE"""),"")</f>
        <v/>
      </c>
      <c r="I1785" t="str">
        <f>IFERROR(__xludf.DUMMYFUNCTION("""COMPUTED_VALUE"""),"")</f>
        <v/>
      </c>
      <c r="J1785">
        <f>IFERROR(__xludf.DUMMYFUNCTION("""COMPUTED_VALUE"""),0.0)</f>
        <v>0</v>
      </c>
      <c r="L1785" s="250" t="str">
        <f>IFERROR(__xludf.DUMMYFUNCTION("""COMPUTED_VALUE"""),"")</f>
        <v/>
      </c>
      <c r="M1785" s="250" t="str">
        <f>IFERROR(__xludf.DUMMYFUNCTION("""COMPUTED_VALUE"""),"")</f>
        <v/>
      </c>
      <c r="N1785" s="250" t="str">
        <f>IFERROR(__xludf.DUMMYFUNCTION("""COMPUTED_VALUE"""),"")</f>
        <v/>
      </c>
      <c r="O1785" s="250" t="str">
        <f>IFERROR(__xludf.DUMMYFUNCTION("""COMPUTED_VALUE"""),"")</f>
        <v/>
      </c>
      <c r="P1785" s="250" t="str">
        <f>IFERROR(__xludf.DUMMYFUNCTION("""COMPUTED_VALUE"""),"")</f>
        <v/>
      </c>
      <c r="Q1785" s="250" t="str">
        <f>IFERROR(__xludf.DUMMYFUNCTION("""COMPUTED_VALUE"""),"")</f>
        <v/>
      </c>
      <c r="R1785" s="250" t="str">
        <f>IFERROR(__xludf.DUMMYFUNCTION("""COMPUTED_VALUE"""),"")</f>
        <v/>
      </c>
      <c r="U1785" s="250" t="str">
        <f>IFERROR(__xludf.DUMMYFUNCTION("""COMPUTED_VALUE"""),"#N/A")</f>
        <v>#N/A</v>
      </c>
      <c r="V1785" s="250" t="str">
        <f>IFERROR(__xludf.DUMMYFUNCTION("""COMPUTED_VALUE"""),"#N/A")</f>
        <v>#N/A</v>
      </c>
      <c r="W1785" s="250" t="str">
        <f>IFERROR(__xludf.DUMMYFUNCTION("""COMPUTED_VALUE"""),"#N/A")</f>
        <v>#N/A</v>
      </c>
      <c r="X1785" t="b">
        <f t="shared" ref="X1785:Z1785" si="3546">ISBLANK(K1785)</f>
        <v>1</v>
      </c>
      <c r="Y1785" t="b">
        <f t="shared" si="3546"/>
        <v>0</v>
      </c>
      <c r="Z1785" t="b">
        <f t="shared" si="3546"/>
        <v>0</v>
      </c>
      <c r="AA1785">
        <f t="shared" ref="AA1785:AC1785" si="3547">IF(X1785=FALSE,1,0)</f>
        <v>0</v>
      </c>
      <c r="AB1785">
        <f t="shared" si="3547"/>
        <v>1</v>
      </c>
      <c r="AC1785">
        <f t="shared" si="3547"/>
        <v>1</v>
      </c>
      <c r="AD1785">
        <f t="shared" si="6"/>
        <v>2</v>
      </c>
      <c r="AE1785">
        <f t="shared" si="7"/>
        <v>1</v>
      </c>
    </row>
    <row r="1786">
      <c r="B1786" t="str">
        <f>IFERROR(__xludf.DUMMYFUNCTION("""COMPUTED_VALUE"""),"")</f>
        <v/>
      </c>
      <c r="C1786" t="str">
        <f>IFERROR(__xludf.DUMMYFUNCTION("""COMPUTED_VALUE"""),"")</f>
        <v/>
      </c>
      <c r="D1786" t="str">
        <f>IFERROR(__xludf.DUMMYFUNCTION("""COMPUTED_VALUE"""),"")</f>
        <v/>
      </c>
      <c r="E1786" t="str">
        <f>IFERROR(__xludf.DUMMYFUNCTION("""COMPUTED_VALUE"""),"")</f>
        <v/>
      </c>
      <c r="F1786" t="str">
        <f>IFERROR(__xludf.DUMMYFUNCTION("""COMPUTED_VALUE"""),"")</f>
        <v/>
      </c>
      <c r="G1786" t="str">
        <f>IFERROR(__xludf.DUMMYFUNCTION("""COMPUTED_VALUE"""),"")</f>
        <v/>
      </c>
      <c r="H1786" t="str">
        <f>IFERROR(__xludf.DUMMYFUNCTION("""COMPUTED_VALUE"""),"")</f>
        <v/>
      </c>
      <c r="I1786" t="str">
        <f>IFERROR(__xludf.DUMMYFUNCTION("""COMPUTED_VALUE"""),"")</f>
        <v/>
      </c>
      <c r="J1786">
        <f>IFERROR(__xludf.DUMMYFUNCTION("""COMPUTED_VALUE"""),0.0)</f>
        <v>0</v>
      </c>
      <c r="L1786" s="250" t="str">
        <f>IFERROR(__xludf.DUMMYFUNCTION("""COMPUTED_VALUE"""),"")</f>
        <v/>
      </c>
      <c r="M1786" s="250" t="str">
        <f>IFERROR(__xludf.DUMMYFUNCTION("""COMPUTED_VALUE"""),"")</f>
        <v/>
      </c>
      <c r="N1786" s="250" t="str">
        <f>IFERROR(__xludf.DUMMYFUNCTION("""COMPUTED_VALUE"""),"")</f>
        <v/>
      </c>
      <c r="O1786" s="250" t="str">
        <f>IFERROR(__xludf.DUMMYFUNCTION("""COMPUTED_VALUE"""),"")</f>
        <v/>
      </c>
      <c r="P1786" s="250" t="str">
        <f>IFERROR(__xludf.DUMMYFUNCTION("""COMPUTED_VALUE"""),"")</f>
        <v/>
      </c>
      <c r="Q1786" s="250" t="str">
        <f>IFERROR(__xludf.DUMMYFUNCTION("""COMPUTED_VALUE"""),"")</f>
        <v/>
      </c>
      <c r="R1786" s="250" t="str">
        <f>IFERROR(__xludf.DUMMYFUNCTION("""COMPUTED_VALUE"""),"")</f>
        <v/>
      </c>
      <c r="U1786" s="250" t="str">
        <f>IFERROR(__xludf.DUMMYFUNCTION("""COMPUTED_VALUE"""),"#N/A")</f>
        <v>#N/A</v>
      </c>
      <c r="V1786" s="250" t="str">
        <f>IFERROR(__xludf.DUMMYFUNCTION("""COMPUTED_VALUE"""),"#N/A")</f>
        <v>#N/A</v>
      </c>
      <c r="W1786" s="250" t="str">
        <f>IFERROR(__xludf.DUMMYFUNCTION("""COMPUTED_VALUE"""),"#N/A")</f>
        <v>#N/A</v>
      </c>
      <c r="X1786" t="b">
        <f t="shared" ref="X1786:Z1786" si="3548">ISBLANK(K1786)</f>
        <v>1</v>
      </c>
      <c r="Y1786" t="b">
        <f t="shared" si="3548"/>
        <v>0</v>
      </c>
      <c r="Z1786" t="b">
        <f t="shared" si="3548"/>
        <v>0</v>
      </c>
      <c r="AA1786">
        <f t="shared" ref="AA1786:AC1786" si="3549">IF(X1786=FALSE,1,0)</f>
        <v>0</v>
      </c>
      <c r="AB1786">
        <f t="shared" si="3549"/>
        <v>1</v>
      </c>
      <c r="AC1786">
        <f t="shared" si="3549"/>
        <v>1</v>
      </c>
      <c r="AD1786">
        <f t="shared" si="6"/>
        <v>2</v>
      </c>
      <c r="AE1786">
        <f t="shared" si="7"/>
        <v>1</v>
      </c>
    </row>
    <row r="1787">
      <c r="B1787" t="str">
        <f>IFERROR(__xludf.DUMMYFUNCTION("""COMPUTED_VALUE"""),"")</f>
        <v/>
      </c>
      <c r="C1787" t="str">
        <f>IFERROR(__xludf.DUMMYFUNCTION("""COMPUTED_VALUE"""),"")</f>
        <v/>
      </c>
      <c r="D1787" t="str">
        <f>IFERROR(__xludf.DUMMYFUNCTION("""COMPUTED_VALUE"""),"")</f>
        <v/>
      </c>
      <c r="E1787" t="str">
        <f>IFERROR(__xludf.DUMMYFUNCTION("""COMPUTED_VALUE"""),"")</f>
        <v/>
      </c>
      <c r="F1787" t="str">
        <f>IFERROR(__xludf.DUMMYFUNCTION("""COMPUTED_VALUE"""),"")</f>
        <v/>
      </c>
      <c r="G1787" t="str">
        <f>IFERROR(__xludf.DUMMYFUNCTION("""COMPUTED_VALUE"""),"")</f>
        <v/>
      </c>
      <c r="H1787" t="str">
        <f>IFERROR(__xludf.DUMMYFUNCTION("""COMPUTED_VALUE"""),"")</f>
        <v/>
      </c>
      <c r="I1787" t="str">
        <f>IFERROR(__xludf.DUMMYFUNCTION("""COMPUTED_VALUE"""),"")</f>
        <v/>
      </c>
      <c r="J1787">
        <f>IFERROR(__xludf.DUMMYFUNCTION("""COMPUTED_VALUE"""),0.0)</f>
        <v>0</v>
      </c>
      <c r="L1787" s="250" t="str">
        <f>IFERROR(__xludf.DUMMYFUNCTION("""COMPUTED_VALUE"""),"")</f>
        <v/>
      </c>
      <c r="M1787" s="250" t="str">
        <f>IFERROR(__xludf.DUMMYFUNCTION("""COMPUTED_VALUE"""),"")</f>
        <v/>
      </c>
      <c r="N1787" s="250" t="str">
        <f>IFERROR(__xludf.DUMMYFUNCTION("""COMPUTED_VALUE"""),"")</f>
        <v/>
      </c>
      <c r="O1787" s="250" t="str">
        <f>IFERROR(__xludf.DUMMYFUNCTION("""COMPUTED_VALUE"""),"")</f>
        <v/>
      </c>
      <c r="P1787" s="250" t="str">
        <f>IFERROR(__xludf.DUMMYFUNCTION("""COMPUTED_VALUE"""),"")</f>
        <v/>
      </c>
      <c r="Q1787" s="250" t="str">
        <f>IFERROR(__xludf.DUMMYFUNCTION("""COMPUTED_VALUE"""),"")</f>
        <v/>
      </c>
      <c r="R1787" s="250" t="str">
        <f>IFERROR(__xludf.DUMMYFUNCTION("""COMPUTED_VALUE"""),"")</f>
        <v/>
      </c>
      <c r="U1787" s="250" t="str">
        <f>IFERROR(__xludf.DUMMYFUNCTION("""COMPUTED_VALUE"""),"#N/A")</f>
        <v>#N/A</v>
      </c>
      <c r="V1787" s="250" t="str">
        <f>IFERROR(__xludf.DUMMYFUNCTION("""COMPUTED_VALUE"""),"#N/A")</f>
        <v>#N/A</v>
      </c>
      <c r="W1787" s="250" t="str">
        <f>IFERROR(__xludf.DUMMYFUNCTION("""COMPUTED_VALUE"""),"#N/A")</f>
        <v>#N/A</v>
      </c>
      <c r="X1787" t="b">
        <f t="shared" ref="X1787:Z1787" si="3550">ISBLANK(K1787)</f>
        <v>1</v>
      </c>
      <c r="Y1787" t="b">
        <f t="shared" si="3550"/>
        <v>0</v>
      </c>
      <c r="Z1787" t="b">
        <f t="shared" si="3550"/>
        <v>0</v>
      </c>
      <c r="AA1787">
        <f t="shared" ref="AA1787:AC1787" si="3551">IF(X1787=FALSE,1,0)</f>
        <v>0</v>
      </c>
      <c r="AB1787">
        <f t="shared" si="3551"/>
        <v>1</v>
      </c>
      <c r="AC1787">
        <f t="shared" si="3551"/>
        <v>1</v>
      </c>
      <c r="AD1787">
        <f t="shared" si="6"/>
        <v>2</v>
      </c>
      <c r="AE1787">
        <f t="shared" si="7"/>
        <v>1</v>
      </c>
    </row>
    <row r="1788">
      <c r="B1788" t="str">
        <f>IFERROR(__xludf.DUMMYFUNCTION("""COMPUTED_VALUE"""),"")</f>
        <v/>
      </c>
      <c r="C1788" t="str">
        <f>IFERROR(__xludf.DUMMYFUNCTION("""COMPUTED_VALUE"""),"")</f>
        <v/>
      </c>
      <c r="D1788" t="str">
        <f>IFERROR(__xludf.DUMMYFUNCTION("""COMPUTED_VALUE"""),"")</f>
        <v/>
      </c>
      <c r="E1788" t="str">
        <f>IFERROR(__xludf.DUMMYFUNCTION("""COMPUTED_VALUE"""),"")</f>
        <v/>
      </c>
      <c r="F1788" t="str">
        <f>IFERROR(__xludf.DUMMYFUNCTION("""COMPUTED_VALUE"""),"")</f>
        <v/>
      </c>
      <c r="G1788" t="str">
        <f>IFERROR(__xludf.DUMMYFUNCTION("""COMPUTED_VALUE"""),"")</f>
        <v/>
      </c>
      <c r="H1788" t="str">
        <f>IFERROR(__xludf.DUMMYFUNCTION("""COMPUTED_VALUE"""),"")</f>
        <v/>
      </c>
      <c r="I1788" t="str">
        <f>IFERROR(__xludf.DUMMYFUNCTION("""COMPUTED_VALUE"""),"")</f>
        <v/>
      </c>
      <c r="J1788">
        <f>IFERROR(__xludf.DUMMYFUNCTION("""COMPUTED_VALUE"""),0.0)</f>
        <v>0</v>
      </c>
      <c r="L1788" s="250" t="str">
        <f>IFERROR(__xludf.DUMMYFUNCTION("""COMPUTED_VALUE"""),"")</f>
        <v/>
      </c>
      <c r="M1788" s="250" t="str">
        <f>IFERROR(__xludf.DUMMYFUNCTION("""COMPUTED_VALUE"""),"")</f>
        <v/>
      </c>
      <c r="N1788" s="250" t="str">
        <f>IFERROR(__xludf.DUMMYFUNCTION("""COMPUTED_VALUE"""),"")</f>
        <v/>
      </c>
      <c r="O1788" s="250" t="str">
        <f>IFERROR(__xludf.DUMMYFUNCTION("""COMPUTED_VALUE"""),"")</f>
        <v/>
      </c>
      <c r="P1788" s="250" t="str">
        <f>IFERROR(__xludf.DUMMYFUNCTION("""COMPUTED_VALUE"""),"")</f>
        <v/>
      </c>
      <c r="Q1788" s="250" t="str">
        <f>IFERROR(__xludf.DUMMYFUNCTION("""COMPUTED_VALUE"""),"")</f>
        <v/>
      </c>
      <c r="R1788" s="250" t="str">
        <f>IFERROR(__xludf.DUMMYFUNCTION("""COMPUTED_VALUE"""),"")</f>
        <v/>
      </c>
      <c r="U1788" s="250" t="str">
        <f>IFERROR(__xludf.DUMMYFUNCTION("""COMPUTED_VALUE"""),"#N/A")</f>
        <v>#N/A</v>
      </c>
      <c r="V1788" s="250" t="str">
        <f>IFERROR(__xludf.DUMMYFUNCTION("""COMPUTED_VALUE"""),"#N/A")</f>
        <v>#N/A</v>
      </c>
      <c r="W1788" s="250" t="str">
        <f>IFERROR(__xludf.DUMMYFUNCTION("""COMPUTED_VALUE"""),"#N/A")</f>
        <v>#N/A</v>
      </c>
      <c r="X1788" t="b">
        <f t="shared" ref="X1788:Z1788" si="3552">ISBLANK(K1788)</f>
        <v>1</v>
      </c>
      <c r="Y1788" t="b">
        <f t="shared" si="3552"/>
        <v>0</v>
      </c>
      <c r="Z1788" t="b">
        <f t="shared" si="3552"/>
        <v>0</v>
      </c>
      <c r="AA1788">
        <f t="shared" ref="AA1788:AC1788" si="3553">IF(X1788=FALSE,1,0)</f>
        <v>0</v>
      </c>
      <c r="AB1788">
        <f t="shared" si="3553"/>
        <v>1</v>
      </c>
      <c r="AC1788">
        <f t="shared" si="3553"/>
        <v>1</v>
      </c>
      <c r="AD1788">
        <f t="shared" si="6"/>
        <v>2</v>
      </c>
      <c r="AE1788">
        <f t="shared" si="7"/>
        <v>1</v>
      </c>
    </row>
    <row r="1789">
      <c r="B1789" t="str">
        <f>IFERROR(__xludf.DUMMYFUNCTION("""COMPUTED_VALUE"""),"")</f>
        <v/>
      </c>
      <c r="C1789" t="str">
        <f>IFERROR(__xludf.DUMMYFUNCTION("""COMPUTED_VALUE"""),"")</f>
        <v/>
      </c>
      <c r="D1789" t="str">
        <f>IFERROR(__xludf.DUMMYFUNCTION("""COMPUTED_VALUE"""),"")</f>
        <v/>
      </c>
      <c r="E1789" t="str">
        <f>IFERROR(__xludf.DUMMYFUNCTION("""COMPUTED_VALUE"""),"")</f>
        <v/>
      </c>
      <c r="F1789" t="str">
        <f>IFERROR(__xludf.DUMMYFUNCTION("""COMPUTED_VALUE"""),"")</f>
        <v/>
      </c>
      <c r="G1789" t="str">
        <f>IFERROR(__xludf.DUMMYFUNCTION("""COMPUTED_VALUE"""),"")</f>
        <v/>
      </c>
      <c r="H1789" t="str">
        <f>IFERROR(__xludf.DUMMYFUNCTION("""COMPUTED_VALUE"""),"")</f>
        <v/>
      </c>
      <c r="I1789" t="str">
        <f>IFERROR(__xludf.DUMMYFUNCTION("""COMPUTED_VALUE"""),"")</f>
        <v/>
      </c>
      <c r="J1789">
        <f>IFERROR(__xludf.DUMMYFUNCTION("""COMPUTED_VALUE"""),0.0)</f>
        <v>0</v>
      </c>
      <c r="L1789" s="250" t="str">
        <f>IFERROR(__xludf.DUMMYFUNCTION("""COMPUTED_VALUE"""),"")</f>
        <v/>
      </c>
      <c r="M1789" s="250" t="str">
        <f>IFERROR(__xludf.DUMMYFUNCTION("""COMPUTED_VALUE"""),"")</f>
        <v/>
      </c>
      <c r="N1789" s="250" t="str">
        <f>IFERROR(__xludf.DUMMYFUNCTION("""COMPUTED_VALUE"""),"")</f>
        <v/>
      </c>
      <c r="O1789" s="250" t="str">
        <f>IFERROR(__xludf.DUMMYFUNCTION("""COMPUTED_VALUE"""),"")</f>
        <v/>
      </c>
      <c r="P1789" s="250" t="str">
        <f>IFERROR(__xludf.DUMMYFUNCTION("""COMPUTED_VALUE"""),"")</f>
        <v/>
      </c>
      <c r="Q1789" s="250" t="str">
        <f>IFERROR(__xludf.DUMMYFUNCTION("""COMPUTED_VALUE"""),"")</f>
        <v/>
      </c>
      <c r="R1789" s="250" t="str">
        <f>IFERROR(__xludf.DUMMYFUNCTION("""COMPUTED_VALUE"""),"")</f>
        <v/>
      </c>
      <c r="U1789" s="250" t="str">
        <f>IFERROR(__xludf.DUMMYFUNCTION("""COMPUTED_VALUE"""),"#N/A")</f>
        <v>#N/A</v>
      </c>
      <c r="V1789" s="250" t="str">
        <f>IFERROR(__xludf.DUMMYFUNCTION("""COMPUTED_VALUE"""),"#N/A")</f>
        <v>#N/A</v>
      </c>
      <c r="W1789" s="250" t="str">
        <f>IFERROR(__xludf.DUMMYFUNCTION("""COMPUTED_VALUE"""),"#N/A")</f>
        <v>#N/A</v>
      </c>
      <c r="X1789" t="b">
        <f t="shared" ref="X1789:Z1789" si="3554">ISBLANK(K1789)</f>
        <v>1</v>
      </c>
      <c r="Y1789" t="b">
        <f t="shared" si="3554"/>
        <v>0</v>
      </c>
      <c r="Z1789" t="b">
        <f t="shared" si="3554"/>
        <v>0</v>
      </c>
      <c r="AA1789">
        <f t="shared" ref="AA1789:AC1789" si="3555">IF(X1789=FALSE,1,0)</f>
        <v>0</v>
      </c>
      <c r="AB1789">
        <f t="shared" si="3555"/>
        <v>1</v>
      </c>
      <c r="AC1789">
        <f t="shared" si="3555"/>
        <v>1</v>
      </c>
      <c r="AD1789">
        <f t="shared" si="6"/>
        <v>2</v>
      </c>
      <c r="AE1789">
        <f t="shared" si="7"/>
        <v>1</v>
      </c>
    </row>
    <row r="1790">
      <c r="B1790" t="str">
        <f>IFERROR(__xludf.DUMMYFUNCTION("""COMPUTED_VALUE"""),"")</f>
        <v/>
      </c>
      <c r="C1790" t="str">
        <f>IFERROR(__xludf.DUMMYFUNCTION("""COMPUTED_VALUE"""),"")</f>
        <v/>
      </c>
      <c r="D1790" t="str">
        <f>IFERROR(__xludf.DUMMYFUNCTION("""COMPUTED_VALUE"""),"")</f>
        <v/>
      </c>
      <c r="E1790" t="str">
        <f>IFERROR(__xludf.DUMMYFUNCTION("""COMPUTED_VALUE"""),"")</f>
        <v/>
      </c>
      <c r="F1790" t="str">
        <f>IFERROR(__xludf.DUMMYFUNCTION("""COMPUTED_VALUE"""),"")</f>
        <v/>
      </c>
      <c r="G1790" t="str">
        <f>IFERROR(__xludf.DUMMYFUNCTION("""COMPUTED_VALUE"""),"")</f>
        <v/>
      </c>
      <c r="H1790" t="str">
        <f>IFERROR(__xludf.DUMMYFUNCTION("""COMPUTED_VALUE"""),"")</f>
        <v/>
      </c>
      <c r="I1790" t="str">
        <f>IFERROR(__xludf.DUMMYFUNCTION("""COMPUTED_VALUE"""),"")</f>
        <v/>
      </c>
      <c r="J1790">
        <f>IFERROR(__xludf.DUMMYFUNCTION("""COMPUTED_VALUE"""),0.0)</f>
        <v>0</v>
      </c>
      <c r="L1790" s="250" t="str">
        <f>IFERROR(__xludf.DUMMYFUNCTION("""COMPUTED_VALUE"""),"")</f>
        <v/>
      </c>
      <c r="M1790" s="250" t="str">
        <f>IFERROR(__xludf.DUMMYFUNCTION("""COMPUTED_VALUE"""),"")</f>
        <v/>
      </c>
      <c r="N1790" s="250" t="str">
        <f>IFERROR(__xludf.DUMMYFUNCTION("""COMPUTED_VALUE"""),"")</f>
        <v/>
      </c>
      <c r="O1790" s="250" t="str">
        <f>IFERROR(__xludf.DUMMYFUNCTION("""COMPUTED_VALUE"""),"")</f>
        <v/>
      </c>
      <c r="P1790" s="250" t="str">
        <f>IFERROR(__xludf.DUMMYFUNCTION("""COMPUTED_VALUE"""),"")</f>
        <v/>
      </c>
      <c r="Q1790" s="250" t="str">
        <f>IFERROR(__xludf.DUMMYFUNCTION("""COMPUTED_VALUE"""),"")</f>
        <v/>
      </c>
      <c r="R1790" s="250" t="str">
        <f>IFERROR(__xludf.DUMMYFUNCTION("""COMPUTED_VALUE"""),"")</f>
        <v/>
      </c>
      <c r="U1790" s="250" t="str">
        <f>IFERROR(__xludf.DUMMYFUNCTION("""COMPUTED_VALUE"""),"#N/A")</f>
        <v>#N/A</v>
      </c>
      <c r="V1790" s="250" t="str">
        <f>IFERROR(__xludf.DUMMYFUNCTION("""COMPUTED_VALUE"""),"#N/A")</f>
        <v>#N/A</v>
      </c>
      <c r="W1790" s="250" t="str">
        <f>IFERROR(__xludf.DUMMYFUNCTION("""COMPUTED_VALUE"""),"#N/A")</f>
        <v>#N/A</v>
      </c>
      <c r="X1790" t="b">
        <f t="shared" ref="X1790:Z1790" si="3556">ISBLANK(K1790)</f>
        <v>1</v>
      </c>
      <c r="Y1790" t="b">
        <f t="shared" si="3556"/>
        <v>0</v>
      </c>
      <c r="Z1790" t="b">
        <f t="shared" si="3556"/>
        <v>0</v>
      </c>
      <c r="AA1790">
        <f t="shared" ref="AA1790:AC1790" si="3557">IF(X1790=FALSE,1,0)</f>
        <v>0</v>
      </c>
      <c r="AB1790">
        <f t="shared" si="3557"/>
        <v>1</v>
      </c>
      <c r="AC1790">
        <f t="shared" si="3557"/>
        <v>1</v>
      </c>
      <c r="AD1790">
        <f t="shared" si="6"/>
        <v>2</v>
      </c>
      <c r="AE1790">
        <f t="shared" si="7"/>
        <v>1</v>
      </c>
    </row>
    <row r="1791">
      <c r="B1791" t="str">
        <f>IFERROR(__xludf.DUMMYFUNCTION("""COMPUTED_VALUE"""),"")</f>
        <v/>
      </c>
      <c r="C1791" t="str">
        <f>IFERROR(__xludf.DUMMYFUNCTION("""COMPUTED_VALUE"""),"")</f>
        <v/>
      </c>
      <c r="D1791" t="str">
        <f>IFERROR(__xludf.DUMMYFUNCTION("""COMPUTED_VALUE"""),"")</f>
        <v/>
      </c>
      <c r="E1791" t="str">
        <f>IFERROR(__xludf.DUMMYFUNCTION("""COMPUTED_VALUE"""),"")</f>
        <v/>
      </c>
      <c r="F1791" t="str">
        <f>IFERROR(__xludf.DUMMYFUNCTION("""COMPUTED_VALUE"""),"")</f>
        <v/>
      </c>
      <c r="G1791" t="str">
        <f>IFERROR(__xludf.DUMMYFUNCTION("""COMPUTED_VALUE"""),"")</f>
        <v/>
      </c>
      <c r="H1791" t="str">
        <f>IFERROR(__xludf.DUMMYFUNCTION("""COMPUTED_VALUE"""),"")</f>
        <v/>
      </c>
      <c r="I1791" t="str">
        <f>IFERROR(__xludf.DUMMYFUNCTION("""COMPUTED_VALUE"""),"")</f>
        <v/>
      </c>
      <c r="J1791">
        <f>IFERROR(__xludf.DUMMYFUNCTION("""COMPUTED_VALUE"""),0.0)</f>
        <v>0</v>
      </c>
      <c r="L1791" s="250" t="str">
        <f>IFERROR(__xludf.DUMMYFUNCTION("""COMPUTED_VALUE"""),"")</f>
        <v/>
      </c>
      <c r="M1791" s="250" t="str">
        <f>IFERROR(__xludf.DUMMYFUNCTION("""COMPUTED_VALUE"""),"")</f>
        <v/>
      </c>
      <c r="N1791" s="250" t="str">
        <f>IFERROR(__xludf.DUMMYFUNCTION("""COMPUTED_VALUE"""),"")</f>
        <v/>
      </c>
      <c r="O1791" s="250" t="str">
        <f>IFERROR(__xludf.DUMMYFUNCTION("""COMPUTED_VALUE"""),"")</f>
        <v/>
      </c>
      <c r="P1791" s="250" t="str">
        <f>IFERROR(__xludf.DUMMYFUNCTION("""COMPUTED_VALUE"""),"")</f>
        <v/>
      </c>
      <c r="Q1791" s="250" t="str">
        <f>IFERROR(__xludf.DUMMYFUNCTION("""COMPUTED_VALUE"""),"")</f>
        <v/>
      </c>
      <c r="R1791" s="250" t="str">
        <f>IFERROR(__xludf.DUMMYFUNCTION("""COMPUTED_VALUE"""),"")</f>
        <v/>
      </c>
      <c r="U1791" s="250" t="str">
        <f>IFERROR(__xludf.DUMMYFUNCTION("""COMPUTED_VALUE"""),"#N/A")</f>
        <v>#N/A</v>
      </c>
      <c r="V1791" s="250" t="str">
        <f>IFERROR(__xludf.DUMMYFUNCTION("""COMPUTED_VALUE"""),"#N/A")</f>
        <v>#N/A</v>
      </c>
      <c r="W1791" s="250" t="str">
        <f>IFERROR(__xludf.DUMMYFUNCTION("""COMPUTED_VALUE"""),"#N/A")</f>
        <v>#N/A</v>
      </c>
      <c r="X1791" t="b">
        <f t="shared" ref="X1791:Z1791" si="3558">ISBLANK(K1791)</f>
        <v>1</v>
      </c>
      <c r="Y1791" t="b">
        <f t="shared" si="3558"/>
        <v>0</v>
      </c>
      <c r="Z1791" t="b">
        <f t="shared" si="3558"/>
        <v>0</v>
      </c>
      <c r="AA1791">
        <f t="shared" ref="AA1791:AC1791" si="3559">IF(X1791=FALSE,1,0)</f>
        <v>0</v>
      </c>
      <c r="AB1791">
        <f t="shared" si="3559"/>
        <v>1</v>
      </c>
      <c r="AC1791">
        <f t="shared" si="3559"/>
        <v>1</v>
      </c>
      <c r="AD1791">
        <f t="shared" si="6"/>
        <v>2</v>
      </c>
      <c r="AE1791">
        <f t="shared" si="7"/>
        <v>1</v>
      </c>
    </row>
    <row r="1792">
      <c r="B1792" t="str">
        <f>IFERROR(__xludf.DUMMYFUNCTION("""COMPUTED_VALUE"""),"")</f>
        <v/>
      </c>
      <c r="C1792" t="str">
        <f>IFERROR(__xludf.DUMMYFUNCTION("""COMPUTED_VALUE"""),"")</f>
        <v/>
      </c>
      <c r="D1792" t="str">
        <f>IFERROR(__xludf.DUMMYFUNCTION("""COMPUTED_VALUE"""),"")</f>
        <v/>
      </c>
      <c r="E1792" t="str">
        <f>IFERROR(__xludf.DUMMYFUNCTION("""COMPUTED_VALUE"""),"")</f>
        <v/>
      </c>
      <c r="F1792" t="str">
        <f>IFERROR(__xludf.DUMMYFUNCTION("""COMPUTED_VALUE"""),"")</f>
        <v/>
      </c>
      <c r="G1792" t="str">
        <f>IFERROR(__xludf.DUMMYFUNCTION("""COMPUTED_VALUE"""),"")</f>
        <v/>
      </c>
      <c r="H1792" t="str">
        <f>IFERROR(__xludf.DUMMYFUNCTION("""COMPUTED_VALUE"""),"")</f>
        <v/>
      </c>
      <c r="I1792" t="str">
        <f>IFERROR(__xludf.DUMMYFUNCTION("""COMPUTED_VALUE"""),"")</f>
        <v/>
      </c>
      <c r="J1792">
        <f>IFERROR(__xludf.DUMMYFUNCTION("""COMPUTED_VALUE"""),0.0)</f>
        <v>0</v>
      </c>
      <c r="L1792" s="250" t="str">
        <f>IFERROR(__xludf.DUMMYFUNCTION("""COMPUTED_VALUE"""),"")</f>
        <v/>
      </c>
      <c r="M1792" s="250" t="str">
        <f>IFERROR(__xludf.DUMMYFUNCTION("""COMPUTED_VALUE"""),"")</f>
        <v/>
      </c>
      <c r="N1792" s="250" t="str">
        <f>IFERROR(__xludf.DUMMYFUNCTION("""COMPUTED_VALUE"""),"")</f>
        <v/>
      </c>
      <c r="O1792" s="250" t="str">
        <f>IFERROR(__xludf.DUMMYFUNCTION("""COMPUTED_VALUE"""),"")</f>
        <v/>
      </c>
      <c r="P1792" s="250" t="str">
        <f>IFERROR(__xludf.DUMMYFUNCTION("""COMPUTED_VALUE"""),"")</f>
        <v/>
      </c>
      <c r="Q1792" s="250" t="str">
        <f>IFERROR(__xludf.DUMMYFUNCTION("""COMPUTED_VALUE"""),"")</f>
        <v/>
      </c>
      <c r="R1792" s="250" t="str">
        <f>IFERROR(__xludf.DUMMYFUNCTION("""COMPUTED_VALUE"""),"")</f>
        <v/>
      </c>
      <c r="U1792" s="250" t="str">
        <f>IFERROR(__xludf.DUMMYFUNCTION("""COMPUTED_VALUE"""),"#N/A")</f>
        <v>#N/A</v>
      </c>
      <c r="V1792" s="250" t="str">
        <f>IFERROR(__xludf.DUMMYFUNCTION("""COMPUTED_VALUE"""),"#N/A")</f>
        <v>#N/A</v>
      </c>
      <c r="W1792" s="250" t="str">
        <f>IFERROR(__xludf.DUMMYFUNCTION("""COMPUTED_VALUE"""),"#N/A")</f>
        <v>#N/A</v>
      </c>
      <c r="X1792" t="b">
        <f t="shared" ref="X1792:Z1792" si="3560">ISBLANK(K1792)</f>
        <v>1</v>
      </c>
      <c r="Y1792" t="b">
        <f t="shared" si="3560"/>
        <v>0</v>
      </c>
      <c r="Z1792" t="b">
        <f t="shared" si="3560"/>
        <v>0</v>
      </c>
      <c r="AA1792">
        <f t="shared" ref="AA1792:AC1792" si="3561">IF(X1792=FALSE,1,0)</f>
        <v>0</v>
      </c>
      <c r="AB1792">
        <f t="shared" si="3561"/>
        <v>1</v>
      </c>
      <c r="AC1792">
        <f t="shared" si="3561"/>
        <v>1</v>
      </c>
      <c r="AD1792">
        <f t="shared" si="6"/>
        <v>2</v>
      </c>
      <c r="AE1792">
        <f t="shared" si="7"/>
        <v>1</v>
      </c>
    </row>
    <row r="1793">
      <c r="B1793" t="str">
        <f>IFERROR(__xludf.DUMMYFUNCTION("""COMPUTED_VALUE"""),"")</f>
        <v/>
      </c>
      <c r="C1793" t="str">
        <f>IFERROR(__xludf.DUMMYFUNCTION("""COMPUTED_VALUE"""),"")</f>
        <v/>
      </c>
      <c r="D1793" t="str">
        <f>IFERROR(__xludf.DUMMYFUNCTION("""COMPUTED_VALUE"""),"")</f>
        <v/>
      </c>
      <c r="E1793" t="str">
        <f>IFERROR(__xludf.DUMMYFUNCTION("""COMPUTED_VALUE"""),"")</f>
        <v/>
      </c>
      <c r="F1793" t="str">
        <f>IFERROR(__xludf.DUMMYFUNCTION("""COMPUTED_VALUE"""),"")</f>
        <v/>
      </c>
      <c r="G1793" t="str">
        <f>IFERROR(__xludf.DUMMYFUNCTION("""COMPUTED_VALUE"""),"")</f>
        <v/>
      </c>
      <c r="H1793" t="str">
        <f>IFERROR(__xludf.DUMMYFUNCTION("""COMPUTED_VALUE"""),"")</f>
        <v/>
      </c>
      <c r="I1793" t="str">
        <f>IFERROR(__xludf.DUMMYFUNCTION("""COMPUTED_VALUE"""),"")</f>
        <v/>
      </c>
      <c r="J1793">
        <f>IFERROR(__xludf.DUMMYFUNCTION("""COMPUTED_VALUE"""),0.0)</f>
        <v>0</v>
      </c>
      <c r="L1793" s="250" t="str">
        <f>IFERROR(__xludf.DUMMYFUNCTION("""COMPUTED_VALUE"""),"")</f>
        <v/>
      </c>
      <c r="M1793" s="250" t="str">
        <f>IFERROR(__xludf.DUMMYFUNCTION("""COMPUTED_VALUE"""),"")</f>
        <v/>
      </c>
      <c r="N1793" s="250" t="str">
        <f>IFERROR(__xludf.DUMMYFUNCTION("""COMPUTED_VALUE"""),"")</f>
        <v/>
      </c>
      <c r="O1793" s="250" t="str">
        <f>IFERROR(__xludf.DUMMYFUNCTION("""COMPUTED_VALUE"""),"")</f>
        <v/>
      </c>
      <c r="P1793" s="250" t="str">
        <f>IFERROR(__xludf.DUMMYFUNCTION("""COMPUTED_VALUE"""),"")</f>
        <v/>
      </c>
      <c r="Q1793" s="250" t="str">
        <f>IFERROR(__xludf.DUMMYFUNCTION("""COMPUTED_VALUE"""),"")</f>
        <v/>
      </c>
      <c r="R1793" s="250" t="str">
        <f>IFERROR(__xludf.DUMMYFUNCTION("""COMPUTED_VALUE"""),"")</f>
        <v/>
      </c>
      <c r="U1793" s="250" t="str">
        <f>IFERROR(__xludf.DUMMYFUNCTION("""COMPUTED_VALUE"""),"#N/A")</f>
        <v>#N/A</v>
      </c>
      <c r="V1793" s="250" t="str">
        <f>IFERROR(__xludf.DUMMYFUNCTION("""COMPUTED_VALUE"""),"#N/A")</f>
        <v>#N/A</v>
      </c>
      <c r="W1793" s="250" t="str">
        <f>IFERROR(__xludf.DUMMYFUNCTION("""COMPUTED_VALUE"""),"#N/A")</f>
        <v>#N/A</v>
      </c>
      <c r="X1793" t="b">
        <f t="shared" ref="X1793:Z1793" si="3562">ISBLANK(K1793)</f>
        <v>1</v>
      </c>
      <c r="Y1793" t="b">
        <f t="shared" si="3562"/>
        <v>0</v>
      </c>
      <c r="Z1793" t="b">
        <f t="shared" si="3562"/>
        <v>0</v>
      </c>
      <c r="AA1793">
        <f t="shared" ref="AA1793:AC1793" si="3563">IF(X1793=FALSE,1,0)</f>
        <v>0</v>
      </c>
      <c r="AB1793">
        <f t="shared" si="3563"/>
        <v>1</v>
      </c>
      <c r="AC1793">
        <f t="shared" si="3563"/>
        <v>1</v>
      </c>
      <c r="AD1793">
        <f t="shared" si="6"/>
        <v>2</v>
      </c>
      <c r="AE1793">
        <f t="shared" si="7"/>
        <v>1</v>
      </c>
    </row>
    <row r="1794">
      <c r="B1794" t="str">
        <f>IFERROR(__xludf.DUMMYFUNCTION("""COMPUTED_VALUE"""),"")</f>
        <v/>
      </c>
      <c r="C1794" t="str">
        <f>IFERROR(__xludf.DUMMYFUNCTION("""COMPUTED_VALUE"""),"")</f>
        <v/>
      </c>
      <c r="D1794" t="str">
        <f>IFERROR(__xludf.DUMMYFUNCTION("""COMPUTED_VALUE"""),"")</f>
        <v/>
      </c>
      <c r="E1794" t="str">
        <f>IFERROR(__xludf.DUMMYFUNCTION("""COMPUTED_VALUE"""),"")</f>
        <v/>
      </c>
      <c r="F1794" t="str">
        <f>IFERROR(__xludf.DUMMYFUNCTION("""COMPUTED_VALUE"""),"")</f>
        <v/>
      </c>
      <c r="G1794" t="str">
        <f>IFERROR(__xludf.DUMMYFUNCTION("""COMPUTED_VALUE"""),"")</f>
        <v/>
      </c>
      <c r="H1794" t="str">
        <f>IFERROR(__xludf.DUMMYFUNCTION("""COMPUTED_VALUE"""),"")</f>
        <v/>
      </c>
      <c r="I1794" t="str">
        <f>IFERROR(__xludf.DUMMYFUNCTION("""COMPUTED_VALUE"""),"")</f>
        <v/>
      </c>
      <c r="J1794">
        <f>IFERROR(__xludf.DUMMYFUNCTION("""COMPUTED_VALUE"""),0.0)</f>
        <v>0</v>
      </c>
      <c r="L1794" s="250" t="str">
        <f>IFERROR(__xludf.DUMMYFUNCTION("""COMPUTED_VALUE"""),"")</f>
        <v/>
      </c>
      <c r="M1794" s="250" t="str">
        <f>IFERROR(__xludf.DUMMYFUNCTION("""COMPUTED_VALUE"""),"")</f>
        <v/>
      </c>
      <c r="N1794" s="250" t="str">
        <f>IFERROR(__xludf.DUMMYFUNCTION("""COMPUTED_VALUE"""),"")</f>
        <v/>
      </c>
      <c r="O1794" s="250" t="str">
        <f>IFERROR(__xludf.DUMMYFUNCTION("""COMPUTED_VALUE"""),"")</f>
        <v/>
      </c>
      <c r="P1794" s="250" t="str">
        <f>IFERROR(__xludf.DUMMYFUNCTION("""COMPUTED_VALUE"""),"")</f>
        <v/>
      </c>
      <c r="Q1794" s="250" t="str">
        <f>IFERROR(__xludf.DUMMYFUNCTION("""COMPUTED_VALUE"""),"")</f>
        <v/>
      </c>
      <c r="R1794" s="250" t="str">
        <f>IFERROR(__xludf.DUMMYFUNCTION("""COMPUTED_VALUE"""),"")</f>
        <v/>
      </c>
      <c r="U1794" s="250" t="str">
        <f>IFERROR(__xludf.DUMMYFUNCTION("""COMPUTED_VALUE"""),"#N/A")</f>
        <v>#N/A</v>
      </c>
      <c r="V1794" s="250" t="str">
        <f>IFERROR(__xludf.DUMMYFUNCTION("""COMPUTED_VALUE"""),"#N/A")</f>
        <v>#N/A</v>
      </c>
      <c r="W1794" s="250" t="str">
        <f>IFERROR(__xludf.DUMMYFUNCTION("""COMPUTED_VALUE"""),"#N/A")</f>
        <v>#N/A</v>
      </c>
      <c r="X1794" t="b">
        <f t="shared" ref="X1794:Z1794" si="3564">ISBLANK(K1794)</f>
        <v>1</v>
      </c>
      <c r="Y1794" t="b">
        <f t="shared" si="3564"/>
        <v>0</v>
      </c>
      <c r="Z1794" t="b">
        <f t="shared" si="3564"/>
        <v>0</v>
      </c>
      <c r="AA1794">
        <f t="shared" ref="AA1794:AC1794" si="3565">IF(X1794=FALSE,1,0)</f>
        <v>0</v>
      </c>
      <c r="AB1794">
        <f t="shared" si="3565"/>
        <v>1</v>
      </c>
      <c r="AC1794">
        <f t="shared" si="3565"/>
        <v>1</v>
      </c>
      <c r="AD1794">
        <f t="shared" si="6"/>
        <v>2</v>
      </c>
      <c r="AE1794">
        <f t="shared" si="7"/>
        <v>1</v>
      </c>
    </row>
    <row r="1795">
      <c r="B1795" t="str">
        <f>IFERROR(__xludf.DUMMYFUNCTION("""COMPUTED_VALUE"""),"")</f>
        <v/>
      </c>
      <c r="C1795" t="str">
        <f>IFERROR(__xludf.DUMMYFUNCTION("""COMPUTED_VALUE"""),"")</f>
        <v/>
      </c>
      <c r="D1795" t="str">
        <f>IFERROR(__xludf.DUMMYFUNCTION("""COMPUTED_VALUE"""),"")</f>
        <v/>
      </c>
      <c r="E1795" t="str">
        <f>IFERROR(__xludf.DUMMYFUNCTION("""COMPUTED_VALUE"""),"")</f>
        <v/>
      </c>
      <c r="F1795" t="str">
        <f>IFERROR(__xludf.DUMMYFUNCTION("""COMPUTED_VALUE"""),"")</f>
        <v/>
      </c>
      <c r="G1795" t="str">
        <f>IFERROR(__xludf.DUMMYFUNCTION("""COMPUTED_VALUE"""),"")</f>
        <v/>
      </c>
      <c r="H1795" t="str">
        <f>IFERROR(__xludf.DUMMYFUNCTION("""COMPUTED_VALUE"""),"")</f>
        <v/>
      </c>
      <c r="I1795" t="str">
        <f>IFERROR(__xludf.DUMMYFUNCTION("""COMPUTED_VALUE"""),"")</f>
        <v/>
      </c>
      <c r="J1795">
        <f>IFERROR(__xludf.DUMMYFUNCTION("""COMPUTED_VALUE"""),0.0)</f>
        <v>0</v>
      </c>
      <c r="L1795" s="250" t="str">
        <f>IFERROR(__xludf.DUMMYFUNCTION("""COMPUTED_VALUE"""),"")</f>
        <v/>
      </c>
      <c r="M1795" s="250" t="str">
        <f>IFERROR(__xludf.DUMMYFUNCTION("""COMPUTED_VALUE"""),"")</f>
        <v/>
      </c>
      <c r="N1795" s="250" t="str">
        <f>IFERROR(__xludf.DUMMYFUNCTION("""COMPUTED_VALUE"""),"")</f>
        <v/>
      </c>
      <c r="O1795" s="250" t="str">
        <f>IFERROR(__xludf.DUMMYFUNCTION("""COMPUTED_VALUE"""),"")</f>
        <v/>
      </c>
      <c r="P1795" s="250" t="str">
        <f>IFERROR(__xludf.DUMMYFUNCTION("""COMPUTED_VALUE"""),"")</f>
        <v/>
      </c>
      <c r="Q1795" s="250" t="str">
        <f>IFERROR(__xludf.DUMMYFUNCTION("""COMPUTED_VALUE"""),"")</f>
        <v/>
      </c>
      <c r="R1795" s="250" t="str">
        <f>IFERROR(__xludf.DUMMYFUNCTION("""COMPUTED_VALUE"""),"")</f>
        <v/>
      </c>
      <c r="U1795" s="250" t="str">
        <f>IFERROR(__xludf.DUMMYFUNCTION("""COMPUTED_VALUE"""),"#N/A")</f>
        <v>#N/A</v>
      </c>
      <c r="V1795" s="250" t="str">
        <f>IFERROR(__xludf.DUMMYFUNCTION("""COMPUTED_VALUE"""),"#N/A")</f>
        <v>#N/A</v>
      </c>
      <c r="W1795" s="250" t="str">
        <f>IFERROR(__xludf.DUMMYFUNCTION("""COMPUTED_VALUE"""),"#N/A")</f>
        <v>#N/A</v>
      </c>
      <c r="X1795" t="b">
        <f t="shared" ref="X1795:Z1795" si="3566">ISBLANK(K1795)</f>
        <v>1</v>
      </c>
      <c r="Y1795" t="b">
        <f t="shared" si="3566"/>
        <v>0</v>
      </c>
      <c r="Z1795" t="b">
        <f t="shared" si="3566"/>
        <v>0</v>
      </c>
      <c r="AA1795">
        <f t="shared" ref="AA1795:AC1795" si="3567">IF(X1795=FALSE,1,0)</f>
        <v>0</v>
      </c>
      <c r="AB1795">
        <f t="shared" si="3567"/>
        <v>1</v>
      </c>
      <c r="AC1795">
        <f t="shared" si="3567"/>
        <v>1</v>
      </c>
      <c r="AD1795">
        <f t="shared" si="6"/>
        <v>2</v>
      </c>
      <c r="AE1795">
        <f t="shared" si="7"/>
        <v>1</v>
      </c>
    </row>
    <row r="1796">
      <c r="B1796" t="str">
        <f>IFERROR(__xludf.DUMMYFUNCTION("""COMPUTED_VALUE"""),"")</f>
        <v/>
      </c>
      <c r="C1796" t="str">
        <f>IFERROR(__xludf.DUMMYFUNCTION("""COMPUTED_VALUE"""),"")</f>
        <v/>
      </c>
      <c r="D1796" t="str">
        <f>IFERROR(__xludf.DUMMYFUNCTION("""COMPUTED_VALUE"""),"")</f>
        <v/>
      </c>
      <c r="E1796" t="str">
        <f>IFERROR(__xludf.DUMMYFUNCTION("""COMPUTED_VALUE"""),"")</f>
        <v/>
      </c>
      <c r="F1796" t="str">
        <f>IFERROR(__xludf.DUMMYFUNCTION("""COMPUTED_VALUE"""),"")</f>
        <v/>
      </c>
      <c r="G1796" t="str">
        <f>IFERROR(__xludf.DUMMYFUNCTION("""COMPUTED_VALUE"""),"")</f>
        <v/>
      </c>
      <c r="H1796" t="str">
        <f>IFERROR(__xludf.DUMMYFUNCTION("""COMPUTED_VALUE"""),"")</f>
        <v/>
      </c>
      <c r="I1796" t="str">
        <f>IFERROR(__xludf.DUMMYFUNCTION("""COMPUTED_VALUE"""),"")</f>
        <v/>
      </c>
      <c r="J1796">
        <f>IFERROR(__xludf.DUMMYFUNCTION("""COMPUTED_VALUE"""),0.0)</f>
        <v>0</v>
      </c>
      <c r="L1796" s="250" t="str">
        <f>IFERROR(__xludf.DUMMYFUNCTION("""COMPUTED_VALUE"""),"")</f>
        <v/>
      </c>
      <c r="M1796" s="250" t="str">
        <f>IFERROR(__xludf.DUMMYFUNCTION("""COMPUTED_VALUE"""),"")</f>
        <v/>
      </c>
      <c r="N1796" s="250" t="str">
        <f>IFERROR(__xludf.DUMMYFUNCTION("""COMPUTED_VALUE"""),"")</f>
        <v/>
      </c>
      <c r="O1796" s="250" t="str">
        <f>IFERROR(__xludf.DUMMYFUNCTION("""COMPUTED_VALUE"""),"")</f>
        <v/>
      </c>
      <c r="P1796" s="250" t="str">
        <f>IFERROR(__xludf.DUMMYFUNCTION("""COMPUTED_VALUE"""),"")</f>
        <v/>
      </c>
      <c r="Q1796" s="250" t="str">
        <f>IFERROR(__xludf.DUMMYFUNCTION("""COMPUTED_VALUE"""),"")</f>
        <v/>
      </c>
      <c r="R1796" s="250" t="str">
        <f>IFERROR(__xludf.DUMMYFUNCTION("""COMPUTED_VALUE"""),"")</f>
        <v/>
      </c>
      <c r="U1796" s="250" t="str">
        <f>IFERROR(__xludf.DUMMYFUNCTION("""COMPUTED_VALUE"""),"#N/A")</f>
        <v>#N/A</v>
      </c>
      <c r="V1796" s="250" t="str">
        <f>IFERROR(__xludf.DUMMYFUNCTION("""COMPUTED_VALUE"""),"#N/A")</f>
        <v>#N/A</v>
      </c>
      <c r="W1796" s="250" t="str">
        <f>IFERROR(__xludf.DUMMYFUNCTION("""COMPUTED_VALUE"""),"#N/A")</f>
        <v>#N/A</v>
      </c>
      <c r="X1796" t="b">
        <f t="shared" ref="X1796:Z1796" si="3568">ISBLANK(K1796)</f>
        <v>1</v>
      </c>
      <c r="Y1796" t="b">
        <f t="shared" si="3568"/>
        <v>0</v>
      </c>
      <c r="Z1796" t="b">
        <f t="shared" si="3568"/>
        <v>0</v>
      </c>
      <c r="AA1796">
        <f t="shared" ref="AA1796:AC1796" si="3569">IF(X1796=FALSE,1,0)</f>
        <v>0</v>
      </c>
      <c r="AB1796">
        <f t="shared" si="3569"/>
        <v>1</v>
      </c>
      <c r="AC1796">
        <f t="shared" si="3569"/>
        <v>1</v>
      </c>
      <c r="AD1796">
        <f t="shared" si="6"/>
        <v>2</v>
      </c>
      <c r="AE1796">
        <f t="shared" si="7"/>
        <v>1</v>
      </c>
    </row>
    <row r="1797">
      <c r="B1797" t="str">
        <f>IFERROR(__xludf.DUMMYFUNCTION("""COMPUTED_VALUE"""),"")</f>
        <v/>
      </c>
      <c r="C1797" t="str">
        <f>IFERROR(__xludf.DUMMYFUNCTION("""COMPUTED_VALUE"""),"")</f>
        <v/>
      </c>
      <c r="D1797" t="str">
        <f>IFERROR(__xludf.DUMMYFUNCTION("""COMPUTED_VALUE"""),"")</f>
        <v/>
      </c>
      <c r="E1797" t="str">
        <f>IFERROR(__xludf.DUMMYFUNCTION("""COMPUTED_VALUE"""),"")</f>
        <v/>
      </c>
      <c r="F1797" t="str">
        <f>IFERROR(__xludf.DUMMYFUNCTION("""COMPUTED_VALUE"""),"")</f>
        <v/>
      </c>
      <c r="G1797" t="str">
        <f>IFERROR(__xludf.DUMMYFUNCTION("""COMPUTED_VALUE"""),"")</f>
        <v/>
      </c>
      <c r="H1797" t="str">
        <f>IFERROR(__xludf.DUMMYFUNCTION("""COMPUTED_VALUE"""),"")</f>
        <v/>
      </c>
      <c r="I1797" t="str">
        <f>IFERROR(__xludf.DUMMYFUNCTION("""COMPUTED_VALUE"""),"")</f>
        <v/>
      </c>
      <c r="J1797">
        <f>IFERROR(__xludf.DUMMYFUNCTION("""COMPUTED_VALUE"""),0.0)</f>
        <v>0</v>
      </c>
      <c r="L1797" s="250" t="str">
        <f>IFERROR(__xludf.DUMMYFUNCTION("""COMPUTED_VALUE"""),"")</f>
        <v/>
      </c>
      <c r="M1797" s="250" t="str">
        <f>IFERROR(__xludf.DUMMYFUNCTION("""COMPUTED_VALUE"""),"")</f>
        <v/>
      </c>
      <c r="N1797" s="250" t="str">
        <f>IFERROR(__xludf.DUMMYFUNCTION("""COMPUTED_VALUE"""),"")</f>
        <v/>
      </c>
      <c r="O1797" s="250" t="str">
        <f>IFERROR(__xludf.DUMMYFUNCTION("""COMPUTED_VALUE"""),"")</f>
        <v/>
      </c>
      <c r="P1797" s="250" t="str">
        <f>IFERROR(__xludf.DUMMYFUNCTION("""COMPUTED_VALUE"""),"")</f>
        <v/>
      </c>
      <c r="Q1797" s="250" t="str">
        <f>IFERROR(__xludf.DUMMYFUNCTION("""COMPUTED_VALUE"""),"")</f>
        <v/>
      </c>
      <c r="R1797" s="250" t="str">
        <f>IFERROR(__xludf.DUMMYFUNCTION("""COMPUTED_VALUE"""),"")</f>
        <v/>
      </c>
      <c r="U1797" s="250" t="str">
        <f>IFERROR(__xludf.DUMMYFUNCTION("""COMPUTED_VALUE"""),"#N/A")</f>
        <v>#N/A</v>
      </c>
      <c r="V1797" s="250" t="str">
        <f>IFERROR(__xludf.DUMMYFUNCTION("""COMPUTED_VALUE"""),"#N/A")</f>
        <v>#N/A</v>
      </c>
      <c r="W1797" s="250" t="str">
        <f>IFERROR(__xludf.DUMMYFUNCTION("""COMPUTED_VALUE"""),"#N/A")</f>
        <v>#N/A</v>
      </c>
      <c r="X1797" t="b">
        <f t="shared" ref="X1797:Z1797" si="3570">ISBLANK(K1797)</f>
        <v>1</v>
      </c>
      <c r="Y1797" t="b">
        <f t="shared" si="3570"/>
        <v>0</v>
      </c>
      <c r="Z1797" t="b">
        <f t="shared" si="3570"/>
        <v>0</v>
      </c>
      <c r="AA1797">
        <f t="shared" ref="AA1797:AC1797" si="3571">IF(X1797=FALSE,1,0)</f>
        <v>0</v>
      </c>
      <c r="AB1797">
        <f t="shared" si="3571"/>
        <v>1</v>
      </c>
      <c r="AC1797">
        <f t="shared" si="3571"/>
        <v>1</v>
      </c>
      <c r="AD1797">
        <f t="shared" si="6"/>
        <v>2</v>
      </c>
      <c r="AE1797">
        <f t="shared" si="7"/>
        <v>1</v>
      </c>
    </row>
    <row r="1798">
      <c r="B1798" t="str">
        <f>IFERROR(__xludf.DUMMYFUNCTION("""COMPUTED_VALUE"""),"")</f>
        <v/>
      </c>
      <c r="C1798" t="str">
        <f>IFERROR(__xludf.DUMMYFUNCTION("""COMPUTED_VALUE"""),"")</f>
        <v/>
      </c>
      <c r="D1798" t="str">
        <f>IFERROR(__xludf.DUMMYFUNCTION("""COMPUTED_VALUE"""),"")</f>
        <v/>
      </c>
      <c r="E1798" t="str">
        <f>IFERROR(__xludf.DUMMYFUNCTION("""COMPUTED_VALUE"""),"")</f>
        <v/>
      </c>
      <c r="F1798" t="str">
        <f>IFERROR(__xludf.DUMMYFUNCTION("""COMPUTED_VALUE"""),"")</f>
        <v/>
      </c>
      <c r="G1798" t="str">
        <f>IFERROR(__xludf.DUMMYFUNCTION("""COMPUTED_VALUE"""),"")</f>
        <v/>
      </c>
      <c r="H1798" t="str">
        <f>IFERROR(__xludf.DUMMYFUNCTION("""COMPUTED_VALUE"""),"")</f>
        <v/>
      </c>
      <c r="I1798" t="str">
        <f>IFERROR(__xludf.DUMMYFUNCTION("""COMPUTED_VALUE"""),"")</f>
        <v/>
      </c>
      <c r="J1798">
        <f>IFERROR(__xludf.DUMMYFUNCTION("""COMPUTED_VALUE"""),0.0)</f>
        <v>0</v>
      </c>
      <c r="L1798" s="250" t="str">
        <f>IFERROR(__xludf.DUMMYFUNCTION("""COMPUTED_VALUE"""),"")</f>
        <v/>
      </c>
      <c r="M1798" s="250" t="str">
        <f>IFERROR(__xludf.DUMMYFUNCTION("""COMPUTED_VALUE"""),"")</f>
        <v/>
      </c>
      <c r="N1798" s="250" t="str">
        <f>IFERROR(__xludf.DUMMYFUNCTION("""COMPUTED_VALUE"""),"")</f>
        <v/>
      </c>
      <c r="O1798" s="250" t="str">
        <f>IFERROR(__xludf.DUMMYFUNCTION("""COMPUTED_VALUE"""),"")</f>
        <v/>
      </c>
      <c r="P1798" s="250" t="str">
        <f>IFERROR(__xludf.DUMMYFUNCTION("""COMPUTED_VALUE"""),"")</f>
        <v/>
      </c>
      <c r="Q1798" s="250" t="str">
        <f>IFERROR(__xludf.DUMMYFUNCTION("""COMPUTED_VALUE"""),"")</f>
        <v/>
      </c>
      <c r="R1798" s="250" t="str">
        <f>IFERROR(__xludf.DUMMYFUNCTION("""COMPUTED_VALUE"""),"")</f>
        <v/>
      </c>
      <c r="U1798" s="250" t="str">
        <f>IFERROR(__xludf.DUMMYFUNCTION("""COMPUTED_VALUE"""),"#N/A")</f>
        <v>#N/A</v>
      </c>
      <c r="V1798" s="250" t="str">
        <f>IFERROR(__xludf.DUMMYFUNCTION("""COMPUTED_VALUE"""),"#N/A")</f>
        <v>#N/A</v>
      </c>
      <c r="W1798" s="250" t="str">
        <f>IFERROR(__xludf.DUMMYFUNCTION("""COMPUTED_VALUE"""),"#N/A")</f>
        <v>#N/A</v>
      </c>
      <c r="X1798" t="b">
        <f t="shared" ref="X1798:Z1798" si="3572">ISBLANK(K1798)</f>
        <v>1</v>
      </c>
      <c r="Y1798" t="b">
        <f t="shared" si="3572"/>
        <v>0</v>
      </c>
      <c r="Z1798" t="b">
        <f t="shared" si="3572"/>
        <v>0</v>
      </c>
      <c r="AA1798">
        <f t="shared" ref="AA1798:AC1798" si="3573">IF(X1798=FALSE,1,0)</f>
        <v>0</v>
      </c>
      <c r="AB1798">
        <f t="shared" si="3573"/>
        <v>1</v>
      </c>
      <c r="AC1798">
        <f t="shared" si="3573"/>
        <v>1</v>
      </c>
      <c r="AD1798">
        <f t="shared" si="6"/>
        <v>2</v>
      </c>
      <c r="AE1798">
        <f t="shared" si="7"/>
        <v>1</v>
      </c>
    </row>
    <row r="1799">
      <c r="B1799" t="str">
        <f>IFERROR(__xludf.DUMMYFUNCTION("""COMPUTED_VALUE"""),"")</f>
        <v/>
      </c>
      <c r="C1799" t="str">
        <f>IFERROR(__xludf.DUMMYFUNCTION("""COMPUTED_VALUE"""),"")</f>
        <v/>
      </c>
      <c r="D1799" t="str">
        <f>IFERROR(__xludf.DUMMYFUNCTION("""COMPUTED_VALUE"""),"")</f>
        <v/>
      </c>
      <c r="E1799" t="str">
        <f>IFERROR(__xludf.DUMMYFUNCTION("""COMPUTED_VALUE"""),"")</f>
        <v/>
      </c>
      <c r="F1799" t="str">
        <f>IFERROR(__xludf.DUMMYFUNCTION("""COMPUTED_VALUE"""),"")</f>
        <v/>
      </c>
      <c r="G1799" t="str">
        <f>IFERROR(__xludf.DUMMYFUNCTION("""COMPUTED_VALUE"""),"")</f>
        <v/>
      </c>
      <c r="H1799" t="str">
        <f>IFERROR(__xludf.DUMMYFUNCTION("""COMPUTED_VALUE"""),"")</f>
        <v/>
      </c>
      <c r="I1799" t="str">
        <f>IFERROR(__xludf.DUMMYFUNCTION("""COMPUTED_VALUE"""),"")</f>
        <v/>
      </c>
      <c r="J1799">
        <f>IFERROR(__xludf.DUMMYFUNCTION("""COMPUTED_VALUE"""),0.0)</f>
        <v>0</v>
      </c>
      <c r="L1799" s="250" t="str">
        <f>IFERROR(__xludf.DUMMYFUNCTION("""COMPUTED_VALUE"""),"")</f>
        <v/>
      </c>
      <c r="M1799" s="250" t="str">
        <f>IFERROR(__xludf.DUMMYFUNCTION("""COMPUTED_VALUE"""),"")</f>
        <v/>
      </c>
      <c r="N1799" s="250" t="str">
        <f>IFERROR(__xludf.DUMMYFUNCTION("""COMPUTED_VALUE"""),"")</f>
        <v/>
      </c>
      <c r="O1799" s="250" t="str">
        <f>IFERROR(__xludf.DUMMYFUNCTION("""COMPUTED_VALUE"""),"")</f>
        <v/>
      </c>
      <c r="P1799" s="250" t="str">
        <f>IFERROR(__xludf.DUMMYFUNCTION("""COMPUTED_VALUE"""),"")</f>
        <v/>
      </c>
      <c r="Q1799" s="250" t="str">
        <f>IFERROR(__xludf.DUMMYFUNCTION("""COMPUTED_VALUE"""),"")</f>
        <v/>
      </c>
      <c r="R1799" s="250" t="str">
        <f>IFERROR(__xludf.DUMMYFUNCTION("""COMPUTED_VALUE"""),"")</f>
        <v/>
      </c>
      <c r="U1799" s="250" t="str">
        <f>IFERROR(__xludf.DUMMYFUNCTION("""COMPUTED_VALUE"""),"#N/A")</f>
        <v>#N/A</v>
      </c>
      <c r="V1799" s="250" t="str">
        <f>IFERROR(__xludf.DUMMYFUNCTION("""COMPUTED_VALUE"""),"#N/A")</f>
        <v>#N/A</v>
      </c>
      <c r="W1799" s="250" t="str">
        <f>IFERROR(__xludf.DUMMYFUNCTION("""COMPUTED_VALUE"""),"#N/A")</f>
        <v>#N/A</v>
      </c>
      <c r="X1799" t="b">
        <f t="shared" ref="X1799:Z1799" si="3574">ISBLANK(K1799)</f>
        <v>1</v>
      </c>
      <c r="Y1799" t="b">
        <f t="shared" si="3574"/>
        <v>0</v>
      </c>
      <c r="Z1799" t="b">
        <f t="shared" si="3574"/>
        <v>0</v>
      </c>
      <c r="AA1799">
        <f t="shared" ref="AA1799:AC1799" si="3575">IF(X1799=FALSE,1,0)</f>
        <v>0</v>
      </c>
      <c r="AB1799">
        <f t="shared" si="3575"/>
        <v>1</v>
      </c>
      <c r="AC1799">
        <f t="shared" si="3575"/>
        <v>1</v>
      </c>
      <c r="AD1799">
        <f t="shared" si="6"/>
        <v>2</v>
      </c>
      <c r="AE1799">
        <f t="shared" si="7"/>
        <v>1</v>
      </c>
    </row>
    <row r="1800">
      <c r="B1800" t="str">
        <f>IFERROR(__xludf.DUMMYFUNCTION("""COMPUTED_VALUE"""),"")</f>
        <v/>
      </c>
      <c r="C1800" t="str">
        <f>IFERROR(__xludf.DUMMYFUNCTION("""COMPUTED_VALUE"""),"")</f>
        <v/>
      </c>
      <c r="D1800" t="str">
        <f>IFERROR(__xludf.DUMMYFUNCTION("""COMPUTED_VALUE"""),"")</f>
        <v/>
      </c>
      <c r="E1800" t="str">
        <f>IFERROR(__xludf.DUMMYFUNCTION("""COMPUTED_VALUE"""),"")</f>
        <v/>
      </c>
      <c r="F1800" t="str">
        <f>IFERROR(__xludf.DUMMYFUNCTION("""COMPUTED_VALUE"""),"")</f>
        <v/>
      </c>
      <c r="G1800" t="str">
        <f>IFERROR(__xludf.DUMMYFUNCTION("""COMPUTED_VALUE"""),"")</f>
        <v/>
      </c>
      <c r="H1800" t="str">
        <f>IFERROR(__xludf.DUMMYFUNCTION("""COMPUTED_VALUE"""),"")</f>
        <v/>
      </c>
      <c r="I1800" t="str">
        <f>IFERROR(__xludf.DUMMYFUNCTION("""COMPUTED_VALUE"""),"")</f>
        <v/>
      </c>
      <c r="J1800">
        <f>IFERROR(__xludf.DUMMYFUNCTION("""COMPUTED_VALUE"""),0.0)</f>
        <v>0</v>
      </c>
      <c r="L1800" s="250" t="str">
        <f>IFERROR(__xludf.DUMMYFUNCTION("""COMPUTED_VALUE"""),"")</f>
        <v/>
      </c>
      <c r="M1800" s="250" t="str">
        <f>IFERROR(__xludf.DUMMYFUNCTION("""COMPUTED_VALUE"""),"")</f>
        <v/>
      </c>
      <c r="N1800" s="250" t="str">
        <f>IFERROR(__xludf.DUMMYFUNCTION("""COMPUTED_VALUE"""),"")</f>
        <v/>
      </c>
      <c r="O1800" s="250" t="str">
        <f>IFERROR(__xludf.DUMMYFUNCTION("""COMPUTED_VALUE"""),"")</f>
        <v/>
      </c>
      <c r="P1800" s="250" t="str">
        <f>IFERROR(__xludf.DUMMYFUNCTION("""COMPUTED_VALUE"""),"")</f>
        <v/>
      </c>
      <c r="Q1800" s="250" t="str">
        <f>IFERROR(__xludf.DUMMYFUNCTION("""COMPUTED_VALUE"""),"")</f>
        <v/>
      </c>
      <c r="R1800" s="250" t="str">
        <f>IFERROR(__xludf.DUMMYFUNCTION("""COMPUTED_VALUE"""),"")</f>
        <v/>
      </c>
      <c r="U1800" s="250" t="str">
        <f>IFERROR(__xludf.DUMMYFUNCTION("""COMPUTED_VALUE"""),"#N/A")</f>
        <v>#N/A</v>
      </c>
      <c r="V1800" s="250" t="str">
        <f>IFERROR(__xludf.DUMMYFUNCTION("""COMPUTED_VALUE"""),"#N/A")</f>
        <v>#N/A</v>
      </c>
      <c r="W1800" s="250" t="str">
        <f>IFERROR(__xludf.DUMMYFUNCTION("""COMPUTED_VALUE"""),"#N/A")</f>
        <v>#N/A</v>
      </c>
      <c r="X1800" t="b">
        <f t="shared" ref="X1800:Z1800" si="3576">ISBLANK(K1800)</f>
        <v>1</v>
      </c>
      <c r="Y1800" t="b">
        <f t="shared" si="3576"/>
        <v>0</v>
      </c>
      <c r="Z1800" t="b">
        <f t="shared" si="3576"/>
        <v>0</v>
      </c>
      <c r="AA1800">
        <f t="shared" ref="AA1800:AC1800" si="3577">IF(X1800=FALSE,1,0)</f>
        <v>0</v>
      </c>
      <c r="AB1800">
        <f t="shared" si="3577"/>
        <v>1</v>
      </c>
      <c r="AC1800">
        <f t="shared" si="3577"/>
        <v>1</v>
      </c>
      <c r="AD1800">
        <f t="shared" si="6"/>
        <v>2</v>
      </c>
      <c r="AE1800">
        <f t="shared" si="7"/>
        <v>1</v>
      </c>
    </row>
    <row r="1801">
      <c r="B1801" t="str">
        <f>IFERROR(__xludf.DUMMYFUNCTION("""COMPUTED_VALUE"""),"")</f>
        <v/>
      </c>
      <c r="C1801" t="str">
        <f>IFERROR(__xludf.DUMMYFUNCTION("""COMPUTED_VALUE"""),"")</f>
        <v/>
      </c>
      <c r="D1801" t="str">
        <f>IFERROR(__xludf.DUMMYFUNCTION("""COMPUTED_VALUE"""),"")</f>
        <v/>
      </c>
      <c r="E1801" t="str">
        <f>IFERROR(__xludf.DUMMYFUNCTION("""COMPUTED_VALUE"""),"")</f>
        <v/>
      </c>
      <c r="F1801" t="str">
        <f>IFERROR(__xludf.DUMMYFUNCTION("""COMPUTED_VALUE"""),"")</f>
        <v/>
      </c>
      <c r="G1801" t="str">
        <f>IFERROR(__xludf.DUMMYFUNCTION("""COMPUTED_VALUE"""),"")</f>
        <v/>
      </c>
      <c r="H1801" t="str">
        <f>IFERROR(__xludf.DUMMYFUNCTION("""COMPUTED_VALUE"""),"")</f>
        <v/>
      </c>
      <c r="I1801" t="str">
        <f>IFERROR(__xludf.DUMMYFUNCTION("""COMPUTED_VALUE"""),"")</f>
        <v/>
      </c>
      <c r="J1801">
        <f>IFERROR(__xludf.DUMMYFUNCTION("""COMPUTED_VALUE"""),0.0)</f>
        <v>0</v>
      </c>
      <c r="L1801" s="250" t="str">
        <f>IFERROR(__xludf.DUMMYFUNCTION("""COMPUTED_VALUE"""),"")</f>
        <v/>
      </c>
      <c r="M1801" s="250" t="str">
        <f>IFERROR(__xludf.DUMMYFUNCTION("""COMPUTED_VALUE"""),"")</f>
        <v/>
      </c>
      <c r="N1801" s="250" t="str">
        <f>IFERROR(__xludf.DUMMYFUNCTION("""COMPUTED_VALUE"""),"")</f>
        <v/>
      </c>
      <c r="O1801" s="250" t="str">
        <f>IFERROR(__xludf.DUMMYFUNCTION("""COMPUTED_VALUE"""),"")</f>
        <v/>
      </c>
      <c r="P1801" s="250" t="str">
        <f>IFERROR(__xludf.DUMMYFUNCTION("""COMPUTED_VALUE"""),"")</f>
        <v/>
      </c>
      <c r="Q1801" s="250" t="str">
        <f>IFERROR(__xludf.DUMMYFUNCTION("""COMPUTED_VALUE"""),"")</f>
        <v/>
      </c>
      <c r="R1801" s="250" t="str">
        <f>IFERROR(__xludf.DUMMYFUNCTION("""COMPUTED_VALUE"""),"")</f>
        <v/>
      </c>
      <c r="U1801" s="250" t="str">
        <f>IFERROR(__xludf.DUMMYFUNCTION("""COMPUTED_VALUE"""),"#N/A")</f>
        <v>#N/A</v>
      </c>
      <c r="V1801" s="250" t="str">
        <f>IFERROR(__xludf.DUMMYFUNCTION("""COMPUTED_VALUE"""),"#N/A")</f>
        <v>#N/A</v>
      </c>
      <c r="W1801" s="250" t="str">
        <f>IFERROR(__xludf.DUMMYFUNCTION("""COMPUTED_VALUE"""),"#N/A")</f>
        <v>#N/A</v>
      </c>
      <c r="X1801" t="b">
        <f t="shared" ref="X1801:Z1801" si="3578">ISBLANK(K1801)</f>
        <v>1</v>
      </c>
      <c r="Y1801" t="b">
        <f t="shared" si="3578"/>
        <v>0</v>
      </c>
      <c r="Z1801" t="b">
        <f t="shared" si="3578"/>
        <v>0</v>
      </c>
      <c r="AA1801">
        <f t="shared" ref="AA1801:AC1801" si="3579">IF(X1801=FALSE,1,0)</f>
        <v>0</v>
      </c>
      <c r="AB1801">
        <f t="shared" si="3579"/>
        <v>1</v>
      </c>
      <c r="AC1801">
        <f t="shared" si="3579"/>
        <v>1</v>
      </c>
      <c r="AD1801">
        <f t="shared" si="6"/>
        <v>2</v>
      </c>
      <c r="AE1801">
        <f t="shared" si="7"/>
        <v>1</v>
      </c>
    </row>
    <row r="1802">
      <c r="B1802" t="str">
        <f>IFERROR(__xludf.DUMMYFUNCTION("""COMPUTED_VALUE"""),"")</f>
        <v/>
      </c>
      <c r="C1802" t="str">
        <f>IFERROR(__xludf.DUMMYFUNCTION("""COMPUTED_VALUE"""),"")</f>
        <v/>
      </c>
      <c r="D1802" t="str">
        <f>IFERROR(__xludf.DUMMYFUNCTION("""COMPUTED_VALUE"""),"")</f>
        <v/>
      </c>
      <c r="E1802" t="str">
        <f>IFERROR(__xludf.DUMMYFUNCTION("""COMPUTED_VALUE"""),"")</f>
        <v/>
      </c>
      <c r="F1802" t="str">
        <f>IFERROR(__xludf.DUMMYFUNCTION("""COMPUTED_VALUE"""),"")</f>
        <v/>
      </c>
      <c r="G1802" t="str">
        <f>IFERROR(__xludf.DUMMYFUNCTION("""COMPUTED_VALUE"""),"")</f>
        <v/>
      </c>
      <c r="H1802" t="str">
        <f>IFERROR(__xludf.DUMMYFUNCTION("""COMPUTED_VALUE"""),"")</f>
        <v/>
      </c>
      <c r="I1802" t="str">
        <f>IFERROR(__xludf.DUMMYFUNCTION("""COMPUTED_VALUE"""),"")</f>
        <v/>
      </c>
      <c r="J1802">
        <f>IFERROR(__xludf.DUMMYFUNCTION("""COMPUTED_VALUE"""),0.0)</f>
        <v>0</v>
      </c>
      <c r="L1802" s="250" t="str">
        <f>IFERROR(__xludf.DUMMYFUNCTION("""COMPUTED_VALUE"""),"")</f>
        <v/>
      </c>
      <c r="M1802" s="250" t="str">
        <f>IFERROR(__xludf.DUMMYFUNCTION("""COMPUTED_VALUE"""),"")</f>
        <v/>
      </c>
      <c r="N1802" s="250" t="str">
        <f>IFERROR(__xludf.DUMMYFUNCTION("""COMPUTED_VALUE"""),"")</f>
        <v/>
      </c>
      <c r="O1802" s="250" t="str">
        <f>IFERROR(__xludf.DUMMYFUNCTION("""COMPUTED_VALUE"""),"")</f>
        <v/>
      </c>
      <c r="P1802" s="250" t="str">
        <f>IFERROR(__xludf.DUMMYFUNCTION("""COMPUTED_VALUE"""),"")</f>
        <v/>
      </c>
      <c r="Q1802" s="250" t="str">
        <f>IFERROR(__xludf.DUMMYFUNCTION("""COMPUTED_VALUE"""),"")</f>
        <v/>
      </c>
      <c r="R1802" s="250" t="str">
        <f>IFERROR(__xludf.DUMMYFUNCTION("""COMPUTED_VALUE"""),"")</f>
        <v/>
      </c>
      <c r="U1802" s="250" t="str">
        <f>IFERROR(__xludf.DUMMYFUNCTION("""COMPUTED_VALUE"""),"#N/A")</f>
        <v>#N/A</v>
      </c>
      <c r="V1802" s="250" t="str">
        <f>IFERROR(__xludf.DUMMYFUNCTION("""COMPUTED_VALUE"""),"#N/A")</f>
        <v>#N/A</v>
      </c>
      <c r="W1802" s="250" t="str">
        <f>IFERROR(__xludf.DUMMYFUNCTION("""COMPUTED_VALUE"""),"#N/A")</f>
        <v>#N/A</v>
      </c>
      <c r="X1802" t="b">
        <f t="shared" ref="X1802:Z1802" si="3580">ISBLANK(K1802)</f>
        <v>1</v>
      </c>
      <c r="Y1802" t="b">
        <f t="shared" si="3580"/>
        <v>0</v>
      </c>
      <c r="Z1802" t="b">
        <f t="shared" si="3580"/>
        <v>0</v>
      </c>
      <c r="AA1802">
        <f t="shared" ref="AA1802:AC1802" si="3581">IF(X1802=FALSE,1,0)</f>
        <v>0</v>
      </c>
      <c r="AB1802">
        <f t="shared" si="3581"/>
        <v>1</v>
      </c>
      <c r="AC1802">
        <f t="shared" si="3581"/>
        <v>1</v>
      </c>
      <c r="AD1802">
        <f t="shared" si="6"/>
        <v>2</v>
      </c>
      <c r="AE1802">
        <f t="shared" si="7"/>
        <v>1</v>
      </c>
    </row>
    <row r="1803">
      <c r="B1803" t="str">
        <f>IFERROR(__xludf.DUMMYFUNCTION("""COMPUTED_VALUE"""),"")</f>
        <v/>
      </c>
      <c r="C1803" t="str">
        <f>IFERROR(__xludf.DUMMYFUNCTION("""COMPUTED_VALUE"""),"")</f>
        <v/>
      </c>
      <c r="D1803" t="str">
        <f>IFERROR(__xludf.DUMMYFUNCTION("""COMPUTED_VALUE"""),"")</f>
        <v/>
      </c>
      <c r="E1803" t="str">
        <f>IFERROR(__xludf.DUMMYFUNCTION("""COMPUTED_VALUE"""),"")</f>
        <v/>
      </c>
      <c r="F1803" t="str">
        <f>IFERROR(__xludf.DUMMYFUNCTION("""COMPUTED_VALUE"""),"")</f>
        <v/>
      </c>
      <c r="G1803" t="str">
        <f>IFERROR(__xludf.DUMMYFUNCTION("""COMPUTED_VALUE"""),"")</f>
        <v/>
      </c>
      <c r="H1803" t="str">
        <f>IFERROR(__xludf.DUMMYFUNCTION("""COMPUTED_VALUE"""),"")</f>
        <v/>
      </c>
      <c r="I1803" t="str">
        <f>IFERROR(__xludf.DUMMYFUNCTION("""COMPUTED_VALUE"""),"")</f>
        <v/>
      </c>
      <c r="J1803">
        <f>IFERROR(__xludf.DUMMYFUNCTION("""COMPUTED_VALUE"""),0.0)</f>
        <v>0</v>
      </c>
      <c r="L1803" s="250" t="str">
        <f>IFERROR(__xludf.DUMMYFUNCTION("""COMPUTED_VALUE"""),"")</f>
        <v/>
      </c>
      <c r="M1803" s="250" t="str">
        <f>IFERROR(__xludf.DUMMYFUNCTION("""COMPUTED_VALUE"""),"")</f>
        <v/>
      </c>
      <c r="N1803" s="250" t="str">
        <f>IFERROR(__xludf.DUMMYFUNCTION("""COMPUTED_VALUE"""),"")</f>
        <v/>
      </c>
      <c r="O1803" s="250" t="str">
        <f>IFERROR(__xludf.DUMMYFUNCTION("""COMPUTED_VALUE"""),"")</f>
        <v/>
      </c>
      <c r="P1803" s="250" t="str">
        <f>IFERROR(__xludf.DUMMYFUNCTION("""COMPUTED_VALUE"""),"")</f>
        <v/>
      </c>
      <c r="Q1803" s="250" t="str">
        <f>IFERROR(__xludf.DUMMYFUNCTION("""COMPUTED_VALUE"""),"")</f>
        <v/>
      </c>
      <c r="R1803" s="250" t="str">
        <f>IFERROR(__xludf.DUMMYFUNCTION("""COMPUTED_VALUE"""),"")</f>
        <v/>
      </c>
      <c r="U1803" s="250" t="str">
        <f>IFERROR(__xludf.DUMMYFUNCTION("""COMPUTED_VALUE"""),"#N/A")</f>
        <v>#N/A</v>
      </c>
      <c r="V1803" s="250" t="str">
        <f>IFERROR(__xludf.DUMMYFUNCTION("""COMPUTED_VALUE"""),"#N/A")</f>
        <v>#N/A</v>
      </c>
      <c r="W1803" s="250" t="str">
        <f>IFERROR(__xludf.DUMMYFUNCTION("""COMPUTED_VALUE"""),"#N/A")</f>
        <v>#N/A</v>
      </c>
      <c r="X1803" t="b">
        <f t="shared" ref="X1803:Z1803" si="3582">ISBLANK(K1803)</f>
        <v>1</v>
      </c>
      <c r="Y1803" t="b">
        <f t="shared" si="3582"/>
        <v>0</v>
      </c>
      <c r="Z1803" t="b">
        <f t="shared" si="3582"/>
        <v>0</v>
      </c>
      <c r="AA1803">
        <f t="shared" ref="AA1803:AC1803" si="3583">IF(X1803=FALSE,1,0)</f>
        <v>0</v>
      </c>
      <c r="AB1803">
        <f t="shared" si="3583"/>
        <v>1</v>
      </c>
      <c r="AC1803">
        <f t="shared" si="3583"/>
        <v>1</v>
      </c>
      <c r="AD1803">
        <f t="shared" si="6"/>
        <v>2</v>
      </c>
      <c r="AE1803">
        <f t="shared" si="7"/>
        <v>1</v>
      </c>
    </row>
    <row r="1804">
      <c r="B1804" t="str">
        <f>IFERROR(__xludf.DUMMYFUNCTION("""COMPUTED_VALUE"""),"")</f>
        <v/>
      </c>
      <c r="C1804" t="str">
        <f>IFERROR(__xludf.DUMMYFUNCTION("""COMPUTED_VALUE"""),"")</f>
        <v/>
      </c>
      <c r="D1804" t="str">
        <f>IFERROR(__xludf.DUMMYFUNCTION("""COMPUTED_VALUE"""),"")</f>
        <v/>
      </c>
      <c r="E1804" t="str">
        <f>IFERROR(__xludf.DUMMYFUNCTION("""COMPUTED_VALUE"""),"")</f>
        <v/>
      </c>
      <c r="F1804" t="str">
        <f>IFERROR(__xludf.DUMMYFUNCTION("""COMPUTED_VALUE"""),"")</f>
        <v/>
      </c>
      <c r="G1804" t="str">
        <f>IFERROR(__xludf.DUMMYFUNCTION("""COMPUTED_VALUE"""),"")</f>
        <v/>
      </c>
      <c r="H1804" t="str">
        <f>IFERROR(__xludf.DUMMYFUNCTION("""COMPUTED_VALUE"""),"")</f>
        <v/>
      </c>
      <c r="I1804" t="str">
        <f>IFERROR(__xludf.DUMMYFUNCTION("""COMPUTED_VALUE"""),"")</f>
        <v/>
      </c>
      <c r="J1804">
        <f>IFERROR(__xludf.DUMMYFUNCTION("""COMPUTED_VALUE"""),0.0)</f>
        <v>0</v>
      </c>
      <c r="L1804" s="250" t="str">
        <f>IFERROR(__xludf.DUMMYFUNCTION("""COMPUTED_VALUE"""),"")</f>
        <v/>
      </c>
      <c r="M1804" s="250" t="str">
        <f>IFERROR(__xludf.DUMMYFUNCTION("""COMPUTED_VALUE"""),"")</f>
        <v/>
      </c>
      <c r="N1804" s="250" t="str">
        <f>IFERROR(__xludf.DUMMYFUNCTION("""COMPUTED_VALUE"""),"")</f>
        <v/>
      </c>
      <c r="O1804" s="250" t="str">
        <f>IFERROR(__xludf.DUMMYFUNCTION("""COMPUTED_VALUE"""),"")</f>
        <v/>
      </c>
      <c r="P1804" s="250" t="str">
        <f>IFERROR(__xludf.DUMMYFUNCTION("""COMPUTED_VALUE"""),"")</f>
        <v/>
      </c>
      <c r="Q1804" s="250" t="str">
        <f>IFERROR(__xludf.DUMMYFUNCTION("""COMPUTED_VALUE"""),"")</f>
        <v/>
      </c>
      <c r="R1804" s="250" t="str">
        <f>IFERROR(__xludf.DUMMYFUNCTION("""COMPUTED_VALUE"""),"")</f>
        <v/>
      </c>
      <c r="U1804" s="250" t="str">
        <f>IFERROR(__xludf.DUMMYFUNCTION("""COMPUTED_VALUE"""),"#N/A")</f>
        <v>#N/A</v>
      </c>
      <c r="V1804" s="250" t="str">
        <f>IFERROR(__xludf.DUMMYFUNCTION("""COMPUTED_VALUE"""),"#N/A")</f>
        <v>#N/A</v>
      </c>
      <c r="W1804" s="250" t="str">
        <f>IFERROR(__xludf.DUMMYFUNCTION("""COMPUTED_VALUE"""),"#N/A")</f>
        <v>#N/A</v>
      </c>
      <c r="X1804" t="b">
        <f t="shared" ref="X1804:Z1804" si="3584">ISBLANK(K1804)</f>
        <v>1</v>
      </c>
      <c r="Y1804" t="b">
        <f t="shared" si="3584"/>
        <v>0</v>
      </c>
      <c r="Z1804" t="b">
        <f t="shared" si="3584"/>
        <v>0</v>
      </c>
      <c r="AA1804">
        <f t="shared" ref="AA1804:AC1804" si="3585">IF(X1804=FALSE,1,0)</f>
        <v>0</v>
      </c>
      <c r="AB1804">
        <f t="shared" si="3585"/>
        <v>1</v>
      </c>
      <c r="AC1804">
        <f t="shared" si="3585"/>
        <v>1</v>
      </c>
      <c r="AD1804">
        <f t="shared" si="6"/>
        <v>2</v>
      </c>
      <c r="AE1804">
        <f t="shared" si="7"/>
        <v>1</v>
      </c>
    </row>
    <row r="1805">
      <c r="B1805" t="str">
        <f>IFERROR(__xludf.DUMMYFUNCTION("""COMPUTED_VALUE"""),"")</f>
        <v/>
      </c>
      <c r="C1805" t="str">
        <f>IFERROR(__xludf.DUMMYFUNCTION("""COMPUTED_VALUE"""),"")</f>
        <v/>
      </c>
      <c r="D1805" t="str">
        <f>IFERROR(__xludf.DUMMYFUNCTION("""COMPUTED_VALUE"""),"")</f>
        <v/>
      </c>
      <c r="E1805" t="str">
        <f>IFERROR(__xludf.DUMMYFUNCTION("""COMPUTED_VALUE"""),"")</f>
        <v/>
      </c>
      <c r="F1805" t="str">
        <f>IFERROR(__xludf.DUMMYFUNCTION("""COMPUTED_VALUE"""),"")</f>
        <v/>
      </c>
      <c r="G1805" t="str">
        <f>IFERROR(__xludf.DUMMYFUNCTION("""COMPUTED_VALUE"""),"")</f>
        <v/>
      </c>
      <c r="H1805" t="str">
        <f>IFERROR(__xludf.DUMMYFUNCTION("""COMPUTED_VALUE"""),"")</f>
        <v/>
      </c>
      <c r="I1805" t="str">
        <f>IFERROR(__xludf.DUMMYFUNCTION("""COMPUTED_VALUE"""),"")</f>
        <v/>
      </c>
      <c r="J1805">
        <f>IFERROR(__xludf.DUMMYFUNCTION("""COMPUTED_VALUE"""),0.0)</f>
        <v>0</v>
      </c>
      <c r="L1805" s="250" t="str">
        <f>IFERROR(__xludf.DUMMYFUNCTION("""COMPUTED_VALUE"""),"")</f>
        <v/>
      </c>
      <c r="M1805" s="250" t="str">
        <f>IFERROR(__xludf.DUMMYFUNCTION("""COMPUTED_VALUE"""),"")</f>
        <v/>
      </c>
      <c r="N1805" s="250" t="str">
        <f>IFERROR(__xludf.DUMMYFUNCTION("""COMPUTED_VALUE"""),"")</f>
        <v/>
      </c>
      <c r="O1805" s="250" t="str">
        <f>IFERROR(__xludf.DUMMYFUNCTION("""COMPUTED_VALUE"""),"")</f>
        <v/>
      </c>
      <c r="P1805" s="250" t="str">
        <f>IFERROR(__xludf.DUMMYFUNCTION("""COMPUTED_VALUE"""),"")</f>
        <v/>
      </c>
      <c r="Q1805" s="250" t="str">
        <f>IFERROR(__xludf.DUMMYFUNCTION("""COMPUTED_VALUE"""),"")</f>
        <v/>
      </c>
      <c r="R1805" s="250" t="str">
        <f>IFERROR(__xludf.DUMMYFUNCTION("""COMPUTED_VALUE"""),"")</f>
        <v/>
      </c>
      <c r="U1805" s="250" t="str">
        <f>IFERROR(__xludf.DUMMYFUNCTION("""COMPUTED_VALUE"""),"#N/A")</f>
        <v>#N/A</v>
      </c>
      <c r="V1805" s="250" t="str">
        <f>IFERROR(__xludf.DUMMYFUNCTION("""COMPUTED_VALUE"""),"#N/A")</f>
        <v>#N/A</v>
      </c>
      <c r="W1805" s="250" t="str">
        <f>IFERROR(__xludf.DUMMYFUNCTION("""COMPUTED_VALUE"""),"#N/A")</f>
        <v>#N/A</v>
      </c>
      <c r="X1805" t="b">
        <f t="shared" ref="X1805:Z1805" si="3586">ISBLANK(K1805)</f>
        <v>1</v>
      </c>
      <c r="Y1805" t="b">
        <f t="shared" si="3586"/>
        <v>0</v>
      </c>
      <c r="Z1805" t="b">
        <f t="shared" si="3586"/>
        <v>0</v>
      </c>
      <c r="AA1805">
        <f t="shared" ref="AA1805:AC1805" si="3587">IF(X1805=FALSE,1,0)</f>
        <v>0</v>
      </c>
      <c r="AB1805">
        <f t="shared" si="3587"/>
        <v>1</v>
      </c>
      <c r="AC1805">
        <f t="shared" si="3587"/>
        <v>1</v>
      </c>
      <c r="AD1805">
        <f t="shared" si="6"/>
        <v>2</v>
      </c>
      <c r="AE1805">
        <f t="shared" si="7"/>
        <v>1</v>
      </c>
    </row>
    <row r="1806">
      <c r="B1806" t="str">
        <f>IFERROR(__xludf.DUMMYFUNCTION("""COMPUTED_VALUE"""),"")</f>
        <v/>
      </c>
      <c r="C1806" t="str">
        <f>IFERROR(__xludf.DUMMYFUNCTION("""COMPUTED_VALUE"""),"")</f>
        <v/>
      </c>
      <c r="D1806" t="str">
        <f>IFERROR(__xludf.DUMMYFUNCTION("""COMPUTED_VALUE"""),"")</f>
        <v/>
      </c>
      <c r="E1806" t="str">
        <f>IFERROR(__xludf.DUMMYFUNCTION("""COMPUTED_VALUE"""),"")</f>
        <v/>
      </c>
      <c r="F1806" t="str">
        <f>IFERROR(__xludf.DUMMYFUNCTION("""COMPUTED_VALUE"""),"")</f>
        <v/>
      </c>
      <c r="G1806" t="str">
        <f>IFERROR(__xludf.DUMMYFUNCTION("""COMPUTED_VALUE"""),"")</f>
        <v/>
      </c>
      <c r="H1806" t="str">
        <f>IFERROR(__xludf.DUMMYFUNCTION("""COMPUTED_VALUE"""),"")</f>
        <v/>
      </c>
      <c r="I1806" t="str">
        <f>IFERROR(__xludf.DUMMYFUNCTION("""COMPUTED_VALUE"""),"")</f>
        <v/>
      </c>
      <c r="J1806">
        <f>IFERROR(__xludf.DUMMYFUNCTION("""COMPUTED_VALUE"""),0.0)</f>
        <v>0</v>
      </c>
      <c r="L1806" s="250" t="str">
        <f>IFERROR(__xludf.DUMMYFUNCTION("""COMPUTED_VALUE"""),"")</f>
        <v/>
      </c>
      <c r="M1806" s="250" t="str">
        <f>IFERROR(__xludf.DUMMYFUNCTION("""COMPUTED_VALUE"""),"")</f>
        <v/>
      </c>
      <c r="N1806" s="250" t="str">
        <f>IFERROR(__xludf.DUMMYFUNCTION("""COMPUTED_VALUE"""),"")</f>
        <v/>
      </c>
      <c r="O1806" s="250" t="str">
        <f>IFERROR(__xludf.DUMMYFUNCTION("""COMPUTED_VALUE"""),"")</f>
        <v/>
      </c>
      <c r="P1806" s="250" t="str">
        <f>IFERROR(__xludf.DUMMYFUNCTION("""COMPUTED_VALUE"""),"")</f>
        <v/>
      </c>
      <c r="Q1806" s="250" t="str">
        <f>IFERROR(__xludf.DUMMYFUNCTION("""COMPUTED_VALUE"""),"")</f>
        <v/>
      </c>
      <c r="R1806" s="250" t="str">
        <f>IFERROR(__xludf.DUMMYFUNCTION("""COMPUTED_VALUE"""),"")</f>
        <v/>
      </c>
      <c r="U1806" s="250" t="str">
        <f>IFERROR(__xludf.DUMMYFUNCTION("""COMPUTED_VALUE"""),"#N/A")</f>
        <v>#N/A</v>
      </c>
      <c r="V1806" s="250" t="str">
        <f>IFERROR(__xludf.DUMMYFUNCTION("""COMPUTED_VALUE"""),"#N/A")</f>
        <v>#N/A</v>
      </c>
      <c r="W1806" s="250" t="str">
        <f>IFERROR(__xludf.DUMMYFUNCTION("""COMPUTED_VALUE"""),"#N/A")</f>
        <v>#N/A</v>
      </c>
      <c r="X1806" t="b">
        <f t="shared" ref="X1806:Z1806" si="3588">ISBLANK(K1806)</f>
        <v>1</v>
      </c>
      <c r="Y1806" t="b">
        <f t="shared" si="3588"/>
        <v>0</v>
      </c>
      <c r="Z1806" t="b">
        <f t="shared" si="3588"/>
        <v>0</v>
      </c>
      <c r="AA1806">
        <f t="shared" ref="AA1806:AC1806" si="3589">IF(X1806=FALSE,1,0)</f>
        <v>0</v>
      </c>
      <c r="AB1806">
        <f t="shared" si="3589"/>
        <v>1</v>
      </c>
      <c r="AC1806">
        <f t="shared" si="3589"/>
        <v>1</v>
      </c>
      <c r="AD1806">
        <f t="shared" si="6"/>
        <v>2</v>
      </c>
      <c r="AE1806">
        <f t="shared" si="7"/>
        <v>1</v>
      </c>
    </row>
    <row r="1807">
      <c r="B1807" t="str">
        <f>IFERROR(__xludf.DUMMYFUNCTION("""COMPUTED_VALUE"""),"")</f>
        <v/>
      </c>
      <c r="C1807" t="str">
        <f>IFERROR(__xludf.DUMMYFUNCTION("""COMPUTED_VALUE"""),"")</f>
        <v/>
      </c>
      <c r="D1807" t="str">
        <f>IFERROR(__xludf.DUMMYFUNCTION("""COMPUTED_VALUE"""),"")</f>
        <v/>
      </c>
      <c r="E1807" t="str">
        <f>IFERROR(__xludf.DUMMYFUNCTION("""COMPUTED_VALUE"""),"")</f>
        <v/>
      </c>
      <c r="F1807" t="str">
        <f>IFERROR(__xludf.DUMMYFUNCTION("""COMPUTED_VALUE"""),"")</f>
        <v/>
      </c>
      <c r="G1807" t="str">
        <f>IFERROR(__xludf.DUMMYFUNCTION("""COMPUTED_VALUE"""),"")</f>
        <v/>
      </c>
      <c r="H1807" t="str">
        <f>IFERROR(__xludf.DUMMYFUNCTION("""COMPUTED_VALUE"""),"")</f>
        <v/>
      </c>
      <c r="I1807" t="str">
        <f>IFERROR(__xludf.DUMMYFUNCTION("""COMPUTED_VALUE"""),"")</f>
        <v/>
      </c>
      <c r="J1807">
        <f>IFERROR(__xludf.DUMMYFUNCTION("""COMPUTED_VALUE"""),0.0)</f>
        <v>0</v>
      </c>
      <c r="L1807" s="250" t="str">
        <f>IFERROR(__xludf.DUMMYFUNCTION("""COMPUTED_VALUE"""),"")</f>
        <v/>
      </c>
      <c r="M1807" s="250" t="str">
        <f>IFERROR(__xludf.DUMMYFUNCTION("""COMPUTED_VALUE"""),"")</f>
        <v/>
      </c>
      <c r="N1807" s="250" t="str">
        <f>IFERROR(__xludf.DUMMYFUNCTION("""COMPUTED_VALUE"""),"")</f>
        <v/>
      </c>
      <c r="O1807" s="250" t="str">
        <f>IFERROR(__xludf.DUMMYFUNCTION("""COMPUTED_VALUE"""),"")</f>
        <v/>
      </c>
      <c r="P1807" s="250" t="str">
        <f>IFERROR(__xludf.DUMMYFUNCTION("""COMPUTED_VALUE"""),"")</f>
        <v/>
      </c>
      <c r="Q1807" s="250" t="str">
        <f>IFERROR(__xludf.DUMMYFUNCTION("""COMPUTED_VALUE"""),"")</f>
        <v/>
      </c>
      <c r="R1807" s="250" t="str">
        <f>IFERROR(__xludf.DUMMYFUNCTION("""COMPUTED_VALUE"""),"")</f>
        <v/>
      </c>
      <c r="U1807" s="250" t="str">
        <f>IFERROR(__xludf.DUMMYFUNCTION("""COMPUTED_VALUE"""),"#N/A")</f>
        <v>#N/A</v>
      </c>
      <c r="V1807" s="250" t="str">
        <f>IFERROR(__xludf.DUMMYFUNCTION("""COMPUTED_VALUE"""),"#N/A")</f>
        <v>#N/A</v>
      </c>
      <c r="W1807" s="250" t="str">
        <f>IFERROR(__xludf.DUMMYFUNCTION("""COMPUTED_VALUE"""),"#N/A")</f>
        <v>#N/A</v>
      </c>
      <c r="X1807" t="b">
        <f t="shared" ref="X1807:Z1807" si="3590">ISBLANK(K1807)</f>
        <v>1</v>
      </c>
      <c r="Y1807" t="b">
        <f t="shared" si="3590"/>
        <v>0</v>
      </c>
      <c r="Z1807" t="b">
        <f t="shared" si="3590"/>
        <v>0</v>
      </c>
      <c r="AA1807">
        <f t="shared" ref="AA1807:AC1807" si="3591">IF(X1807=FALSE,1,0)</f>
        <v>0</v>
      </c>
      <c r="AB1807">
        <f t="shared" si="3591"/>
        <v>1</v>
      </c>
      <c r="AC1807">
        <f t="shared" si="3591"/>
        <v>1</v>
      </c>
      <c r="AD1807">
        <f t="shared" si="6"/>
        <v>2</v>
      </c>
      <c r="AE1807">
        <f t="shared" si="7"/>
        <v>1</v>
      </c>
    </row>
    <row r="1808">
      <c r="B1808" t="str">
        <f>IFERROR(__xludf.DUMMYFUNCTION("""COMPUTED_VALUE"""),"")</f>
        <v/>
      </c>
      <c r="C1808" t="str">
        <f>IFERROR(__xludf.DUMMYFUNCTION("""COMPUTED_VALUE"""),"")</f>
        <v/>
      </c>
      <c r="D1808" t="str">
        <f>IFERROR(__xludf.DUMMYFUNCTION("""COMPUTED_VALUE"""),"")</f>
        <v/>
      </c>
      <c r="E1808" t="str">
        <f>IFERROR(__xludf.DUMMYFUNCTION("""COMPUTED_VALUE"""),"")</f>
        <v/>
      </c>
      <c r="F1808" t="str">
        <f>IFERROR(__xludf.DUMMYFUNCTION("""COMPUTED_VALUE"""),"")</f>
        <v/>
      </c>
      <c r="G1808" t="str">
        <f>IFERROR(__xludf.DUMMYFUNCTION("""COMPUTED_VALUE"""),"")</f>
        <v/>
      </c>
      <c r="H1808" t="str">
        <f>IFERROR(__xludf.DUMMYFUNCTION("""COMPUTED_VALUE"""),"")</f>
        <v/>
      </c>
      <c r="I1808" t="str">
        <f>IFERROR(__xludf.DUMMYFUNCTION("""COMPUTED_VALUE"""),"")</f>
        <v/>
      </c>
      <c r="J1808">
        <f>IFERROR(__xludf.DUMMYFUNCTION("""COMPUTED_VALUE"""),0.0)</f>
        <v>0</v>
      </c>
      <c r="L1808" s="250" t="str">
        <f>IFERROR(__xludf.DUMMYFUNCTION("""COMPUTED_VALUE"""),"")</f>
        <v/>
      </c>
      <c r="M1808" s="250" t="str">
        <f>IFERROR(__xludf.DUMMYFUNCTION("""COMPUTED_VALUE"""),"")</f>
        <v/>
      </c>
      <c r="N1808" s="250" t="str">
        <f>IFERROR(__xludf.DUMMYFUNCTION("""COMPUTED_VALUE"""),"")</f>
        <v/>
      </c>
      <c r="O1808" s="250" t="str">
        <f>IFERROR(__xludf.DUMMYFUNCTION("""COMPUTED_VALUE"""),"")</f>
        <v/>
      </c>
      <c r="P1808" s="250" t="str">
        <f>IFERROR(__xludf.DUMMYFUNCTION("""COMPUTED_VALUE"""),"")</f>
        <v/>
      </c>
      <c r="Q1808" s="250" t="str">
        <f>IFERROR(__xludf.DUMMYFUNCTION("""COMPUTED_VALUE"""),"")</f>
        <v/>
      </c>
      <c r="R1808" s="250" t="str">
        <f>IFERROR(__xludf.DUMMYFUNCTION("""COMPUTED_VALUE"""),"")</f>
        <v/>
      </c>
      <c r="U1808" s="250" t="str">
        <f>IFERROR(__xludf.DUMMYFUNCTION("""COMPUTED_VALUE"""),"#N/A")</f>
        <v>#N/A</v>
      </c>
      <c r="V1808" s="250" t="str">
        <f>IFERROR(__xludf.DUMMYFUNCTION("""COMPUTED_VALUE"""),"#N/A")</f>
        <v>#N/A</v>
      </c>
      <c r="W1808" s="250" t="str">
        <f>IFERROR(__xludf.DUMMYFUNCTION("""COMPUTED_VALUE"""),"#N/A")</f>
        <v>#N/A</v>
      </c>
      <c r="X1808" t="b">
        <f t="shared" ref="X1808:Z1808" si="3592">ISBLANK(K1808)</f>
        <v>1</v>
      </c>
      <c r="Y1808" t="b">
        <f t="shared" si="3592"/>
        <v>0</v>
      </c>
      <c r="Z1808" t="b">
        <f t="shared" si="3592"/>
        <v>0</v>
      </c>
      <c r="AA1808">
        <f t="shared" ref="AA1808:AC1808" si="3593">IF(X1808=FALSE,1,0)</f>
        <v>0</v>
      </c>
      <c r="AB1808">
        <f t="shared" si="3593"/>
        <v>1</v>
      </c>
      <c r="AC1808">
        <f t="shared" si="3593"/>
        <v>1</v>
      </c>
      <c r="AD1808">
        <f t="shared" si="6"/>
        <v>2</v>
      </c>
      <c r="AE1808">
        <f t="shared" si="7"/>
        <v>1</v>
      </c>
    </row>
    <row r="1809">
      <c r="B1809" t="str">
        <f>IFERROR(__xludf.DUMMYFUNCTION("""COMPUTED_VALUE"""),"")</f>
        <v/>
      </c>
      <c r="C1809" t="str">
        <f>IFERROR(__xludf.DUMMYFUNCTION("""COMPUTED_VALUE"""),"")</f>
        <v/>
      </c>
      <c r="D1809" t="str">
        <f>IFERROR(__xludf.DUMMYFUNCTION("""COMPUTED_VALUE"""),"")</f>
        <v/>
      </c>
      <c r="E1809" t="str">
        <f>IFERROR(__xludf.DUMMYFUNCTION("""COMPUTED_VALUE"""),"")</f>
        <v/>
      </c>
      <c r="F1809" t="str">
        <f>IFERROR(__xludf.DUMMYFUNCTION("""COMPUTED_VALUE"""),"")</f>
        <v/>
      </c>
      <c r="G1809" t="str">
        <f>IFERROR(__xludf.DUMMYFUNCTION("""COMPUTED_VALUE"""),"")</f>
        <v/>
      </c>
      <c r="H1809" t="str">
        <f>IFERROR(__xludf.DUMMYFUNCTION("""COMPUTED_VALUE"""),"")</f>
        <v/>
      </c>
      <c r="I1809" t="str">
        <f>IFERROR(__xludf.DUMMYFUNCTION("""COMPUTED_VALUE"""),"")</f>
        <v/>
      </c>
      <c r="J1809">
        <f>IFERROR(__xludf.DUMMYFUNCTION("""COMPUTED_VALUE"""),0.0)</f>
        <v>0</v>
      </c>
      <c r="L1809" s="250" t="str">
        <f>IFERROR(__xludf.DUMMYFUNCTION("""COMPUTED_VALUE"""),"")</f>
        <v/>
      </c>
      <c r="M1809" s="250" t="str">
        <f>IFERROR(__xludf.DUMMYFUNCTION("""COMPUTED_VALUE"""),"")</f>
        <v/>
      </c>
      <c r="N1809" s="250" t="str">
        <f>IFERROR(__xludf.DUMMYFUNCTION("""COMPUTED_VALUE"""),"")</f>
        <v/>
      </c>
      <c r="O1809" s="250" t="str">
        <f>IFERROR(__xludf.DUMMYFUNCTION("""COMPUTED_VALUE"""),"")</f>
        <v/>
      </c>
      <c r="P1809" s="250" t="str">
        <f>IFERROR(__xludf.DUMMYFUNCTION("""COMPUTED_VALUE"""),"")</f>
        <v/>
      </c>
      <c r="Q1809" s="250" t="str">
        <f>IFERROR(__xludf.DUMMYFUNCTION("""COMPUTED_VALUE"""),"")</f>
        <v/>
      </c>
      <c r="R1809" s="250" t="str">
        <f>IFERROR(__xludf.DUMMYFUNCTION("""COMPUTED_VALUE"""),"")</f>
        <v/>
      </c>
      <c r="U1809" s="250" t="str">
        <f>IFERROR(__xludf.DUMMYFUNCTION("""COMPUTED_VALUE"""),"#N/A")</f>
        <v>#N/A</v>
      </c>
      <c r="V1809" s="250" t="str">
        <f>IFERROR(__xludf.DUMMYFUNCTION("""COMPUTED_VALUE"""),"#N/A")</f>
        <v>#N/A</v>
      </c>
      <c r="W1809" s="250" t="str">
        <f>IFERROR(__xludf.DUMMYFUNCTION("""COMPUTED_VALUE"""),"#N/A")</f>
        <v>#N/A</v>
      </c>
      <c r="X1809" t="b">
        <f t="shared" ref="X1809:Z1809" si="3594">ISBLANK(K1809)</f>
        <v>1</v>
      </c>
      <c r="Y1809" t="b">
        <f t="shared" si="3594"/>
        <v>0</v>
      </c>
      <c r="Z1809" t="b">
        <f t="shared" si="3594"/>
        <v>0</v>
      </c>
      <c r="AA1809">
        <f t="shared" ref="AA1809:AC1809" si="3595">IF(X1809=FALSE,1,0)</f>
        <v>0</v>
      </c>
      <c r="AB1809">
        <f t="shared" si="3595"/>
        <v>1</v>
      </c>
      <c r="AC1809">
        <f t="shared" si="3595"/>
        <v>1</v>
      </c>
      <c r="AD1809">
        <f t="shared" si="6"/>
        <v>2</v>
      </c>
      <c r="AE1809">
        <f t="shared" si="7"/>
        <v>1</v>
      </c>
    </row>
    <row r="1810">
      <c r="B1810" t="str">
        <f>IFERROR(__xludf.DUMMYFUNCTION("""COMPUTED_VALUE"""),"")</f>
        <v/>
      </c>
      <c r="C1810" t="str">
        <f>IFERROR(__xludf.DUMMYFUNCTION("""COMPUTED_VALUE"""),"")</f>
        <v/>
      </c>
      <c r="D1810" t="str">
        <f>IFERROR(__xludf.DUMMYFUNCTION("""COMPUTED_VALUE"""),"")</f>
        <v/>
      </c>
      <c r="E1810" t="str">
        <f>IFERROR(__xludf.DUMMYFUNCTION("""COMPUTED_VALUE"""),"")</f>
        <v/>
      </c>
      <c r="F1810" t="str">
        <f>IFERROR(__xludf.DUMMYFUNCTION("""COMPUTED_VALUE"""),"")</f>
        <v/>
      </c>
      <c r="G1810" t="str">
        <f>IFERROR(__xludf.DUMMYFUNCTION("""COMPUTED_VALUE"""),"")</f>
        <v/>
      </c>
      <c r="H1810" t="str">
        <f>IFERROR(__xludf.DUMMYFUNCTION("""COMPUTED_VALUE"""),"")</f>
        <v/>
      </c>
      <c r="I1810" t="str">
        <f>IFERROR(__xludf.DUMMYFUNCTION("""COMPUTED_VALUE"""),"")</f>
        <v/>
      </c>
      <c r="J1810">
        <f>IFERROR(__xludf.DUMMYFUNCTION("""COMPUTED_VALUE"""),0.0)</f>
        <v>0</v>
      </c>
      <c r="L1810" s="250" t="str">
        <f>IFERROR(__xludf.DUMMYFUNCTION("""COMPUTED_VALUE"""),"")</f>
        <v/>
      </c>
      <c r="M1810" s="250" t="str">
        <f>IFERROR(__xludf.DUMMYFUNCTION("""COMPUTED_VALUE"""),"")</f>
        <v/>
      </c>
      <c r="N1810" s="250" t="str">
        <f>IFERROR(__xludf.DUMMYFUNCTION("""COMPUTED_VALUE"""),"")</f>
        <v/>
      </c>
      <c r="O1810" s="250" t="str">
        <f>IFERROR(__xludf.DUMMYFUNCTION("""COMPUTED_VALUE"""),"")</f>
        <v/>
      </c>
      <c r="P1810" s="250" t="str">
        <f>IFERROR(__xludf.DUMMYFUNCTION("""COMPUTED_VALUE"""),"")</f>
        <v/>
      </c>
      <c r="Q1810" s="250" t="str">
        <f>IFERROR(__xludf.DUMMYFUNCTION("""COMPUTED_VALUE"""),"")</f>
        <v/>
      </c>
      <c r="R1810" s="250" t="str">
        <f>IFERROR(__xludf.DUMMYFUNCTION("""COMPUTED_VALUE"""),"")</f>
        <v/>
      </c>
      <c r="U1810" s="250" t="str">
        <f>IFERROR(__xludf.DUMMYFUNCTION("""COMPUTED_VALUE"""),"#N/A")</f>
        <v>#N/A</v>
      </c>
      <c r="V1810" s="250" t="str">
        <f>IFERROR(__xludf.DUMMYFUNCTION("""COMPUTED_VALUE"""),"#N/A")</f>
        <v>#N/A</v>
      </c>
      <c r="W1810" s="250" t="str">
        <f>IFERROR(__xludf.DUMMYFUNCTION("""COMPUTED_VALUE"""),"#N/A")</f>
        <v>#N/A</v>
      </c>
      <c r="X1810" t="b">
        <f t="shared" ref="X1810:Z1810" si="3596">ISBLANK(K1810)</f>
        <v>1</v>
      </c>
      <c r="Y1810" t="b">
        <f t="shared" si="3596"/>
        <v>0</v>
      </c>
      <c r="Z1810" t="b">
        <f t="shared" si="3596"/>
        <v>0</v>
      </c>
      <c r="AA1810">
        <f t="shared" ref="AA1810:AC1810" si="3597">IF(X1810=FALSE,1,0)</f>
        <v>0</v>
      </c>
      <c r="AB1810">
        <f t="shared" si="3597"/>
        <v>1</v>
      </c>
      <c r="AC1810">
        <f t="shared" si="3597"/>
        <v>1</v>
      </c>
      <c r="AD1810">
        <f t="shared" si="6"/>
        <v>2</v>
      </c>
      <c r="AE1810">
        <f t="shared" si="7"/>
        <v>1</v>
      </c>
    </row>
    <row r="1811">
      <c r="B1811" t="str">
        <f>IFERROR(__xludf.DUMMYFUNCTION("""COMPUTED_VALUE"""),"")</f>
        <v/>
      </c>
      <c r="C1811" t="str">
        <f>IFERROR(__xludf.DUMMYFUNCTION("""COMPUTED_VALUE"""),"")</f>
        <v/>
      </c>
      <c r="D1811" t="str">
        <f>IFERROR(__xludf.DUMMYFUNCTION("""COMPUTED_VALUE"""),"")</f>
        <v/>
      </c>
      <c r="E1811" t="str">
        <f>IFERROR(__xludf.DUMMYFUNCTION("""COMPUTED_VALUE"""),"")</f>
        <v/>
      </c>
      <c r="F1811" t="str">
        <f>IFERROR(__xludf.DUMMYFUNCTION("""COMPUTED_VALUE"""),"")</f>
        <v/>
      </c>
      <c r="G1811" t="str">
        <f>IFERROR(__xludf.DUMMYFUNCTION("""COMPUTED_VALUE"""),"")</f>
        <v/>
      </c>
      <c r="H1811" t="str">
        <f>IFERROR(__xludf.DUMMYFUNCTION("""COMPUTED_VALUE"""),"")</f>
        <v/>
      </c>
      <c r="I1811" t="str">
        <f>IFERROR(__xludf.DUMMYFUNCTION("""COMPUTED_VALUE"""),"")</f>
        <v/>
      </c>
      <c r="J1811">
        <f>IFERROR(__xludf.DUMMYFUNCTION("""COMPUTED_VALUE"""),0.0)</f>
        <v>0</v>
      </c>
      <c r="L1811" s="250" t="str">
        <f>IFERROR(__xludf.DUMMYFUNCTION("""COMPUTED_VALUE"""),"")</f>
        <v/>
      </c>
      <c r="M1811" s="250" t="str">
        <f>IFERROR(__xludf.DUMMYFUNCTION("""COMPUTED_VALUE"""),"")</f>
        <v/>
      </c>
      <c r="N1811" s="250" t="str">
        <f>IFERROR(__xludf.DUMMYFUNCTION("""COMPUTED_VALUE"""),"")</f>
        <v/>
      </c>
      <c r="O1811" s="250" t="str">
        <f>IFERROR(__xludf.DUMMYFUNCTION("""COMPUTED_VALUE"""),"")</f>
        <v/>
      </c>
      <c r="P1811" s="250" t="str">
        <f>IFERROR(__xludf.DUMMYFUNCTION("""COMPUTED_VALUE"""),"")</f>
        <v/>
      </c>
      <c r="Q1811" s="250" t="str">
        <f>IFERROR(__xludf.DUMMYFUNCTION("""COMPUTED_VALUE"""),"")</f>
        <v/>
      </c>
      <c r="R1811" s="250" t="str">
        <f>IFERROR(__xludf.DUMMYFUNCTION("""COMPUTED_VALUE"""),"")</f>
        <v/>
      </c>
      <c r="U1811" s="250" t="str">
        <f>IFERROR(__xludf.DUMMYFUNCTION("""COMPUTED_VALUE"""),"#N/A")</f>
        <v>#N/A</v>
      </c>
      <c r="V1811" s="250" t="str">
        <f>IFERROR(__xludf.DUMMYFUNCTION("""COMPUTED_VALUE"""),"#N/A")</f>
        <v>#N/A</v>
      </c>
      <c r="W1811" s="250" t="str">
        <f>IFERROR(__xludf.DUMMYFUNCTION("""COMPUTED_VALUE"""),"#N/A")</f>
        <v>#N/A</v>
      </c>
      <c r="X1811" t="b">
        <f t="shared" ref="X1811:Z1811" si="3598">ISBLANK(K1811)</f>
        <v>1</v>
      </c>
      <c r="Y1811" t="b">
        <f t="shared" si="3598"/>
        <v>0</v>
      </c>
      <c r="Z1811" t="b">
        <f t="shared" si="3598"/>
        <v>0</v>
      </c>
      <c r="AA1811">
        <f t="shared" ref="AA1811:AC1811" si="3599">IF(X1811=FALSE,1,0)</f>
        <v>0</v>
      </c>
      <c r="AB1811">
        <f t="shared" si="3599"/>
        <v>1</v>
      </c>
      <c r="AC1811">
        <f t="shared" si="3599"/>
        <v>1</v>
      </c>
      <c r="AD1811">
        <f t="shared" si="6"/>
        <v>2</v>
      </c>
      <c r="AE1811">
        <f t="shared" si="7"/>
        <v>1</v>
      </c>
    </row>
    <row r="1812">
      <c r="B1812" t="str">
        <f>IFERROR(__xludf.DUMMYFUNCTION("""COMPUTED_VALUE"""),"")</f>
        <v/>
      </c>
      <c r="C1812" t="str">
        <f>IFERROR(__xludf.DUMMYFUNCTION("""COMPUTED_VALUE"""),"")</f>
        <v/>
      </c>
      <c r="D1812" t="str">
        <f>IFERROR(__xludf.DUMMYFUNCTION("""COMPUTED_VALUE"""),"")</f>
        <v/>
      </c>
      <c r="E1812" t="str">
        <f>IFERROR(__xludf.DUMMYFUNCTION("""COMPUTED_VALUE"""),"")</f>
        <v/>
      </c>
      <c r="F1812" t="str">
        <f>IFERROR(__xludf.DUMMYFUNCTION("""COMPUTED_VALUE"""),"")</f>
        <v/>
      </c>
      <c r="G1812" t="str">
        <f>IFERROR(__xludf.DUMMYFUNCTION("""COMPUTED_VALUE"""),"")</f>
        <v/>
      </c>
      <c r="H1812" t="str">
        <f>IFERROR(__xludf.DUMMYFUNCTION("""COMPUTED_VALUE"""),"")</f>
        <v/>
      </c>
      <c r="I1812" t="str">
        <f>IFERROR(__xludf.DUMMYFUNCTION("""COMPUTED_VALUE"""),"")</f>
        <v/>
      </c>
      <c r="J1812">
        <f>IFERROR(__xludf.DUMMYFUNCTION("""COMPUTED_VALUE"""),0.0)</f>
        <v>0</v>
      </c>
      <c r="L1812" s="250" t="str">
        <f>IFERROR(__xludf.DUMMYFUNCTION("""COMPUTED_VALUE"""),"")</f>
        <v/>
      </c>
      <c r="M1812" s="250" t="str">
        <f>IFERROR(__xludf.DUMMYFUNCTION("""COMPUTED_VALUE"""),"")</f>
        <v/>
      </c>
      <c r="N1812" s="250" t="str">
        <f>IFERROR(__xludf.DUMMYFUNCTION("""COMPUTED_VALUE"""),"")</f>
        <v/>
      </c>
      <c r="O1812" s="250" t="str">
        <f>IFERROR(__xludf.DUMMYFUNCTION("""COMPUTED_VALUE"""),"")</f>
        <v/>
      </c>
      <c r="P1812" s="250" t="str">
        <f>IFERROR(__xludf.DUMMYFUNCTION("""COMPUTED_VALUE"""),"")</f>
        <v/>
      </c>
      <c r="Q1812" s="250" t="str">
        <f>IFERROR(__xludf.DUMMYFUNCTION("""COMPUTED_VALUE"""),"")</f>
        <v/>
      </c>
      <c r="R1812" s="250" t="str">
        <f>IFERROR(__xludf.DUMMYFUNCTION("""COMPUTED_VALUE"""),"")</f>
        <v/>
      </c>
      <c r="U1812" s="250" t="str">
        <f>IFERROR(__xludf.DUMMYFUNCTION("""COMPUTED_VALUE"""),"#N/A")</f>
        <v>#N/A</v>
      </c>
      <c r="V1812" s="250" t="str">
        <f>IFERROR(__xludf.DUMMYFUNCTION("""COMPUTED_VALUE"""),"#N/A")</f>
        <v>#N/A</v>
      </c>
      <c r="W1812" s="250" t="str">
        <f>IFERROR(__xludf.DUMMYFUNCTION("""COMPUTED_VALUE"""),"#N/A")</f>
        <v>#N/A</v>
      </c>
      <c r="X1812" t="b">
        <f t="shared" ref="X1812:Z1812" si="3600">ISBLANK(K1812)</f>
        <v>1</v>
      </c>
      <c r="Y1812" t="b">
        <f t="shared" si="3600"/>
        <v>0</v>
      </c>
      <c r="Z1812" t="b">
        <f t="shared" si="3600"/>
        <v>0</v>
      </c>
      <c r="AA1812">
        <f t="shared" ref="AA1812:AC1812" si="3601">IF(X1812=FALSE,1,0)</f>
        <v>0</v>
      </c>
      <c r="AB1812">
        <f t="shared" si="3601"/>
        <v>1</v>
      </c>
      <c r="AC1812">
        <f t="shared" si="3601"/>
        <v>1</v>
      </c>
      <c r="AD1812">
        <f t="shared" si="6"/>
        <v>2</v>
      </c>
      <c r="AE1812">
        <f t="shared" si="7"/>
        <v>1</v>
      </c>
    </row>
    <row r="1813">
      <c r="B1813" t="str">
        <f>IFERROR(__xludf.DUMMYFUNCTION("""COMPUTED_VALUE"""),"")</f>
        <v/>
      </c>
      <c r="C1813" t="str">
        <f>IFERROR(__xludf.DUMMYFUNCTION("""COMPUTED_VALUE"""),"")</f>
        <v/>
      </c>
      <c r="D1813" t="str">
        <f>IFERROR(__xludf.DUMMYFUNCTION("""COMPUTED_VALUE"""),"")</f>
        <v/>
      </c>
      <c r="E1813" t="str">
        <f>IFERROR(__xludf.DUMMYFUNCTION("""COMPUTED_VALUE"""),"")</f>
        <v/>
      </c>
      <c r="F1813" t="str">
        <f>IFERROR(__xludf.DUMMYFUNCTION("""COMPUTED_VALUE"""),"")</f>
        <v/>
      </c>
      <c r="G1813" t="str">
        <f>IFERROR(__xludf.DUMMYFUNCTION("""COMPUTED_VALUE"""),"")</f>
        <v/>
      </c>
      <c r="H1813" t="str">
        <f>IFERROR(__xludf.DUMMYFUNCTION("""COMPUTED_VALUE"""),"")</f>
        <v/>
      </c>
      <c r="I1813" t="str">
        <f>IFERROR(__xludf.DUMMYFUNCTION("""COMPUTED_VALUE"""),"")</f>
        <v/>
      </c>
      <c r="J1813">
        <f>IFERROR(__xludf.DUMMYFUNCTION("""COMPUTED_VALUE"""),0.0)</f>
        <v>0</v>
      </c>
      <c r="L1813" s="250" t="str">
        <f>IFERROR(__xludf.DUMMYFUNCTION("""COMPUTED_VALUE"""),"")</f>
        <v/>
      </c>
      <c r="M1813" s="250" t="str">
        <f>IFERROR(__xludf.DUMMYFUNCTION("""COMPUTED_VALUE"""),"")</f>
        <v/>
      </c>
      <c r="N1813" s="250" t="str">
        <f>IFERROR(__xludf.DUMMYFUNCTION("""COMPUTED_VALUE"""),"")</f>
        <v/>
      </c>
      <c r="O1813" s="250" t="str">
        <f>IFERROR(__xludf.DUMMYFUNCTION("""COMPUTED_VALUE"""),"")</f>
        <v/>
      </c>
      <c r="P1813" s="250" t="str">
        <f>IFERROR(__xludf.DUMMYFUNCTION("""COMPUTED_VALUE"""),"")</f>
        <v/>
      </c>
      <c r="Q1813" s="250" t="str">
        <f>IFERROR(__xludf.DUMMYFUNCTION("""COMPUTED_VALUE"""),"")</f>
        <v/>
      </c>
      <c r="R1813" s="250" t="str">
        <f>IFERROR(__xludf.DUMMYFUNCTION("""COMPUTED_VALUE"""),"")</f>
        <v/>
      </c>
      <c r="U1813" s="250" t="str">
        <f>IFERROR(__xludf.DUMMYFUNCTION("""COMPUTED_VALUE"""),"#N/A")</f>
        <v>#N/A</v>
      </c>
      <c r="V1813" s="250" t="str">
        <f>IFERROR(__xludf.DUMMYFUNCTION("""COMPUTED_VALUE"""),"#N/A")</f>
        <v>#N/A</v>
      </c>
      <c r="W1813" s="250" t="str">
        <f>IFERROR(__xludf.DUMMYFUNCTION("""COMPUTED_VALUE"""),"#N/A")</f>
        <v>#N/A</v>
      </c>
      <c r="X1813" t="b">
        <f t="shared" ref="X1813:Z1813" si="3602">ISBLANK(K1813)</f>
        <v>1</v>
      </c>
      <c r="Y1813" t="b">
        <f t="shared" si="3602"/>
        <v>0</v>
      </c>
      <c r="Z1813" t="b">
        <f t="shared" si="3602"/>
        <v>0</v>
      </c>
      <c r="AA1813">
        <f t="shared" ref="AA1813:AC1813" si="3603">IF(X1813=FALSE,1,0)</f>
        <v>0</v>
      </c>
      <c r="AB1813">
        <f t="shared" si="3603"/>
        <v>1</v>
      </c>
      <c r="AC1813">
        <f t="shared" si="3603"/>
        <v>1</v>
      </c>
      <c r="AD1813">
        <f t="shared" si="6"/>
        <v>2</v>
      </c>
      <c r="AE1813">
        <f t="shared" si="7"/>
        <v>1</v>
      </c>
    </row>
    <row r="1814">
      <c r="B1814" t="str">
        <f>IFERROR(__xludf.DUMMYFUNCTION("""COMPUTED_VALUE"""),"")</f>
        <v/>
      </c>
      <c r="C1814" t="str">
        <f>IFERROR(__xludf.DUMMYFUNCTION("""COMPUTED_VALUE"""),"")</f>
        <v/>
      </c>
      <c r="D1814" t="str">
        <f>IFERROR(__xludf.DUMMYFUNCTION("""COMPUTED_VALUE"""),"")</f>
        <v/>
      </c>
      <c r="E1814" t="str">
        <f>IFERROR(__xludf.DUMMYFUNCTION("""COMPUTED_VALUE"""),"")</f>
        <v/>
      </c>
      <c r="F1814" t="str">
        <f>IFERROR(__xludf.DUMMYFUNCTION("""COMPUTED_VALUE"""),"")</f>
        <v/>
      </c>
      <c r="G1814" t="str">
        <f>IFERROR(__xludf.DUMMYFUNCTION("""COMPUTED_VALUE"""),"")</f>
        <v/>
      </c>
      <c r="H1814" t="str">
        <f>IFERROR(__xludf.DUMMYFUNCTION("""COMPUTED_VALUE"""),"")</f>
        <v/>
      </c>
      <c r="I1814" t="str">
        <f>IFERROR(__xludf.DUMMYFUNCTION("""COMPUTED_VALUE"""),"")</f>
        <v/>
      </c>
      <c r="J1814">
        <f>IFERROR(__xludf.DUMMYFUNCTION("""COMPUTED_VALUE"""),0.0)</f>
        <v>0</v>
      </c>
      <c r="L1814" s="250" t="str">
        <f>IFERROR(__xludf.DUMMYFUNCTION("""COMPUTED_VALUE"""),"")</f>
        <v/>
      </c>
      <c r="M1814" s="250" t="str">
        <f>IFERROR(__xludf.DUMMYFUNCTION("""COMPUTED_VALUE"""),"")</f>
        <v/>
      </c>
      <c r="N1814" s="250" t="str">
        <f>IFERROR(__xludf.DUMMYFUNCTION("""COMPUTED_VALUE"""),"")</f>
        <v/>
      </c>
      <c r="O1814" s="250" t="str">
        <f>IFERROR(__xludf.DUMMYFUNCTION("""COMPUTED_VALUE"""),"")</f>
        <v/>
      </c>
      <c r="P1814" s="250" t="str">
        <f>IFERROR(__xludf.DUMMYFUNCTION("""COMPUTED_VALUE"""),"")</f>
        <v/>
      </c>
      <c r="Q1814" s="250" t="str">
        <f>IFERROR(__xludf.DUMMYFUNCTION("""COMPUTED_VALUE"""),"")</f>
        <v/>
      </c>
      <c r="R1814" s="250" t="str">
        <f>IFERROR(__xludf.DUMMYFUNCTION("""COMPUTED_VALUE"""),"")</f>
        <v/>
      </c>
      <c r="U1814" s="250" t="str">
        <f>IFERROR(__xludf.DUMMYFUNCTION("""COMPUTED_VALUE"""),"#N/A")</f>
        <v>#N/A</v>
      </c>
      <c r="V1814" s="250" t="str">
        <f>IFERROR(__xludf.DUMMYFUNCTION("""COMPUTED_VALUE"""),"#N/A")</f>
        <v>#N/A</v>
      </c>
      <c r="W1814" s="250" t="str">
        <f>IFERROR(__xludf.DUMMYFUNCTION("""COMPUTED_VALUE"""),"#N/A")</f>
        <v>#N/A</v>
      </c>
      <c r="X1814" t="b">
        <f t="shared" ref="X1814:Z1814" si="3604">ISBLANK(K1814)</f>
        <v>1</v>
      </c>
      <c r="Y1814" t="b">
        <f t="shared" si="3604"/>
        <v>0</v>
      </c>
      <c r="Z1814" t="b">
        <f t="shared" si="3604"/>
        <v>0</v>
      </c>
      <c r="AA1814">
        <f t="shared" ref="AA1814:AC1814" si="3605">IF(X1814=FALSE,1,0)</f>
        <v>0</v>
      </c>
      <c r="AB1814">
        <f t="shared" si="3605"/>
        <v>1</v>
      </c>
      <c r="AC1814">
        <f t="shared" si="3605"/>
        <v>1</v>
      </c>
      <c r="AD1814">
        <f t="shared" si="6"/>
        <v>2</v>
      </c>
      <c r="AE1814">
        <f t="shared" si="7"/>
        <v>1</v>
      </c>
    </row>
    <row r="1815">
      <c r="B1815" t="str">
        <f>IFERROR(__xludf.DUMMYFUNCTION("""COMPUTED_VALUE"""),"")</f>
        <v/>
      </c>
      <c r="C1815" t="str">
        <f>IFERROR(__xludf.DUMMYFUNCTION("""COMPUTED_VALUE"""),"")</f>
        <v/>
      </c>
      <c r="D1815" t="str">
        <f>IFERROR(__xludf.DUMMYFUNCTION("""COMPUTED_VALUE"""),"")</f>
        <v/>
      </c>
      <c r="E1815" t="str">
        <f>IFERROR(__xludf.DUMMYFUNCTION("""COMPUTED_VALUE"""),"")</f>
        <v/>
      </c>
      <c r="F1815" t="str">
        <f>IFERROR(__xludf.DUMMYFUNCTION("""COMPUTED_VALUE"""),"")</f>
        <v/>
      </c>
      <c r="G1815" t="str">
        <f>IFERROR(__xludf.DUMMYFUNCTION("""COMPUTED_VALUE"""),"")</f>
        <v/>
      </c>
      <c r="H1815" t="str">
        <f>IFERROR(__xludf.DUMMYFUNCTION("""COMPUTED_VALUE"""),"")</f>
        <v/>
      </c>
      <c r="I1815" t="str">
        <f>IFERROR(__xludf.DUMMYFUNCTION("""COMPUTED_VALUE"""),"")</f>
        <v/>
      </c>
      <c r="J1815">
        <f>IFERROR(__xludf.DUMMYFUNCTION("""COMPUTED_VALUE"""),0.0)</f>
        <v>0</v>
      </c>
      <c r="L1815" s="250" t="str">
        <f>IFERROR(__xludf.DUMMYFUNCTION("""COMPUTED_VALUE"""),"")</f>
        <v/>
      </c>
      <c r="M1815" s="250" t="str">
        <f>IFERROR(__xludf.DUMMYFUNCTION("""COMPUTED_VALUE"""),"")</f>
        <v/>
      </c>
      <c r="N1815" s="250" t="str">
        <f>IFERROR(__xludf.DUMMYFUNCTION("""COMPUTED_VALUE"""),"")</f>
        <v/>
      </c>
      <c r="O1815" s="250" t="str">
        <f>IFERROR(__xludf.DUMMYFUNCTION("""COMPUTED_VALUE"""),"")</f>
        <v/>
      </c>
      <c r="P1815" s="250" t="str">
        <f>IFERROR(__xludf.DUMMYFUNCTION("""COMPUTED_VALUE"""),"")</f>
        <v/>
      </c>
      <c r="Q1815" s="250" t="str">
        <f>IFERROR(__xludf.DUMMYFUNCTION("""COMPUTED_VALUE"""),"")</f>
        <v/>
      </c>
      <c r="R1815" s="250" t="str">
        <f>IFERROR(__xludf.DUMMYFUNCTION("""COMPUTED_VALUE"""),"")</f>
        <v/>
      </c>
      <c r="U1815" s="250" t="str">
        <f>IFERROR(__xludf.DUMMYFUNCTION("""COMPUTED_VALUE"""),"#N/A")</f>
        <v>#N/A</v>
      </c>
      <c r="V1815" s="250" t="str">
        <f>IFERROR(__xludf.DUMMYFUNCTION("""COMPUTED_VALUE"""),"#N/A")</f>
        <v>#N/A</v>
      </c>
      <c r="W1815" s="250" t="str">
        <f>IFERROR(__xludf.DUMMYFUNCTION("""COMPUTED_VALUE"""),"#N/A")</f>
        <v>#N/A</v>
      </c>
      <c r="X1815" t="b">
        <f t="shared" ref="X1815:Z1815" si="3606">ISBLANK(K1815)</f>
        <v>1</v>
      </c>
      <c r="Y1815" t="b">
        <f t="shared" si="3606"/>
        <v>0</v>
      </c>
      <c r="Z1815" t="b">
        <f t="shared" si="3606"/>
        <v>0</v>
      </c>
      <c r="AA1815">
        <f t="shared" ref="AA1815:AC1815" si="3607">IF(X1815=FALSE,1,0)</f>
        <v>0</v>
      </c>
      <c r="AB1815">
        <f t="shared" si="3607"/>
        <v>1</v>
      </c>
      <c r="AC1815">
        <f t="shared" si="3607"/>
        <v>1</v>
      </c>
      <c r="AD1815">
        <f t="shared" si="6"/>
        <v>2</v>
      </c>
      <c r="AE1815">
        <f t="shared" si="7"/>
        <v>1</v>
      </c>
    </row>
    <row r="1816">
      <c r="B1816" t="str">
        <f>IFERROR(__xludf.DUMMYFUNCTION("""COMPUTED_VALUE"""),"")</f>
        <v/>
      </c>
      <c r="C1816" t="str">
        <f>IFERROR(__xludf.DUMMYFUNCTION("""COMPUTED_VALUE"""),"")</f>
        <v/>
      </c>
      <c r="D1816" t="str">
        <f>IFERROR(__xludf.DUMMYFUNCTION("""COMPUTED_VALUE"""),"")</f>
        <v/>
      </c>
      <c r="E1816" t="str">
        <f>IFERROR(__xludf.DUMMYFUNCTION("""COMPUTED_VALUE"""),"")</f>
        <v/>
      </c>
      <c r="F1816" t="str">
        <f>IFERROR(__xludf.DUMMYFUNCTION("""COMPUTED_VALUE"""),"")</f>
        <v/>
      </c>
      <c r="G1816" t="str">
        <f>IFERROR(__xludf.DUMMYFUNCTION("""COMPUTED_VALUE"""),"")</f>
        <v/>
      </c>
      <c r="H1816" t="str">
        <f>IFERROR(__xludf.DUMMYFUNCTION("""COMPUTED_VALUE"""),"")</f>
        <v/>
      </c>
      <c r="I1816" t="str">
        <f>IFERROR(__xludf.DUMMYFUNCTION("""COMPUTED_VALUE"""),"")</f>
        <v/>
      </c>
      <c r="J1816">
        <f>IFERROR(__xludf.DUMMYFUNCTION("""COMPUTED_VALUE"""),0.0)</f>
        <v>0</v>
      </c>
      <c r="L1816" s="250" t="str">
        <f>IFERROR(__xludf.DUMMYFUNCTION("""COMPUTED_VALUE"""),"")</f>
        <v/>
      </c>
      <c r="M1816" s="250" t="str">
        <f>IFERROR(__xludf.DUMMYFUNCTION("""COMPUTED_VALUE"""),"")</f>
        <v/>
      </c>
      <c r="N1816" s="250" t="str">
        <f>IFERROR(__xludf.DUMMYFUNCTION("""COMPUTED_VALUE"""),"")</f>
        <v/>
      </c>
      <c r="O1816" s="250" t="str">
        <f>IFERROR(__xludf.DUMMYFUNCTION("""COMPUTED_VALUE"""),"")</f>
        <v/>
      </c>
      <c r="P1816" s="250" t="str">
        <f>IFERROR(__xludf.DUMMYFUNCTION("""COMPUTED_VALUE"""),"")</f>
        <v/>
      </c>
      <c r="Q1816" s="250" t="str">
        <f>IFERROR(__xludf.DUMMYFUNCTION("""COMPUTED_VALUE"""),"")</f>
        <v/>
      </c>
      <c r="R1816" s="250" t="str">
        <f>IFERROR(__xludf.DUMMYFUNCTION("""COMPUTED_VALUE"""),"")</f>
        <v/>
      </c>
      <c r="U1816" s="250" t="str">
        <f>IFERROR(__xludf.DUMMYFUNCTION("""COMPUTED_VALUE"""),"#N/A")</f>
        <v>#N/A</v>
      </c>
      <c r="V1816" s="250" t="str">
        <f>IFERROR(__xludf.DUMMYFUNCTION("""COMPUTED_VALUE"""),"#N/A")</f>
        <v>#N/A</v>
      </c>
      <c r="W1816" s="250" t="str">
        <f>IFERROR(__xludf.DUMMYFUNCTION("""COMPUTED_VALUE"""),"#N/A")</f>
        <v>#N/A</v>
      </c>
      <c r="X1816" t="b">
        <f t="shared" ref="X1816:Z1816" si="3608">ISBLANK(K1816)</f>
        <v>1</v>
      </c>
      <c r="Y1816" t="b">
        <f t="shared" si="3608"/>
        <v>0</v>
      </c>
      <c r="Z1816" t="b">
        <f t="shared" si="3608"/>
        <v>0</v>
      </c>
      <c r="AA1816">
        <f t="shared" ref="AA1816:AC1816" si="3609">IF(X1816=FALSE,1,0)</f>
        <v>0</v>
      </c>
      <c r="AB1816">
        <f t="shared" si="3609"/>
        <v>1</v>
      </c>
      <c r="AC1816">
        <f t="shared" si="3609"/>
        <v>1</v>
      </c>
      <c r="AD1816">
        <f t="shared" si="6"/>
        <v>2</v>
      </c>
      <c r="AE1816">
        <f t="shared" si="7"/>
        <v>1</v>
      </c>
    </row>
    <row r="1817">
      <c r="B1817" t="str">
        <f>IFERROR(__xludf.DUMMYFUNCTION("""COMPUTED_VALUE"""),"")</f>
        <v/>
      </c>
      <c r="C1817" t="str">
        <f>IFERROR(__xludf.DUMMYFUNCTION("""COMPUTED_VALUE"""),"")</f>
        <v/>
      </c>
      <c r="D1817" t="str">
        <f>IFERROR(__xludf.DUMMYFUNCTION("""COMPUTED_VALUE"""),"")</f>
        <v/>
      </c>
      <c r="E1817" t="str">
        <f>IFERROR(__xludf.DUMMYFUNCTION("""COMPUTED_VALUE"""),"")</f>
        <v/>
      </c>
      <c r="F1817" t="str">
        <f>IFERROR(__xludf.DUMMYFUNCTION("""COMPUTED_VALUE"""),"")</f>
        <v/>
      </c>
      <c r="G1817" t="str">
        <f>IFERROR(__xludf.DUMMYFUNCTION("""COMPUTED_VALUE"""),"")</f>
        <v/>
      </c>
      <c r="H1817" t="str">
        <f>IFERROR(__xludf.DUMMYFUNCTION("""COMPUTED_VALUE"""),"")</f>
        <v/>
      </c>
      <c r="I1817" t="str">
        <f>IFERROR(__xludf.DUMMYFUNCTION("""COMPUTED_VALUE"""),"")</f>
        <v/>
      </c>
      <c r="J1817">
        <f>IFERROR(__xludf.DUMMYFUNCTION("""COMPUTED_VALUE"""),0.0)</f>
        <v>0</v>
      </c>
      <c r="L1817" s="250" t="str">
        <f>IFERROR(__xludf.DUMMYFUNCTION("""COMPUTED_VALUE"""),"")</f>
        <v/>
      </c>
      <c r="M1817" s="250" t="str">
        <f>IFERROR(__xludf.DUMMYFUNCTION("""COMPUTED_VALUE"""),"")</f>
        <v/>
      </c>
      <c r="N1817" s="250" t="str">
        <f>IFERROR(__xludf.DUMMYFUNCTION("""COMPUTED_VALUE"""),"")</f>
        <v/>
      </c>
      <c r="O1817" s="250" t="str">
        <f>IFERROR(__xludf.DUMMYFUNCTION("""COMPUTED_VALUE"""),"")</f>
        <v/>
      </c>
      <c r="P1817" s="250" t="str">
        <f>IFERROR(__xludf.DUMMYFUNCTION("""COMPUTED_VALUE"""),"")</f>
        <v/>
      </c>
      <c r="Q1817" s="250" t="str">
        <f>IFERROR(__xludf.DUMMYFUNCTION("""COMPUTED_VALUE"""),"")</f>
        <v/>
      </c>
      <c r="R1817" s="250" t="str">
        <f>IFERROR(__xludf.DUMMYFUNCTION("""COMPUTED_VALUE"""),"")</f>
        <v/>
      </c>
      <c r="U1817" s="250" t="str">
        <f>IFERROR(__xludf.DUMMYFUNCTION("""COMPUTED_VALUE"""),"#N/A")</f>
        <v>#N/A</v>
      </c>
      <c r="V1817" s="250" t="str">
        <f>IFERROR(__xludf.DUMMYFUNCTION("""COMPUTED_VALUE"""),"#N/A")</f>
        <v>#N/A</v>
      </c>
      <c r="W1817" s="250" t="str">
        <f>IFERROR(__xludf.DUMMYFUNCTION("""COMPUTED_VALUE"""),"#N/A")</f>
        <v>#N/A</v>
      </c>
      <c r="X1817" t="b">
        <f t="shared" ref="X1817:Z1817" si="3610">ISBLANK(K1817)</f>
        <v>1</v>
      </c>
      <c r="Y1817" t="b">
        <f t="shared" si="3610"/>
        <v>0</v>
      </c>
      <c r="Z1817" t="b">
        <f t="shared" si="3610"/>
        <v>0</v>
      </c>
      <c r="AA1817">
        <f t="shared" ref="AA1817:AC1817" si="3611">IF(X1817=FALSE,1,0)</f>
        <v>0</v>
      </c>
      <c r="AB1817">
        <f t="shared" si="3611"/>
        <v>1</v>
      </c>
      <c r="AC1817">
        <f t="shared" si="3611"/>
        <v>1</v>
      </c>
      <c r="AD1817">
        <f t="shared" si="6"/>
        <v>2</v>
      </c>
      <c r="AE1817">
        <f t="shared" si="7"/>
        <v>1</v>
      </c>
    </row>
    <row r="1818">
      <c r="B1818" t="str">
        <f>IFERROR(__xludf.DUMMYFUNCTION("""COMPUTED_VALUE"""),"")</f>
        <v/>
      </c>
      <c r="C1818" t="str">
        <f>IFERROR(__xludf.DUMMYFUNCTION("""COMPUTED_VALUE"""),"")</f>
        <v/>
      </c>
      <c r="D1818" t="str">
        <f>IFERROR(__xludf.DUMMYFUNCTION("""COMPUTED_VALUE"""),"")</f>
        <v/>
      </c>
      <c r="E1818" t="str">
        <f>IFERROR(__xludf.DUMMYFUNCTION("""COMPUTED_VALUE"""),"")</f>
        <v/>
      </c>
      <c r="F1818" t="str">
        <f>IFERROR(__xludf.DUMMYFUNCTION("""COMPUTED_VALUE"""),"")</f>
        <v/>
      </c>
      <c r="G1818" t="str">
        <f>IFERROR(__xludf.DUMMYFUNCTION("""COMPUTED_VALUE"""),"")</f>
        <v/>
      </c>
      <c r="H1818" t="str">
        <f>IFERROR(__xludf.DUMMYFUNCTION("""COMPUTED_VALUE"""),"")</f>
        <v/>
      </c>
      <c r="I1818" t="str">
        <f>IFERROR(__xludf.DUMMYFUNCTION("""COMPUTED_VALUE"""),"")</f>
        <v/>
      </c>
      <c r="J1818">
        <f>IFERROR(__xludf.DUMMYFUNCTION("""COMPUTED_VALUE"""),0.0)</f>
        <v>0</v>
      </c>
      <c r="L1818" s="250" t="str">
        <f>IFERROR(__xludf.DUMMYFUNCTION("""COMPUTED_VALUE"""),"")</f>
        <v/>
      </c>
      <c r="M1818" s="250" t="str">
        <f>IFERROR(__xludf.DUMMYFUNCTION("""COMPUTED_VALUE"""),"")</f>
        <v/>
      </c>
      <c r="N1818" s="250" t="str">
        <f>IFERROR(__xludf.DUMMYFUNCTION("""COMPUTED_VALUE"""),"")</f>
        <v/>
      </c>
      <c r="O1818" s="250" t="str">
        <f>IFERROR(__xludf.DUMMYFUNCTION("""COMPUTED_VALUE"""),"")</f>
        <v/>
      </c>
      <c r="P1818" s="250" t="str">
        <f>IFERROR(__xludf.DUMMYFUNCTION("""COMPUTED_VALUE"""),"")</f>
        <v/>
      </c>
      <c r="Q1818" s="250" t="str">
        <f>IFERROR(__xludf.DUMMYFUNCTION("""COMPUTED_VALUE"""),"")</f>
        <v/>
      </c>
      <c r="R1818" s="250" t="str">
        <f>IFERROR(__xludf.DUMMYFUNCTION("""COMPUTED_VALUE"""),"")</f>
        <v/>
      </c>
      <c r="U1818" s="250" t="str">
        <f>IFERROR(__xludf.DUMMYFUNCTION("""COMPUTED_VALUE"""),"#N/A")</f>
        <v>#N/A</v>
      </c>
      <c r="V1818" s="250" t="str">
        <f>IFERROR(__xludf.DUMMYFUNCTION("""COMPUTED_VALUE"""),"#N/A")</f>
        <v>#N/A</v>
      </c>
      <c r="W1818" s="250" t="str">
        <f>IFERROR(__xludf.DUMMYFUNCTION("""COMPUTED_VALUE"""),"#N/A")</f>
        <v>#N/A</v>
      </c>
      <c r="X1818" t="b">
        <f t="shared" ref="X1818:Z1818" si="3612">ISBLANK(K1818)</f>
        <v>1</v>
      </c>
      <c r="Y1818" t="b">
        <f t="shared" si="3612"/>
        <v>0</v>
      </c>
      <c r="Z1818" t="b">
        <f t="shared" si="3612"/>
        <v>0</v>
      </c>
      <c r="AA1818">
        <f t="shared" ref="AA1818:AC1818" si="3613">IF(X1818=FALSE,1,0)</f>
        <v>0</v>
      </c>
      <c r="AB1818">
        <f t="shared" si="3613"/>
        <v>1</v>
      </c>
      <c r="AC1818">
        <f t="shared" si="3613"/>
        <v>1</v>
      </c>
      <c r="AD1818">
        <f t="shared" si="6"/>
        <v>2</v>
      </c>
      <c r="AE1818">
        <f t="shared" si="7"/>
        <v>1</v>
      </c>
    </row>
    <row r="1819">
      <c r="B1819" t="str">
        <f>IFERROR(__xludf.DUMMYFUNCTION("""COMPUTED_VALUE"""),"")</f>
        <v/>
      </c>
      <c r="C1819" t="str">
        <f>IFERROR(__xludf.DUMMYFUNCTION("""COMPUTED_VALUE"""),"")</f>
        <v/>
      </c>
      <c r="D1819" t="str">
        <f>IFERROR(__xludf.DUMMYFUNCTION("""COMPUTED_VALUE"""),"")</f>
        <v/>
      </c>
      <c r="E1819" t="str">
        <f>IFERROR(__xludf.DUMMYFUNCTION("""COMPUTED_VALUE"""),"")</f>
        <v/>
      </c>
      <c r="F1819" t="str">
        <f>IFERROR(__xludf.DUMMYFUNCTION("""COMPUTED_VALUE"""),"")</f>
        <v/>
      </c>
      <c r="G1819" t="str">
        <f>IFERROR(__xludf.DUMMYFUNCTION("""COMPUTED_VALUE"""),"")</f>
        <v/>
      </c>
      <c r="H1819" t="str">
        <f>IFERROR(__xludf.DUMMYFUNCTION("""COMPUTED_VALUE"""),"")</f>
        <v/>
      </c>
      <c r="I1819" t="str">
        <f>IFERROR(__xludf.DUMMYFUNCTION("""COMPUTED_VALUE"""),"")</f>
        <v/>
      </c>
      <c r="J1819">
        <f>IFERROR(__xludf.DUMMYFUNCTION("""COMPUTED_VALUE"""),0.0)</f>
        <v>0</v>
      </c>
      <c r="L1819" s="250" t="str">
        <f>IFERROR(__xludf.DUMMYFUNCTION("""COMPUTED_VALUE"""),"")</f>
        <v/>
      </c>
      <c r="M1819" s="250" t="str">
        <f>IFERROR(__xludf.DUMMYFUNCTION("""COMPUTED_VALUE"""),"")</f>
        <v/>
      </c>
      <c r="N1819" s="250" t="str">
        <f>IFERROR(__xludf.DUMMYFUNCTION("""COMPUTED_VALUE"""),"")</f>
        <v/>
      </c>
      <c r="O1819" s="250" t="str">
        <f>IFERROR(__xludf.DUMMYFUNCTION("""COMPUTED_VALUE"""),"")</f>
        <v/>
      </c>
      <c r="P1819" s="250" t="str">
        <f>IFERROR(__xludf.DUMMYFUNCTION("""COMPUTED_VALUE"""),"")</f>
        <v/>
      </c>
      <c r="Q1819" s="250" t="str">
        <f>IFERROR(__xludf.DUMMYFUNCTION("""COMPUTED_VALUE"""),"")</f>
        <v/>
      </c>
      <c r="R1819" s="250" t="str">
        <f>IFERROR(__xludf.DUMMYFUNCTION("""COMPUTED_VALUE"""),"")</f>
        <v/>
      </c>
      <c r="U1819" s="250" t="str">
        <f>IFERROR(__xludf.DUMMYFUNCTION("""COMPUTED_VALUE"""),"#N/A")</f>
        <v>#N/A</v>
      </c>
      <c r="V1819" s="250" t="str">
        <f>IFERROR(__xludf.DUMMYFUNCTION("""COMPUTED_VALUE"""),"#N/A")</f>
        <v>#N/A</v>
      </c>
      <c r="W1819" s="250" t="str">
        <f>IFERROR(__xludf.DUMMYFUNCTION("""COMPUTED_VALUE"""),"#N/A")</f>
        <v>#N/A</v>
      </c>
      <c r="X1819" t="b">
        <f t="shared" ref="X1819:Z1819" si="3614">ISBLANK(K1819)</f>
        <v>1</v>
      </c>
      <c r="Y1819" t="b">
        <f t="shared" si="3614"/>
        <v>0</v>
      </c>
      <c r="Z1819" t="b">
        <f t="shared" si="3614"/>
        <v>0</v>
      </c>
      <c r="AA1819">
        <f t="shared" ref="AA1819:AC1819" si="3615">IF(X1819=FALSE,1,0)</f>
        <v>0</v>
      </c>
      <c r="AB1819">
        <f t="shared" si="3615"/>
        <v>1</v>
      </c>
      <c r="AC1819">
        <f t="shared" si="3615"/>
        <v>1</v>
      </c>
      <c r="AD1819">
        <f t="shared" si="6"/>
        <v>2</v>
      </c>
      <c r="AE1819">
        <f t="shared" si="7"/>
        <v>1</v>
      </c>
    </row>
    <row r="1820">
      <c r="B1820" t="str">
        <f>IFERROR(__xludf.DUMMYFUNCTION("""COMPUTED_VALUE"""),"")</f>
        <v/>
      </c>
      <c r="C1820" t="str">
        <f>IFERROR(__xludf.DUMMYFUNCTION("""COMPUTED_VALUE"""),"")</f>
        <v/>
      </c>
      <c r="D1820" t="str">
        <f>IFERROR(__xludf.DUMMYFUNCTION("""COMPUTED_VALUE"""),"")</f>
        <v/>
      </c>
      <c r="E1820" t="str">
        <f>IFERROR(__xludf.DUMMYFUNCTION("""COMPUTED_VALUE"""),"")</f>
        <v/>
      </c>
      <c r="F1820" t="str">
        <f>IFERROR(__xludf.DUMMYFUNCTION("""COMPUTED_VALUE"""),"")</f>
        <v/>
      </c>
      <c r="G1820" t="str">
        <f>IFERROR(__xludf.DUMMYFUNCTION("""COMPUTED_VALUE"""),"")</f>
        <v/>
      </c>
      <c r="H1820" t="str">
        <f>IFERROR(__xludf.DUMMYFUNCTION("""COMPUTED_VALUE"""),"")</f>
        <v/>
      </c>
      <c r="I1820" t="str">
        <f>IFERROR(__xludf.DUMMYFUNCTION("""COMPUTED_VALUE"""),"")</f>
        <v/>
      </c>
      <c r="J1820">
        <f>IFERROR(__xludf.DUMMYFUNCTION("""COMPUTED_VALUE"""),0.0)</f>
        <v>0</v>
      </c>
      <c r="L1820" s="250" t="str">
        <f>IFERROR(__xludf.DUMMYFUNCTION("""COMPUTED_VALUE"""),"")</f>
        <v/>
      </c>
      <c r="M1820" s="250" t="str">
        <f>IFERROR(__xludf.DUMMYFUNCTION("""COMPUTED_VALUE"""),"")</f>
        <v/>
      </c>
      <c r="N1820" s="250" t="str">
        <f>IFERROR(__xludf.DUMMYFUNCTION("""COMPUTED_VALUE"""),"")</f>
        <v/>
      </c>
      <c r="O1820" s="250" t="str">
        <f>IFERROR(__xludf.DUMMYFUNCTION("""COMPUTED_VALUE"""),"")</f>
        <v/>
      </c>
      <c r="P1820" s="250" t="str">
        <f>IFERROR(__xludf.DUMMYFUNCTION("""COMPUTED_VALUE"""),"")</f>
        <v/>
      </c>
      <c r="Q1820" s="250" t="str">
        <f>IFERROR(__xludf.DUMMYFUNCTION("""COMPUTED_VALUE"""),"")</f>
        <v/>
      </c>
      <c r="R1820" s="250" t="str">
        <f>IFERROR(__xludf.DUMMYFUNCTION("""COMPUTED_VALUE"""),"")</f>
        <v/>
      </c>
      <c r="U1820" s="250" t="str">
        <f>IFERROR(__xludf.DUMMYFUNCTION("""COMPUTED_VALUE"""),"#N/A")</f>
        <v>#N/A</v>
      </c>
      <c r="V1820" s="250" t="str">
        <f>IFERROR(__xludf.DUMMYFUNCTION("""COMPUTED_VALUE"""),"#N/A")</f>
        <v>#N/A</v>
      </c>
      <c r="W1820" s="250" t="str">
        <f>IFERROR(__xludf.DUMMYFUNCTION("""COMPUTED_VALUE"""),"#N/A")</f>
        <v>#N/A</v>
      </c>
      <c r="X1820" t="b">
        <f t="shared" ref="X1820:Z1820" si="3616">ISBLANK(K1820)</f>
        <v>1</v>
      </c>
      <c r="Y1820" t="b">
        <f t="shared" si="3616"/>
        <v>0</v>
      </c>
      <c r="Z1820" t="b">
        <f t="shared" si="3616"/>
        <v>0</v>
      </c>
      <c r="AA1820">
        <f t="shared" ref="AA1820:AC1820" si="3617">IF(X1820=FALSE,1,0)</f>
        <v>0</v>
      </c>
      <c r="AB1820">
        <f t="shared" si="3617"/>
        <v>1</v>
      </c>
      <c r="AC1820">
        <f t="shared" si="3617"/>
        <v>1</v>
      </c>
      <c r="AD1820">
        <f t="shared" si="6"/>
        <v>2</v>
      </c>
      <c r="AE1820">
        <f t="shared" si="7"/>
        <v>1</v>
      </c>
    </row>
    <row r="1821">
      <c r="B1821" t="str">
        <f>IFERROR(__xludf.DUMMYFUNCTION("""COMPUTED_VALUE"""),"")</f>
        <v/>
      </c>
      <c r="C1821" t="str">
        <f>IFERROR(__xludf.DUMMYFUNCTION("""COMPUTED_VALUE"""),"")</f>
        <v/>
      </c>
      <c r="D1821" t="str">
        <f>IFERROR(__xludf.DUMMYFUNCTION("""COMPUTED_VALUE"""),"")</f>
        <v/>
      </c>
      <c r="E1821" t="str">
        <f>IFERROR(__xludf.DUMMYFUNCTION("""COMPUTED_VALUE"""),"")</f>
        <v/>
      </c>
      <c r="F1821" t="str">
        <f>IFERROR(__xludf.DUMMYFUNCTION("""COMPUTED_VALUE"""),"")</f>
        <v/>
      </c>
      <c r="G1821" t="str">
        <f>IFERROR(__xludf.DUMMYFUNCTION("""COMPUTED_VALUE"""),"")</f>
        <v/>
      </c>
      <c r="H1821" t="str">
        <f>IFERROR(__xludf.DUMMYFUNCTION("""COMPUTED_VALUE"""),"")</f>
        <v/>
      </c>
      <c r="I1821" t="str">
        <f>IFERROR(__xludf.DUMMYFUNCTION("""COMPUTED_VALUE"""),"")</f>
        <v/>
      </c>
      <c r="J1821">
        <f>IFERROR(__xludf.DUMMYFUNCTION("""COMPUTED_VALUE"""),0.0)</f>
        <v>0</v>
      </c>
      <c r="L1821" s="250" t="str">
        <f>IFERROR(__xludf.DUMMYFUNCTION("""COMPUTED_VALUE"""),"")</f>
        <v/>
      </c>
      <c r="M1821" s="250" t="str">
        <f>IFERROR(__xludf.DUMMYFUNCTION("""COMPUTED_VALUE"""),"")</f>
        <v/>
      </c>
      <c r="N1821" s="250" t="str">
        <f>IFERROR(__xludf.DUMMYFUNCTION("""COMPUTED_VALUE"""),"")</f>
        <v/>
      </c>
      <c r="O1821" s="250" t="str">
        <f>IFERROR(__xludf.DUMMYFUNCTION("""COMPUTED_VALUE"""),"")</f>
        <v/>
      </c>
      <c r="P1821" s="250" t="str">
        <f>IFERROR(__xludf.DUMMYFUNCTION("""COMPUTED_VALUE"""),"")</f>
        <v/>
      </c>
      <c r="Q1821" s="250" t="str">
        <f>IFERROR(__xludf.DUMMYFUNCTION("""COMPUTED_VALUE"""),"")</f>
        <v/>
      </c>
      <c r="R1821" s="250" t="str">
        <f>IFERROR(__xludf.DUMMYFUNCTION("""COMPUTED_VALUE"""),"")</f>
        <v/>
      </c>
      <c r="U1821" s="250" t="str">
        <f>IFERROR(__xludf.DUMMYFUNCTION("""COMPUTED_VALUE"""),"#N/A")</f>
        <v>#N/A</v>
      </c>
      <c r="V1821" s="250" t="str">
        <f>IFERROR(__xludf.DUMMYFUNCTION("""COMPUTED_VALUE"""),"#N/A")</f>
        <v>#N/A</v>
      </c>
      <c r="W1821" s="250" t="str">
        <f>IFERROR(__xludf.DUMMYFUNCTION("""COMPUTED_VALUE"""),"#N/A")</f>
        <v>#N/A</v>
      </c>
      <c r="X1821" t="b">
        <f t="shared" ref="X1821:Z1821" si="3618">ISBLANK(K1821)</f>
        <v>1</v>
      </c>
      <c r="Y1821" t="b">
        <f t="shared" si="3618"/>
        <v>0</v>
      </c>
      <c r="Z1821" t="b">
        <f t="shared" si="3618"/>
        <v>0</v>
      </c>
      <c r="AA1821">
        <f t="shared" ref="AA1821:AC1821" si="3619">IF(X1821=FALSE,1,0)</f>
        <v>0</v>
      </c>
      <c r="AB1821">
        <f t="shared" si="3619"/>
        <v>1</v>
      </c>
      <c r="AC1821">
        <f t="shared" si="3619"/>
        <v>1</v>
      </c>
      <c r="AD1821">
        <f t="shared" si="6"/>
        <v>2</v>
      </c>
      <c r="AE1821">
        <f t="shared" si="7"/>
        <v>1</v>
      </c>
    </row>
    <row r="1822">
      <c r="B1822" t="str">
        <f>IFERROR(__xludf.DUMMYFUNCTION("""COMPUTED_VALUE"""),"")</f>
        <v/>
      </c>
      <c r="C1822" t="str">
        <f>IFERROR(__xludf.DUMMYFUNCTION("""COMPUTED_VALUE"""),"")</f>
        <v/>
      </c>
      <c r="D1822" t="str">
        <f>IFERROR(__xludf.DUMMYFUNCTION("""COMPUTED_VALUE"""),"")</f>
        <v/>
      </c>
      <c r="E1822" t="str">
        <f>IFERROR(__xludf.DUMMYFUNCTION("""COMPUTED_VALUE"""),"")</f>
        <v/>
      </c>
      <c r="F1822" t="str">
        <f>IFERROR(__xludf.DUMMYFUNCTION("""COMPUTED_VALUE"""),"")</f>
        <v/>
      </c>
      <c r="G1822" t="str">
        <f>IFERROR(__xludf.DUMMYFUNCTION("""COMPUTED_VALUE"""),"")</f>
        <v/>
      </c>
      <c r="H1822" t="str">
        <f>IFERROR(__xludf.DUMMYFUNCTION("""COMPUTED_VALUE"""),"")</f>
        <v/>
      </c>
      <c r="I1822" t="str">
        <f>IFERROR(__xludf.DUMMYFUNCTION("""COMPUTED_VALUE"""),"")</f>
        <v/>
      </c>
      <c r="J1822">
        <f>IFERROR(__xludf.DUMMYFUNCTION("""COMPUTED_VALUE"""),0.0)</f>
        <v>0</v>
      </c>
      <c r="L1822" s="250" t="str">
        <f>IFERROR(__xludf.DUMMYFUNCTION("""COMPUTED_VALUE"""),"")</f>
        <v/>
      </c>
      <c r="M1822" s="250" t="str">
        <f>IFERROR(__xludf.DUMMYFUNCTION("""COMPUTED_VALUE"""),"")</f>
        <v/>
      </c>
      <c r="N1822" s="250" t="str">
        <f>IFERROR(__xludf.DUMMYFUNCTION("""COMPUTED_VALUE"""),"")</f>
        <v/>
      </c>
      <c r="O1822" s="250" t="str">
        <f>IFERROR(__xludf.DUMMYFUNCTION("""COMPUTED_VALUE"""),"")</f>
        <v/>
      </c>
      <c r="P1822" s="250" t="str">
        <f>IFERROR(__xludf.DUMMYFUNCTION("""COMPUTED_VALUE"""),"")</f>
        <v/>
      </c>
      <c r="Q1822" s="250" t="str">
        <f>IFERROR(__xludf.DUMMYFUNCTION("""COMPUTED_VALUE"""),"")</f>
        <v/>
      </c>
      <c r="R1822" s="250" t="str">
        <f>IFERROR(__xludf.DUMMYFUNCTION("""COMPUTED_VALUE"""),"")</f>
        <v/>
      </c>
      <c r="U1822" s="250" t="str">
        <f>IFERROR(__xludf.DUMMYFUNCTION("""COMPUTED_VALUE"""),"#N/A")</f>
        <v>#N/A</v>
      </c>
      <c r="V1822" s="250" t="str">
        <f>IFERROR(__xludf.DUMMYFUNCTION("""COMPUTED_VALUE"""),"#N/A")</f>
        <v>#N/A</v>
      </c>
      <c r="W1822" s="250" t="str">
        <f>IFERROR(__xludf.DUMMYFUNCTION("""COMPUTED_VALUE"""),"#N/A")</f>
        <v>#N/A</v>
      </c>
      <c r="X1822" t="b">
        <f t="shared" ref="X1822:Z1822" si="3620">ISBLANK(K1822)</f>
        <v>1</v>
      </c>
      <c r="Y1822" t="b">
        <f t="shared" si="3620"/>
        <v>0</v>
      </c>
      <c r="Z1822" t="b">
        <f t="shared" si="3620"/>
        <v>0</v>
      </c>
      <c r="AA1822">
        <f t="shared" ref="AA1822:AC1822" si="3621">IF(X1822=FALSE,1,0)</f>
        <v>0</v>
      </c>
      <c r="AB1822">
        <f t="shared" si="3621"/>
        <v>1</v>
      </c>
      <c r="AC1822">
        <f t="shared" si="3621"/>
        <v>1</v>
      </c>
      <c r="AD1822">
        <f t="shared" si="6"/>
        <v>2</v>
      </c>
      <c r="AE1822">
        <f t="shared" si="7"/>
        <v>1</v>
      </c>
    </row>
    <row r="1823">
      <c r="B1823" t="str">
        <f>IFERROR(__xludf.DUMMYFUNCTION("""COMPUTED_VALUE"""),"")</f>
        <v/>
      </c>
      <c r="C1823" t="str">
        <f>IFERROR(__xludf.DUMMYFUNCTION("""COMPUTED_VALUE"""),"")</f>
        <v/>
      </c>
      <c r="D1823" t="str">
        <f>IFERROR(__xludf.DUMMYFUNCTION("""COMPUTED_VALUE"""),"")</f>
        <v/>
      </c>
      <c r="E1823" t="str">
        <f>IFERROR(__xludf.DUMMYFUNCTION("""COMPUTED_VALUE"""),"")</f>
        <v/>
      </c>
      <c r="F1823" t="str">
        <f>IFERROR(__xludf.DUMMYFUNCTION("""COMPUTED_VALUE"""),"")</f>
        <v/>
      </c>
      <c r="G1823" t="str">
        <f>IFERROR(__xludf.DUMMYFUNCTION("""COMPUTED_VALUE"""),"")</f>
        <v/>
      </c>
      <c r="H1823" t="str">
        <f>IFERROR(__xludf.DUMMYFUNCTION("""COMPUTED_VALUE"""),"")</f>
        <v/>
      </c>
      <c r="I1823" t="str">
        <f>IFERROR(__xludf.DUMMYFUNCTION("""COMPUTED_VALUE"""),"")</f>
        <v/>
      </c>
      <c r="J1823">
        <f>IFERROR(__xludf.DUMMYFUNCTION("""COMPUTED_VALUE"""),0.0)</f>
        <v>0</v>
      </c>
      <c r="L1823" s="250" t="str">
        <f>IFERROR(__xludf.DUMMYFUNCTION("""COMPUTED_VALUE"""),"")</f>
        <v/>
      </c>
      <c r="M1823" s="250" t="str">
        <f>IFERROR(__xludf.DUMMYFUNCTION("""COMPUTED_VALUE"""),"")</f>
        <v/>
      </c>
      <c r="N1823" s="250" t="str">
        <f>IFERROR(__xludf.DUMMYFUNCTION("""COMPUTED_VALUE"""),"")</f>
        <v/>
      </c>
      <c r="O1823" s="250" t="str">
        <f>IFERROR(__xludf.DUMMYFUNCTION("""COMPUTED_VALUE"""),"")</f>
        <v/>
      </c>
      <c r="P1823" s="250" t="str">
        <f>IFERROR(__xludf.DUMMYFUNCTION("""COMPUTED_VALUE"""),"")</f>
        <v/>
      </c>
      <c r="Q1823" s="250" t="str">
        <f>IFERROR(__xludf.DUMMYFUNCTION("""COMPUTED_VALUE"""),"")</f>
        <v/>
      </c>
      <c r="R1823" s="250" t="str">
        <f>IFERROR(__xludf.DUMMYFUNCTION("""COMPUTED_VALUE"""),"")</f>
        <v/>
      </c>
      <c r="U1823" s="250" t="str">
        <f>IFERROR(__xludf.DUMMYFUNCTION("""COMPUTED_VALUE"""),"#N/A")</f>
        <v>#N/A</v>
      </c>
      <c r="V1823" s="250" t="str">
        <f>IFERROR(__xludf.DUMMYFUNCTION("""COMPUTED_VALUE"""),"#N/A")</f>
        <v>#N/A</v>
      </c>
      <c r="W1823" s="250" t="str">
        <f>IFERROR(__xludf.DUMMYFUNCTION("""COMPUTED_VALUE"""),"#N/A")</f>
        <v>#N/A</v>
      </c>
      <c r="X1823" t="b">
        <f t="shared" ref="X1823:Z1823" si="3622">ISBLANK(K1823)</f>
        <v>1</v>
      </c>
      <c r="Y1823" t="b">
        <f t="shared" si="3622"/>
        <v>0</v>
      </c>
      <c r="Z1823" t="b">
        <f t="shared" si="3622"/>
        <v>0</v>
      </c>
      <c r="AA1823">
        <f t="shared" ref="AA1823:AC1823" si="3623">IF(X1823=FALSE,1,0)</f>
        <v>0</v>
      </c>
      <c r="AB1823">
        <f t="shared" si="3623"/>
        <v>1</v>
      </c>
      <c r="AC1823">
        <f t="shared" si="3623"/>
        <v>1</v>
      </c>
      <c r="AD1823">
        <f t="shared" si="6"/>
        <v>2</v>
      </c>
      <c r="AE1823">
        <f t="shared" si="7"/>
        <v>1</v>
      </c>
    </row>
    <row r="1824">
      <c r="B1824" t="str">
        <f>IFERROR(__xludf.DUMMYFUNCTION("""COMPUTED_VALUE"""),"")</f>
        <v/>
      </c>
      <c r="C1824" t="str">
        <f>IFERROR(__xludf.DUMMYFUNCTION("""COMPUTED_VALUE"""),"")</f>
        <v/>
      </c>
      <c r="D1824" t="str">
        <f>IFERROR(__xludf.DUMMYFUNCTION("""COMPUTED_VALUE"""),"")</f>
        <v/>
      </c>
      <c r="E1824" t="str">
        <f>IFERROR(__xludf.DUMMYFUNCTION("""COMPUTED_VALUE"""),"")</f>
        <v/>
      </c>
      <c r="F1824" t="str">
        <f>IFERROR(__xludf.DUMMYFUNCTION("""COMPUTED_VALUE"""),"")</f>
        <v/>
      </c>
      <c r="G1824" t="str">
        <f>IFERROR(__xludf.DUMMYFUNCTION("""COMPUTED_VALUE"""),"")</f>
        <v/>
      </c>
      <c r="H1824" t="str">
        <f>IFERROR(__xludf.DUMMYFUNCTION("""COMPUTED_VALUE"""),"")</f>
        <v/>
      </c>
      <c r="I1824" t="str">
        <f>IFERROR(__xludf.DUMMYFUNCTION("""COMPUTED_VALUE"""),"")</f>
        <v/>
      </c>
      <c r="J1824">
        <f>IFERROR(__xludf.DUMMYFUNCTION("""COMPUTED_VALUE"""),0.0)</f>
        <v>0</v>
      </c>
      <c r="L1824" s="250" t="str">
        <f>IFERROR(__xludf.DUMMYFUNCTION("""COMPUTED_VALUE"""),"")</f>
        <v/>
      </c>
      <c r="M1824" s="250" t="str">
        <f>IFERROR(__xludf.DUMMYFUNCTION("""COMPUTED_VALUE"""),"")</f>
        <v/>
      </c>
      <c r="N1824" s="250" t="str">
        <f>IFERROR(__xludf.DUMMYFUNCTION("""COMPUTED_VALUE"""),"")</f>
        <v/>
      </c>
      <c r="O1824" s="250" t="str">
        <f>IFERROR(__xludf.DUMMYFUNCTION("""COMPUTED_VALUE"""),"")</f>
        <v/>
      </c>
      <c r="P1824" s="250" t="str">
        <f>IFERROR(__xludf.DUMMYFUNCTION("""COMPUTED_VALUE"""),"")</f>
        <v/>
      </c>
      <c r="Q1824" s="250" t="str">
        <f>IFERROR(__xludf.DUMMYFUNCTION("""COMPUTED_VALUE"""),"")</f>
        <v/>
      </c>
      <c r="R1824" s="250" t="str">
        <f>IFERROR(__xludf.DUMMYFUNCTION("""COMPUTED_VALUE"""),"")</f>
        <v/>
      </c>
      <c r="U1824" s="250" t="str">
        <f>IFERROR(__xludf.DUMMYFUNCTION("""COMPUTED_VALUE"""),"#N/A")</f>
        <v>#N/A</v>
      </c>
      <c r="V1824" s="250" t="str">
        <f>IFERROR(__xludf.DUMMYFUNCTION("""COMPUTED_VALUE"""),"#N/A")</f>
        <v>#N/A</v>
      </c>
      <c r="W1824" s="250" t="str">
        <f>IFERROR(__xludf.DUMMYFUNCTION("""COMPUTED_VALUE"""),"#N/A")</f>
        <v>#N/A</v>
      </c>
      <c r="X1824" t="b">
        <f t="shared" ref="X1824:Z1824" si="3624">ISBLANK(K1824)</f>
        <v>1</v>
      </c>
      <c r="Y1824" t="b">
        <f t="shared" si="3624"/>
        <v>0</v>
      </c>
      <c r="Z1824" t="b">
        <f t="shared" si="3624"/>
        <v>0</v>
      </c>
      <c r="AA1824">
        <f t="shared" ref="AA1824:AC1824" si="3625">IF(X1824=FALSE,1,0)</f>
        <v>0</v>
      </c>
      <c r="AB1824">
        <f t="shared" si="3625"/>
        <v>1</v>
      </c>
      <c r="AC1824">
        <f t="shared" si="3625"/>
        <v>1</v>
      </c>
      <c r="AD1824">
        <f t="shared" si="6"/>
        <v>2</v>
      </c>
      <c r="AE1824">
        <f t="shared" si="7"/>
        <v>1</v>
      </c>
    </row>
    <row r="1825">
      <c r="B1825" t="str">
        <f>IFERROR(__xludf.DUMMYFUNCTION("""COMPUTED_VALUE"""),"")</f>
        <v/>
      </c>
      <c r="C1825" t="str">
        <f>IFERROR(__xludf.DUMMYFUNCTION("""COMPUTED_VALUE"""),"")</f>
        <v/>
      </c>
      <c r="D1825" t="str">
        <f>IFERROR(__xludf.DUMMYFUNCTION("""COMPUTED_VALUE"""),"")</f>
        <v/>
      </c>
      <c r="E1825" t="str">
        <f>IFERROR(__xludf.DUMMYFUNCTION("""COMPUTED_VALUE"""),"")</f>
        <v/>
      </c>
      <c r="F1825" t="str">
        <f>IFERROR(__xludf.DUMMYFUNCTION("""COMPUTED_VALUE"""),"")</f>
        <v/>
      </c>
      <c r="G1825" t="str">
        <f>IFERROR(__xludf.DUMMYFUNCTION("""COMPUTED_VALUE"""),"")</f>
        <v/>
      </c>
      <c r="H1825" t="str">
        <f>IFERROR(__xludf.DUMMYFUNCTION("""COMPUTED_VALUE"""),"")</f>
        <v/>
      </c>
      <c r="I1825" t="str">
        <f>IFERROR(__xludf.DUMMYFUNCTION("""COMPUTED_VALUE"""),"")</f>
        <v/>
      </c>
      <c r="J1825">
        <f>IFERROR(__xludf.DUMMYFUNCTION("""COMPUTED_VALUE"""),0.0)</f>
        <v>0</v>
      </c>
      <c r="L1825" s="250" t="str">
        <f>IFERROR(__xludf.DUMMYFUNCTION("""COMPUTED_VALUE"""),"")</f>
        <v/>
      </c>
      <c r="M1825" s="250" t="str">
        <f>IFERROR(__xludf.DUMMYFUNCTION("""COMPUTED_VALUE"""),"")</f>
        <v/>
      </c>
      <c r="N1825" s="250" t="str">
        <f>IFERROR(__xludf.DUMMYFUNCTION("""COMPUTED_VALUE"""),"")</f>
        <v/>
      </c>
      <c r="O1825" s="250" t="str">
        <f>IFERROR(__xludf.DUMMYFUNCTION("""COMPUTED_VALUE"""),"")</f>
        <v/>
      </c>
      <c r="P1825" s="250" t="str">
        <f>IFERROR(__xludf.DUMMYFUNCTION("""COMPUTED_VALUE"""),"")</f>
        <v/>
      </c>
      <c r="Q1825" s="250" t="str">
        <f>IFERROR(__xludf.DUMMYFUNCTION("""COMPUTED_VALUE"""),"")</f>
        <v/>
      </c>
      <c r="R1825" s="250" t="str">
        <f>IFERROR(__xludf.DUMMYFUNCTION("""COMPUTED_VALUE"""),"")</f>
        <v/>
      </c>
      <c r="U1825" s="250" t="str">
        <f>IFERROR(__xludf.DUMMYFUNCTION("""COMPUTED_VALUE"""),"#N/A")</f>
        <v>#N/A</v>
      </c>
      <c r="V1825" s="250" t="str">
        <f>IFERROR(__xludf.DUMMYFUNCTION("""COMPUTED_VALUE"""),"#N/A")</f>
        <v>#N/A</v>
      </c>
      <c r="W1825" s="250" t="str">
        <f>IFERROR(__xludf.DUMMYFUNCTION("""COMPUTED_VALUE"""),"#N/A")</f>
        <v>#N/A</v>
      </c>
      <c r="X1825" t="b">
        <f t="shared" ref="X1825:Z1825" si="3626">ISBLANK(K1825)</f>
        <v>1</v>
      </c>
      <c r="Y1825" t="b">
        <f t="shared" si="3626"/>
        <v>0</v>
      </c>
      <c r="Z1825" t="b">
        <f t="shared" si="3626"/>
        <v>0</v>
      </c>
      <c r="AA1825">
        <f t="shared" ref="AA1825:AC1825" si="3627">IF(X1825=FALSE,1,0)</f>
        <v>0</v>
      </c>
      <c r="AB1825">
        <f t="shared" si="3627"/>
        <v>1</v>
      </c>
      <c r="AC1825">
        <f t="shared" si="3627"/>
        <v>1</v>
      </c>
      <c r="AD1825">
        <f t="shared" si="6"/>
        <v>2</v>
      </c>
      <c r="AE1825">
        <f t="shared" si="7"/>
        <v>1</v>
      </c>
    </row>
    <row r="1826">
      <c r="B1826" t="str">
        <f>IFERROR(__xludf.DUMMYFUNCTION("""COMPUTED_VALUE"""),"")</f>
        <v/>
      </c>
      <c r="C1826" t="str">
        <f>IFERROR(__xludf.DUMMYFUNCTION("""COMPUTED_VALUE"""),"")</f>
        <v/>
      </c>
      <c r="D1826" t="str">
        <f>IFERROR(__xludf.DUMMYFUNCTION("""COMPUTED_VALUE"""),"")</f>
        <v/>
      </c>
      <c r="E1826" t="str">
        <f>IFERROR(__xludf.DUMMYFUNCTION("""COMPUTED_VALUE"""),"")</f>
        <v/>
      </c>
      <c r="F1826" t="str">
        <f>IFERROR(__xludf.DUMMYFUNCTION("""COMPUTED_VALUE"""),"")</f>
        <v/>
      </c>
      <c r="G1826" t="str">
        <f>IFERROR(__xludf.DUMMYFUNCTION("""COMPUTED_VALUE"""),"")</f>
        <v/>
      </c>
      <c r="H1826" t="str">
        <f>IFERROR(__xludf.DUMMYFUNCTION("""COMPUTED_VALUE"""),"")</f>
        <v/>
      </c>
      <c r="I1826" t="str">
        <f>IFERROR(__xludf.DUMMYFUNCTION("""COMPUTED_VALUE"""),"")</f>
        <v/>
      </c>
      <c r="J1826">
        <f>IFERROR(__xludf.DUMMYFUNCTION("""COMPUTED_VALUE"""),0.0)</f>
        <v>0</v>
      </c>
      <c r="L1826" s="250" t="str">
        <f>IFERROR(__xludf.DUMMYFUNCTION("""COMPUTED_VALUE"""),"")</f>
        <v/>
      </c>
      <c r="M1826" s="250" t="str">
        <f>IFERROR(__xludf.DUMMYFUNCTION("""COMPUTED_VALUE"""),"")</f>
        <v/>
      </c>
      <c r="N1826" s="250" t="str">
        <f>IFERROR(__xludf.DUMMYFUNCTION("""COMPUTED_VALUE"""),"")</f>
        <v/>
      </c>
      <c r="O1826" s="250" t="str">
        <f>IFERROR(__xludf.DUMMYFUNCTION("""COMPUTED_VALUE"""),"")</f>
        <v/>
      </c>
      <c r="P1826" s="250" t="str">
        <f>IFERROR(__xludf.DUMMYFUNCTION("""COMPUTED_VALUE"""),"")</f>
        <v/>
      </c>
      <c r="Q1826" s="250" t="str">
        <f>IFERROR(__xludf.DUMMYFUNCTION("""COMPUTED_VALUE"""),"")</f>
        <v/>
      </c>
      <c r="R1826" s="250" t="str">
        <f>IFERROR(__xludf.DUMMYFUNCTION("""COMPUTED_VALUE"""),"")</f>
        <v/>
      </c>
      <c r="U1826" s="250" t="str">
        <f>IFERROR(__xludf.DUMMYFUNCTION("""COMPUTED_VALUE"""),"#N/A")</f>
        <v>#N/A</v>
      </c>
      <c r="V1826" s="250" t="str">
        <f>IFERROR(__xludf.DUMMYFUNCTION("""COMPUTED_VALUE"""),"#N/A")</f>
        <v>#N/A</v>
      </c>
      <c r="W1826" s="250" t="str">
        <f>IFERROR(__xludf.DUMMYFUNCTION("""COMPUTED_VALUE"""),"#N/A")</f>
        <v>#N/A</v>
      </c>
      <c r="X1826" t="b">
        <f t="shared" ref="X1826:Z1826" si="3628">ISBLANK(K1826)</f>
        <v>1</v>
      </c>
      <c r="Y1826" t="b">
        <f t="shared" si="3628"/>
        <v>0</v>
      </c>
      <c r="Z1826" t="b">
        <f t="shared" si="3628"/>
        <v>0</v>
      </c>
      <c r="AA1826">
        <f t="shared" ref="AA1826:AC1826" si="3629">IF(X1826=FALSE,1,0)</f>
        <v>0</v>
      </c>
      <c r="AB1826">
        <f t="shared" si="3629"/>
        <v>1</v>
      </c>
      <c r="AC1826">
        <f t="shared" si="3629"/>
        <v>1</v>
      </c>
      <c r="AD1826">
        <f t="shared" si="6"/>
        <v>2</v>
      </c>
      <c r="AE1826">
        <f t="shared" si="7"/>
        <v>1</v>
      </c>
    </row>
    <row r="1827">
      <c r="B1827" t="str">
        <f>IFERROR(__xludf.DUMMYFUNCTION("""COMPUTED_VALUE"""),"")</f>
        <v/>
      </c>
      <c r="C1827" t="str">
        <f>IFERROR(__xludf.DUMMYFUNCTION("""COMPUTED_VALUE"""),"")</f>
        <v/>
      </c>
      <c r="D1827" t="str">
        <f>IFERROR(__xludf.DUMMYFUNCTION("""COMPUTED_VALUE"""),"")</f>
        <v/>
      </c>
      <c r="E1827" t="str">
        <f>IFERROR(__xludf.DUMMYFUNCTION("""COMPUTED_VALUE"""),"")</f>
        <v/>
      </c>
      <c r="F1827" t="str">
        <f>IFERROR(__xludf.DUMMYFUNCTION("""COMPUTED_VALUE"""),"")</f>
        <v/>
      </c>
      <c r="G1827" t="str">
        <f>IFERROR(__xludf.DUMMYFUNCTION("""COMPUTED_VALUE"""),"")</f>
        <v/>
      </c>
      <c r="H1827" t="str">
        <f>IFERROR(__xludf.DUMMYFUNCTION("""COMPUTED_VALUE"""),"")</f>
        <v/>
      </c>
      <c r="I1827" t="str">
        <f>IFERROR(__xludf.DUMMYFUNCTION("""COMPUTED_VALUE"""),"")</f>
        <v/>
      </c>
      <c r="J1827">
        <f>IFERROR(__xludf.DUMMYFUNCTION("""COMPUTED_VALUE"""),0.0)</f>
        <v>0</v>
      </c>
      <c r="L1827" s="250" t="str">
        <f>IFERROR(__xludf.DUMMYFUNCTION("""COMPUTED_VALUE"""),"")</f>
        <v/>
      </c>
      <c r="M1827" s="250" t="str">
        <f>IFERROR(__xludf.DUMMYFUNCTION("""COMPUTED_VALUE"""),"")</f>
        <v/>
      </c>
      <c r="N1827" s="250" t="str">
        <f>IFERROR(__xludf.DUMMYFUNCTION("""COMPUTED_VALUE"""),"")</f>
        <v/>
      </c>
      <c r="O1827" s="250" t="str">
        <f>IFERROR(__xludf.DUMMYFUNCTION("""COMPUTED_VALUE"""),"")</f>
        <v/>
      </c>
      <c r="P1827" s="250" t="str">
        <f>IFERROR(__xludf.DUMMYFUNCTION("""COMPUTED_VALUE"""),"")</f>
        <v/>
      </c>
      <c r="Q1827" s="250" t="str">
        <f>IFERROR(__xludf.DUMMYFUNCTION("""COMPUTED_VALUE"""),"")</f>
        <v/>
      </c>
      <c r="R1827" s="250" t="str">
        <f>IFERROR(__xludf.DUMMYFUNCTION("""COMPUTED_VALUE"""),"")</f>
        <v/>
      </c>
      <c r="U1827" s="250" t="str">
        <f>IFERROR(__xludf.DUMMYFUNCTION("""COMPUTED_VALUE"""),"#N/A")</f>
        <v>#N/A</v>
      </c>
      <c r="V1827" s="250" t="str">
        <f>IFERROR(__xludf.DUMMYFUNCTION("""COMPUTED_VALUE"""),"#N/A")</f>
        <v>#N/A</v>
      </c>
      <c r="W1827" s="250" t="str">
        <f>IFERROR(__xludf.DUMMYFUNCTION("""COMPUTED_VALUE"""),"#N/A")</f>
        <v>#N/A</v>
      </c>
      <c r="X1827" t="b">
        <f t="shared" ref="X1827:Z1827" si="3630">ISBLANK(K1827)</f>
        <v>1</v>
      </c>
      <c r="Y1827" t="b">
        <f t="shared" si="3630"/>
        <v>0</v>
      </c>
      <c r="Z1827" t="b">
        <f t="shared" si="3630"/>
        <v>0</v>
      </c>
      <c r="AA1827">
        <f t="shared" ref="AA1827:AC1827" si="3631">IF(X1827=FALSE,1,0)</f>
        <v>0</v>
      </c>
      <c r="AB1827">
        <f t="shared" si="3631"/>
        <v>1</v>
      </c>
      <c r="AC1827">
        <f t="shared" si="3631"/>
        <v>1</v>
      </c>
      <c r="AD1827">
        <f t="shared" si="6"/>
        <v>2</v>
      </c>
      <c r="AE1827">
        <f t="shared" si="7"/>
        <v>1</v>
      </c>
    </row>
    <row r="1828">
      <c r="B1828" t="str">
        <f>IFERROR(__xludf.DUMMYFUNCTION("""COMPUTED_VALUE"""),"")</f>
        <v/>
      </c>
      <c r="C1828" t="str">
        <f>IFERROR(__xludf.DUMMYFUNCTION("""COMPUTED_VALUE"""),"")</f>
        <v/>
      </c>
      <c r="D1828" t="str">
        <f>IFERROR(__xludf.DUMMYFUNCTION("""COMPUTED_VALUE"""),"")</f>
        <v/>
      </c>
      <c r="E1828" t="str">
        <f>IFERROR(__xludf.DUMMYFUNCTION("""COMPUTED_VALUE"""),"")</f>
        <v/>
      </c>
      <c r="F1828" t="str">
        <f>IFERROR(__xludf.DUMMYFUNCTION("""COMPUTED_VALUE"""),"")</f>
        <v/>
      </c>
      <c r="G1828" t="str">
        <f>IFERROR(__xludf.DUMMYFUNCTION("""COMPUTED_VALUE"""),"")</f>
        <v/>
      </c>
      <c r="H1828" t="str">
        <f>IFERROR(__xludf.DUMMYFUNCTION("""COMPUTED_VALUE"""),"")</f>
        <v/>
      </c>
      <c r="I1828" t="str">
        <f>IFERROR(__xludf.DUMMYFUNCTION("""COMPUTED_VALUE"""),"")</f>
        <v/>
      </c>
      <c r="J1828">
        <f>IFERROR(__xludf.DUMMYFUNCTION("""COMPUTED_VALUE"""),0.0)</f>
        <v>0</v>
      </c>
      <c r="L1828" s="250" t="str">
        <f>IFERROR(__xludf.DUMMYFUNCTION("""COMPUTED_VALUE"""),"")</f>
        <v/>
      </c>
      <c r="M1828" s="250" t="str">
        <f>IFERROR(__xludf.DUMMYFUNCTION("""COMPUTED_VALUE"""),"")</f>
        <v/>
      </c>
      <c r="N1828" s="250" t="str">
        <f>IFERROR(__xludf.DUMMYFUNCTION("""COMPUTED_VALUE"""),"")</f>
        <v/>
      </c>
      <c r="O1828" s="250" t="str">
        <f>IFERROR(__xludf.DUMMYFUNCTION("""COMPUTED_VALUE"""),"")</f>
        <v/>
      </c>
      <c r="P1828" s="250" t="str">
        <f>IFERROR(__xludf.DUMMYFUNCTION("""COMPUTED_VALUE"""),"")</f>
        <v/>
      </c>
      <c r="Q1828" s="250" t="str">
        <f>IFERROR(__xludf.DUMMYFUNCTION("""COMPUTED_VALUE"""),"")</f>
        <v/>
      </c>
      <c r="R1828" s="250" t="str">
        <f>IFERROR(__xludf.DUMMYFUNCTION("""COMPUTED_VALUE"""),"")</f>
        <v/>
      </c>
      <c r="U1828" s="250" t="str">
        <f>IFERROR(__xludf.DUMMYFUNCTION("""COMPUTED_VALUE"""),"#N/A")</f>
        <v>#N/A</v>
      </c>
      <c r="V1828" s="250" t="str">
        <f>IFERROR(__xludf.DUMMYFUNCTION("""COMPUTED_VALUE"""),"#N/A")</f>
        <v>#N/A</v>
      </c>
      <c r="W1828" s="250" t="str">
        <f>IFERROR(__xludf.DUMMYFUNCTION("""COMPUTED_VALUE"""),"#N/A")</f>
        <v>#N/A</v>
      </c>
      <c r="X1828" t="b">
        <f t="shared" ref="X1828:Z1828" si="3632">ISBLANK(K1828)</f>
        <v>1</v>
      </c>
      <c r="Y1828" t="b">
        <f t="shared" si="3632"/>
        <v>0</v>
      </c>
      <c r="Z1828" t="b">
        <f t="shared" si="3632"/>
        <v>0</v>
      </c>
      <c r="AA1828">
        <f t="shared" ref="AA1828:AC1828" si="3633">IF(X1828=FALSE,1,0)</f>
        <v>0</v>
      </c>
      <c r="AB1828">
        <f t="shared" si="3633"/>
        <v>1</v>
      </c>
      <c r="AC1828">
        <f t="shared" si="3633"/>
        <v>1</v>
      </c>
      <c r="AD1828">
        <f t="shared" si="6"/>
        <v>2</v>
      </c>
      <c r="AE1828">
        <f t="shared" si="7"/>
        <v>1</v>
      </c>
    </row>
    <row r="1829">
      <c r="B1829" t="str">
        <f>IFERROR(__xludf.DUMMYFUNCTION("""COMPUTED_VALUE"""),"")</f>
        <v/>
      </c>
      <c r="C1829" t="str">
        <f>IFERROR(__xludf.DUMMYFUNCTION("""COMPUTED_VALUE"""),"")</f>
        <v/>
      </c>
      <c r="D1829" t="str">
        <f>IFERROR(__xludf.DUMMYFUNCTION("""COMPUTED_VALUE"""),"")</f>
        <v/>
      </c>
      <c r="E1829" t="str">
        <f>IFERROR(__xludf.DUMMYFUNCTION("""COMPUTED_VALUE"""),"")</f>
        <v/>
      </c>
      <c r="F1829" t="str">
        <f>IFERROR(__xludf.DUMMYFUNCTION("""COMPUTED_VALUE"""),"")</f>
        <v/>
      </c>
      <c r="G1829" t="str">
        <f>IFERROR(__xludf.DUMMYFUNCTION("""COMPUTED_VALUE"""),"")</f>
        <v/>
      </c>
      <c r="H1829" t="str">
        <f>IFERROR(__xludf.DUMMYFUNCTION("""COMPUTED_VALUE"""),"")</f>
        <v/>
      </c>
      <c r="I1829" t="str">
        <f>IFERROR(__xludf.DUMMYFUNCTION("""COMPUTED_VALUE"""),"")</f>
        <v/>
      </c>
      <c r="J1829">
        <f>IFERROR(__xludf.DUMMYFUNCTION("""COMPUTED_VALUE"""),0.0)</f>
        <v>0</v>
      </c>
      <c r="L1829" s="250" t="str">
        <f>IFERROR(__xludf.DUMMYFUNCTION("""COMPUTED_VALUE"""),"")</f>
        <v/>
      </c>
      <c r="M1829" s="250" t="str">
        <f>IFERROR(__xludf.DUMMYFUNCTION("""COMPUTED_VALUE"""),"")</f>
        <v/>
      </c>
      <c r="N1829" s="250" t="str">
        <f>IFERROR(__xludf.DUMMYFUNCTION("""COMPUTED_VALUE"""),"")</f>
        <v/>
      </c>
      <c r="O1829" s="250" t="str">
        <f>IFERROR(__xludf.DUMMYFUNCTION("""COMPUTED_VALUE"""),"")</f>
        <v/>
      </c>
      <c r="P1829" s="250" t="str">
        <f>IFERROR(__xludf.DUMMYFUNCTION("""COMPUTED_VALUE"""),"")</f>
        <v/>
      </c>
      <c r="Q1829" s="250" t="str">
        <f>IFERROR(__xludf.DUMMYFUNCTION("""COMPUTED_VALUE"""),"")</f>
        <v/>
      </c>
      <c r="R1829" s="250" t="str">
        <f>IFERROR(__xludf.DUMMYFUNCTION("""COMPUTED_VALUE"""),"")</f>
        <v/>
      </c>
      <c r="U1829" s="250" t="str">
        <f>IFERROR(__xludf.DUMMYFUNCTION("""COMPUTED_VALUE"""),"#N/A")</f>
        <v>#N/A</v>
      </c>
      <c r="V1829" s="250" t="str">
        <f>IFERROR(__xludf.DUMMYFUNCTION("""COMPUTED_VALUE"""),"#N/A")</f>
        <v>#N/A</v>
      </c>
      <c r="W1829" s="250" t="str">
        <f>IFERROR(__xludf.DUMMYFUNCTION("""COMPUTED_VALUE"""),"#N/A")</f>
        <v>#N/A</v>
      </c>
      <c r="X1829" t="b">
        <f t="shared" ref="X1829:Z1829" si="3634">ISBLANK(K1829)</f>
        <v>1</v>
      </c>
      <c r="Y1829" t="b">
        <f t="shared" si="3634"/>
        <v>0</v>
      </c>
      <c r="Z1829" t="b">
        <f t="shared" si="3634"/>
        <v>0</v>
      </c>
      <c r="AA1829">
        <f t="shared" ref="AA1829:AC1829" si="3635">IF(X1829=FALSE,1,0)</f>
        <v>0</v>
      </c>
      <c r="AB1829">
        <f t="shared" si="3635"/>
        <v>1</v>
      </c>
      <c r="AC1829">
        <f t="shared" si="3635"/>
        <v>1</v>
      </c>
      <c r="AD1829">
        <f t="shared" si="6"/>
        <v>2</v>
      </c>
      <c r="AE1829">
        <f t="shared" si="7"/>
        <v>1</v>
      </c>
    </row>
    <row r="1830">
      <c r="B1830" t="str">
        <f>IFERROR(__xludf.DUMMYFUNCTION("""COMPUTED_VALUE"""),"")</f>
        <v/>
      </c>
      <c r="C1830" t="str">
        <f>IFERROR(__xludf.DUMMYFUNCTION("""COMPUTED_VALUE"""),"")</f>
        <v/>
      </c>
      <c r="D1830" t="str">
        <f>IFERROR(__xludf.DUMMYFUNCTION("""COMPUTED_VALUE"""),"")</f>
        <v/>
      </c>
      <c r="E1830" t="str">
        <f>IFERROR(__xludf.DUMMYFUNCTION("""COMPUTED_VALUE"""),"")</f>
        <v/>
      </c>
      <c r="F1830" t="str">
        <f>IFERROR(__xludf.DUMMYFUNCTION("""COMPUTED_VALUE"""),"")</f>
        <v/>
      </c>
      <c r="G1830" t="str">
        <f>IFERROR(__xludf.DUMMYFUNCTION("""COMPUTED_VALUE"""),"")</f>
        <v/>
      </c>
      <c r="H1830" t="str">
        <f>IFERROR(__xludf.DUMMYFUNCTION("""COMPUTED_VALUE"""),"")</f>
        <v/>
      </c>
      <c r="I1830" t="str">
        <f>IFERROR(__xludf.DUMMYFUNCTION("""COMPUTED_VALUE"""),"")</f>
        <v/>
      </c>
      <c r="J1830">
        <f>IFERROR(__xludf.DUMMYFUNCTION("""COMPUTED_VALUE"""),0.0)</f>
        <v>0</v>
      </c>
      <c r="L1830" s="250" t="str">
        <f>IFERROR(__xludf.DUMMYFUNCTION("""COMPUTED_VALUE"""),"")</f>
        <v/>
      </c>
      <c r="M1830" s="250" t="str">
        <f>IFERROR(__xludf.DUMMYFUNCTION("""COMPUTED_VALUE"""),"")</f>
        <v/>
      </c>
      <c r="N1830" s="250" t="str">
        <f>IFERROR(__xludf.DUMMYFUNCTION("""COMPUTED_VALUE"""),"")</f>
        <v/>
      </c>
      <c r="O1830" s="250" t="str">
        <f>IFERROR(__xludf.DUMMYFUNCTION("""COMPUTED_VALUE"""),"")</f>
        <v/>
      </c>
      <c r="P1830" s="250" t="str">
        <f>IFERROR(__xludf.DUMMYFUNCTION("""COMPUTED_VALUE"""),"")</f>
        <v/>
      </c>
      <c r="Q1830" s="250" t="str">
        <f>IFERROR(__xludf.DUMMYFUNCTION("""COMPUTED_VALUE"""),"")</f>
        <v/>
      </c>
      <c r="R1830" s="250" t="str">
        <f>IFERROR(__xludf.DUMMYFUNCTION("""COMPUTED_VALUE"""),"")</f>
        <v/>
      </c>
      <c r="U1830" s="250" t="str">
        <f>IFERROR(__xludf.DUMMYFUNCTION("""COMPUTED_VALUE"""),"#N/A")</f>
        <v>#N/A</v>
      </c>
      <c r="V1830" s="250" t="str">
        <f>IFERROR(__xludf.DUMMYFUNCTION("""COMPUTED_VALUE"""),"#N/A")</f>
        <v>#N/A</v>
      </c>
      <c r="W1830" s="250" t="str">
        <f>IFERROR(__xludf.DUMMYFUNCTION("""COMPUTED_VALUE"""),"#N/A")</f>
        <v>#N/A</v>
      </c>
      <c r="X1830" t="b">
        <f t="shared" ref="X1830:Z1830" si="3636">ISBLANK(K1830)</f>
        <v>1</v>
      </c>
      <c r="Y1830" t="b">
        <f t="shared" si="3636"/>
        <v>0</v>
      </c>
      <c r="Z1830" t="b">
        <f t="shared" si="3636"/>
        <v>0</v>
      </c>
      <c r="AA1830">
        <f t="shared" ref="AA1830:AC1830" si="3637">IF(X1830=FALSE,1,0)</f>
        <v>0</v>
      </c>
      <c r="AB1830">
        <f t="shared" si="3637"/>
        <v>1</v>
      </c>
      <c r="AC1830">
        <f t="shared" si="3637"/>
        <v>1</v>
      </c>
      <c r="AD1830">
        <f t="shared" si="6"/>
        <v>2</v>
      </c>
      <c r="AE1830">
        <f t="shared" si="7"/>
        <v>1</v>
      </c>
    </row>
    <row r="1831">
      <c r="B1831" t="str">
        <f>IFERROR(__xludf.DUMMYFUNCTION("""COMPUTED_VALUE"""),"")</f>
        <v/>
      </c>
      <c r="C1831" t="str">
        <f>IFERROR(__xludf.DUMMYFUNCTION("""COMPUTED_VALUE"""),"")</f>
        <v/>
      </c>
      <c r="D1831" t="str">
        <f>IFERROR(__xludf.DUMMYFUNCTION("""COMPUTED_VALUE"""),"")</f>
        <v/>
      </c>
      <c r="E1831" t="str">
        <f>IFERROR(__xludf.DUMMYFUNCTION("""COMPUTED_VALUE"""),"")</f>
        <v/>
      </c>
      <c r="F1831" t="str">
        <f>IFERROR(__xludf.DUMMYFUNCTION("""COMPUTED_VALUE"""),"")</f>
        <v/>
      </c>
      <c r="G1831" t="str">
        <f>IFERROR(__xludf.DUMMYFUNCTION("""COMPUTED_VALUE"""),"")</f>
        <v/>
      </c>
      <c r="H1831" t="str">
        <f>IFERROR(__xludf.DUMMYFUNCTION("""COMPUTED_VALUE"""),"")</f>
        <v/>
      </c>
      <c r="I1831" t="str">
        <f>IFERROR(__xludf.DUMMYFUNCTION("""COMPUTED_VALUE"""),"")</f>
        <v/>
      </c>
      <c r="J1831">
        <f>IFERROR(__xludf.DUMMYFUNCTION("""COMPUTED_VALUE"""),0.0)</f>
        <v>0</v>
      </c>
      <c r="L1831" s="250" t="str">
        <f>IFERROR(__xludf.DUMMYFUNCTION("""COMPUTED_VALUE"""),"")</f>
        <v/>
      </c>
      <c r="M1831" s="250" t="str">
        <f>IFERROR(__xludf.DUMMYFUNCTION("""COMPUTED_VALUE"""),"")</f>
        <v/>
      </c>
      <c r="N1831" s="250" t="str">
        <f>IFERROR(__xludf.DUMMYFUNCTION("""COMPUTED_VALUE"""),"")</f>
        <v/>
      </c>
      <c r="O1831" s="250" t="str">
        <f>IFERROR(__xludf.DUMMYFUNCTION("""COMPUTED_VALUE"""),"")</f>
        <v/>
      </c>
      <c r="P1831" s="250" t="str">
        <f>IFERROR(__xludf.DUMMYFUNCTION("""COMPUTED_VALUE"""),"")</f>
        <v/>
      </c>
      <c r="Q1831" s="250" t="str">
        <f>IFERROR(__xludf.DUMMYFUNCTION("""COMPUTED_VALUE"""),"")</f>
        <v/>
      </c>
      <c r="R1831" s="250" t="str">
        <f>IFERROR(__xludf.DUMMYFUNCTION("""COMPUTED_VALUE"""),"")</f>
        <v/>
      </c>
      <c r="U1831" s="250" t="str">
        <f>IFERROR(__xludf.DUMMYFUNCTION("""COMPUTED_VALUE"""),"#N/A")</f>
        <v>#N/A</v>
      </c>
      <c r="V1831" s="250" t="str">
        <f>IFERROR(__xludf.DUMMYFUNCTION("""COMPUTED_VALUE"""),"#N/A")</f>
        <v>#N/A</v>
      </c>
      <c r="W1831" s="250" t="str">
        <f>IFERROR(__xludf.DUMMYFUNCTION("""COMPUTED_VALUE"""),"#N/A")</f>
        <v>#N/A</v>
      </c>
      <c r="X1831" t="b">
        <f t="shared" ref="X1831:Z1831" si="3638">ISBLANK(K1831)</f>
        <v>1</v>
      </c>
      <c r="Y1831" t="b">
        <f t="shared" si="3638"/>
        <v>0</v>
      </c>
      <c r="Z1831" t="b">
        <f t="shared" si="3638"/>
        <v>0</v>
      </c>
      <c r="AA1831">
        <f t="shared" ref="AA1831:AC1831" si="3639">IF(X1831=FALSE,1,0)</f>
        <v>0</v>
      </c>
      <c r="AB1831">
        <f t="shared" si="3639"/>
        <v>1</v>
      </c>
      <c r="AC1831">
        <f t="shared" si="3639"/>
        <v>1</v>
      </c>
      <c r="AD1831">
        <f t="shared" si="6"/>
        <v>2</v>
      </c>
      <c r="AE1831">
        <f t="shared" si="7"/>
        <v>1</v>
      </c>
    </row>
    <row r="1832">
      <c r="B1832" t="str">
        <f>IFERROR(__xludf.DUMMYFUNCTION("""COMPUTED_VALUE"""),"")</f>
        <v/>
      </c>
      <c r="C1832" t="str">
        <f>IFERROR(__xludf.DUMMYFUNCTION("""COMPUTED_VALUE"""),"")</f>
        <v/>
      </c>
      <c r="D1832" t="str">
        <f>IFERROR(__xludf.DUMMYFUNCTION("""COMPUTED_VALUE"""),"")</f>
        <v/>
      </c>
      <c r="E1832" t="str">
        <f>IFERROR(__xludf.DUMMYFUNCTION("""COMPUTED_VALUE"""),"")</f>
        <v/>
      </c>
      <c r="F1832" t="str">
        <f>IFERROR(__xludf.DUMMYFUNCTION("""COMPUTED_VALUE"""),"")</f>
        <v/>
      </c>
      <c r="G1832" t="str">
        <f>IFERROR(__xludf.DUMMYFUNCTION("""COMPUTED_VALUE"""),"")</f>
        <v/>
      </c>
      <c r="H1832" t="str">
        <f>IFERROR(__xludf.DUMMYFUNCTION("""COMPUTED_VALUE"""),"")</f>
        <v/>
      </c>
      <c r="I1832" t="str">
        <f>IFERROR(__xludf.DUMMYFUNCTION("""COMPUTED_VALUE"""),"")</f>
        <v/>
      </c>
      <c r="J1832">
        <f>IFERROR(__xludf.DUMMYFUNCTION("""COMPUTED_VALUE"""),0.0)</f>
        <v>0</v>
      </c>
      <c r="L1832" s="250" t="str">
        <f>IFERROR(__xludf.DUMMYFUNCTION("""COMPUTED_VALUE"""),"")</f>
        <v/>
      </c>
      <c r="M1832" s="250" t="str">
        <f>IFERROR(__xludf.DUMMYFUNCTION("""COMPUTED_VALUE"""),"")</f>
        <v/>
      </c>
      <c r="N1832" s="250" t="str">
        <f>IFERROR(__xludf.DUMMYFUNCTION("""COMPUTED_VALUE"""),"")</f>
        <v/>
      </c>
      <c r="O1832" s="250" t="str">
        <f>IFERROR(__xludf.DUMMYFUNCTION("""COMPUTED_VALUE"""),"")</f>
        <v/>
      </c>
      <c r="P1832" s="250" t="str">
        <f>IFERROR(__xludf.DUMMYFUNCTION("""COMPUTED_VALUE"""),"")</f>
        <v/>
      </c>
      <c r="Q1832" s="250" t="str">
        <f>IFERROR(__xludf.DUMMYFUNCTION("""COMPUTED_VALUE"""),"")</f>
        <v/>
      </c>
      <c r="R1832" s="250" t="str">
        <f>IFERROR(__xludf.DUMMYFUNCTION("""COMPUTED_VALUE"""),"")</f>
        <v/>
      </c>
      <c r="U1832" s="250" t="str">
        <f>IFERROR(__xludf.DUMMYFUNCTION("""COMPUTED_VALUE"""),"#N/A")</f>
        <v>#N/A</v>
      </c>
      <c r="V1832" s="250" t="str">
        <f>IFERROR(__xludf.DUMMYFUNCTION("""COMPUTED_VALUE"""),"#N/A")</f>
        <v>#N/A</v>
      </c>
      <c r="W1832" s="250" t="str">
        <f>IFERROR(__xludf.DUMMYFUNCTION("""COMPUTED_VALUE"""),"#N/A")</f>
        <v>#N/A</v>
      </c>
      <c r="X1832" t="b">
        <f t="shared" ref="X1832:Z1832" si="3640">ISBLANK(K1832)</f>
        <v>1</v>
      </c>
      <c r="Y1832" t="b">
        <f t="shared" si="3640"/>
        <v>0</v>
      </c>
      <c r="Z1832" t="b">
        <f t="shared" si="3640"/>
        <v>0</v>
      </c>
      <c r="AA1832">
        <f t="shared" ref="AA1832:AC1832" si="3641">IF(X1832=FALSE,1,0)</f>
        <v>0</v>
      </c>
      <c r="AB1832">
        <f t="shared" si="3641"/>
        <v>1</v>
      </c>
      <c r="AC1832">
        <f t="shared" si="3641"/>
        <v>1</v>
      </c>
      <c r="AD1832">
        <f t="shared" si="6"/>
        <v>2</v>
      </c>
      <c r="AE1832">
        <f t="shared" si="7"/>
        <v>1</v>
      </c>
    </row>
    <row r="1833">
      <c r="B1833" t="str">
        <f>IFERROR(__xludf.DUMMYFUNCTION("""COMPUTED_VALUE"""),"")</f>
        <v/>
      </c>
      <c r="C1833" t="str">
        <f>IFERROR(__xludf.DUMMYFUNCTION("""COMPUTED_VALUE"""),"")</f>
        <v/>
      </c>
      <c r="D1833" t="str">
        <f>IFERROR(__xludf.DUMMYFUNCTION("""COMPUTED_VALUE"""),"")</f>
        <v/>
      </c>
      <c r="E1833" t="str">
        <f>IFERROR(__xludf.DUMMYFUNCTION("""COMPUTED_VALUE"""),"")</f>
        <v/>
      </c>
      <c r="F1833" t="str">
        <f>IFERROR(__xludf.DUMMYFUNCTION("""COMPUTED_VALUE"""),"")</f>
        <v/>
      </c>
      <c r="G1833" t="str">
        <f>IFERROR(__xludf.DUMMYFUNCTION("""COMPUTED_VALUE"""),"")</f>
        <v/>
      </c>
      <c r="H1833" t="str">
        <f>IFERROR(__xludf.DUMMYFUNCTION("""COMPUTED_VALUE"""),"")</f>
        <v/>
      </c>
      <c r="I1833" t="str">
        <f>IFERROR(__xludf.DUMMYFUNCTION("""COMPUTED_VALUE"""),"")</f>
        <v/>
      </c>
      <c r="J1833">
        <f>IFERROR(__xludf.DUMMYFUNCTION("""COMPUTED_VALUE"""),0.0)</f>
        <v>0</v>
      </c>
      <c r="L1833" s="250" t="str">
        <f>IFERROR(__xludf.DUMMYFUNCTION("""COMPUTED_VALUE"""),"")</f>
        <v/>
      </c>
      <c r="M1833" s="250" t="str">
        <f>IFERROR(__xludf.DUMMYFUNCTION("""COMPUTED_VALUE"""),"")</f>
        <v/>
      </c>
      <c r="N1833" s="250" t="str">
        <f>IFERROR(__xludf.DUMMYFUNCTION("""COMPUTED_VALUE"""),"")</f>
        <v/>
      </c>
      <c r="O1833" s="250" t="str">
        <f>IFERROR(__xludf.DUMMYFUNCTION("""COMPUTED_VALUE"""),"")</f>
        <v/>
      </c>
      <c r="P1833" s="250" t="str">
        <f>IFERROR(__xludf.DUMMYFUNCTION("""COMPUTED_VALUE"""),"")</f>
        <v/>
      </c>
      <c r="Q1833" s="250" t="str">
        <f>IFERROR(__xludf.DUMMYFUNCTION("""COMPUTED_VALUE"""),"")</f>
        <v/>
      </c>
      <c r="R1833" s="250" t="str">
        <f>IFERROR(__xludf.DUMMYFUNCTION("""COMPUTED_VALUE"""),"")</f>
        <v/>
      </c>
      <c r="U1833" s="250" t="str">
        <f>IFERROR(__xludf.DUMMYFUNCTION("""COMPUTED_VALUE"""),"#N/A")</f>
        <v>#N/A</v>
      </c>
      <c r="V1833" s="250" t="str">
        <f>IFERROR(__xludf.DUMMYFUNCTION("""COMPUTED_VALUE"""),"#N/A")</f>
        <v>#N/A</v>
      </c>
      <c r="W1833" s="250" t="str">
        <f>IFERROR(__xludf.DUMMYFUNCTION("""COMPUTED_VALUE"""),"#N/A")</f>
        <v>#N/A</v>
      </c>
      <c r="X1833" t="b">
        <f t="shared" ref="X1833:Z1833" si="3642">ISBLANK(K1833)</f>
        <v>1</v>
      </c>
      <c r="Y1833" t="b">
        <f t="shared" si="3642"/>
        <v>0</v>
      </c>
      <c r="Z1833" t="b">
        <f t="shared" si="3642"/>
        <v>0</v>
      </c>
      <c r="AA1833">
        <f t="shared" ref="AA1833:AC1833" si="3643">IF(X1833=FALSE,1,0)</f>
        <v>0</v>
      </c>
      <c r="AB1833">
        <f t="shared" si="3643"/>
        <v>1</v>
      </c>
      <c r="AC1833">
        <f t="shared" si="3643"/>
        <v>1</v>
      </c>
      <c r="AD1833">
        <f t="shared" si="6"/>
        <v>2</v>
      </c>
      <c r="AE1833">
        <f t="shared" si="7"/>
        <v>1</v>
      </c>
    </row>
    <row r="1834">
      <c r="B1834" t="str">
        <f>IFERROR(__xludf.DUMMYFUNCTION("""COMPUTED_VALUE"""),"")</f>
        <v/>
      </c>
      <c r="C1834" t="str">
        <f>IFERROR(__xludf.DUMMYFUNCTION("""COMPUTED_VALUE"""),"")</f>
        <v/>
      </c>
      <c r="D1834" t="str">
        <f>IFERROR(__xludf.DUMMYFUNCTION("""COMPUTED_VALUE"""),"")</f>
        <v/>
      </c>
      <c r="E1834" t="str">
        <f>IFERROR(__xludf.DUMMYFUNCTION("""COMPUTED_VALUE"""),"")</f>
        <v/>
      </c>
      <c r="F1834" t="str">
        <f>IFERROR(__xludf.DUMMYFUNCTION("""COMPUTED_VALUE"""),"")</f>
        <v/>
      </c>
      <c r="G1834" t="str">
        <f>IFERROR(__xludf.DUMMYFUNCTION("""COMPUTED_VALUE"""),"")</f>
        <v/>
      </c>
      <c r="H1834" t="str">
        <f>IFERROR(__xludf.DUMMYFUNCTION("""COMPUTED_VALUE"""),"")</f>
        <v/>
      </c>
      <c r="I1834" t="str">
        <f>IFERROR(__xludf.DUMMYFUNCTION("""COMPUTED_VALUE"""),"")</f>
        <v/>
      </c>
      <c r="J1834">
        <f>IFERROR(__xludf.DUMMYFUNCTION("""COMPUTED_VALUE"""),0.0)</f>
        <v>0</v>
      </c>
      <c r="L1834" s="250" t="str">
        <f>IFERROR(__xludf.DUMMYFUNCTION("""COMPUTED_VALUE"""),"")</f>
        <v/>
      </c>
      <c r="M1834" s="250" t="str">
        <f>IFERROR(__xludf.DUMMYFUNCTION("""COMPUTED_VALUE"""),"")</f>
        <v/>
      </c>
      <c r="N1834" s="250" t="str">
        <f>IFERROR(__xludf.DUMMYFUNCTION("""COMPUTED_VALUE"""),"")</f>
        <v/>
      </c>
      <c r="O1834" s="250" t="str">
        <f>IFERROR(__xludf.DUMMYFUNCTION("""COMPUTED_VALUE"""),"")</f>
        <v/>
      </c>
      <c r="P1834" s="250" t="str">
        <f>IFERROR(__xludf.DUMMYFUNCTION("""COMPUTED_VALUE"""),"")</f>
        <v/>
      </c>
      <c r="Q1834" s="250" t="str">
        <f>IFERROR(__xludf.DUMMYFUNCTION("""COMPUTED_VALUE"""),"")</f>
        <v/>
      </c>
      <c r="R1834" s="250" t="str">
        <f>IFERROR(__xludf.DUMMYFUNCTION("""COMPUTED_VALUE"""),"")</f>
        <v/>
      </c>
      <c r="U1834" s="250" t="str">
        <f>IFERROR(__xludf.DUMMYFUNCTION("""COMPUTED_VALUE"""),"#N/A")</f>
        <v>#N/A</v>
      </c>
      <c r="V1834" s="250" t="str">
        <f>IFERROR(__xludf.DUMMYFUNCTION("""COMPUTED_VALUE"""),"#N/A")</f>
        <v>#N/A</v>
      </c>
      <c r="W1834" s="250" t="str">
        <f>IFERROR(__xludf.DUMMYFUNCTION("""COMPUTED_VALUE"""),"#N/A")</f>
        <v>#N/A</v>
      </c>
      <c r="X1834" t="b">
        <f t="shared" ref="X1834:Z1834" si="3644">ISBLANK(K1834)</f>
        <v>1</v>
      </c>
      <c r="Y1834" t="b">
        <f t="shared" si="3644"/>
        <v>0</v>
      </c>
      <c r="Z1834" t="b">
        <f t="shared" si="3644"/>
        <v>0</v>
      </c>
      <c r="AA1834">
        <f t="shared" ref="AA1834:AC1834" si="3645">IF(X1834=FALSE,1,0)</f>
        <v>0</v>
      </c>
      <c r="AB1834">
        <f t="shared" si="3645"/>
        <v>1</v>
      </c>
      <c r="AC1834">
        <f t="shared" si="3645"/>
        <v>1</v>
      </c>
      <c r="AD1834">
        <f t="shared" si="6"/>
        <v>2</v>
      </c>
      <c r="AE1834">
        <f t="shared" si="7"/>
        <v>1</v>
      </c>
    </row>
    <row r="1835">
      <c r="B1835" t="str">
        <f>IFERROR(__xludf.DUMMYFUNCTION("""COMPUTED_VALUE"""),"")</f>
        <v/>
      </c>
      <c r="C1835" t="str">
        <f>IFERROR(__xludf.DUMMYFUNCTION("""COMPUTED_VALUE"""),"")</f>
        <v/>
      </c>
      <c r="D1835" t="str">
        <f>IFERROR(__xludf.DUMMYFUNCTION("""COMPUTED_VALUE"""),"")</f>
        <v/>
      </c>
      <c r="E1835" t="str">
        <f>IFERROR(__xludf.DUMMYFUNCTION("""COMPUTED_VALUE"""),"")</f>
        <v/>
      </c>
      <c r="F1835" t="str">
        <f>IFERROR(__xludf.DUMMYFUNCTION("""COMPUTED_VALUE"""),"")</f>
        <v/>
      </c>
      <c r="G1835" t="str">
        <f>IFERROR(__xludf.DUMMYFUNCTION("""COMPUTED_VALUE"""),"")</f>
        <v/>
      </c>
      <c r="H1835" t="str">
        <f>IFERROR(__xludf.DUMMYFUNCTION("""COMPUTED_VALUE"""),"")</f>
        <v/>
      </c>
      <c r="I1835" t="str">
        <f>IFERROR(__xludf.DUMMYFUNCTION("""COMPUTED_VALUE"""),"")</f>
        <v/>
      </c>
      <c r="J1835">
        <f>IFERROR(__xludf.DUMMYFUNCTION("""COMPUTED_VALUE"""),0.0)</f>
        <v>0</v>
      </c>
      <c r="L1835" s="250" t="str">
        <f>IFERROR(__xludf.DUMMYFUNCTION("""COMPUTED_VALUE"""),"")</f>
        <v/>
      </c>
      <c r="M1835" s="250" t="str">
        <f>IFERROR(__xludf.DUMMYFUNCTION("""COMPUTED_VALUE"""),"")</f>
        <v/>
      </c>
      <c r="N1835" s="250" t="str">
        <f>IFERROR(__xludf.DUMMYFUNCTION("""COMPUTED_VALUE"""),"")</f>
        <v/>
      </c>
      <c r="O1835" s="250" t="str">
        <f>IFERROR(__xludf.DUMMYFUNCTION("""COMPUTED_VALUE"""),"")</f>
        <v/>
      </c>
      <c r="P1835" s="250" t="str">
        <f>IFERROR(__xludf.DUMMYFUNCTION("""COMPUTED_VALUE"""),"")</f>
        <v/>
      </c>
      <c r="Q1835" s="250" t="str">
        <f>IFERROR(__xludf.DUMMYFUNCTION("""COMPUTED_VALUE"""),"")</f>
        <v/>
      </c>
      <c r="R1835" s="250" t="str">
        <f>IFERROR(__xludf.DUMMYFUNCTION("""COMPUTED_VALUE"""),"")</f>
        <v/>
      </c>
      <c r="U1835" s="250" t="str">
        <f>IFERROR(__xludf.DUMMYFUNCTION("""COMPUTED_VALUE"""),"#N/A")</f>
        <v>#N/A</v>
      </c>
      <c r="V1835" s="250" t="str">
        <f>IFERROR(__xludf.DUMMYFUNCTION("""COMPUTED_VALUE"""),"#N/A")</f>
        <v>#N/A</v>
      </c>
      <c r="W1835" s="250" t="str">
        <f>IFERROR(__xludf.DUMMYFUNCTION("""COMPUTED_VALUE"""),"#N/A")</f>
        <v>#N/A</v>
      </c>
      <c r="X1835" t="b">
        <f t="shared" ref="X1835:Z1835" si="3646">ISBLANK(K1835)</f>
        <v>1</v>
      </c>
      <c r="Y1835" t="b">
        <f t="shared" si="3646"/>
        <v>0</v>
      </c>
      <c r="Z1835" t="b">
        <f t="shared" si="3646"/>
        <v>0</v>
      </c>
      <c r="AA1835">
        <f t="shared" ref="AA1835:AC1835" si="3647">IF(X1835=FALSE,1,0)</f>
        <v>0</v>
      </c>
      <c r="AB1835">
        <f t="shared" si="3647"/>
        <v>1</v>
      </c>
      <c r="AC1835">
        <f t="shared" si="3647"/>
        <v>1</v>
      </c>
      <c r="AD1835">
        <f t="shared" si="6"/>
        <v>2</v>
      </c>
      <c r="AE1835">
        <f t="shared" si="7"/>
        <v>1</v>
      </c>
    </row>
    <row r="1836">
      <c r="B1836" t="str">
        <f>IFERROR(__xludf.DUMMYFUNCTION("""COMPUTED_VALUE"""),"")</f>
        <v/>
      </c>
      <c r="C1836" t="str">
        <f>IFERROR(__xludf.DUMMYFUNCTION("""COMPUTED_VALUE"""),"")</f>
        <v/>
      </c>
      <c r="D1836" t="str">
        <f>IFERROR(__xludf.DUMMYFUNCTION("""COMPUTED_VALUE"""),"")</f>
        <v/>
      </c>
      <c r="E1836" t="str">
        <f>IFERROR(__xludf.DUMMYFUNCTION("""COMPUTED_VALUE"""),"")</f>
        <v/>
      </c>
      <c r="F1836" t="str">
        <f>IFERROR(__xludf.DUMMYFUNCTION("""COMPUTED_VALUE"""),"")</f>
        <v/>
      </c>
      <c r="G1836" t="str">
        <f>IFERROR(__xludf.DUMMYFUNCTION("""COMPUTED_VALUE"""),"")</f>
        <v/>
      </c>
      <c r="H1836" t="str">
        <f>IFERROR(__xludf.DUMMYFUNCTION("""COMPUTED_VALUE"""),"")</f>
        <v/>
      </c>
      <c r="I1836" t="str">
        <f>IFERROR(__xludf.DUMMYFUNCTION("""COMPUTED_VALUE"""),"")</f>
        <v/>
      </c>
      <c r="J1836">
        <f>IFERROR(__xludf.DUMMYFUNCTION("""COMPUTED_VALUE"""),0.0)</f>
        <v>0</v>
      </c>
      <c r="L1836" s="250" t="str">
        <f>IFERROR(__xludf.DUMMYFUNCTION("""COMPUTED_VALUE"""),"")</f>
        <v/>
      </c>
      <c r="M1836" s="250" t="str">
        <f>IFERROR(__xludf.DUMMYFUNCTION("""COMPUTED_VALUE"""),"")</f>
        <v/>
      </c>
      <c r="N1836" s="250" t="str">
        <f>IFERROR(__xludf.DUMMYFUNCTION("""COMPUTED_VALUE"""),"")</f>
        <v/>
      </c>
      <c r="O1836" s="250" t="str">
        <f>IFERROR(__xludf.DUMMYFUNCTION("""COMPUTED_VALUE"""),"")</f>
        <v/>
      </c>
      <c r="P1836" s="250" t="str">
        <f>IFERROR(__xludf.DUMMYFUNCTION("""COMPUTED_VALUE"""),"")</f>
        <v/>
      </c>
      <c r="Q1836" s="250" t="str">
        <f>IFERROR(__xludf.DUMMYFUNCTION("""COMPUTED_VALUE"""),"")</f>
        <v/>
      </c>
      <c r="R1836" s="250" t="str">
        <f>IFERROR(__xludf.DUMMYFUNCTION("""COMPUTED_VALUE"""),"")</f>
        <v/>
      </c>
      <c r="U1836" s="250" t="str">
        <f>IFERROR(__xludf.DUMMYFUNCTION("""COMPUTED_VALUE"""),"#N/A")</f>
        <v>#N/A</v>
      </c>
      <c r="V1836" s="250" t="str">
        <f>IFERROR(__xludf.DUMMYFUNCTION("""COMPUTED_VALUE"""),"#N/A")</f>
        <v>#N/A</v>
      </c>
      <c r="W1836" s="250" t="str">
        <f>IFERROR(__xludf.DUMMYFUNCTION("""COMPUTED_VALUE"""),"#N/A")</f>
        <v>#N/A</v>
      </c>
      <c r="X1836" t="b">
        <f t="shared" ref="X1836:Z1836" si="3648">ISBLANK(K1836)</f>
        <v>1</v>
      </c>
      <c r="Y1836" t="b">
        <f t="shared" si="3648"/>
        <v>0</v>
      </c>
      <c r="Z1836" t="b">
        <f t="shared" si="3648"/>
        <v>0</v>
      </c>
      <c r="AA1836">
        <f t="shared" ref="AA1836:AC1836" si="3649">IF(X1836=FALSE,1,0)</f>
        <v>0</v>
      </c>
      <c r="AB1836">
        <f t="shared" si="3649"/>
        <v>1</v>
      </c>
      <c r="AC1836">
        <f t="shared" si="3649"/>
        <v>1</v>
      </c>
      <c r="AD1836">
        <f t="shared" si="6"/>
        <v>2</v>
      </c>
      <c r="AE1836">
        <f t="shared" si="7"/>
        <v>1</v>
      </c>
    </row>
    <row r="1837">
      <c r="B1837" t="str">
        <f>IFERROR(__xludf.DUMMYFUNCTION("""COMPUTED_VALUE"""),"")</f>
        <v/>
      </c>
      <c r="C1837" t="str">
        <f>IFERROR(__xludf.DUMMYFUNCTION("""COMPUTED_VALUE"""),"")</f>
        <v/>
      </c>
      <c r="D1837" t="str">
        <f>IFERROR(__xludf.DUMMYFUNCTION("""COMPUTED_VALUE"""),"")</f>
        <v/>
      </c>
      <c r="E1837" t="str">
        <f>IFERROR(__xludf.DUMMYFUNCTION("""COMPUTED_VALUE"""),"")</f>
        <v/>
      </c>
      <c r="F1837" t="str">
        <f>IFERROR(__xludf.DUMMYFUNCTION("""COMPUTED_VALUE"""),"")</f>
        <v/>
      </c>
      <c r="G1837" t="str">
        <f>IFERROR(__xludf.DUMMYFUNCTION("""COMPUTED_VALUE"""),"")</f>
        <v/>
      </c>
      <c r="H1837" t="str">
        <f>IFERROR(__xludf.DUMMYFUNCTION("""COMPUTED_VALUE"""),"")</f>
        <v/>
      </c>
      <c r="I1837" t="str">
        <f>IFERROR(__xludf.DUMMYFUNCTION("""COMPUTED_VALUE"""),"")</f>
        <v/>
      </c>
      <c r="J1837">
        <f>IFERROR(__xludf.DUMMYFUNCTION("""COMPUTED_VALUE"""),0.0)</f>
        <v>0</v>
      </c>
      <c r="L1837" s="250" t="str">
        <f>IFERROR(__xludf.DUMMYFUNCTION("""COMPUTED_VALUE"""),"")</f>
        <v/>
      </c>
      <c r="M1837" s="250" t="str">
        <f>IFERROR(__xludf.DUMMYFUNCTION("""COMPUTED_VALUE"""),"")</f>
        <v/>
      </c>
      <c r="N1837" s="250" t="str">
        <f>IFERROR(__xludf.DUMMYFUNCTION("""COMPUTED_VALUE"""),"")</f>
        <v/>
      </c>
      <c r="O1837" s="250" t="str">
        <f>IFERROR(__xludf.DUMMYFUNCTION("""COMPUTED_VALUE"""),"")</f>
        <v/>
      </c>
      <c r="P1837" s="250" t="str">
        <f>IFERROR(__xludf.DUMMYFUNCTION("""COMPUTED_VALUE"""),"")</f>
        <v/>
      </c>
      <c r="Q1837" s="250" t="str">
        <f>IFERROR(__xludf.DUMMYFUNCTION("""COMPUTED_VALUE"""),"")</f>
        <v/>
      </c>
      <c r="R1837" s="250" t="str">
        <f>IFERROR(__xludf.DUMMYFUNCTION("""COMPUTED_VALUE"""),"")</f>
        <v/>
      </c>
      <c r="U1837" s="250" t="str">
        <f>IFERROR(__xludf.DUMMYFUNCTION("""COMPUTED_VALUE"""),"#N/A")</f>
        <v>#N/A</v>
      </c>
      <c r="V1837" s="250" t="str">
        <f>IFERROR(__xludf.DUMMYFUNCTION("""COMPUTED_VALUE"""),"#N/A")</f>
        <v>#N/A</v>
      </c>
      <c r="W1837" s="250" t="str">
        <f>IFERROR(__xludf.DUMMYFUNCTION("""COMPUTED_VALUE"""),"#N/A")</f>
        <v>#N/A</v>
      </c>
      <c r="X1837" t="b">
        <f t="shared" ref="X1837:Z1837" si="3650">ISBLANK(K1837)</f>
        <v>1</v>
      </c>
      <c r="Y1837" t="b">
        <f t="shared" si="3650"/>
        <v>0</v>
      </c>
      <c r="Z1837" t="b">
        <f t="shared" si="3650"/>
        <v>0</v>
      </c>
      <c r="AA1837">
        <f t="shared" ref="AA1837:AC1837" si="3651">IF(X1837=FALSE,1,0)</f>
        <v>0</v>
      </c>
      <c r="AB1837">
        <f t="shared" si="3651"/>
        <v>1</v>
      </c>
      <c r="AC1837">
        <f t="shared" si="3651"/>
        <v>1</v>
      </c>
      <c r="AD1837">
        <f t="shared" si="6"/>
        <v>2</v>
      </c>
      <c r="AE1837">
        <f t="shared" si="7"/>
        <v>1</v>
      </c>
    </row>
    <row r="1838">
      <c r="B1838" t="str">
        <f>IFERROR(__xludf.DUMMYFUNCTION("""COMPUTED_VALUE"""),"")</f>
        <v/>
      </c>
      <c r="C1838" t="str">
        <f>IFERROR(__xludf.DUMMYFUNCTION("""COMPUTED_VALUE"""),"")</f>
        <v/>
      </c>
      <c r="D1838" t="str">
        <f>IFERROR(__xludf.DUMMYFUNCTION("""COMPUTED_VALUE"""),"")</f>
        <v/>
      </c>
      <c r="E1838" t="str">
        <f>IFERROR(__xludf.DUMMYFUNCTION("""COMPUTED_VALUE"""),"")</f>
        <v/>
      </c>
      <c r="F1838" t="str">
        <f>IFERROR(__xludf.DUMMYFUNCTION("""COMPUTED_VALUE"""),"")</f>
        <v/>
      </c>
      <c r="G1838" t="str">
        <f>IFERROR(__xludf.DUMMYFUNCTION("""COMPUTED_VALUE"""),"")</f>
        <v/>
      </c>
      <c r="H1838" t="str">
        <f>IFERROR(__xludf.DUMMYFUNCTION("""COMPUTED_VALUE"""),"")</f>
        <v/>
      </c>
      <c r="I1838" t="str">
        <f>IFERROR(__xludf.DUMMYFUNCTION("""COMPUTED_VALUE"""),"")</f>
        <v/>
      </c>
      <c r="J1838">
        <f>IFERROR(__xludf.DUMMYFUNCTION("""COMPUTED_VALUE"""),0.0)</f>
        <v>0</v>
      </c>
      <c r="L1838" s="250" t="str">
        <f>IFERROR(__xludf.DUMMYFUNCTION("""COMPUTED_VALUE"""),"")</f>
        <v/>
      </c>
      <c r="M1838" s="250" t="str">
        <f>IFERROR(__xludf.DUMMYFUNCTION("""COMPUTED_VALUE"""),"")</f>
        <v/>
      </c>
      <c r="N1838" s="250" t="str">
        <f>IFERROR(__xludf.DUMMYFUNCTION("""COMPUTED_VALUE"""),"")</f>
        <v/>
      </c>
      <c r="O1838" s="250" t="str">
        <f>IFERROR(__xludf.DUMMYFUNCTION("""COMPUTED_VALUE"""),"")</f>
        <v/>
      </c>
      <c r="P1838" s="250" t="str">
        <f>IFERROR(__xludf.DUMMYFUNCTION("""COMPUTED_VALUE"""),"")</f>
        <v/>
      </c>
      <c r="Q1838" s="250" t="str">
        <f>IFERROR(__xludf.DUMMYFUNCTION("""COMPUTED_VALUE"""),"")</f>
        <v/>
      </c>
      <c r="R1838" s="250" t="str">
        <f>IFERROR(__xludf.DUMMYFUNCTION("""COMPUTED_VALUE"""),"")</f>
        <v/>
      </c>
      <c r="U1838" s="250" t="str">
        <f>IFERROR(__xludf.DUMMYFUNCTION("""COMPUTED_VALUE"""),"#N/A")</f>
        <v>#N/A</v>
      </c>
      <c r="V1838" s="250" t="str">
        <f>IFERROR(__xludf.DUMMYFUNCTION("""COMPUTED_VALUE"""),"#N/A")</f>
        <v>#N/A</v>
      </c>
      <c r="W1838" s="250" t="str">
        <f>IFERROR(__xludf.DUMMYFUNCTION("""COMPUTED_VALUE"""),"#N/A")</f>
        <v>#N/A</v>
      </c>
      <c r="X1838" t="b">
        <f t="shared" ref="X1838:Z1838" si="3652">ISBLANK(K1838)</f>
        <v>1</v>
      </c>
      <c r="Y1838" t="b">
        <f t="shared" si="3652"/>
        <v>0</v>
      </c>
      <c r="Z1838" t="b">
        <f t="shared" si="3652"/>
        <v>0</v>
      </c>
      <c r="AA1838">
        <f t="shared" ref="AA1838:AC1838" si="3653">IF(X1838=FALSE,1,0)</f>
        <v>0</v>
      </c>
      <c r="AB1838">
        <f t="shared" si="3653"/>
        <v>1</v>
      </c>
      <c r="AC1838">
        <f t="shared" si="3653"/>
        <v>1</v>
      </c>
      <c r="AD1838">
        <f t="shared" si="6"/>
        <v>2</v>
      </c>
      <c r="AE1838">
        <f t="shared" si="7"/>
        <v>1</v>
      </c>
    </row>
    <row r="1839">
      <c r="B1839" t="str">
        <f>IFERROR(__xludf.DUMMYFUNCTION("""COMPUTED_VALUE"""),"")</f>
        <v/>
      </c>
      <c r="C1839" t="str">
        <f>IFERROR(__xludf.DUMMYFUNCTION("""COMPUTED_VALUE"""),"")</f>
        <v/>
      </c>
      <c r="D1839" t="str">
        <f>IFERROR(__xludf.DUMMYFUNCTION("""COMPUTED_VALUE"""),"")</f>
        <v/>
      </c>
      <c r="E1839" t="str">
        <f>IFERROR(__xludf.DUMMYFUNCTION("""COMPUTED_VALUE"""),"")</f>
        <v/>
      </c>
      <c r="F1839" t="str">
        <f>IFERROR(__xludf.DUMMYFUNCTION("""COMPUTED_VALUE"""),"")</f>
        <v/>
      </c>
      <c r="G1839" t="str">
        <f>IFERROR(__xludf.DUMMYFUNCTION("""COMPUTED_VALUE"""),"")</f>
        <v/>
      </c>
      <c r="H1839" t="str">
        <f>IFERROR(__xludf.DUMMYFUNCTION("""COMPUTED_VALUE"""),"")</f>
        <v/>
      </c>
      <c r="I1839" t="str">
        <f>IFERROR(__xludf.DUMMYFUNCTION("""COMPUTED_VALUE"""),"")</f>
        <v/>
      </c>
      <c r="J1839">
        <f>IFERROR(__xludf.DUMMYFUNCTION("""COMPUTED_VALUE"""),0.0)</f>
        <v>0</v>
      </c>
      <c r="L1839" s="250" t="str">
        <f>IFERROR(__xludf.DUMMYFUNCTION("""COMPUTED_VALUE"""),"")</f>
        <v/>
      </c>
      <c r="M1839" s="250" t="str">
        <f>IFERROR(__xludf.DUMMYFUNCTION("""COMPUTED_VALUE"""),"")</f>
        <v/>
      </c>
      <c r="N1839" s="250" t="str">
        <f>IFERROR(__xludf.DUMMYFUNCTION("""COMPUTED_VALUE"""),"")</f>
        <v/>
      </c>
      <c r="O1839" s="250" t="str">
        <f>IFERROR(__xludf.DUMMYFUNCTION("""COMPUTED_VALUE"""),"")</f>
        <v/>
      </c>
      <c r="P1839" s="250" t="str">
        <f>IFERROR(__xludf.DUMMYFUNCTION("""COMPUTED_VALUE"""),"")</f>
        <v/>
      </c>
      <c r="Q1839" s="250" t="str">
        <f>IFERROR(__xludf.DUMMYFUNCTION("""COMPUTED_VALUE"""),"")</f>
        <v/>
      </c>
      <c r="R1839" s="250" t="str">
        <f>IFERROR(__xludf.DUMMYFUNCTION("""COMPUTED_VALUE"""),"")</f>
        <v/>
      </c>
      <c r="U1839" s="250" t="str">
        <f>IFERROR(__xludf.DUMMYFUNCTION("""COMPUTED_VALUE"""),"#N/A")</f>
        <v>#N/A</v>
      </c>
      <c r="V1839" s="250" t="str">
        <f>IFERROR(__xludf.DUMMYFUNCTION("""COMPUTED_VALUE"""),"#N/A")</f>
        <v>#N/A</v>
      </c>
      <c r="W1839" s="250" t="str">
        <f>IFERROR(__xludf.DUMMYFUNCTION("""COMPUTED_VALUE"""),"#N/A")</f>
        <v>#N/A</v>
      </c>
      <c r="X1839" t="b">
        <f t="shared" ref="X1839:Z1839" si="3654">ISBLANK(K1839)</f>
        <v>1</v>
      </c>
      <c r="Y1839" t="b">
        <f t="shared" si="3654"/>
        <v>0</v>
      </c>
      <c r="Z1839" t="b">
        <f t="shared" si="3654"/>
        <v>0</v>
      </c>
      <c r="AA1839">
        <f t="shared" ref="AA1839:AC1839" si="3655">IF(X1839=FALSE,1,0)</f>
        <v>0</v>
      </c>
      <c r="AB1839">
        <f t="shared" si="3655"/>
        <v>1</v>
      </c>
      <c r="AC1839">
        <f t="shared" si="3655"/>
        <v>1</v>
      </c>
      <c r="AD1839">
        <f t="shared" si="6"/>
        <v>2</v>
      </c>
      <c r="AE1839">
        <f t="shared" si="7"/>
        <v>1</v>
      </c>
    </row>
    <row r="1840">
      <c r="B1840" t="str">
        <f>IFERROR(__xludf.DUMMYFUNCTION("""COMPUTED_VALUE"""),"")</f>
        <v/>
      </c>
      <c r="C1840" t="str">
        <f>IFERROR(__xludf.DUMMYFUNCTION("""COMPUTED_VALUE"""),"")</f>
        <v/>
      </c>
      <c r="D1840" t="str">
        <f>IFERROR(__xludf.DUMMYFUNCTION("""COMPUTED_VALUE"""),"")</f>
        <v/>
      </c>
      <c r="E1840" t="str">
        <f>IFERROR(__xludf.DUMMYFUNCTION("""COMPUTED_VALUE"""),"")</f>
        <v/>
      </c>
      <c r="F1840" t="str">
        <f>IFERROR(__xludf.DUMMYFUNCTION("""COMPUTED_VALUE"""),"")</f>
        <v/>
      </c>
      <c r="G1840" t="str">
        <f>IFERROR(__xludf.DUMMYFUNCTION("""COMPUTED_VALUE"""),"")</f>
        <v/>
      </c>
      <c r="H1840" t="str">
        <f>IFERROR(__xludf.DUMMYFUNCTION("""COMPUTED_VALUE"""),"")</f>
        <v/>
      </c>
      <c r="I1840" t="str">
        <f>IFERROR(__xludf.DUMMYFUNCTION("""COMPUTED_VALUE"""),"")</f>
        <v/>
      </c>
      <c r="J1840">
        <f>IFERROR(__xludf.DUMMYFUNCTION("""COMPUTED_VALUE"""),0.0)</f>
        <v>0</v>
      </c>
      <c r="L1840" s="250" t="str">
        <f>IFERROR(__xludf.DUMMYFUNCTION("""COMPUTED_VALUE"""),"")</f>
        <v/>
      </c>
      <c r="M1840" s="250" t="str">
        <f>IFERROR(__xludf.DUMMYFUNCTION("""COMPUTED_VALUE"""),"")</f>
        <v/>
      </c>
      <c r="N1840" s="250" t="str">
        <f>IFERROR(__xludf.DUMMYFUNCTION("""COMPUTED_VALUE"""),"")</f>
        <v/>
      </c>
      <c r="O1840" s="250" t="str">
        <f>IFERROR(__xludf.DUMMYFUNCTION("""COMPUTED_VALUE"""),"")</f>
        <v/>
      </c>
      <c r="P1840" s="250" t="str">
        <f>IFERROR(__xludf.DUMMYFUNCTION("""COMPUTED_VALUE"""),"")</f>
        <v/>
      </c>
      <c r="Q1840" s="250" t="str">
        <f>IFERROR(__xludf.DUMMYFUNCTION("""COMPUTED_VALUE"""),"")</f>
        <v/>
      </c>
      <c r="R1840" s="250" t="str">
        <f>IFERROR(__xludf.DUMMYFUNCTION("""COMPUTED_VALUE"""),"")</f>
        <v/>
      </c>
      <c r="U1840" s="250" t="str">
        <f>IFERROR(__xludf.DUMMYFUNCTION("""COMPUTED_VALUE"""),"#N/A")</f>
        <v>#N/A</v>
      </c>
      <c r="V1840" s="250" t="str">
        <f>IFERROR(__xludf.DUMMYFUNCTION("""COMPUTED_VALUE"""),"#N/A")</f>
        <v>#N/A</v>
      </c>
      <c r="W1840" s="250" t="str">
        <f>IFERROR(__xludf.DUMMYFUNCTION("""COMPUTED_VALUE"""),"#N/A")</f>
        <v>#N/A</v>
      </c>
      <c r="X1840" t="b">
        <f t="shared" ref="X1840:Z1840" si="3656">ISBLANK(K1840)</f>
        <v>1</v>
      </c>
      <c r="Y1840" t="b">
        <f t="shared" si="3656"/>
        <v>0</v>
      </c>
      <c r="Z1840" t="b">
        <f t="shared" si="3656"/>
        <v>0</v>
      </c>
      <c r="AA1840">
        <f t="shared" ref="AA1840:AC1840" si="3657">IF(X1840=FALSE,1,0)</f>
        <v>0</v>
      </c>
      <c r="AB1840">
        <f t="shared" si="3657"/>
        <v>1</v>
      </c>
      <c r="AC1840">
        <f t="shared" si="3657"/>
        <v>1</v>
      </c>
      <c r="AD1840">
        <f t="shared" si="6"/>
        <v>2</v>
      </c>
      <c r="AE1840">
        <f t="shared" si="7"/>
        <v>1</v>
      </c>
    </row>
    <row r="1841">
      <c r="B1841" t="str">
        <f>IFERROR(__xludf.DUMMYFUNCTION("""COMPUTED_VALUE"""),"")</f>
        <v/>
      </c>
      <c r="C1841" t="str">
        <f>IFERROR(__xludf.DUMMYFUNCTION("""COMPUTED_VALUE"""),"")</f>
        <v/>
      </c>
      <c r="D1841" t="str">
        <f>IFERROR(__xludf.DUMMYFUNCTION("""COMPUTED_VALUE"""),"")</f>
        <v/>
      </c>
      <c r="E1841" t="str">
        <f>IFERROR(__xludf.DUMMYFUNCTION("""COMPUTED_VALUE"""),"")</f>
        <v/>
      </c>
      <c r="F1841" t="str">
        <f>IFERROR(__xludf.DUMMYFUNCTION("""COMPUTED_VALUE"""),"")</f>
        <v/>
      </c>
      <c r="G1841" t="str">
        <f>IFERROR(__xludf.DUMMYFUNCTION("""COMPUTED_VALUE"""),"")</f>
        <v/>
      </c>
      <c r="H1841" t="str">
        <f>IFERROR(__xludf.DUMMYFUNCTION("""COMPUTED_VALUE"""),"")</f>
        <v/>
      </c>
      <c r="I1841" t="str">
        <f>IFERROR(__xludf.DUMMYFUNCTION("""COMPUTED_VALUE"""),"")</f>
        <v/>
      </c>
      <c r="J1841">
        <f>IFERROR(__xludf.DUMMYFUNCTION("""COMPUTED_VALUE"""),0.0)</f>
        <v>0</v>
      </c>
      <c r="L1841" s="250" t="str">
        <f>IFERROR(__xludf.DUMMYFUNCTION("""COMPUTED_VALUE"""),"")</f>
        <v/>
      </c>
      <c r="M1841" s="250" t="str">
        <f>IFERROR(__xludf.DUMMYFUNCTION("""COMPUTED_VALUE"""),"")</f>
        <v/>
      </c>
      <c r="N1841" s="250" t="str">
        <f>IFERROR(__xludf.DUMMYFUNCTION("""COMPUTED_VALUE"""),"")</f>
        <v/>
      </c>
      <c r="O1841" s="250" t="str">
        <f>IFERROR(__xludf.DUMMYFUNCTION("""COMPUTED_VALUE"""),"")</f>
        <v/>
      </c>
      <c r="P1841" s="250" t="str">
        <f>IFERROR(__xludf.DUMMYFUNCTION("""COMPUTED_VALUE"""),"")</f>
        <v/>
      </c>
      <c r="Q1841" s="250" t="str">
        <f>IFERROR(__xludf.DUMMYFUNCTION("""COMPUTED_VALUE"""),"")</f>
        <v/>
      </c>
      <c r="R1841" s="250" t="str">
        <f>IFERROR(__xludf.DUMMYFUNCTION("""COMPUTED_VALUE"""),"")</f>
        <v/>
      </c>
      <c r="U1841" s="250" t="str">
        <f>IFERROR(__xludf.DUMMYFUNCTION("""COMPUTED_VALUE"""),"#N/A")</f>
        <v>#N/A</v>
      </c>
      <c r="V1841" s="250" t="str">
        <f>IFERROR(__xludf.DUMMYFUNCTION("""COMPUTED_VALUE"""),"#N/A")</f>
        <v>#N/A</v>
      </c>
      <c r="W1841" s="250" t="str">
        <f>IFERROR(__xludf.DUMMYFUNCTION("""COMPUTED_VALUE"""),"#N/A")</f>
        <v>#N/A</v>
      </c>
      <c r="X1841" t="b">
        <f t="shared" ref="X1841:Z1841" si="3658">ISBLANK(K1841)</f>
        <v>1</v>
      </c>
      <c r="Y1841" t="b">
        <f t="shared" si="3658"/>
        <v>0</v>
      </c>
      <c r="Z1841" t="b">
        <f t="shared" si="3658"/>
        <v>0</v>
      </c>
      <c r="AA1841">
        <f t="shared" ref="AA1841:AC1841" si="3659">IF(X1841=FALSE,1,0)</f>
        <v>0</v>
      </c>
      <c r="AB1841">
        <f t="shared" si="3659"/>
        <v>1</v>
      </c>
      <c r="AC1841">
        <f t="shared" si="3659"/>
        <v>1</v>
      </c>
      <c r="AD1841">
        <f t="shared" si="6"/>
        <v>2</v>
      </c>
      <c r="AE1841">
        <f t="shared" si="7"/>
        <v>1</v>
      </c>
    </row>
    <row r="1842">
      <c r="B1842" t="str">
        <f>IFERROR(__xludf.DUMMYFUNCTION("""COMPUTED_VALUE"""),"")</f>
        <v/>
      </c>
      <c r="C1842" t="str">
        <f>IFERROR(__xludf.DUMMYFUNCTION("""COMPUTED_VALUE"""),"")</f>
        <v/>
      </c>
      <c r="D1842" t="str">
        <f>IFERROR(__xludf.DUMMYFUNCTION("""COMPUTED_VALUE"""),"")</f>
        <v/>
      </c>
      <c r="E1842" t="str">
        <f>IFERROR(__xludf.DUMMYFUNCTION("""COMPUTED_VALUE"""),"")</f>
        <v/>
      </c>
      <c r="F1842" t="str">
        <f>IFERROR(__xludf.DUMMYFUNCTION("""COMPUTED_VALUE"""),"")</f>
        <v/>
      </c>
      <c r="G1842" t="str">
        <f>IFERROR(__xludf.DUMMYFUNCTION("""COMPUTED_VALUE"""),"")</f>
        <v/>
      </c>
      <c r="H1842" t="str">
        <f>IFERROR(__xludf.DUMMYFUNCTION("""COMPUTED_VALUE"""),"")</f>
        <v/>
      </c>
      <c r="I1842" t="str">
        <f>IFERROR(__xludf.DUMMYFUNCTION("""COMPUTED_VALUE"""),"")</f>
        <v/>
      </c>
      <c r="J1842">
        <f>IFERROR(__xludf.DUMMYFUNCTION("""COMPUTED_VALUE"""),0.0)</f>
        <v>0</v>
      </c>
      <c r="L1842" s="250" t="str">
        <f>IFERROR(__xludf.DUMMYFUNCTION("""COMPUTED_VALUE"""),"")</f>
        <v/>
      </c>
      <c r="M1842" s="250" t="str">
        <f>IFERROR(__xludf.DUMMYFUNCTION("""COMPUTED_VALUE"""),"")</f>
        <v/>
      </c>
      <c r="N1842" s="250" t="str">
        <f>IFERROR(__xludf.DUMMYFUNCTION("""COMPUTED_VALUE"""),"")</f>
        <v/>
      </c>
      <c r="O1842" s="250" t="str">
        <f>IFERROR(__xludf.DUMMYFUNCTION("""COMPUTED_VALUE"""),"")</f>
        <v/>
      </c>
      <c r="P1842" s="250" t="str">
        <f>IFERROR(__xludf.DUMMYFUNCTION("""COMPUTED_VALUE"""),"")</f>
        <v/>
      </c>
      <c r="Q1842" s="250" t="str">
        <f>IFERROR(__xludf.DUMMYFUNCTION("""COMPUTED_VALUE"""),"")</f>
        <v/>
      </c>
      <c r="R1842" s="250" t="str">
        <f>IFERROR(__xludf.DUMMYFUNCTION("""COMPUTED_VALUE"""),"")</f>
        <v/>
      </c>
      <c r="U1842" s="250" t="str">
        <f>IFERROR(__xludf.DUMMYFUNCTION("""COMPUTED_VALUE"""),"#N/A")</f>
        <v>#N/A</v>
      </c>
      <c r="V1842" s="250" t="str">
        <f>IFERROR(__xludf.DUMMYFUNCTION("""COMPUTED_VALUE"""),"#N/A")</f>
        <v>#N/A</v>
      </c>
      <c r="W1842" s="250" t="str">
        <f>IFERROR(__xludf.DUMMYFUNCTION("""COMPUTED_VALUE"""),"#N/A")</f>
        <v>#N/A</v>
      </c>
      <c r="X1842" t="b">
        <f t="shared" ref="X1842:Z1842" si="3660">ISBLANK(K1842)</f>
        <v>1</v>
      </c>
      <c r="Y1842" t="b">
        <f t="shared" si="3660"/>
        <v>0</v>
      </c>
      <c r="Z1842" t="b">
        <f t="shared" si="3660"/>
        <v>0</v>
      </c>
      <c r="AA1842">
        <f t="shared" ref="AA1842:AC1842" si="3661">IF(X1842=FALSE,1,0)</f>
        <v>0</v>
      </c>
      <c r="AB1842">
        <f t="shared" si="3661"/>
        <v>1</v>
      </c>
      <c r="AC1842">
        <f t="shared" si="3661"/>
        <v>1</v>
      </c>
      <c r="AD1842">
        <f t="shared" si="6"/>
        <v>2</v>
      </c>
      <c r="AE1842">
        <f t="shared" si="7"/>
        <v>1</v>
      </c>
    </row>
    <row r="1843">
      <c r="B1843" t="str">
        <f>IFERROR(__xludf.DUMMYFUNCTION("""COMPUTED_VALUE"""),"")</f>
        <v/>
      </c>
      <c r="C1843" t="str">
        <f>IFERROR(__xludf.DUMMYFUNCTION("""COMPUTED_VALUE"""),"")</f>
        <v/>
      </c>
      <c r="D1843" t="str">
        <f>IFERROR(__xludf.DUMMYFUNCTION("""COMPUTED_VALUE"""),"")</f>
        <v/>
      </c>
      <c r="E1843" t="str">
        <f>IFERROR(__xludf.DUMMYFUNCTION("""COMPUTED_VALUE"""),"")</f>
        <v/>
      </c>
      <c r="F1843" t="str">
        <f>IFERROR(__xludf.DUMMYFUNCTION("""COMPUTED_VALUE"""),"")</f>
        <v/>
      </c>
      <c r="G1843" t="str">
        <f>IFERROR(__xludf.DUMMYFUNCTION("""COMPUTED_VALUE"""),"")</f>
        <v/>
      </c>
      <c r="H1843" t="str">
        <f>IFERROR(__xludf.DUMMYFUNCTION("""COMPUTED_VALUE"""),"")</f>
        <v/>
      </c>
      <c r="I1843" t="str">
        <f>IFERROR(__xludf.DUMMYFUNCTION("""COMPUTED_VALUE"""),"")</f>
        <v/>
      </c>
      <c r="J1843">
        <f>IFERROR(__xludf.DUMMYFUNCTION("""COMPUTED_VALUE"""),0.0)</f>
        <v>0</v>
      </c>
      <c r="L1843" s="250" t="str">
        <f>IFERROR(__xludf.DUMMYFUNCTION("""COMPUTED_VALUE"""),"")</f>
        <v/>
      </c>
      <c r="M1843" s="250" t="str">
        <f>IFERROR(__xludf.DUMMYFUNCTION("""COMPUTED_VALUE"""),"")</f>
        <v/>
      </c>
      <c r="N1843" s="250" t="str">
        <f>IFERROR(__xludf.DUMMYFUNCTION("""COMPUTED_VALUE"""),"")</f>
        <v/>
      </c>
      <c r="O1843" s="250" t="str">
        <f>IFERROR(__xludf.DUMMYFUNCTION("""COMPUTED_VALUE"""),"")</f>
        <v/>
      </c>
      <c r="P1843" s="250" t="str">
        <f>IFERROR(__xludf.DUMMYFUNCTION("""COMPUTED_VALUE"""),"")</f>
        <v/>
      </c>
      <c r="Q1843" s="250" t="str">
        <f>IFERROR(__xludf.DUMMYFUNCTION("""COMPUTED_VALUE"""),"")</f>
        <v/>
      </c>
      <c r="R1843" s="250" t="str">
        <f>IFERROR(__xludf.DUMMYFUNCTION("""COMPUTED_VALUE"""),"")</f>
        <v/>
      </c>
      <c r="U1843" s="250" t="str">
        <f>IFERROR(__xludf.DUMMYFUNCTION("""COMPUTED_VALUE"""),"#N/A")</f>
        <v>#N/A</v>
      </c>
      <c r="V1843" s="250" t="str">
        <f>IFERROR(__xludf.DUMMYFUNCTION("""COMPUTED_VALUE"""),"#N/A")</f>
        <v>#N/A</v>
      </c>
      <c r="W1843" s="250" t="str">
        <f>IFERROR(__xludf.DUMMYFUNCTION("""COMPUTED_VALUE"""),"#N/A")</f>
        <v>#N/A</v>
      </c>
      <c r="X1843" t="b">
        <f t="shared" ref="X1843:Z1843" si="3662">ISBLANK(K1843)</f>
        <v>1</v>
      </c>
      <c r="Y1843" t="b">
        <f t="shared" si="3662"/>
        <v>0</v>
      </c>
      <c r="Z1843" t="b">
        <f t="shared" si="3662"/>
        <v>0</v>
      </c>
      <c r="AA1843">
        <f t="shared" ref="AA1843:AC1843" si="3663">IF(X1843=FALSE,1,0)</f>
        <v>0</v>
      </c>
      <c r="AB1843">
        <f t="shared" si="3663"/>
        <v>1</v>
      </c>
      <c r="AC1843">
        <f t="shared" si="3663"/>
        <v>1</v>
      </c>
      <c r="AD1843">
        <f t="shared" si="6"/>
        <v>2</v>
      </c>
      <c r="AE1843">
        <f t="shared" si="7"/>
        <v>1</v>
      </c>
    </row>
    <row r="1844">
      <c r="B1844" t="str">
        <f>IFERROR(__xludf.DUMMYFUNCTION("""COMPUTED_VALUE"""),"")</f>
        <v/>
      </c>
      <c r="C1844" t="str">
        <f>IFERROR(__xludf.DUMMYFUNCTION("""COMPUTED_VALUE"""),"")</f>
        <v/>
      </c>
      <c r="D1844" t="str">
        <f>IFERROR(__xludf.DUMMYFUNCTION("""COMPUTED_VALUE"""),"")</f>
        <v/>
      </c>
      <c r="E1844" t="str">
        <f>IFERROR(__xludf.DUMMYFUNCTION("""COMPUTED_VALUE"""),"")</f>
        <v/>
      </c>
      <c r="F1844" t="str">
        <f>IFERROR(__xludf.DUMMYFUNCTION("""COMPUTED_VALUE"""),"")</f>
        <v/>
      </c>
      <c r="G1844" t="str">
        <f>IFERROR(__xludf.DUMMYFUNCTION("""COMPUTED_VALUE"""),"")</f>
        <v/>
      </c>
      <c r="H1844" t="str">
        <f>IFERROR(__xludf.DUMMYFUNCTION("""COMPUTED_VALUE"""),"")</f>
        <v/>
      </c>
      <c r="I1844" t="str">
        <f>IFERROR(__xludf.DUMMYFUNCTION("""COMPUTED_VALUE"""),"")</f>
        <v/>
      </c>
      <c r="J1844">
        <f>IFERROR(__xludf.DUMMYFUNCTION("""COMPUTED_VALUE"""),0.0)</f>
        <v>0</v>
      </c>
      <c r="L1844" s="250" t="str">
        <f>IFERROR(__xludf.DUMMYFUNCTION("""COMPUTED_VALUE"""),"")</f>
        <v/>
      </c>
      <c r="M1844" s="250" t="str">
        <f>IFERROR(__xludf.DUMMYFUNCTION("""COMPUTED_VALUE"""),"")</f>
        <v/>
      </c>
      <c r="N1844" s="250" t="str">
        <f>IFERROR(__xludf.DUMMYFUNCTION("""COMPUTED_VALUE"""),"")</f>
        <v/>
      </c>
      <c r="O1844" s="250" t="str">
        <f>IFERROR(__xludf.DUMMYFUNCTION("""COMPUTED_VALUE"""),"")</f>
        <v/>
      </c>
      <c r="P1844" s="250" t="str">
        <f>IFERROR(__xludf.DUMMYFUNCTION("""COMPUTED_VALUE"""),"")</f>
        <v/>
      </c>
      <c r="Q1844" s="250" t="str">
        <f>IFERROR(__xludf.DUMMYFUNCTION("""COMPUTED_VALUE"""),"")</f>
        <v/>
      </c>
      <c r="R1844" s="250" t="str">
        <f>IFERROR(__xludf.DUMMYFUNCTION("""COMPUTED_VALUE"""),"")</f>
        <v/>
      </c>
      <c r="U1844" s="250" t="str">
        <f>IFERROR(__xludf.DUMMYFUNCTION("""COMPUTED_VALUE"""),"#N/A")</f>
        <v>#N/A</v>
      </c>
      <c r="V1844" s="250" t="str">
        <f>IFERROR(__xludf.DUMMYFUNCTION("""COMPUTED_VALUE"""),"#N/A")</f>
        <v>#N/A</v>
      </c>
      <c r="W1844" s="250" t="str">
        <f>IFERROR(__xludf.DUMMYFUNCTION("""COMPUTED_VALUE"""),"#N/A")</f>
        <v>#N/A</v>
      </c>
      <c r="X1844" t="b">
        <f t="shared" ref="X1844:Z1844" si="3664">ISBLANK(K1844)</f>
        <v>1</v>
      </c>
      <c r="Y1844" t="b">
        <f t="shared" si="3664"/>
        <v>0</v>
      </c>
      <c r="Z1844" t="b">
        <f t="shared" si="3664"/>
        <v>0</v>
      </c>
      <c r="AA1844">
        <f t="shared" ref="AA1844:AC1844" si="3665">IF(X1844=FALSE,1,0)</f>
        <v>0</v>
      </c>
      <c r="AB1844">
        <f t="shared" si="3665"/>
        <v>1</v>
      </c>
      <c r="AC1844">
        <f t="shared" si="3665"/>
        <v>1</v>
      </c>
      <c r="AD1844">
        <f t="shared" si="6"/>
        <v>2</v>
      </c>
      <c r="AE1844">
        <f t="shared" si="7"/>
        <v>1</v>
      </c>
    </row>
    <row r="1845">
      <c r="B1845" t="str">
        <f>IFERROR(__xludf.DUMMYFUNCTION("""COMPUTED_VALUE"""),"")</f>
        <v/>
      </c>
      <c r="C1845" t="str">
        <f>IFERROR(__xludf.DUMMYFUNCTION("""COMPUTED_VALUE"""),"")</f>
        <v/>
      </c>
      <c r="D1845" t="str">
        <f>IFERROR(__xludf.DUMMYFUNCTION("""COMPUTED_VALUE"""),"")</f>
        <v/>
      </c>
      <c r="E1845" t="str">
        <f>IFERROR(__xludf.DUMMYFUNCTION("""COMPUTED_VALUE"""),"")</f>
        <v/>
      </c>
      <c r="F1845" t="str">
        <f>IFERROR(__xludf.DUMMYFUNCTION("""COMPUTED_VALUE"""),"")</f>
        <v/>
      </c>
      <c r="G1845" t="str">
        <f>IFERROR(__xludf.DUMMYFUNCTION("""COMPUTED_VALUE"""),"")</f>
        <v/>
      </c>
      <c r="H1845" t="str">
        <f>IFERROR(__xludf.DUMMYFUNCTION("""COMPUTED_VALUE"""),"")</f>
        <v/>
      </c>
      <c r="I1845" t="str">
        <f>IFERROR(__xludf.DUMMYFUNCTION("""COMPUTED_VALUE"""),"")</f>
        <v/>
      </c>
      <c r="J1845">
        <f>IFERROR(__xludf.DUMMYFUNCTION("""COMPUTED_VALUE"""),0.0)</f>
        <v>0</v>
      </c>
      <c r="L1845" s="250" t="str">
        <f>IFERROR(__xludf.DUMMYFUNCTION("""COMPUTED_VALUE"""),"")</f>
        <v/>
      </c>
      <c r="M1845" s="250" t="str">
        <f>IFERROR(__xludf.DUMMYFUNCTION("""COMPUTED_VALUE"""),"")</f>
        <v/>
      </c>
      <c r="N1845" s="250" t="str">
        <f>IFERROR(__xludf.DUMMYFUNCTION("""COMPUTED_VALUE"""),"")</f>
        <v/>
      </c>
      <c r="O1845" s="250" t="str">
        <f>IFERROR(__xludf.DUMMYFUNCTION("""COMPUTED_VALUE"""),"")</f>
        <v/>
      </c>
      <c r="P1845" s="250" t="str">
        <f>IFERROR(__xludf.DUMMYFUNCTION("""COMPUTED_VALUE"""),"")</f>
        <v/>
      </c>
      <c r="Q1845" s="250" t="str">
        <f>IFERROR(__xludf.DUMMYFUNCTION("""COMPUTED_VALUE"""),"")</f>
        <v/>
      </c>
      <c r="R1845" s="250" t="str">
        <f>IFERROR(__xludf.DUMMYFUNCTION("""COMPUTED_VALUE"""),"")</f>
        <v/>
      </c>
      <c r="U1845" s="250" t="str">
        <f>IFERROR(__xludf.DUMMYFUNCTION("""COMPUTED_VALUE"""),"#N/A")</f>
        <v>#N/A</v>
      </c>
      <c r="V1845" s="250" t="str">
        <f>IFERROR(__xludf.DUMMYFUNCTION("""COMPUTED_VALUE"""),"#N/A")</f>
        <v>#N/A</v>
      </c>
      <c r="W1845" s="250" t="str">
        <f>IFERROR(__xludf.DUMMYFUNCTION("""COMPUTED_VALUE"""),"#N/A")</f>
        <v>#N/A</v>
      </c>
      <c r="X1845" t="b">
        <f t="shared" ref="X1845:Z1845" si="3666">ISBLANK(K1845)</f>
        <v>1</v>
      </c>
      <c r="Y1845" t="b">
        <f t="shared" si="3666"/>
        <v>0</v>
      </c>
      <c r="Z1845" t="b">
        <f t="shared" si="3666"/>
        <v>0</v>
      </c>
      <c r="AA1845">
        <f t="shared" ref="AA1845:AC1845" si="3667">IF(X1845=FALSE,1,0)</f>
        <v>0</v>
      </c>
      <c r="AB1845">
        <f t="shared" si="3667"/>
        <v>1</v>
      </c>
      <c r="AC1845">
        <f t="shared" si="3667"/>
        <v>1</v>
      </c>
      <c r="AD1845">
        <f t="shared" si="6"/>
        <v>2</v>
      </c>
      <c r="AE1845">
        <f t="shared" si="7"/>
        <v>1</v>
      </c>
    </row>
    <row r="1846">
      <c r="B1846" t="str">
        <f>IFERROR(__xludf.DUMMYFUNCTION("""COMPUTED_VALUE"""),"")</f>
        <v/>
      </c>
      <c r="C1846" t="str">
        <f>IFERROR(__xludf.DUMMYFUNCTION("""COMPUTED_VALUE"""),"")</f>
        <v/>
      </c>
      <c r="D1846" t="str">
        <f>IFERROR(__xludf.DUMMYFUNCTION("""COMPUTED_VALUE"""),"")</f>
        <v/>
      </c>
      <c r="E1846" t="str">
        <f>IFERROR(__xludf.DUMMYFUNCTION("""COMPUTED_VALUE"""),"")</f>
        <v/>
      </c>
      <c r="F1846" t="str">
        <f>IFERROR(__xludf.DUMMYFUNCTION("""COMPUTED_VALUE"""),"")</f>
        <v/>
      </c>
      <c r="G1846" t="str">
        <f>IFERROR(__xludf.DUMMYFUNCTION("""COMPUTED_VALUE"""),"")</f>
        <v/>
      </c>
      <c r="H1846" t="str">
        <f>IFERROR(__xludf.DUMMYFUNCTION("""COMPUTED_VALUE"""),"")</f>
        <v/>
      </c>
      <c r="I1846" t="str">
        <f>IFERROR(__xludf.DUMMYFUNCTION("""COMPUTED_VALUE"""),"")</f>
        <v/>
      </c>
      <c r="J1846">
        <f>IFERROR(__xludf.DUMMYFUNCTION("""COMPUTED_VALUE"""),0.0)</f>
        <v>0</v>
      </c>
      <c r="L1846" s="250" t="str">
        <f>IFERROR(__xludf.DUMMYFUNCTION("""COMPUTED_VALUE"""),"")</f>
        <v/>
      </c>
      <c r="M1846" s="250" t="str">
        <f>IFERROR(__xludf.DUMMYFUNCTION("""COMPUTED_VALUE"""),"")</f>
        <v/>
      </c>
      <c r="N1846" s="250" t="str">
        <f>IFERROR(__xludf.DUMMYFUNCTION("""COMPUTED_VALUE"""),"")</f>
        <v/>
      </c>
      <c r="O1846" s="250" t="str">
        <f>IFERROR(__xludf.DUMMYFUNCTION("""COMPUTED_VALUE"""),"")</f>
        <v/>
      </c>
      <c r="P1846" s="250" t="str">
        <f>IFERROR(__xludf.DUMMYFUNCTION("""COMPUTED_VALUE"""),"")</f>
        <v/>
      </c>
      <c r="Q1846" s="250" t="str">
        <f>IFERROR(__xludf.DUMMYFUNCTION("""COMPUTED_VALUE"""),"")</f>
        <v/>
      </c>
      <c r="R1846" s="250" t="str">
        <f>IFERROR(__xludf.DUMMYFUNCTION("""COMPUTED_VALUE"""),"")</f>
        <v/>
      </c>
      <c r="U1846" s="250" t="str">
        <f>IFERROR(__xludf.DUMMYFUNCTION("""COMPUTED_VALUE"""),"#N/A")</f>
        <v>#N/A</v>
      </c>
      <c r="V1846" s="250" t="str">
        <f>IFERROR(__xludf.DUMMYFUNCTION("""COMPUTED_VALUE"""),"#N/A")</f>
        <v>#N/A</v>
      </c>
      <c r="W1846" s="250" t="str">
        <f>IFERROR(__xludf.DUMMYFUNCTION("""COMPUTED_VALUE"""),"#N/A")</f>
        <v>#N/A</v>
      </c>
      <c r="X1846" t="b">
        <f t="shared" ref="X1846:Z1846" si="3668">ISBLANK(K1846)</f>
        <v>1</v>
      </c>
      <c r="Y1846" t="b">
        <f t="shared" si="3668"/>
        <v>0</v>
      </c>
      <c r="Z1846" t="b">
        <f t="shared" si="3668"/>
        <v>0</v>
      </c>
      <c r="AA1846">
        <f t="shared" ref="AA1846:AC1846" si="3669">IF(X1846=FALSE,1,0)</f>
        <v>0</v>
      </c>
      <c r="AB1846">
        <f t="shared" si="3669"/>
        <v>1</v>
      </c>
      <c r="AC1846">
        <f t="shared" si="3669"/>
        <v>1</v>
      </c>
      <c r="AD1846">
        <f t="shared" si="6"/>
        <v>2</v>
      </c>
      <c r="AE1846">
        <f t="shared" si="7"/>
        <v>1</v>
      </c>
    </row>
    <row r="1847">
      <c r="B1847" t="str">
        <f>IFERROR(__xludf.DUMMYFUNCTION("""COMPUTED_VALUE"""),"")</f>
        <v/>
      </c>
      <c r="C1847" t="str">
        <f>IFERROR(__xludf.DUMMYFUNCTION("""COMPUTED_VALUE"""),"")</f>
        <v/>
      </c>
      <c r="D1847" t="str">
        <f>IFERROR(__xludf.DUMMYFUNCTION("""COMPUTED_VALUE"""),"")</f>
        <v/>
      </c>
      <c r="E1847" t="str">
        <f>IFERROR(__xludf.DUMMYFUNCTION("""COMPUTED_VALUE"""),"")</f>
        <v/>
      </c>
      <c r="F1847" t="str">
        <f>IFERROR(__xludf.DUMMYFUNCTION("""COMPUTED_VALUE"""),"")</f>
        <v/>
      </c>
      <c r="G1847" t="str">
        <f>IFERROR(__xludf.DUMMYFUNCTION("""COMPUTED_VALUE"""),"")</f>
        <v/>
      </c>
      <c r="H1847" t="str">
        <f>IFERROR(__xludf.DUMMYFUNCTION("""COMPUTED_VALUE"""),"")</f>
        <v/>
      </c>
      <c r="I1847" t="str">
        <f>IFERROR(__xludf.DUMMYFUNCTION("""COMPUTED_VALUE"""),"")</f>
        <v/>
      </c>
      <c r="J1847">
        <f>IFERROR(__xludf.DUMMYFUNCTION("""COMPUTED_VALUE"""),0.0)</f>
        <v>0</v>
      </c>
      <c r="L1847" s="250" t="str">
        <f>IFERROR(__xludf.DUMMYFUNCTION("""COMPUTED_VALUE"""),"")</f>
        <v/>
      </c>
      <c r="M1847" s="250" t="str">
        <f>IFERROR(__xludf.DUMMYFUNCTION("""COMPUTED_VALUE"""),"")</f>
        <v/>
      </c>
      <c r="N1847" s="250" t="str">
        <f>IFERROR(__xludf.DUMMYFUNCTION("""COMPUTED_VALUE"""),"")</f>
        <v/>
      </c>
      <c r="O1847" s="250" t="str">
        <f>IFERROR(__xludf.DUMMYFUNCTION("""COMPUTED_VALUE"""),"")</f>
        <v/>
      </c>
      <c r="P1847" s="250" t="str">
        <f>IFERROR(__xludf.DUMMYFUNCTION("""COMPUTED_VALUE"""),"")</f>
        <v/>
      </c>
      <c r="Q1847" s="250" t="str">
        <f>IFERROR(__xludf.DUMMYFUNCTION("""COMPUTED_VALUE"""),"")</f>
        <v/>
      </c>
      <c r="R1847" s="250" t="str">
        <f>IFERROR(__xludf.DUMMYFUNCTION("""COMPUTED_VALUE"""),"")</f>
        <v/>
      </c>
      <c r="U1847" s="250" t="str">
        <f>IFERROR(__xludf.DUMMYFUNCTION("""COMPUTED_VALUE"""),"#N/A")</f>
        <v>#N/A</v>
      </c>
      <c r="V1847" s="250" t="str">
        <f>IFERROR(__xludf.DUMMYFUNCTION("""COMPUTED_VALUE"""),"#N/A")</f>
        <v>#N/A</v>
      </c>
      <c r="W1847" s="250" t="str">
        <f>IFERROR(__xludf.DUMMYFUNCTION("""COMPUTED_VALUE"""),"#N/A")</f>
        <v>#N/A</v>
      </c>
      <c r="X1847" t="b">
        <f t="shared" ref="X1847:Z1847" si="3670">ISBLANK(K1847)</f>
        <v>1</v>
      </c>
      <c r="Y1847" t="b">
        <f t="shared" si="3670"/>
        <v>0</v>
      </c>
      <c r="Z1847" t="b">
        <f t="shared" si="3670"/>
        <v>0</v>
      </c>
      <c r="AA1847">
        <f t="shared" ref="AA1847:AC1847" si="3671">IF(X1847=FALSE,1,0)</f>
        <v>0</v>
      </c>
      <c r="AB1847">
        <f t="shared" si="3671"/>
        <v>1</v>
      </c>
      <c r="AC1847">
        <f t="shared" si="3671"/>
        <v>1</v>
      </c>
      <c r="AD1847">
        <f t="shared" si="6"/>
        <v>2</v>
      </c>
      <c r="AE1847">
        <f t="shared" si="7"/>
        <v>1</v>
      </c>
    </row>
    <row r="1848">
      <c r="B1848" t="str">
        <f>IFERROR(__xludf.DUMMYFUNCTION("""COMPUTED_VALUE"""),"")</f>
        <v/>
      </c>
      <c r="C1848" t="str">
        <f>IFERROR(__xludf.DUMMYFUNCTION("""COMPUTED_VALUE"""),"")</f>
        <v/>
      </c>
      <c r="D1848" t="str">
        <f>IFERROR(__xludf.DUMMYFUNCTION("""COMPUTED_VALUE"""),"")</f>
        <v/>
      </c>
      <c r="E1848" t="str">
        <f>IFERROR(__xludf.DUMMYFUNCTION("""COMPUTED_VALUE"""),"")</f>
        <v/>
      </c>
      <c r="F1848" t="str">
        <f>IFERROR(__xludf.DUMMYFUNCTION("""COMPUTED_VALUE"""),"")</f>
        <v/>
      </c>
      <c r="G1848" t="str">
        <f>IFERROR(__xludf.DUMMYFUNCTION("""COMPUTED_VALUE"""),"")</f>
        <v/>
      </c>
      <c r="H1848" t="str">
        <f>IFERROR(__xludf.DUMMYFUNCTION("""COMPUTED_VALUE"""),"")</f>
        <v/>
      </c>
      <c r="I1848" t="str">
        <f>IFERROR(__xludf.DUMMYFUNCTION("""COMPUTED_VALUE"""),"")</f>
        <v/>
      </c>
      <c r="J1848">
        <f>IFERROR(__xludf.DUMMYFUNCTION("""COMPUTED_VALUE"""),0.0)</f>
        <v>0</v>
      </c>
      <c r="L1848" s="250" t="str">
        <f>IFERROR(__xludf.DUMMYFUNCTION("""COMPUTED_VALUE"""),"")</f>
        <v/>
      </c>
      <c r="M1848" s="250" t="str">
        <f>IFERROR(__xludf.DUMMYFUNCTION("""COMPUTED_VALUE"""),"")</f>
        <v/>
      </c>
      <c r="N1848" s="250" t="str">
        <f>IFERROR(__xludf.DUMMYFUNCTION("""COMPUTED_VALUE"""),"")</f>
        <v/>
      </c>
      <c r="O1848" s="250" t="str">
        <f>IFERROR(__xludf.DUMMYFUNCTION("""COMPUTED_VALUE"""),"")</f>
        <v/>
      </c>
      <c r="P1848" s="250" t="str">
        <f>IFERROR(__xludf.DUMMYFUNCTION("""COMPUTED_VALUE"""),"")</f>
        <v/>
      </c>
      <c r="Q1848" s="250" t="str">
        <f>IFERROR(__xludf.DUMMYFUNCTION("""COMPUTED_VALUE"""),"")</f>
        <v/>
      </c>
      <c r="R1848" s="250" t="str">
        <f>IFERROR(__xludf.DUMMYFUNCTION("""COMPUTED_VALUE"""),"")</f>
        <v/>
      </c>
      <c r="U1848" s="250" t="str">
        <f>IFERROR(__xludf.DUMMYFUNCTION("""COMPUTED_VALUE"""),"#N/A")</f>
        <v>#N/A</v>
      </c>
      <c r="V1848" s="250" t="str">
        <f>IFERROR(__xludf.DUMMYFUNCTION("""COMPUTED_VALUE"""),"#N/A")</f>
        <v>#N/A</v>
      </c>
      <c r="W1848" s="250" t="str">
        <f>IFERROR(__xludf.DUMMYFUNCTION("""COMPUTED_VALUE"""),"#N/A")</f>
        <v>#N/A</v>
      </c>
      <c r="X1848" t="b">
        <f t="shared" ref="X1848:Z1848" si="3672">ISBLANK(K1848)</f>
        <v>1</v>
      </c>
      <c r="Y1848" t="b">
        <f t="shared" si="3672"/>
        <v>0</v>
      </c>
      <c r="Z1848" t="b">
        <f t="shared" si="3672"/>
        <v>0</v>
      </c>
      <c r="AA1848">
        <f t="shared" ref="AA1848:AC1848" si="3673">IF(X1848=FALSE,1,0)</f>
        <v>0</v>
      </c>
      <c r="AB1848">
        <f t="shared" si="3673"/>
        <v>1</v>
      </c>
      <c r="AC1848">
        <f t="shared" si="3673"/>
        <v>1</v>
      </c>
      <c r="AD1848">
        <f t="shared" si="6"/>
        <v>2</v>
      </c>
      <c r="AE1848">
        <f t="shared" si="7"/>
        <v>1</v>
      </c>
    </row>
    <row r="1849">
      <c r="B1849" t="str">
        <f>IFERROR(__xludf.DUMMYFUNCTION("""COMPUTED_VALUE"""),"")</f>
        <v/>
      </c>
      <c r="C1849" t="str">
        <f>IFERROR(__xludf.DUMMYFUNCTION("""COMPUTED_VALUE"""),"")</f>
        <v/>
      </c>
      <c r="D1849" t="str">
        <f>IFERROR(__xludf.DUMMYFUNCTION("""COMPUTED_VALUE"""),"")</f>
        <v/>
      </c>
      <c r="E1849" t="str">
        <f>IFERROR(__xludf.DUMMYFUNCTION("""COMPUTED_VALUE"""),"")</f>
        <v/>
      </c>
      <c r="F1849" t="str">
        <f>IFERROR(__xludf.DUMMYFUNCTION("""COMPUTED_VALUE"""),"")</f>
        <v/>
      </c>
      <c r="G1849" t="str">
        <f>IFERROR(__xludf.DUMMYFUNCTION("""COMPUTED_VALUE"""),"")</f>
        <v/>
      </c>
      <c r="H1849" t="str">
        <f>IFERROR(__xludf.DUMMYFUNCTION("""COMPUTED_VALUE"""),"")</f>
        <v/>
      </c>
      <c r="I1849" t="str">
        <f>IFERROR(__xludf.DUMMYFUNCTION("""COMPUTED_VALUE"""),"")</f>
        <v/>
      </c>
      <c r="J1849">
        <f>IFERROR(__xludf.DUMMYFUNCTION("""COMPUTED_VALUE"""),0.0)</f>
        <v>0</v>
      </c>
      <c r="L1849" s="250" t="str">
        <f>IFERROR(__xludf.DUMMYFUNCTION("""COMPUTED_VALUE"""),"")</f>
        <v/>
      </c>
      <c r="M1849" s="250" t="str">
        <f>IFERROR(__xludf.DUMMYFUNCTION("""COMPUTED_VALUE"""),"")</f>
        <v/>
      </c>
      <c r="N1849" s="250" t="str">
        <f>IFERROR(__xludf.DUMMYFUNCTION("""COMPUTED_VALUE"""),"")</f>
        <v/>
      </c>
      <c r="O1849" s="250" t="str">
        <f>IFERROR(__xludf.DUMMYFUNCTION("""COMPUTED_VALUE"""),"")</f>
        <v/>
      </c>
      <c r="P1849" s="250" t="str">
        <f>IFERROR(__xludf.DUMMYFUNCTION("""COMPUTED_VALUE"""),"")</f>
        <v/>
      </c>
      <c r="Q1849" s="250" t="str">
        <f>IFERROR(__xludf.DUMMYFUNCTION("""COMPUTED_VALUE"""),"")</f>
        <v/>
      </c>
      <c r="R1849" s="250" t="str">
        <f>IFERROR(__xludf.DUMMYFUNCTION("""COMPUTED_VALUE"""),"")</f>
        <v/>
      </c>
      <c r="U1849" s="250" t="str">
        <f>IFERROR(__xludf.DUMMYFUNCTION("""COMPUTED_VALUE"""),"#N/A")</f>
        <v>#N/A</v>
      </c>
      <c r="V1849" s="250" t="str">
        <f>IFERROR(__xludf.DUMMYFUNCTION("""COMPUTED_VALUE"""),"#N/A")</f>
        <v>#N/A</v>
      </c>
      <c r="W1849" s="250" t="str">
        <f>IFERROR(__xludf.DUMMYFUNCTION("""COMPUTED_VALUE"""),"#N/A")</f>
        <v>#N/A</v>
      </c>
      <c r="X1849" t="b">
        <f t="shared" ref="X1849:Z1849" si="3674">ISBLANK(K1849)</f>
        <v>1</v>
      </c>
      <c r="Y1849" t="b">
        <f t="shared" si="3674"/>
        <v>0</v>
      </c>
      <c r="Z1849" t="b">
        <f t="shared" si="3674"/>
        <v>0</v>
      </c>
      <c r="AA1849">
        <f t="shared" ref="AA1849:AC1849" si="3675">IF(X1849=FALSE,1,0)</f>
        <v>0</v>
      </c>
      <c r="AB1849">
        <f t="shared" si="3675"/>
        <v>1</v>
      </c>
      <c r="AC1849">
        <f t="shared" si="3675"/>
        <v>1</v>
      </c>
      <c r="AD1849">
        <f t="shared" si="6"/>
        <v>2</v>
      </c>
      <c r="AE1849">
        <f t="shared" si="7"/>
        <v>1</v>
      </c>
    </row>
    <row r="1850">
      <c r="B1850" t="str">
        <f>IFERROR(__xludf.DUMMYFUNCTION("""COMPUTED_VALUE"""),"")</f>
        <v/>
      </c>
      <c r="C1850" t="str">
        <f>IFERROR(__xludf.DUMMYFUNCTION("""COMPUTED_VALUE"""),"")</f>
        <v/>
      </c>
      <c r="D1850" t="str">
        <f>IFERROR(__xludf.DUMMYFUNCTION("""COMPUTED_VALUE"""),"")</f>
        <v/>
      </c>
      <c r="E1850" t="str">
        <f>IFERROR(__xludf.DUMMYFUNCTION("""COMPUTED_VALUE"""),"")</f>
        <v/>
      </c>
      <c r="F1850" t="str">
        <f>IFERROR(__xludf.DUMMYFUNCTION("""COMPUTED_VALUE"""),"")</f>
        <v/>
      </c>
      <c r="G1850" t="str">
        <f>IFERROR(__xludf.DUMMYFUNCTION("""COMPUTED_VALUE"""),"")</f>
        <v/>
      </c>
      <c r="H1850" t="str">
        <f>IFERROR(__xludf.DUMMYFUNCTION("""COMPUTED_VALUE"""),"")</f>
        <v/>
      </c>
      <c r="I1850" t="str">
        <f>IFERROR(__xludf.DUMMYFUNCTION("""COMPUTED_VALUE"""),"")</f>
        <v/>
      </c>
      <c r="J1850">
        <f>IFERROR(__xludf.DUMMYFUNCTION("""COMPUTED_VALUE"""),0.0)</f>
        <v>0</v>
      </c>
      <c r="L1850" s="250" t="str">
        <f>IFERROR(__xludf.DUMMYFUNCTION("""COMPUTED_VALUE"""),"")</f>
        <v/>
      </c>
      <c r="M1850" s="250" t="str">
        <f>IFERROR(__xludf.DUMMYFUNCTION("""COMPUTED_VALUE"""),"")</f>
        <v/>
      </c>
      <c r="N1850" s="250" t="str">
        <f>IFERROR(__xludf.DUMMYFUNCTION("""COMPUTED_VALUE"""),"")</f>
        <v/>
      </c>
      <c r="O1850" s="250" t="str">
        <f>IFERROR(__xludf.DUMMYFUNCTION("""COMPUTED_VALUE"""),"")</f>
        <v/>
      </c>
      <c r="P1850" s="250" t="str">
        <f>IFERROR(__xludf.DUMMYFUNCTION("""COMPUTED_VALUE"""),"")</f>
        <v/>
      </c>
      <c r="Q1850" s="250" t="str">
        <f>IFERROR(__xludf.DUMMYFUNCTION("""COMPUTED_VALUE"""),"")</f>
        <v/>
      </c>
      <c r="R1850" s="250" t="str">
        <f>IFERROR(__xludf.DUMMYFUNCTION("""COMPUTED_VALUE"""),"")</f>
        <v/>
      </c>
      <c r="U1850" s="250" t="str">
        <f>IFERROR(__xludf.DUMMYFUNCTION("""COMPUTED_VALUE"""),"#N/A")</f>
        <v>#N/A</v>
      </c>
      <c r="V1850" s="250" t="str">
        <f>IFERROR(__xludf.DUMMYFUNCTION("""COMPUTED_VALUE"""),"#N/A")</f>
        <v>#N/A</v>
      </c>
      <c r="W1850" s="250" t="str">
        <f>IFERROR(__xludf.DUMMYFUNCTION("""COMPUTED_VALUE"""),"#N/A")</f>
        <v>#N/A</v>
      </c>
      <c r="X1850" t="b">
        <f t="shared" ref="X1850:Z1850" si="3676">ISBLANK(K1850)</f>
        <v>1</v>
      </c>
      <c r="Y1850" t="b">
        <f t="shared" si="3676"/>
        <v>0</v>
      </c>
      <c r="Z1850" t="b">
        <f t="shared" si="3676"/>
        <v>0</v>
      </c>
      <c r="AA1850">
        <f t="shared" ref="AA1850:AC1850" si="3677">IF(X1850=FALSE,1,0)</f>
        <v>0</v>
      </c>
      <c r="AB1850">
        <f t="shared" si="3677"/>
        <v>1</v>
      </c>
      <c r="AC1850">
        <f t="shared" si="3677"/>
        <v>1</v>
      </c>
      <c r="AD1850">
        <f t="shared" si="6"/>
        <v>2</v>
      </c>
      <c r="AE1850">
        <f t="shared" si="7"/>
        <v>1</v>
      </c>
    </row>
    <row r="1851">
      <c r="B1851" t="str">
        <f>IFERROR(__xludf.DUMMYFUNCTION("""COMPUTED_VALUE"""),"")</f>
        <v/>
      </c>
      <c r="C1851" t="str">
        <f>IFERROR(__xludf.DUMMYFUNCTION("""COMPUTED_VALUE"""),"")</f>
        <v/>
      </c>
      <c r="D1851" t="str">
        <f>IFERROR(__xludf.DUMMYFUNCTION("""COMPUTED_VALUE"""),"")</f>
        <v/>
      </c>
      <c r="E1851" t="str">
        <f>IFERROR(__xludf.DUMMYFUNCTION("""COMPUTED_VALUE"""),"")</f>
        <v/>
      </c>
      <c r="F1851" t="str">
        <f>IFERROR(__xludf.DUMMYFUNCTION("""COMPUTED_VALUE"""),"")</f>
        <v/>
      </c>
      <c r="G1851" t="str">
        <f>IFERROR(__xludf.DUMMYFUNCTION("""COMPUTED_VALUE"""),"")</f>
        <v/>
      </c>
      <c r="H1851" t="str">
        <f>IFERROR(__xludf.DUMMYFUNCTION("""COMPUTED_VALUE"""),"")</f>
        <v/>
      </c>
      <c r="I1851" t="str">
        <f>IFERROR(__xludf.DUMMYFUNCTION("""COMPUTED_VALUE"""),"")</f>
        <v/>
      </c>
      <c r="J1851">
        <f>IFERROR(__xludf.DUMMYFUNCTION("""COMPUTED_VALUE"""),0.0)</f>
        <v>0</v>
      </c>
      <c r="L1851" s="250" t="str">
        <f>IFERROR(__xludf.DUMMYFUNCTION("""COMPUTED_VALUE"""),"")</f>
        <v/>
      </c>
      <c r="M1851" s="250" t="str">
        <f>IFERROR(__xludf.DUMMYFUNCTION("""COMPUTED_VALUE"""),"")</f>
        <v/>
      </c>
      <c r="N1851" s="250" t="str">
        <f>IFERROR(__xludf.DUMMYFUNCTION("""COMPUTED_VALUE"""),"")</f>
        <v/>
      </c>
      <c r="O1851" s="250" t="str">
        <f>IFERROR(__xludf.DUMMYFUNCTION("""COMPUTED_VALUE"""),"")</f>
        <v/>
      </c>
      <c r="P1851" s="250" t="str">
        <f>IFERROR(__xludf.DUMMYFUNCTION("""COMPUTED_VALUE"""),"")</f>
        <v/>
      </c>
      <c r="Q1851" s="250" t="str">
        <f>IFERROR(__xludf.DUMMYFUNCTION("""COMPUTED_VALUE"""),"")</f>
        <v/>
      </c>
      <c r="R1851" s="250" t="str">
        <f>IFERROR(__xludf.DUMMYFUNCTION("""COMPUTED_VALUE"""),"")</f>
        <v/>
      </c>
      <c r="U1851" s="250" t="str">
        <f>IFERROR(__xludf.DUMMYFUNCTION("""COMPUTED_VALUE"""),"#N/A")</f>
        <v>#N/A</v>
      </c>
      <c r="V1851" s="250" t="str">
        <f>IFERROR(__xludf.DUMMYFUNCTION("""COMPUTED_VALUE"""),"#N/A")</f>
        <v>#N/A</v>
      </c>
      <c r="W1851" s="250" t="str">
        <f>IFERROR(__xludf.DUMMYFUNCTION("""COMPUTED_VALUE"""),"#N/A")</f>
        <v>#N/A</v>
      </c>
      <c r="X1851" t="b">
        <f t="shared" ref="X1851:Z1851" si="3678">ISBLANK(K1851)</f>
        <v>1</v>
      </c>
      <c r="Y1851" t="b">
        <f t="shared" si="3678"/>
        <v>0</v>
      </c>
      <c r="Z1851" t="b">
        <f t="shared" si="3678"/>
        <v>0</v>
      </c>
      <c r="AA1851">
        <f t="shared" ref="AA1851:AC1851" si="3679">IF(X1851=FALSE,1,0)</f>
        <v>0</v>
      </c>
      <c r="AB1851">
        <f t="shared" si="3679"/>
        <v>1</v>
      </c>
      <c r="AC1851">
        <f t="shared" si="3679"/>
        <v>1</v>
      </c>
      <c r="AD1851">
        <f t="shared" si="6"/>
        <v>2</v>
      </c>
      <c r="AE1851">
        <f t="shared" si="7"/>
        <v>1</v>
      </c>
    </row>
    <row r="1852">
      <c r="B1852" t="str">
        <f>IFERROR(__xludf.DUMMYFUNCTION("""COMPUTED_VALUE"""),"")</f>
        <v/>
      </c>
      <c r="C1852" t="str">
        <f>IFERROR(__xludf.DUMMYFUNCTION("""COMPUTED_VALUE"""),"")</f>
        <v/>
      </c>
      <c r="D1852" t="str">
        <f>IFERROR(__xludf.DUMMYFUNCTION("""COMPUTED_VALUE"""),"")</f>
        <v/>
      </c>
      <c r="E1852" t="str">
        <f>IFERROR(__xludf.DUMMYFUNCTION("""COMPUTED_VALUE"""),"")</f>
        <v/>
      </c>
      <c r="F1852" t="str">
        <f>IFERROR(__xludf.DUMMYFUNCTION("""COMPUTED_VALUE"""),"")</f>
        <v/>
      </c>
      <c r="G1852" t="str">
        <f>IFERROR(__xludf.DUMMYFUNCTION("""COMPUTED_VALUE"""),"")</f>
        <v/>
      </c>
      <c r="H1852" t="str">
        <f>IFERROR(__xludf.DUMMYFUNCTION("""COMPUTED_VALUE"""),"")</f>
        <v/>
      </c>
      <c r="I1852" t="str">
        <f>IFERROR(__xludf.DUMMYFUNCTION("""COMPUTED_VALUE"""),"")</f>
        <v/>
      </c>
      <c r="J1852">
        <f>IFERROR(__xludf.DUMMYFUNCTION("""COMPUTED_VALUE"""),0.0)</f>
        <v>0</v>
      </c>
      <c r="L1852" s="250" t="str">
        <f>IFERROR(__xludf.DUMMYFUNCTION("""COMPUTED_VALUE"""),"")</f>
        <v/>
      </c>
      <c r="M1852" s="250" t="str">
        <f>IFERROR(__xludf.DUMMYFUNCTION("""COMPUTED_VALUE"""),"")</f>
        <v/>
      </c>
      <c r="N1852" s="250" t="str">
        <f>IFERROR(__xludf.DUMMYFUNCTION("""COMPUTED_VALUE"""),"")</f>
        <v/>
      </c>
      <c r="O1852" s="250" t="str">
        <f>IFERROR(__xludf.DUMMYFUNCTION("""COMPUTED_VALUE"""),"")</f>
        <v/>
      </c>
      <c r="P1852" s="250" t="str">
        <f>IFERROR(__xludf.DUMMYFUNCTION("""COMPUTED_VALUE"""),"")</f>
        <v/>
      </c>
      <c r="Q1852" s="250" t="str">
        <f>IFERROR(__xludf.DUMMYFUNCTION("""COMPUTED_VALUE"""),"")</f>
        <v/>
      </c>
      <c r="R1852" s="250" t="str">
        <f>IFERROR(__xludf.DUMMYFUNCTION("""COMPUTED_VALUE"""),"")</f>
        <v/>
      </c>
      <c r="U1852" s="250" t="str">
        <f>IFERROR(__xludf.DUMMYFUNCTION("""COMPUTED_VALUE"""),"#N/A")</f>
        <v>#N/A</v>
      </c>
      <c r="V1852" s="250" t="str">
        <f>IFERROR(__xludf.DUMMYFUNCTION("""COMPUTED_VALUE"""),"#N/A")</f>
        <v>#N/A</v>
      </c>
      <c r="W1852" s="250" t="str">
        <f>IFERROR(__xludf.DUMMYFUNCTION("""COMPUTED_VALUE"""),"#N/A")</f>
        <v>#N/A</v>
      </c>
      <c r="X1852" t="b">
        <f t="shared" ref="X1852:Z1852" si="3680">ISBLANK(K1852)</f>
        <v>1</v>
      </c>
      <c r="Y1852" t="b">
        <f t="shared" si="3680"/>
        <v>0</v>
      </c>
      <c r="Z1852" t="b">
        <f t="shared" si="3680"/>
        <v>0</v>
      </c>
      <c r="AA1852">
        <f t="shared" ref="AA1852:AC1852" si="3681">IF(X1852=FALSE,1,0)</f>
        <v>0</v>
      </c>
      <c r="AB1852">
        <f t="shared" si="3681"/>
        <v>1</v>
      </c>
      <c r="AC1852">
        <f t="shared" si="3681"/>
        <v>1</v>
      </c>
      <c r="AD1852">
        <f t="shared" si="6"/>
        <v>2</v>
      </c>
      <c r="AE1852">
        <f t="shared" si="7"/>
        <v>1</v>
      </c>
    </row>
    <row r="1853">
      <c r="B1853" t="str">
        <f>IFERROR(__xludf.DUMMYFUNCTION("""COMPUTED_VALUE"""),"")</f>
        <v/>
      </c>
      <c r="C1853" t="str">
        <f>IFERROR(__xludf.DUMMYFUNCTION("""COMPUTED_VALUE"""),"")</f>
        <v/>
      </c>
      <c r="D1853" t="str">
        <f>IFERROR(__xludf.DUMMYFUNCTION("""COMPUTED_VALUE"""),"")</f>
        <v/>
      </c>
      <c r="E1853" t="str">
        <f>IFERROR(__xludf.DUMMYFUNCTION("""COMPUTED_VALUE"""),"")</f>
        <v/>
      </c>
      <c r="F1853" t="str">
        <f>IFERROR(__xludf.DUMMYFUNCTION("""COMPUTED_VALUE"""),"")</f>
        <v/>
      </c>
      <c r="G1853" t="str">
        <f>IFERROR(__xludf.DUMMYFUNCTION("""COMPUTED_VALUE"""),"")</f>
        <v/>
      </c>
      <c r="H1853" t="str">
        <f>IFERROR(__xludf.DUMMYFUNCTION("""COMPUTED_VALUE"""),"")</f>
        <v/>
      </c>
      <c r="I1853" t="str">
        <f>IFERROR(__xludf.DUMMYFUNCTION("""COMPUTED_VALUE"""),"")</f>
        <v/>
      </c>
      <c r="J1853">
        <f>IFERROR(__xludf.DUMMYFUNCTION("""COMPUTED_VALUE"""),0.0)</f>
        <v>0</v>
      </c>
      <c r="L1853" s="250" t="str">
        <f>IFERROR(__xludf.DUMMYFUNCTION("""COMPUTED_VALUE"""),"")</f>
        <v/>
      </c>
      <c r="M1853" s="250" t="str">
        <f>IFERROR(__xludf.DUMMYFUNCTION("""COMPUTED_VALUE"""),"")</f>
        <v/>
      </c>
      <c r="N1853" s="250" t="str">
        <f>IFERROR(__xludf.DUMMYFUNCTION("""COMPUTED_VALUE"""),"")</f>
        <v/>
      </c>
      <c r="O1853" s="250" t="str">
        <f>IFERROR(__xludf.DUMMYFUNCTION("""COMPUTED_VALUE"""),"")</f>
        <v/>
      </c>
      <c r="P1853" s="250" t="str">
        <f>IFERROR(__xludf.DUMMYFUNCTION("""COMPUTED_VALUE"""),"")</f>
        <v/>
      </c>
      <c r="Q1853" s="250" t="str">
        <f>IFERROR(__xludf.DUMMYFUNCTION("""COMPUTED_VALUE"""),"")</f>
        <v/>
      </c>
      <c r="R1853" s="250" t="str">
        <f>IFERROR(__xludf.DUMMYFUNCTION("""COMPUTED_VALUE"""),"")</f>
        <v/>
      </c>
      <c r="U1853" s="250" t="str">
        <f>IFERROR(__xludf.DUMMYFUNCTION("""COMPUTED_VALUE"""),"#N/A")</f>
        <v>#N/A</v>
      </c>
      <c r="V1853" s="250" t="str">
        <f>IFERROR(__xludf.DUMMYFUNCTION("""COMPUTED_VALUE"""),"#N/A")</f>
        <v>#N/A</v>
      </c>
      <c r="W1853" s="250" t="str">
        <f>IFERROR(__xludf.DUMMYFUNCTION("""COMPUTED_VALUE"""),"#N/A")</f>
        <v>#N/A</v>
      </c>
      <c r="X1853" t="b">
        <f t="shared" ref="X1853:Z1853" si="3682">ISBLANK(K1853)</f>
        <v>1</v>
      </c>
      <c r="Y1853" t="b">
        <f t="shared" si="3682"/>
        <v>0</v>
      </c>
      <c r="Z1853" t="b">
        <f t="shared" si="3682"/>
        <v>0</v>
      </c>
      <c r="AA1853">
        <f t="shared" ref="AA1853:AC1853" si="3683">IF(X1853=FALSE,1,0)</f>
        <v>0</v>
      </c>
      <c r="AB1853">
        <f t="shared" si="3683"/>
        <v>1</v>
      </c>
      <c r="AC1853">
        <f t="shared" si="3683"/>
        <v>1</v>
      </c>
      <c r="AD1853">
        <f t="shared" si="6"/>
        <v>2</v>
      </c>
      <c r="AE1853">
        <f t="shared" si="7"/>
        <v>1</v>
      </c>
    </row>
    <row r="1854">
      <c r="B1854" t="str">
        <f>IFERROR(__xludf.DUMMYFUNCTION("""COMPUTED_VALUE"""),"")</f>
        <v/>
      </c>
      <c r="C1854" t="str">
        <f>IFERROR(__xludf.DUMMYFUNCTION("""COMPUTED_VALUE"""),"")</f>
        <v/>
      </c>
      <c r="D1854" t="str">
        <f>IFERROR(__xludf.DUMMYFUNCTION("""COMPUTED_VALUE"""),"")</f>
        <v/>
      </c>
      <c r="E1854" t="str">
        <f>IFERROR(__xludf.DUMMYFUNCTION("""COMPUTED_VALUE"""),"")</f>
        <v/>
      </c>
      <c r="F1854" t="str">
        <f>IFERROR(__xludf.DUMMYFUNCTION("""COMPUTED_VALUE"""),"")</f>
        <v/>
      </c>
      <c r="G1854" t="str">
        <f>IFERROR(__xludf.DUMMYFUNCTION("""COMPUTED_VALUE"""),"")</f>
        <v/>
      </c>
      <c r="H1854" t="str">
        <f>IFERROR(__xludf.DUMMYFUNCTION("""COMPUTED_VALUE"""),"")</f>
        <v/>
      </c>
      <c r="I1854" t="str">
        <f>IFERROR(__xludf.DUMMYFUNCTION("""COMPUTED_VALUE"""),"")</f>
        <v/>
      </c>
      <c r="J1854">
        <f>IFERROR(__xludf.DUMMYFUNCTION("""COMPUTED_VALUE"""),0.0)</f>
        <v>0</v>
      </c>
      <c r="L1854" s="250" t="str">
        <f>IFERROR(__xludf.DUMMYFUNCTION("""COMPUTED_VALUE"""),"")</f>
        <v/>
      </c>
      <c r="M1854" s="250" t="str">
        <f>IFERROR(__xludf.DUMMYFUNCTION("""COMPUTED_VALUE"""),"")</f>
        <v/>
      </c>
      <c r="N1854" s="250" t="str">
        <f>IFERROR(__xludf.DUMMYFUNCTION("""COMPUTED_VALUE"""),"")</f>
        <v/>
      </c>
      <c r="O1854" s="250" t="str">
        <f>IFERROR(__xludf.DUMMYFUNCTION("""COMPUTED_VALUE"""),"")</f>
        <v/>
      </c>
      <c r="P1854" s="250" t="str">
        <f>IFERROR(__xludf.DUMMYFUNCTION("""COMPUTED_VALUE"""),"")</f>
        <v/>
      </c>
      <c r="Q1854" s="250" t="str">
        <f>IFERROR(__xludf.DUMMYFUNCTION("""COMPUTED_VALUE"""),"")</f>
        <v/>
      </c>
      <c r="R1854" s="250" t="str">
        <f>IFERROR(__xludf.DUMMYFUNCTION("""COMPUTED_VALUE"""),"")</f>
        <v/>
      </c>
      <c r="U1854" s="250" t="str">
        <f>IFERROR(__xludf.DUMMYFUNCTION("""COMPUTED_VALUE"""),"#N/A")</f>
        <v>#N/A</v>
      </c>
      <c r="V1854" s="250" t="str">
        <f>IFERROR(__xludf.DUMMYFUNCTION("""COMPUTED_VALUE"""),"#N/A")</f>
        <v>#N/A</v>
      </c>
      <c r="W1854" s="250" t="str">
        <f>IFERROR(__xludf.DUMMYFUNCTION("""COMPUTED_VALUE"""),"#N/A")</f>
        <v>#N/A</v>
      </c>
      <c r="X1854" t="b">
        <f t="shared" ref="X1854:Z1854" si="3684">ISBLANK(K1854)</f>
        <v>1</v>
      </c>
      <c r="Y1854" t="b">
        <f t="shared" si="3684"/>
        <v>0</v>
      </c>
      <c r="Z1854" t="b">
        <f t="shared" si="3684"/>
        <v>0</v>
      </c>
      <c r="AA1854">
        <f t="shared" ref="AA1854:AC1854" si="3685">IF(X1854=FALSE,1,0)</f>
        <v>0</v>
      </c>
      <c r="AB1854">
        <f t="shared" si="3685"/>
        <v>1</v>
      </c>
      <c r="AC1854">
        <f t="shared" si="3685"/>
        <v>1</v>
      </c>
      <c r="AD1854">
        <f t="shared" si="6"/>
        <v>2</v>
      </c>
      <c r="AE1854">
        <f t="shared" si="7"/>
        <v>1</v>
      </c>
    </row>
    <row r="1855">
      <c r="B1855" t="str">
        <f>IFERROR(__xludf.DUMMYFUNCTION("""COMPUTED_VALUE"""),"")</f>
        <v/>
      </c>
      <c r="C1855" t="str">
        <f>IFERROR(__xludf.DUMMYFUNCTION("""COMPUTED_VALUE"""),"")</f>
        <v/>
      </c>
      <c r="D1855" t="str">
        <f>IFERROR(__xludf.DUMMYFUNCTION("""COMPUTED_VALUE"""),"")</f>
        <v/>
      </c>
      <c r="E1855" t="str">
        <f>IFERROR(__xludf.DUMMYFUNCTION("""COMPUTED_VALUE"""),"")</f>
        <v/>
      </c>
      <c r="F1855" t="str">
        <f>IFERROR(__xludf.DUMMYFUNCTION("""COMPUTED_VALUE"""),"")</f>
        <v/>
      </c>
      <c r="G1855" t="str">
        <f>IFERROR(__xludf.DUMMYFUNCTION("""COMPUTED_VALUE"""),"")</f>
        <v/>
      </c>
      <c r="H1855" t="str">
        <f>IFERROR(__xludf.DUMMYFUNCTION("""COMPUTED_VALUE"""),"")</f>
        <v/>
      </c>
      <c r="I1855" t="str">
        <f>IFERROR(__xludf.DUMMYFUNCTION("""COMPUTED_VALUE"""),"")</f>
        <v/>
      </c>
      <c r="J1855">
        <f>IFERROR(__xludf.DUMMYFUNCTION("""COMPUTED_VALUE"""),0.0)</f>
        <v>0</v>
      </c>
      <c r="L1855" s="250" t="str">
        <f>IFERROR(__xludf.DUMMYFUNCTION("""COMPUTED_VALUE"""),"")</f>
        <v/>
      </c>
      <c r="M1855" s="250" t="str">
        <f>IFERROR(__xludf.DUMMYFUNCTION("""COMPUTED_VALUE"""),"")</f>
        <v/>
      </c>
      <c r="N1855" s="250" t="str">
        <f>IFERROR(__xludf.DUMMYFUNCTION("""COMPUTED_VALUE"""),"")</f>
        <v/>
      </c>
      <c r="O1855" s="250" t="str">
        <f>IFERROR(__xludf.DUMMYFUNCTION("""COMPUTED_VALUE"""),"")</f>
        <v/>
      </c>
      <c r="P1855" s="250" t="str">
        <f>IFERROR(__xludf.DUMMYFUNCTION("""COMPUTED_VALUE"""),"")</f>
        <v/>
      </c>
      <c r="Q1855" s="250" t="str">
        <f>IFERROR(__xludf.DUMMYFUNCTION("""COMPUTED_VALUE"""),"")</f>
        <v/>
      </c>
      <c r="R1855" s="250" t="str">
        <f>IFERROR(__xludf.DUMMYFUNCTION("""COMPUTED_VALUE"""),"")</f>
        <v/>
      </c>
      <c r="U1855" s="250" t="str">
        <f>IFERROR(__xludf.DUMMYFUNCTION("""COMPUTED_VALUE"""),"#N/A")</f>
        <v>#N/A</v>
      </c>
      <c r="V1855" s="250" t="str">
        <f>IFERROR(__xludf.DUMMYFUNCTION("""COMPUTED_VALUE"""),"#N/A")</f>
        <v>#N/A</v>
      </c>
      <c r="W1855" s="250" t="str">
        <f>IFERROR(__xludf.DUMMYFUNCTION("""COMPUTED_VALUE"""),"#N/A")</f>
        <v>#N/A</v>
      </c>
      <c r="X1855" t="b">
        <f t="shared" ref="X1855:Z1855" si="3686">ISBLANK(K1855)</f>
        <v>1</v>
      </c>
      <c r="Y1855" t="b">
        <f t="shared" si="3686"/>
        <v>0</v>
      </c>
      <c r="Z1855" t="b">
        <f t="shared" si="3686"/>
        <v>0</v>
      </c>
      <c r="AA1855">
        <f t="shared" ref="AA1855:AC1855" si="3687">IF(X1855=FALSE,1,0)</f>
        <v>0</v>
      </c>
      <c r="AB1855">
        <f t="shared" si="3687"/>
        <v>1</v>
      </c>
      <c r="AC1855">
        <f t="shared" si="3687"/>
        <v>1</v>
      </c>
      <c r="AD1855">
        <f t="shared" si="6"/>
        <v>2</v>
      </c>
      <c r="AE1855">
        <f t="shared" si="7"/>
        <v>1</v>
      </c>
    </row>
    <row r="1856">
      <c r="B1856" t="str">
        <f>IFERROR(__xludf.DUMMYFUNCTION("""COMPUTED_VALUE"""),"")</f>
        <v/>
      </c>
      <c r="C1856" t="str">
        <f>IFERROR(__xludf.DUMMYFUNCTION("""COMPUTED_VALUE"""),"")</f>
        <v/>
      </c>
      <c r="D1856" t="str">
        <f>IFERROR(__xludf.DUMMYFUNCTION("""COMPUTED_VALUE"""),"")</f>
        <v/>
      </c>
      <c r="E1856" t="str">
        <f>IFERROR(__xludf.DUMMYFUNCTION("""COMPUTED_VALUE"""),"")</f>
        <v/>
      </c>
      <c r="F1856" t="str">
        <f>IFERROR(__xludf.DUMMYFUNCTION("""COMPUTED_VALUE"""),"")</f>
        <v/>
      </c>
      <c r="G1856" t="str">
        <f>IFERROR(__xludf.DUMMYFUNCTION("""COMPUTED_VALUE"""),"")</f>
        <v/>
      </c>
      <c r="H1856" t="str">
        <f>IFERROR(__xludf.DUMMYFUNCTION("""COMPUTED_VALUE"""),"")</f>
        <v/>
      </c>
      <c r="I1856" t="str">
        <f>IFERROR(__xludf.DUMMYFUNCTION("""COMPUTED_VALUE"""),"")</f>
        <v/>
      </c>
      <c r="J1856">
        <f>IFERROR(__xludf.DUMMYFUNCTION("""COMPUTED_VALUE"""),0.0)</f>
        <v>0</v>
      </c>
      <c r="L1856" s="250" t="str">
        <f>IFERROR(__xludf.DUMMYFUNCTION("""COMPUTED_VALUE"""),"")</f>
        <v/>
      </c>
      <c r="M1856" s="250" t="str">
        <f>IFERROR(__xludf.DUMMYFUNCTION("""COMPUTED_VALUE"""),"")</f>
        <v/>
      </c>
      <c r="N1856" s="250" t="str">
        <f>IFERROR(__xludf.DUMMYFUNCTION("""COMPUTED_VALUE"""),"")</f>
        <v/>
      </c>
      <c r="O1856" s="250" t="str">
        <f>IFERROR(__xludf.DUMMYFUNCTION("""COMPUTED_VALUE"""),"")</f>
        <v/>
      </c>
      <c r="P1856" s="250" t="str">
        <f>IFERROR(__xludf.DUMMYFUNCTION("""COMPUTED_VALUE"""),"")</f>
        <v/>
      </c>
      <c r="Q1856" s="250" t="str">
        <f>IFERROR(__xludf.DUMMYFUNCTION("""COMPUTED_VALUE"""),"")</f>
        <v/>
      </c>
      <c r="R1856" s="250" t="str">
        <f>IFERROR(__xludf.DUMMYFUNCTION("""COMPUTED_VALUE"""),"")</f>
        <v/>
      </c>
      <c r="U1856" s="250" t="str">
        <f>IFERROR(__xludf.DUMMYFUNCTION("""COMPUTED_VALUE"""),"#N/A")</f>
        <v>#N/A</v>
      </c>
      <c r="V1856" s="250" t="str">
        <f>IFERROR(__xludf.DUMMYFUNCTION("""COMPUTED_VALUE"""),"#N/A")</f>
        <v>#N/A</v>
      </c>
      <c r="W1856" s="250" t="str">
        <f>IFERROR(__xludf.DUMMYFUNCTION("""COMPUTED_VALUE"""),"#N/A")</f>
        <v>#N/A</v>
      </c>
      <c r="X1856" t="b">
        <f t="shared" ref="X1856:Z1856" si="3688">ISBLANK(K1856)</f>
        <v>1</v>
      </c>
      <c r="Y1856" t="b">
        <f t="shared" si="3688"/>
        <v>0</v>
      </c>
      <c r="Z1856" t="b">
        <f t="shared" si="3688"/>
        <v>0</v>
      </c>
      <c r="AA1856">
        <f t="shared" ref="AA1856:AC1856" si="3689">IF(X1856=FALSE,1,0)</f>
        <v>0</v>
      </c>
      <c r="AB1856">
        <f t="shared" si="3689"/>
        <v>1</v>
      </c>
      <c r="AC1856">
        <f t="shared" si="3689"/>
        <v>1</v>
      </c>
      <c r="AD1856">
        <f t="shared" si="6"/>
        <v>2</v>
      </c>
      <c r="AE1856">
        <f t="shared" si="7"/>
        <v>1</v>
      </c>
    </row>
    <row r="1857">
      <c r="B1857" t="str">
        <f>IFERROR(__xludf.DUMMYFUNCTION("""COMPUTED_VALUE"""),"")</f>
        <v/>
      </c>
      <c r="C1857" t="str">
        <f>IFERROR(__xludf.DUMMYFUNCTION("""COMPUTED_VALUE"""),"")</f>
        <v/>
      </c>
      <c r="D1857" t="str">
        <f>IFERROR(__xludf.DUMMYFUNCTION("""COMPUTED_VALUE"""),"")</f>
        <v/>
      </c>
      <c r="E1857" t="str">
        <f>IFERROR(__xludf.DUMMYFUNCTION("""COMPUTED_VALUE"""),"")</f>
        <v/>
      </c>
      <c r="F1857" t="str">
        <f>IFERROR(__xludf.DUMMYFUNCTION("""COMPUTED_VALUE"""),"")</f>
        <v/>
      </c>
      <c r="G1857" t="str">
        <f>IFERROR(__xludf.DUMMYFUNCTION("""COMPUTED_VALUE"""),"")</f>
        <v/>
      </c>
      <c r="H1857" t="str">
        <f>IFERROR(__xludf.DUMMYFUNCTION("""COMPUTED_VALUE"""),"")</f>
        <v/>
      </c>
      <c r="I1857" t="str">
        <f>IFERROR(__xludf.DUMMYFUNCTION("""COMPUTED_VALUE"""),"")</f>
        <v/>
      </c>
      <c r="J1857">
        <f>IFERROR(__xludf.DUMMYFUNCTION("""COMPUTED_VALUE"""),0.0)</f>
        <v>0</v>
      </c>
      <c r="L1857" s="250" t="str">
        <f>IFERROR(__xludf.DUMMYFUNCTION("""COMPUTED_VALUE"""),"")</f>
        <v/>
      </c>
      <c r="M1857" s="250" t="str">
        <f>IFERROR(__xludf.DUMMYFUNCTION("""COMPUTED_VALUE"""),"")</f>
        <v/>
      </c>
      <c r="N1857" s="250" t="str">
        <f>IFERROR(__xludf.DUMMYFUNCTION("""COMPUTED_VALUE"""),"")</f>
        <v/>
      </c>
      <c r="O1857" s="250" t="str">
        <f>IFERROR(__xludf.DUMMYFUNCTION("""COMPUTED_VALUE"""),"")</f>
        <v/>
      </c>
      <c r="P1857" s="250" t="str">
        <f>IFERROR(__xludf.DUMMYFUNCTION("""COMPUTED_VALUE"""),"")</f>
        <v/>
      </c>
      <c r="Q1857" s="250" t="str">
        <f>IFERROR(__xludf.DUMMYFUNCTION("""COMPUTED_VALUE"""),"")</f>
        <v/>
      </c>
      <c r="R1857" s="250" t="str">
        <f>IFERROR(__xludf.DUMMYFUNCTION("""COMPUTED_VALUE"""),"")</f>
        <v/>
      </c>
      <c r="U1857" s="250" t="str">
        <f>IFERROR(__xludf.DUMMYFUNCTION("""COMPUTED_VALUE"""),"#N/A")</f>
        <v>#N/A</v>
      </c>
      <c r="V1857" s="250" t="str">
        <f>IFERROR(__xludf.DUMMYFUNCTION("""COMPUTED_VALUE"""),"#N/A")</f>
        <v>#N/A</v>
      </c>
      <c r="W1857" s="250" t="str">
        <f>IFERROR(__xludf.DUMMYFUNCTION("""COMPUTED_VALUE"""),"#N/A")</f>
        <v>#N/A</v>
      </c>
      <c r="X1857" t="b">
        <f t="shared" ref="X1857:Z1857" si="3690">ISBLANK(K1857)</f>
        <v>1</v>
      </c>
      <c r="Y1857" t="b">
        <f t="shared" si="3690"/>
        <v>0</v>
      </c>
      <c r="Z1857" t="b">
        <f t="shared" si="3690"/>
        <v>0</v>
      </c>
      <c r="AA1857">
        <f t="shared" ref="AA1857:AC1857" si="3691">IF(X1857=FALSE,1,0)</f>
        <v>0</v>
      </c>
      <c r="AB1857">
        <f t="shared" si="3691"/>
        <v>1</v>
      </c>
      <c r="AC1857">
        <f t="shared" si="3691"/>
        <v>1</v>
      </c>
      <c r="AD1857">
        <f t="shared" si="6"/>
        <v>2</v>
      </c>
      <c r="AE1857">
        <f t="shared" si="7"/>
        <v>1</v>
      </c>
    </row>
    <row r="1858">
      <c r="B1858" t="str">
        <f>IFERROR(__xludf.DUMMYFUNCTION("""COMPUTED_VALUE"""),"")</f>
        <v/>
      </c>
      <c r="C1858" t="str">
        <f>IFERROR(__xludf.DUMMYFUNCTION("""COMPUTED_VALUE"""),"")</f>
        <v/>
      </c>
      <c r="D1858" t="str">
        <f>IFERROR(__xludf.DUMMYFUNCTION("""COMPUTED_VALUE"""),"")</f>
        <v/>
      </c>
      <c r="E1858" t="str">
        <f>IFERROR(__xludf.DUMMYFUNCTION("""COMPUTED_VALUE"""),"")</f>
        <v/>
      </c>
      <c r="F1858" t="str">
        <f>IFERROR(__xludf.DUMMYFUNCTION("""COMPUTED_VALUE"""),"")</f>
        <v/>
      </c>
      <c r="G1858" t="str">
        <f>IFERROR(__xludf.DUMMYFUNCTION("""COMPUTED_VALUE"""),"")</f>
        <v/>
      </c>
      <c r="H1858" t="str">
        <f>IFERROR(__xludf.DUMMYFUNCTION("""COMPUTED_VALUE"""),"")</f>
        <v/>
      </c>
      <c r="I1858" t="str">
        <f>IFERROR(__xludf.DUMMYFUNCTION("""COMPUTED_VALUE"""),"")</f>
        <v/>
      </c>
      <c r="J1858">
        <f>IFERROR(__xludf.DUMMYFUNCTION("""COMPUTED_VALUE"""),0.0)</f>
        <v>0</v>
      </c>
      <c r="L1858" s="250" t="str">
        <f>IFERROR(__xludf.DUMMYFUNCTION("""COMPUTED_VALUE"""),"")</f>
        <v/>
      </c>
      <c r="M1858" s="250" t="str">
        <f>IFERROR(__xludf.DUMMYFUNCTION("""COMPUTED_VALUE"""),"")</f>
        <v/>
      </c>
      <c r="N1858" s="250" t="str">
        <f>IFERROR(__xludf.DUMMYFUNCTION("""COMPUTED_VALUE"""),"")</f>
        <v/>
      </c>
      <c r="O1858" s="250" t="str">
        <f>IFERROR(__xludf.DUMMYFUNCTION("""COMPUTED_VALUE"""),"")</f>
        <v/>
      </c>
      <c r="P1858" s="250" t="str">
        <f>IFERROR(__xludf.DUMMYFUNCTION("""COMPUTED_VALUE"""),"")</f>
        <v/>
      </c>
      <c r="Q1858" s="250" t="str">
        <f>IFERROR(__xludf.DUMMYFUNCTION("""COMPUTED_VALUE"""),"")</f>
        <v/>
      </c>
      <c r="R1858" s="250" t="str">
        <f>IFERROR(__xludf.DUMMYFUNCTION("""COMPUTED_VALUE"""),"")</f>
        <v/>
      </c>
      <c r="U1858" s="250" t="str">
        <f>IFERROR(__xludf.DUMMYFUNCTION("""COMPUTED_VALUE"""),"#N/A")</f>
        <v>#N/A</v>
      </c>
      <c r="V1858" s="250" t="str">
        <f>IFERROR(__xludf.DUMMYFUNCTION("""COMPUTED_VALUE"""),"#N/A")</f>
        <v>#N/A</v>
      </c>
      <c r="W1858" s="250" t="str">
        <f>IFERROR(__xludf.DUMMYFUNCTION("""COMPUTED_VALUE"""),"#N/A")</f>
        <v>#N/A</v>
      </c>
      <c r="X1858" t="b">
        <f t="shared" ref="X1858:Z1858" si="3692">ISBLANK(K1858)</f>
        <v>1</v>
      </c>
      <c r="Y1858" t="b">
        <f t="shared" si="3692"/>
        <v>0</v>
      </c>
      <c r="Z1858" t="b">
        <f t="shared" si="3692"/>
        <v>0</v>
      </c>
      <c r="AA1858">
        <f t="shared" ref="AA1858:AC1858" si="3693">IF(X1858=FALSE,1,0)</f>
        <v>0</v>
      </c>
      <c r="AB1858">
        <f t="shared" si="3693"/>
        <v>1</v>
      </c>
      <c r="AC1858">
        <f t="shared" si="3693"/>
        <v>1</v>
      </c>
      <c r="AD1858">
        <f t="shared" si="6"/>
        <v>2</v>
      </c>
      <c r="AE1858">
        <f t="shared" si="7"/>
        <v>1</v>
      </c>
    </row>
    <row r="1859">
      <c r="B1859" t="str">
        <f>IFERROR(__xludf.DUMMYFUNCTION("""COMPUTED_VALUE"""),"")</f>
        <v/>
      </c>
      <c r="C1859" t="str">
        <f>IFERROR(__xludf.DUMMYFUNCTION("""COMPUTED_VALUE"""),"")</f>
        <v/>
      </c>
      <c r="D1859" t="str">
        <f>IFERROR(__xludf.DUMMYFUNCTION("""COMPUTED_VALUE"""),"")</f>
        <v/>
      </c>
      <c r="E1859" t="str">
        <f>IFERROR(__xludf.DUMMYFUNCTION("""COMPUTED_VALUE"""),"")</f>
        <v/>
      </c>
      <c r="F1859" t="str">
        <f>IFERROR(__xludf.DUMMYFUNCTION("""COMPUTED_VALUE"""),"")</f>
        <v/>
      </c>
      <c r="G1859" t="str">
        <f>IFERROR(__xludf.DUMMYFUNCTION("""COMPUTED_VALUE"""),"")</f>
        <v/>
      </c>
      <c r="H1859" t="str">
        <f>IFERROR(__xludf.DUMMYFUNCTION("""COMPUTED_VALUE"""),"")</f>
        <v/>
      </c>
      <c r="I1859" t="str">
        <f>IFERROR(__xludf.DUMMYFUNCTION("""COMPUTED_VALUE"""),"")</f>
        <v/>
      </c>
      <c r="J1859">
        <f>IFERROR(__xludf.DUMMYFUNCTION("""COMPUTED_VALUE"""),0.0)</f>
        <v>0</v>
      </c>
      <c r="L1859" s="250" t="str">
        <f>IFERROR(__xludf.DUMMYFUNCTION("""COMPUTED_VALUE"""),"")</f>
        <v/>
      </c>
      <c r="M1859" s="250" t="str">
        <f>IFERROR(__xludf.DUMMYFUNCTION("""COMPUTED_VALUE"""),"")</f>
        <v/>
      </c>
      <c r="N1859" s="250" t="str">
        <f>IFERROR(__xludf.DUMMYFUNCTION("""COMPUTED_VALUE"""),"")</f>
        <v/>
      </c>
      <c r="O1859" s="250" t="str">
        <f>IFERROR(__xludf.DUMMYFUNCTION("""COMPUTED_VALUE"""),"")</f>
        <v/>
      </c>
      <c r="P1859" s="250" t="str">
        <f>IFERROR(__xludf.DUMMYFUNCTION("""COMPUTED_VALUE"""),"")</f>
        <v/>
      </c>
      <c r="Q1859" s="250" t="str">
        <f>IFERROR(__xludf.DUMMYFUNCTION("""COMPUTED_VALUE"""),"")</f>
        <v/>
      </c>
      <c r="R1859" s="250" t="str">
        <f>IFERROR(__xludf.DUMMYFUNCTION("""COMPUTED_VALUE"""),"")</f>
        <v/>
      </c>
      <c r="U1859" s="250" t="str">
        <f>IFERROR(__xludf.DUMMYFUNCTION("""COMPUTED_VALUE"""),"#N/A")</f>
        <v>#N/A</v>
      </c>
      <c r="V1859" s="250" t="str">
        <f>IFERROR(__xludf.DUMMYFUNCTION("""COMPUTED_VALUE"""),"#N/A")</f>
        <v>#N/A</v>
      </c>
      <c r="W1859" s="250" t="str">
        <f>IFERROR(__xludf.DUMMYFUNCTION("""COMPUTED_VALUE"""),"#N/A")</f>
        <v>#N/A</v>
      </c>
      <c r="X1859" t="b">
        <f t="shared" ref="X1859:Z1859" si="3694">ISBLANK(K1859)</f>
        <v>1</v>
      </c>
      <c r="Y1859" t="b">
        <f t="shared" si="3694"/>
        <v>0</v>
      </c>
      <c r="Z1859" t="b">
        <f t="shared" si="3694"/>
        <v>0</v>
      </c>
      <c r="AA1859">
        <f t="shared" ref="AA1859:AC1859" si="3695">IF(X1859=FALSE,1,0)</f>
        <v>0</v>
      </c>
      <c r="AB1859">
        <f t="shared" si="3695"/>
        <v>1</v>
      </c>
      <c r="AC1859">
        <f t="shared" si="3695"/>
        <v>1</v>
      </c>
      <c r="AD1859">
        <f t="shared" si="6"/>
        <v>2</v>
      </c>
      <c r="AE1859">
        <f t="shared" si="7"/>
        <v>1</v>
      </c>
    </row>
    <row r="1860">
      <c r="B1860" t="str">
        <f>IFERROR(__xludf.DUMMYFUNCTION("""COMPUTED_VALUE"""),"")</f>
        <v/>
      </c>
      <c r="C1860" t="str">
        <f>IFERROR(__xludf.DUMMYFUNCTION("""COMPUTED_VALUE"""),"")</f>
        <v/>
      </c>
      <c r="D1860" t="str">
        <f>IFERROR(__xludf.DUMMYFUNCTION("""COMPUTED_VALUE"""),"")</f>
        <v/>
      </c>
      <c r="E1860" t="str">
        <f>IFERROR(__xludf.DUMMYFUNCTION("""COMPUTED_VALUE"""),"")</f>
        <v/>
      </c>
      <c r="F1860" t="str">
        <f>IFERROR(__xludf.DUMMYFUNCTION("""COMPUTED_VALUE"""),"")</f>
        <v/>
      </c>
      <c r="G1860" t="str">
        <f>IFERROR(__xludf.DUMMYFUNCTION("""COMPUTED_VALUE"""),"")</f>
        <v/>
      </c>
      <c r="H1860" t="str">
        <f>IFERROR(__xludf.DUMMYFUNCTION("""COMPUTED_VALUE"""),"")</f>
        <v/>
      </c>
      <c r="I1860" t="str">
        <f>IFERROR(__xludf.DUMMYFUNCTION("""COMPUTED_VALUE"""),"")</f>
        <v/>
      </c>
      <c r="J1860">
        <f>IFERROR(__xludf.DUMMYFUNCTION("""COMPUTED_VALUE"""),0.0)</f>
        <v>0</v>
      </c>
      <c r="L1860" s="250" t="str">
        <f>IFERROR(__xludf.DUMMYFUNCTION("""COMPUTED_VALUE"""),"")</f>
        <v/>
      </c>
      <c r="M1860" s="250" t="str">
        <f>IFERROR(__xludf.DUMMYFUNCTION("""COMPUTED_VALUE"""),"")</f>
        <v/>
      </c>
      <c r="N1860" s="250" t="str">
        <f>IFERROR(__xludf.DUMMYFUNCTION("""COMPUTED_VALUE"""),"")</f>
        <v/>
      </c>
      <c r="O1860" s="250" t="str">
        <f>IFERROR(__xludf.DUMMYFUNCTION("""COMPUTED_VALUE"""),"")</f>
        <v/>
      </c>
      <c r="P1860" s="250" t="str">
        <f>IFERROR(__xludf.DUMMYFUNCTION("""COMPUTED_VALUE"""),"")</f>
        <v/>
      </c>
      <c r="Q1860" s="250" t="str">
        <f>IFERROR(__xludf.DUMMYFUNCTION("""COMPUTED_VALUE"""),"")</f>
        <v/>
      </c>
      <c r="R1860" s="250" t="str">
        <f>IFERROR(__xludf.DUMMYFUNCTION("""COMPUTED_VALUE"""),"")</f>
        <v/>
      </c>
      <c r="U1860" s="250" t="str">
        <f>IFERROR(__xludf.DUMMYFUNCTION("""COMPUTED_VALUE"""),"#N/A")</f>
        <v>#N/A</v>
      </c>
      <c r="V1860" s="250" t="str">
        <f>IFERROR(__xludf.DUMMYFUNCTION("""COMPUTED_VALUE"""),"#N/A")</f>
        <v>#N/A</v>
      </c>
      <c r="W1860" s="250" t="str">
        <f>IFERROR(__xludf.DUMMYFUNCTION("""COMPUTED_VALUE"""),"#N/A")</f>
        <v>#N/A</v>
      </c>
      <c r="X1860" t="b">
        <f t="shared" ref="X1860:Z1860" si="3696">ISBLANK(K1860)</f>
        <v>1</v>
      </c>
      <c r="Y1860" t="b">
        <f t="shared" si="3696"/>
        <v>0</v>
      </c>
      <c r="Z1860" t="b">
        <f t="shared" si="3696"/>
        <v>0</v>
      </c>
      <c r="AA1860">
        <f t="shared" ref="AA1860:AC1860" si="3697">IF(X1860=FALSE,1,0)</f>
        <v>0</v>
      </c>
      <c r="AB1860">
        <f t="shared" si="3697"/>
        <v>1</v>
      </c>
      <c r="AC1860">
        <f t="shared" si="3697"/>
        <v>1</v>
      </c>
      <c r="AD1860">
        <f t="shared" si="6"/>
        <v>2</v>
      </c>
      <c r="AE1860">
        <f t="shared" si="7"/>
        <v>1</v>
      </c>
    </row>
    <row r="1861">
      <c r="B1861" t="str">
        <f>IFERROR(__xludf.DUMMYFUNCTION("""COMPUTED_VALUE"""),"")</f>
        <v/>
      </c>
      <c r="C1861" t="str">
        <f>IFERROR(__xludf.DUMMYFUNCTION("""COMPUTED_VALUE"""),"")</f>
        <v/>
      </c>
      <c r="D1861" t="str">
        <f>IFERROR(__xludf.DUMMYFUNCTION("""COMPUTED_VALUE"""),"")</f>
        <v/>
      </c>
      <c r="E1861" t="str">
        <f>IFERROR(__xludf.DUMMYFUNCTION("""COMPUTED_VALUE"""),"")</f>
        <v/>
      </c>
      <c r="F1861" t="str">
        <f>IFERROR(__xludf.DUMMYFUNCTION("""COMPUTED_VALUE"""),"")</f>
        <v/>
      </c>
      <c r="G1861" t="str">
        <f>IFERROR(__xludf.DUMMYFUNCTION("""COMPUTED_VALUE"""),"")</f>
        <v/>
      </c>
      <c r="H1861" t="str">
        <f>IFERROR(__xludf.DUMMYFUNCTION("""COMPUTED_VALUE"""),"")</f>
        <v/>
      </c>
      <c r="I1861" t="str">
        <f>IFERROR(__xludf.DUMMYFUNCTION("""COMPUTED_VALUE"""),"")</f>
        <v/>
      </c>
      <c r="J1861">
        <f>IFERROR(__xludf.DUMMYFUNCTION("""COMPUTED_VALUE"""),0.0)</f>
        <v>0</v>
      </c>
      <c r="L1861" s="250" t="str">
        <f>IFERROR(__xludf.DUMMYFUNCTION("""COMPUTED_VALUE"""),"")</f>
        <v/>
      </c>
      <c r="M1861" s="250" t="str">
        <f>IFERROR(__xludf.DUMMYFUNCTION("""COMPUTED_VALUE"""),"")</f>
        <v/>
      </c>
      <c r="N1861" s="250" t="str">
        <f>IFERROR(__xludf.DUMMYFUNCTION("""COMPUTED_VALUE"""),"")</f>
        <v/>
      </c>
      <c r="O1861" s="250" t="str">
        <f>IFERROR(__xludf.DUMMYFUNCTION("""COMPUTED_VALUE"""),"")</f>
        <v/>
      </c>
      <c r="P1861" s="250" t="str">
        <f>IFERROR(__xludf.DUMMYFUNCTION("""COMPUTED_VALUE"""),"")</f>
        <v/>
      </c>
      <c r="Q1861" s="250" t="str">
        <f>IFERROR(__xludf.DUMMYFUNCTION("""COMPUTED_VALUE"""),"")</f>
        <v/>
      </c>
      <c r="R1861" s="250" t="str">
        <f>IFERROR(__xludf.DUMMYFUNCTION("""COMPUTED_VALUE"""),"")</f>
        <v/>
      </c>
      <c r="U1861" s="250" t="str">
        <f>IFERROR(__xludf.DUMMYFUNCTION("""COMPUTED_VALUE"""),"#N/A")</f>
        <v>#N/A</v>
      </c>
      <c r="V1861" s="250" t="str">
        <f>IFERROR(__xludf.DUMMYFUNCTION("""COMPUTED_VALUE"""),"#N/A")</f>
        <v>#N/A</v>
      </c>
      <c r="W1861" s="250" t="str">
        <f>IFERROR(__xludf.DUMMYFUNCTION("""COMPUTED_VALUE"""),"#N/A")</f>
        <v>#N/A</v>
      </c>
      <c r="X1861" t="b">
        <f t="shared" ref="X1861:Z1861" si="3698">ISBLANK(K1861)</f>
        <v>1</v>
      </c>
      <c r="Y1861" t="b">
        <f t="shared" si="3698"/>
        <v>0</v>
      </c>
      <c r="Z1861" t="b">
        <f t="shared" si="3698"/>
        <v>0</v>
      </c>
      <c r="AA1861">
        <f t="shared" ref="AA1861:AC1861" si="3699">IF(X1861=FALSE,1,0)</f>
        <v>0</v>
      </c>
      <c r="AB1861">
        <f t="shared" si="3699"/>
        <v>1</v>
      </c>
      <c r="AC1861">
        <f t="shared" si="3699"/>
        <v>1</v>
      </c>
      <c r="AD1861">
        <f t="shared" si="6"/>
        <v>2</v>
      </c>
      <c r="AE1861">
        <f t="shared" si="7"/>
        <v>1</v>
      </c>
    </row>
    <row r="1862">
      <c r="B1862" t="str">
        <f>IFERROR(__xludf.DUMMYFUNCTION("""COMPUTED_VALUE"""),"")</f>
        <v/>
      </c>
      <c r="C1862" t="str">
        <f>IFERROR(__xludf.DUMMYFUNCTION("""COMPUTED_VALUE"""),"")</f>
        <v/>
      </c>
      <c r="D1862" t="str">
        <f>IFERROR(__xludf.DUMMYFUNCTION("""COMPUTED_VALUE"""),"")</f>
        <v/>
      </c>
      <c r="E1862" t="str">
        <f>IFERROR(__xludf.DUMMYFUNCTION("""COMPUTED_VALUE"""),"")</f>
        <v/>
      </c>
      <c r="F1862" t="str">
        <f>IFERROR(__xludf.DUMMYFUNCTION("""COMPUTED_VALUE"""),"")</f>
        <v/>
      </c>
      <c r="G1862" t="str">
        <f>IFERROR(__xludf.DUMMYFUNCTION("""COMPUTED_VALUE"""),"")</f>
        <v/>
      </c>
      <c r="H1862" t="str">
        <f>IFERROR(__xludf.DUMMYFUNCTION("""COMPUTED_VALUE"""),"")</f>
        <v/>
      </c>
      <c r="I1862" t="str">
        <f>IFERROR(__xludf.DUMMYFUNCTION("""COMPUTED_VALUE"""),"")</f>
        <v/>
      </c>
      <c r="J1862">
        <f>IFERROR(__xludf.DUMMYFUNCTION("""COMPUTED_VALUE"""),0.0)</f>
        <v>0</v>
      </c>
      <c r="L1862" s="250" t="str">
        <f>IFERROR(__xludf.DUMMYFUNCTION("""COMPUTED_VALUE"""),"")</f>
        <v/>
      </c>
      <c r="M1862" s="250" t="str">
        <f>IFERROR(__xludf.DUMMYFUNCTION("""COMPUTED_VALUE"""),"")</f>
        <v/>
      </c>
      <c r="N1862" s="250" t="str">
        <f>IFERROR(__xludf.DUMMYFUNCTION("""COMPUTED_VALUE"""),"")</f>
        <v/>
      </c>
      <c r="O1862" s="250" t="str">
        <f>IFERROR(__xludf.DUMMYFUNCTION("""COMPUTED_VALUE"""),"")</f>
        <v/>
      </c>
      <c r="P1862" s="250" t="str">
        <f>IFERROR(__xludf.DUMMYFUNCTION("""COMPUTED_VALUE"""),"")</f>
        <v/>
      </c>
      <c r="Q1862" s="250" t="str">
        <f>IFERROR(__xludf.DUMMYFUNCTION("""COMPUTED_VALUE"""),"")</f>
        <v/>
      </c>
      <c r="R1862" s="250" t="str">
        <f>IFERROR(__xludf.DUMMYFUNCTION("""COMPUTED_VALUE"""),"")</f>
        <v/>
      </c>
      <c r="U1862" s="250" t="str">
        <f>IFERROR(__xludf.DUMMYFUNCTION("""COMPUTED_VALUE"""),"#N/A")</f>
        <v>#N/A</v>
      </c>
      <c r="V1862" s="250" t="str">
        <f>IFERROR(__xludf.DUMMYFUNCTION("""COMPUTED_VALUE"""),"#N/A")</f>
        <v>#N/A</v>
      </c>
      <c r="W1862" s="250" t="str">
        <f>IFERROR(__xludf.DUMMYFUNCTION("""COMPUTED_VALUE"""),"#N/A")</f>
        <v>#N/A</v>
      </c>
      <c r="X1862" t="b">
        <f t="shared" ref="X1862:Z1862" si="3700">ISBLANK(K1862)</f>
        <v>1</v>
      </c>
      <c r="Y1862" t="b">
        <f t="shared" si="3700"/>
        <v>0</v>
      </c>
      <c r="Z1862" t="b">
        <f t="shared" si="3700"/>
        <v>0</v>
      </c>
      <c r="AA1862">
        <f t="shared" ref="AA1862:AC1862" si="3701">IF(X1862=FALSE,1,0)</f>
        <v>0</v>
      </c>
      <c r="AB1862">
        <f t="shared" si="3701"/>
        <v>1</v>
      </c>
      <c r="AC1862">
        <f t="shared" si="3701"/>
        <v>1</v>
      </c>
      <c r="AD1862">
        <f t="shared" si="6"/>
        <v>2</v>
      </c>
      <c r="AE1862">
        <f t="shared" si="7"/>
        <v>1</v>
      </c>
    </row>
    <row r="1863">
      <c r="B1863" t="str">
        <f>IFERROR(__xludf.DUMMYFUNCTION("""COMPUTED_VALUE"""),"")</f>
        <v/>
      </c>
      <c r="C1863" t="str">
        <f>IFERROR(__xludf.DUMMYFUNCTION("""COMPUTED_VALUE"""),"")</f>
        <v/>
      </c>
      <c r="D1863" t="str">
        <f>IFERROR(__xludf.DUMMYFUNCTION("""COMPUTED_VALUE"""),"")</f>
        <v/>
      </c>
      <c r="E1863" t="str">
        <f>IFERROR(__xludf.DUMMYFUNCTION("""COMPUTED_VALUE"""),"")</f>
        <v/>
      </c>
      <c r="F1863" t="str">
        <f>IFERROR(__xludf.DUMMYFUNCTION("""COMPUTED_VALUE"""),"")</f>
        <v/>
      </c>
      <c r="G1863" t="str">
        <f>IFERROR(__xludf.DUMMYFUNCTION("""COMPUTED_VALUE"""),"")</f>
        <v/>
      </c>
      <c r="H1863" t="str">
        <f>IFERROR(__xludf.DUMMYFUNCTION("""COMPUTED_VALUE"""),"")</f>
        <v/>
      </c>
      <c r="I1863" t="str">
        <f>IFERROR(__xludf.DUMMYFUNCTION("""COMPUTED_VALUE"""),"")</f>
        <v/>
      </c>
      <c r="J1863">
        <f>IFERROR(__xludf.DUMMYFUNCTION("""COMPUTED_VALUE"""),0.0)</f>
        <v>0</v>
      </c>
      <c r="L1863" s="250" t="str">
        <f>IFERROR(__xludf.DUMMYFUNCTION("""COMPUTED_VALUE"""),"")</f>
        <v/>
      </c>
      <c r="M1863" s="250" t="str">
        <f>IFERROR(__xludf.DUMMYFUNCTION("""COMPUTED_VALUE"""),"")</f>
        <v/>
      </c>
      <c r="N1863" s="250" t="str">
        <f>IFERROR(__xludf.DUMMYFUNCTION("""COMPUTED_VALUE"""),"")</f>
        <v/>
      </c>
      <c r="O1863" s="250" t="str">
        <f>IFERROR(__xludf.DUMMYFUNCTION("""COMPUTED_VALUE"""),"")</f>
        <v/>
      </c>
      <c r="P1863" s="250" t="str">
        <f>IFERROR(__xludf.DUMMYFUNCTION("""COMPUTED_VALUE"""),"")</f>
        <v/>
      </c>
      <c r="Q1863" s="250" t="str">
        <f>IFERROR(__xludf.DUMMYFUNCTION("""COMPUTED_VALUE"""),"")</f>
        <v/>
      </c>
      <c r="R1863" s="250" t="str">
        <f>IFERROR(__xludf.DUMMYFUNCTION("""COMPUTED_VALUE"""),"")</f>
        <v/>
      </c>
      <c r="U1863" s="250" t="str">
        <f>IFERROR(__xludf.DUMMYFUNCTION("""COMPUTED_VALUE"""),"#N/A")</f>
        <v>#N/A</v>
      </c>
      <c r="V1863" s="250" t="str">
        <f>IFERROR(__xludf.DUMMYFUNCTION("""COMPUTED_VALUE"""),"#N/A")</f>
        <v>#N/A</v>
      </c>
      <c r="W1863" s="250" t="str">
        <f>IFERROR(__xludf.DUMMYFUNCTION("""COMPUTED_VALUE"""),"#N/A")</f>
        <v>#N/A</v>
      </c>
      <c r="X1863" t="b">
        <f t="shared" ref="X1863:Z1863" si="3702">ISBLANK(K1863)</f>
        <v>1</v>
      </c>
      <c r="Y1863" t="b">
        <f t="shared" si="3702"/>
        <v>0</v>
      </c>
      <c r="Z1863" t="b">
        <f t="shared" si="3702"/>
        <v>0</v>
      </c>
      <c r="AA1863">
        <f t="shared" ref="AA1863:AC1863" si="3703">IF(X1863=FALSE,1,0)</f>
        <v>0</v>
      </c>
      <c r="AB1863">
        <f t="shared" si="3703"/>
        <v>1</v>
      </c>
      <c r="AC1863">
        <f t="shared" si="3703"/>
        <v>1</v>
      </c>
      <c r="AD1863">
        <f t="shared" si="6"/>
        <v>2</v>
      </c>
      <c r="AE1863">
        <f t="shared" si="7"/>
        <v>1</v>
      </c>
    </row>
    <row r="1864">
      <c r="B1864" t="str">
        <f>IFERROR(__xludf.DUMMYFUNCTION("""COMPUTED_VALUE"""),"")</f>
        <v/>
      </c>
      <c r="C1864" t="str">
        <f>IFERROR(__xludf.DUMMYFUNCTION("""COMPUTED_VALUE"""),"")</f>
        <v/>
      </c>
      <c r="D1864" t="str">
        <f>IFERROR(__xludf.DUMMYFUNCTION("""COMPUTED_VALUE"""),"")</f>
        <v/>
      </c>
      <c r="E1864" t="str">
        <f>IFERROR(__xludf.DUMMYFUNCTION("""COMPUTED_VALUE"""),"")</f>
        <v/>
      </c>
      <c r="F1864" t="str">
        <f>IFERROR(__xludf.DUMMYFUNCTION("""COMPUTED_VALUE"""),"")</f>
        <v/>
      </c>
      <c r="G1864" t="str">
        <f>IFERROR(__xludf.DUMMYFUNCTION("""COMPUTED_VALUE"""),"")</f>
        <v/>
      </c>
      <c r="H1864" t="str">
        <f>IFERROR(__xludf.DUMMYFUNCTION("""COMPUTED_VALUE"""),"")</f>
        <v/>
      </c>
      <c r="I1864" t="str">
        <f>IFERROR(__xludf.DUMMYFUNCTION("""COMPUTED_VALUE"""),"")</f>
        <v/>
      </c>
      <c r="J1864">
        <f>IFERROR(__xludf.DUMMYFUNCTION("""COMPUTED_VALUE"""),0.0)</f>
        <v>0</v>
      </c>
      <c r="L1864" s="250" t="str">
        <f>IFERROR(__xludf.DUMMYFUNCTION("""COMPUTED_VALUE"""),"")</f>
        <v/>
      </c>
      <c r="M1864" s="250" t="str">
        <f>IFERROR(__xludf.DUMMYFUNCTION("""COMPUTED_VALUE"""),"")</f>
        <v/>
      </c>
      <c r="N1864" s="250" t="str">
        <f>IFERROR(__xludf.DUMMYFUNCTION("""COMPUTED_VALUE"""),"")</f>
        <v/>
      </c>
      <c r="O1864" s="250" t="str">
        <f>IFERROR(__xludf.DUMMYFUNCTION("""COMPUTED_VALUE"""),"")</f>
        <v/>
      </c>
      <c r="P1864" s="250" t="str">
        <f>IFERROR(__xludf.DUMMYFUNCTION("""COMPUTED_VALUE"""),"")</f>
        <v/>
      </c>
      <c r="Q1864" s="250" t="str">
        <f>IFERROR(__xludf.DUMMYFUNCTION("""COMPUTED_VALUE"""),"")</f>
        <v/>
      </c>
      <c r="R1864" s="250" t="str">
        <f>IFERROR(__xludf.DUMMYFUNCTION("""COMPUTED_VALUE"""),"")</f>
        <v/>
      </c>
      <c r="U1864" s="250" t="str">
        <f>IFERROR(__xludf.DUMMYFUNCTION("""COMPUTED_VALUE"""),"#N/A")</f>
        <v>#N/A</v>
      </c>
      <c r="V1864" s="250" t="str">
        <f>IFERROR(__xludf.DUMMYFUNCTION("""COMPUTED_VALUE"""),"#N/A")</f>
        <v>#N/A</v>
      </c>
      <c r="W1864" s="250" t="str">
        <f>IFERROR(__xludf.DUMMYFUNCTION("""COMPUTED_VALUE"""),"#N/A")</f>
        <v>#N/A</v>
      </c>
      <c r="X1864" t="b">
        <f t="shared" ref="X1864:Z1864" si="3704">ISBLANK(K1864)</f>
        <v>1</v>
      </c>
      <c r="Y1864" t="b">
        <f t="shared" si="3704"/>
        <v>0</v>
      </c>
      <c r="Z1864" t="b">
        <f t="shared" si="3704"/>
        <v>0</v>
      </c>
      <c r="AA1864">
        <f t="shared" ref="AA1864:AC1864" si="3705">IF(X1864=FALSE,1,0)</f>
        <v>0</v>
      </c>
      <c r="AB1864">
        <f t="shared" si="3705"/>
        <v>1</v>
      </c>
      <c r="AC1864">
        <f t="shared" si="3705"/>
        <v>1</v>
      </c>
      <c r="AD1864">
        <f t="shared" si="6"/>
        <v>2</v>
      </c>
      <c r="AE1864">
        <f t="shared" si="7"/>
        <v>1</v>
      </c>
    </row>
    <row r="1865">
      <c r="B1865" t="str">
        <f>IFERROR(__xludf.DUMMYFUNCTION("""COMPUTED_VALUE"""),"")</f>
        <v/>
      </c>
      <c r="C1865" t="str">
        <f>IFERROR(__xludf.DUMMYFUNCTION("""COMPUTED_VALUE"""),"")</f>
        <v/>
      </c>
      <c r="D1865" t="str">
        <f>IFERROR(__xludf.DUMMYFUNCTION("""COMPUTED_VALUE"""),"")</f>
        <v/>
      </c>
      <c r="E1865" t="str">
        <f>IFERROR(__xludf.DUMMYFUNCTION("""COMPUTED_VALUE"""),"")</f>
        <v/>
      </c>
      <c r="F1865" t="str">
        <f>IFERROR(__xludf.DUMMYFUNCTION("""COMPUTED_VALUE"""),"")</f>
        <v/>
      </c>
      <c r="G1865" t="str">
        <f>IFERROR(__xludf.DUMMYFUNCTION("""COMPUTED_VALUE"""),"")</f>
        <v/>
      </c>
      <c r="H1865" t="str">
        <f>IFERROR(__xludf.DUMMYFUNCTION("""COMPUTED_VALUE"""),"")</f>
        <v/>
      </c>
      <c r="I1865" t="str">
        <f>IFERROR(__xludf.DUMMYFUNCTION("""COMPUTED_VALUE"""),"")</f>
        <v/>
      </c>
      <c r="J1865">
        <f>IFERROR(__xludf.DUMMYFUNCTION("""COMPUTED_VALUE"""),0.0)</f>
        <v>0</v>
      </c>
      <c r="L1865" s="250" t="str">
        <f>IFERROR(__xludf.DUMMYFUNCTION("""COMPUTED_VALUE"""),"")</f>
        <v/>
      </c>
      <c r="M1865" s="250" t="str">
        <f>IFERROR(__xludf.DUMMYFUNCTION("""COMPUTED_VALUE"""),"")</f>
        <v/>
      </c>
      <c r="N1865" s="250" t="str">
        <f>IFERROR(__xludf.DUMMYFUNCTION("""COMPUTED_VALUE"""),"")</f>
        <v/>
      </c>
      <c r="O1865" s="250" t="str">
        <f>IFERROR(__xludf.DUMMYFUNCTION("""COMPUTED_VALUE"""),"")</f>
        <v/>
      </c>
      <c r="P1865" s="250" t="str">
        <f>IFERROR(__xludf.DUMMYFUNCTION("""COMPUTED_VALUE"""),"")</f>
        <v/>
      </c>
      <c r="Q1865" s="250" t="str">
        <f>IFERROR(__xludf.DUMMYFUNCTION("""COMPUTED_VALUE"""),"")</f>
        <v/>
      </c>
      <c r="R1865" s="250" t="str">
        <f>IFERROR(__xludf.DUMMYFUNCTION("""COMPUTED_VALUE"""),"")</f>
        <v/>
      </c>
      <c r="U1865" s="250" t="str">
        <f>IFERROR(__xludf.DUMMYFUNCTION("""COMPUTED_VALUE"""),"#N/A")</f>
        <v>#N/A</v>
      </c>
      <c r="V1865" s="250" t="str">
        <f>IFERROR(__xludf.DUMMYFUNCTION("""COMPUTED_VALUE"""),"#N/A")</f>
        <v>#N/A</v>
      </c>
      <c r="W1865" s="250" t="str">
        <f>IFERROR(__xludf.DUMMYFUNCTION("""COMPUTED_VALUE"""),"#N/A")</f>
        <v>#N/A</v>
      </c>
      <c r="X1865" t="b">
        <f t="shared" ref="X1865:Z1865" si="3706">ISBLANK(K1865)</f>
        <v>1</v>
      </c>
      <c r="Y1865" t="b">
        <f t="shared" si="3706"/>
        <v>0</v>
      </c>
      <c r="Z1865" t="b">
        <f t="shared" si="3706"/>
        <v>0</v>
      </c>
      <c r="AA1865">
        <f t="shared" ref="AA1865:AC1865" si="3707">IF(X1865=FALSE,1,0)</f>
        <v>0</v>
      </c>
      <c r="AB1865">
        <f t="shared" si="3707"/>
        <v>1</v>
      </c>
      <c r="AC1865">
        <f t="shared" si="3707"/>
        <v>1</v>
      </c>
      <c r="AD1865">
        <f t="shared" si="6"/>
        <v>2</v>
      </c>
      <c r="AE1865">
        <f t="shared" si="7"/>
        <v>1</v>
      </c>
    </row>
    <row r="1866">
      <c r="B1866" t="str">
        <f>IFERROR(__xludf.DUMMYFUNCTION("""COMPUTED_VALUE"""),"")</f>
        <v/>
      </c>
      <c r="C1866" t="str">
        <f>IFERROR(__xludf.DUMMYFUNCTION("""COMPUTED_VALUE"""),"")</f>
        <v/>
      </c>
      <c r="D1866" t="str">
        <f>IFERROR(__xludf.DUMMYFUNCTION("""COMPUTED_VALUE"""),"")</f>
        <v/>
      </c>
      <c r="E1866" t="str">
        <f>IFERROR(__xludf.DUMMYFUNCTION("""COMPUTED_VALUE"""),"")</f>
        <v/>
      </c>
      <c r="F1866" t="str">
        <f>IFERROR(__xludf.DUMMYFUNCTION("""COMPUTED_VALUE"""),"")</f>
        <v/>
      </c>
      <c r="G1866" t="str">
        <f>IFERROR(__xludf.DUMMYFUNCTION("""COMPUTED_VALUE"""),"")</f>
        <v/>
      </c>
      <c r="H1866" t="str">
        <f>IFERROR(__xludf.DUMMYFUNCTION("""COMPUTED_VALUE"""),"")</f>
        <v/>
      </c>
      <c r="I1866" t="str">
        <f>IFERROR(__xludf.DUMMYFUNCTION("""COMPUTED_VALUE"""),"")</f>
        <v/>
      </c>
      <c r="J1866">
        <f>IFERROR(__xludf.DUMMYFUNCTION("""COMPUTED_VALUE"""),0.0)</f>
        <v>0</v>
      </c>
      <c r="L1866" s="250" t="str">
        <f>IFERROR(__xludf.DUMMYFUNCTION("""COMPUTED_VALUE"""),"")</f>
        <v/>
      </c>
      <c r="M1866" s="250" t="str">
        <f>IFERROR(__xludf.DUMMYFUNCTION("""COMPUTED_VALUE"""),"")</f>
        <v/>
      </c>
      <c r="N1866" s="250" t="str">
        <f>IFERROR(__xludf.DUMMYFUNCTION("""COMPUTED_VALUE"""),"")</f>
        <v/>
      </c>
      <c r="O1866" s="250" t="str">
        <f>IFERROR(__xludf.DUMMYFUNCTION("""COMPUTED_VALUE"""),"")</f>
        <v/>
      </c>
      <c r="P1866" s="250" t="str">
        <f>IFERROR(__xludf.DUMMYFUNCTION("""COMPUTED_VALUE"""),"")</f>
        <v/>
      </c>
      <c r="Q1866" s="250" t="str">
        <f>IFERROR(__xludf.DUMMYFUNCTION("""COMPUTED_VALUE"""),"")</f>
        <v/>
      </c>
      <c r="R1866" s="250" t="str">
        <f>IFERROR(__xludf.DUMMYFUNCTION("""COMPUTED_VALUE"""),"")</f>
        <v/>
      </c>
      <c r="U1866" s="250" t="str">
        <f>IFERROR(__xludf.DUMMYFUNCTION("""COMPUTED_VALUE"""),"#N/A")</f>
        <v>#N/A</v>
      </c>
      <c r="V1866" s="250" t="str">
        <f>IFERROR(__xludf.DUMMYFUNCTION("""COMPUTED_VALUE"""),"#N/A")</f>
        <v>#N/A</v>
      </c>
      <c r="W1866" s="250" t="str">
        <f>IFERROR(__xludf.DUMMYFUNCTION("""COMPUTED_VALUE"""),"#N/A")</f>
        <v>#N/A</v>
      </c>
      <c r="X1866" t="b">
        <f t="shared" ref="X1866:Z1866" si="3708">ISBLANK(K1866)</f>
        <v>1</v>
      </c>
      <c r="Y1866" t="b">
        <f t="shared" si="3708"/>
        <v>0</v>
      </c>
      <c r="Z1866" t="b">
        <f t="shared" si="3708"/>
        <v>0</v>
      </c>
      <c r="AA1866">
        <f t="shared" ref="AA1866:AC1866" si="3709">IF(X1866=FALSE,1,0)</f>
        <v>0</v>
      </c>
      <c r="AB1866">
        <f t="shared" si="3709"/>
        <v>1</v>
      </c>
      <c r="AC1866">
        <f t="shared" si="3709"/>
        <v>1</v>
      </c>
      <c r="AD1866">
        <f t="shared" si="6"/>
        <v>2</v>
      </c>
      <c r="AE1866">
        <f t="shared" si="7"/>
        <v>1</v>
      </c>
    </row>
    <row r="1867">
      <c r="B1867" t="str">
        <f>IFERROR(__xludf.DUMMYFUNCTION("""COMPUTED_VALUE"""),"")</f>
        <v/>
      </c>
      <c r="C1867" t="str">
        <f>IFERROR(__xludf.DUMMYFUNCTION("""COMPUTED_VALUE"""),"")</f>
        <v/>
      </c>
      <c r="D1867" t="str">
        <f>IFERROR(__xludf.DUMMYFUNCTION("""COMPUTED_VALUE"""),"")</f>
        <v/>
      </c>
      <c r="E1867" t="str">
        <f>IFERROR(__xludf.DUMMYFUNCTION("""COMPUTED_VALUE"""),"")</f>
        <v/>
      </c>
      <c r="F1867" t="str">
        <f>IFERROR(__xludf.DUMMYFUNCTION("""COMPUTED_VALUE"""),"")</f>
        <v/>
      </c>
      <c r="G1867" t="str">
        <f>IFERROR(__xludf.DUMMYFUNCTION("""COMPUTED_VALUE"""),"")</f>
        <v/>
      </c>
      <c r="H1867" t="str">
        <f>IFERROR(__xludf.DUMMYFUNCTION("""COMPUTED_VALUE"""),"")</f>
        <v/>
      </c>
      <c r="I1867" t="str">
        <f>IFERROR(__xludf.DUMMYFUNCTION("""COMPUTED_VALUE"""),"")</f>
        <v/>
      </c>
      <c r="J1867">
        <f>IFERROR(__xludf.DUMMYFUNCTION("""COMPUTED_VALUE"""),0.0)</f>
        <v>0</v>
      </c>
      <c r="L1867" s="250" t="str">
        <f>IFERROR(__xludf.DUMMYFUNCTION("""COMPUTED_VALUE"""),"")</f>
        <v/>
      </c>
      <c r="M1867" s="250" t="str">
        <f>IFERROR(__xludf.DUMMYFUNCTION("""COMPUTED_VALUE"""),"")</f>
        <v/>
      </c>
      <c r="N1867" s="250" t="str">
        <f>IFERROR(__xludf.DUMMYFUNCTION("""COMPUTED_VALUE"""),"")</f>
        <v/>
      </c>
      <c r="O1867" s="250" t="str">
        <f>IFERROR(__xludf.DUMMYFUNCTION("""COMPUTED_VALUE"""),"")</f>
        <v/>
      </c>
      <c r="P1867" s="250" t="str">
        <f>IFERROR(__xludf.DUMMYFUNCTION("""COMPUTED_VALUE"""),"")</f>
        <v/>
      </c>
      <c r="Q1867" s="250" t="str">
        <f>IFERROR(__xludf.DUMMYFUNCTION("""COMPUTED_VALUE"""),"")</f>
        <v/>
      </c>
      <c r="R1867" s="250" t="str">
        <f>IFERROR(__xludf.DUMMYFUNCTION("""COMPUTED_VALUE"""),"")</f>
        <v/>
      </c>
      <c r="U1867" s="250" t="str">
        <f>IFERROR(__xludf.DUMMYFUNCTION("""COMPUTED_VALUE"""),"#N/A")</f>
        <v>#N/A</v>
      </c>
      <c r="V1867" s="250" t="str">
        <f>IFERROR(__xludf.DUMMYFUNCTION("""COMPUTED_VALUE"""),"#N/A")</f>
        <v>#N/A</v>
      </c>
      <c r="W1867" s="250" t="str">
        <f>IFERROR(__xludf.DUMMYFUNCTION("""COMPUTED_VALUE"""),"#N/A")</f>
        <v>#N/A</v>
      </c>
      <c r="X1867" t="b">
        <f t="shared" ref="X1867:Z1867" si="3710">ISBLANK(K1867)</f>
        <v>1</v>
      </c>
      <c r="Y1867" t="b">
        <f t="shared" si="3710"/>
        <v>0</v>
      </c>
      <c r="Z1867" t="b">
        <f t="shared" si="3710"/>
        <v>0</v>
      </c>
      <c r="AA1867">
        <f t="shared" ref="AA1867:AC1867" si="3711">IF(X1867=FALSE,1,0)</f>
        <v>0</v>
      </c>
      <c r="AB1867">
        <f t="shared" si="3711"/>
        <v>1</v>
      </c>
      <c r="AC1867">
        <f t="shared" si="3711"/>
        <v>1</v>
      </c>
      <c r="AD1867">
        <f t="shared" si="6"/>
        <v>2</v>
      </c>
      <c r="AE1867">
        <f t="shared" si="7"/>
        <v>1</v>
      </c>
    </row>
    <row r="1868">
      <c r="B1868" t="str">
        <f>IFERROR(__xludf.DUMMYFUNCTION("""COMPUTED_VALUE"""),"")</f>
        <v/>
      </c>
      <c r="C1868" t="str">
        <f>IFERROR(__xludf.DUMMYFUNCTION("""COMPUTED_VALUE"""),"")</f>
        <v/>
      </c>
      <c r="D1868" t="str">
        <f>IFERROR(__xludf.DUMMYFUNCTION("""COMPUTED_VALUE"""),"")</f>
        <v/>
      </c>
      <c r="E1868" t="str">
        <f>IFERROR(__xludf.DUMMYFUNCTION("""COMPUTED_VALUE"""),"")</f>
        <v/>
      </c>
      <c r="F1868" t="str">
        <f>IFERROR(__xludf.DUMMYFUNCTION("""COMPUTED_VALUE"""),"")</f>
        <v/>
      </c>
      <c r="G1868" t="str">
        <f>IFERROR(__xludf.DUMMYFUNCTION("""COMPUTED_VALUE"""),"")</f>
        <v/>
      </c>
      <c r="H1868" t="str">
        <f>IFERROR(__xludf.DUMMYFUNCTION("""COMPUTED_VALUE"""),"")</f>
        <v/>
      </c>
      <c r="I1868" t="str">
        <f>IFERROR(__xludf.DUMMYFUNCTION("""COMPUTED_VALUE"""),"")</f>
        <v/>
      </c>
      <c r="J1868">
        <f>IFERROR(__xludf.DUMMYFUNCTION("""COMPUTED_VALUE"""),0.0)</f>
        <v>0</v>
      </c>
      <c r="L1868" s="250" t="str">
        <f>IFERROR(__xludf.DUMMYFUNCTION("""COMPUTED_VALUE"""),"")</f>
        <v/>
      </c>
      <c r="M1868" s="250" t="str">
        <f>IFERROR(__xludf.DUMMYFUNCTION("""COMPUTED_VALUE"""),"")</f>
        <v/>
      </c>
      <c r="N1868" s="250" t="str">
        <f>IFERROR(__xludf.DUMMYFUNCTION("""COMPUTED_VALUE"""),"")</f>
        <v/>
      </c>
      <c r="O1868" s="250" t="str">
        <f>IFERROR(__xludf.DUMMYFUNCTION("""COMPUTED_VALUE"""),"")</f>
        <v/>
      </c>
      <c r="P1868" s="250" t="str">
        <f>IFERROR(__xludf.DUMMYFUNCTION("""COMPUTED_VALUE"""),"")</f>
        <v/>
      </c>
      <c r="Q1868" s="250" t="str">
        <f>IFERROR(__xludf.DUMMYFUNCTION("""COMPUTED_VALUE"""),"")</f>
        <v/>
      </c>
      <c r="R1868" s="250" t="str">
        <f>IFERROR(__xludf.DUMMYFUNCTION("""COMPUTED_VALUE"""),"")</f>
        <v/>
      </c>
      <c r="U1868" s="250" t="str">
        <f>IFERROR(__xludf.DUMMYFUNCTION("""COMPUTED_VALUE"""),"#N/A")</f>
        <v>#N/A</v>
      </c>
      <c r="V1868" s="250" t="str">
        <f>IFERROR(__xludf.DUMMYFUNCTION("""COMPUTED_VALUE"""),"#N/A")</f>
        <v>#N/A</v>
      </c>
      <c r="W1868" s="250" t="str">
        <f>IFERROR(__xludf.DUMMYFUNCTION("""COMPUTED_VALUE"""),"#N/A")</f>
        <v>#N/A</v>
      </c>
      <c r="X1868" t="b">
        <f t="shared" ref="X1868:Z1868" si="3712">ISBLANK(K1868)</f>
        <v>1</v>
      </c>
      <c r="Y1868" t="b">
        <f t="shared" si="3712"/>
        <v>0</v>
      </c>
      <c r="Z1868" t="b">
        <f t="shared" si="3712"/>
        <v>0</v>
      </c>
      <c r="AA1868">
        <f t="shared" ref="AA1868:AC1868" si="3713">IF(X1868=FALSE,1,0)</f>
        <v>0</v>
      </c>
      <c r="AB1868">
        <f t="shared" si="3713"/>
        <v>1</v>
      </c>
      <c r="AC1868">
        <f t="shared" si="3713"/>
        <v>1</v>
      </c>
      <c r="AD1868">
        <f t="shared" si="6"/>
        <v>2</v>
      </c>
      <c r="AE1868">
        <f t="shared" si="7"/>
        <v>1</v>
      </c>
    </row>
    <row r="1869">
      <c r="B1869" t="str">
        <f>IFERROR(__xludf.DUMMYFUNCTION("""COMPUTED_VALUE"""),"")</f>
        <v/>
      </c>
      <c r="C1869" t="str">
        <f>IFERROR(__xludf.DUMMYFUNCTION("""COMPUTED_VALUE"""),"")</f>
        <v/>
      </c>
      <c r="D1869" t="str">
        <f>IFERROR(__xludf.DUMMYFUNCTION("""COMPUTED_VALUE"""),"")</f>
        <v/>
      </c>
      <c r="E1869" t="str">
        <f>IFERROR(__xludf.DUMMYFUNCTION("""COMPUTED_VALUE"""),"")</f>
        <v/>
      </c>
      <c r="F1869" t="str">
        <f>IFERROR(__xludf.DUMMYFUNCTION("""COMPUTED_VALUE"""),"")</f>
        <v/>
      </c>
      <c r="G1869" t="str">
        <f>IFERROR(__xludf.DUMMYFUNCTION("""COMPUTED_VALUE"""),"")</f>
        <v/>
      </c>
      <c r="H1869" t="str">
        <f>IFERROR(__xludf.DUMMYFUNCTION("""COMPUTED_VALUE"""),"")</f>
        <v/>
      </c>
      <c r="I1869" t="str">
        <f>IFERROR(__xludf.DUMMYFUNCTION("""COMPUTED_VALUE"""),"")</f>
        <v/>
      </c>
      <c r="J1869">
        <f>IFERROR(__xludf.DUMMYFUNCTION("""COMPUTED_VALUE"""),0.0)</f>
        <v>0</v>
      </c>
      <c r="L1869" s="250" t="str">
        <f>IFERROR(__xludf.DUMMYFUNCTION("""COMPUTED_VALUE"""),"")</f>
        <v/>
      </c>
      <c r="M1869" s="250" t="str">
        <f>IFERROR(__xludf.DUMMYFUNCTION("""COMPUTED_VALUE"""),"")</f>
        <v/>
      </c>
      <c r="N1869" s="250" t="str">
        <f>IFERROR(__xludf.DUMMYFUNCTION("""COMPUTED_VALUE"""),"")</f>
        <v/>
      </c>
      <c r="O1869" s="250" t="str">
        <f>IFERROR(__xludf.DUMMYFUNCTION("""COMPUTED_VALUE"""),"")</f>
        <v/>
      </c>
      <c r="P1869" s="250" t="str">
        <f>IFERROR(__xludf.DUMMYFUNCTION("""COMPUTED_VALUE"""),"")</f>
        <v/>
      </c>
      <c r="Q1869" s="250" t="str">
        <f>IFERROR(__xludf.DUMMYFUNCTION("""COMPUTED_VALUE"""),"")</f>
        <v/>
      </c>
      <c r="R1869" s="250" t="str">
        <f>IFERROR(__xludf.DUMMYFUNCTION("""COMPUTED_VALUE"""),"")</f>
        <v/>
      </c>
      <c r="U1869" s="250" t="str">
        <f>IFERROR(__xludf.DUMMYFUNCTION("""COMPUTED_VALUE"""),"#N/A")</f>
        <v>#N/A</v>
      </c>
      <c r="V1869" s="250" t="str">
        <f>IFERROR(__xludf.DUMMYFUNCTION("""COMPUTED_VALUE"""),"#N/A")</f>
        <v>#N/A</v>
      </c>
      <c r="W1869" s="250" t="str">
        <f>IFERROR(__xludf.DUMMYFUNCTION("""COMPUTED_VALUE"""),"#N/A")</f>
        <v>#N/A</v>
      </c>
      <c r="X1869" t="b">
        <f t="shared" ref="X1869:Z1869" si="3714">ISBLANK(K1869)</f>
        <v>1</v>
      </c>
      <c r="Y1869" t="b">
        <f t="shared" si="3714"/>
        <v>0</v>
      </c>
      <c r="Z1869" t="b">
        <f t="shared" si="3714"/>
        <v>0</v>
      </c>
      <c r="AA1869">
        <f t="shared" ref="AA1869:AC1869" si="3715">IF(X1869=FALSE,1,0)</f>
        <v>0</v>
      </c>
      <c r="AB1869">
        <f t="shared" si="3715"/>
        <v>1</v>
      </c>
      <c r="AC1869">
        <f t="shared" si="3715"/>
        <v>1</v>
      </c>
      <c r="AD1869">
        <f t="shared" si="6"/>
        <v>2</v>
      </c>
      <c r="AE1869">
        <f t="shared" si="7"/>
        <v>1</v>
      </c>
    </row>
    <row r="1870">
      <c r="B1870" t="str">
        <f>IFERROR(__xludf.DUMMYFUNCTION("""COMPUTED_VALUE"""),"")</f>
        <v/>
      </c>
      <c r="C1870" t="str">
        <f>IFERROR(__xludf.DUMMYFUNCTION("""COMPUTED_VALUE"""),"")</f>
        <v/>
      </c>
      <c r="D1870" t="str">
        <f>IFERROR(__xludf.DUMMYFUNCTION("""COMPUTED_VALUE"""),"")</f>
        <v/>
      </c>
      <c r="E1870" t="str">
        <f>IFERROR(__xludf.DUMMYFUNCTION("""COMPUTED_VALUE"""),"")</f>
        <v/>
      </c>
      <c r="F1870" t="str">
        <f>IFERROR(__xludf.DUMMYFUNCTION("""COMPUTED_VALUE"""),"")</f>
        <v/>
      </c>
      <c r="G1870" t="str">
        <f>IFERROR(__xludf.DUMMYFUNCTION("""COMPUTED_VALUE"""),"")</f>
        <v/>
      </c>
      <c r="H1870" t="str">
        <f>IFERROR(__xludf.DUMMYFUNCTION("""COMPUTED_VALUE"""),"")</f>
        <v/>
      </c>
      <c r="I1870" t="str">
        <f>IFERROR(__xludf.DUMMYFUNCTION("""COMPUTED_VALUE"""),"")</f>
        <v/>
      </c>
      <c r="J1870">
        <f>IFERROR(__xludf.DUMMYFUNCTION("""COMPUTED_VALUE"""),0.0)</f>
        <v>0</v>
      </c>
      <c r="L1870" s="250" t="str">
        <f>IFERROR(__xludf.DUMMYFUNCTION("""COMPUTED_VALUE"""),"")</f>
        <v/>
      </c>
      <c r="M1870" s="250" t="str">
        <f>IFERROR(__xludf.DUMMYFUNCTION("""COMPUTED_VALUE"""),"")</f>
        <v/>
      </c>
      <c r="N1870" s="250" t="str">
        <f>IFERROR(__xludf.DUMMYFUNCTION("""COMPUTED_VALUE"""),"")</f>
        <v/>
      </c>
      <c r="O1870" s="250" t="str">
        <f>IFERROR(__xludf.DUMMYFUNCTION("""COMPUTED_VALUE"""),"")</f>
        <v/>
      </c>
      <c r="P1870" s="250" t="str">
        <f>IFERROR(__xludf.DUMMYFUNCTION("""COMPUTED_VALUE"""),"")</f>
        <v/>
      </c>
      <c r="Q1870" s="250" t="str">
        <f>IFERROR(__xludf.DUMMYFUNCTION("""COMPUTED_VALUE"""),"")</f>
        <v/>
      </c>
      <c r="R1870" s="250" t="str">
        <f>IFERROR(__xludf.DUMMYFUNCTION("""COMPUTED_VALUE"""),"")</f>
        <v/>
      </c>
      <c r="U1870" s="250" t="str">
        <f>IFERROR(__xludf.DUMMYFUNCTION("""COMPUTED_VALUE"""),"#N/A")</f>
        <v>#N/A</v>
      </c>
      <c r="V1870" s="250" t="str">
        <f>IFERROR(__xludf.DUMMYFUNCTION("""COMPUTED_VALUE"""),"#N/A")</f>
        <v>#N/A</v>
      </c>
      <c r="W1870" s="250" t="str">
        <f>IFERROR(__xludf.DUMMYFUNCTION("""COMPUTED_VALUE"""),"#N/A")</f>
        <v>#N/A</v>
      </c>
      <c r="X1870" t="b">
        <f t="shared" ref="X1870:Z1870" si="3716">ISBLANK(K1870)</f>
        <v>1</v>
      </c>
      <c r="Y1870" t="b">
        <f t="shared" si="3716"/>
        <v>0</v>
      </c>
      <c r="Z1870" t="b">
        <f t="shared" si="3716"/>
        <v>0</v>
      </c>
      <c r="AA1870">
        <f t="shared" ref="AA1870:AC1870" si="3717">IF(X1870=FALSE,1,0)</f>
        <v>0</v>
      </c>
      <c r="AB1870">
        <f t="shared" si="3717"/>
        <v>1</v>
      </c>
      <c r="AC1870">
        <f t="shared" si="3717"/>
        <v>1</v>
      </c>
      <c r="AD1870">
        <f t="shared" si="6"/>
        <v>2</v>
      </c>
      <c r="AE1870">
        <f t="shared" si="7"/>
        <v>1</v>
      </c>
    </row>
    <row r="1871">
      <c r="B1871" t="str">
        <f>IFERROR(__xludf.DUMMYFUNCTION("""COMPUTED_VALUE"""),"")</f>
        <v/>
      </c>
      <c r="C1871" t="str">
        <f>IFERROR(__xludf.DUMMYFUNCTION("""COMPUTED_VALUE"""),"")</f>
        <v/>
      </c>
      <c r="D1871" t="str">
        <f>IFERROR(__xludf.DUMMYFUNCTION("""COMPUTED_VALUE"""),"")</f>
        <v/>
      </c>
      <c r="E1871" t="str">
        <f>IFERROR(__xludf.DUMMYFUNCTION("""COMPUTED_VALUE"""),"")</f>
        <v/>
      </c>
      <c r="F1871" t="str">
        <f>IFERROR(__xludf.DUMMYFUNCTION("""COMPUTED_VALUE"""),"")</f>
        <v/>
      </c>
      <c r="G1871" t="str">
        <f>IFERROR(__xludf.DUMMYFUNCTION("""COMPUTED_VALUE"""),"")</f>
        <v/>
      </c>
      <c r="H1871" t="str">
        <f>IFERROR(__xludf.DUMMYFUNCTION("""COMPUTED_VALUE"""),"")</f>
        <v/>
      </c>
      <c r="I1871" t="str">
        <f>IFERROR(__xludf.DUMMYFUNCTION("""COMPUTED_VALUE"""),"")</f>
        <v/>
      </c>
      <c r="J1871">
        <f>IFERROR(__xludf.DUMMYFUNCTION("""COMPUTED_VALUE"""),0.0)</f>
        <v>0</v>
      </c>
      <c r="L1871" s="250" t="str">
        <f>IFERROR(__xludf.DUMMYFUNCTION("""COMPUTED_VALUE"""),"")</f>
        <v/>
      </c>
      <c r="M1871" s="250" t="str">
        <f>IFERROR(__xludf.DUMMYFUNCTION("""COMPUTED_VALUE"""),"")</f>
        <v/>
      </c>
      <c r="N1871" s="250" t="str">
        <f>IFERROR(__xludf.DUMMYFUNCTION("""COMPUTED_VALUE"""),"")</f>
        <v/>
      </c>
      <c r="O1871" s="250" t="str">
        <f>IFERROR(__xludf.DUMMYFUNCTION("""COMPUTED_VALUE"""),"")</f>
        <v/>
      </c>
      <c r="P1871" s="250" t="str">
        <f>IFERROR(__xludf.DUMMYFUNCTION("""COMPUTED_VALUE"""),"")</f>
        <v/>
      </c>
      <c r="Q1871" s="250" t="str">
        <f>IFERROR(__xludf.DUMMYFUNCTION("""COMPUTED_VALUE"""),"")</f>
        <v/>
      </c>
      <c r="R1871" s="250" t="str">
        <f>IFERROR(__xludf.DUMMYFUNCTION("""COMPUTED_VALUE"""),"")</f>
        <v/>
      </c>
      <c r="U1871" s="250" t="str">
        <f>IFERROR(__xludf.DUMMYFUNCTION("""COMPUTED_VALUE"""),"#N/A")</f>
        <v>#N/A</v>
      </c>
      <c r="V1871" s="250" t="str">
        <f>IFERROR(__xludf.DUMMYFUNCTION("""COMPUTED_VALUE"""),"#N/A")</f>
        <v>#N/A</v>
      </c>
      <c r="W1871" s="250" t="str">
        <f>IFERROR(__xludf.DUMMYFUNCTION("""COMPUTED_VALUE"""),"#N/A")</f>
        <v>#N/A</v>
      </c>
      <c r="X1871" t="b">
        <f t="shared" ref="X1871:Z1871" si="3718">ISBLANK(K1871)</f>
        <v>1</v>
      </c>
      <c r="Y1871" t="b">
        <f t="shared" si="3718"/>
        <v>0</v>
      </c>
      <c r="Z1871" t="b">
        <f t="shared" si="3718"/>
        <v>0</v>
      </c>
      <c r="AA1871">
        <f t="shared" ref="AA1871:AC1871" si="3719">IF(X1871=FALSE,1,0)</f>
        <v>0</v>
      </c>
      <c r="AB1871">
        <f t="shared" si="3719"/>
        <v>1</v>
      </c>
      <c r="AC1871">
        <f t="shared" si="3719"/>
        <v>1</v>
      </c>
      <c r="AD1871">
        <f t="shared" si="6"/>
        <v>2</v>
      </c>
      <c r="AE1871">
        <f t="shared" si="7"/>
        <v>1</v>
      </c>
    </row>
    <row r="1872">
      <c r="B1872" t="str">
        <f>IFERROR(__xludf.DUMMYFUNCTION("""COMPUTED_VALUE"""),"")</f>
        <v/>
      </c>
      <c r="C1872" t="str">
        <f>IFERROR(__xludf.DUMMYFUNCTION("""COMPUTED_VALUE"""),"")</f>
        <v/>
      </c>
      <c r="D1872" t="str">
        <f>IFERROR(__xludf.DUMMYFUNCTION("""COMPUTED_VALUE"""),"")</f>
        <v/>
      </c>
      <c r="E1872" t="str">
        <f>IFERROR(__xludf.DUMMYFUNCTION("""COMPUTED_VALUE"""),"")</f>
        <v/>
      </c>
      <c r="F1872" t="str">
        <f>IFERROR(__xludf.DUMMYFUNCTION("""COMPUTED_VALUE"""),"")</f>
        <v/>
      </c>
      <c r="G1872" t="str">
        <f>IFERROR(__xludf.DUMMYFUNCTION("""COMPUTED_VALUE"""),"")</f>
        <v/>
      </c>
      <c r="H1872" t="str">
        <f>IFERROR(__xludf.DUMMYFUNCTION("""COMPUTED_VALUE"""),"")</f>
        <v/>
      </c>
      <c r="I1872" t="str">
        <f>IFERROR(__xludf.DUMMYFUNCTION("""COMPUTED_VALUE"""),"")</f>
        <v/>
      </c>
      <c r="J1872">
        <f>IFERROR(__xludf.DUMMYFUNCTION("""COMPUTED_VALUE"""),0.0)</f>
        <v>0</v>
      </c>
      <c r="L1872" s="250" t="str">
        <f>IFERROR(__xludf.DUMMYFUNCTION("""COMPUTED_VALUE"""),"")</f>
        <v/>
      </c>
      <c r="M1872" s="250" t="str">
        <f>IFERROR(__xludf.DUMMYFUNCTION("""COMPUTED_VALUE"""),"")</f>
        <v/>
      </c>
      <c r="N1872" s="250" t="str">
        <f>IFERROR(__xludf.DUMMYFUNCTION("""COMPUTED_VALUE"""),"")</f>
        <v/>
      </c>
      <c r="O1872" s="250" t="str">
        <f>IFERROR(__xludf.DUMMYFUNCTION("""COMPUTED_VALUE"""),"")</f>
        <v/>
      </c>
      <c r="P1872" s="250" t="str">
        <f>IFERROR(__xludf.DUMMYFUNCTION("""COMPUTED_VALUE"""),"")</f>
        <v/>
      </c>
      <c r="Q1872" s="250" t="str">
        <f>IFERROR(__xludf.DUMMYFUNCTION("""COMPUTED_VALUE"""),"")</f>
        <v/>
      </c>
      <c r="R1872" s="250" t="str">
        <f>IFERROR(__xludf.DUMMYFUNCTION("""COMPUTED_VALUE"""),"")</f>
        <v/>
      </c>
      <c r="U1872" s="250" t="str">
        <f>IFERROR(__xludf.DUMMYFUNCTION("""COMPUTED_VALUE"""),"#N/A")</f>
        <v>#N/A</v>
      </c>
      <c r="V1872" s="250" t="str">
        <f>IFERROR(__xludf.DUMMYFUNCTION("""COMPUTED_VALUE"""),"#N/A")</f>
        <v>#N/A</v>
      </c>
      <c r="W1872" s="250" t="str">
        <f>IFERROR(__xludf.DUMMYFUNCTION("""COMPUTED_VALUE"""),"#N/A")</f>
        <v>#N/A</v>
      </c>
      <c r="X1872" t="b">
        <f t="shared" ref="X1872:Z1872" si="3720">ISBLANK(K1872)</f>
        <v>1</v>
      </c>
      <c r="Y1872" t="b">
        <f t="shared" si="3720"/>
        <v>0</v>
      </c>
      <c r="Z1872" t="b">
        <f t="shared" si="3720"/>
        <v>0</v>
      </c>
      <c r="AA1872">
        <f t="shared" ref="AA1872:AC1872" si="3721">IF(X1872=FALSE,1,0)</f>
        <v>0</v>
      </c>
      <c r="AB1872">
        <f t="shared" si="3721"/>
        <v>1</v>
      </c>
      <c r="AC1872">
        <f t="shared" si="3721"/>
        <v>1</v>
      </c>
      <c r="AD1872">
        <f t="shared" si="6"/>
        <v>2</v>
      </c>
      <c r="AE1872">
        <f t="shared" si="7"/>
        <v>1</v>
      </c>
    </row>
    <row r="1873">
      <c r="B1873" t="str">
        <f>IFERROR(__xludf.DUMMYFUNCTION("""COMPUTED_VALUE"""),"")</f>
        <v/>
      </c>
      <c r="C1873" t="str">
        <f>IFERROR(__xludf.DUMMYFUNCTION("""COMPUTED_VALUE"""),"")</f>
        <v/>
      </c>
      <c r="D1873" t="str">
        <f>IFERROR(__xludf.DUMMYFUNCTION("""COMPUTED_VALUE"""),"")</f>
        <v/>
      </c>
      <c r="E1873" t="str">
        <f>IFERROR(__xludf.DUMMYFUNCTION("""COMPUTED_VALUE"""),"")</f>
        <v/>
      </c>
      <c r="F1873" t="str">
        <f>IFERROR(__xludf.DUMMYFUNCTION("""COMPUTED_VALUE"""),"")</f>
        <v/>
      </c>
      <c r="G1873" t="str">
        <f>IFERROR(__xludf.DUMMYFUNCTION("""COMPUTED_VALUE"""),"")</f>
        <v/>
      </c>
      <c r="H1873" t="str">
        <f>IFERROR(__xludf.DUMMYFUNCTION("""COMPUTED_VALUE"""),"")</f>
        <v/>
      </c>
      <c r="I1873" t="str">
        <f>IFERROR(__xludf.DUMMYFUNCTION("""COMPUTED_VALUE"""),"")</f>
        <v/>
      </c>
      <c r="J1873">
        <f>IFERROR(__xludf.DUMMYFUNCTION("""COMPUTED_VALUE"""),0.0)</f>
        <v>0</v>
      </c>
      <c r="L1873" s="250" t="str">
        <f>IFERROR(__xludf.DUMMYFUNCTION("""COMPUTED_VALUE"""),"")</f>
        <v/>
      </c>
      <c r="M1873" s="250" t="str">
        <f>IFERROR(__xludf.DUMMYFUNCTION("""COMPUTED_VALUE"""),"")</f>
        <v/>
      </c>
      <c r="N1873" s="250" t="str">
        <f>IFERROR(__xludf.DUMMYFUNCTION("""COMPUTED_VALUE"""),"")</f>
        <v/>
      </c>
      <c r="O1873" s="250" t="str">
        <f>IFERROR(__xludf.DUMMYFUNCTION("""COMPUTED_VALUE"""),"")</f>
        <v/>
      </c>
      <c r="P1873" s="250" t="str">
        <f>IFERROR(__xludf.DUMMYFUNCTION("""COMPUTED_VALUE"""),"")</f>
        <v/>
      </c>
      <c r="Q1873" s="250" t="str">
        <f>IFERROR(__xludf.DUMMYFUNCTION("""COMPUTED_VALUE"""),"")</f>
        <v/>
      </c>
      <c r="R1873" s="250" t="str">
        <f>IFERROR(__xludf.DUMMYFUNCTION("""COMPUTED_VALUE"""),"")</f>
        <v/>
      </c>
      <c r="U1873" s="250" t="str">
        <f>IFERROR(__xludf.DUMMYFUNCTION("""COMPUTED_VALUE"""),"#N/A")</f>
        <v>#N/A</v>
      </c>
      <c r="V1873" s="250" t="str">
        <f>IFERROR(__xludf.DUMMYFUNCTION("""COMPUTED_VALUE"""),"#N/A")</f>
        <v>#N/A</v>
      </c>
      <c r="W1873" s="250" t="str">
        <f>IFERROR(__xludf.DUMMYFUNCTION("""COMPUTED_VALUE"""),"#N/A")</f>
        <v>#N/A</v>
      </c>
      <c r="X1873" t="b">
        <f t="shared" ref="X1873:Z1873" si="3722">ISBLANK(K1873)</f>
        <v>1</v>
      </c>
      <c r="Y1873" t="b">
        <f t="shared" si="3722"/>
        <v>0</v>
      </c>
      <c r="Z1873" t="b">
        <f t="shared" si="3722"/>
        <v>0</v>
      </c>
      <c r="AA1873">
        <f t="shared" ref="AA1873:AC1873" si="3723">IF(X1873=FALSE,1,0)</f>
        <v>0</v>
      </c>
      <c r="AB1873">
        <f t="shared" si="3723"/>
        <v>1</v>
      </c>
      <c r="AC1873">
        <f t="shared" si="3723"/>
        <v>1</v>
      </c>
      <c r="AD1873">
        <f t="shared" si="6"/>
        <v>2</v>
      </c>
      <c r="AE1873">
        <f t="shared" si="7"/>
        <v>1</v>
      </c>
    </row>
    <row r="1874">
      <c r="B1874" t="str">
        <f>IFERROR(__xludf.DUMMYFUNCTION("""COMPUTED_VALUE"""),"")</f>
        <v/>
      </c>
      <c r="C1874" t="str">
        <f>IFERROR(__xludf.DUMMYFUNCTION("""COMPUTED_VALUE"""),"")</f>
        <v/>
      </c>
      <c r="D1874" t="str">
        <f>IFERROR(__xludf.DUMMYFUNCTION("""COMPUTED_VALUE"""),"")</f>
        <v/>
      </c>
      <c r="E1874" t="str">
        <f>IFERROR(__xludf.DUMMYFUNCTION("""COMPUTED_VALUE"""),"")</f>
        <v/>
      </c>
      <c r="F1874" t="str">
        <f>IFERROR(__xludf.DUMMYFUNCTION("""COMPUTED_VALUE"""),"")</f>
        <v/>
      </c>
      <c r="G1874" t="str">
        <f>IFERROR(__xludf.DUMMYFUNCTION("""COMPUTED_VALUE"""),"")</f>
        <v/>
      </c>
      <c r="H1874" t="str">
        <f>IFERROR(__xludf.DUMMYFUNCTION("""COMPUTED_VALUE"""),"")</f>
        <v/>
      </c>
      <c r="I1874" t="str">
        <f>IFERROR(__xludf.DUMMYFUNCTION("""COMPUTED_VALUE"""),"")</f>
        <v/>
      </c>
      <c r="J1874">
        <f>IFERROR(__xludf.DUMMYFUNCTION("""COMPUTED_VALUE"""),0.0)</f>
        <v>0</v>
      </c>
      <c r="L1874" s="250" t="str">
        <f>IFERROR(__xludf.DUMMYFUNCTION("""COMPUTED_VALUE"""),"")</f>
        <v/>
      </c>
      <c r="M1874" s="250" t="str">
        <f>IFERROR(__xludf.DUMMYFUNCTION("""COMPUTED_VALUE"""),"")</f>
        <v/>
      </c>
      <c r="N1874" s="250" t="str">
        <f>IFERROR(__xludf.DUMMYFUNCTION("""COMPUTED_VALUE"""),"")</f>
        <v/>
      </c>
      <c r="O1874" s="250" t="str">
        <f>IFERROR(__xludf.DUMMYFUNCTION("""COMPUTED_VALUE"""),"")</f>
        <v/>
      </c>
      <c r="P1874" s="250" t="str">
        <f>IFERROR(__xludf.DUMMYFUNCTION("""COMPUTED_VALUE"""),"")</f>
        <v/>
      </c>
      <c r="Q1874" s="250" t="str">
        <f>IFERROR(__xludf.DUMMYFUNCTION("""COMPUTED_VALUE"""),"")</f>
        <v/>
      </c>
      <c r="R1874" s="250" t="str">
        <f>IFERROR(__xludf.DUMMYFUNCTION("""COMPUTED_VALUE"""),"")</f>
        <v/>
      </c>
      <c r="U1874" s="250" t="str">
        <f>IFERROR(__xludf.DUMMYFUNCTION("""COMPUTED_VALUE"""),"#N/A")</f>
        <v>#N/A</v>
      </c>
      <c r="V1874" s="250" t="str">
        <f>IFERROR(__xludf.DUMMYFUNCTION("""COMPUTED_VALUE"""),"#N/A")</f>
        <v>#N/A</v>
      </c>
      <c r="W1874" s="250" t="str">
        <f>IFERROR(__xludf.DUMMYFUNCTION("""COMPUTED_VALUE"""),"#N/A")</f>
        <v>#N/A</v>
      </c>
      <c r="X1874" t="b">
        <f t="shared" ref="X1874:Z1874" si="3724">ISBLANK(K1874)</f>
        <v>1</v>
      </c>
      <c r="Y1874" t="b">
        <f t="shared" si="3724"/>
        <v>0</v>
      </c>
      <c r="Z1874" t="b">
        <f t="shared" si="3724"/>
        <v>0</v>
      </c>
      <c r="AA1874">
        <f t="shared" ref="AA1874:AC1874" si="3725">IF(X1874=FALSE,1,0)</f>
        <v>0</v>
      </c>
      <c r="AB1874">
        <f t="shared" si="3725"/>
        <v>1</v>
      </c>
      <c r="AC1874">
        <f t="shared" si="3725"/>
        <v>1</v>
      </c>
      <c r="AD1874">
        <f t="shared" si="6"/>
        <v>2</v>
      </c>
      <c r="AE1874">
        <f t="shared" si="7"/>
        <v>1</v>
      </c>
    </row>
    <row r="1875">
      <c r="B1875" t="str">
        <f>IFERROR(__xludf.DUMMYFUNCTION("""COMPUTED_VALUE"""),"")</f>
        <v/>
      </c>
      <c r="C1875" t="str">
        <f>IFERROR(__xludf.DUMMYFUNCTION("""COMPUTED_VALUE"""),"")</f>
        <v/>
      </c>
      <c r="D1875" t="str">
        <f>IFERROR(__xludf.DUMMYFUNCTION("""COMPUTED_VALUE"""),"")</f>
        <v/>
      </c>
      <c r="E1875" t="str">
        <f>IFERROR(__xludf.DUMMYFUNCTION("""COMPUTED_VALUE"""),"")</f>
        <v/>
      </c>
      <c r="F1875" t="str">
        <f>IFERROR(__xludf.DUMMYFUNCTION("""COMPUTED_VALUE"""),"")</f>
        <v/>
      </c>
      <c r="G1875" t="str">
        <f>IFERROR(__xludf.DUMMYFUNCTION("""COMPUTED_VALUE"""),"")</f>
        <v/>
      </c>
      <c r="H1875" t="str">
        <f>IFERROR(__xludf.DUMMYFUNCTION("""COMPUTED_VALUE"""),"")</f>
        <v/>
      </c>
      <c r="I1875" t="str">
        <f>IFERROR(__xludf.DUMMYFUNCTION("""COMPUTED_VALUE"""),"")</f>
        <v/>
      </c>
      <c r="J1875">
        <f>IFERROR(__xludf.DUMMYFUNCTION("""COMPUTED_VALUE"""),0.0)</f>
        <v>0</v>
      </c>
      <c r="L1875" s="250" t="str">
        <f>IFERROR(__xludf.DUMMYFUNCTION("""COMPUTED_VALUE"""),"")</f>
        <v/>
      </c>
      <c r="M1875" s="250" t="str">
        <f>IFERROR(__xludf.DUMMYFUNCTION("""COMPUTED_VALUE"""),"")</f>
        <v/>
      </c>
      <c r="N1875" s="250" t="str">
        <f>IFERROR(__xludf.DUMMYFUNCTION("""COMPUTED_VALUE"""),"")</f>
        <v/>
      </c>
      <c r="O1875" s="250" t="str">
        <f>IFERROR(__xludf.DUMMYFUNCTION("""COMPUTED_VALUE"""),"")</f>
        <v/>
      </c>
      <c r="P1875" s="250" t="str">
        <f>IFERROR(__xludf.DUMMYFUNCTION("""COMPUTED_VALUE"""),"")</f>
        <v/>
      </c>
      <c r="Q1875" s="250" t="str">
        <f>IFERROR(__xludf.DUMMYFUNCTION("""COMPUTED_VALUE"""),"")</f>
        <v/>
      </c>
      <c r="R1875" s="250" t="str">
        <f>IFERROR(__xludf.DUMMYFUNCTION("""COMPUTED_VALUE"""),"")</f>
        <v/>
      </c>
      <c r="U1875" s="250" t="str">
        <f>IFERROR(__xludf.DUMMYFUNCTION("""COMPUTED_VALUE"""),"#N/A")</f>
        <v>#N/A</v>
      </c>
      <c r="V1875" s="250" t="str">
        <f>IFERROR(__xludf.DUMMYFUNCTION("""COMPUTED_VALUE"""),"#N/A")</f>
        <v>#N/A</v>
      </c>
      <c r="W1875" s="250" t="str">
        <f>IFERROR(__xludf.DUMMYFUNCTION("""COMPUTED_VALUE"""),"#N/A")</f>
        <v>#N/A</v>
      </c>
      <c r="X1875" t="b">
        <f t="shared" ref="X1875:Z1875" si="3726">ISBLANK(K1875)</f>
        <v>1</v>
      </c>
      <c r="Y1875" t="b">
        <f t="shared" si="3726"/>
        <v>0</v>
      </c>
      <c r="Z1875" t="b">
        <f t="shared" si="3726"/>
        <v>0</v>
      </c>
      <c r="AA1875">
        <f t="shared" ref="AA1875:AC1875" si="3727">IF(X1875=FALSE,1,0)</f>
        <v>0</v>
      </c>
      <c r="AB1875">
        <f t="shared" si="3727"/>
        <v>1</v>
      </c>
      <c r="AC1875">
        <f t="shared" si="3727"/>
        <v>1</v>
      </c>
      <c r="AD1875">
        <f t="shared" si="6"/>
        <v>2</v>
      </c>
      <c r="AE1875">
        <f t="shared" si="7"/>
        <v>1</v>
      </c>
    </row>
    <row r="1876">
      <c r="B1876" t="str">
        <f>IFERROR(__xludf.DUMMYFUNCTION("""COMPUTED_VALUE"""),"")</f>
        <v/>
      </c>
      <c r="C1876" t="str">
        <f>IFERROR(__xludf.DUMMYFUNCTION("""COMPUTED_VALUE"""),"")</f>
        <v/>
      </c>
      <c r="D1876" t="str">
        <f>IFERROR(__xludf.DUMMYFUNCTION("""COMPUTED_VALUE"""),"")</f>
        <v/>
      </c>
      <c r="E1876" t="str">
        <f>IFERROR(__xludf.DUMMYFUNCTION("""COMPUTED_VALUE"""),"")</f>
        <v/>
      </c>
      <c r="F1876" t="str">
        <f>IFERROR(__xludf.DUMMYFUNCTION("""COMPUTED_VALUE"""),"")</f>
        <v/>
      </c>
      <c r="G1876" t="str">
        <f>IFERROR(__xludf.DUMMYFUNCTION("""COMPUTED_VALUE"""),"")</f>
        <v/>
      </c>
      <c r="H1876" t="str">
        <f>IFERROR(__xludf.DUMMYFUNCTION("""COMPUTED_VALUE"""),"")</f>
        <v/>
      </c>
      <c r="I1876" t="str">
        <f>IFERROR(__xludf.DUMMYFUNCTION("""COMPUTED_VALUE"""),"")</f>
        <v/>
      </c>
      <c r="J1876">
        <f>IFERROR(__xludf.DUMMYFUNCTION("""COMPUTED_VALUE"""),0.0)</f>
        <v>0</v>
      </c>
      <c r="L1876" s="250" t="str">
        <f>IFERROR(__xludf.DUMMYFUNCTION("""COMPUTED_VALUE"""),"")</f>
        <v/>
      </c>
      <c r="M1876" s="250" t="str">
        <f>IFERROR(__xludf.DUMMYFUNCTION("""COMPUTED_VALUE"""),"")</f>
        <v/>
      </c>
      <c r="N1876" s="250" t="str">
        <f>IFERROR(__xludf.DUMMYFUNCTION("""COMPUTED_VALUE"""),"")</f>
        <v/>
      </c>
      <c r="O1876" s="250" t="str">
        <f>IFERROR(__xludf.DUMMYFUNCTION("""COMPUTED_VALUE"""),"")</f>
        <v/>
      </c>
      <c r="P1876" s="250" t="str">
        <f>IFERROR(__xludf.DUMMYFUNCTION("""COMPUTED_VALUE"""),"")</f>
        <v/>
      </c>
      <c r="Q1876" s="250" t="str">
        <f>IFERROR(__xludf.DUMMYFUNCTION("""COMPUTED_VALUE"""),"")</f>
        <v/>
      </c>
      <c r="R1876" s="250" t="str">
        <f>IFERROR(__xludf.DUMMYFUNCTION("""COMPUTED_VALUE"""),"")</f>
        <v/>
      </c>
      <c r="U1876" s="250" t="str">
        <f>IFERROR(__xludf.DUMMYFUNCTION("""COMPUTED_VALUE"""),"#N/A")</f>
        <v>#N/A</v>
      </c>
      <c r="V1876" s="250" t="str">
        <f>IFERROR(__xludf.DUMMYFUNCTION("""COMPUTED_VALUE"""),"#N/A")</f>
        <v>#N/A</v>
      </c>
      <c r="W1876" s="250" t="str">
        <f>IFERROR(__xludf.DUMMYFUNCTION("""COMPUTED_VALUE"""),"#N/A")</f>
        <v>#N/A</v>
      </c>
      <c r="X1876" t="b">
        <f t="shared" ref="X1876:Z1876" si="3728">ISBLANK(K1876)</f>
        <v>1</v>
      </c>
      <c r="Y1876" t="b">
        <f t="shared" si="3728"/>
        <v>0</v>
      </c>
      <c r="Z1876" t="b">
        <f t="shared" si="3728"/>
        <v>0</v>
      </c>
      <c r="AA1876">
        <f t="shared" ref="AA1876:AC1876" si="3729">IF(X1876=FALSE,1,0)</f>
        <v>0</v>
      </c>
      <c r="AB1876">
        <f t="shared" si="3729"/>
        <v>1</v>
      </c>
      <c r="AC1876">
        <f t="shared" si="3729"/>
        <v>1</v>
      </c>
      <c r="AD1876">
        <f t="shared" si="6"/>
        <v>2</v>
      </c>
      <c r="AE1876">
        <f t="shared" si="7"/>
        <v>1</v>
      </c>
    </row>
    <row r="1877">
      <c r="B1877" t="str">
        <f>IFERROR(__xludf.DUMMYFUNCTION("""COMPUTED_VALUE"""),"")</f>
        <v/>
      </c>
      <c r="C1877" t="str">
        <f>IFERROR(__xludf.DUMMYFUNCTION("""COMPUTED_VALUE"""),"")</f>
        <v/>
      </c>
      <c r="D1877" t="str">
        <f>IFERROR(__xludf.DUMMYFUNCTION("""COMPUTED_VALUE"""),"")</f>
        <v/>
      </c>
      <c r="E1877" t="str">
        <f>IFERROR(__xludf.DUMMYFUNCTION("""COMPUTED_VALUE"""),"")</f>
        <v/>
      </c>
      <c r="F1877" t="str">
        <f>IFERROR(__xludf.DUMMYFUNCTION("""COMPUTED_VALUE"""),"")</f>
        <v/>
      </c>
      <c r="G1877" t="str">
        <f>IFERROR(__xludf.DUMMYFUNCTION("""COMPUTED_VALUE"""),"")</f>
        <v/>
      </c>
      <c r="H1877" t="str">
        <f>IFERROR(__xludf.DUMMYFUNCTION("""COMPUTED_VALUE"""),"")</f>
        <v/>
      </c>
      <c r="I1877" t="str">
        <f>IFERROR(__xludf.DUMMYFUNCTION("""COMPUTED_VALUE"""),"")</f>
        <v/>
      </c>
      <c r="J1877">
        <f>IFERROR(__xludf.DUMMYFUNCTION("""COMPUTED_VALUE"""),0.0)</f>
        <v>0</v>
      </c>
      <c r="L1877" s="250" t="str">
        <f>IFERROR(__xludf.DUMMYFUNCTION("""COMPUTED_VALUE"""),"")</f>
        <v/>
      </c>
      <c r="M1877" s="250" t="str">
        <f>IFERROR(__xludf.DUMMYFUNCTION("""COMPUTED_VALUE"""),"")</f>
        <v/>
      </c>
      <c r="N1877" s="250" t="str">
        <f>IFERROR(__xludf.DUMMYFUNCTION("""COMPUTED_VALUE"""),"")</f>
        <v/>
      </c>
      <c r="O1877" s="250" t="str">
        <f>IFERROR(__xludf.DUMMYFUNCTION("""COMPUTED_VALUE"""),"")</f>
        <v/>
      </c>
      <c r="P1877" s="250" t="str">
        <f>IFERROR(__xludf.DUMMYFUNCTION("""COMPUTED_VALUE"""),"")</f>
        <v/>
      </c>
      <c r="Q1877" s="250" t="str">
        <f>IFERROR(__xludf.DUMMYFUNCTION("""COMPUTED_VALUE"""),"")</f>
        <v/>
      </c>
      <c r="R1877" s="250" t="str">
        <f>IFERROR(__xludf.DUMMYFUNCTION("""COMPUTED_VALUE"""),"")</f>
        <v/>
      </c>
      <c r="U1877" s="250" t="str">
        <f>IFERROR(__xludf.DUMMYFUNCTION("""COMPUTED_VALUE"""),"#N/A")</f>
        <v>#N/A</v>
      </c>
      <c r="V1877" s="250" t="str">
        <f>IFERROR(__xludf.DUMMYFUNCTION("""COMPUTED_VALUE"""),"#N/A")</f>
        <v>#N/A</v>
      </c>
      <c r="W1877" s="250" t="str">
        <f>IFERROR(__xludf.DUMMYFUNCTION("""COMPUTED_VALUE"""),"#N/A")</f>
        <v>#N/A</v>
      </c>
      <c r="X1877" t="b">
        <f t="shared" ref="X1877:Z1877" si="3730">ISBLANK(K1877)</f>
        <v>1</v>
      </c>
      <c r="Y1877" t="b">
        <f t="shared" si="3730"/>
        <v>0</v>
      </c>
      <c r="Z1877" t="b">
        <f t="shared" si="3730"/>
        <v>0</v>
      </c>
      <c r="AA1877">
        <f t="shared" ref="AA1877:AC1877" si="3731">IF(X1877=FALSE,1,0)</f>
        <v>0</v>
      </c>
      <c r="AB1877">
        <f t="shared" si="3731"/>
        <v>1</v>
      </c>
      <c r="AC1877">
        <f t="shared" si="3731"/>
        <v>1</v>
      </c>
      <c r="AD1877">
        <f t="shared" si="6"/>
        <v>2</v>
      </c>
      <c r="AE1877">
        <f t="shared" si="7"/>
        <v>1</v>
      </c>
    </row>
    <row r="1878">
      <c r="B1878" t="str">
        <f>IFERROR(__xludf.DUMMYFUNCTION("""COMPUTED_VALUE"""),"")</f>
        <v/>
      </c>
      <c r="C1878" t="str">
        <f>IFERROR(__xludf.DUMMYFUNCTION("""COMPUTED_VALUE"""),"")</f>
        <v/>
      </c>
      <c r="D1878" t="str">
        <f>IFERROR(__xludf.DUMMYFUNCTION("""COMPUTED_VALUE"""),"")</f>
        <v/>
      </c>
      <c r="E1878" t="str">
        <f>IFERROR(__xludf.DUMMYFUNCTION("""COMPUTED_VALUE"""),"")</f>
        <v/>
      </c>
      <c r="F1878" t="str">
        <f>IFERROR(__xludf.DUMMYFUNCTION("""COMPUTED_VALUE"""),"")</f>
        <v/>
      </c>
      <c r="G1878" t="str">
        <f>IFERROR(__xludf.DUMMYFUNCTION("""COMPUTED_VALUE"""),"")</f>
        <v/>
      </c>
      <c r="H1878" t="str">
        <f>IFERROR(__xludf.DUMMYFUNCTION("""COMPUTED_VALUE"""),"")</f>
        <v/>
      </c>
      <c r="I1878" t="str">
        <f>IFERROR(__xludf.DUMMYFUNCTION("""COMPUTED_VALUE"""),"")</f>
        <v/>
      </c>
      <c r="J1878">
        <f>IFERROR(__xludf.DUMMYFUNCTION("""COMPUTED_VALUE"""),0.0)</f>
        <v>0</v>
      </c>
      <c r="L1878" s="250" t="str">
        <f>IFERROR(__xludf.DUMMYFUNCTION("""COMPUTED_VALUE"""),"")</f>
        <v/>
      </c>
      <c r="M1878" s="250" t="str">
        <f>IFERROR(__xludf.DUMMYFUNCTION("""COMPUTED_VALUE"""),"")</f>
        <v/>
      </c>
      <c r="N1878" s="250" t="str">
        <f>IFERROR(__xludf.DUMMYFUNCTION("""COMPUTED_VALUE"""),"")</f>
        <v/>
      </c>
      <c r="O1878" s="250" t="str">
        <f>IFERROR(__xludf.DUMMYFUNCTION("""COMPUTED_VALUE"""),"")</f>
        <v/>
      </c>
      <c r="P1878" s="250" t="str">
        <f>IFERROR(__xludf.DUMMYFUNCTION("""COMPUTED_VALUE"""),"")</f>
        <v/>
      </c>
      <c r="Q1878" s="250" t="str">
        <f>IFERROR(__xludf.DUMMYFUNCTION("""COMPUTED_VALUE"""),"")</f>
        <v/>
      </c>
      <c r="R1878" s="250" t="str">
        <f>IFERROR(__xludf.DUMMYFUNCTION("""COMPUTED_VALUE"""),"")</f>
        <v/>
      </c>
      <c r="U1878" s="250" t="str">
        <f>IFERROR(__xludf.DUMMYFUNCTION("""COMPUTED_VALUE"""),"#N/A")</f>
        <v>#N/A</v>
      </c>
      <c r="V1878" s="250" t="str">
        <f>IFERROR(__xludf.DUMMYFUNCTION("""COMPUTED_VALUE"""),"#N/A")</f>
        <v>#N/A</v>
      </c>
      <c r="W1878" s="250" t="str">
        <f>IFERROR(__xludf.DUMMYFUNCTION("""COMPUTED_VALUE"""),"#N/A")</f>
        <v>#N/A</v>
      </c>
      <c r="X1878" t="b">
        <f t="shared" ref="X1878:Z1878" si="3732">ISBLANK(K1878)</f>
        <v>1</v>
      </c>
      <c r="Y1878" t="b">
        <f t="shared" si="3732"/>
        <v>0</v>
      </c>
      <c r="Z1878" t="b">
        <f t="shared" si="3732"/>
        <v>0</v>
      </c>
      <c r="AA1878">
        <f t="shared" ref="AA1878:AC1878" si="3733">IF(X1878=FALSE,1,0)</f>
        <v>0</v>
      </c>
      <c r="AB1878">
        <f t="shared" si="3733"/>
        <v>1</v>
      </c>
      <c r="AC1878">
        <f t="shared" si="3733"/>
        <v>1</v>
      </c>
      <c r="AD1878">
        <f t="shared" si="6"/>
        <v>2</v>
      </c>
      <c r="AE1878">
        <f t="shared" si="7"/>
        <v>1</v>
      </c>
    </row>
    <row r="1879">
      <c r="B1879" t="str">
        <f>IFERROR(__xludf.DUMMYFUNCTION("""COMPUTED_VALUE"""),"")</f>
        <v/>
      </c>
      <c r="C1879" t="str">
        <f>IFERROR(__xludf.DUMMYFUNCTION("""COMPUTED_VALUE"""),"")</f>
        <v/>
      </c>
      <c r="D1879" t="str">
        <f>IFERROR(__xludf.DUMMYFUNCTION("""COMPUTED_VALUE"""),"")</f>
        <v/>
      </c>
      <c r="E1879" t="str">
        <f>IFERROR(__xludf.DUMMYFUNCTION("""COMPUTED_VALUE"""),"")</f>
        <v/>
      </c>
      <c r="F1879" t="str">
        <f>IFERROR(__xludf.DUMMYFUNCTION("""COMPUTED_VALUE"""),"")</f>
        <v/>
      </c>
      <c r="G1879" t="str">
        <f>IFERROR(__xludf.DUMMYFUNCTION("""COMPUTED_VALUE"""),"")</f>
        <v/>
      </c>
      <c r="H1879" t="str">
        <f>IFERROR(__xludf.DUMMYFUNCTION("""COMPUTED_VALUE"""),"")</f>
        <v/>
      </c>
      <c r="I1879" t="str">
        <f>IFERROR(__xludf.DUMMYFUNCTION("""COMPUTED_VALUE"""),"")</f>
        <v/>
      </c>
      <c r="J1879">
        <f>IFERROR(__xludf.DUMMYFUNCTION("""COMPUTED_VALUE"""),0.0)</f>
        <v>0</v>
      </c>
      <c r="L1879" s="250" t="str">
        <f>IFERROR(__xludf.DUMMYFUNCTION("""COMPUTED_VALUE"""),"")</f>
        <v/>
      </c>
      <c r="M1879" s="250" t="str">
        <f>IFERROR(__xludf.DUMMYFUNCTION("""COMPUTED_VALUE"""),"")</f>
        <v/>
      </c>
      <c r="N1879" s="250" t="str">
        <f>IFERROR(__xludf.DUMMYFUNCTION("""COMPUTED_VALUE"""),"")</f>
        <v/>
      </c>
      <c r="O1879" s="250" t="str">
        <f>IFERROR(__xludf.DUMMYFUNCTION("""COMPUTED_VALUE"""),"")</f>
        <v/>
      </c>
      <c r="P1879" s="250" t="str">
        <f>IFERROR(__xludf.DUMMYFUNCTION("""COMPUTED_VALUE"""),"")</f>
        <v/>
      </c>
      <c r="Q1879" s="250" t="str">
        <f>IFERROR(__xludf.DUMMYFUNCTION("""COMPUTED_VALUE"""),"")</f>
        <v/>
      </c>
      <c r="R1879" s="250" t="str">
        <f>IFERROR(__xludf.DUMMYFUNCTION("""COMPUTED_VALUE"""),"")</f>
        <v/>
      </c>
      <c r="U1879" s="250" t="str">
        <f>IFERROR(__xludf.DUMMYFUNCTION("""COMPUTED_VALUE"""),"#N/A")</f>
        <v>#N/A</v>
      </c>
      <c r="V1879" s="250" t="str">
        <f>IFERROR(__xludf.DUMMYFUNCTION("""COMPUTED_VALUE"""),"#N/A")</f>
        <v>#N/A</v>
      </c>
      <c r="W1879" s="250" t="str">
        <f>IFERROR(__xludf.DUMMYFUNCTION("""COMPUTED_VALUE"""),"#N/A")</f>
        <v>#N/A</v>
      </c>
      <c r="X1879" t="b">
        <f t="shared" ref="X1879:Z1879" si="3734">ISBLANK(K1879)</f>
        <v>1</v>
      </c>
      <c r="Y1879" t="b">
        <f t="shared" si="3734"/>
        <v>0</v>
      </c>
      <c r="Z1879" t="b">
        <f t="shared" si="3734"/>
        <v>0</v>
      </c>
      <c r="AA1879">
        <f t="shared" ref="AA1879:AC1879" si="3735">IF(X1879=FALSE,1,0)</f>
        <v>0</v>
      </c>
      <c r="AB1879">
        <f t="shared" si="3735"/>
        <v>1</v>
      </c>
      <c r="AC1879">
        <f t="shared" si="3735"/>
        <v>1</v>
      </c>
      <c r="AD1879">
        <f t="shared" si="6"/>
        <v>2</v>
      </c>
      <c r="AE1879">
        <f t="shared" si="7"/>
        <v>1</v>
      </c>
    </row>
    <row r="1880">
      <c r="B1880" t="str">
        <f>IFERROR(__xludf.DUMMYFUNCTION("""COMPUTED_VALUE"""),"")</f>
        <v/>
      </c>
      <c r="C1880" t="str">
        <f>IFERROR(__xludf.DUMMYFUNCTION("""COMPUTED_VALUE"""),"")</f>
        <v/>
      </c>
      <c r="D1880" t="str">
        <f>IFERROR(__xludf.DUMMYFUNCTION("""COMPUTED_VALUE"""),"")</f>
        <v/>
      </c>
      <c r="E1880" t="str">
        <f>IFERROR(__xludf.DUMMYFUNCTION("""COMPUTED_VALUE"""),"")</f>
        <v/>
      </c>
      <c r="F1880" t="str">
        <f>IFERROR(__xludf.DUMMYFUNCTION("""COMPUTED_VALUE"""),"")</f>
        <v/>
      </c>
      <c r="G1880" t="str">
        <f>IFERROR(__xludf.DUMMYFUNCTION("""COMPUTED_VALUE"""),"")</f>
        <v/>
      </c>
      <c r="H1880" t="str">
        <f>IFERROR(__xludf.DUMMYFUNCTION("""COMPUTED_VALUE"""),"")</f>
        <v/>
      </c>
      <c r="I1880" t="str">
        <f>IFERROR(__xludf.DUMMYFUNCTION("""COMPUTED_VALUE"""),"")</f>
        <v/>
      </c>
      <c r="J1880">
        <f>IFERROR(__xludf.DUMMYFUNCTION("""COMPUTED_VALUE"""),0.0)</f>
        <v>0</v>
      </c>
      <c r="L1880" s="250" t="str">
        <f>IFERROR(__xludf.DUMMYFUNCTION("""COMPUTED_VALUE"""),"")</f>
        <v/>
      </c>
      <c r="M1880" s="250" t="str">
        <f>IFERROR(__xludf.DUMMYFUNCTION("""COMPUTED_VALUE"""),"")</f>
        <v/>
      </c>
      <c r="N1880" s="250" t="str">
        <f>IFERROR(__xludf.DUMMYFUNCTION("""COMPUTED_VALUE"""),"")</f>
        <v/>
      </c>
      <c r="O1880" s="250" t="str">
        <f>IFERROR(__xludf.DUMMYFUNCTION("""COMPUTED_VALUE"""),"")</f>
        <v/>
      </c>
      <c r="P1880" s="250" t="str">
        <f>IFERROR(__xludf.DUMMYFUNCTION("""COMPUTED_VALUE"""),"")</f>
        <v/>
      </c>
      <c r="Q1880" s="250" t="str">
        <f>IFERROR(__xludf.DUMMYFUNCTION("""COMPUTED_VALUE"""),"")</f>
        <v/>
      </c>
      <c r="R1880" s="250" t="str">
        <f>IFERROR(__xludf.DUMMYFUNCTION("""COMPUTED_VALUE"""),"")</f>
        <v/>
      </c>
      <c r="U1880" s="250" t="str">
        <f>IFERROR(__xludf.DUMMYFUNCTION("""COMPUTED_VALUE"""),"#N/A")</f>
        <v>#N/A</v>
      </c>
      <c r="V1880" s="250" t="str">
        <f>IFERROR(__xludf.DUMMYFUNCTION("""COMPUTED_VALUE"""),"#N/A")</f>
        <v>#N/A</v>
      </c>
      <c r="W1880" s="250" t="str">
        <f>IFERROR(__xludf.DUMMYFUNCTION("""COMPUTED_VALUE"""),"#N/A")</f>
        <v>#N/A</v>
      </c>
      <c r="X1880" t="b">
        <f t="shared" ref="X1880:Z1880" si="3736">ISBLANK(K1880)</f>
        <v>1</v>
      </c>
      <c r="Y1880" t="b">
        <f t="shared" si="3736"/>
        <v>0</v>
      </c>
      <c r="Z1880" t="b">
        <f t="shared" si="3736"/>
        <v>0</v>
      </c>
      <c r="AA1880">
        <f t="shared" ref="AA1880:AC1880" si="3737">IF(X1880=FALSE,1,0)</f>
        <v>0</v>
      </c>
      <c r="AB1880">
        <f t="shared" si="3737"/>
        <v>1</v>
      </c>
      <c r="AC1880">
        <f t="shared" si="3737"/>
        <v>1</v>
      </c>
      <c r="AD1880">
        <f t="shared" si="6"/>
        <v>2</v>
      </c>
      <c r="AE1880">
        <f t="shared" si="7"/>
        <v>1</v>
      </c>
    </row>
    <row r="1881">
      <c r="B1881" t="str">
        <f>IFERROR(__xludf.DUMMYFUNCTION("""COMPUTED_VALUE"""),"")</f>
        <v/>
      </c>
      <c r="C1881" t="str">
        <f>IFERROR(__xludf.DUMMYFUNCTION("""COMPUTED_VALUE"""),"")</f>
        <v/>
      </c>
      <c r="D1881" t="str">
        <f>IFERROR(__xludf.DUMMYFUNCTION("""COMPUTED_VALUE"""),"")</f>
        <v/>
      </c>
      <c r="E1881" t="str">
        <f>IFERROR(__xludf.DUMMYFUNCTION("""COMPUTED_VALUE"""),"")</f>
        <v/>
      </c>
      <c r="F1881" t="str">
        <f>IFERROR(__xludf.DUMMYFUNCTION("""COMPUTED_VALUE"""),"")</f>
        <v/>
      </c>
      <c r="G1881" t="str">
        <f>IFERROR(__xludf.DUMMYFUNCTION("""COMPUTED_VALUE"""),"")</f>
        <v/>
      </c>
      <c r="H1881" t="str">
        <f>IFERROR(__xludf.DUMMYFUNCTION("""COMPUTED_VALUE"""),"")</f>
        <v/>
      </c>
      <c r="I1881" t="str">
        <f>IFERROR(__xludf.DUMMYFUNCTION("""COMPUTED_VALUE"""),"")</f>
        <v/>
      </c>
      <c r="J1881">
        <f>IFERROR(__xludf.DUMMYFUNCTION("""COMPUTED_VALUE"""),0.0)</f>
        <v>0</v>
      </c>
      <c r="L1881" s="250" t="str">
        <f>IFERROR(__xludf.DUMMYFUNCTION("""COMPUTED_VALUE"""),"")</f>
        <v/>
      </c>
      <c r="M1881" s="250" t="str">
        <f>IFERROR(__xludf.DUMMYFUNCTION("""COMPUTED_VALUE"""),"")</f>
        <v/>
      </c>
      <c r="N1881" s="250" t="str">
        <f>IFERROR(__xludf.DUMMYFUNCTION("""COMPUTED_VALUE"""),"")</f>
        <v/>
      </c>
      <c r="O1881" s="250" t="str">
        <f>IFERROR(__xludf.DUMMYFUNCTION("""COMPUTED_VALUE"""),"")</f>
        <v/>
      </c>
      <c r="P1881" s="250" t="str">
        <f>IFERROR(__xludf.DUMMYFUNCTION("""COMPUTED_VALUE"""),"")</f>
        <v/>
      </c>
      <c r="Q1881" s="250" t="str">
        <f>IFERROR(__xludf.DUMMYFUNCTION("""COMPUTED_VALUE"""),"")</f>
        <v/>
      </c>
      <c r="R1881" s="250" t="str">
        <f>IFERROR(__xludf.DUMMYFUNCTION("""COMPUTED_VALUE"""),"")</f>
        <v/>
      </c>
      <c r="U1881" s="250" t="str">
        <f>IFERROR(__xludf.DUMMYFUNCTION("""COMPUTED_VALUE"""),"#N/A")</f>
        <v>#N/A</v>
      </c>
      <c r="V1881" s="250" t="str">
        <f>IFERROR(__xludf.DUMMYFUNCTION("""COMPUTED_VALUE"""),"#N/A")</f>
        <v>#N/A</v>
      </c>
      <c r="W1881" s="250" t="str">
        <f>IFERROR(__xludf.DUMMYFUNCTION("""COMPUTED_VALUE"""),"#N/A")</f>
        <v>#N/A</v>
      </c>
      <c r="X1881" t="b">
        <f t="shared" ref="X1881:Z1881" si="3738">ISBLANK(K1881)</f>
        <v>1</v>
      </c>
      <c r="Y1881" t="b">
        <f t="shared" si="3738"/>
        <v>0</v>
      </c>
      <c r="Z1881" t="b">
        <f t="shared" si="3738"/>
        <v>0</v>
      </c>
      <c r="AA1881">
        <f t="shared" ref="AA1881:AC1881" si="3739">IF(X1881=FALSE,1,0)</f>
        <v>0</v>
      </c>
      <c r="AB1881">
        <f t="shared" si="3739"/>
        <v>1</v>
      </c>
      <c r="AC1881">
        <f t="shared" si="3739"/>
        <v>1</v>
      </c>
      <c r="AD1881">
        <f t="shared" si="6"/>
        <v>2</v>
      </c>
      <c r="AE1881">
        <f t="shared" si="7"/>
        <v>1</v>
      </c>
    </row>
    <row r="1882">
      <c r="B1882" t="str">
        <f>IFERROR(__xludf.DUMMYFUNCTION("""COMPUTED_VALUE"""),"")</f>
        <v/>
      </c>
      <c r="C1882" t="str">
        <f>IFERROR(__xludf.DUMMYFUNCTION("""COMPUTED_VALUE"""),"")</f>
        <v/>
      </c>
      <c r="D1882" t="str">
        <f>IFERROR(__xludf.DUMMYFUNCTION("""COMPUTED_VALUE"""),"")</f>
        <v/>
      </c>
      <c r="E1882" t="str">
        <f>IFERROR(__xludf.DUMMYFUNCTION("""COMPUTED_VALUE"""),"")</f>
        <v/>
      </c>
      <c r="F1882" t="str">
        <f>IFERROR(__xludf.DUMMYFUNCTION("""COMPUTED_VALUE"""),"")</f>
        <v/>
      </c>
      <c r="G1882" t="str">
        <f>IFERROR(__xludf.DUMMYFUNCTION("""COMPUTED_VALUE"""),"")</f>
        <v/>
      </c>
      <c r="H1882" t="str">
        <f>IFERROR(__xludf.DUMMYFUNCTION("""COMPUTED_VALUE"""),"")</f>
        <v/>
      </c>
      <c r="I1882" t="str">
        <f>IFERROR(__xludf.DUMMYFUNCTION("""COMPUTED_VALUE"""),"")</f>
        <v/>
      </c>
      <c r="J1882">
        <f>IFERROR(__xludf.DUMMYFUNCTION("""COMPUTED_VALUE"""),0.0)</f>
        <v>0</v>
      </c>
      <c r="L1882" s="250" t="str">
        <f>IFERROR(__xludf.DUMMYFUNCTION("""COMPUTED_VALUE"""),"")</f>
        <v/>
      </c>
      <c r="M1882" s="250" t="str">
        <f>IFERROR(__xludf.DUMMYFUNCTION("""COMPUTED_VALUE"""),"")</f>
        <v/>
      </c>
      <c r="N1882" s="250" t="str">
        <f>IFERROR(__xludf.DUMMYFUNCTION("""COMPUTED_VALUE"""),"")</f>
        <v/>
      </c>
      <c r="O1882" s="250" t="str">
        <f>IFERROR(__xludf.DUMMYFUNCTION("""COMPUTED_VALUE"""),"")</f>
        <v/>
      </c>
      <c r="P1882" s="250" t="str">
        <f>IFERROR(__xludf.DUMMYFUNCTION("""COMPUTED_VALUE"""),"")</f>
        <v/>
      </c>
      <c r="Q1882" s="250" t="str">
        <f>IFERROR(__xludf.DUMMYFUNCTION("""COMPUTED_VALUE"""),"")</f>
        <v/>
      </c>
      <c r="R1882" s="250" t="str">
        <f>IFERROR(__xludf.DUMMYFUNCTION("""COMPUTED_VALUE"""),"")</f>
        <v/>
      </c>
      <c r="U1882" s="250" t="str">
        <f>IFERROR(__xludf.DUMMYFUNCTION("""COMPUTED_VALUE"""),"#N/A")</f>
        <v>#N/A</v>
      </c>
      <c r="V1882" s="250" t="str">
        <f>IFERROR(__xludf.DUMMYFUNCTION("""COMPUTED_VALUE"""),"#N/A")</f>
        <v>#N/A</v>
      </c>
      <c r="W1882" s="250" t="str">
        <f>IFERROR(__xludf.DUMMYFUNCTION("""COMPUTED_VALUE"""),"#N/A")</f>
        <v>#N/A</v>
      </c>
      <c r="X1882" t="b">
        <f t="shared" ref="X1882:Z1882" si="3740">ISBLANK(K1882)</f>
        <v>1</v>
      </c>
      <c r="Y1882" t="b">
        <f t="shared" si="3740"/>
        <v>0</v>
      </c>
      <c r="Z1882" t="b">
        <f t="shared" si="3740"/>
        <v>0</v>
      </c>
      <c r="AA1882">
        <f t="shared" ref="AA1882:AC1882" si="3741">IF(X1882=FALSE,1,0)</f>
        <v>0</v>
      </c>
      <c r="AB1882">
        <f t="shared" si="3741"/>
        <v>1</v>
      </c>
      <c r="AC1882">
        <f t="shared" si="3741"/>
        <v>1</v>
      </c>
      <c r="AD1882">
        <f t="shared" si="6"/>
        <v>2</v>
      </c>
      <c r="AE1882">
        <f t="shared" si="7"/>
        <v>1</v>
      </c>
    </row>
    <row r="1883">
      <c r="B1883" t="str">
        <f>IFERROR(__xludf.DUMMYFUNCTION("""COMPUTED_VALUE"""),"")</f>
        <v/>
      </c>
      <c r="C1883" t="str">
        <f>IFERROR(__xludf.DUMMYFUNCTION("""COMPUTED_VALUE"""),"")</f>
        <v/>
      </c>
      <c r="D1883" t="str">
        <f>IFERROR(__xludf.DUMMYFUNCTION("""COMPUTED_VALUE"""),"")</f>
        <v/>
      </c>
      <c r="E1883" t="str">
        <f>IFERROR(__xludf.DUMMYFUNCTION("""COMPUTED_VALUE"""),"")</f>
        <v/>
      </c>
      <c r="F1883" t="str">
        <f>IFERROR(__xludf.DUMMYFUNCTION("""COMPUTED_VALUE"""),"")</f>
        <v/>
      </c>
      <c r="G1883" t="str">
        <f>IFERROR(__xludf.DUMMYFUNCTION("""COMPUTED_VALUE"""),"")</f>
        <v/>
      </c>
      <c r="H1883" t="str">
        <f>IFERROR(__xludf.DUMMYFUNCTION("""COMPUTED_VALUE"""),"")</f>
        <v/>
      </c>
      <c r="I1883" t="str">
        <f>IFERROR(__xludf.DUMMYFUNCTION("""COMPUTED_VALUE"""),"")</f>
        <v/>
      </c>
      <c r="J1883">
        <f>IFERROR(__xludf.DUMMYFUNCTION("""COMPUTED_VALUE"""),0.0)</f>
        <v>0</v>
      </c>
      <c r="L1883" s="250" t="str">
        <f>IFERROR(__xludf.DUMMYFUNCTION("""COMPUTED_VALUE"""),"")</f>
        <v/>
      </c>
      <c r="M1883" s="250" t="str">
        <f>IFERROR(__xludf.DUMMYFUNCTION("""COMPUTED_VALUE"""),"")</f>
        <v/>
      </c>
      <c r="N1883" s="250" t="str">
        <f>IFERROR(__xludf.DUMMYFUNCTION("""COMPUTED_VALUE"""),"")</f>
        <v/>
      </c>
      <c r="O1883" s="250" t="str">
        <f>IFERROR(__xludf.DUMMYFUNCTION("""COMPUTED_VALUE"""),"")</f>
        <v/>
      </c>
      <c r="P1883" s="250" t="str">
        <f>IFERROR(__xludf.DUMMYFUNCTION("""COMPUTED_VALUE"""),"")</f>
        <v/>
      </c>
      <c r="Q1883" s="250" t="str">
        <f>IFERROR(__xludf.DUMMYFUNCTION("""COMPUTED_VALUE"""),"")</f>
        <v/>
      </c>
      <c r="R1883" s="250" t="str">
        <f>IFERROR(__xludf.DUMMYFUNCTION("""COMPUTED_VALUE"""),"")</f>
        <v/>
      </c>
      <c r="U1883" s="250" t="str">
        <f>IFERROR(__xludf.DUMMYFUNCTION("""COMPUTED_VALUE"""),"#N/A")</f>
        <v>#N/A</v>
      </c>
      <c r="V1883" s="250" t="str">
        <f>IFERROR(__xludf.DUMMYFUNCTION("""COMPUTED_VALUE"""),"#N/A")</f>
        <v>#N/A</v>
      </c>
      <c r="W1883" s="250" t="str">
        <f>IFERROR(__xludf.DUMMYFUNCTION("""COMPUTED_VALUE"""),"#N/A")</f>
        <v>#N/A</v>
      </c>
      <c r="X1883" t="b">
        <f t="shared" ref="X1883:Z1883" si="3742">ISBLANK(K1883)</f>
        <v>1</v>
      </c>
      <c r="Y1883" t="b">
        <f t="shared" si="3742"/>
        <v>0</v>
      </c>
      <c r="Z1883" t="b">
        <f t="shared" si="3742"/>
        <v>0</v>
      </c>
      <c r="AA1883">
        <f t="shared" ref="AA1883:AC1883" si="3743">IF(X1883=FALSE,1,0)</f>
        <v>0</v>
      </c>
      <c r="AB1883">
        <f t="shared" si="3743"/>
        <v>1</v>
      </c>
      <c r="AC1883">
        <f t="shared" si="3743"/>
        <v>1</v>
      </c>
      <c r="AD1883">
        <f t="shared" si="6"/>
        <v>2</v>
      </c>
      <c r="AE1883">
        <f t="shared" si="7"/>
        <v>1</v>
      </c>
    </row>
    <row r="1884">
      <c r="B1884" t="str">
        <f>IFERROR(__xludf.DUMMYFUNCTION("""COMPUTED_VALUE"""),"")</f>
        <v/>
      </c>
      <c r="C1884" t="str">
        <f>IFERROR(__xludf.DUMMYFUNCTION("""COMPUTED_VALUE"""),"")</f>
        <v/>
      </c>
      <c r="D1884" t="str">
        <f>IFERROR(__xludf.DUMMYFUNCTION("""COMPUTED_VALUE"""),"")</f>
        <v/>
      </c>
      <c r="E1884" t="str">
        <f>IFERROR(__xludf.DUMMYFUNCTION("""COMPUTED_VALUE"""),"")</f>
        <v/>
      </c>
      <c r="F1884" t="str">
        <f>IFERROR(__xludf.DUMMYFUNCTION("""COMPUTED_VALUE"""),"")</f>
        <v/>
      </c>
      <c r="G1884" t="str">
        <f>IFERROR(__xludf.DUMMYFUNCTION("""COMPUTED_VALUE"""),"")</f>
        <v/>
      </c>
      <c r="H1884" t="str">
        <f>IFERROR(__xludf.DUMMYFUNCTION("""COMPUTED_VALUE"""),"")</f>
        <v/>
      </c>
      <c r="I1884" t="str">
        <f>IFERROR(__xludf.DUMMYFUNCTION("""COMPUTED_VALUE"""),"")</f>
        <v/>
      </c>
      <c r="J1884">
        <f>IFERROR(__xludf.DUMMYFUNCTION("""COMPUTED_VALUE"""),0.0)</f>
        <v>0</v>
      </c>
      <c r="L1884" s="250" t="str">
        <f>IFERROR(__xludf.DUMMYFUNCTION("""COMPUTED_VALUE"""),"")</f>
        <v/>
      </c>
      <c r="M1884" s="250" t="str">
        <f>IFERROR(__xludf.DUMMYFUNCTION("""COMPUTED_VALUE"""),"")</f>
        <v/>
      </c>
      <c r="N1884" s="250" t="str">
        <f>IFERROR(__xludf.DUMMYFUNCTION("""COMPUTED_VALUE"""),"")</f>
        <v/>
      </c>
      <c r="O1884" s="250" t="str">
        <f>IFERROR(__xludf.DUMMYFUNCTION("""COMPUTED_VALUE"""),"")</f>
        <v/>
      </c>
      <c r="P1884" s="250" t="str">
        <f>IFERROR(__xludf.DUMMYFUNCTION("""COMPUTED_VALUE"""),"")</f>
        <v/>
      </c>
      <c r="Q1884" s="250" t="str">
        <f>IFERROR(__xludf.DUMMYFUNCTION("""COMPUTED_VALUE"""),"")</f>
        <v/>
      </c>
      <c r="R1884" s="250" t="str">
        <f>IFERROR(__xludf.DUMMYFUNCTION("""COMPUTED_VALUE"""),"")</f>
        <v/>
      </c>
      <c r="U1884" s="250" t="str">
        <f>IFERROR(__xludf.DUMMYFUNCTION("""COMPUTED_VALUE"""),"#N/A")</f>
        <v>#N/A</v>
      </c>
      <c r="V1884" s="250" t="str">
        <f>IFERROR(__xludf.DUMMYFUNCTION("""COMPUTED_VALUE"""),"#N/A")</f>
        <v>#N/A</v>
      </c>
      <c r="W1884" s="250" t="str">
        <f>IFERROR(__xludf.DUMMYFUNCTION("""COMPUTED_VALUE"""),"#N/A")</f>
        <v>#N/A</v>
      </c>
      <c r="X1884" t="b">
        <f t="shared" ref="X1884:Z1884" si="3744">ISBLANK(K1884)</f>
        <v>1</v>
      </c>
      <c r="Y1884" t="b">
        <f t="shared" si="3744"/>
        <v>0</v>
      </c>
      <c r="Z1884" t="b">
        <f t="shared" si="3744"/>
        <v>0</v>
      </c>
      <c r="AA1884">
        <f t="shared" ref="AA1884:AC1884" si="3745">IF(X1884=FALSE,1,0)</f>
        <v>0</v>
      </c>
      <c r="AB1884">
        <f t="shared" si="3745"/>
        <v>1</v>
      </c>
      <c r="AC1884">
        <f t="shared" si="3745"/>
        <v>1</v>
      </c>
      <c r="AD1884">
        <f t="shared" si="6"/>
        <v>2</v>
      </c>
      <c r="AE1884">
        <f t="shared" si="7"/>
        <v>1</v>
      </c>
    </row>
    <row r="1885">
      <c r="B1885" t="str">
        <f>IFERROR(__xludf.DUMMYFUNCTION("""COMPUTED_VALUE"""),"")</f>
        <v/>
      </c>
      <c r="C1885" t="str">
        <f>IFERROR(__xludf.DUMMYFUNCTION("""COMPUTED_VALUE"""),"")</f>
        <v/>
      </c>
      <c r="D1885" t="str">
        <f>IFERROR(__xludf.DUMMYFUNCTION("""COMPUTED_VALUE"""),"")</f>
        <v/>
      </c>
      <c r="E1885" t="str">
        <f>IFERROR(__xludf.DUMMYFUNCTION("""COMPUTED_VALUE"""),"")</f>
        <v/>
      </c>
      <c r="F1885" t="str">
        <f>IFERROR(__xludf.DUMMYFUNCTION("""COMPUTED_VALUE"""),"")</f>
        <v/>
      </c>
      <c r="G1885" t="str">
        <f>IFERROR(__xludf.DUMMYFUNCTION("""COMPUTED_VALUE"""),"")</f>
        <v/>
      </c>
      <c r="H1885" t="str">
        <f>IFERROR(__xludf.DUMMYFUNCTION("""COMPUTED_VALUE"""),"")</f>
        <v/>
      </c>
      <c r="I1885" t="str">
        <f>IFERROR(__xludf.DUMMYFUNCTION("""COMPUTED_VALUE"""),"")</f>
        <v/>
      </c>
      <c r="J1885">
        <f>IFERROR(__xludf.DUMMYFUNCTION("""COMPUTED_VALUE"""),0.0)</f>
        <v>0</v>
      </c>
      <c r="L1885" s="250" t="str">
        <f>IFERROR(__xludf.DUMMYFUNCTION("""COMPUTED_VALUE"""),"")</f>
        <v/>
      </c>
      <c r="M1885" s="250" t="str">
        <f>IFERROR(__xludf.DUMMYFUNCTION("""COMPUTED_VALUE"""),"")</f>
        <v/>
      </c>
      <c r="N1885" s="250" t="str">
        <f>IFERROR(__xludf.DUMMYFUNCTION("""COMPUTED_VALUE"""),"")</f>
        <v/>
      </c>
      <c r="O1885" s="250" t="str">
        <f>IFERROR(__xludf.DUMMYFUNCTION("""COMPUTED_VALUE"""),"")</f>
        <v/>
      </c>
      <c r="P1885" s="250" t="str">
        <f>IFERROR(__xludf.DUMMYFUNCTION("""COMPUTED_VALUE"""),"")</f>
        <v/>
      </c>
      <c r="Q1885" s="250" t="str">
        <f>IFERROR(__xludf.DUMMYFUNCTION("""COMPUTED_VALUE"""),"")</f>
        <v/>
      </c>
      <c r="R1885" s="250" t="str">
        <f>IFERROR(__xludf.DUMMYFUNCTION("""COMPUTED_VALUE"""),"")</f>
        <v/>
      </c>
      <c r="U1885" s="250" t="str">
        <f>IFERROR(__xludf.DUMMYFUNCTION("""COMPUTED_VALUE"""),"#N/A")</f>
        <v>#N/A</v>
      </c>
      <c r="V1885" s="250" t="str">
        <f>IFERROR(__xludf.DUMMYFUNCTION("""COMPUTED_VALUE"""),"#N/A")</f>
        <v>#N/A</v>
      </c>
      <c r="W1885" s="250" t="str">
        <f>IFERROR(__xludf.DUMMYFUNCTION("""COMPUTED_VALUE"""),"#N/A")</f>
        <v>#N/A</v>
      </c>
      <c r="X1885" t="b">
        <f t="shared" ref="X1885:Z1885" si="3746">ISBLANK(K1885)</f>
        <v>1</v>
      </c>
      <c r="Y1885" t="b">
        <f t="shared" si="3746"/>
        <v>0</v>
      </c>
      <c r="Z1885" t="b">
        <f t="shared" si="3746"/>
        <v>0</v>
      </c>
      <c r="AA1885">
        <f t="shared" ref="AA1885:AC1885" si="3747">IF(X1885=FALSE,1,0)</f>
        <v>0</v>
      </c>
      <c r="AB1885">
        <f t="shared" si="3747"/>
        <v>1</v>
      </c>
      <c r="AC1885">
        <f t="shared" si="3747"/>
        <v>1</v>
      </c>
      <c r="AD1885">
        <f t="shared" si="6"/>
        <v>2</v>
      </c>
      <c r="AE1885">
        <f t="shared" si="7"/>
        <v>1</v>
      </c>
    </row>
    <row r="1886">
      <c r="B1886" t="str">
        <f>IFERROR(__xludf.DUMMYFUNCTION("""COMPUTED_VALUE"""),"")</f>
        <v/>
      </c>
      <c r="C1886" t="str">
        <f>IFERROR(__xludf.DUMMYFUNCTION("""COMPUTED_VALUE"""),"")</f>
        <v/>
      </c>
      <c r="D1886" t="str">
        <f>IFERROR(__xludf.DUMMYFUNCTION("""COMPUTED_VALUE"""),"")</f>
        <v/>
      </c>
      <c r="E1886" t="str">
        <f>IFERROR(__xludf.DUMMYFUNCTION("""COMPUTED_VALUE"""),"")</f>
        <v/>
      </c>
      <c r="F1886" t="str">
        <f>IFERROR(__xludf.DUMMYFUNCTION("""COMPUTED_VALUE"""),"")</f>
        <v/>
      </c>
      <c r="G1886" t="str">
        <f>IFERROR(__xludf.DUMMYFUNCTION("""COMPUTED_VALUE"""),"")</f>
        <v/>
      </c>
      <c r="H1886" t="str">
        <f>IFERROR(__xludf.DUMMYFUNCTION("""COMPUTED_VALUE"""),"")</f>
        <v/>
      </c>
      <c r="I1886" t="str">
        <f>IFERROR(__xludf.DUMMYFUNCTION("""COMPUTED_VALUE"""),"")</f>
        <v/>
      </c>
      <c r="J1886">
        <f>IFERROR(__xludf.DUMMYFUNCTION("""COMPUTED_VALUE"""),0.0)</f>
        <v>0</v>
      </c>
      <c r="L1886" s="250" t="str">
        <f>IFERROR(__xludf.DUMMYFUNCTION("""COMPUTED_VALUE"""),"")</f>
        <v/>
      </c>
      <c r="M1886" s="250" t="str">
        <f>IFERROR(__xludf.DUMMYFUNCTION("""COMPUTED_VALUE"""),"")</f>
        <v/>
      </c>
      <c r="N1886" s="250" t="str">
        <f>IFERROR(__xludf.DUMMYFUNCTION("""COMPUTED_VALUE"""),"")</f>
        <v/>
      </c>
      <c r="O1886" s="250" t="str">
        <f>IFERROR(__xludf.DUMMYFUNCTION("""COMPUTED_VALUE"""),"")</f>
        <v/>
      </c>
      <c r="P1886" s="250" t="str">
        <f>IFERROR(__xludf.DUMMYFUNCTION("""COMPUTED_VALUE"""),"")</f>
        <v/>
      </c>
      <c r="Q1886" s="250" t="str">
        <f>IFERROR(__xludf.DUMMYFUNCTION("""COMPUTED_VALUE"""),"")</f>
        <v/>
      </c>
      <c r="R1886" s="250" t="str">
        <f>IFERROR(__xludf.DUMMYFUNCTION("""COMPUTED_VALUE"""),"")</f>
        <v/>
      </c>
      <c r="U1886" s="250" t="str">
        <f>IFERROR(__xludf.DUMMYFUNCTION("""COMPUTED_VALUE"""),"#N/A")</f>
        <v>#N/A</v>
      </c>
      <c r="V1886" s="250" t="str">
        <f>IFERROR(__xludf.DUMMYFUNCTION("""COMPUTED_VALUE"""),"#N/A")</f>
        <v>#N/A</v>
      </c>
      <c r="W1886" s="250" t="str">
        <f>IFERROR(__xludf.DUMMYFUNCTION("""COMPUTED_VALUE"""),"#N/A")</f>
        <v>#N/A</v>
      </c>
      <c r="X1886" t="b">
        <f t="shared" ref="X1886:Z1886" si="3748">ISBLANK(K1886)</f>
        <v>1</v>
      </c>
      <c r="Y1886" t="b">
        <f t="shared" si="3748"/>
        <v>0</v>
      </c>
      <c r="Z1886" t="b">
        <f t="shared" si="3748"/>
        <v>0</v>
      </c>
      <c r="AA1886">
        <f t="shared" ref="AA1886:AC1886" si="3749">IF(X1886=FALSE,1,0)</f>
        <v>0</v>
      </c>
      <c r="AB1886">
        <f t="shared" si="3749"/>
        <v>1</v>
      </c>
      <c r="AC1886">
        <f t="shared" si="3749"/>
        <v>1</v>
      </c>
      <c r="AD1886">
        <f t="shared" si="6"/>
        <v>2</v>
      </c>
      <c r="AE1886">
        <f t="shared" si="7"/>
        <v>1</v>
      </c>
    </row>
    <row r="1887">
      <c r="B1887" t="str">
        <f>IFERROR(__xludf.DUMMYFUNCTION("""COMPUTED_VALUE"""),"")</f>
        <v/>
      </c>
      <c r="C1887" t="str">
        <f>IFERROR(__xludf.DUMMYFUNCTION("""COMPUTED_VALUE"""),"")</f>
        <v/>
      </c>
      <c r="D1887" t="str">
        <f>IFERROR(__xludf.DUMMYFUNCTION("""COMPUTED_VALUE"""),"")</f>
        <v/>
      </c>
      <c r="E1887" t="str">
        <f>IFERROR(__xludf.DUMMYFUNCTION("""COMPUTED_VALUE"""),"")</f>
        <v/>
      </c>
      <c r="F1887" t="str">
        <f>IFERROR(__xludf.DUMMYFUNCTION("""COMPUTED_VALUE"""),"")</f>
        <v/>
      </c>
      <c r="G1887" t="str">
        <f>IFERROR(__xludf.DUMMYFUNCTION("""COMPUTED_VALUE"""),"")</f>
        <v/>
      </c>
      <c r="H1887" t="str">
        <f>IFERROR(__xludf.DUMMYFUNCTION("""COMPUTED_VALUE"""),"")</f>
        <v/>
      </c>
      <c r="I1887" t="str">
        <f>IFERROR(__xludf.DUMMYFUNCTION("""COMPUTED_VALUE"""),"")</f>
        <v/>
      </c>
      <c r="J1887">
        <f>IFERROR(__xludf.DUMMYFUNCTION("""COMPUTED_VALUE"""),0.0)</f>
        <v>0</v>
      </c>
      <c r="L1887" s="250" t="str">
        <f>IFERROR(__xludf.DUMMYFUNCTION("""COMPUTED_VALUE"""),"")</f>
        <v/>
      </c>
      <c r="M1887" s="250" t="str">
        <f>IFERROR(__xludf.DUMMYFUNCTION("""COMPUTED_VALUE"""),"")</f>
        <v/>
      </c>
      <c r="N1887" s="250" t="str">
        <f>IFERROR(__xludf.DUMMYFUNCTION("""COMPUTED_VALUE"""),"")</f>
        <v/>
      </c>
      <c r="O1887" s="250" t="str">
        <f>IFERROR(__xludf.DUMMYFUNCTION("""COMPUTED_VALUE"""),"")</f>
        <v/>
      </c>
      <c r="P1887" s="250" t="str">
        <f>IFERROR(__xludf.DUMMYFUNCTION("""COMPUTED_VALUE"""),"")</f>
        <v/>
      </c>
      <c r="Q1887" s="250" t="str">
        <f>IFERROR(__xludf.DUMMYFUNCTION("""COMPUTED_VALUE"""),"")</f>
        <v/>
      </c>
      <c r="R1887" s="250" t="str">
        <f>IFERROR(__xludf.DUMMYFUNCTION("""COMPUTED_VALUE"""),"")</f>
        <v/>
      </c>
      <c r="U1887" s="250" t="str">
        <f>IFERROR(__xludf.DUMMYFUNCTION("""COMPUTED_VALUE"""),"#N/A")</f>
        <v>#N/A</v>
      </c>
      <c r="V1887" s="250" t="str">
        <f>IFERROR(__xludf.DUMMYFUNCTION("""COMPUTED_VALUE"""),"#N/A")</f>
        <v>#N/A</v>
      </c>
      <c r="W1887" s="250" t="str">
        <f>IFERROR(__xludf.DUMMYFUNCTION("""COMPUTED_VALUE"""),"#N/A")</f>
        <v>#N/A</v>
      </c>
      <c r="X1887" t="b">
        <f t="shared" ref="X1887:Z1887" si="3750">ISBLANK(K1887)</f>
        <v>1</v>
      </c>
      <c r="Y1887" t="b">
        <f t="shared" si="3750"/>
        <v>0</v>
      </c>
      <c r="Z1887" t="b">
        <f t="shared" si="3750"/>
        <v>0</v>
      </c>
      <c r="AA1887">
        <f t="shared" ref="AA1887:AC1887" si="3751">IF(X1887=FALSE,1,0)</f>
        <v>0</v>
      </c>
      <c r="AB1887">
        <f t="shared" si="3751"/>
        <v>1</v>
      </c>
      <c r="AC1887">
        <f t="shared" si="3751"/>
        <v>1</v>
      </c>
      <c r="AD1887">
        <f t="shared" si="6"/>
        <v>2</v>
      </c>
      <c r="AE1887">
        <f t="shared" si="7"/>
        <v>1</v>
      </c>
    </row>
    <row r="1888">
      <c r="B1888" t="str">
        <f>IFERROR(__xludf.DUMMYFUNCTION("""COMPUTED_VALUE"""),"")</f>
        <v/>
      </c>
      <c r="C1888" t="str">
        <f>IFERROR(__xludf.DUMMYFUNCTION("""COMPUTED_VALUE"""),"")</f>
        <v/>
      </c>
      <c r="D1888" t="str">
        <f>IFERROR(__xludf.DUMMYFUNCTION("""COMPUTED_VALUE"""),"")</f>
        <v/>
      </c>
      <c r="E1888" t="str">
        <f>IFERROR(__xludf.DUMMYFUNCTION("""COMPUTED_VALUE"""),"")</f>
        <v/>
      </c>
      <c r="F1888" t="str">
        <f>IFERROR(__xludf.DUMMYFUNCTION("""COMPUTED_VALUE"""),"")</f>
        <v/>
      </c>
      <c r="G1888" t="str">
        <f>IFERROR(__xludf.DUMMYFUNCTION("""COMPUTED_VALUE"""),"")</f>
        <v/>
      </c>
      <c r="H1888" t="str">
        <f>IFERROR(__xludf.DUMMYFUNCTION("""COMPUTED_VALUE"""),"")</f>
        <v/>
      </c>
      <c r="I1888" t="str">
        <f>IFERROR(__xludf.DUMMYFUNCTION("""COMPUTED_VALUE"""),"")</f>
        <v/>
      </c>
      <c r="J1888">
        <f>IFERROR(__xludf.DUMMYFUNCTION("""COMPUTED_VALUE"""),0.0)</f>
        <v>0</v>
      </c>
      <c r="L1888" s="250" t="str">
        <f>IFERROR(__xludf.DUMMYFUNCTION("""COMPUTED_VALUE"""),"")</f>
        <v/>
      </c>
      <c r="M1888" s="250" t="str">
        <f>IFERROR(__xludf.DUMMYFUNCTION("""COMPUTED_VALUE"""),"")</f>
        <v/>
      </c>
      <c r="N1888" s="250" t="str">
        <f>IFERROR(__xludf.DUMMYFUNCTION("""COMPUTED_VALUE"""),"")</f>
        <v/>
      </c>
      <c r="O1888" s="250" t="str">
        <f>IFERROR(__xludf.DUMMYFUNCTION("""COMPUTED_VALUE"""),"")</f>
        <v/>
      </c>
      <c r="P1888" s="250" t="str">
        <f>IFERROR(__xludf.DUMMYFUNCTION("""COMPUTED_VALUE"""),"")</f>
        <v/>
      </c>
      <c r="Q1888" s="250" t="str">
        <f>IFERROR(__xludf.DUMMYFUNCTION("""COMPUTED_VALUE"""),"")</f>
        <v/>
      </c>
      <c r="R1888" s="250" t="str">
        <f>IFERROR(__xludf.DUMMYFUNCTION("""COMPUTED_VALUE"""),"")</f>
        <v/>
      </c>
      <c r="U1888" s="250" t="str">
        <f>IFERROR(__xludf.DUMMYFUNCTION("""COMPUTED_VALUE"""),"#N/A")</f>
        <v>#N/A</v>
      </c>
      <c r="V1888" s="250" t="str">
        <f>IFERROR(__xludf.DUMMYFUNCTION("""COMPUTED_VALUE"""),"#N/A")</f>
        <v>#N/A</v>
      </c>
      <c r="W1888" s="250" t="str">
        <f>IFERROR(__xludf.DUMMYFUNCTION("""COMPUTED_VALUE"""),"#N/A")</f>
        <v>#N/A</v>
      </c>
      <c r="X1888" t="b">
        <f t="shared" ref="X1888:Z1888" si="3752">ISBLANK(K1888)</f>
        <v>1</v>
      </c>
      <c r="Y1888" t="b">
        <f t="shared" si="3752"/>
        <v>0</v>
      </c>
      <c r="Z1888" t="b">
        <f t="shared" si="3752"/>
        <v>0</v>
      </c>
      <c r="AA1888">
        <f t="shared" ref="AA1888:AC1888" si="3753">IF(X1888=FALSE,1,0)</f>
        <v>0</v>
      </c>
      <c r="AB1888">
        <f t="shared" si="3753"/>
        <v>1</v>
      </c>
      <c r="AC1888">
        <f t="shared" si="3753"/>
        <v>1</v>
      </c>
      <c r="AD1888">
        <f t="shared" si="6"/>
        <v>2</v>
      </c>
      <c r="AE1888">
        <f t="shared" si="7"/>
        <v>1</v>
      </c>
    </row>
    <row r="1889">
      <c r="B1889" t="str">
        <f>IFERROR(__xludf.DUMMYFUNCTION("""COMPUTED_VALUE"""),"")</f>
        <v/>
      </c>
      <c r="C1889" t="str">
        <f>IFERROR(__xludf.DUMMYFUNCTION("""COMPUTED_VALUE"""),"")</f>
        <v/>
      </c>
      <c r="D1889" t="str">
        <f>IFERROR(__xludf.DUMMYFUNCTION("""COMPUTED_VALUE"""),"")</f>
        <v/>
      </c>
      <c r="E1889" t="str">
        <f>IFERROR(__xludf.DUMMYFUNCTION("""COMPUTED_VALUE"""),"")</f>
        <v/>
      </c>
      <c r="F1889" t="str">
        <f>IFERROR(__xludf.DUMMYFUNCTION("""COMPUTED_VALUE"""),"")</f>
        <v/>
      </c>
      <c r="G1889" t="str">
        <f>IFERROR(__xludf.DUMMYFUNCTION("""COMPUTED_VALUE"""),"")</f>
        <v/>
      </c>
      <c r="H1889" t="str">
        <f>IFERROR(__xludf.DUMMYFUNCTION("""COMPUTED_VALUE"""),"")</f>
        <v/>
      </c>
      <c r="I1889" t="str">
        <f>IFERROR(__xludf.DUMMYFUNCTION("""COMPUTED_VALUE"""),"")</f>
        <v/>
      </c>
      <c r="J1889">
        <f>IFERROR(__xludf.DUMMYFUNCTION("""COMPUTED_VALUE"""),0.0)</f>
        <v>0</v>
      </c>
      <c r="L1889" s="250" t="str">
        <f>IFERROR(__xludf.DUMMYFUNCTION("""COMPUTED_VALUE"""),"")</f>
        <v/>
      </c>
      <c r="M1889" s="250" t="str">
        <f>IFERROR(__xludf.DUMMYFUNCTION("""COMPUTED_VALUE"""),"")</f>
        <v/>
      </c>
      <c r="N1889" s="250" t="str">
        <f>IFERROR(__xludf.DUMMYFUNCTION("""COMPUTED_VALUE"""),"")</f>
        <v/>
      </c>
      <c r="O1889" s="250" t="str">
        <f>IFERROR(__xludf.DUMMYFUNCTION("""COMPUTED_VALUE"""),"")</f>
        <v/>
      </c>
      <c r="P1889" s="250" t="str">
        <f>IFERROR(__xludf.DUMMYFUNCTION("""COMPUTED_VALUE"""),"")</f>
        <v/>
      </c>
      <c r="Q1889" s="250" t="str">
        <f>IFERROR(__xludf.DUMMYFUNCTION("""COMPUTED_VALUE"""),"")</f>
        <v/>
      </c>
      <c r="R1889" s="250" t="str">
        <f>IFERROR(__xludf.DUMMYFUNCTION("""COMPUTED_VALUE"""),"")</f>
        <v/>
      </c>
      <c r="U1889" s="250" t="str">
        <f>IFERROR(__xludf.DUMMYFUNCTION("""COMPUTED_VALUE"""),"#N/A")</f>
        <v>#N/A</v>
      </c>
      <c r="V1889" s="250" t="str">
        <f>IFERROR(__xludf.DUMMYFUNCTION("""COMPUTED_VALUE"""),"#N/A")</f>
        <v>#N/A</v>
      </c>
      <c r="W1889" s="250" t="str">
        <f>IFERROR(__xludf.DUMMYFUNCTION("""COMPUTED_VALUE"""),"#N/A")</f>
        <v>#N/A</v>
      </c>
      <c r="X1889" t="b">
        <f t="shared" ref="X1889:Z1889" si="3754">ISBLANK(K1889)</f>
        <v>1</v>
      </c>
      <c r="Y1889" t="b">
        <f t="shared" si="3754"/>
        <v>0</v>
      </c>
      <c r="Z1889" t="b">
        <f t="shared" si="3754"/>
        <v>0</v>
      </c>
      <c r="AA1889">
        <f t="shared" ref="AA1889:AC1889" si="3755">IF(X1889=FALSE,1,0)</f>
        <v>0</v>
      </c>
      <c r="AB1889">
        <f t="shared" si="3755"/>
        <v>1</v>
      </c>
      <c r="AC1889">
        <f t="shared" si="3755"/>
        <v>1</v>
      </c>
      <c r="AD1889">
        <f t="shared" si="6"/>
        <v>2</v>
      </c>
      <c r="AE1889">
        <f t="shared" si="7"/>
        <v>1</v>
      </c>
    </row>
    <row r="1890">
      <c r="B1890" t="str">
        <f>IFERROR(__xludf.DUMMYFUNCTION("""COMPUTED_VALUE"""),"")</f>
        <v/>
      </c>
      <c r="C1890" t="str">
        <f>IFERROR(__xludf.DUMMYFUNCTION("""COMPUTED_VALUE"""),"")</f>
        <v/>
      </c>
      <c r="D1890" t="str">
        <f>IFERROR(__xludf.DUMMYFUNCTION("""COMPUTED_VALUE"""),"")</f>
        <v/>
      </c>
      <c r="E1890" t="str">
        <f>IFERROR(__xludf.DUMMYFUNCTION("""COMPUTED_VALUE"""),"")</f>
        <v/>
      </c>
      <c r="F1890" t="str">
        <f>IFERROR(__xludf.DUMMYFUNCTION("""COMPUTED_VALUE"""),"")</f>
        <v/>
      </c>
      <c r="G1890" t="str">
        <f>IFERROR(__xludf.DUMMYFUNCTION("""COMPUTED_VALUE"""),"")</f>
        <v/>
      </c>
      <c r="H1890" t="str">
        <f>IFERROR(__xludf.DUMMYFUNCTION("""COMPUTED_VALUE"""),"")</f>
        <v/>
      </c>
      <c r="I1890" t="str">
        <f>IFERROR(__xludf.DUMMYFUNCTION("""COMPUTED_VALUE"""),"")</f>
        <v/>
      </c>
      <c r="J1890">
        <f>IFERROR(__xludf.DUMMYFUNCTION("""COMPUTED_VALUE"""),0.0)</f>
        <v>0</v>
      </c>
      <c r="L1890" s="250" t="str">
        <f>IFERROR(__xludf.DUMMYFUNCTION("""COMPUTED_VALUE"""),"")</f>
        <v/>
      </c>
      <c r="M1890" s="250" t="str">
        <f>IFERROR(__xludf.DUMMYFUNCTION("""COMPUTED_VALUE"""),"")</f>
        <v/>
      </c>
      <c r="N1890" s="250" t="str">
        <f>IFERROR(__xludf.DUMMYFUNCTION("""COMPUTED_VALUE"""),"")</f>
        <v/>
      </c>
      <c r="O1890" s="250" t="str">
        <f>IFERROR(__xludf.DUMMYFUNCTION("""COMPUTED_VALUE"""),"")</f>
        <v/>
      </c>
      <c r="P1890" s="250" t="str">
        <f>IFERROR(__xludf.DUMMYFUNCTION("""COMPUTED_VALUE"""),"")</f>
        <v/>
      </c>
      <c r="Q1890" s="250" t="str">
        <f>IFERROR(__xludf.DUMMYFUNCTION("""COMPUTED_VALUE"""),"")</f>
        <v/>
      </c>
      <c r="R1890" s="250" t="str">
        <f>IFERROR(__xludf.DUMMYFUNCTION("""COMPUTED_VALUE"""),"")</f>
        <v/>
      </c>
      <c r="U1890" s="250" t="str">
        <f>IFERROR(__xludf.DUMMYFUNCTION("""COMPUTED_VALUE"""),"#N/A")</f>
        <v>#N/A</v>
      </c>
      <c r="V1890" s="250" t="str">
        <f>IFERROR(__xludf.DUMMYFUNCTION("""COMPUTED_VALUE"""),"#N/A")</f>
        <v>#N/A</v>
      </c>
      <c r="W1890" s="250" t="str">
        <f>IFERROR(__xludf.DUMMYFUNCTION("""COMPUTED_VALUE"""),"#N/A")</f>
        <v>#N/A</v>
      </c>
      <c r="X1890" t="b">
        <f t="shared" ref="X1890:Z1890" si="3756">ISBLANK(K1890)</f>
        <v>1</v>
      </c>
      <c r="Y1890" t="b">
        <f t="shared" si="3756"/>
        <v>0</v>
      </c>
      <c r="Z1890" t="b">
        <f t="shared" si="3756"/>
        <v>0</v>
      </c>
      <c r="AA1890">
        <f t="shared" ref="AA1890:AC1890" si="3757">IF(X1890=FALSE,1,0)</f>
        <v>0</v>
      </c>
      <c r="AB1890">
        <f t="shared" si="3757"/>
        <v>1</v>
      </c>
      <c r="AC1890">
        <f t="shared" si="3757"/>
        <v>1</v>
      </c>
      <c r="AD1890">
        <f t="shared" si="6"/>
        <v>2</v>
      </c>
      <c r="AE1890">
        <f t="shared" si="7"/>
        <v>1</v>
      </c>
    </row>
    <row r="1891">
      <c r="B1891" t="str">
        <f>IFERROR(__xludf.DUMMYFUNCTION("""COMPUTED_VALUE"""),"")</f>
        <v/>
      </c>
      <c r="C1891" t="str">
        <f>IFERROR(__xludf.DUMMYFUNCTION("""COMPUTED_VALUE"""),"")</f>
        <v/>
      </c>
      <c r="D1891" t="str">
        <f>IFERROR(__xludf.DUMMYFUNCTION("""COMPUTED_VALUE"""),"")</f>
        <v/>
      </c>
      <c r="E1891" t="str">
        <f>IFERROR(__xludf.DUMMYFUNCTION("""COMPUTED_VALUE"""),"")</f>
        <v/>
      </c>
      <c r="F1891" t="str">
        <f>IFERROR(__xludf.DUMMYFUNCTION("""COMPUTED_VALUE"""),"")</f>
        <v/>
      </c>
      <c r="G1891" t="str">
        <f>IFERROR(__xludf.DUMMYFUNCTION("""COMPUTED_VALUE"""),"")</f>
        <v/>
      </c>
      <c r="H1891" t="str">
        <f>IFERROR(__xludf.DUMMYFUNCTION("""COMPUTED_VALUE"""),"")</f>
        <v/>
      </c>
      <c r="I1891" t="str">
        <f>IFERROR(__xludf.DUMMYFUNCTION("""COMPUTED_VALUE"""),"")</f>
        <v/>
      </c>
      <c r="J1891">
        <f>IFERROR(__xludf.DUMMYFUNCTION("""COMPUTED_VALUE"""),0.0)</f>
        <v>0</v>
      </c>
      <c r="L1891" s="250" t="str">
        <f>IFERROR(__xludf.DUMMYFUNCTION("""COMPUTED_VALUE"""),"")</f>
        <v/>
      </c>
      <c r="M1891" s="250" t="str">
        <f>IFERROR(__xludf.DUMMYFUNCTION("""COMPUTED_VALUE"""),"")</f>
        <v/>
      </c>
      <c r="N1891" s="250" t="str">
        <f>IFERROR(__xludf.DUMMYFUNCTION("""COMPUTED_VALUE"""),"")</f>
        <v/>
      </c>
      <c r="O1891" s="250" t="str">
        <f>IFERROR(__xludf.DUMMYFUNCTION("""COMPUTED_VALUE"""),"")</f>
        <v/>
      </c>
      <c r="P1891" s="250" t="str">
        <f>IFERROR(__xludf.DUMMYFUNCTION("""COMPUTED_VALUE"""),"")</f>
        <v/>
      </c>
      <c r="Q1891" s="250" t="str">
        <f>IFERROR(__xludf.DUMMYFUNCTION("""COMPUTED_VALUE"""),"")</f>
        <v/>
      </c>
      <c r="R1891" s="250" t="str">
        <f>IFERROR(__xludf.DUMMYFUNCTION("""COMPUTED_VALUE"""),"")</f>
        <v/>
      </c>
      <c r="U1891" s="250" t="str">
        <f>IFERROR(__xludf.DUMMYFUNCTION("""COMPUTED_VALUE"""),"#N/A")</f>
        <v>#N/A</v>
      </c>
      <c r="V1891" s="250" t="str">
        <f>IFERROR(__xludf.DUMMYFUNCTION("""COMPUTED_VALUE"""),"#N/A")</f>
        <v>#N/A</v>
      </c>
      <c r="W1891" s="250" t="str">
        <f>IFERROR(__xludf.DUMMYFUNCTION("""COMPUTED_VALUE"""),"#N/A")</f>
        <v>#N/A</v>
      </c>
      <c r="X1891" t="b">
        <f t="shared" ref="X1891:Z1891" si="3758">ISBLANK(K1891)</f>
        <v>1</v>
      </c>
      <c r="Y1891" t="b">
        <f t="shared" si="3758"/>
        <v>0</v>
      </c>
      <c r="Z1891" t="b">
        <f t="shared" si="3758"/>
        <v>0</v>
      </c>
      <c r="AA1891">
        <f t="shared" ref="AA1891:AC1891" si="3759">IF(X1891=FALSE,1,0)</f>
        <v>0</v>
      </c>
      <c r="AB1891">
        <f t="shared" si="3759"/>
        <v>1</v>
      </c>
      <c r="AC1891">
        <f t="shared" si="3759"/>
        <v>1</v>
      </c>
      <c r="AD1891">
        <f t="shared" si="6"/>
        <v>2</v>
      </c>
      <c r="AE1891">
        <f t="shared" si="7"/>
        <v>1</v>
      </c>
    </row>
    <row r="1892">
      <c r="B1892" t="str">
        <f>IFERROR(__xludf.DUMMYFUNCTION("""COMPUTED_VALUE"""),"")</f>
        <v/>
      </c>
      <c r="C1892" t="str">
        <f>IFERROR(__xludf.DUMMYFUNCTION("""COMPUTED_VALUE"""),"")</f>
        <v/>
      </c>
      <c r="D1892" t="str">
        <f>IFERROR(__xludf.DUMMYFUNCTION("""COMPUTED_VALUE"""),"")</f>
        <v/>
      </c>
      <c r="E1892" t="str">
        <f>IFERROR(__xludf.DUMMYFUNCTION("""COMPUTED_VALUE"""),"")</f>
        <v/>
      </c>
      <c r="F1892" t="str">
        <f>IFERROR(__xludf.DUMMYFUNCTION("""COMPUTED_VALUE"""),"")</f>
        <v/>
      </c>
      <c r="G1892" t="str">
        <f>IFERROR(__xludf.DUMMYFUNCTION("""COMPUTED_VALUE"""),"")</f>
        <v/>
      </c>
      <c r="H1892" t="str">
        <f>IFERROR(__xludf.DUMMYFUNCTION("""COMPUTED_VALUE"""),"")</f>
        <v/>
      </c>
      <c r="I1892" t="str">
        <f>IFERROR(__xludf.DUMMYFUNCTION("""COMPUTED_VALUE"""),"")</f>
        <v/>
      </c>
      <c r="J1892">
        <f>IFERROR(__xludf.DUMMYFUNCTION("""COMPUTED_VALUE"""),0.0)</f>
        <v>0</v>
      </c>
      <c r="L1892" s="250" t="str">
        <f>IFERROR(__xludf.DUMMYFUNCTION("""COMPUTED_VALUE"""),"")</f>
        <v/>
      </c>
      <c r="M1892" s="250" t="str">
        <f>IFERROR(__xludf.DUMMYFUNCTION("""COMPUTED_VALUE"""),"")</f>
        <v/>
      </c>
      <c r="N1892" s="250" t="str">
        <f>IFERROR(__xludf.DUMMYFUNCTION("""COMPUTED_VALUE"""),"")</f>
        <v/>
      </c>
      <c r="O1892" s="250" t="str">
        <f>IFERROR(__xludf.DUMMYFUNCTION("""COMPUTED_VALUE"""),"")</f>
        <v/>
      </c>
      <c r="P1892" s="250" t="str">
        <f>IFERROR(__xludf.DUMMYFUNCTION("""COMPUTED_VALUE"""),"")</f>
        <v/>
      </c>
      <c r="Q1892" s="250" t="str">
        <f>IFERROR(__xludf.DUMMYFUNCTION("""COMPUTED_VALUE"""),"")</f>
        <v/>
      </c>
      <c r="R1892" s="250" t="str">
        <f>IFERROR(__xludf.DUMMYFUNCTION("""COMPUTED_VALUE"""),"")</f>
        <v/>
      </c>
      <c r="U1892" s="250" t="str">
        <f>IFERROR(__xludf.DUMMYFUNCTION("""COMPUTED_VALUE"""),"#N/A")</f>
        <v>#N/A</v>
      </c>
      <c r="V1892" s="250" t="str">
        <f>IFERROR(__xludf.DUMMYFUNCTION("""COMPUTED_VALUE"""),"#N/A")</f>
        <v>#N/A</v>
      </c>
      <c r="W1892" s="250" t="str">
        <f>IFERROR(__xludf.DUMMYFUNCTION("""COMPUTED_VALUE"""),"#N/A")</f>
        <v>#N/A</v>
      </c>
      <c r="X1892" t="b">
        <f t="shared" ref="X1892:Z1892" si="3760">ISBLANK(K1892)</f>
        <v>1</v>
      </c>
      <c r="Y1892" t="b">
        <f t="shared" si="3760"/>
        <v>0</v>
      </c>
      <c r="Z1892" t="b">
        <f t="shared" si="3760"/>
        <v>0</v>
      </c>
      <c r="AA1892">
        <f t="shared" ref="AA1892:AC1892" si="3761">IF(X1892=FALSE,1,0)</f>
        <v>0</v>
      </c>
      <c r="AB1892">
        <f t="shared" si="3761"/>
        <v>1</v>
      </c>
      <c r="AC1892">
        <f t="shared" si="3761"/>
        <v>1</v>
      </c>
      <c r="AD1892">
        <f t="shared" si="6"/>
        <v>2</v>
      </c>
      <c r="AE1892">
        <f t="shared" si="7"/>
        <v>1</v>
      </c>
    </row>
    <row r="1893">
      <c r="B1893" t="str">
        <f>IFERROR(__xludf.DUMMYFUNCTION("""COMPUTED_VALUE"""),"")</f>
        <v/>
      </c>
      <c r="C1893" t="str">
        <f>IFERROR(__xludf.DUMMYFUNCTION("""COMPUTED_VALUE"""),"")</f>
        <v/>
      </c>
      <c r="D1893" t="str">
        <f>IFERROR(__xludf.DUMMYFUNCTION("""COMPUTED_VALUE"""),"")</f>
        <v/>
      </c>
      <c r="E1893" t="str">
        <f>IFERROR(__xludf.DUMMYFUNCTION("""COMPUTED_VALUE"""),"")</f>
        <v/>
      </c>
      <c r="F1893" t="str">
        <f>IFERROR(__xludf.DUMMYFUNCTION("""COMPUTED_VALUE"""),"")</f>
        <v/>
      </c>
      <c r="G1893" t="str">
        <f>IFERROR(__xludf.DUMMYFUNCTION("""COMPUTED_VALUE"""),"")</f>
        <v/>
      </c>
      <c r="H1893" t="str">
        <f>IFERROR(__xludf.DUMMYFUNCTION("""COMPUTED_VALUE"""),"")</f>
        <v/>
      </c>
      <c r="I1893" t="str">
        <f>IFERROR(__xludf.DUMMYFUNCTION("""COMPUTED_VALUE"""),"")</f>
        <v/>
      </c>
      <c r="J1893">
        <f>IFERROR(__xludf.DUMMYFUNCTION("""COMPUTED_VALUE"""),0.0)</f>
        <v>0</v>
      </c>
      <c r="L1893" s="250" t="str">
        <f>IFERROR(__xludf.DUMMYFUNCTION("""COMPUTED_VALUE"""),"")</f>
        <v/>
      </c>
      <c r="M1893" s="250" t="str">
        <f>IFERROR(__xludf.DUMMYFUNCTION("""COMPUTED_VALUE"""),"")</f>
        <v/>
      </c>
      <c r="N1893" s="250" t="str">
        <f>IFERROR(__xludf.DUMMYFUNCTION("""COMPUTED_VALUE"""),"")</f>
        <v/>
      </c>
      <c r="O1893" s="250" t="str">
        <f>IFERROR(__xludf.DUMMYFUNCTION("""COMPUTED_VALUE"""),"")</f>
        <v/>
      </c>
      <c r="P1893" s="250" t="str">
        <f>IFERROR(__xludf.DUMMYFUNCTION("""COMPUTED_VALUE"""),"")</f>
        <v/>
      </c>
      <c r="Q1893" s="250" t="str">
        <f>IFERROR(__xludf.DUMMYFUNCTION("""COMPUTED_VALUE"""),"")</f>
        <v/>
      </c>
      <c r="R1893" s="250" t="str">
        <f>IFERROR(__xludf.DUMMYFUNCTION("""COMPUTED_VALUE"""),"")</f>
        <v/>
      </c>
      <c r="U1893" s="250" t="str">
        <f>IFERROR(__xludf.DUMMYFUNCTION("""COMPUTED_VALUE"""),"#N/A")</f>
        <v>#N/A</v>
      </c>
      <c r="V1893" s="250" t="str">
        <f>IFERROR(__xludf.DUMMYFUNCTION("""COMPUTED_VALUE"""),"#N/A")</f>
        <v>#N/A</v>
      </c>
      <c r="W1893" s="250" t="str">
        <f>IFERROR(__xludf.DUMMYFUNCTION("""COMPUTED_VALUE"""),"#N/A")</f>
        <v>#N/A</v>
      </c>
      <c r="X1893" t="b">
        <f t="shared" ref="X1893:Z1893" si="3762">ISBLANK(K1893)</f>
        <v>1</v>
      </c>
      <c r="Y1893" t="b">
        <f t="shared" si="3762"/>
        <v>0</v>
      </c>
      <c r="Z1893" t="b">
        <f t="shared" si="3762"/>
        <v>0</v>
      </c>
      <c r="AA1893">
        <f t="shared" ref="AA1893:AC1893" si="3763">IF(X1893=FALSE,1,0)</f>
        <v>0</v>
      </c>
      <c r="AB1893">
        <f t="shared" si="3763"/>
        <v>1</v>
      </c>
      <c r="AC1893">
        <f t="shared" si="3763"/>
        <v>1</v>
      </c>
      <c r="AD1893">
        <f t="shared" si="6"/>
        <v>2</v>
      </c>
      <c r="AE1893">
        <f t="shared" si="7"/>
        <v>1</v>
      </c>
    </row>
    <row r="1894">
      <c r="B1894" t="str">
        <f>IFERROR(__xludf.DUMMYFUNCTION("""COMPUTED_VALUE"""),"")</f>
        <v/>
      </c>
      <c r="C1894" t="str">
        <f>IFERROR(__xludf.DUMMYFUNCTION("""COMPUTED_VALUE"""),"")</f>
        <v/>
      </c>
      <c r="D1894" t="str">
        <f>IFERROR(__xludf.DUMMYFUNCTION("""COMPUTED_VALUE"""),"")</f>
        <v/>
      </c>
      <c r="E1894" t="str">
        <f>IFERROR(__xludf.DUMMYFUNCTION("""COMPUTED_VALUE"""),"")</f>
        <v/>
      </c>
      <c r="F1894" t="str">
        <f>IFERROR(__xludf.DUMMYFUNCTION("""COMPUTED_VALUE"""),"")</f>
        <v/>
      </c>
      <c r="G1894" t="str">
        <f>IFERROR(__xludf.DUMMYFUNCTION("""COMPUTED_VALUE"""),"")</f>
        <v/>
      </c>
      <c r="H1894" t="str">
        <f>IFERROR(__xludf.DUMMYFUNCTION("""COMPUTED_VALUE"""),"")</f>
        <v/>
      </c>
      <c r="I1894" t="str">
        <f>IFERROR(__xludf.DUMMYFUNCTION("""COMPUTED_VALUE"""),"")</f>
        <v/>
      </c>
      <c r="J1894">
        <f>IFERROR(__xludf.DUMMYFUNCTION("""COMPUTED_VALUE"""),0.0)</f>
        <v>0</v>
      </c>
      <c r="L1894" s="250" t="str">
        <f>IFERROR(__xludf.DUMMYFUNCTION("""COMPUTED_VALUE"""),"")</f>
        <v/>
      </c>
      <c r="M1894" s="250" t="str">
        <f>IFERROR(__xludf.DUMMYFUNCTION("""COMPUTED_VALUE"""),"")</f>
        <v/>
      </c>
      <c r="N1894" s="250" t="str">
        <f>IFERROR(__xludf.DUMMYFUNCTION("""COMPUTED_VALUE"""),"")</f>
        <v/>
      </c>
      <c r="O1894" s="250" t="str">
        <f>IFERROR(__xludf.DUMMYFUNCTION("""COMPUTED_VALUE"""),"")</f>
        <v/>
      </c>
      <c r="P1894" s="250" t="str">
        <f>IFERROR(__xludf.DUMMYFUNCTION("""COMPUTED_VALUE"""),"")</f>
        <v/>
      </c>
      <c r="Q1894" s="250" t="str">
        <f>IFERROR(__xludf.DUMMYFUNCTION("""COMPUTED_VALUE"""),"")</f>
        <v/>
      </c>
      <c r="R1894" s="250" t="str">
        <f>IFERROR(__xludf.DUMMYFUNCTION("""COMPUTED_VALUE"""),"")</f>
        <v/>
      </c>
      <c r="U1894" s="250" t="str">
        <f>IFERROR(__xludf.DUMMYFUNCTION("""COMPUTED_VALUE"""),"#N/A")</f>
        <v>#N/A</v>
      </c>
      <c r="V1894" s="250" t="str">
        <f>IFERROR(__xludf.DUMMYFUNCTION("""COMPUTED_VALUE"""),"#N/A")</f>
        <v>#N/A</v>
      </c>
      <c r="W1894" s="250" t="str">
        <f>IFERROR(__xludf.DUMMYFUNCTION("""COMPUTED_VALUE"""),"#N/A")</f>
        <v>#N/A</v>
      </c>
      <c r="X1894" t="b">
        <f t="shared" ref="X1894:Z1894" si="3764">ISBLANK(K1894)</f>
        <v>1</v>
      </c>
      <c r="Y1894" t="b">
        <f t="shared" si="3764"/>
        <v>0</v>
      </c>
      <c r="Z1894" t="b">
        <f t="shared" si="3764"/>
        <v>0</v>
      </c>
      <c r="AA1894">
        <f t="shared" ref="AA1894:AC1894" si="3765">IF(X1894=FALSE,1,0)</f>
        <v>0</v>
      </c>
      <c r="AB1894">
        <f t="shared" si="3765"/>
        <v>1</v>
      </c>
      <c r="AC1894">
        <f t="shared" si="3765"/>
        <v>1</v>
      </c>
      <c r="AD1894">
        <f t="shared" si="6"/>
        <v>2</v>
      </c>
      <c r="AE1894">
        <f t="shared" si="7"/>
        <v>1</v>
      </c>
    </row>
    <row r="1895">
      <c r="B1895" t="str">
        <f>IFERROR(__xludf.DUMMYFUNCTION("""COMPUTED_VALUE"""),"")</f>
        <v/>
      </c>
      <c r="C1895" t="str">
        <f>IFERROR(__xludf.DUMMYFUNCTION("""COMPUTED_VALUE"""),"")</f>
        <v/>
      </c>
      <c r="D1895" t="str">
        <f>IFERROR(__xludf.DUMMYFUNCTION("""COMPUTED_VALUE"""),"")</f>
        <v/>
      </c>
      <c r="E1895" t="str">
        <f>IFERROR(__xludf.DUMMYFUNCTION("""COMPUTED_VALUE"""),"")</f>
        <v/>
      </c>
      <c r="F1895" t="str">
        <f>IFERROR(__xludf.DUMMYFUNCTION("""COMPUTED_VALUE"""),"")</f>
        <v/>
      </c>
      <c r="G1895" t="str">
        <f>IFERROR(__xludf.DUMMYFUNCTION("""COMPUTED_VALUE"""),"")</f>
        <v/>
      </c>
      <c r="H1895" t="str">
        <f>IFERROR(__xludf.DUMMYFUNCTION("""COMPUTED_VALUE"""),"")</f>
        <v/>
      </c>
      <c r="I1895" t="str">
        <f>IFERROR(__xludf.DUMMYFUNCTION("""COMPUTED_VALUE"""),"")</f>
        <v/>
      </c>
      <c r="J1895">
        <f>IFERROR(__xludf.DUMMYFUNCTION("""COMPUTED_VALUE"""),0.0)</f>
        <v>0</v>
      </c>
      <c r="L1895" s="250" t="str">
        <f>IFERROR(__xludf.DUMMYFUNCTION("""COMPUTED_VALUE"""),"")</f>
        <v/>
      </c>
      <c r="M1895" s="250" t="str">
        <f>IFERROR(__xludf.DUMMYFUNCTION("""COMPUTED_VALUE"""),"")</f>
        <v/>
      </c>
      <c r="N1895" s="250" t="str">
        <f>IFERROR(__xludf.DUMMYFUNCTION("""COMPUTED_VALUE"""),"")</f>
        <v/>
      </c>
      <c r="O1895" s="250" t="str">
        <f>IFERROR(__xludf.DUMMYFUNCTION("""COMPUTED_VALUE"""),"")</f>
        <v/>
      </c>
      <c r="P1895" s="250" t="str">
        <f>IFERROR(__xludf.DUMMYFUNCTION("""COMPUTED_VALUE"""),"")</f>
        <v/>
      </c>
      <c r="Q1895" s="250" t="str">
        <f>IFERROR(__xludf.DUMMYFUNCTION("""COMPUTED_VALUE"""),"")</f>
        <v/>
      </c>
      <c r="R1895" s="250" t="str">
        <f>IFERROR(__xludf.DUMMYFUNCTION("""COMPUTED_VALUE"""),"")</f>
        <v/>
      </c>
      <c r="U1895" s="250" t="str">
        <f>IFERROR(__xludf.DUMMYFUNCTION("""COMPUTED_VALUE"""),"#N/A")</f>
        <v>#N/A</v>
      </c>
      <c r="V1895" s="250" t="str">
        <f>IFERROR(__xludf.DUMMYFUNCTION("""COMPUTED_VALUE"""),"#N/A")</f>
        <v>#N/A</v>
      </c>
      <c r="W1895" s="250" t="str">
        <f>IFERROR(__xludf.DUMMYFUNCTION("""COMPUTED_VALUE"""),"#N/A")</f>
        <v>#N/A</v>
      </c>
      <c r="X1895" t="b">
        <f t="shared" ref="X1895:Z1895" si="3766">ISBLANK(K1895)</f>
        <v>1</v>
      </c>
      <c r="Y1895" t="b">
        <f t="shared" si="3766"/>
        <v>0</v>
      </c>
      <c r="Z1895" t="b">
        <f t="shared" si="3766"/>
        <v>0</v>
      </c>
      <c r="AA1895">
        <f t="shared" ref="AA1895:AC1895" si="3767">IF(X1895=FALSE,1,0)</f>
        <v>0</v>
      </c>
      <c r="AB1895">
        <f t="shared" si="3767"/>
        <v>1</v>
      </c>
      <c r="AC1895">
        <f t="shared" si="3767"/>
        <v>1</v>
      </c>
      <c r="AD1895">
        <f t="shared" si="6"/>
        <v>2</v>
      </c>
      <c r="AE1895">
        <f t="shared" si="7"/>
        <v>1</v>
      </c>
    </row>
    <row r="1896">
      <c r="B1896" t="str">
        <f>IFERROR(__xludf.DUMMYFUNCTION("""COMPUTED_VALUE"""),"")</f>
        <v/>
      </c>
      <c r="C1896" t="str">
        <f>IFERROR(__xludf.DUMMYFUNCTION("""COMPUTED_VALUE"""),"")</f>
        <v/>
      </c>
      <c r="D1896" t="str">
        <f>IFERROR(__xludf.DUMMYFUNCTION("""COMPUTED_VALUE"""),"")</f>
        <v/>
      </c>
      <c r="E1896" t="str">
        <f>IFERROR(__xludf.DUMMYFUNCTION("""COMPUTED_VALUE"""),"")</f>
        <v/>
      </c>
      <c r="F1896" t="str">
        <f>IFERROR(__xludf.DUMMYFUNCTION("""COMPUTED_VALUE"""),"")</f>
        <v/>
      </c>
      <c r="G1896" t="str">
        <f>IFERROR(__xludf.DUMMYFUNCTION("""COMPUTED_VALUE"""),"")</f>
        <v/>
      </c>
      <c r="H1896" t="str">
        <f>IFERROR(__xludf.DUMMYFUNCTION("""COMPUTED_VALUE"""),"")</f>
        <v/>
      </c>
      <c r="I1896" t="str">
        <f>IFERROR(__xludf.DUMMYFUNCTION("""COMPUTED_VALUE"""),"")</f>
        <v/>
      </c>
      <c r="J1896">
        <f>IFERROR(__xludf.DUMMYFUNCTION("""COMPUTED_VALUE"""),0.0)</f>
        <v>0</v>
      </c>
      <c r="L1896" s="250" t="str">
        <f>IFERROR(__xludf.DUMMYFUNCTION("""COMPUTED_VALUE"""),"")</f>
        <v/>
      </c>
      <c r="M1896" s="250" t="str">
        <f>IFERROR(__xludf.DUMMYFUNCTION("""COMPUTED_VALUE"""),"")</f>
        <v/>
      </c>
      <c r="N1896" s="250" t="str">
        <f>IFERROR(__xludf.DUMMYFUNCTION("""COMPUTED_VALUE"""),"")</f>
        <v/>
      </c>
      <c r="O1896" s="250" t="str">
        <f>IFERROR(__xludf.DUMMYFUNCTION("""COMPUTED_VALUE"""),"")</f>
        <v/>
      </c>
      <c r="P1896" s="250" t="str">
        <f>IFERROR(__xludf.DUMMYFUNCTION("""COMPUTED_VALUE"""),"")</f>
        <v/>
      </c>
      <c r="Q1896" s="250" t="str">
        <f>IFERROR(__xludf.DUMMYFUNCTION("""COMPUTED_VALUE"""),"")</f>
        <v/>
      </c>
      <c r="R1896" s="250" t="str">
        <f>IFERROR(__xludf.DUMMYFUNCTION("""COMPUTED_VALUE"""),"")</f>
        <v/>
      </c>
      <c r="U1896" s="250" t="str">
        <f>IFERROR(__xludf.DUMMYFUNCTION("""COMPUTED_VALUE"""),"#N/A")</f>
        <v>#N/A</v>
      </c>
      <c r="V1896" s="250" t="str">
        <f>IFERROR(__xludf.DUMMYFUNCTION("""COMPUTED_VALUE"""),"#N/A")</f>
        <v>#N/A</v>
      </c>
      <c r="W1896" s="250" t="str">
        <f>IFERROR(__xludf.DUMMYFUNCTION("""COMPUTED_VALUE"""),"#N/A")</f>
        <v>#N/A</v>
      </c>
      <c r="X1896" t="b">
        <f t="shared" ref="X1896:Z1896" si="3768">ISBLANK(K1896)</f>
        <v>1</v>
      </c>
      <c r="Y1896" t="b">
        <f t="shared" si="3768"/>
        <v>0</v>
      </c>
      <c r="Z1896" t="b">
        <f t="shared" si="3768"/>
        <v>0</v>
      </c>
      <c r="AA1896">
        <f t="shared" ref="AA1896:AC1896" si="3769">IF(X1896=FALSE,1,0)</f>
        <v>0</v>
      </c>
      <c r="AB1896">
        <f t="shared" si="3769"/>
        <v>1</v>
      </c>
      <c r="AC1896">
        <f t="shared" si="3769"/>
        <v>1</v>
      </c>
      <c r="AD1896">
        <f t="shared" si="6"/>
        <v>2</v>
      </c>
      <c r="AE1896">
        <f t="shared" si="7"/>
        <v>1</v>
      </c>
    </row>
    <row r="1897">
      <c r="B1897" t="str">
        <f>IFERROR(__xludf.DUMMYFUNCTION("""COMPUTED_VALUE"""),"")</f>
        <v/>
      </c>
      <c r="C1897" t="str">
        <f>IFERROR(__xludf.DUMMYFUNCTION("""COMPUTED_VALUE"""),"")</f>
        <v/>
      </c>
      <c r="D1897" t="str">
        <f>IFERROR(__xludf.DUMMYFUNCTION("""COMPUTED_VALUE"""),"")</f>
        <v/>
      </c>
      <c r="E1897" t="str">
        <f>IFERROR(__xludf.DUMMYFUNCTION("""COMPUTED_VALUE"""),"")</f>
        <v/>
      </c>
      <c r="F1897" t="str">
        <f>IFERROR(__xludf.DUMMYFUNCTION("""COMPUTED_VALUE"""),"")</f>
        <v/>
      </c>
      <c r="G1897" t="str">
        <f>IFERROR(__xludf.DUMMYFUNCTION("""COMPUTED_VALUE"""),"")</f>
        <v/>
      </c>
      <c r="H1897" t="str">
        <f>IFERROR(__xludf.DUMMYFUNCTION("""COMPUTED_VALUE"""),"")</f>
        <v/>
      </c>
      <c r="I1897" t="str">
        <f>IFERROR(__xludf.DUMMYFUNCTION("""COMPUTED_VALUE"""),"")</f>
        <v/>
      </c>
      <c r="J1897">
        <f>IFERROR(__xludf.DUMMYFUNCTION("""COMPUTED_VALUE"""),0.0)</f>
        <v>0</v>
      </c>
      <c r="L1897" s="250" t="str">
        <f>IFERROR(__xludf.DUMMYFUNCTION("""COMPUTED_VALUE"""),"")</f>
        <v/>
      </c>
      <c r="M1897" s="250" t="str">
        <f>IFERROR(__xludf.DUMMYFUNCTION("""COMPUTED_VALUE"""),"")</f>
        <v/>
      </c>
      <c r="N1897" s="250" t="str">
        <f>IFERROR(__xludf.DUMMYFUNCTION("""COMPUTED_VALUE"""),"")</f>
        <v/>
      </c>
      <c r="O1897" s="250" t="str">
        <f>IFERROR(__xludf.DUMMYFUNCTION("""COMPUTED_VALUE"""),"")</f>
        <v/>
      </c>
      <c r="P1897" s="250" t="str">
        <f>IFERROR(__xludf.DUMMYFUNCTION("""COMPUTED_VALUE"""),"")</f>
        <v/>
      </c>
      <c r="Q1897" s="250" t="str">
        <f>IFERROR(__xludf.DUMMYFUNCTION("""COMPUTED_VALUE"""),"")</f>
        <v/>
      </c>
      <c r="R1897" s="250" t="str">
        <f>IFERROR(__xludf.DUMMYFUNCTION("""COMPUTED_VALUE"""),"")</f>
        <v/>
      </c>
      <c r="U1897" s="250" t="str">
        <f>IFERROR(__xludf.DUMMYFUNCTION("""COMPUTED_VALUE"""),"#N/A")</f>
        <v>#N/A</v>
      </c>
      <c r="V1897" s="250" t="str">
        <f>IFERROR(__xludf.DUMMYFUNCTION("""COMPUTED_VALUE"""),"#N/A")</f>
        <v>#N/A</v>
      </c>
      <c r="W1897" s="250" t="str">
        <f>IFERROR(__xludf.DUMMYFUNCTION("""COMPUTED_VALUE"""),"#N/A")</f>
        <v>#N/A</v>
      </c>
      <c r="X1897" t="b">
        <f t="shared" ref="X1897:Z1897" si="3770">ISBLANK(K1897)</f>
        <v>1</v>
      </c>
      <c r="Y1897" t="b">
        <f t="shared" si="3770"/>
        <v>0</v>
      </c>
      <c r="Z1897" t="b">
        <f t="shared" si="3770"/>
        <v>0</v>
      </c>
      <c r="AA1897">
        <f t="shared" ref="AA1897:AC1897" si="3771">IF(X1897=FALSE,1,0)</f>
        <v>0</v>
      </c>
      <c r="AB1897">
        <f t="shared" si="3771"/>
        <v>1</v>
      </c>
      <c r="AC1897">
        <f t="shared" si="3771"/>
        <v>1</v>
      </c>
      <c r="AD1897">
        <f t="shared" si="6"/>
        <v>2</v>
      </c>
      <c r="AE1897">
        <f t="shared" si="7"/>
        <v>1</v>
      </c>
    </row>
    <row r="1898">
      <c r="B1898" t="str">
        <f>IFERROR(__xludf.DUMMYFUNCTION("""COMPUTED_VALUE"""),"")</f>
        <v/>
      </c>
      <c r="C1898" t="str">
        <f>IFERROR(__xludf.DUMMYFUNCTION("""COMPUTED_VALUE"""),"")</f>
        <v/>
      </c>
      <c r="D1898" t="str">
        <f>IFERROR(__xludf.DUMMYFUNCTION("""COMPUTED_VALUE"""),"")</f>
        <v/>
      </c>
      <c r="E1898" t="str">
        <f>IFERROR(__xludf.DUMMYFUNCTION("""COMPUTED_VALUE"""),"")</f>
        <v/>
      </c>
      <c r="F1898" t="str">
        <f>IFERROR(__xludf.DUMMYFUNCTION("""COMPUTED_VALUE"""),"")</f>
        <v/>
      </c>
      <c r="G1898" t="str">
        <f>IFERROR(__xludf.DUMMYFUNCTION("""COMPUTED_VALUE"""),"")</f>
        <v/>
      </c>
      <c r="H1898" t="str">
        <f>IFERROR(__xludf.DUMMYFUNCTION("""COMPUTED_VALUE"""),"")</f>
        <v/>
      </c>
      <c r="I1898" t="str">
        <f>IFERROR(__xludf.DUMMYFUNCTION("""COMPUTED_VALUE"""),"")</f>
        <v/>
      </c>
      <c r="J1898">
        <f>IFERROR(__xludf.DUMMYFUNCTION("""COMPUTED_VALUE"""),0.0)</f>
        <v>0</v>
      </c>
      <c r="L1898" s="250" t="str">
        <f>IFERROR(__xludf.DUMMYFUNCTION("""COMPUTED_VALUE"""),"")</f>
        <v/>
      </c>
      <c r="M1898" s="250" t="str">
        <f>IFERROR(__xludf.DUMMYFUNCTION("""COMPUTED_VALUE"""),"")</f>
        <v/>
      </c>
      <c r="N1898" s="250" t="str">
        <f>IFERROR(__xludf.DUMMYFUNCTION("""COMPUTED_VALUE"""),"")</f>
        <v/>
      </c>
      <c r="O1898" s="250" t="str">
        <f>IFERROR(__xludf.DUMMYFUNCTION("""COMPUTED_VALUE"""),"")</f>
        <v/>
      </c>
      <c r="P1898" s="250" t="str">
        <f>IFERROR(__xludf.DUMMYFUNCTION("""COMPUTED_VALUE"""),"")</f>
        <v/>
      </c>
      <c r="Q1898" s="250" t="str">
        <f>IFERROR(__xludf.DUMMYFUNCTION("""COMPUTED_VALUE"""),"")</f>
        <v/>
      </c>
      <c r="R1898" s="250" t="str">
        <f>IFERROR(__xludf.DUMMYFUNCTION("""COMPUTED_VALUE"""),"")</f>
        <v/>
      </c>
      <c r="U1898" s="250" t="str">
        <f>IFERROR(__xludf.DUMMYFUNCTION("""COMPUTED_VALUE"""),"#N/A")</f>
        <v>#N/A</v>
      </c>
      <c r="V1898" s="250" t="str">
        <f>IFERROR(__xludf.DUMMYFUNCTION("""COMPUTED_VALUE"""),"#N/A")</f>
        <v>#N/A</v>
      </c>
      <c r="W1898" s="250" t="str">
        <f>IFERROR(__xludf.DUMMYFUNCTION("""COMPUTED_VALUE"""),"#N/A")</f>
        <v>#N/A</v>
      </c>
      <c r="X1898" t="b">
        <f t="shared" ref="X1898:Z1898" si="3772">ISBLANK(K1898)</f>
        <v>1</v>
      </c>
      <c r="Y1898" t="b">
        <f t="shared" si="3772"/>
        <v>0</v>
      </c>
      <c r="Z1898" t="b">
        <f t="shared" si="3772"/>
        <v>0</v>
      </c>
      <c r="AA1898">
        <f t="shared" ref="AA1898:AC1898" si="3773">IF(X1898=FALSE,1,0)</f>
        <v>0</v>
      </c>
      <c r="AB1898">
        <f t="shared" si="3773"/>
        <v>1</v>
      </c>
      <c r="AC1898">
        <f t="shared" si="3773"/>
        <v>1</v>
      </c>
      <c r="AD1898">
        <f t="shared" si="6"/>
        <v>2</v>
      </c>
      <c r="AE1898">
        <f t="shared" si="7"/>
        <v>1</v>
      </c>
    </row>
    <row r="1899">
      <c r="B1899" t="str">
        <f>IFERROR(__xludf.DUMMYFUNCTION("""COMPUTED_VALUE"""),"")</f>
        <v/>
      </c>
      <c r="C1899" t="str">
        <f>IFERROR(__xludf.DUMMYFUNCTION("""COMPUTED_VALUE"""),"")</f>
        <v/>
      </c>
      <c r="D1899" t="str">
        <f>IFERROR(__xludf.DUMMYFUNCTION("""COMPUTED_VALUE"""),"")</f>
        <v/>
      </c>
      <c r="E1899" t="str">
        <f>IFERROR(__xludf.DUMMYFUNCTION("""COMPUTED_VALUE"""),"")</f>
        <v/>
      </c>
      <c r="F1899" t="str">
        <f>IFERROR(__xludf.DUMMYFUNCTION("""COMPUTED_VALUE"""),"")</f>
        <v/>
      </c>
      <c r="G1899" t="str">
        <f>IFERROR(__xludf.DUMMYFUNCTION("""COMPUTED_VALUE"""),"")</f>
        <v/>
      </c>
      <c r="H1899" t="str">
        <f>IFERROR(__xludf.DUMMYFUNCTION("""COMPUTED_VALUE"""),"")</f>
        <v/>
      </c>
      <c r="I1899" t="str">
        <f>IFERROR(__xludf.DUMMYFUNCTION("""COMPUTED_VALUE"""),"")</f>
        <v/>
      </c>
      <c r="J1899">
        <f>IFERROR(__xludf.DUMMYFUNCTION("""COMPUTED_VALUE"""),0.0)</f>
        <v>0</v>
      </c>
      <c r="L1899" s="250" t="str">
        <f>IFERROR(__xludf.DUMMYFUNCTION("""COMPUTED_VALUE"""),"")</f>
        <v/>
      </c>
      <c r="M1899" s="250" t="str">
        <f>IFERROR(__xludf.DUMMYFUNCTION("""COMPUTED_VALUE"""),"")</f>
        <v/>
      </c>
      <c r="N1899" s="250" t="str">
        <f>IFERROR(__xludf.DUMMYFUNCTION("""COMPUTED_VALUE"""),"")</f>
        <v/>
      </c>
      <c r="O1899" s="250" t="str">
        <f>IFERROR(__xludf.DUMMYFUNCTION("""COMPUTED_VALUE"""),"")</f>
        <v/>
      </c>
      <c r="P1899" s="250" t="str">
        <f>IFERROR(__xludf.DUMMYFUNCTION("""COMPUTED_VALUE"""),"")</f>
        <v/>
      </c>
      <c r="Q1899" s="250" t="str">
        <f>IFERROR(__xludf.DUMMYFUNCTION("""COMPUTED_VALUE"""),"")</f>
        <v/>
      </c>
      <c r="R1899" s="250" t="str">
        <f>IFERROR(__xludf.DUMMYFUNCTION("""COMPUTED_VALUE"""),"")</f>
        <v/>
      </c>
      <c r="U1899" s="250" t="str">
        <f>IFERROR(__xludf.DUMMYFUNCTION("""COMPUTED_VALUE"""),"#N/A")</f>
        <v>#N/A</v>
      </c>
      <c r="V1899" s="250" t="str">
        <f>IFERROR(__xludf.DUMMYFUNCTION("""COMPUTED_VALUE"""),"#N/A")</f>
        <v>#N/A</v>
      </c>
      <c r="W1899" s="250" t="str">
        <f>IFERROR(__xludf.DUMMYFUNCTION("""COMPUTED_VALUE"""),"#N/A")</f>
        <v>#N/A</v>
      </c>
      <c r="X1899" t="b">
        <f t="shared" ref="X1899:Z1899" si="3774">ISBLANK(K1899)</f>
        <v>1</v>
      </c>
      <c r="Y1899" t="b">
        <f t="shared" si="3774"/>
        <v>0</v>
      </c>
      <c r="Z1899" t="b">
        <f t="shared" si="3774"/>
        <v>0</v>
      </c>
      <c r="AA1899">
        <f t="shared" ref="AA1899:AC1899" si="3775">IF(X1899=FALSE,1,0)</f>
        <v>0</v>
      </c>
      <c r="AB1899">
        <f t="shared" si="3775"/>
        <v>1</v>
      </c>
      <c r="AC1899">
        <f t="shared" si="3775"/>
        <v>1</v>
      </c>
      <c r="AD1899">
        <f t="shared" si="6"/>
        <v>2</v>
      </c>
      <c r="AE1899">
        <f t="shared" si="7"/>
        <v>1</v>
      </c>
    </row>
    <row r="1900">
      <c r="B1900" t="str">
        <f>IFERROR(__xludf.DUMMYFUNCTION("""COMPUTED_VALUE"""),"")</f>
        <v/>
      </c>
      <c r="C1900" t="str">
        <f>IFERROR(__xludf.DUMMYFUNCTION("""COMPUTED_VALUE"""),"")</f>
        <v/>
      </c>
      <c r="D1900" t="str">
        <f>IFERROR(__xludf.DUMMYFUNCTION("""COMPUTED_VALUE"""),"")</f>
        <v/>
      </c>
      <c r="E1900" t="str">
        <f>IFERROR(__xludf.DUMMYFUNCTION("""COMPUTED_VALUE"""),"")</f>
        <v/>
      </c>
      <c r="F1900" t="str">
        <f>IFERROR(__xludf.DUMMYFUNCTION("""COMPUTED_VALUE"""),"")</f>
        <v/>
      </c>
      <c r="G1900" t="str">
        <f>IFERROR(__xludf.DUMMYFUNCTION("""COMPUTED_VALUE"""),"")</f>
        <v/>
      </c>
      <c r="H1900" t="str">
        <f>IFERROR(__xludf.DUMMYFUNCTION("""COMPUTED_VALUE"""),"")</f>
        <v/>
      </c>
      <c r="I1900" t="str">
        <f>IFERROR(__xludf.DUMMYFUNCTION("""COMPUTED_VALUE"""),"")</f>
        <v/>
      </c>
      <c r="J1900">
        <f>IFERROR(__xludf.DUMMYFUNCTION("""COMPUTED_VALUE"""),0.0)</f>
        <v>0</v>
      </c>
      <c r="L1900" s="250" t="str">
        <f>IFERROR(__xludf.DUMMYFUNCTION("""COMPUTED_VALUE"""),"")</f>
        <v/>
      </c>
      <c r="M1900" s="250" t="str">
        <f>IFERROR(__xludf.DUMMYFUNCTION("""COMPUTED_VALUE"""),"")</f>
        <v/>
      </c>
      <c r="N1900" s="250" t="str">
        <f>IFERROR(__xludf.DUMMYFUNCTION("""COMPUTED_VALUE"""),"")</f>
        <v/>
      </c>
      <c r="O1900" s="250" t="str">
        <f>IFERROR(__xludf.DUMMYFUNCTION("""COMPUTED_VALUE"""),"")</f>
        <v/>
      </c>
      <c r="P1900" s="250" t="str">
        <f>IFERROR(__xludf.DUMMYFUNCTION("""COMPUTED_VALUE"""),"")</f>
        <v/>
      </c>
      <c r="Q1900" s="250" t="str">
        <f>IFERROR(__xludf.DUMMYFUNCTION("""COMPUTED_VALUE"""),"")</f>
        <v/>
      </c>
      <c r="R1900" s="250" t="str">
        <f>IFERROR(__xludf.DUMMYFUNCTION("""COMPUTED_VALUE"""),"")</f>
        <v/>
      </c>
      <c r="U1900" s="250" t="str">
        <f>IFERROR(__xludf.DUMMYFUNCTION("""COMPUTED_VALUE"""),"#N/A")</f>
        <v>#N/A</v>
      </c>
      <c r="V1900" s="250" t="str">
        <f>IFERROR(__xludf.DUMMYFUNCTION("""COMPUTED_VALUE"""),"#N/A")</f>
        <v>#N/A</v>
      </c>
      <c r="W1900" s="250" t="str">
        <f>IFERROR(__xludf.DUMMYFUNCTION("""COMPUTED_VALUE"""),"#N/A")</f>
        <v>#N/A</v>
      </c>
      <c r="X1900" t="b">
        <f t="shared" ref="X1900:Z1900" si="3776">ISBLANK(K1900)</f>
        <v>1</v>
      </c>
      <c r="Y1900" t="b">
        <f t="shared" si="3776"/>
        <v>0</v>
      </c>
      <c r="Z1900" t="b">
        <f t="shared" si="3776"/>
        <v>0</v>
      </c>
      <c r="AA1900">
        <f t="shared" ref="AA1900:AC1900" si="3777">IF(X1900=FALSE,1,0)</f>
        <v>0</v>
      </c>
      <c r="AB1900">
        <f t="shared" si="3777"/>
        <v>1</v>
      </c>
      <c r="AC1900">
        <f t="shared" si="3777"/>
        <v>1</v>
      </c>
      <c r="AD1900">
        <f t="shared" si="6"/>
        <v>2</v>
      </c>
      <c r="AE1900">
        <f t="shared" si="7"/>
        <v>1</v>
      </c>
    </row>
    <row r="1901">
      <c r="B1901" t="str">
        <f>IFERROR(__xludf.DUMMYFUNCTION("""COMPUTED_VALUE"""),"")</f>
        <v/>
      </c>
      <c r="C1901" t="str">
        <f>IFERROR(__xludf.DUMMYFUNCTION("""COMPUTED_VALUE"""),"")</f>
        <v/>
      </c>
      <c r="D1901" t="str">
        <f>IFERROR(__xludf.DUMMYFUNCTION("""COMPUTED_VALUE"""),"")</f>
        <v/>
      </c>
      <c r="E1901" t="str">
        <f>IFERROR(__xludf.DUMMYFUNCTION("""COMPUTED_VALUE"""),"")</f>
        <v/>
      </c>
      <c r="F1901" t="str">
        <f>IFERROR(__xludf.DUMMYFUNCTION("""COMPUTED_VALUE"""),"")</f>
        <v/>
      </c>
      <c r="G1901" t="str">
        <f>IFERROR(__xludf.DUMMYFUNCTION("""COMPUTED_VALUE"""),"")</f>
        <v/>
      </c>
      <c r="H1901" t="str">
        <f>IFERROR(__xludf.DUMMYFUNCTION("""COMPUTED_VALUE"""),"")</f>
        <v/>
      </c>
      <c r="I1901" t="str">
        <f>IFERROR(__xludf.DUMMYFUNCTION("""COMPUTED_VALUE"""),"")</f>
        <v/>
      </c>
      <c r="J1901">
        <f>IFERROR(__xludf.DUMMYFUNCTION("""COMPUTED_VALUE"""),0.0)</f>
        <v>0</v>
      </c>
      <c r="L1901" s="250" t="str">
        <f>IFERROR(__xludf.DUMMYFUNCTION("""COMPUTED_VALUE"""),"")</f>
        <v/>
      </c>
      <c r="M1901" s="250" t="str">
        <f>IFERROR(__xludf.DUMMYFUNCTION("""COMPUTED_VALUE"""),"")</f>
        <v/>
      </c>
      <c r="N1901" s="250" t="str">
        <f>IFERROR(__xludf.DUMMYFUNCTION("""COMPUTED_VALUE"""),"")</f>
        <v/>
      </c>
      <c r="O1901" s="250" t="str">
        <f>IFERROR(__xludf.DUMMYFUNCTION("""COMPUTED_VALUE"""),"")</f>
        <v/>
      </c>
      <c r="P1901" s="250" t="str">
        <f>IFERROR(__xludf.DUMMYFUNCTION("""COMPUTED_VALUE"""),"")</f>
        <v/>
      </c>
      <c r="Q1901" s="250" t="str">
        <f>IFERROR(__xludf.DUMMYFUNCTION("""COMPUTED_VALUE"""),"")</f>
        <v/>
      </c>
      <c r="R1901" s="250" t="str">
        <f>IFERROR(__xludf.DUMMYFUNCTION("""COMPUTED_VALUE"""),"")</f>
        <v/>
      </c>
      <c r="U1901" s="250" t="str">
        <f>IFERROR(__xludf.DUMMYFUNCTION("""COMPUTED_VALUE"""),"#N/A")</f>
        <v>#N/A</v>
      </c>
      <c r="V1901" s="250" t="str">
        <f>IFERROR(__xludf.DUMMYFUNCTION("""COMPUTED_VALUE"""),"#N/A")</f>
        <v>#N/A</v>
      </c>
      <c r="W1901" s="250" t="str">
        <f>IFERROR(__xludf.DUMMYFUNCTION("""COMPUTED_VALUE"""),"#N/A")</f>
        <v>#N/A</v>
      </c>
      <c r="X1901" t="b">
        <f t="shared" ref="X1901:Z1901" si="3778">ISBLANK(K1901)</f>
        <v>1</v>
      </c>
      <c r="Y1901" t="b">
        <f t="shared" si="3778"/>
        <v>0</v>
      </c>
      <c r="Z1901" t="b">
        <f t="shared" si="3778"/>
        <v>0</v>
      </c>
      <c r="AA1901">
        <f t="shared" ref="AA1901:AC1901" si="3779">IF(X1901=FALSE,1,0)</f>
        <v>0</v>
      </c>
      <c r="AB1901">
        <f t="shared" si="3779"/>
        <v>1</v>
      </c>
      <c r="AC1901">
        <f t="shared" si="3779"/>
        <v>1</v>
      </c>
      <c r="AD1901">
        <f t="shared" si="6"/>
        <v>2</v>
      </c>
      <c r="AE1901">
        <f t="shared" si="7"/>
        <v>1</v>
      </c>
    </row>
    <row r="1902">
      <c r="B1902" t="str">
        <f>IFERROR(__xludf.DUMMYFUNCTION("""COMPUTED_VALUE"""),"")</f>
        <v/>
      </c>
      <c r="C1902" t="str">
        <f>IFERROR(__xludf.DUMMYFUNCTION("""COMPUTED_VALUE"""),"")</f>
        <v/>
      </c>
      <c r="D1902" t="str">
        <f>IFERROR(__xludf.DUMMYFUNCTION("""COMPUTED_VALUE"""),"")</f>
        <v/>
      </c>
      <c r="E1902" t="str">
        <f>IFERROR(__xludf.DUMMYFUNCTION("""COMPUTED_VALUE"""),"")</f>
        <v/>
      </c>
      <c r="F1902" t="str">
        <f>IFERROR(__xludf.DUMMYFUNCTION("""COMPUTED_VALUE"""),"")</f>
        <v/>
      </c>
      <c r="G1902" t="str">
        <f>IFERROR(__xludf.DUMMYFUNCTION("""COMPUTED_VALUE"""),"")</f>
        <v/>
      </c>
      <c r="H1902" t="str">
        <f>IFERROR(__xludf.DUMMYFUNCTION("""COMPUTED_VALUE"""),"")</f>
        <v/>
      </c>
      <c r="I1902" t="str">
        <f>IFERROR(__xludf.DUMMYFUNCTION("""COMPUTED_VALUE"""),"")</f>
        <v/>
      </c>
      <c r="J1902">
        <f>IFERROR(__xludf.DUMMYFUNCTION("""COMPUTED_VALUE"""),0.0)</f>
        <v>0</v>
      </c>
      <c r="L1902" s="250" t="str">
        <f>IFERROR(__xludf.DUMMYFUNCTION("""COMPUTED_VALUE"""),"")</f>
        <v/>
      </c>
      <c r="M1902" s="250" t="str">
        <f>IFERROR(__xludf.DUMMYFUNCTION("""COMPUTED_VALUE"""),"")</f>
        <v/>
      </c>
      <c r="N1902" s="250" t="str">
        <f>IFERROR(__xludf.DUMMYFUNCTION("""COMPUTED_VALUE"""),"")</f>
        <v/>
      </c>
      <c r="O1902" s="250" t="str">
        <f>IFERROR(__xludf.DUMMYFUNCTION("""COMPUTED_VALUE"""),"")</f>
        <v/>
      </c>
      <c r="P1902" s="250" t="str">
        <f>IFERROR(__xludf.DUMMYFUNCTION("""COMPUTED_VALUE"""),"")</f>
        <v/>
      </c>
      <c r="Q1902" s="250" t="str">
        <f>IFERROR(__xludf.DUMMYFUNCTION("""COMPUTED_VALUE"""),"")</f>
        <v/>
      </c>
      <c r="R1902" s="250" t="str">
        <f>IFERROR(__xludf.DUMMYFUNCTION("""COMPUTED_VALUE"""),"")</f>
        <v/>
      </c>
      <c r="U1902" s="250" t="str">
        <f>IFERROR(__xludf.DUMMYFUNCTION("""COMPUTED_VALUE"""),"#N/A")</f>
        <v>#N/A</v>
      </c>
      <c r="V1902" s="250" t="str">
        <f>IFERROR(__xludf.DUMMYFUNCTION("""COMPUTED_VALUE"""),"#N/A")</f>
        <v>#N/A</v>
      </c>
      <c r="W1902" s="250" t="str">
        <f>IFERROR(__xludf.DUMMYFUNCTION("""COMPUTED_VALUE"""),"#N/A")</f>
        <v>#N/A</v>
      </c>
      <c r="X1902" t="b">
        <f t="shared" ref="X1902:Z1902" si="3780">ISBLANK(K1902)</f>
        <v>1</v>
      </c>
      <c r="Y1902" t="b">
        <f t="shared" si="3780"/>
        <v>0</v>
      </c>
      <c r="Z1902" t="b">
        <f t="shared" si="3780"/>
        <v>0</v>
      </c>
      <c r="AA1902">
        <f t="shared" ref="AA1902:AC1902" si="3781">IF(X1902=FALSE,1,0)</f>
        <v>0</v>
      </c>
      <c r="AB1902">
        <f t="shared" si="3781"/>
        <v>1</v>
      </c>
      <c r="AC1902">
        <f t="shared" si="3781"/>
        <v>1</v>
      </c>
      <c r="AD1902">
        <f t="shared" si="6"/>
        <v>2</v>
      </c>
      <c r="AE1902">
        <f t="shared" si="7"/>
        <v>1</v>
      </c>
    </row>
    <row r="1903">
      <c r="B1903" t="str">
        <f>IFERROR(__xludf.DUMMYFUNCTION("""COMPUTED_VALUE"""),"")</f>
        <v/>
      </c>
      <c r="C1903" t="str">
        <f>IFERROR(__xludf.DUMMYFUNCTION("""COMPUTED_VALUE"""),"")</f>
        <v/>
      </c>
      <c r="D1903" t="str">
        <f>IFERROR(__xludf.DUMMYFUNCTION("""COMPUTED_VALUE"""),"")</f>
        <v/>
      </c>
      <c r="E1903" t="str">
        <f>IFERROR(__xludf.DUMMYFUNCTION("""COMPUTED_VALUE"""),"")</f>
        <v/>
      </c>
      <c r="F1903" t="str">
        <f>IFERROR(__xludf.DUMMYFUNCTION("""COMPUTED_VALUE"""),"")</f>
        <v/>
      </c>
      <c r="G1903" t="str">
        <f>IFERROR(__xludf.DUMMYFUNCTION("""COMPUTED_VALUE"""),"")</f>
        <v/>
      </c>
      <c r="H1903" t="str">
        <f>IFERROR(__xludf.DUMMYFUNCTION("""COMPUTED_VALUE"""),"")</f>
        <v/>
      </c>
      <c r="I1903" t="str">
        <f>IFERROR(__xludf.DUMMYFUNCTION("""COMPUTED_VALUE"""),"")</f>
        <v/>
      </c>
      <c r="J1903">
        <f>IFERROR(__xludf.DUMMYFUNCTION("""COMPUTED_VALUE"""),0.0)</f>
        <v>0</v>
      </c>
      <c r="L1903" s="250" t="str">
        <f>IFERROR(__xludf.DUMMYFUNCTION("""COMPUTED_VALUE"""),"")</f>
        <v/>
      </c>
      <c r="M1903" s="250" t="str">
        <f>IFERROR(__xludf.DUMMYFUNCTION("""COMPUTED_VALUE"""),"")</f>
        <v/>
      </c>
      <c r="N1903" s="250" t="str">
        <f>IFERROR(__xludf.DUMMYFUNCTION("""COMPUTED_VALUE"""),"")</f>
        <v/>
      </c>
      <c r="O1903" s="250" t="str">
        <f>IFERROR(__xludf.DUMMYFUNCTION("""COMPUTED_VALUE"""),"")</f>
        <v/>
      </c>
      <c r="P1903" s="250" t="str">
        <f>IFERROR(__xludf.DUMMYFUNCTION("""COMPUTED_VALUE"""),"")</f>
        <v/>
      </c>
      <c r="Q1903" s="250" t="str">
        <f>IFERROR(__xludf.DUMMYFUNCTION("""COMPUTED_VALUE"""),"")</f>
        <v/>
      </c>
      <c r="R1903" s="250" t="str">
        <f>IFERROR(__xludf.DUMMYFUNCTION("""COMPUTED_VALUE"""),"")</f>
        <v/>
      </c>
      <c r="U1903" s="250" t="str">
        <f>IFERROR(__xludf.DUMMYFUNCTION("""COMPUTED_VALUE"""),"#N/A")</f>
        <v>#N/A</v>
      </c>
      <c r="V1903" s="250" t="str">
        <f>IFERROR(__xludf.DUMMYFUNCTION("""COMPUTED_VALUE"""),"#N/A")</f>
        <v>#N/A</v>
      </c>
      <c r="W1903" s="250" t="str">
        <f>IFERROR(__xludf.DUMMYFUNCTION("""COMPUTED_VALUE"""),"#N/A")</f>
        <v>#N/A</v>
      </c>
      <c r="X1903" t="b">
        <f t="shared" ref="X1903:Z1903" si="3782">ISBLANK(K1903)</f>
        <v>1</v>
      </c>
      <c r="Y1903" t="b">
        <f t="shared" si="3782"/>
        <v>0</v>
      </c>
      <c r="Z1903" t="b">
        <f t="shared" si="3782"/>
        <v>0</v>
      </c>
      <c r="AA1903">
        <f t="shared" ref="AA1903:AC1903" si="3783">IF(X1903=FALSE,1,0)</f>
        <v>0</v>
      </c>
      <c r="AB1903">
        <f t="shared" si="3783"/>
        <v>1</v>
      </c>
      <c r="AC1903">
        <f t="shared" si="3783"/>
        <v>1</v>
      </c>
      <c r="AD1903">
        <f t="shared" si="6"/>
        <v>2</v>
      </c>
      <c r="AE1903">
        <f t="shared" si="7"/>
        <v>1</v>
      </c>
    </row>
    <row r="1904">
      <c r="B1904" t="str">
        <f>IFERROR(__xludf.DUMMYFUNCTION("""COMPUTED_VALUE"""),"")</f>
        <v/>
      </c>
      <c r="C1904" t="str">
        <f>IFERROR(__xludf.DUMMYFUNCTION("""COMPUTED_VALUE"""),"")</f>
        <v/>
      </c>
      <c r="D1904" t="str">
        <f>IFERROR(__xludf.DUMMYFUNCTION("""COMPUTED_VALUE"""),"")</f>
        <v/>
      </c>
      <c r="E1904" t="str">
        <f>IFERROR(__xludf.DUMMYFUNCTION("""COMPUTED_VALUE"""),"")</f>
        <v/>
      </c>
      <c r="F1904" t="str">
        <f>IFERROR(__xludf.DUMMYFUNCTION("""COMPUTED_VALUE"""),"")</f>
        <v/>
      </c>
      <c r="G1904" t="str">
        <f>IFERROR(__xludf.DUMMYFUNCTION("""COMPUTED_VALUE"""),"")</f>
        <v/>
      </c>
      <c r="H1904" t="str">
        <f>IFERROR(__xludf.DUMMYFUNCTION("""COMPUTED_VALUE"""),"")</f>
        <v/>
      </c>
      <c r="I1904" t="str">
        <f>IFERROR(__xludf.DUMMYFUNCTION("""COMPUTED_VALUE"""),"")</f>
        <v/>
      </c>
      <c r="J1904">
        <f>IFERROR(__xludf.DUMMYFUNCTION("""COMPUTED_VALUE"""),0.0)</f>
        <v>0</v>
      </c>
      <c r="L1904" s="250" t="str">
        <f>IFERROR(__xludf.DUMMYFUNCTION("""COMPUTED_VALUE"""),"")</f>
        <v/>
      </c>
      <c r="M1904" s="250" t="str">
        <f>IFERROR(__xludf.DUMMYFUNCTION("""COMPUTED_VALUE"""),"")</f>
        <v/>
      </c>
      <c r="N1904" s="250" t="str">
        <f>IFERROR(__xludf.DUMMYFUNCTION("""COMPUTED_VALUE"""),"")</f>
        <v/>
      </c>
      <c r="O1904" s="250" t="str">
        <f>IFERROR(__xludf.DUMMYFUNCTION("""COMPUTED_VALUE"""),"")</f>
        <v/>
      </c>
      <c r="P1904" s="250" t="str">
        <f>IFERROR(__xludf.DUMMYFUNCTION("""COMPUTED_VALUE"""),"")</f>
        <v/>
      </c>
      <c r="Q1904" s="250" t="str">
        <f>IFERROR(__xludf.DUMMYFUNCTION("""COMPUTED_VALUE"""),"")</f>
        <v/>
      </c>
      <c r="R1904" s="250" t="str">
        <f>IFERROR(__xludf.DUMMYFUNCTION("""COMPUTED_VALUE"""),"")</f>
        <v/>
      </c>
      <c r="U1904" s="250" t="str">
        <f>IFERROR(__xludf.DUMMYFUNCTION("""COMPUTED_VALUE"""),"#N/A")</f>
        <v>#N/A</v>
      </c>
      <c r="V1904" s="250" t="str">
        <f>IFERROR(__xludf.DUMMYFUNCTION("""COMPUTED_VALUE"""),"#N/A")</f>
        <v>#N/A</v>
      </c>
      <c r="W1904" s="250" t="str">
        <f>IFERROR(__xludf.DUMMYFUNCTION("""COMPUTED_VALUE"""),"#N/A")</f>
        <v>#N/A</v>
      </c>
      <c r="X1904" t="b">
        <f t="shared" ref="X1904:Z1904" si="3784">ISBLANK(K1904)</f>
        <v>1</v>
      </c>
      <c r="Y1904" t="b">
        <f t="shared" si="3784"/>
        <v>0</v>
      </c>
      <c r="Z1904" t="b">
        <f t="shared" si="3784"/>
        <v>0</v>
      </c>
      <c r="AA1904">
        <f t="shared" ref="AA1904:AC1904" si="3785">IF(X1904=FALSE,1,0)</f>
        <v>0</v>
      </c>
      <c r="AB1904">
        <f t="shared" si="3785"/>
        <v>1</v>
      </c>
      <c r="AC1904">
        <f t="shared" si="3785"/>
        <v>1</v>
      </c>
      <c r="AD1904">
        <f t="shared" si="6"/>
        <v>2</v>
      </c>
      <c r="AE1904">
        <f t="shared" si="7"/>
        <v>1</v>
      </c>
    </row>
    <row r="1905">
      <c r="B1905" t="str">
        <f>IFERROR(__xludf.DUMMYFUNCTION("""COMPUTED_VALUE"""),"")</f>
        <v/>
      </c>
      <c r="C1905" t="str">
        <f>IFERROR(__xludf.DUMMYFUNCTION("""COMPUTED_VALUE"""),"")</f>
        <v/>
      </c>
      <c r="D1905" t="str">
        <f>IFERROR(__xludf.DUMMYFUNCTION("""COMPUTED_VALUE"""),"")</f>
        <v/>
      </c>
      <c r="E1905" t="str">
        <f>IFERROR(__xludf.DUMMYFUNCTION("""COMPUTED_VALUE"""),"")</f>
        <v/>
      </c>
      <c r="F1905" t="str">
        <f>IFERROR(__xludf.DUMMYFUNCTION("""COMPUTED_VALUE"""),"")</f>
        <v/>
      </c>
      <c r="G1905" t="str">
        <f>IFERROR(__xludf.DUMMYFUNCTION("""COMPUTED_VALUE"""),"")</f>
        <v/>
      </c>
      <c r="H1905" t="str">
        <f>IFERROR(__xludf.DUMMYFUNCTION("""COMPUTED_VALUE"""),"")</f>
        <v/>
      </c>
      <c r="I1905" t="str">
        <f>IFERROR(__xludf.DUMMYFUNCTION("""COMPUTED_VALUE"""),"")</f>
        <v/>
      </c>
      <c r="J1905">
        <f>IFERROR(__xludf.DUMMYFUNCTION("""COMPUTED_VALUE"""),0.0)</f>
        <v>0</v>
      </c>
      <c r="L1905" s="250" t="str">
        <f>IFERROR(__xludf.DUMMYFUNCTION("""COMPUTED_VALUE"""),"")</f>
        <v/>
      </c>
      <c r="M1905" s="250" t="str">
        <f>IFERROR(__xludf.DUMMYFUNCTION("""COMPUTED_VALUE"""),"")</f>
        <v/>
      </c>
      <c r="N1905" s="250" t="str">
        <f>IFERROR(__xludf.DUMMYFUNCTION("""COMPUTED_VALUE"""),"")</f>
        <v/>
      </c>
      <c r="O1905" s="250" t="str">
        <f>IFERROR(__xludf.DUMMYFUNCTION("""COMPUTED_VALUE"""),"")</f>
        <v/>
      </c>
      <c r="P1905" s="250" t="str">
        <f>IFERROR(__xludf.DUMMYFUNCTION("""COMPUTED_VALUE"""),"")</f>
        <v/>
      </c>
      <c r="Q1905" s="250" t="str">
        <f>IFERROR(__xludf.DUMMYFUNCTION("""COMPUTED_VALUE"""),"")</f>
        <v/>
      </c>
      <c r="R1905" s="250" t="str">
        <f>IFERROR(__xludf.DUMMYFUNCTION("""COMPUTED_VALUE"""),"")</f>
        <v/>
      </c>
      <c r="U1905" s="250" t="str">
        <f>IFERROR(__xludf.DUMMYFUNCTION("""COMPUTED_VALUE"""),"#N/A")</f>
        <v>#N/A</v>
      </c>
      <c r="V1905" s="250" t="str">
        <f>IFERROR(__xludf.DUMMYFUNCTION("""COMPUTED_VALUE"""),"#N/A")</f>
        <v>#N/A</v>
      </c>
      <c r="W1905" s="250" t="str">
        <f>IFERROR(__xludf.DUMMYFUNCTION("""COMPUTED_VALUE"""),"#N/A")</f>
        <v>#N/A</v>
      </c>
      <c r="X1905" t="b">
        <f t="shared" ref="X1905:Z1905" si="3786">ISBLANK(K1905)</f>
        <v>1</v>
      </c>
      <c r="Y1905" t="b">
        <f t="shared" si="3786"/>
        <v>0</v>
      </c>
      <c r="Z1905" t="b">
        <f t="shared" si="3786"/>
        <v>0</v>
      </c>
      <c r="AA1905">
        <f t="shared" ref="AA1905:AC1905" si="3787">IF(X1905=FALSE,1,0)</f>
        <v>0</v>
      </c>
      <c r="AB1905">
        <f t="shared" si="3787"/>
        <v>1</v>
      </c>
      <c r="AC1905">
        <f t="shared" si="3787"/>
        <v>1</v>
      </c>
      <c r="AD1905">
        <f t="shared" si="6"/>
        <v>2</v>
      </c>
      <c r="AE1905">
        <f t="shared" si="7"/>
        <v>1</v>
      </c>
    </row>
    <row r="1906">
      <c r="B1906" t="str">
        <f>IFERROR(__xludf.DUMMYFUNCTION("""COMPUTED_VALUE"""),"")</f>
        <v/>
      </c>
      <c r="C1906" t="str">
        <f>IFERROR(__xludf.DUMMYFUNCTION("""COMPUTED_VALUE"""),"")</f>
        <v/>
      </c>
      <c r="D1906" t="str">
        <f>IFERROR(__xludf.DUMMYFUNCTION("""COMPUTED_VALUE"""),"")</f>
        <v/>
      </c>
      <c r="E1906" t="str">
        <f>IFERROR(__xludf.DUMMYFUNCTION("""COMPUTED_VALUE"""),"")</f>
        <v/>
      </c>
      <c r="F1906" t="str">
        <f>IFERROR(__xludf.DUMMYFUNCTION("""COMPUTED_VALUE"""),"")</f>
        <v/>
      </c>
      <c r="G1906" t="str">
        <f>IFERROR(__xludf.DUMMYFUNCTION("""COMPUTED_VALUE"""),"")</f>
        <v/>
      </c>
      <c r="H1906" t="str">
        <f>IFERROR(__xludf.DUMMYFUNCTION("""COMPUTED_VALUE"""),"")</f>
        <v/>
      </c>
      <c r="I1906" t="str">
        <f>IFERROR(__xludf.DUMMYFUNCTION("""COMPUTED_VALUE"""),"")</f>
        <v/>
      </c>
      <c r="J1906">
        <f>IFERROR(__xludf.DUMMYFUNCTION("""COMPUTED_VALUE"""),0.0)</f>
        <v>0</v>
      </c>
      <c r="L1906" s="250" t="str">
        <f>IFERROR(__xludf.DUMMYFUNCTION("""COMPUTED_VALUE"""),"")</f>
        <v/>
      </c>
      <c r="M1906" s="250" t="str">
        <f>IFERROR(__xludf.DUMMYFUNCTION("""COMPUTED_VALUE"""),"")</f>
        <v/>
      </c>
      <c r="N1906" s="250" t="str">
        <f>IFERROR(__xludf.DUMMYFUNCTION("""COMPUTED_VALUE"""),"")</f>
        <v/>
      </c>
      <c r="O1906" s="250" t="str">
        <f>IFERROR(__xludf.DUMMYFUNCTION("""COMPUTED_VALUE"""),"")</f>
        <v/>
      </c>
      <c r="P1906" s="250" t="str">
        <f>IFERROR(__xludf.DUMMYFUNCTION("""COMPUTED_VALUE"""),"")</f>
        <v/>
      </c>
      <c r="Q1906" s="250" t="str">
        <f>IFERROR(__xludf.DUMMYFUNCTION("""COMPUTED_VALUE"""),"")</f>
        <v/>
      </c>
      <c r="R1906" s="250" t="str">
        <f>IFERROR(__xludf.DUMMYFUNCTION("""COMPUTED_VALUE"""),"")</f>
        <v/>
      </c>
      <c r="U1906" s="250" t="str">
        <f>IFERROR(__xludf.DUMMYFUNCTION("""COMPUTED_VALUE"""),"#N/A")</f>
        <v>#N/A</v>
      </c>
      <c r="V1906" s="250" t="str">
        <f>IFERROR(__xludf.DUMMYFUNCTION("""COMPUTED_VALUE"""),"#N/A")</f>
        <v>#N/A</v>
      </c>
      <c r="W1906" s="250" t="str">
        <f>IFERROR(__xludf.DUMMYFUNCTION("""COMPUTED_VALUE"""),"#N/A")</f>
        <v>#N/A</v>
      </c>
      <c r="X1906" t="b">
        <f t="shared" ref="X1906:Z1906" si="3788">ISBLANK(K1906)</f>
        <v>1</v>
      </c>
      <c r="Y1906" t="b">
        <f t="shared" si="3788"/>
        <v>0</v>
      </c>
      <c r="Z1906" t="b">
        <f t="shared" si="3788"/>
        <v>0</v>
      </c>
      <c r="AA1906">
        <f t="shared" ref="AA1906:AC1906" si="3789">IF(X1906=FALSE,1,0)</f>
        <v>0</v>
      </c>
      <c r="AB1906">
        <f t="shared" si="3789"/>
        <v>1</v>
      </c>
      <c r="AC1906">
        <f t="shared" si="3789"/>
        <v>1</v>
      </c>
      <c r="AD1906">
        <f t="shared" si="6"/>
        <v>2</v>
      </c>
      <c r="AE1906">
        <f t="shared" si="7"/>
        <v>1</v>
      </c>
    </row>
    <row r="1907">
      <c r="B1907" t="str">
        <f>IFERROR(__xludf.DUMMYFUNCTION("""COMPUTED_VALUE"""),"")</f>
        <v/>
      </c>
      <c r="C1907" t="str">
        <f>IFERROR(__xludf.DUMMYFUNCTION("""COMPUTED_VALUE"""),"")</f>
        <v/>
      </c>
      <c r="D1907" t="str">
        <f>IFERROR(__xludf.DUMMYFUNCTION("""COMPUTED_VALUE"""),"")</f>
        <v/>
      </c>
      <c r="E1907" t="str">
        <f>IFERROR(__xludf.DUMMYFUNCTION("""COMPUTED_VALUE"""),"")</f>
        <v/>
      </c>
      <c r="F1907" t="str">
        <f>IFERROR(__xludf.DUMMYFUNCTION("""COMPUTED_VALUE"""),"")</f>
        <v/>
      </c>
      <c r="G1907" t="str">
        <f>IFERROR(__xludf.DUMMYFUNCTION("""COMPUTED_VALUE"""),"")</f>
        <v/>
      </c>
      <c r="H1907" t="str">
        <f>IFERROR(__xludf.DUMMYFUNCTION("""COMPUTED_VALUE"""),"")</f>
        <v/>
      </c>
      <c r="I1907" t="str">
        <f>IFERROR(__xludf.DUMMYFUNCTION("""COMPUTED_VALUE"""),"")</f>
        <v/>
      </c>
      <c r="J1907">
        <f>IFERROR(__xludf.DUMMYFUNCTION("""COMPUTED_VALUE"""),0.0)</f>
        <v>0</v>
      </c>
      <c r="L1907" s="250" t="str">
        <f>IFERROR(__xludf.DUMMYFUNCTION("""COMPUTED_VALUE"""),"")</f>
        <v/>
      </c>
      <c r="M1907" s="250" t="str">
        <f>IFERROR(__xludf.DUMMYFUNCTION("""COMPUTED_VALUE"""),"")</f>
        <v/>
      </c>
      <c r="N1907" s="250" t="str">
        <f>IFERROR(__xludf.DUMMYFUNCTION("""COMPUTED_VALUE"""),"")</f>
        <v/>
      </c>
      <c r="O1907" s="250" t="str">
        <f>IFERROR(__xludf.DUMMYFUNCTION("""COMPUTED_VALUE"""),"")</f>
        <v/>
      </c>
      <c r="P1907" s="250" t="str">
        <f>IFERROR(__xludf.DUMMYFUNCTION("""COMPUTED_VALUE"""),"")</f>
        <v/>
      </c>
      <c r="Q1907" s="250" t="str">
        <f>IFERROR(__xludf.DUMMYFUNCTION("""COMPUTED_VALUE"""),"")</f>
        <v/>
      </c>
      <c r="R1907" s="250" t="str">
        <f>IFERROR(__xludf.DUMMYFUNCTION("""COMPUTED_VALUE"""),"")</f>
        <v/>
      </c>
      <c r="U1907" s="250" t="str">
        <f>IFERROR(__xludf.DUMMYFUNCTION("""COMPUTED_VALUE"""),"#N/A")</f>
        <v>#N/A</v>
      </c>
      <c r="V1907" s="250" t="str">
        <f>IFERROR(__xludf.DUMMYFUNCTION("""COMPUTED_VALUE"""),"#N/A")</f>
        <v>#N/A</v>
      </c>
      <c r="W1907" s="250" t="str">
        <f>IFERROR(__xludf.DUMMYFUNCTION("""COMPUTED_VALUE"""),"#N/A")</f>
        <v>#N/A</v>
      </c>
      <c r="X1907" t="b">
        <f t="shared" ref="X1907:Z1907" si="3790">ISBLANK(K1907)</f>
        <v>1</v>
      </c>
      <c r="Y1907" t="b">
        <f t="shared" si="3790"/>
        <v>0</v>
      </c>
      <c r="Z1907" t="b">
        <f t="shared" si="3790"/>
        <v>0</v>
      </c>
      <c r="AA1907">
        <f t="shared" ref="AA1907:AC1907" si="3791">IF(X1907=FALSE,1,0)</f>
        <v>0</v>
      </c>
      <c r="AB1907">
        <f t="shared" si="3791"/>
        <v>1</v>
      </c>
      <c r="AC1907">
        <f t="shared" si="3791"/>
        <v>1</v>
      </c>
      <c r="AD1907">
        <f t="shared" si="6"/>
        <v>2</v>
      </c>
      <c r="AE1907">
        <f t="shared" si="7"/>
        <v>1</v>
      </c>
    </row>
    <row r="1908">
      <c r="B1908" t="str">
        <f>IFERROR(__xludf.DUMMYFUNCTION("""COMPUTED_VALUE"""),"")</f>
        <v/>
      </c>
      <c r="C1908" t="str">
        <f>IFERROR(__xludf.DUMMYFUNCTION("""COMPUTED_VALUE"""),"")</f>
        <v/>
      </c>
      <c r="D1908" t="str">
        <f>IFERROR(__xludf.DUMMYFUNCTION("""COMPUTED_VALUE"""),"")</f>
        <v/>
      </c>
      <c r="E1908" t="str">
        <f>IFERROR(__xludf.DUMMYFUNCTION("""COMPUTED_VALUE"""),"")</f>
        <v/>
      </c>
      <c r="F1908" t="str">
        <f>IFERROR(__xludf.DUMMYFUNCTION("""COMPUTED_VALUE"""),"")</f>
        <v/>
      </c>
      <c r="G1908" t="str">
        <f>IFERROR(__xludf.DUMMYFUNCTION("""COMPUTED_VALUE"""),"")</f>
        <v/>
      </c>
      <c r="H1908" t="str">
        <f>IFERROR(__xludf.DUMMYFUNCTION("""COMPUTED_VALUE"""),"")</f>
        <v/>
      </c>
      <c r="I1908" t="str">
        <f>IFERROR(__xludf.DUMMYFUNCTION("""COMPUTED_VALUE"""),"")</f>
        <v/>
      </c>
      <c r="J1908">
        <f>IFERROR(__xludf.DUMMYFUNCTION("""COMPUTED_VALUE"""),0.0)</f>
        <v>0</v>
      </c>
      <c r="L1908" s="250" t="str">
        <f>IFERROR(__xludf.DUMMYFUNCTION("""COMPUTED_VALUE"""),"")</f>
        <v/>
      </c>
      <c r="M1908" s="250" t="str">
        <f>IFERROR(__xludf.DUMMYFUNCTION("""COMPUTED_VALUE"""),"")</f>
        <v/>
      </c>
      <c r="N1908" s="250" t="str">
        <f>IFERROR(__xludf.DUMMYFUNCTION("""COMPUTED_VALUE"""),"")</f>
        <v/>
      </c>
      <c r="O1908" s="250" t="str">
        <f>IFERROR(__xludf.DUMMYFUNCTION("""COMPUTED_VALUE"""),"")</f>
        <v/>
      </c>
      <c r="P1908" s="250" t="str">
        <f>IFERROR(__xludf.DUMMYFUNCTION("""COMPUTED_VALUE"""),"")</f>
        <v/>
      </c>
      <c r="Q1908" s="250" t="str">
        <f>IFERROR(__xludf.DUMMYFUNCTION("""COMPUTED_VALUE"""),"")</f>
        <v/>
      </c>
      <c r="R1908" s="250" t="str">
        <f>IFERROR(__xludf.DUMMYFUNCTION("""COMPUTED_VALUE"""),"")</f>
        <v/>
      </c>
      <c r="U1908" s="250" t="str">
        <f>IFERROR(__xludf.DUMMYFUNCTION("""COMPUTED_VALUE"""),"#N/A")</f>
        <v>#N/A</v>
      </c>
      <c r="V1908" s="250" t="str">
        <f>IFERROR(__xludf.DUMMYFUNCTION("""COMPUTED_VALUE"""),"#N/A")</f>
        <v>#N/A</v>
      </c>
      <c r="W1908" s="250" t="str">
        <f>IFERROR(__xludf.DUMMYFUNCTION("""COMPUTED_VALUE"""),"#N/A")</f>
        <v>#N/A</v>
      </c>
      <c r="X1908" t="b">
        <f t="shared" ref="X1908:Z1908" si="3792">ISBLANK(K1908)</f>
        <v>1</v>
      </c>
      <c r="Y1908" t="b">
        <f t="shared" si="3792"/>
        <v>0</v>
      </c>
      <c r="Z1908" t="b">
        <f t="shared" si="3792"/>
        <v>0</v>
      </c>
      <c r="AA1908">
        <f t="shared" ref="AA1908:AC1908" si="3793">IF(X1908=FALSE,1,0)</f>
        <v>0</v>
      </c>
      <c r="AB1908">
        <f t="shared" si="3793"/>
        <v>1</v>
      </c>
      <c r="AC1908">
        <f t="shared" si="3793"/>
        <v>1</v>
      </c>
      <c r="AD1908">
        <f t="shared" si="6"/>
        <v>2</v>
      </c>
      <c r="AE1908">
        <f t="shared" si="7"/>
        <v>1</v>
      </c>
    </row>
    <row r="1909">
      <c r="B1909" t="str">
        <f>IFERROR(__xludf.DUMMYFUNCTION("""COMPUTED_VALUE"""),"")</f>
        <v/>
      </c>
      <c r="C1909" t="str">
        <f>IFERROR(__xludf.DUMMYFUNCTION("""COMPUTED_VALUE"""),"")</f>
        <v/>
      </c>
      <c r="D1909" t="str">
        <f>IFERROR(__xludf.DUMMYFUNCTION("""COMPUTED_VALUE"""),"")</f>
        <v/>
      </c>
      <c r="E1909" t="str">
        <f>IFERROR(__xludf.DUMMYFUNCTION("""COMPUTED_VALUE"""),"")</f>
        <v/>
      </c>
      <c r="F1909" t="str">
        <f>IFERROR(__xludf.DUMMYFUNCTION("""COMPUTED_VALUE"""),"")</f>
        <v/>
      </c>
      <c r="G1909" t="str">
        <f>IFERROR(__xludf.DUMMYFUNCTION("""COMPUTED_VALUE"""),"")</f>
        <v/>
      </c>
      <c r="H1909" t="str">
        <f>IFERROR(__xludf.DUMMYFUNCTION("""COMPUTED_VALUE"""),"")</f>
        <v/>
      </c>
      <c r="I1909" t="str">
        <f>IFERROR(__xludf.DUMMYFUNCTION("""COMPUTED_VALUE"""),"")</f>
        <v/>
      </c>
      <c r="J1909">
        <f>IFERROR(__xludf.DUMMYFUNCTION("""COMPUTED_VALUE"""),0.0)</f>
        <v>0</v>
      </c>
      <c r="L1909" s="250" t="str">
        <f>IFERROR(__xludf.DUMMYFUNCTION("""COMPUTED_VALUE"""),"")</f>
        <v/>
      </c>
      <c r="M1909" s="250" t="str">
        <f>IFERROR(__xludf.DUMMYFUNCTION("""COMPUTED_VALUE"""),"")</f>
        <v/>
      </c>
      <c r="N1909" s="250" t="str">
        <f>IFERROR(__xludf.DUMMYFUNCTION("""COMPUTED_VALUE"""),"")</f>
        <v/>
      </c>
      <c r="O1909" s="250" t="str">
        <f>IFERROR(__xludf.DUMMYFUNCTION("""COMPUTED_VALUE"""),"")</f>
        <v/>
      </c>
      <c r="P1909" s="250" t="str">
        <f>IFERROR(__xludf.DUMMYFUNCTION("""COMPUTED_VALUE"""),"")</f>
        <v/>
      </c>
      <c r="Q1909" s="250" t="str">
        <f>IFERROR(__xludf.DUMMYFUNCTION("""COMPUTED_VALUE"""),"")</f>
        <v/>
      </c>
      <c r="R1909" s="250" t="str">
        <f>IFERROR(__xludf.DUMMYFUNCTION("""COMPUTED_VALUE"""),"")</f>
        <v/>
      </c>
      <c r="U1909" s="250" t="str">
        <f>IFERROR(__xludf.DUMMYFUNCTION("""COMPUTED_VALUE"""),"#N/A")</f>
        <v>#N/A</v>
      </c>
      <c r="V1909" s="250" t="str">
        <f>IFERROR(__xludf.DUMMYFUNCTION("""COMPUTED_VALUE"""),"#N/A")</f>
        <v>#N/A</v>
      </c>
      <c r="W1909" s="250" t="str">
        <f>IFERROR(__xludf.DUMMYFUNCTION("""COMPUTED_VALUE"""),"#N/A")</f>
        <v>#N/A</v>
      </c>
      <c r="X1909" t="b">
        <f t="shared" ref="X1909:Z1909" si="3794">ISBLANK(K1909)</f>
        <v>1</v>
      </c>
      <c r="Y1909" t="b">
        <f t="shared" si="3794"/>
        <v>0</v>
      </c>
      <c r="Z1909" t="b">
        <f t="shared" si="3794"/>
        <v>0</v>
      </c>
      <c r="AA1909">
        <f t="shared" ref="AA1909:AC1909" si="3795">IF(X1909=FALSE,1,0)</f>
        <v>0</v>
      </c>
      <c r="AB1909">
        <f t="shared" si="3795"/>
        <v>1</v>
      </c>
      <c r="AC1909">
        <f t="shared" si="3795"/>
        <v>1</v>
      </c>
      <c r="AD1909">
        <f t="shared" si="6"/>
        <v>2</v>
      </c>
      <c r="AE1909">
        <f t="shared" si="7"/>
        <v>1</v>
      </c>
    </row>
    <row r="1910">
      <c r="B1910" t="str">
        <f>IFERROR(__xludf.DUMMYFUNCTION("""COMPUTED_VALUE"""),"")</f>
        <v/>
      </c>
      <c r="C1910" t="str">
        <f>IFERROR(__xludf.DUMMYFUNCTION("""COMPUTED_VALUE"""),"")</f>
        <v/>
      </c>
      <c r="D1910" t="str">
        <f>IFERROR(__xludf.DUMMYFUNCTION("""COMPUTED_VALUE"""),"")</f>
        <v/>
      </c>
      <c r="E1910" t="str">
        <f>IFERROR(__xludf.DUMMYFUNCTION("""COMPUTED_VALUE"""),"")</f>
        <v/>
      </c>
      <c r="F1910" t="str">
        <f>IFERROR(__xludf.DUMMYFUNCTION("""COMPUTED_VALUE"""),"")</f>
        <v/>
      </c>
      <c r="G1910" t="str">
        <f>IFERROR(__xludf.DUMMYFUNCTION("""COMPUTED_VALUE"""),"")</f>
        <v/>
      </c>
      <c r="H1910" t="str">
        <f>IFERROR(__xludf.DUMMYFUNCTION("""COMPUTED_VALUE"""),"")</f>
        <v/>
      </c>
      <c r="I1910" t="str">
        <f>IFERROR(__xludf.DUMMYFUNCTION("""COMPUTED_VALUE"""),"")</f>
        <v/>
      </c>
      <c r="J1910">
        <f>IFERROR(__xludf.DUMMYFUNCTION("""COMPUTED_VALUE"""),0.0)</f>
        <v>0</v>
      </c>
      <c r="L1910" s="250" t="str">
        <f>IFERROR(__xludf.DUMMYFUNCTION("""COMPUTED_VALUE"""),"")</f>
        <v/>
      </c>
      <c r="M1910" s="250" t="str">
        <f>IFERROR(__xludf.DUMMYFUNCTION("""COMPUTED_VALUE"""),"")</f>
        <v/>
      </c>
      <c r="N1910" s="250" t="str">
        <f>IFERROR(__xludf.DUMMYFUNCTION("""COMPUTED_VALUE"""),"")</f>
        <v/>
      </c>
      <c r="O1910" s="250" t="str">
        <f>IFERROR(__xludf.DUMMYFUNCTION("""COMPUTED_VALUE"""),"")</f>
        <v/>
      </c>
      <c r="P1910" s="250" t="str">
        <f>IFERROR(__xludf.DUMMYFUNCTION("""COMPUTED_VALUE"""),"")</f>
        <v/>
      </c>
      <c r="Q1910" s="250" t="str">
        <f>IFERROR(__xludf.DUMMYFUNCTION("""COMPUTED_VALUE"""),"")</f>
        <v/>
      </c>
      <c r="R1910" s="250" t="str">
        <f>IFERROR(__xludf.DUMMYFUNCTION("""COMPUTED_VALUE"""),"")</f>
        <v/>
      </c>
      <c r="U1910" s="250" t="str">
        <f>IFERROR(__xludf.DUMMYFUNCTION("""COMPUTED_VALUE"""),"#N/A")</f>
        <v>#N/A</v>
      </c>
      <c r="V1910" s="250" t="str">
        <f>IFERROR(__xludf.DUMMYFUNCTION("""COMPUTED_VALUE"""),"#N/A")</f>
        <v>#N/A</v>
      </c>
      <c r="W1910" s="250" t="str">
        <f>IFERROR(__xludf.DUMMYFUNCTION("""COMPUTED_VALUE"""),"#N/A")</f>
        <v>#N/A</v>
      </c>
      <c r="X1910" t="b">
        <f t="shared" ref="X1910:Z1910" si="3796">ISBLANK(K1910)</f>
        <v>1</v>
      </c>
      <c r="Y1910" t="b">
        <f t="shared" si="3796"/>
        <v>0</v>
      </c>
      <c r="Z1910" t="b">
        <f t="shared" si="3796"/>
        <v>0</v>
      </c>
      <c r="AA1910">
        <f t="shared" ref="AA1910:AC1910" si="3797">IF(X1910=FALSE,1,0)</f>
        <v>0</v>
      </c>
      <c r="AB1910">
        <f t="shared" si="3797"/>
        <v>1</v>
      </c>
      <c r="AC1910">
        <f t="shared" si="3797"/>
        <v>1</v>
      </c>
      <c r="AD1910">
        <f t="shared" si="6"/>
        <v>2</v>
      </c>
      <c r="AE1910">
        <f t="shared" si="7"/>
        <v>1</v>
      </c>
    </row>
    <row r="1911">
      <c r="B1911" t="str">
        <f>IFERROR(__xludf.DUMMYFUNCTION("""COMPUTED_VALUE"""),"")</f>
        <v/>
      </c>
      <c r="C1911" t="str">
        <f>IFERROR(__xludf.DUMMYFUNCTION("""COMPUTED_VALUE"""),"")</f>
        <v/>
      </c>
      <c r="D1911" t="str">
        <f>IFERROR(__xludf.DUMMYFUNCTION("""COMPUTED_VALUE"""),"")</f>
        <v/>
      </c>
      <c r="E1911" t="str">
        <f>IFERROR(__xludf.DUMMYFUNCTION("""COMPUTED_VALUE"""),"")</f>
        <v/>
      </c>
      <c r="F1911" t="str">
        <f>IFERROR(__xludf.DUMMYFUNCTION("""COMPUTED_VALUE"""),"")</f>
        <v/>
      </c>
      <c r="G1911" t="str">
        <f>IFERROR(__xludf.DUMMYFUNCTION("""COMPUTED_VALUE"""),"")</f>
        <v/>
      </c>
      <c r="H1911" t="str">
        <f>IFERROR(__xludf.DUMMYFUNCTION("""COMPUTED_VALUE"""),"")</f>
        <v/>
      </c>
      <c r="I1911" t="str">
        <f>IFERROR(__xludf.DUMMYFUNCTION("""COMPUTED_VALUE"""),"")</f>
        <v/>
      </c>
      <c r="J1911">
        <f>IFERROR(__xludf.DUMMYFUNCTION("""COMPUTED_VALUE"""),0.0)</f>
        <v>0</v>
      </c>
      <c r="L1911" s="250" t="str">
        <f>IFERROR(__xludf.DUMMYFUNCTION("""COMPUTED_VALUE"""),"")</f>
        <v/>
      </c>
      <c r="M1911" s="250" t="str">
        <f>IFERROR(__xludf.DUMMYFUNCTION("""COMPUTED_VALUE"""),"")</f>
        <v/>
      </c>
      <c r="N1911" s="250" t="str">
        <f>IFERROR(__xludf.DUMMYFUNCTION("""COMPUTED_VALUE"""),"")</f>
        <v/>
      </c>
      <c r="O1911" s="250" t="str">
        <f>IFERROR(__xludf.DUMMYFUNCTION("""COMPUTED_VALUE"""),"")</f>
        <v/>
      </c>
      <c r="P1911" s="250" t="str">
        <f>IFERROR(__xludf.DUMMYFUNCTION("""COMPUTED_VALUE"""),"")</f>
        <v/>
      </c>
      <c r="Q1911" s="250" t="str">
        <f>IFERROR(__xludf.DUMMYFUNCTION("""COMPUTED_VALUE"""),"")</f>
        <v/>
      </c>
      <c r="R1911" s="250" t="str">
        <f>IFERROR(__xludf.DUMMYFUNCTION("""COMPUTED_VALUE"""),"")</f>
        <v/>
      </c>
      <c r="U1911" s="250" t="str">
        <f>IFERROR(__xludf.DUMMYFUNCTION("""COMPUTED_VALUE"""),"#N/A")</f>
        <v>#N/A</v>
      </c>
      <c r="V1911" s="250" t="str">
        <f>IFERROR(__xludf.DUMMYFUNCTION("""COMPUTED_VALUE"""),"#N/A")</f>
        <v>#N/A</v>
      </c>
      <c r="W1911" s="250" t="str">
        <f>IFERROR(__xludf.DUMMYFUNCTION("""COMPUTED_VALUE"""),"#N/A")</f>
        <v>#N/A</v>
      </c>
      <c r="X1911" t="b">
        <f t="shared" ref="X1911:Z1911" si="3798">ISBLANK(K1911)</f>
        <v>1</v>
      </c>
      <c r="Y1911" t="b">
        <f t="shared" si="3798"/>
        <v>0</v>
      </c>
      <c r="Z1911" t="b">
        <f t="shared" si="3798"/>
        <v>0</v>
      </c>
      <c r="AA1911">
        <f t="shared" ref="AA1911:AC1911" si="3799">IF(X1911=FALSE,1,0)</f>
        <v>0</v>
      </c>
      <c r="AB1911">
        <f t="shared" si="3799"/>
        <v>1</v>
      </c>
      <c r="AC1911">
        <f t="shared" si="3799"/>
        <v>1</v>
      </c>
      <c r="AD1911">
        <f t="shared" si="6"/>
        <v>2</v>
      </c>
      <c r="AE1911">
        <f t="shared" si="7"/>
        <v>1</v>
      </c>
    </row>
    <row r="1912">
      <c r="B1912" t="str">
        <f>IFERROR(__xludf.DUMMYFUNCTION("""COMPUTED_VALUE"""),"")</f>
        <v/>
      </c>
      <c r="C1912" t="str">
        <f>IFERROR(__xludf.DUMMYFUNCTION("""COMPUTED_VALUE"""),"")</f>
        <v/>
      </c>
      <c r="D1912" t="str">
        <f>IFERROR(__xludf.DUMMYFUNCTION("""COMPUTED_VALUE"""),"")</f>
        <v/>
      </c>
      <c r="E1912" t="str">
        <f>IFERROR(__xludf.DUMMYFUNCTION("""COMPUTED_VALUE"""),"")</f>
        <v/>
      </c>
      <c r="F1912" t="str">
        <f>IFERROR(__xludf.DUMMYFUNCTION("""COMPUTED_VALUE"""),"")</f>
        <v/>
      </c>
      <c r="G1912" t="str">
        <f>IFERROR(__xludf.DUMMYFUNCTION("""COMPUTED_VALUE"""),"")</f>
        <v/>
      </c>
      <c r="H1912" t="str">
        <f>IFERROR(__xludf.DUMMYFUNCTION("""COMPUTED_VALUE"""),"")</f>
        <v/>
      </c>
      <c r="I1912" t="str">
        <f>IFERROR(__xludf.DUMMYFUNCTION("""COMPUTED_VALUE"""),"")</f>
        <v/>
      </c>
      <c r="J1912">
        <f>IFERROR(__xludf.DUMMYFUNCTION("""COMPUTED_VALUE"""),0.0)</f>
        <v>0</v>
      </c>
      <c r="L1912" s="250" t="str">
        <f>IFERROR(__xludf.DUMMYFUNCTION("""COMPUTED_VALUE"""),"")</f>
        <v/>
      </c>
      <c r="M1912" s="250" t="str">
        <f>IFERROR(__xludf.DUMMYFUNCTION("""COMPUTED_VALUE"""),"")</f>
        <v/>
      </c>
      <c r="N1912" s="250" t="str">
        <f>IFERROR(__xludf.DUMMYFUNCTION("""COMPUTED_VALUE"""),"")</f>
        <v/>
      </c>
      <c r="O1912" s="250" t="str">
        <f>IFERROR(__xludf.DUMMYFUNCTION("""COMPUTED_VALUE"""),"")</f>
        <v/>
      </c>
      <c r="P1912" s="250" t="str">
        <f>IFERROR(__xludf.DUMMYFUNCTION("""COMPUTED_VALUE"""),"")</f>
        <v/>
      </c>
      <c r="Q1912" s="250" t="str">
        <f>IFERROR(__xludf.DUMMYFUNCTION("""COMPUTED_VALUE"""),"")</f>
        <v/>
      </c>
      <c r="R1912" s="250" t="str">
        <f>IFERROR(__xludf.DUMMYFUNCTION("""COMPUTED_VALUE"""),"")</f>
        <v/>
      </c>
      <c r="U1912" s="250" t="str">
        <f>IFERROR(__xludf.DUMMYFUNCTION("""COMPUTED_VALUE"""),"#N/A")</f>
        <v>#N/A</v>
      </c>
      <c r="V1912" s="250" t="str">
        <f>IFERROR(__xludf.DUMMYFUNCTION("""COMPUTED_VALUE"""),"#N/A")</f>
        <v>#N/A</v>
      </c>
      <c r="W1912" s="250" t="str">
        <f>IFERROR(__xludf.DUMMYFUNCTION("""COMPUTED_VALUE"""),"#N/A")</f>
        <v>#N/A</v>
      </c>
      <c r="X1912" t="b">
        <f t="shared" ref="X1912:Z1912" si="3800">ISBLANK(K1912)</f>
        <v>1</v>
      </c>
      <c r="Y1912" t="b">
        <f t="shared" si="3800"/>
        <v>0</v>
      </c>
      <c r="Z1912" t="b">
        <f t="shared" si="3800"/>
        <v>0</v>
      </c>
      <c r="AA1912">
        <f t="shared" ref="AA1912:AC1912" si="3801">IF(X1912=FALSE,1,0)</f>
        <v>0</v>
      </c>
      <c r="AB1912">
        <f t="shared" si="3801"/>
        <v>1</v>
      </c>
      <c r="AC1912">
        <f t="shared" si="3801"/>
        <v>1</v>
      </c>
      <c r="AD1912">
        <f t="shared" si="6"/>
        <v>2</v>
      </c>
      <c r="AE1912">
        <f t="shared" si="7"/>
        <v>1</v>
      </c>
    </row>
    <row r="1913">
      <c r="B1913" t="str">
        <f>IFERROR(__xludf.DUMMYFUNCTION("""COMPUTED_VALUE"""),"")</f>
        <v/>
      </c>
      <c r="C1913" t="str">
        <f>IFERROR(__xludf.DUMMYFUNCTION("""COMPUTED_VALUE"""),"")</f>
        <v/>
      </c>
      <c r="D1913" t="str">
        <f>IFERROR(__xludf.DUMMYFUNCTION("""COMPUTED_VALUE"""),"")</f>
        <v/>
      </c>
      <c r="E1913" t="str">
        <f>IFERROR(__xludf.DUMMYFUNCTION("""COMPUTED_VALUE"""),"")</f>
        <v/>
      </c>
      <c r="F1913" t="str">
        <f>IFERROR(__xludf.DUMMYFUNCTION("""COMPUTED_VALUE"""),"")</f>
        <v/>
      </c>
      <c r="G1913" t="str">
        <f>IFERROR(__xludf.DUMMYFUNCTION("""COMPUTED_VALUE"""),"")</f>
        <v/>
      </c>
      <c r="H1913" t="str">
        <f>IFERROR(__xludf.DUMMYFUNCTION("""COMPUTED_VALUE"""),"")</f>
        <v/>
      </c>
      <c r="I1913" t="str">
        <f>IFERROR(__xludf.DUMMYFUNCTION("""COMPUTED_VALUE"""),"")</f>
        <v/>
      </c>
      <c r="J1913">
        <f>IFERROR(__xludf.DUMMYFUNCTION("""COMPUTED_VALUE"""),0.0)</f>
        <v>0</v>
      </c>
      <c r="L1913" s="250" t="str">
        <f>IFERROR(__xludf.DUMMYFUNCTION("""COMPUTED_VALUE"""),"")</f>
        <v/>
      </c>
      <c r="M1913" s="250" t="str">
        <f>IFERROR(__xludf.DUMMYFUNCTION("""COMPUTED_VALUE"""),"")</f>
        <v/>
      </c>
      <c r="N1913" s="250" t="str">
        <f>IFERROR(__xludf.DUMMYFUNCTION("""COMPUTED_VALUE"""),"")</f>
        <v/>
      </c>
      <c r="O1913" s="250" t="str">
        <f>IFERROR(__xludf.DUMMYFUNCTION("""COMPUTED_VALUE"""),"")</f>
        <v/>
      </c>
      <c r="P1913" s="250" t="str">
        <f>IFERROR(__xludf.DUMMYFUNCTION("""COMPUTED_VALUE"""),"")</f>
        <v/>
      </c>
      <c r="Q1913" s="250" t="str">
        <f>IFERROR(__xludf.DUMMYFUNCTION("""COMPUTED_VALUE"""),"")</f>
        <v/>
      </c>
      <c r="R1913" s="250" t="str">
        <f>IFERROR(__xludf.DUMMYFUNCTION("""COMPUTED_VALUE"""),"")</f>
        <v/>
      </c>
      <c r="U1913" s="250" t="str">
        <f>IFERROR(__xludf.DUMMYFUNCTION("""COMPUTED_VALUE"""),"#N/A")</f>
        <v>#N/A</v>
      </c>
      <c r="V1913" s="250" t="str">
        <f>IFERROR(__xludf.DUMMYFUNCTION("""COMPUTED_VALUE"""),"#N/A")</f>
        <v>#N/A</v>
      </c>
      <c r="W1913" s="250" t="str">
        <f>IFERROR(__xludf.DUMMYFUNCTION("""COMPUTED_VALUE"""),"#N/A")</f>
        <v>#N/A</v>
      </c>
      <c r="X1913" t="b">
        <f t="shared" ref="X1913:Z1913" si="3802">ISBLANK(K1913)</f>
        <v>1</v>
      </c>
      <c r="Y1913" t="b">
        <f t="shared" si="3802"/>
        <v>0</v>
      </c>
      <c r="Z1913" t="b">
        <f t="shared" si="3802"/>
        <v>0</v>
      </c>
      <c r="AA1913">
        <f t="shared" ref="AA1913:AC1913" si="3803">IF(X1913=FALSE,1,0)</f>
        <v>0</v>
      </c>
      <c r="AB1913">
        <f t="shared" si="3803"/>
        <v>1</v>
      </c>
      <c r="AC1913">
        <f t="shared" si="3803"/>
        <v>1</v>
      </c>
      <c r="AD1913">
        <f t="shared" si="6"/>
        <v>2</v>
      </c>
      <c r="AE1913">
        <f t="shared" si="7"/>
        <v>1</v>
      </c>
    </row>
    <row r="1914">
      <c r="B1914" t="str">
        <f>IFERROR(__xludf.DUMMYFUNCTION("""COMPUTED_VALUE"""),"")</f>
        <v/>
      </c>
      <c r="C1914" t="str">
        <f>IFERROR(__xludf.DUMMYFUNCTION("""COMPUTED_VALUE"""),"")</f>
        <v/>
      </c>
      <c r="D1914" t="str">
        <f>IFERROR(__xludf.DUMMYFUNCTION("""COMPUTED_VALUE"""),"")</f>
        <v/>
      </c>
      <c r="E1914" t="str">
        <f>IFERROR(__xludf.DUMMYFUNCTION("""COMPUTED_VALUE"""),"")</f>
        <v/>
      </c>
      <c r="F1914" t="str">
        <f>IFERROR(__xludf.DUMMYFUNCTION("""COMPUTED_VALUE"""),"")</f>
        <v/>
      </c>
      <c r="G1914" t="str">
        <f>IFERROR(__xludf.DUMMYFUNCTION("""COMPUTED_VALUE"""),"")</f>
        <v/>
      </c>
      <c r="H1914" t="str">
        <f>IFERROR(__xludf.DUMMYFUNCTION("""COMPUTED_VALUE"""),"")</f>
        <v/>
      </c>
      <c r="I1914" t="str">
        <f>IFERROR(__xludf.DUMMYFUNCTION("""COMPUTED_VALUE"""),"")</f>
        <v/>
      </c>
      <c r="J1914">
        <f>IFERROR(__xludf.DUMMYFUNCTION("""COMPUTED_VALUE"""),0.0)</f>
        <v>0</v>
      </c>
      <c r="L1914" s="250" t="str">
        <f>IFERROR(__xludf.DUMMYFUNCTION("""COMPUTED_VALUE"""),"")</f>
        <v/>
      </c>
      <c r="M1914" s="250" t="str">
        <f>IFERROR(__xludf.DUMMYFUNCTION("""COMPUTED_VALUE"""),"")</f>
        <v/>
      </c>
      <c r="N1914" s="250" t="str">
        <f>IFERROR(__xludf.DUMMYFUNCTION("""COMPUTED_VALUE"""),"")</f>
        <v/>
      </c>
      <c r="O1914" s="250" t="str">
        <f>IFERROR(__xludf.DUMMYFUNCTION("""COMPUTED_VALUE"""),"")</f>
        <v/>
      </c>
      <c r="P1914" s="250" t="str">
        <f>IFERROR(__xludf.DUMMYFUNCTION("""COMPUTED_VALUE"""),"")</f>
        <v/>
      </c>
      <c r="Q1914" s="250" t="str">
        <f>IFERROR(__xludf.DUMMYFUNCTION("""COMPUTED_VALUE"""),"")</f>
        <v/>
      </c>
      <c r="R1914" s="250" t="str">
        <f>IFERROR(__xludf.DUMMYFUNCTION("""COMPUTED_VALUE"""),"")</f>
        <v/>
      </c>
      <c r="U1914" s="250" t="str">
        <f>IFERROR(__xludf.DUMMYFUNCTION("""COMPUTED_VALUE"""),"#N/A")</f>
        <v>#N/A</v>
      </c>
      <c r="V1914" s="250" t="str">
        <f>IFERROR(__xludf.DUMMYFUNCTION("""COMPUTED_VALUE"""),"#N/A")</f>
        <v>#N/A</v>
      </c>
      <c r="W1914" s="250" t="str">
        <f>IFERROR(__xludf.DUMMYFUNCTION("""COMPUTED_VALUE"""),"#N/A")</f>
        <v>#N/A</v>
      </c>
      <c r="X1914" t="b">
        <f t="shared" ref="X1914:Z1914" si="3804">ISBLANK(K1914)</f>
        <v>1</v>
      </c>
      <c r="Y1914" t="b">
        <f t="shared" si="3804"/>
        <v>0</v>
      </c>
      <c r="Z1914" t="b">
        <f t="shared" si="3804"/>
        <v>0</v>
      </c>
      <c r="AA1914">
        <f t="shared" ref="AA1914:AC1914" si="3805">IF(X1914=FALSE,1,0)</f>
        <v>0</v>
      </c>
      <c r="AB1914">
        <f t="shared" si="3805"/>
        <v>1</v>
      </c>
      <c r="AC1914">
        <f t="shared" si="3805"/>
        <v>1</v>
      </c>
      <c r="AD1914">
        <f t="shared" si="6"/>
        <v>2</v>
      </c>
      <c r="AE1914">
        <f t="shared" si="7"/>
        <v>1</v>
      </c>
    </row>
    <row r="1915">
      <c r="B1915" t="str">
        <f>IFERROR(__xludf.DUMMYFUNCTION("""COMPUTED_VALUE"""),"")</f>
        <v/>
      </c>
      <c r="C1915" t="str">
        <f>IFERROR(__xludf.DUMMYFUNCTION("""COMPUTED_VALUE"""),"")</f>
        <v/>
      </c>
      <c r="D1915" t="str">
        <f>IFERROR(__xludf.DUMMYFUNCTION("""COMPUTED_VALUE"""),"")</f>
        <v/>
      </c>
      <c r="E1915" t="str">
        <f>IFERROR(__xludf.DUMMYFUNCTION("""COMPUTED_VALUE"""),"")</f>
        <v/>
      </c>
      <c r="F1915" t="str">
        <f>IFERROR(__xludf.DUMMYFUNCTION("""COMPUTED_VALUE"""),"")</f>
        <v/>
      </c>
      <c r="G1915" t="str">
        <f>IFERROR(__xludf.DUMMYFUNCTION("""COMPUTED_VALUE"""),"")</f>
        <v/>
      </c>
      <c r="H1915" t="str">
        <f>IFERROR(__xludf.DUMMYFUNCTION("""COMPUTED_VALUE"""),"")</f>
        <v/>
      </c>
      <c r="I1915" t="str">
        <f>IFERROR(__xludf.DUMMYFUNCTION("""COMPUTED_VALUE"""),"")</f>
        <v/>
      </c>
      <c r="J1915">
        <f>IFERROR(__xludf.DUMMYFUNCTION("""COMPUTED_VALUE"""),0.0)</f>
        <v>0</v>
      </c>
      <c r="L1915" s="250" t="str">
        <f>IFERROR(__xludf.DUMMYFUNCTION("""COMPUTED_VALUE"""),"")</f>
        <v/>
      </c>
      <c r="M1915" s="250" t="str">
        <f>IFERROR(__xludf.DUMMYFUNCTION("""COMPUTED_VALUE"""),"")</f>
        <v/>
      </c>
      <c r="N1915" s="250" t="str">
        <f>IFERROR(__xludf.DUMMYFUNCTION("""COMPUTED_VALUE"""),"")</f>
        <v/>
      </c>
      <c r="O1915" s="250" t="str">
        <f>IFERROR(__xludf.DUMMYFUNCTION("""COMPUTED_VALUE"""),"")</f>
        <v/>
      </c>
      <c r="P1915" s="250" t="str">
        <f>IFERROR(__xludf.DUMMYFUNCTION("""COMPUTED_VALUE"""),"")</f>
        <v/>
      </c>
      <c r="Q1915" s="250" t="str">
        <f>IFERROR(__xludf.DUMMYFUNCTION("""COMPUTED_VALUE"""),"")</f>
        <v/>
      </c>
      <c r="R1915" s="250" t="str">
        <f>IFERROR(__xludf.DUMMYFUNCTION("""COMPUTED_VALUE"""),"")</f>
        <v/>
      </c>
      <c r="U1915" s="250" t="str">
        <f>IFERROR(__xludf.DUMMYFUNCTION("""COMPUTED_VALUE"""),"#N/A")</f>
        <v>#N/A</v>
      </c>
      <c r="V1915" s="250" t="str">
        <f>IFERROR(__xludf.DUMMYFUNCTION("""COMPUTED_VALUE"""),"#N/A")</f>
        <v>#N/A</v>
      </c>
      <c r="W1915" s="250" t="str">
        <f>IFERROR(__xludf.DUMMYFUNCTION("""COMPUTED_VALUE"""),"#N/A")</f>
        <v>#N/A</v>
      </c>
      <c r="X1915" t="b">
        <f t="shared" ref="X1915:Z1915" si="3806">ISBLANK(K1915)</f>
        <v>1</v>
      </c>
      <c r="Y1915" t="b">
        <f t="shared" si="3806"/>
        <v>0</v>
      </c>
      <c r="Z1915" t="b">
        <f t="shared" si="3806"/>
        <v>0</v>
      </c>
      <c r="AA1915">
        <f t="shared" ref="AA1915:AC1915" si="3807">IF(X1915=FALSE,1,0)</f>
        <v>0</v>
      </c>
      <c r="AB1915">
        <f t="shared" si="3807"/>
        <v>1</v>
      </c>
      <c r="AC1915">
        <f t="shared" si="3807"/>
        <v>1</v>
      </c>
      <c r="AD1915">
        <f t="shared" si="6"/>
        <v>2</v>
      </c>
      <c r="AE1915">
        <f t="shared" si="7"/>
        <v>1</v>
      </c>
    </row>
    <row r="1916">
      <c r="B1916" t="str">
        <f>IFERROR(__xludf.DUMMYFUNCTION("""COMPUTED_VALUE"""),"")</f>
        <v/>
      </c>
      <c r="C1916" t="str">
        <f>IFERROR(__xludf.DUMMYFUNCTION("""COMPUTED_VALUE"""),"")</f>
        <v/>
      </c>
      <c r="D1916" t="str">
        <f>IFERROR(__xludf.DUMMYFUNCTION("""COMPUTED_VALUE"""),"")</f>
        <v/>
      </c>
      <c r="E1916" t="str">
        <f>IFERROR(__xludf.DUMMYFUNCTION("""COMPUTED_VALUE"""),"")</f>
        <v/>
      </c>
      <c r="F1916" t="str">
        <f>IFERROR(__xludf.DUMMYFUNCTION("""COMPUTED_VALUE"""),"")</f>
        <v/>
      </c>
      <c r="G1916" t="str">
        <f>IFERROR(__xludf.DUMMYFUNCTION("""COMPUTED_VALUE"""),"")</f>
        <v/>
      </c>
      <c r="H1916" t="str">
        <f>IFERROR(__xludf.DUMMYFUNCTION("""COMPUTED_VALUE"""),"")</f>
        <v/>
      </c>
      <c r="I1916" t="str">
        <f>IFERROR(__xludf.DUMMYFUNCTION("""COMPUTED_VALUE"""),"")</f>
        <v/>
      </c>
      <c r="J1916">
        <f>IFERROR(__xludf.DUMMYFUNCTION("""COMPUTED_VALUE"""),0.0)</f>
        <v>0</v>
      </c>
      <c r="L1916" s="250" t="str">
        <f>IFERROR(__xludf.DUMMYFUNCTION("""COMPUTED_VALUE"""),"")</f>
        <v/>
      </c>
      <c r="M1916" s="250" t="str">
        <f>IFERROR(__xludf.DUMMYFUNCTION("""COMPUTED_VALUE"""),"")</f>
        <v/>
      </c>
      <c r="N1916" s="250" t="str">
        <f>IFERROR(__xludf.DUMMYFUNCTION("""COMPUTED_VALUE"""),"")</f>
        <v/>
      </c>
      <c r="O1916" s="250" t="str">
        <f>IFERROR(__xludf.DUMMYFUNCTION("""COMPUTED_VALUE"""),"")</f>
        <v/>
      </c>
      <c r="P1916" s="250" t="str">
        <f>IFERROR(__xludf.DUMMYFUNCTION("""COMPUTED_VALUE"""),"")</f>
        <v/>
      </c>
      <c r="Q1916" s="250" t="str">
        <f>IFERROR(__xludf.DUMMYFUNCTION("""COMPUTED_VALUE"""),"")</f>
        <v/>
      </c>
      <c r="R1916" s="250" t="str">
        <f>IFERROR(__xludf.DUMMYFUNCTION("""COMPUTED_VALUE"""),"")</f>
        <v/>
      </c>
      <c r="U1916" s="250" t="str">
        <f>IFERROR(__xludf.DUMMYFUNCTION("""COMPUTED_VALUE"""),"#N/A")</f>
        <v>#N/A</v>
      </c>
      <c r="V1916" s="250" t="str">
        <f>IFERROR(__xludf.DUMMYFUNCTION("""COMPUTED_VALUE"""),"#N/A")</f>
        <v>#N/A</v>
      </c>
      <c r="W1916" s="250" t="str">
        <f>IFERROR(__xludf.DUMMYFUNCTION("""COMPUTED_VALUE"""),"#N/A")</f>
        <v>#N/A</v>
      </c>
      <c r="X1916" t="b">
        <f t="shared" ref="X1916:Z1916" si="3808">ISBLANK(K1916)</f>
        <v>1</v>
      </c>
      <c r="Y1916" t="b">
        <f t="shared" si="3808"/>
        <v>0</v>
      </c>
      <c r="Z1916" t="b">
        <f t="shared" si="3808"/>
        <v>0</v>
      </c>
      <c r="AA1916">
        <f t="shared" ref="AA1916:AC1916" si="3809">IF(X1916=FALSE,1,0)</f>
        <v>0</v>
      </c>
      <c r="AB1916">
        <f t="shared" si="3809"/>
        <v>1</v>
      </c>
      <c r="AC1916">
        <f t="shared" si="3809"/>
        <v>1</v>
      </c>
      <c r="AD1916">
        <f t="shared" si="6"/>
        <v>2</v>
      </c>
      <c r="AE1916">
        <f t="shared" si="7"/>
        <v>1</v>
      </c>
    </row>
    <row r="1917">
      <c r="B1917" t="str">
        <f>IFERROR(__xludf.DUMMYFUNCTION("""COMPUTED_VALUE"""),"")</f>
        <v/>
      </c>
      <c r="C1917" t="str">
        <f>IFERROR(__xludf.DUMMYFUNCTION("""COMPUTED_VALUE"""),"")</f>
        <v/>
      </c>
      <c r="D1917" t="str">
        <f>IFERROR(__xludf.DUMMYFUNCTION("""COMPUTED_VALUE"""),"")</f>
        <v/>
      </c>
      <c r="E1917" t="str">
        <f>IFERROR(__xludf.DUMMYFUNCTION("""COMPUTED_VALUE"""),"")</f>
        <v/>
      </c>
      <c r="F1917" t="str">
        <f>IFERROR(__xludf.DUMMYFUNCTION("""COMPUTED_VALUE"""),"")</f>
        <v/>
      </c>
      <c r="G1917" t="str">
        <f>IFERROR(__xludf.DUMMYFUNCTION("""COMPUTED_VALUE"""),"")</f>
        <v/>
      </c>
      <c r="H1917" t="str">
        <f>IFERROR(__xludf.DUMMYFUNCTION("""COMPUTED_VALUE"""),"")</f>
        <v/>
      </c>
      <c r="I1917" t="str">
        <f>IFERROR(__xludf.DUMMYFUNCTION("""COMPUTED_VALUE"""),"")</f>
        <v/>
      </c>
      <c r="J1917">
        <f>IFERROR(__xludf.DUMMYFUNCTION("""COMPUTED_VALUE"""),0.0)</f>
        <v>0</v>
      </c>
      <c r="L1917" s="250" t="str">
        <f>IFERROR(__xludf.DUMMYFUNCTION("""COMPUTED_VALUE"""),"")</f>
        <v/>
      </c>
      <c r="M1917" s="250" t="str">
        <f>IFERROR(__xludf.DUMMYFUNCTION("""COMPUTED_VALUE"""),"")</f>
        <v/>
      </c>
      <c r="N1917" s="250" t="str">
        <f>IFERROR(__xludf.DUMMYFUNCTION("""COMPUTED_VALUE"""),"")</f>
        <v/>
      </c>
      <c r="O1917" s="250" t="str">
        <f>IFERROR(__xludf.DUMMYFUNCTION("""COMPUTED_VALUE"""),"")</f>
        <v/>
      </c>
      <c r="P1917" s="250" t="str">
        <f>IFERROR(__xludf.DUMMYFUNCTION("""COMPUTED_VALUE"""),"")</f>
        <v/>
      </c>
      <c r="Q1917" s="250" t="str">
        <f>IFERROR(__xludf.DUMMYFUNCTION("""COMPUTED_VALUE"""),"")</f>
        <v/>
      </c>
      <c r="R1917" s="250" t="str">
        <f>IFERROR(__xludf.DUMMYFUNCTION("""COMPUTED_VALUE"""),"")</f>
        <v/>
      </c>
      <c r="U1917" s="250" t="str">
        <f>IFERROR(__xludf.DUMMYFUNCTION("""COMPUTED_VALUE"""),"#N/A")</f>
        <v>#N/A</v>
      </c>
      <c r="V1917" s="250" t="str">
        <f>IFERROR(__xludf.DUMMYFUNCTION("""COMPUTED_VALUE"""),"#N/A")</f>
        <v>#N/A</v>
      </c>
      <c r="W1917" s="250" t="str">
        <f>IFERROR(__xludf.DUMMYFUNCTION("""COMPUTED_VALUE"""),"#N/A")</f>
        <v>#N/A</v>
      </c>
      <c r="X1917" t="b">
        <f t="shared" ref="X1917:Z1917" si="3810">ISBLANK(K1917)</f>
        <v>1</v>
      </c>
      <c r="Y1917" t="b">
        <f t="shared" si="3810"/>
        <v>0</v>
      </c>
      <c r="Z1917" t="b">
        <f t="shared" si="3810"/>
        <v>0</v>
      </c>
      <c r="AA1917">
        <f t="shared" ref="AA1917:AC1917" si="3811">IF(X1917=FALSE,1,0)</f>
        <v>0</v>
      </c>
      <c r="AB1917">
        <f t="shared" si="3811"/>
        <v>1</v>
      </c>
      <c r="AC1917">
        <f t="shared" si="3811"/>
        <v>1</v>
      </c>
      <c r="AD1917">
        <f t="shared" si="6"/>
        <v>2</v>
      </c>
      <c r="AE1917">
        <f t="shared" si="7"/>
        <v>1</v>
      </c>
    </row>
    <row r="1918">
      <c r="B1918" t="str">
        <f>IFERROR(__xludf.DUMMYFUNCTION("""COMPUTED_VALUE"""),"")</f>
        <v/>
      </c>
      <c r="C1918" t="str">
        <f>IFERROR(__xludf.DUMMYFUNCTION("""COMPUTED_VALUE"""),"")</f>
        <v/>
      </c>
      <c r="D1918" t="str">
        <f>IFERROR(__xludf.DUMMYFUNCTION("""COMPUTED_VALUE"""),"")</f>
        <v/>
      </c>
      <c r="E1918" t="str">
        <f>IFERROR(__xludf.DUMMYFUNCTION("""COMPUTED_VALUE"""),"")</f>
        <v/>
      </c>
      <c r="F1918" t="str">
        <f>IFERROR(__xludf.DUMMYFUNCTION("""COMPUTED_VALUE"""),"")</f>
        <v/>
      </c>
      <c r="G1918" t="str">
        <f>IFERROR(__xludf.DUMMYFUNCTION("""COMPUTED_VALUE"""),"")</f>
        <v/>
      </c>
      <c r="H1918" t="str">
        <f>IFERROR(__xludf.DUMMYFUNCTION("""COMPUTED_VALUE"""),"")</f>
        <v/>
      </c>
      <c r="I1918" t="str">
        <f>IFERROR(__xludf.DUMMYFUNCTION("""COMPUTED_VALUE"""),"")</f>
        <v/>
      </c>
      <c r="J1918">
        <f>IFERROR(__xludf.DUMMYFUNCTION("""COMPUTED_VALUE"""),0.0)</f>
        <v>0</v>
      </c>
      <c r="L1918" s="250" t="str">
        <f>IFERROR(__xludf.DUMMYFUNCTION("""COMPUTED_VALUE"""),"")</f>
        <v/>
      </c>
      <c r="M1918" s="250" t="str">
        <f>IFERROR(__xludf.DUMMYFUNCTION("""COMPUTED_VALUE"""),"")</f>
        <v/>
      </c>
      <c r="N1918" s="250" t="str">
        <f>IFERROR(__xludf.DUMMYFUNCTION("""COMPUTED_VALUE"""),"")</f>
        <v/>
      </c>
      <c r="O1918" s="250" t="str">
        <f>IFERROR(__xludf.DUMMYFUNCTION("""COMPUTED_VALUE"""),"")</f>
        <v/>
      </c>
      <c r="P1918" s="250" t="str">
        <f>IFERROR(__xludf.DUMMYFUNCTION("""COMPUTED_VALUE"""),"")</f>
        <v/>
      </c>
      <c r="Q1918" s="250" t="str">
        <f>IFERROR(__xludf.DUMMYFUNCTION("""COMPUTED_VALUE"""),"")</f>
        <v/>
      </c>
      <c r="R1918" s="250" t="str">
        <f>IFERROR(__xludf.DUMMYFUNCTION("""COMPUTED_VALUE"""),"")</f>
        <v/>
      </c>
      <c r="U1918" s="250" t="str">
        <f>IFERROR(__xludf.DUMMYFUNCTION("""COMPUTED_VALUE"""),"#N/A")</f>
        <v>#N/A</v>
      </c>
      <c r="V1918" s="250" t="str">
        <f>IFERROR(__xludf.DUMMYFUNCTION("""COMPUTED_VALUE"""),"#N/A")</f>
        <v>#N/A</v>
      </c>
      <c r="W1918" s="250" t="str">
        <f>IFERROR(__xludf.DUMMYFUNCTION("""COMPUTED_VALUE"""),"#N/A")</f>
        <v>#N/A</v>
      </c>
      <c r="X1918" t="b">
        <f t="shared" ref="X1918:Z1918" si="3812">ISBLANK(K1918)</f>
        <v>1</v>
      </c>
      <c r="Y1918" t="b">
        <f t="shared" si="3812"/>
        <v>0</v>
      </c>
      <c r="Z1918" t="b">
        <f t="shared" si="3812"/>
        <v>0</v>
      </c>
      <c r="AA1918">
        <f t="shared" ref="AA1918:AC1918" si="3813">IF(X1918=FALSE,1,0)</f>
        <v>0</v>
      </c>
      <c r="AB1918">
        <f t="shared" si="3813"/>
        <v>1</v>
      </c>
      <c r="AC1918">
        <f t="shared" si="3813"/>
        <v>1</v>
      </c>
      <c r="AD1918">
        <f t="shared" si="6"/>
        <v>2</v>
      </c>
      <c r="AE1918">
        <f t="shared" si="7"/>
        <v>1</v>
      </c>
    </row>
    <row r="1919">
      <c r="B1919" t="str">
        <f>IFERROR(__xludf.DUMMYFUNCTION("""COMPUTED_VALUE"""),"")</f>
        <v/>
      </c>
      <c r="C1919" t="str">
        <f>IFERROR(__xludf.DUMMYFUNCTION("""COMPUTED_VALUE"""),"")</f>
        <v/>
      </c>
      <c r="D1919" t="str">
        <f>IFERROR(__xludf.DUMMYFUNCTION("""COMPUTED_VALUE"""),"")</f>
        <v/>
      </c>
      <c r="E1919" t="str">
        <f>IFERROR(__xludf.DUMMYFUNCTION("""COMPUTED_VALUE"""),"")</f>
        <v/>
      </c>
      <c r="F1919" t="str">
        <f>IFERROR(__xludf.DUMMYFUNCTION("""COMPUTED_VALUE"""),"")</f>
        <v/>
      </c>
      <c r="G1919" t="str">
        <f>IFERROR(__xludf.DUMMYFUNCTION("""COMPUTED_VALUE"""),"")</f>
        <v/>
      </c>
      <c r="H1919" t="str">
        <f>IFERROR(__xludf.DUMMYFUNCTION("""COMPUTED_VALUE"""),"")</f>
        <v/>
      </c>
      <c r="I1919" t="str">
        <f>IFERROR(__xludf.DUMMYFUNCTION("""COMPUTED_VALUE"""),"")</f>
        <v/>
      </c>
      <c r="J1919">
        <f>IFERROR(__xludf.DUMMYFUNCTION("""COMPUTED_VALUE"""),0.0)</f>
        <v>0</v>
      </c>
      <c r="L1919" s="250" t="str">
        <f>IFERROR(__xludf.DUMMYFUNCTION("""COMPUTED_VALUE"""),"")</f>
        <v/>
      </c>
      <c r="M1919" s="250" t="str">
        <f>IFERROR(__xludf.DUMMYFUNCTION("""COMPUTED_VALUE"""),"")</f>
        <v/>
      </c>
      <c r="N1919" s="250" t="str">
        <f>IFERROR(__xludf.DUMMYFUNCTION("""COMPUTED_VALUE"""),"")</f>
        <v/>
      </c>
      <c r="O1919" s="250" t="str">
        <f>IFERROR(__xludf.DUMMYFUNCTION("""COMPUTED_VALUE"""),"")</f>
        <v/>
      </c>
      <c r="P1919" s="250" t="str">
        <f>IFERROR(__xludf.DUMMYFUNCTION("""COMPUTED_VALUE"""),"")</f>
        <v/>
      </c>
      <c r="Q1919" s="250" t="str">
        <f>IFERROR(__xludf.DUMMYFUNCTION("""COMPUTED_VALUE"""),"")</f>
        <v/>
      </c>
      <c r="R1919" s="250" t="str">
        <f>IFERROR(__xludf.DUMMYFUNCTION("""COMPUTED_VALUE"""),"")</f>
        <v/>
      </c>
      <c r="U1919" s="250" t="str">
        <f>IFERROR(__xludf.DUMMYFUNCTION("""COMPUTED_VALUE"""),"#N/A")</f>
        <v>#N/A</v>
      </c>
      <c r="V1919" s="250" t="str">
        <f>IFERROR(__xludf.DUMMYFUNCTION("""COMPUTED_VALUE"""),"#N/A")</f>
        <v>#N/A</v>
      </c>
      <c r="W1919" s="250" t="str">
        <f>IFERROR(__xludf.DUMMYFUNCTION("""COMPUTED_VALUE"""),"#N/A")</f>
        <v>#N/A</v>
      </c>
      <c r="X1919" t="b">
        <f t="shared" ref="X1919:Z1919" si="3814">ISBLANK(K1919)</f>
        <v>1</v>
      </c>
      <c r="Y1919" t="b">
        <f t="shared" si="3814"/>
        <v>0</v>
      </c>
      <c r="Z1919" t="b">
        <f t="shared" si="3814"/>
        <v>0</v>
      </c>
      <c r="AA1919">
        <f t="shared" ref="AA1919:AC1919" si="3815">IF(X1919=FALSE,1,0)</f>
        <v>0</v>
      </c>
      <c r="AB1919">
        <f t="shared" si="3815"/>
        <v>1</v>
      </c>
      <c r="AC1919">
        <f t="shared" si="3815"/>
        <v>1</v>
      </c>
      <c r="AD1919">
        <f t="shared" si="6"/>
        <v>2</v>
      </c>
      <c r="AE1919">
        <f t="shared" si="7"/>
        <v>1</v>
      </c>
    </row>
    <row r="1920">
      <c r="B1920" t="str">
        <f>IFERROR(__xludf.DUMMYFUNCTION("""COMPUTED_VALUE"""),"")</f>
        <v/>
      </c>
      <c r="C1920" t="str">
        <f>IFERROR(__xludf.DUMMYFUNCTION("""COMPUTED_VALUE"""),"")</f>
        <v/>
      </c>
      <c r="D1920" t="str">
        <f>IFERROR(__xludf.DUMMYFUNCTION("""COMPUTED_VALUE"""),"")</f>
        <v/>
      </c>
      <c r="E1920" t="str">
        <f>IFERROR(__xludf.DUMMYFUNCTION("""COMPUTED_VALUE"""),"")</f>
        <v/>
      </c>
      <c r="F1920" t="str">
        <f>IFERROR(__xludf.DUMMYFUNCTION("""COMPUTED_VALUE"""),"")</f>
        <v/>
      </c>
      <c r="G1920" t="str">
        <f>IFERROR(__xludf.DUMMYFUNCTION("""COMPUTED_VALUE"""),"")</f>
        <v/>
      </c>
      <c r="H1920" t="str">
        <f>IFERROR(__xludf.DUMMYFUNCTION("""COMPUTED_VALUE"""),"")</f>
        <v/>
      </c>
      <c r="I1920" t="str">
        <f>IFERROR(__xludf.DUMMYFUNCTION("""COMPUTED_VALUE"""),"")</f>
        <v/>
      </c>
      <c r="J1920">
        <f>IFERROR(__xludf.DUMMYFUNCTION("""COMPUTED_VALUE"""),0.0)</f>
        <v>0</v>
      </c>
      <c r="L1920" s="250" t="str">
        <f>IFERROR(__xludf.DUMMYFUNCTION("""COMPUTED_VALUE"""),"")</f>
        <v/>
      </c>
      <c r="M1920" s="250" t="str">
        <f>IFERROR(__xludf.DUMMYFUNCTION("""COMPUTED_VALUE"""),"")</f>
        <v/>
      </c>
      <c r="N1920" s="250" t="str">
        <f>IFERROR(__xludf.DUMMYFUNCTION("""COMPUTED_VALUE"""),"")</f>
        <v/>
      </c>
      <c r="O1920" s="250" t="str">
        <f>IFERROR(__xludf.DUMMYFUNCTION("""COMPUTED_VALUE"""),"")</f>
        <v/>
      </c>
      <c r="P1920" s="250" t="str">
        <f>IFERROR(__xludf.DUMMYFUNCTION("""COMPUTED_VALUE"""),"")</f>
        <v/>
      </c>
      <c r="Q1920" s="250" t="str">
        <f>IFERROR(__xludf.DUMMYFUNCTION("""COMPUTED_VALUE"""),"")</f>
        <v/>
      </c>
      <c r="R1920" s="250" t="str">
        <f>IFERROR(__xludf.DUMMYFUNCTION("""COMPUTED_VALUE"""),"")</f>
        <v/>
      </c>
      <c r="U1920" s="250" t="str">
        <f>IFERROR(__xludf.DUMMYFUNCTION("""COMPUTED_VALUE"""),"#N/A")</f>
        <v>#N/A</v>
      </c>
      <c r="V1920" s="250" t="str">
        <f>IFERROR(__xludf.DUMMYFUNCTION("""COMPUTED_VALUE"""),"#N/A")</f>
        <v>#N/A</v>
      </c>
      <c r="W1920" s="250" t="str">
        <f>IFERROR(__xludf.DUMMYFUNCTION("""COMPUTED_VALUE"""),"#N/A")</f>
        <v>#N/A</v>
      </c>
      <c r="X1920" t="b">
        <f t="shared" ref="X1920:Z1920" si="3816">ISBLANK(K1920)</f>
        <v>1</v>
      </c>
      <c r="Y1920" t="b">
        <f t="shared" si="3816"/>
        <v>0</v>
      </c>
      <c r="Z1920" t="b">
        <f t="shared" si="3816"/>
        <v>0</v>
      </c>
      <c r="AA1920">
        <f t="shared" ref="AA1920:AC1920" si="3817">IF(X1920=FALSE,1,0)</f>
        <v>0</v>
      </c>
      <c r="AB1920">
        <f t="shared" si="3817"/>
        <v>1</v>
      </c>
      <c r="AC1920">
        <f t="shared" si="3817"/>
        <v>1</v>
      </c>
      <c r="AD1920">
        <f t="shared" si="6"/>
        <v>2</v>
      </c>
      <c r="AE1920">
        <f t="shared" si="7"/>
        <v>1</v>
      </c>
    </row>
    <row r="1921">
      <c r="B1921" t="str">
        <f>IFERROR(__xludf.DUMMYFUNCTION("""COMPUTED_VALUE"""),"")</f>
        <v/>
      </c>
      <c r="C1921" t="str">
        <f>IFERROR(__xludf.DUMMYFUNCTION("""COMPUTED_VALUE"""),"")</f>
        <v/>
      </c>
      <c r="D1921" t="str">
        <f>IFERROR(__xludf.DUMMYFUNCTION("""COMPUTED_VALUE"""),"")</f>
        <v/>
      </c>
      <c r="E1921" t="str">
        <f>IFERROR(__xludf.DUMMYFUNCTION("""COMPUTED_VALUE"""),"")</f>
        <v/>
      </c>
      <c r="F1921" t="str">
        <f>IFERROR(__xludf.DUMMYFUNCTION("""COMPUTED_VALUE"""),"")</f>
        <v/>
      </c>
      <c r="G1921" t="str">
        <f>IFERROR(__xludf.DUMMYFUNCTION("""COMPUTED_VALUE"""),"")</f>
        <v/>
      </c>
      <c r="H1921" t="str">
        <f>IFERROR(__xludf.DUMMYFUNCTION("""COMPUTED_VALUE"""),"")</f>
        <v/>
      </c>
      <c r="I1921" t="str">
        <f>IFERROR(__xludf.DUMMYFUNCTION("""COMPUTED_VALUE"""),"")</f>
        <v/>
      </c>
      <c r="J1921">
        <f>IFERROR(__xludf.DUMMYFUNCTION("""COMPUTED_VALUE"""),0.0)</f>
        <v>0</v>
      </c>
      <c r="L1921" s="250" t="str">
        <f>IFERROR(__xludf.DUMMYFUNCTION("""COMPUTED_VALUE"""),"")</f>
        <v/>
      </c>
      <c r="M1921" s="250" t="str">
        <f>IFERROR(__xludf.DUMMYFUNCTION("""COMPUTED_VALUE"""),"")</f>
        <v/>
      </c>
      <c r="N1921" s="250" t="str">
        <f>IFERROR(__xludf.DUMMYFUNCTION("""COMPUTED_VALUE"""),"")</f>
        <v/>
      </c>
      <c r="O1921" s="250" t="str">
        <f>IFERROR(__xludf.DUMMYFUNCTION("""COMPUTED_VALUE"""),"")</f>
        <v/>
      </c>
      <c r="P1921" s="250" t="str">
        <f>IFERROR(__xludf.DUMMYFUNCTION("""COMPUTED_VALUE"""),"")</f>
        <v/>
      </c>
      <c r="Q1921" s="250" t="str">
        <f>IFERROR(__xludf.DUMMYFUNCTION("""COMPUTED_VALUE"""),"")</f>
        <v/>
      </c>
      <c r="R1921" s="250" t="str">
        <f>IFERROR(__xludf.DUMMYFUNCTION("""COMPUTED_VALUE"""),"")</f>
        <v/>
      </c>
      <c r="U1921" s="250" t="str">
        <f>IFERROR(__xludf.DUMMYFUNCTION("""COMPUTED_VALUE"""),"#N/A")</f>
        <v>#N/A</v>
      </c>
      <c r="V1921" s="250" t="str">
        <f>IFERROR(__xludf.DUMMYFUNCTION("""COMPUTED_VALUE"""),"#N/A")</f>
        <v>#N/A</v>
      </c>
      <c r="W1921" s="250" t="str">
        <f>IFERROR(__xludf.DUMMYFUNCTION("""COMPUTED_VALUE"""),"#N/A")</f>
        <v>#N/A</v>
      </c>
      <c r="X1921" t="b">
        <f t="shared" ref="X1921:Z1921" si="3818">ISBLANK(K1921)</f>
        <v>1</v>
      </c>
      <c r="Y1921" t="b">
        <f t="shared" si="3818"/>
        <v>0</v>
      </c>
      <c r="Z1921" t="b">
        <f t="shared" si="3818"/>
        <v>0</v>
      </c>
      <c r="AA1921">
        <f t="shared" ref="AA1921:AC1921" si="3819">IF(X1921=FALSE,1,0)</f>
        <v>0</v>
      </c>
      <c r="AB1921">
        <f t="shared" si="3819"/>
        <v>1</v>
      </c>
      <c r="AC1921">
        <f t="shared" si="3819"/>
        <v>1</v>
      </c>
      <c r="AD1921">
        <f t="shared" si="6"/>
        <v>2</v>
      </c>
      <c r="AE1921">
        <f t="shared" si="7"/>
        <v>1</v>
      </c>
    </row>
    <row r="1922">
      <c r="B1922" t="str">
        <f>IFERROR(__xludf.DUMMYFUNCTION("""COMPUTED_VALUE"""),"")</f>
        <v/>
      </c>
      <c r="C1922" t="str">
        <f>IFERROR(__xludf.DUMMYFUNCTION("""COMPUTED_VALUE"""),"")</f>
        <v/>
      </c>
      <c r="D1922" t="str">
        <f>IFERROR(__xludf.DUMMYFUNCTION("""COMPUTED_VALUE"""),"")</f>
        <v/>
      </c>
      <c r="E1922" t="str">
        <f>IFERROR(__xludf.DUMMYFUNCTION("""COMPUTED_VALUE"""),"")</f>
        <v/>
      </c>
      <c r="F1922" t="str">
        <f>IFERROR(__xludf.DUMMYFUNCTION("""COMPUTED_VALUE"""),"")</f>
        <v/>
      </c>
      <c r="G1922" t="str">
        <f>IFERROR(__xludf.DUMMYFUNCTION("""COMPUTED_VALUE"""),"")</f>
        <v/>
      </c>
      <c r="H1922" t="str">
        <f>IFERROR(__xludf.DUMMYFUNCTION("""COMPUTED_VALUE"""),"")</f>
        <v/>
      </c>
      <c r="I1922" t="str">
        <f>IFERROR(__xludf.DUMMYFUNCTION("""COMPUTED_VALUE"""),"")</f>
        <v/>
      </c>
      <c r="J1922">
        <f>IFERROR(__xludf.DUMMYFUNCTION("""COMPUTED_VALUE"""),0.0)</f>
        <v>0</v>
      </c>
      <c r="L1922" s="250" t="str">
        <f>IFERROR(__xludf.DUMMYFUNCTION("""COMPUTED_VALUE"""),"")</f>
        <v/>
      </c>
      <c r="M1922" s="250" t="str">
        <f>IFERROR(__xludf.DUMMYFUNCTION("""COMPUTED_VALUE"""),"")</f>
        <v/>
      </c>
      <c r="N1922" s="250" t="str">
        <f>IFERROR(__xludf.DUMMYFUNCTION("""COMPUTED_VALUE"""),"")</f>
        <v/>
      </c>
      <c r="O1922" s="250" t="str">
        <f>IFERROR(__xludf.DUMMYFUNCTION("""COMPUTED_VALUE"""),"")</f>
        <v/>
      </c>
      <c r="P1922" s="250" t="str">
        <f>IFERROR(__xludf.DUMMYFUNCTION("""COMPUTED_VALUE"""),"")</f>
        <v/>
      </c>
      <c r="Q1922" s="250" t="str">
        <f>IFERROR(__xludf.DUMMYFUNCTION("""COMPUTED_VALUE"""),"")</f>
        <v/>
      </c>
      <c r="R1922" s="250" t="str">
        <f>IFERROR(__xludf.DUMMYFUNCTION("""COMPUTED_VALUE"""),"")</f>
        <v/>
      </c>
      <c r="U1922" s="250" t="str">
        <f>IFERROR(__xludf.DUMMYFUNCTION("""COMPUTED_VALUE"""),"#N/A")</f>
        <v>#N/A</v>
      </c>
      <c r="V1922" s="250" t="str">
        <f>IFERROR(__xludf.DUMMYFUNCTION("""COMPUTED_VALUE"""),"#N/A")</f>
        <v>#N/A</v>
      </c>
      <c r="W1922" s="250" t="str">
        <f>IFERROR(__xludf.DUMMYFUNCTION("""COMPUTED_VALUE"""),"#N/A")</f>
        <v>#N/A</v>
      </c>
      <c r="X1922" t="b">
        <f t="shared" ref="X1922:Z1922" si="3820">ISBLANK(K1922)</f>
        <v>1</v>
      </c>
      <c r="Y1922" t="b">
        <f t="shared" si="3820"/>
        <v>0</v>
      </c>
      <c r="Z1922" t="b">
        <f t="shared" si="3820"/>
        <v>0</v>
      </c>
      <c r="AA1922">
        <f t="shared" ref="AA1922:AC1922" si="3821">IF(X1922=FALSE,1,0)</f>
        <v>0</v>
      </c>
      <c r="AB1922">
        <f t="shared" si="3821"/>
        <v>1</v>
      </c>
      <c r="AC1922">
        <f t="shared" si="3821"/>
        <v>1</v>
      </c>
      <c r="AD1922">
        <f t="shared" si="6"/>
        <v>2</v>
      </c>
      <c r="AE1922">
        <f t="shared" si="7"/>
        <v>1</v>
      </c>
    </row>
    <row r="1923">
      <c r="B1923" t="str">
        <f>IFERROR(__xludf.DUMMYFUNCTION("""COMPUTED_VALUE"""),"")</f>
        <v/>
      </c>
      <c r="C1923" t="str">
        <f>IFERROR(__xludf.DUMMYFUNCTION("""COMPUTED_VALUE"""),"")</f>
        <v/>
      </c>
      <c r="D1923" t="str">
        <f>IFERROR(__xludf.DUMMYFUNCTION("""COMPUTED_VALUE"""),"")</f>
        <v/>
      </c>
      <c r="E1923" t="str">
        <f>IFERROR(__xludf.DUMMYFUNCTION("""COMPUTED_VALUE"""),"")</f>
        <v/>
      </c>
      <c r="F1923" t="str">
        <f>IFERROR(__xludf.DUMMYFUNCTION("""COMPUTED_VALUE"""),"")</f>
        <v/>
      </c>
      <c r="G1923" t="str">
        <f>IFERROR(__xludf.DUMMYFUNCTION("""COMPUTED_VALUE"""),"")</f>
        <v/>
      </c>
      <c r="H1923" t="str">
        <f>IFERROR(__xludf.DUMMYFUNCTION("""COMPUTED_VALUE"""),"")</f>
        <v/>
      </c>
      <c r="I1923" t="str">
        <f>IFERROR(__xludf.DUMMYFUNCTION("""COMPUTED_VALUE"""),"")</f>
        <v/>
      </c>
      <c r="J1923">
        <f>IFERROR(__xludf.DUMMYFUNCTION("""COMPUTED_VALUE"""),0.0)</f>
        <v>0</v>
      </c>
      <c r="L1923" s="250" t="str">
        <f>IFERROR(__xludf.DUMMYFUNCTION("""COMPUTED_VALUE"""),"")</f>
        <v/>
      </c>
      <c r="M1923" s="250" t="str">
        <f>IFERROR(__xludf.DUMMYFUNCTION("""COMPUTED_VALUE"""),"")</f>
        <v/>
      </c>
      <c r="N1923" s="250" t="str">
        <f>IFERROR(__xludf.DUMMYFUNCTION("""COMPUTED_VALUE"""),"")</f>
        <v/>
      </c>
      <c r="O1923" s="250" t="str">
        <f>IFERROR(__xludf.DUMMYFUNCTION("""COMPUTED_VALUE"""),"")</f>
        <v/>
      </c>
      <c r="P1923" s="250" t="str">
        <f>IFERROR(__xludf.DUMMYFUNCTION("""COMPUTED_VALUE"""),"")</f>
        <v/>
      </c>
      <c r="Q1923" s="250" t="str">
        <f>IFERROR(__xludf.DUMMYFUNCTION("""COMPUTED_VALUE"""),"")</f>
        <v/>
      </c>
      <c r="R1923" s="250" t="str">
        <f>IFERROR(__xludf.DUMMYFUNCTION("""COMPUTED_VALUE"""),"")</f>
        <v/>
      </c>
      <c r="U1923" s="250" t="str">
        <f>IFERROR(__xludf.DUMMYFUNCTION("""COMPUTED_VALUE"""),"#N/A")</f>
        <v>#N/A</v>
      </c>
      <c r="V1923" s="250" t="str">
        <f>IFERROR(__xludf.DUMMYFUNCTION("""COMPUTED_VALUE"""),"#N/A")</f>
        <v>#N/A</v>
      </c>
      <c r="W1923" s="250" t="str">
        <f>IFERROR(__xludf.DUMMYFUNCTION("""COMPUTED_VALUE"""),"#N/A")</f>
        <v>#N/A</v>
      </c>
      <c r="X1923" t="b">
        <f t="shared" ref="X1923:Z1923" si="3822">ISBLANK(K1923)</f>
        <v>1</v>
      </c>
      <c r="Y1923" t="b">
        <f t="shared" si="3822"/>
        <v>0</v>
      </c>
      <c r="Z1923" t="b">
        <f t="shared" si="3822"/>
        <v>0</v>
      </c>
      <c r="AA1923">
        <f t="shared" ref="AA1923:AC1923" si="3823">IF(X1923=FALSE,1,0)</f>
        <v>0</v>
      </c>
      <c r="AB1923">
        <f t="shared" si="3823"/>
        <v>1</v>
      </c>
      <c r="AC1923">
        <f t="shared" si="3823"/>
        <v>1</v>
      </c>
      <c r="AD1923">
        <f t="shared" si="6"/>
        <v>2</v>
      </c>
      <c r="AE1923">
        <f t="shared" si="7"/>
        <v>1</v>
      </c>
    </row>
    <row r="1924">
      <c r="B1924" t="str">
        <f>IFERROR(__xludf.DUMMYFUNCTION("""COMPUTED_VALUE"""),"")</f>
        <v/>
      </c>
      <c r="C1924" t="str">
        <f>IFERROR(__xludf.DUMMYFUNCTION("""COMPUTED_VALUE"""),"")</f>
        <v/>
      </c>
      <c r="D1924" t="str">
        <f>IFERROR(__xludf.DUMMYFUNCTION("""COMPUTED_VALUE"""),"")</f>
        <v/>
      </c>
      <c r="E1924" t="str">
        <f>IFERROR(__xludf.DUMMYFUNCTION("""COMPUTED_VALUE"""),"")</f>
        <v/>
      </c>
      <c r="F1924" t="str">
        <f>IFERROR(__xludf.DUMMYFUNCTION("""COMPUTED_VALUE"""),"")</f>
        <v/>
      </c>
      <c r="G1924" t="str">
        <f>IFERROR(__xludf.DUMMYFUNCTION("""COMPUTED_VALUE"""),"")</f>
        <v/>
      </c>
      <c r="H1924" t="str">
        <f>IFERROR(__xludf.DUMMYFUNCTION("""COMPUTED_VALUE"""),"")</f>
        <v/>
      </c>
      <c r="I1924" t="str">
        <f>IFERROR(__xludf.DUMMYFUNCTION("""COMPUTED_VALUE"""),"")</f>
        <v/>
      </c>
      <c r="J1924">
        <f>IFERROR(__xludf.DUMMYFUNCTION("""COMPUTED_VALUE"""),0.0)</f>
        <v>0</v>
      </c>
      <c r="L1924" s="250" t="str">
        <f>IFERROR(__xludf.DUMMYFUNCTION("""COMPUTED_VALUE"""),"")</f>
        <v/>
      </c>
      <c r="M1924" s="250" t="str">
        <f>IFERROR(__xludf.DUMMYFUNCTION("""COMPUTED_VALUE"""),"")</f>
        <v/>
      </c>
      <c r="N1924" s="250" t="str">
        <f>IFERROR(__xludf.DUMMYFUNCTION("""COMPUTED_VALUE"""),"")</f>
        <v/>
      </c>
      <c r="O1924" s="250" t="str">
        <f>IFERROR(__xludf.DUMMYFUNCTION("""COMPUTED_VALUE"""),"")</f>
        <v/>
      </c>
      <c r="P1924" s="250" t="str">
        <f>IFERROR(__xludf.DUMMYFUNCTION("""COMPUTED_VALUE"""),"")</f>
        <v/>
      </c>
      <c r="Q1924" s="250" t="str">
        <f>IFERROR(__xludf.DUMMYFUNCTION("""COMPUTED_VALUE"""),"")</f>
        <v/>
      </c>
      <c r="R1924" s="250" t="str">
        <f>IFERROR(__xludf.DUMMYFUNCTION("""COMPUTED_VALUE"""),"")</f>
        <v/>
      </c>
      <c r="U1924" s="250" t="str">
        <f>IFERROR(__xludf.DUMMYFUNCTION("""COMPUTED_VALUE"""),"#N/A")</f>
        <v>#N/A</v>
      </c>
      <c r="V1924" s="250" t="str">
        <f>IFERROR(__xludf.DUMMYFUNCTION("""COMPUTED_VALUE"""),"#N/A")</f>
        <v>#N/A</v>
      </c>
      <c r="W1924" s="250" t="str">
        <f>IFERROR(__xludf.DUMMYFUNCTION("""COMPUTED_VALUE"""),"#N/A")</f>
        <v>#N/A</v>
      </c>
      <c r="X1924" t="b">
        <f t="shared" ref="X1924:Z1924" si="3824">ISBLANK(K1924)</f>
        <v>1</v>
      </c>
      <c r="Y1924" t="b">
        <f t="shared" si="3824"/>
        <v>0</v>
      </c>
      <c r="Z1924" t="b">
        <f t="shared" si="3824"/>
        <v>0</v>
      </c>
      <c r="AA1924">
        <f t="shared" ref="AA1924:AC1924" si="3825">IF(X1924=FALSE,1,0)</f>
        <v>0</v>
      </c>
      <c r="AB1924">
        <f t="shared" si="3825"/>
        <v>1</v>
      </c>
      <c r="AC1924">
        <f t="shared" si="3825"/>
        <v>1</v>
      </c>
      <c r="AD1924">
        <f t="shared" si="6"/>
        <v>2</v>
      </c>
      <c r="AE1924">
        <f t="shared" si="7"/>
        <v>1</v>
      </c>
    </row>
    <row r="1925">
      <c r="B1925" t="str">
        <f>IFERROR(__xludf.DUMMYFUNCTION("""COMPUTED_VALUE"""),"")</f>
        <v/>
      </c>
      <c r="C1925" t="str">
        <f>IFERROR(__xludf.DUMMYFUNCTION("""COMPUTED_VALUE"""),"")</f>
        <v/>
      </c>
      <c r="D1925" t="str">
        <f>IFERROR(__xludf.DUMMYFUNCTION("""COMPUTED_VALUE"""),"")</f>
        <v/>
      </c>
      <c r="E1925" t="str">
        <f>IFERROR(__xludf.DUMMYFUNCTION("""COMPUTED_VALUE"""),"")</f>
        <v/>
      </c>
      <c r="F1925" t="str">
        <f>IFERROR(__xludf.DUMMYFUNCTION("""COMPUTED_VALUE"""),"")</f>
        <v/>
      </c>
      <c r="G1925" t="str">
        <f>IFERROR(__xludf.DUMMYFUNCTION("""COMPUTED_VALUE"""),"")</f>
        <v/>
      </c>
      <c r="H1925" t="str">
        <f>IFERROR(__xludf.DUMMYFUNCTION("""COMPUTED_VALUE"""),"")</f>
        <v/>
      </c>
      <c r="I1925" t="str">
        <f>IFERROR(__xludf.DUMMYFUNCTION("""COMPUTED_VALUE"""),"")</f>
        <v/>
      </c>
      <c r="J1925">
        <f>IFERROR(__xludf.DUMMYFUNCTION("""COMPUTED_VALUE"""),0.0)</f>
        <v>0</v>
      </c>
      <c r="L1925" s="250" t="str">
        <f>IFERROR(__xludf.DUMMYFUNCTION("""COMPUTED_VALUE"""),"")</f>
        <v/>
      </c>
      <c r="M1925" s="250" t="str">
        <f>IFERROR(__xludf.DUMMYFUNCTION("""COMPUTED_VALUE"""),"")</f>
        <v/>
      </c>
      <c r="N1925" s="250" t="str">
        <f>IFERROR(__xludf.DUMMYFUNCTION("""COMPUTED_VALUE"""),"")</f>
        <v/>
      </c>
      <c r="O1925" s="250" t="str">
        <f>IFERROR(__xludf.DUMMYFUNCTION("""COMPUTED_VALUE"""),"")</f>
        <v/>
      </c>
      <c r="P1925" s="250" t="str">
        <f>IFERROR(__xludf.DUMMYFUNCTION("""COMPUTED_VALUE"""),"")</f>
        <v/>
      </c>
      <c r="Q1925" s="250" t="str">
        <f>IFERROR(__xludf.DUMMYFUNCTION("""COMPUTED_VALUE"""),"")</f>
        <v/>
      </c>
      <c r="R1925" s="250" t="str">
        <f>IFERROR(__xludf.DUMMYFUNCTION("""COMPUTED_VALUE"""),"")</f>
        <v/>
      </c>
      <c r="U1925" s="250" t="str">
        <f>IFERROR(__xludf.DUMMYFUNCTION("""COMPUTED_VALUE"""),"#N/A")</f>
        <v>#N/A</v>
      </c>
      <c r="V1925" s="250" t="str">
        <f>IFERROR(__xludf.DUMMYFUNCTION("""COMPUTED_VALUE"""),"#N/A")</f>
        <v>#N/A</v>
      </c>
      <c r="W1925" s="250" t="str">
        <f>IFERROR(__xludf.DUMMYFUNCTION("""COMPUTED_VALUE"""),"#N/A")</f>
        <v>#N/A</v>
      </c>
      <c r="X1925" t="b">
        <f t="shared" ref="X1925:Z1925" si="3826">ISBLANK(K1925)</f>
        <v>1</v>
      </c>
      <c r="Y1925" t="b">
        <f t="shared" si="3826"/>
        <v>0</v>
      </c>
      <c r="Z1925" t="b">
        <f t="shared" si="3826"/>
        <v>0</v>
      </c>
      <c r="AA1925">
        <f t="shared" ref="AA1925:AC1925" si="3827">IF(X1925=FALSE,1,0)</f>
        <v>0</v>
      </c>
      <c r="AB1925">
        <f t="shared" si="3827"/>
        <v>1</v>
      </c>
      <c r="AC1925">
        <f t="shared" si="3827"/>
        <v>1</v>
      </c>
      <c r="AD1925">
        <f t="shared" si="6"/>
        <v>2</v>
      </c>
      <c r="AE1925">
        <f t="shared" si="7"/>
        <v>1</v>
      </c>
    </row>
    <row r="1926">
      <c r="B1926" t="str">
        <f>IFERROR(__xludf.DUMMYFUNCTION("""COMPUTED_VALUE"""),"")</f>
        <v/>
      </c>
      <c r="C1926" t="str">
        <f>IFERROR(__xludf.DUMMYFUNCTION("""COMPUTED_VALUE"""),"")</f>
        <v/>
      </c>
      <c r="D1926" t="str">
        <f>IFERROR(__xludf.DUMMYFUNCTION("""COMPUTED_VALUE"""),"")</f>
        <v/>
      </c>
      <c r="E1926" t="str">
        <f>IFERROR(__xludf.DUMMYFUNCTION("""COMPUTED_VALUE"""),"")</f>
        <v/>
      </c>
      <c r="F1926" t="str">
        <f>IFERROR(__xludf.DUMMYFUNCTION("""COMPUTED_VALUE"""),"")</f>
        <v/>
      </c>
      <c r="G1926" t="str">
        <f>IFERROR(__xludf.DUMMYFUNCTION("""COMPUTED_VALUE"""),"")</f>
        <v/>
      </c>
      <c r="H1926" t="str">
        <f>IFERROR(__xludf.DUMMYFUNCTION("""COMPUTED_VALUE"""),"")</f>
        <v/>
      </c>
      <c r="I1926" t="str">
        <f>IFERROR(__xludf.DUMMYFUNCTION("""COMPUTED_VALUE"""),"")</f>
        <v/>
      </c>
      <c r="J1926">
        <f>IFERROR(__xludf.DUMMYFUNCTION("""COMPUTED_VALUE"""),0.0)</f>
        <v>0</v>
      </c>
      <c r="L1926" s="250" t="str">
        <f>IFERROR(__xludf.DUMMYFUNCTION("""COMPUTED_VALUE"""),"")</f>
        <v/>
      </c>
      <c r="M1926" s="250" t="str">
        <f>IFERROR(__xludf.DUMMYFUNCTION("""COMPUTED_VALUE"""),"")</f>
        <v/>
      </c>
      <c r="N1926" s="250" t="str">
        <f>IFERROR(__xludf.DUMMYFUNCTION("""COMPUTED_VALUE"""),"")</f>
        <v/>
      </c>
      <c r="O1926" s="250" t="str">
        <f>IFERROR(__xludf.DUMMYFUNCTION("""COMPUTED_VALUE"""),"")</f>
        <v/>
      </c>
      <c r="P1926" s="250" t="str">
        <f>IFERROR(__xludf.DUMMYFUNCTION("""COMPUTED_VALUE"""),"")</f>
        <v/>
      </c>
      <c r="Q1926" s="250" t="str">
        <f>IFERROR(__xludf.DUMMYFUNCTION("""COMPUTED_VALUE"""),"")</f>
        <v/>
      </c>
      <c r="R1926" s="250" t="str">
        <f>IFERROR(__xludf.DUMMYFUNCTION("""COMPUTED_VALUE"""),"")</f>
        <v/>
      </c>
      <c r="U1926" s="250" t="str">
        <f>IFERROR(__xludf.DUMMYFUNCTION("""COMPUTED_VALUE"""),"#N/A")</f>
        <v>#N/A</v>
      </c>
      <c r="V1926" s="250" t="str">
        <f>IFERROR(__xludf.DUMMYFUNCTION("""COMPUTED_VALUE"""),"#N/A")</f>
        <v>#N/A</v>
      </c>
      <c r="W1926" s="250" t="str">
        <f>IFERROR(__xludf.DUMMYFUNCTION("""COMPUTED_VALUE"""),"#N/A")</f>
        <v>#N/A</v>
      </c>
      <c r="X1926" t="b">
        <f t="shared" ref="X1926:Z1926" si="3828">ISBLANK(K1926)</f>
        <v>1</v>
      </c>
      <c r="Y1926" t="b">
        <f t="shared" si="3828"/>
        <v>0</v>
      </c>
      <c r="Z1926" t="b">
        <f t="shared" si="3828"/>
        <v>0</v>
      </c>
      <c r="AA1926">
        <f t="shared" ref="AA1926:AC1926" si="3829">IF(X1926=FALSE,1,0)</f>
        <v>0</v>
      </c>
      <c r="AB1926">
        <f t="shared" si="3829"/>
        <v>1</v>
      </c>
      <c r="AC1926">
        <f t="shared" si="3829"/>
        <v>1</v>
      </c>
      <c r="AD1926">
        <f t="shared" si="6"/>
        <v>2</v>
      </c>
      <c r="AE1926">
        <f t="shared" si="7"/>
        <v>1</v>
      </c>
    </row>
    <row r="1927">
      <c r="B1927" t="str">
        <f>IFERROR(__xludf.DUMMYFUNCTION("""COMPUTED_VALUE"""),"")</f>
        <v/>
      </c>
      <c r="C1927" t="str">
        <f>IFERROR(__xludf.DUMMYFUNCTION("""COMPUTED_VALUE"""),"")</f>
        <v/>
      </c>
      <c r="D1927" t="str">
        <f>IFERROR(__xludf.DUMMYFUNCTION("""COMPUTED_VALUE"""),"")</f>
        <v/>
      </c>
      <c r="E1927" t="str">
        <f>IFERROR(__xludf.DUMMYFUNCTION("""COMPUTED_VALUE"""),"")</f>
        <v/>
      </c>
      <c r="F1927" t="str">
        <f>IFERROR(__xludf.DUMMYFUNCTION("""COMPUTED_VALUE"""),"")</f>
        <v/>
      </c>
      <c r="G1927" t="str">
        <f>IFERROR(__xludf.DUMMYFUNCTION("""COMPUTED_VALUE"""),"")</f>
        <v/>
      </c>
      <c r="H1927" t="str">
        <f>IFERROR(__xludf.DUMMYFUNCTION("""COMPUTED_VALUE"""),"")</f>
        <v/>
      </c>
      <c r="I1927" t="str">
        <f>IFERROR(__xludf.DUMMYFUNCTION("""COMPUTED_VALUE"""),"")</f>
        <v/>
      </c>
      <c r="J1927">
        <f>IFERROR(__xludf.DUMMYFUNCTION("""COMPUTED_VALUE"""),0.0)</f>
        <v>0</v>
      </c>
      <c r="L1927" s="250" t="str">
        <f>IFERROR(__xludf.DUMMYFUNCTION("""COMPUTED_VALUE"""),"")</f>
        <v/>
      </c>
      <c r="M1927" s="250" t="str">
        <f>IFERROR(__xludf.DUMMYFUNCTION("""COMPUTED_VALUE"""),"")</f>
        <v/>
      </c>
      <c r="N1927" s="250" t="str">
        <f>IFERROR(__xludf.DUMMYFUNCTION("""COMPUTED_VALUE"""),"")</f>
        <v/>
      </c>
      <c r="O1927" s="250" t="str">
        <f>IFERROR(__xludf.DUMMYFUNCTION("""COMPUTED_VALUE"""),"")</f>
        <v/>
      </c>
      <c r="P1927" s="250" t="str">
        <f>IFERROR(__xludf.DUMMYFUNCTION("""COMPUTED_VALUE"""),"")</f>
        <v/>
      </c>
      <c r="Q1927" s="250" t="str">
        <f>IFERROR(__xludf.DUMMYFUNCTION("""COMPUTED_VALUE"""),"")</f>
        <v/>
      </c>
      <c r="R1927" s="250" t="str">
        <f>IFERROR(__xludf.DUMMYFUNCTION("""COMPUTED_VALUE"""),"")</f>
        <v/>
      </c>
      <c r="U1927" s="250" t="str">
        <f>IFERROR(__xludf.DUMMYFUNCTION("""COMPUTED_VALUE"""),"#N/A")</f>
        <v>#N/A</v>
      </c>
      <c r="V1927" s="250" t="str">
        <f>IFERROR(__xludf.DUMMYFUNCTION("""COMPUTED_VALUE"""),"#N/A")</f>
        <v>#N/A</v>
      </c>
      <c r="W1927" s="250" t="str">
        <f>IFERROR(__xludf.DUMMYFUNCTION("""COMPUTED_VALUE"""),"#N/A")</f>
        <v>#N/A</v>
      </c>
      <c r="X1927" t="b">
        <f t="shared" ref="X1927:Z1927" si="3830">ISBLANK(K1927)</f>
        <v>1</v>
      </c>
      <c r="Y1927" t="b">
        <f t="shared" si="3830"/>
        <v>0</v>
      </c>
      <c r="Z1927" t="b">
        <f t="shared" si="3830"/>
        <v>0</v>
      </c>
      <c r="AA1927">
        <f t="shared" ref="AA1927:AC1927" si="3831">IF(X1927=FALSE,1,0)</f>
        <v>0</v>
      </c>
      <c r="AB1927">
        <f t="shared" si="3831"/>
        <v>1</v>
      </c>
      <c r="AC1927">
        <f t="shared" si="3831"/>
        <v>1</v>
      </c>
      <c r="AD1927">
        <f t="shared" si="6"/>
        <v>2</v>
      </c>
      <c r="AE1927">
        <f t="shared" si="7"/>
        <v>1</v>
      </c>
    </row>
    <row r="1928">
      <c r="B1928" t="str">
        <f>IFERROR(__xludf.DUMMYFUNCTION("""COMPUTED_VALUE"""),"")</f>
        <v/>
      </c>
      <c r="C1928" t="str">
        <f>IFERROR(__xludf.DUMMYFUNCTION("""COMPUTED_VALUE"""),"")</f>
        <v/>
      </c>
      <c r="D1928" t="str">
        <f>IFERROR(__xludf.DUMMYFUNCTION("""COMPUTED_VALUE"""),"")</f>
        <v/>
      </c>
      <c r="E1928" t="str">
        <f>IFERROR(__xludf.DUMMYFUNCTION("""COMPUTED_VALUE"""),"")</f>
        <v/>
      </c>
      <c r="F1928" t="str">
        <f>IFERROR(__xludf.DUMMYFUNCTION("""COMPUTED_VALUE"""),"")</f>
        <v/>
      </c>
      <c r="G1928" t="str">
        <f>IFERROR(__xludf.DUMMYFUNCTION("""COMPUTED_VALUE"""),"")</f>
        <v/>
      </c>
      <c r="H1928" t="str">
        <f>IFERROR(__xludf.DUMMYFUNCTION("""COMPUTED_VALUE"""),"")</f>
        <v/>
      </c>
      <c r="I1928" t="str">
        <f>IFERROR(__xludf.DUMMYFUNCTION("""COMPUTED_VALUE"""),"")</f>
        <v/>
      </c>
      <c r="J1928">
        <f>IFERROR(__xludf.DUMMYFUNCTION("""COMPUTED_VALUE"""),0.0)</f>
        <v>0</v>
      </c>
      <c r="L1928" s="250" t="str">
        <f>IFERROR(__xludf.DUMMYFUNCTION("""COMPUTED_VALUE"""),"")</f>
        <v/>
      </c>
      <c r="M1928" s="250" t="str">
        <f>IFERROR(__xludf.DUMMYFUNCTION("""COMPUTED_VALUE"""),"")</f>
        <v/>
      </c>
      <c r="N1928" s="250" t="str">
        <f>IFERROR(__xludf.DUMMYFUNCTION("""COMPUTED_VALUE"""),"")</f>
        <v/>
      </c>
      <c r="O1928" s="250" t="str">
        <f>IFERROR(__xludf.DUMMYFUNCTION("""COMPUTED_VALUE"""),"")</f>
        <v/>
      </c>
      <c r="P1928" s="250" t="str">
        <f>IFERROR(__xludf.DUMMYFUNCTION("""COMPUTED_VALUE"""),"")</f>
        <v/>
      </c>
      <c r="Q1928" s="250" t="str">
        <f>IFERROR(__xludf.DUMMYFUNCTION("""COMPUTED_VALUE"""),"")</f>
        <v/>
      </c>
      <c r="R1928" s="250" t="str">
        <f>IFERROR(__xludf.DUMMYFUNCTION("""COMPUTED_VALUE"""),"")</f>
        <v/>
      </c>
      <c r="U1928" s="250" t="str">
        <f>IFERROR(__xludf.DUMMYFUNCTION("""COMPUTED_VALUE"""),"#N/A")</f>
        <v>#N/A</v>
      </c>
      <c r="V1928" s="250" t="str">
        <f>IFERROR(__xludf.DUMMYFUNCTION("""COMPUTED_VALUE"""),"#N/A")</f>
        <v>#N/A</v>
      </c>
      <c r="W1928" s="250" t="str">
        <f>IFERROR(__xludf.DUMMYFUNCTION("""COMPUTED_VALUE"""),"#N/A")</f>
        <v>#N/A</v>
      </c>
      <c r="X1928" t="b">
        <f t="shared" ref="X1928:Z1928" si="3832">ISBLANK(K1928)</f>
        <v>1</v>
      </c>
      <c r="Y1928" t="b">
        <f t="shared" si="3832"/>
        <v>0</v>
      </c>
      <c r="Z1928" t="b">
        <f t="shared" si="3832"/>
        <v>0</v>
      </c>
      <c r="AA1928">
        <f t="shared" ref="AA1928:AC1928" si="3833">IF(X1928=FALSE,1,0)</f>
        <v>0</v>
      </c>
      <c r="AB1928">
        <f t="shared" si="3833"/>
        <v>1</v>
      </c>
      <c r="AC1928">
        <f t="shared" si="3833"/>
        <v>1</v>
      </c>
      <c r="AD1928">
        <f t="shared" si="6"/>
        <v>2</v>
      </c>
      <c r="AE1928">
        <f t="shared" si="7"/>
        <v>1</v>
      </c>
    </row>
    <row r="1929">
      <c r="B1929" t="str">
        <f>IFERROR(__xludf.DUMMYFUNCTION("""COMPUTED_VALUE"""),"")</f>
        <v/>
      </c>
      <c r="C1929" t="str">
        <f>IFERROR(__xludf.DUMMYFUNCTION("""COMPUTED_VALUE"""),"")</f>
        <v/>
      </c>
      <c r="D1929" t="str">
        <f>IFERROR(__xludf.DUMMYFUNCTION("""COMPUTED_VALUE"""),"")</f>
        <v/>
      </c>
      <c r="E1929" t="str">
        <f>IFERROR(__xludf.DUMMYFUNCTION("""COMPUTED_VALUE"""),"")</f>
        <v/>
      </c>
      <c r="F1929" t="str">
        <f>IFERROR(__xludf.DUMMYFUNCTION("""COMPUTED_VALUE"""),"")</f>
        <v/>
      </c>
      <c r="G1929" t="str">
        <f>IFERROR(__xludf.DUMMYFUNCTION("""COMPUTED_VALUE"""),"")</f>
        <v/>
      </c>
      <c r="H1929" t="str">
        <f>IFERROR(__xludf.DUMMYFUNCTION("""COMPUTED_VALUE"""),"")</f>
        <v/>
      </c>
      <c r="I1929" t="str">
        <f>IFERROR(__xludf.DUMMYFUNCTION("""COMPUTED_VALUE"""),"")</f>
        <v/>
      </c>
      <c r="J1929">
        <f>IFERROR(__xludf.DUMMYFUNCTION("""COMPUTED_VALUE"""),0.0)</f>
        <v>0</v>
      </c>
      <c r="L1929" s="250" t="str">
        <f>IFERROR(__xludf.DUMMYFUNCTION("""COMPUTED_VALUE"""),"")</f>
        <v/>
      </c>
      <c r="M1929" s="250" t="str">
        <f>IFERROR(__xludf.DUMMYFUNCTION("""COMPUTED_VALUE"""),"")</f>
        <v/>
      </c>
      <c r="N1929" s="250" t="str">
        <f>IFERROR(__xludf.DUMMYFUNCTION("""COMPUTED_VALUE"""),"")</f>
        <v/>
      </c>
      <c r="O1929" s="250" t="str">
        <f>IFERROR(__xludf.DUMMYFUNCTION("""COMPUTED_VALUE"""),"")</f>
        <v/>
      </c>
      <c r="P1929" s="250" t="str">
        <f>IFERROR(__xludf.DUMMYFUNCTION("""COMPUTED_VALUE"""),"")</f>
        <v/>
      </c>
      <c r="Q1929" s="250" t="str">
        <f>IFERROR(__xludf.DUMMYFUNCTION("""COMPUTED_VALUE"""),"")</f>
        <v/>
      </c>
      <c r="R1929" s="250" t="str">
        <f>IFERROR(__xludf.DUMMYFUNCTION("""COMPUTED_VALUE"""),"")</f>
        <v/>
      </c>
      <c r="U1929" s="250" t="str">
        <f>IFERROR(__xludf.DUMMYFUNCTION("""COMPUTED_VALUE"""),"#N/A")</f>
        <v>#N/A</v>
      </c>
      <c r="V1929" s="250" t="str">
        <f>IFERROR(__xludf.DUMMYFUNCTION("""COMPUTED_VALUE"""),"#N/A")</f>
        <v>#N/A</v>
      </c>
      <c r="W1929" s="250" t="str">
        <f>IFERROR(__xludf.DUMMYFUNCTION("""COMPUTED_VALUE"""),"#N/A")</f>
        <v>#N/A</v>
      </c>
      <c r="X1929" t="b">
        <f t="shared" ref="X1929:Z1929" si="3834">ISBLANK(K1929)</f>
        <v>1</v>
      </c>
      <c r="Y1929" t="b">
        <f t="shared" si="3834"/>
        <v>0</v>
      </c>
      <c r="Z1929" t="b">
        <f t="shared" si="3834"/>
        <v>0</v>
      </c>
      <c r="AA1929">
        <f t="shared" ref="AA1929:AC1929" si="3835">IF(X1929=FALSE,1,0)</f>
        <v>0</v>
      </c>
      <c r="AB1929">
        <f t="shared" si="3835"/>
        <v>1</v>
      </c>
      <c r="AC1929">
        <f t="shared" si="3835"/>
        <v>1</v>
      </c>
      <c r="AD1929">
        <f t="shared" si="6"/>
        <v>2</v>
      </c>
      <c r="AE1929">
        <f t="shared" si="7"/>
        <v>1</v>
      </c>
    </row>
    <row r="1930">
      <c r="B1930" t="str">
        <f>IFERROR(__xludf.DUMMYFUNCTION("""COMPUTED_VALUE"""),"")</f>
        <v/>
      </c>
      <c r="C1930" t="str">
        <f>IFERROR(__xludf.DUMMYFUNCTION("""COMPUTED_VALUE"""),"")</f>
        <v/>
      </c>
      <c r="D1930" t="str">
        <f>IFERROR(__xludf.DUMMYFUNCTION("""COMPUTED_VALUE"""),"")</f>
        <v/>
      </c>
      <c r="E1930" t="str">
        <f>IFERROR(__xludf.DUMMYFUNCTION("""COMPUTED_VALUE"""),"")</f>
        <v/>
      </c>
      <c r="F1930" t="str">
        <f>IFERROR(__xludf.DUMMYFUNCTION("""COMPUTED_VALUE"""),"")</f>
        <v/>
      </c>
      <c r="G1930" t="str">
        <f>IFERROR(__xludf.DUMMYFUNCTION("""COMPUTED_VALUE"""),"")</f>
        <v/>
      </c>
      <c r="H1930" t="str">
        <f>IFERROR(__xludf.DUMMYFUNCTION("""COMPUTED_VALUE"""),"")</f>
        <v/>
      </c>
      <c r="I1930" t="str">
        <f>IFERROR(__xludf.DUMMYFUNCTION("""COMPUTED_VALUE"""),"")</f>
        <v/>
      </c>
      <c r="J1930">
        <f>IFERROR(__xludf.DUMMYFUNCTION("""COMPUTED_VALUE"""),0.0)</f>
        <v>0</v>
      </c>
      <c r="L1930" s="250" t="str">
        <f>IFERROR(__xludf.DUMMYFUNCTION("""COMPUTED_VALUE"""),"")</f>
        <v/>
      </c>
      <c r="M1930" s="250" t="str">
        <f>IFERROR(__xludf.DUMMYFUNCTION("""COMPUTED_VALUE"""),"")</f>
        <v/>
      </c>
      <c r="N1930" s="250" t="str">
        <f>IFERROR(__xludf.DUMMYFUNCTION("""COMPUTED_VALUE"""),"")</f>
        <v/>
      </c>
      <c r="O1930" s="250" t="str">
        <f>IFERROR(__xludf.DUMMYFUNCTION("""COMPUTED_VALUE"""),"")</f>
        <v/>
      </c>
      <c r="P1930" s="250" t="str">
        <f>IFERROR(__xludf.DUMMYFUNCTION("""COMPUTED_VALUE"""),"")</f>
        <v/>
      </c>
      <c r="Q1930" s="250" t="str">
        <f>IFERROR(__xludf.DUMMYFUNCTION("""COMPUTED_VALUE"""),"")</f>
        <v/>
      </c>
      <c r="R1930" s="250" t="str">
        <f>IFERROR(__xludf.DUMMYFUNCTION("""COMPUTED_VALUE"""),"")</f>
        <v/>
      </c>
      <c r="U1930" s="250" t="str">
        <f>IFERROR(__xludf.DUMMYFUNCTION("""COMPUTED_VALUE"""),"#N/A")</f>
        <v>#N/A</v>
      </c>
      <c r="V1930" s="250" t="str">
        <f>IFERROR(__xludf.DUMMYFUNCTION("""COMPUTED_VALUE"""),"#N/A")</f>
        <v>#N/A</v>
      </c>
      <c r="W1930" s="250" t="str">
        <f>IFERROR(__xludf.DUMMYFUNCTION("""COMPUTED_VALUE"""),"#N/A")</f>
        <v>#N/A</v>
      </c>
      <c r="X1930" t="b">
        <f t="shared" ref="X1930:Z1930" si="3836">ISBLANK(K1930)</f>
        <v>1</v>
      </c>
      <c r="Y1930" t="b">
        <f t="shared" si="3836"/>
        <v>0</v>
      </c>
      <c r="Z1930" t="b">
        <f t="shared" si="3836"/>
        <v>0</v>
      </c>
      <c r="AA1930">
        <f t="shared" ref="AA1930:AC1930" si="3837">IF(X1930=FALSE,1,0)</f>
        <v>0</v>
      </c>
      <c r="AB1930">
        <f t="shared" si="3837"/>
        <v>1</v>
      </c>
      <c r="AC1930">
        <f t="shared" si="3837"/>
        <v>1</v>
      </c>
      <c r="AD1930">
        <f t="shared" si="6"/>
        <v>2</v>
      </c>
      <c r="AE1930">
        <f t="shared" si="7"/>
        <v>1</v>
      </c>
    </row>
    <row r="1931">
      <c r="B1931" t="str">
        <f>IFERROR(__xludf.DUMMYFUNCTION("""COMPUTED_VALUE"""),"")</f>
        <v/>
      </c>
      <c r="C1931" t="str">
        <f>IFERROR(__xludf.DUMMYFUNCTION("""COMPUTED_VALUE"""),"")</f>
        <v/>
      </c>
      <c r="D1931" t="str">
        <f>IFERROR(__xludf.DUMMYFUNCTION("""COMPUTED_VALUE"""),"")</f>
        <v/>
      </c>
      <c r="E1931" t="str">
        <f>IFERROR(__xludf.DUMMYFUNCTION("""COMPUTED_VALUE"""),"")</f>
        <v/>
      </c>
      <c r="F1931" t="str">
        <f>IFERROR(__xludf.DUMMYFUNCTION("""COMPUTED_VALUE"""),"")</f>
        <v/>
      </c>
      <c r="G1931" t="str">
        <f>IFERROR(__xludf.DUMMYFUNCTION("""COMPUTED_VALUE"""),"")</f>
        <v/>
      </c>
      <c r="H1931" t="str">
        <f>IFERROR(__xludf.DUMMYFUNCTION("""COMPUTED_VALUE"""),"")</f>
        <v/>
      </c>
      <c r="I1931" t="str">
        <f>IFERROR(__xludf.DUMMYFUNCTION("""COMPUTED_VALUE"""),"")</f>
        <v/>
      </c>
      <c r="J1931">
        <f>IFERROR(__xludf.DUMMYFUNCTION("""COMPUTED_VALUE"""),0.0)</f>
        <v>0</v>
      </c>
      <c r="L1931" s="250" t="str">
        <f>IFERROR(__xludf.DUMMYFUNCTION("""COMPUTED_VALUE"""),"")</f>
        <v/>
      </c>
      <c r="M1931" s="250" t="str">
        <f>IFERROR(__xludf.DUMMYFUNCTION("""COMPUTED_VALUE"""),"")</f>
        <v/>
      </c>
      <c r="N1931" s="250" t="str">
        <f>IFERROR(__xludf.DUMMYFUNCTION("""COMPUTED_VALUE"""),"")</f>
        <v/>
      </c>
      <c r="O1931" s="250" t="str">
        <f>IFERROR(__xludf.DUMMYFUNCTION("""COMPUTED_VALUE"""),"")</f>
        <v/>
      </c>
      <c r="P1931" s="250" t="str">
        <f>IFERROR(__xludf.DUMMYFUNCTION("""COMPUTED_VALUE"""),"")</f>
        <v/>
      </c>
      <c r="Q1931" s="250" t="str">
        <f>IFERROR(__xludf.DUMMYFUNCTION("""COMPUTED_VALUE"""),"")</f>
        <v/>
      </c>
      <c r="R1931" s="250" t="str">
        <f>IFERROR(__xludf.DUMMYFUNCTION("""COMPUTED_VALUE"""),"")</f>
        <v/>
      </c>
      <c r="U1931" s="250" t="str">
        <f>IFERROR(__xludf.DUMMYFUNCTION("""COMPUTED_VALUE"""),"#N/A")</f>
        <v>#N/A</v>
      </c>
      <c r="V1931" s="250" t="str">
        <f>IFERROR(__xludf.DUMMYFUNCTION("""COMPUTED_VALUE"""),"#N/A")</f>
        <v>#N/A</v>
      </c>
      <c r="W1931" s="250" t="str">
        <f>IFERROR(__xludf.DUMMYFUNCTION("""COMPUTED_VALUE"""),"#N/A")</f>
        <v>#N/A</v>
      </c>
      <c r="X1931" t="b">
        <f t="shared" ref="X1931:Z1931" si="3838">ISBLANK(K1931)</f>
        <v>1</v>
      </c>
      <c r="Y1931" t="b">
        <f t="shared" si="3838"/>
        <v>0</v>
      </c>
      <c r="Z1931" t="b">
        <f t="shared" si="3838"/>
        <v>0</v>
      </c>
      <c r="AA1931">
        <f t="shared" ref="AA1931:AC1931" si="3839">IF(X1931=FALSE,1,0)</f>
        <v>0</v>
      </c>
      <c r="AB1931">
        <f t="shared" si="3839"/>
        <v>1</v>
      </c>
      <c r="AC1931">
        <f t="shared" si="3839"/>
        <v>1</v>
      </c>
      <c r="AD1931">
        <f t="shared" si="6"/>
        <v>2</v>
      </c>
      <c r="AE1931">
        <f t="shared" si="7"/>
        <v>1</v>
      </c>
    </row>
    <row r="1932">
      <c r="B1932" t="str">
        <f>IFERROR(__xludf.DUMMYFUNCTION("""COMPUTED_VALUE"""),"")</f>
        <v/>
      </c>
      <c r="C1932" t="str">
        <f>IFERROR(__xludf.DUMMYFUNCTION("""COMPUTED_VALUE"""),"")</f>
        <v/>
      </c>
      <c r="D1932" t="str">
        <f>IFERROR(__xludf.DUMMYFUNCTION("""COMPUTED_VALUE"""),"")</f>
        <v/>
      </c>
      <c r="E1932" t="str">
        <f>IFERROR(__xludf.DUMMYFUNCTION("""COMPUTED_VALUE"""),"")</f>
        <v/>
      </c>
      <c r="F1932" t="str">
        <f>IFERROR(__xludf.DUMMYFUNCTION("""COMPUTED_VALUE"""),"")</f>
        <v/>
      </c>
      <c r="G1932" t="str">
        <f>IFERROR(__xludf.DUMMYFUNCTION("""COMPUTED_VALUE"""),"")</f>
        <v/>
      </c>
      <c r="H1932" t="str">
        <f>IFERROR(__xludf.DUMMYFUNCTION("""COMPUTED_VALUE"""),"")</f>
        <v/>
      </c>
      <c r="I1932" t="str">
        <f>IFERROR(__xludf.DUMMYFUNCTION("""COMPUTED_VALUE"""),"")</f>
        <v/>
      </c>
      <c r="J1932">
        <f>IFERROR(__xludf.DUMMYFUNCTION("""COMPUTED_VALUE"""),0.0)</f>
        <v>0</v>
      </c>
      <c r="L1932" s="250" t="str">
        <f>IFERROR(__xludf.DUMMYFUNCTION("""COMPUTED_VALUE"""),"")</f>
        <v/>
      </c>
      <c r="M1932" s="250" t="str">
        <f>IFERROR(__xludf.DUMMYFUNCTION("""COMPUTED_VALUE"""),"")</f>
        <v/>
      </c>
      <c r="N1932" s="250" t="str">
        <f>IFERROR(__xludf.DUMMYFUNCTION("""COMPUTED_VALUE"""),"")</f>
        <v/>
      </c>
      <c r="O1932" s="250" t="str">
        <f>IFERROR(__xludf.DUMMYFUNCTION("""COMPUTED_VALUE"""),"")</f>
        <v/>
      </c>
      <c r="P1932" s="250" t="str">
        <f>IFERROR(__xludf.DUMMYFUNCTION("""COMPUTED_VALUE"""),"")</f>
        <v/>
      </c>
      <c r="Q1932" s="250" t="str">
        <f>IFERROR(__xludf.DUMMYFUNCTION("""COMPUTED_VALUE"""),"")</f>
        <v/>
      </c>
      <c r="R1932" s="250" t="str">
        <f>IFERROR(__xludf.DUMMYFUNCTION("""COMPUTED_VALUE"""),"")</f>
        <v/>
      </c>
      <c r="U1932" s="250" t="str">
        <f>IFERROR(__xludf.DUMMYFUNCTION("""COMPUTED_VALUE"""),"#N/A")</f>
        <v>#N/A</v>
      </c>
      <c r="V1932" s="250" t="str">
        <f>IFERROR(__xludf.DUMMYFUNCTION("""COMPUTED_VALUE"""),"#N/A")</f>
        <v>#N/A</v>
      </c>
      <c r="W1932" s="250" t="str">
        <f>IFERROR(__xludf.DUMMYFUNCTION("""COMPUTED_VALUE"""),"#N/A")</f>
        <v>#N/A</v>
      </c>
      <c r="X1932" t="b">
        <f t="shared" ref="X1932:Z1932" si="3840">ISBLANK(K1932)</f>
        <v>1</v>
      </c>
      <c r="Y1932" t="b">
        <f t="shared" si="3840"/>
        <v>0</v>
      </c>
      <c r="Z1932" t="b">
        <f t="shared" si="3840"/>
        <v>0</v>
      </c>
      <c r="AA1932">
        <f t="shared" ref="AA1932:AC1932" si="3841">IF(X1932=FALSE,1,0)</f>
        <v>0</v>
      </c>
      <c r="AB1932">
        <f t="shared" si="3841"/>
        <v>1</v>
      </c>
      <c r="AC1932">
        <f t="shared" si="3841"/>
        <v>1</v>
      </c>
      <c r="AD1932">
        <f t="shared" si="6"/>
        <v>2</v>
      </c>
      <c r="AE1932">
        <f t="shared" si="7"/>
        <v>1</v>
      </c>
    </row>
    <row r="1933">
      <c r="B1933" t="str">
        <f>IFERROR(__xludf.DUMMYFUNCTION("""COMPUTED_VALUE"""),"")</f>
        <v/>
      </c>
      <c r="C1933" t="str">
        <f>IFERROR(__xludf.DUMMYFUNCTION("""COMPUTED_VALUE"""),"")</f>
        <v/>
      </c>
      <c r="D1933" t="str">
        <f>IFERROR(__xludf.DUMMYFUNCTION("""COMPUTED_VALUE"""),"")</f>
        <v/>
      </c>
      <c r="E1933" t="str">
        <f>IFERROR(__xludf.DUMMYFUNCTION("""COMPUTED_VALUE"""),"")</f>
        <v/>
      </c>
      <c r="F1933" t="str">
        <f>IFERROR(__xludf.DUMMYFUNCTION("""COMPUTED_VALUE"""),"")</f>
        <v/>
      </c>
      <c r="G1933" t="str">
        <f>IFERROR(__xludf.DUMMYFUNCTION("""COMPUTED_VALUE"""),"")</f>
        <v/>
      </c>
      <c r="H1933" t="str">
        <f>IFERROR(__xludf.DUMMYFUNCTION("""COMPUTED_VALUE"""),"")</f>
        <v/>
      </c>
      <c r="I1933" t="str">
        <f>IFERROR(__xludf.DUMMYFUNCTION("""COMPUTED_VALUE"""),"")</f>
        <v/>
      </c>
      <c r="J1933">
        <f>IFERROR(__xludf.DUMMYFUNCTION("""COMPUTED_VALUE"""),0.0)</f>
        <v>0</v>
      </c>
      <c r="L1933" s="250" t="str">
        <f>IFERROR(__xludf.DUMMYFUNCTION("""COMPUTED_VALUE"""),"")</f>
        <v/>
      </c>
      <c r="M1933" s="250" t="str">
        <f>IFERROR(__xludf.DUMMYFUNCTION("""COMPUTED_VALUE"""),"")</f>
        <v/>
      </c>
      <c r="N1933" s="250" t="str">
        <f>IFERROR(__xludf.DUMMYFUNCTION("""COMPUTED_VALUE"""),"")</f>
        <v/>
      </c>
      <c r="O1933" s="250" t="str">
        <f>IFERROR(__xludf.DUMMYFUNCTION("""COMPUTED_VALUE"""),"")</f>
        <v/>
      </c>
      <c r="P1933" s="250" t="str">
        <f>IFERROR(__xludf.DUMMYFUNCTION("""COMPUTED_VALUE"""),"")</f>
        <v/>
      </c>
      <c r="Q1933" s="250" t="str">
        <f>IFERROR(__xludf.DUMMYFUNCTION("""COMPUTED_VALUE"""),"")</f>
        <v/>
      </c>
      <c r="R1933" s="250" t="str">
        <f>IFERROR(__xludf.DUMMYFUNCTION("""COMPUTED_VALUE"""),"")</f>
        <v/>
      </c>
      <c r="U1933" s="250" t="str">
        <f>IFERROR(__xludf.DUMMYFUNCTION("""COMPUTED_VALUE"""),"#N/A")</f>
        <v>#N/A</v>
      </c>
      <c r="V1933" s="250" t="str">
        <f>IFERROR(__xludf.DUMMYFUNCTION("""COMPUTED_VALUE"""),"#N/A")</f>
        <v>#N/A</v>
      </c>
      <c r="W1933" s="250" t="str">
        <f>IFERROR(__xludf.DUMMYFUNCTION("""COMPUTED_VALUE"""),"#N/A")</f>
        <v>#N/A</v>
      </c>
      <c r="X1933" t="b">
        <f t="shared" ref="X1933:Z1933" si="3842">ISBLANK(K1933)</f>
        <v>1</v>
      </c>
      <c r="Y1933" t="b">
        <f t="shared" si="3842"/>
        <v>0</v>
      </c>
      <c r="Z1933" t="b">
        <f t="shared" si="3842"/>
        <v>0</v>
      </c>
      <c r="AA1933">
        <f t="shared" ref="AA1933:AC1933" si="3843">IF(X1933=FALSE,1,0)</f>
        <v>0</v>
      </c>
      <c r="AB1933">
        <f t="shared" si="3843"/>
        <v>1</v>
      </c>
      <c r="AC1933">
        <f t="shared" si="3843"/>
        <v>1</v>
      </c>
      <c r="AD1933">
        <f t="shared" si="6"/>
        <v>2</v>
      </c>
      <c r="AE1933">
        <f t="shared" si="7"/>
        <v>1</v>
      </c>
    </row>
    <row r="1934">
      <c r="B1934" t="str">
        <f>IFERROR(__xludf.DUMMYFUNCTION("""COMPUTED_VALUE"""),"")</f>
        <v/>
      </c>
      <c r="C1934" t="str">
        <f>IFERROR(__xludf.DUMMYFUNCTION("""COMPUTED_VALUE"""),"")</f>
        <v/>
      </c>
      <c r="D1934" t="str">
        <f>IFERROR(__xludf.DUMMYFUNCTION("""COMPUTED_VALUE"""),"")</f>
        <v/>
      </c>
      <c r="E1934" t="str">
        <f>IFERROR(__xludf.DUMMYFUNCTION("""COMPUTED_VALUE"""),"")</f>
        <v/>
      </c>
      <c r="F1934" t="str">
        <f>IFERROR(__xludf.DUMMYFUNCTION("""COMPUTED_VALUE"""),"")</f>
        <v/>
      </c>
      <c r="G1934" t="str">
        <f>IFERROR(__xludf.DUMMYFUNCTION("""COMPUTED_VALUE"""),"")</f>
        <v/>
      </c>
      <c r="H1934" t="str">
        <f>IFERROR(__xludf.DUMMYFUNCTION("""COMPUTED_VALUE"""),"")</f>
        <v/>
      </c>
      <c r="I1934" t="str">
        <f>IFERROR(__xludf.DUMMYFUNCTION("""COMPUTED_VALUE"""),"")</f>
        <v/>
      </c>
      <c r="J1934">
        <f>IFERROR(__xludf.DUMMYFUNCTION("""COMPUTED_VALUE"""),0.0)</f>
        <v>0</v>
      </c>
      <c r="L1934" s="250" t="str">
        <f>IFERROR(__xludf.DUMMYFUNCTION("""COMPUTED_VALUE"""),"")</f>
        <v/>
      </c>
      <c r="M1934" s="250" t="str">
        <f>IFERROR(__xludf.DUMMYFUNCTION("""COMPUTED_VALUE"""),"")</f>
        <v/>
      </c>
      <c r="N1934" s="250" t="str">
        <f>IFERROR(__xludf.DUMMYFUNCTION("""COMPUTED_VALUE"""),"")</f>
        <v/>
      </c>
      <c r="O1934" s="250" t="str">
        <f>IFERROR(__xludf.DUMMYFUNCTION("""COMPUTED_VALUE"""),"")</f>
        <v/>
      </c>
      <c r="P1934" s="250" t="str">
        <f>IFERROR(__xludf.DUMMYFUNCTION("""COMPUTED_VALUE"""),"")</f>
        <v/>
      </c>
      <c r="Q1934" s="250" t="str">
        <f>IFERROR(__xludf.DUMMYFUNCTION("""COMPUTED_VALUE"""),"")</f>
        <v/>
      </c>
      <c r="R1934" s="250" t="str">
        <f>IFERROR(__xludf.DUMMYFUNCTION("""COMPUTED_VALUE"""),"")</f>
        <v/>
      </c>
      <c r="U1934" s="250" t="str">
        <f>IFERROR(__xludf.DUMMYFUNCTION("""COMPUTED_VALUE"""),"#N/A")</f>
        <v>#N/A</v>
      </c>
      <c r="V1934" s="250" t="str">
        <f>IFERROR(__xludf.DUMMYFUNCTION("""COMPUTED_VALUE"""),"#N/A")</f>
        <v>#N/A</v>
      </c>
      <c r="W1934" s="250" t="str">
        <f>IFERROR(__xludf.DUMMYFUNCTION("""COMPUTED_VALUE"""),"#N/A")</f>
        <v>#N/A</v>
      </c>
      <c r="X1934" t="b">
        <f t="shared" ref="X1934:Z1934" si="3844">ISBLANK(K1934)</f>
        <v>1</v>
      </c>
      <c r="Y1934" t="b">
        <f t="shared" si="3844"/>
        <v>0</v>
      </c>
      <c r="Z1934" t="b">
        <f t="shared" si="3844"/>
        <v>0</v>
      </c>
      <c r="AA1934">
        <f t="shared" ref="AA1934:AC1934" si="3845">IF(X1934=FALSE,1,0)</f>
        <v>0</v>
      </c>
      <c r="AB1934">
        <f t="shared" si="3845"/>
        <v>1</v>
      </c>
      <c r="AC1934">
        <f t="shared" si="3845"/>
        <v>1</v>
      </c>
      <c r="AD1934">
        <f t="shared" si="6"/>
        <v>2</v>
      </c>
      <c r="AE1934">
        <f t="shared" si="7"/>
        <v>1</v>
      </c>
    </row>
    <row r="1935">
      <c r="B1935" t="str">
        <f>IFERROR(__xludf.DUMMYFUNCTION("""COMPUTED_VALUE"""),"")</f>
        <v/>
      </c>
      <c r="C1935" t="str">
        <f>IFERROR(__xludf.DUMMYFUNCTION("""COMPUTED_VALUE"""),"")</f>
        <v/>
      </c>
      <c r="D1935" t="str">
        <f>IFERROR(__xludf.DUMMYFUNCTION("""COMPUTED_VALUE"""),"")</f>
        <v/>
      </c>
      <c r="E1935" t="str">
        <f>IFERROR(__xludf.DUMMYFUNCTION("""COMPUTED_VALUE"""),"")</f>
        <v/>
      </c>
      <c r="F1935" t="str">
        <f>IFERROR(__xludf.DUMMYFUNCTION("""COMPUTED_VALUE"""),"")</f>
        <v/>
      </c>
      <c r="G1935" t="str">
        <f>IFERROR(__xludf.DUMMYFUNCTION("""COMPUTED_VALUE"""),"")</f>
        <v/>
      </c>
      <c r="H1935" t="str">
        <f>IFERROR(__xludf.DUMMYFUNCTION("""COMPUTED_VALUE"""),"")</f>
        <v/>
      </c>
      <c r="I1935" t="str">
        <f>IFERROR(__xludf.DUMMYFUNCTION("""COMPUTED_VALUE"""),"")</f>
        <v/>
      </c>
      <c r="J1935">
        <f>IFERROR(__xludf.DUMMYFUNCTION("""COMPUTED_VALUE"""),0.0)</f>
        <v>0</v>
      </c>
      <c r="L1935" s="250" t="str">
        <f>IFERROR(__xludf.DUMMYFUNCTION("""COMPUTED_VALUE"""),"")</f>
        <v/>
      </c>
      <c r="M1935" s="250" t="str">
        <f>IFERROR(__xludf.DUMMYFUNCTION("""COMPUTED_VALUE"""),"")</f>
        <v/>
      </c>
      <c r="N1935" s="250" t="str">
        <f>IFERROR(__xludf.DUMMYFUNCTION("""COMPUTED_VALUE"""),"")</f>
        <v/>
      </c>
      <c r="O1935" s="250" t="str">
        <f>IFERROR(__xludf.DUMMYFUNCTION("""COMPUTED_VALUE"""),"")</f>
        <v/>
      </c>
      <c r="P1935" s="250" t="str">
        <f>IFERROR(__xludf.DUMMYFUNCTION("""COMPUTED_VALUE"""),"")</f>
        <v/>
      </c>
      <c r="Q1935" s="250" t="str">
        <f>IFERROR(__xludf.DUMMYFUNCTION("""COMPUTED_VALUE"""),"")</f>
        <v/>
      </c>
      <c r="R1935" s="250" t="str">
        <f>IFERROR(__xludf.DUMMYFUNCTION("""COMPUTED_VALUE"""),"")</f>
        <v/>
      </c>
      <c r="U1935" s="250" t="str">
        <f>IFERROR(__xludf.DUMMYFUNCTION("""COMPUTED_VALUE"""),"#N/A")</f>
        <v>#N/A</v>
      </c>
      <c r="V1935" s="250" t="str">
        <f>IFERROR(__xludf.DUMMYFUNCTION("""COMPUTED_VALUE"""),"#N/A")</f>
        <v>#N/A</v>
      </c>
      <c r="W1935" s="250" t="str">
        <f>IFERROR(__xludf.DUMMYFUNCTION("""COMPUTED_VALUE"""),"#N/A")</f>
        <v>#N/A</v>
      </c>
      <c r="X1935" t="b">
        <f t="shared" ref="X1935:Z1935" si="3846">ISBLANK(K1935)</f>
        <v>1</v>
      </c>
      <c r="Y1935" t="b">
        <f t="shared" si="3846"/>
        <v>0</v>
      </c>
      <c r="Z1935" t="b">
        <f t="shared" si="3846"/>
        <v>0</v>
      </c>
      <c r="AA1935">
        <f t="shared" ref="AA1935:AC1935" si="3847">IF(X1935=FALSE,1,0)</f>
        <v>0</v>
      </c>
      <c r="AB1935">
        <f t="shared" si="3847"/>
        <v>1</v>
      </c>
      <c r="AC1935">
        <f t="shared" si="3847"/>
        <v>1</v>
      </c>
      <c r="AD1935">
        <f t="shared" si="6"/>
        <v>2</v>
      </c>
      <c r="AE1935">
        <f t="shared" si="7"/>
        <v>1</v>
      </c>
    </row>
    <row r="1936">
      <c r="B1936" t="str">
        <f>IFERROR(__xludf.DUMMYFUNCTION("""COMPUTED_VALUE"""),"")</f>
        <v/>
      </c>
      <c r="C1936" t="str">
        <f>IFERROR(__xludf.DUMMYFUNCTION("""COMPUTED_VALUE"""),"")</f>
        <v/>
      </c>
      <c r="D1936" t="str">
        <f>IFERROR(__xludf.DUMMYFUNCTION("""COMPUTED_VALUE"""),"")</f>
        <v/>
      </c>
      <c r="E1936" t="str">
        <f>IFERROR(__xludf.DUMMYFUNCTION("""COMPUTED_VALUE"""),"")</f>
        <v/>
      </c>
      <c r="F1936" t="str">
        <f>IFERROR(__xludf.DUMMYFUNCTION("""COMPUTED_VALUE"""),"")</f>
        <v/>
      </c>
      <c r="G1936" t="str">
        <f>IFERROR(__xludf.DUMMYFUNCTION("""COMPUTED_VALUE"""),"")</f>
        <v/>
      </c>
      <c r="H1936" t="str">
        <f>IFERROR(__xludf.DUMMYFUNCTION("""COMPUTED_VALUE"""),"")</f>
        <v/>
      </c>
      <c r="I1936" t="str">
        <f>IFERROR(__xludf.DUMMYFUNCTION("""COMPUTED_VALUE"""),"")</f>
        <v/>
      </c>
      <c r="J1936">
        <f>IFERROR(__xludf.DUMMYFUNCTION("""COMPUTED_VALUE"""),0.0)</f>
        <v>0</v>
      </c>
      <c r="L1936" s="250" t="str">
        <f>IFERROR(__xludf.DUMMYFUNCTION("""COMPUTED_VALUE"""),"")</f>
        <v/>
      </c>
      <c r="M1936" s="250" t="str">
        <f>IFERROR(__xludf.DUMMYFUNCTION("""COMPUTED_VALUE"""),"")</f>
        <v/>
      </c>
      <c r="N1936" s="250" t="str">
        <f>IFERROR(__xludf.DUMMYFUNCTION("""COMPUTED_VALUE"""),"")</f>
        <v/>
      </c>
      <c r="O1936" s="250" t="str">
        <f>IFERROR(__xludf.DUMMYFUNCTION("""COMPUTED_VALUE"""),"")</f>
        <v/>
      </c>
      <c r="P1936" s="250" t="str">
        <f>IFERROR(__xludf.DUMMYFUNCTION("""COMPUTED_VALUE"""),"")</f>
        <v/>
      </c>
      <c r="Q1936" s="250" t="str">
        <f>IFERROR(__xludf.DUMMYFUNCTION("""COMPUTED_VALUE"""),"")</f>
        <v/>
      </c>
      <c r="R1936" s="250" t="str">
        <f>IFERROR(__xludf.DUMMYFUNCTION("""COMPUTED_VALUE"""),"")</f>
        <v/>
      </c>
      <c r="U1936" s="250" t="str">
        <f>IFERROR(__xludf.DUMMYFUNCTION("""COMPUTED_VALUE"""),"#N/A")</f>
        <v>#N/A</v>
      </c>
      <c r="V1936" s="250" t="str">
        <f>IFERROR(__xludf.DUMMYFUNCTION("""COMPUTED_VALUE"""),"#N/A")</f>
        <v>#N/A</v>
      </c>
      <c r="W1936" s="250" t="str">
        <f>IFERROR(__xludf.DUMMYFUNCTION("""COMPUTED_VALUE"""),"#N/A")</f>
        <v>#N/A</v>
      </c>
      <c r="X1936" t="b">
        <f t="shared" ref="X1936:Z1936" si="3848">ISBLANK(K1936)</f>
        <v>1</v>
      </c>
      <c r="Y1936" t="b">
        <f t="shared" si="3848"/>
        <v>0</v>
      </c>
      <c r="Z1936" t="b">
        <f t="shared" si="3848"/>
        <v>0</v>
      </c>
      <c r="AA1936">
        <f t="shared" ref="AA1936:AC1936" si="3849">IF(X1936=FALSE,1,0)</f>
        <v>0</v>
      </c>
      <c r="AB1936">
        <f t="shared" si="3849"/>
        <v>1</v>
      </c>
      <c r="AC1936">
        <f t="shared" si="3849"/>
        <v>1</v>
      </c>
      <c r="AD1936">
        <f t="shared" si="6"/>
        <v>2</v>
      </c>
      <c r="AE1936">
        <f t="shared" si="7"/>
        <v>1</v>
      </c>
    </row>
    <row r="1937">
      <c r="B1937" t="str">
        <f>IFERROR(__xludf.DUMMYFUNCTION("""COMPUTED_VALUE"""),"")</f>
        <v/>
      </c>
      <c r="C1937" t="str">
        <f>IFERROR(__xludf.DUMMYFUNCTION("""COMPUTED_VALUE"""),"")</f>
        <v/>
      </c>
      <c r="D1937" t="str">
        <f>IFERROR(__xludf.DUMMYFUNCTION("""COMPUTED_VALUE"""),"")</f>
        <v/>
      </c>
      <c r="E1937" t="str">
        <f>IFERROR(__xludf.DUMMYFUNCTION("""COMPUTED_VALUE"""),"")</f>
        <v/>
      </c>
      <c r="F1937" t="str">
        <f>IFERROR(__xludf.DUMMYFUNCTION("""COMPUTED_VALUE"""),"")</f>
        <v/>
      </c>
      <c r="G1937" t="str">
        <f>IFERROR(__xludf.DUMMYFUNCTION("""COMPUTED_VALUE"""),"")</f>
        <v/>
      </c>
      <c r="H1937" t="str">
        <f>IFERROR(__xludf.DUMMYFUNCTION("""COMPUTED_VALUE"""),"")</f>
        <v/>
      </c>
      <c r="I1937" t="str">
        <f>IFERROR(__xludf.DUMMYFUNCTION("""COMPUTED_VALUE"""),"")</f>
        <v/>
      </c>
      <c r="J1937">
        <f>IFERROR(__xludf.DUMMYFUNCTION("""COMPUTED_VALUE"""),0.0)</f>
        <v>0</v>
      </c>
      <c r="L1937" s="250" t="str">
        <f>IFERROR(__xludf.DUMMYFUNCTION("""COMPUTED_VALUE"""),"")</f>
        <v/>
      </c>
      <c r="M1937" s="250" t="str">
        <f>IFERROR(__xludf.DUMMYFUNCTION("""COMPUTED_VALUE"""),"")</f>
        <v/>
      </c>
      <c r="N1937" s="250" t="str">
        <f>IFERROR(__xludf.DUMMYFUNCTION("""COMPUTED_VALUE"""),"")</f>
        <v/>
      </c>
      <c r="O1937" s="250" t="str">
        <f>IFERROR(__xludf.DUMMYFUNCTION("""COMPUTED_VALUE"""),"")</f>
        <v/>
      </c>
      <c r="P1937" s="250" t="str">
        <f>IFERROR(__xludf.DUMMYFUNCTION("""COMPUTED_VALUE"""),"")</f>
        <v/>
      </c>
      <c r="Q1937" s="250" t="str">
        <f>IFERROR(__xludf.DUMMYFUNCTION("""COMPUTED_VALUE"""),"")</f>
        <v/>
      </c>
      <c r="R1937" s="250" t="str">
        <f>IFERROR(__xludf.DUMMYFUNCTION("""COMPUTED_VALUE"""),"")</f>
        <v/>
      </c>
      <c r="U1937" s="250" t="str">
        <f>IFERROR(__xludf.DUMMYFUNCTION("""COMPUTED_VALUE"""),"#N/A")</f>
        <v>#N/A</v>
      </c>
      <c r="V1937" s="250" t="str">
        <f>IFERROR(__xludf.DUMMYFUNCTION("""COMPUTED_VALUE"""),"#N/A")</f>
        <v>#N/A</v>
      </c>
      <c r="W1937" s="250" t="str">
        <f>IFERROR(__xludf.DUMMYFUNCTION("""COMPUTED_VALUE"""),"#N/A")</f>
        <v>#N/A</v>
      </c>
      <c r="X1937" t="b">
        <f t="shared" ref="X1937:Z1937" si="3850">ISBLANK(K1937)</f>
        <v>1</v>
      </c>
      <c r="Y1937" t="b">
        <f t="shared" si="3850"/>
        <v>0</v>
      </c>
      <c r="Z1937" t="b">
        <f t="shared" si="3850"/>
        <v>0</v>
      </c>
      <c r="AA1937">
        <f t="shared" ref="AA1937:AC1937" si="3851">IF(X1937=FALSE,1,0)</f>
        <v>0</v>
      </c>
      <c r="AB1937">
        <f t="shared" si="3851"/>
        <v>1</v>
      </c>
      <c r="AC1937">
        <f t="shared" si="3851"/>
        <v>1</v>
      </c>
      <c r="AD1937">
        <f t="shared" si="6"/>
        <v>2</v>
      </c>
      <c r="AE1937">
        <f t="shared" si="7"/>
        <v>1</v>
      </c>
    </row>
    <row r="1938">
      <c r="B1938" t="str">
        <f>IFERROR(__xludf.DUMMYFUNCTION("""COMPUTED_VALUE"""),"")</f>
        <v/>
      </c>
      <c r="C1938" t="str">
        <f>IFERROR(__xludf.DUMMYFUNCTION("""COMPUTED_VALUE"""),"")</f>
        <v/>
      </c>
      <c r="D1938" t="str">
        <f>IFERROR(__xludf.DUMMYFUNCTION("""COMPUTED_VALUE"""),"")</f>
        <v/>
      </c>
      <c r="E1938" t="str">
        <f>IFERROR(__xludf.DUMMYFUNCTION("""COMPUTED_VALUE"""),"")</f>
        <v/>
      </c>
      <c r="F1938" t="str">
        <f>IFERROR(__xludf.DUMMYFUNCTION("""COMPUTED_VALUE"""),"")</f>
        <v/>
      </c>
      <c r="G1938" t="str">
        <f>IFERROR(__xludf.DUMMYFUNCTION("""COMPUTED_VALUE"""),"")</f>
        <v/>
      </c>
      <c r="H1938" t="str">
        <f>IFERROR(__xludf.DUMMYFUNCTION("""COMPUTED_VALUE"""),"")</f>
        <v/>
      </c>
      <c r="I1938" t="str">
        <f>IFERROR(__xludf.DUMMYFUNCTION("""COMPUTED_VALUE"""),"")</f>
        <v/>
      </c>
      <c r="J1938">
        <f>IFERROR(__xludf.DUMMYFUNCTION("""COMPUTED_VALUE"""),0.0)</f>
        <v>0</v>
      </c>
      <c r="L1938" s="250" t="str">
        <f>IFERROR(__xludf.DUMMYFUNCTION("""COMPUTED_VALUE"""),"")</f>
        <v/>
      </c>
      <c r="M1938" s="250" t="str">
        <f>IFERROR(__xludf.DUMMYFUNCTION("""COMPUTED_VALUE"""),"")</f>
        <v/>
      </c>
      <c r="N1938" s="250" t="str">
        <f>IFERROR(__xludf.DUMMYFUNCTION("""COMPUTED_VALUE"""),"")</f>
        <v/>
      </c>
      <c r="O1938" s="250" t="str">
        <f>IFERROR(__xludf.DUMMYFUNCTION("""COMPUTED_VALUE"""),"")</f>
        <v/>
      </c>
      <c r="P1938" s="250" t="str">
        <f>IFERROR(__xludf.DUMMYFUNCTION("""COMPUTED_VALUE"""),"")</f>
        <v/>
      </c>
      <c r="Q1938" s="250" t="str">
        <f>IFERROR(__xludf.DUMMYFUNCTION("""COMPUTED_VALUE"""),"")</f>
        <v/>
      </c>
      <c r="R1938" s="250" t="str">
        <f>IFERROR(__xludf.DUMMYFUNCTION("""COMPUTED_VALUE"""),"")</f>
        <v/>
      </c>
      <c r="U1938" s="250" t="str">
        <f>IFERROR(__xludf.DUMMYFUNCTION("""COMPUTED_VALUE"""),"#N/A")</f>
        <v>#N/A</v>
      </c>
      <c r="V1938" s="250" t="str">
        <f>IFERROR(__xludf.DUMMYFUNCTION("""COMPUTED_VALUE"""),"#N/A")</f>
        <v>#N/A</v>
      </c>
      <c r="W1938" s="250" t="str">
        <f>IFERROR(__xludf.DUMMYFUNCTION("""COMPUTED_VALUE"""),"#N/A")</f>
        <v>#N/A</v>
      </c>
      <c r="X1938" t="b">
        <f t="shared" ref="X1938:Z1938" si="3852">ISBLANK(K1938)</f>
        <v>1</v>
      </c>
      <c r="Y1938" t="b">
        <f t="shared" si="3852"/>
        <v>0</v>
      </c>
      <c r="Z1938" t="b">
        <f t="shared" si="3852"/>
        <v>0</v>
      </c>
      <c r="AA1938">
        <f t="shared" ref="AA1938:AC1938" si="3853">IF(X1938=FALSE,1,0)</f>
        <v>0</v>
      </c>
      <c r="AB1938">
        <f t="shared" si="3853"/>
        <v>1</v>
      </c>
      <c r="AC1938">
        <f t="shared" si="3853"/>
        <v>1</v>
      </c>
      <c r="AD1938">
        <f t="shared" si="6"/>
        <v>2</v>
      </c>
      <c r="AE1938">
        <f t="shared" si="7"/>
        <v>1</v>
      </c>
    </row>
    <row r="1939">
      <c r="B1939" t="str">
        <f>IFERROR(__xludf.DUMMYFUNCTION("""COMPUTED_VALUE"""),"")</f>
        <v/>
      </c>
      <c r="C1939" t="str">
        <f>IFERROR(__xludf.DUMMYFUNCTION("""COMPUTED_VALUE"""),"")</f>
        <v/>
      </c>
      <c r="D1939" t="str">
        <f>IFERROR(__xludf.DUMMYFUNCTION("""COMPUTED_VALUE"""),"")</f>
        <v/>
      </c>
      <c r="E1939" t="str">
        <f>IFERROR(__xludf.DUMMYFUNCTION("""COMPUTED_VALUE"""),"")</f>
        <v/>
      </c>
      <c r="F1939" t="str">
        <f>IFERROR(__xludf.DUMMYFUNCTION("""COMPUTED_VALUE"""),"")</f>
        <v/>
      </c>
      <c r="G1939" t="str">
        <f>IFERROR(__xludf.DUMMYFUNCTION("""COMPUTED_VALUE"""),"")</f>
        <v/>
      </c>
      <c r="H1939" t="str">
        <f>IFERROR(__xludf.DUMMYFUNCTION("""COMPUTED_VALUE"""),"")</f>
        <v/>
      </c>
      <c r="I1939" t="str">
        <f>IFERROR(__xludf.DUMMYFUNCTION("""COMPUTED_VALUE"""),"")</f>
        <v/>
      </c>
      <c r="J1939">
        <f>IFERROR(__xludf.DUMMYFUNCTION("""COMPUTED_VALUE"""),0.0)</f>
        <v>0</v>
      </c>
      <c r="L1939" s="250" t="str">
        <f>IFERROR(__xludf.DUMMYFUNCTION("""COMPUTED_VALUE"""),"")</f>
        <v/>
      </c>
      <c r="M1939" s="250" t="str">
        <f>IFERROR(__xludf.DUMMYFUNCTION("""COMPUTED_VALUE"""),"")</f>
        <v/>
      </c>
      <c r="N1939" s="250" t="str">
        <f>IFERROR(__xludf.DUMMYFUNCTION("""COMPUTED_VALUE"""),"")</f>
        <v/>
      </c>
      <c r="O1939" s="250" t="str">
        <f>IFERROR(__xludf.DUMMYFUNCTION("""COMPUTED_VALUE"""),"")</f>
        <v/>
      </c>
      <c r="P1939" s="250" t="str">
        <f>IFERROR(__xludf.DUMMYFUNCTION("""COMPUTED_VALUE"""),"")</f>
        <v/>
      </c>
      <c r="Q1939" s="250" t="str">
        <f>IFERROR(__xludf.DUMMYFUNCTION("""COMPUTED_VALUE"""),"")</f>
        <v/>
      </c>
      <c r="R1939" s="250" t="str">
        <f>IFERROR(__xludf.DUMMYFUNCTION("""COMPUTED_VALUE"""),"")</f>
        <v/>
      </c>
      <c r="U1939" s="250" t="str">
        <f>IFERROR(__xludf.DUMMYFUNCTION("""COMPUTED_VALUE"""),"#N/A")</f>
        <v>#N/A</v>
      </c>
      <c r="V1939" s="250" t="str">
        <f>IFERROR(__xludf.DUMMYFUNCTION("""COMPUTED_VALUE"""),"#N/A")</f>
        <v>#N/A</v>
      </c>
      <c r="W1939" s="250" t="str">
        <f>IFERROR(__xludf.DUMMYFUNCTION("""COMPUTED_VALUE"""),"#N/A")</f>
        <v>#N/A</v>
      </c>
      <c r="X1939" t="b">
        <f t="shared" ref="X1939:Z1939" si="3854">ISBLANK(K1939)</f>
        <v>1</v>
      </c>
      <c r="Y1939" t="b">
        <f t="shared" si="3854"/>
        <v>0</v>
      </c>
      <c r="Z1939" t="b">
        <f t="shared" si="3854"/>
        <v>0</v>
      </c>
      <c r="AA1939">
        <f t="shared" ref="AA1939:AC1939" si="3855">IF(X1939=FALSE,1,0)</f>
        <v>0</v>
      </c>
      <c r="AB1939">
        <f t="shared" si="3855"/>
        <v>1</v>
      </c>
      <c r="AC1939">
        <f t="shared" si="3855"/>
        <v>1</v>
      </c>
      <c r="AD1939">
        <f t="shared" si="6"/>
        <v>2</v>
      </c>
      <c r="AE1939">
        <f t="shared" si="7"/>
        <v>1</v>
      </c>
    </row>
    <row r="1940">
      <c r="B1940" t="str">
        <f>IFERROR(__xludf.DUMMYFUNCTION("""COMPUTED_VALUE"""),"")</f>
        <v/>
      </c>
      <c r="C1940" t="str">
        <f>IFERROR(__xludf.DUMMYFUNCTION("""COMPUTED_VALUE"""),"")</f>
        <v/>
      </c>
      <c r="D1940" t="str">
        <f>IFERROR(__xludf.DUMMYFUNCTION("""COMPUTED_VALUE"""),"")</f>
        <v/>
      </c>
      <c r="E1940" t="str">
        <f>IFERROR(__xludf.DUMMYFUNCTION("""COMPUTED_VALUE"""),"")</f>
        <v/>
      </c>
      <c r="F1940" t="str">
        <f>IFERROR(__xludf.DUMMYFUNCTION("""COMPUTED_VALUE"""),"")</f>
        <v/>
      </c>
      <c r="G1940" t="str">
        <f>IFERROR(__xludf.DUMMYFUNCTION("""COMPUTED_VALUE"""),"")</f>
        <v/>
      </c>
      <c r="H1940" t="str">
        <f>IFERROR(__xludf.DUMMYFUNCTION("""COMPUTED_VALUE"""),"")</f>
        <v/>
      </c>
      <c r="I1940" t="str">
        <f>IFERROR(__xludf.DUMMYFUNCTION("""COMPUTED_VALUE"""),"")</f>
        <v/>
      </c>
      <c r="J1940">
        <f>IFERROR(__xludf.DUMMYFUNCTION("""COMPUTED_VALUE"""),0.0)</f>
        <v>0</v>
      </c>
      <c r="L1940" s="250" t="str">
        <f>IFERROR(__xludf.DUMMYFUNCTION("""COMPUTED_VALUE"""),"")</f>
        <v/>
      </c>
      <c r="M1940" s="250" t="str">
        <f>IFERROR(__xludf.DUMMYFUNCTION("""COMPUTED_VALUE"""),"")</f>
        <v/>
      </c>
      <c r="N1940" s="250" t="str">
        <f>IFERROR(__xludf.DUMMYFUNCTION("""COMPUTED_VALUE"""),"")</f>
        <v/>
      </c>
      <c r="O1940" s="250" t="str">
        <f>IFERROR(__xludf.DUMMYFUNCTION("""COMPUTED_VALUE"""),"")</f>
        <v/>
      </c>
      <c r="P1940" s="250" t="str">
        <f>IFERROR(__xludf.DUMMYFUNCTION("""COMPUTED_VALUE"""),"")</f>
        <v/>
      </c>
      <c r="Q1940" s="250" t="str">
        <f>IFERROR(__xludf.DUMMYFUNCTION("""COMPUTED_VALUE"""),"")</f>
        <v/>
      </c>
      <c r="R1940" s="250" t="str">
        <f>IFERROR(__xludf.DUMMYFUNCTION("""COMPUTED_VALUE"""),"")</f>
        <v/>
      </c>
      <c r="U1940" s="250" t="str">
        <f>IFERROR(__xludf.DUMMYFUNCTION("""COMPUTED_VALUE"""),"#N/A")</f>
        <v>#N/A</v>
      </c>
      <c r="V1940" s="250" t="str">
        <f>IFERROR(__xludf.DUMMYFUNCTION("""COMPUTED_VALUE"""),"#N/A")</f>
        <v>#N/A</v>
      </c>
      <c r="W1940" s="250" t="str">
        <f>IFERROR(__xludf.DUMMYFUNCTION("""COMPUTED_VALUE"""),"#N/A")</f>
        <v>#N/A</v>
      </c>
      <c r="X1940" t="b">
        <f t="shared" ref="X1940:Z1940" si="3856">ISBLANK(K1940)</f>
        <v>1</v>
      </c>
      <c r="Y1940" t="b">
        <f t="shared" si="3856"/>
        <v>0</v>
      </c>
      <c r="Z1940" t="b">
        <f t="shared" si="3856"/>
        <v>0</v>
      </c>
      <c r="AA1940">
        <f t="shared" ref="AA1940:AC1940" si="3857">IF(X1940=FALSE,1,0)</f>
        <v>0</v>
      </c>
      <c r="AB1940">
        <f t="shared" si="3857"/>
        <v>1</v>
      </c>
      <c r="AC1940">
        <f t="shared" si="3857"/>
        <v>1</v>
      </c>
      <c r="AD1940">
        <f t="shared" si="6"/>
        <v>2</v>
      </c>
      <c r="AE1940">
        <f t="shared" si="7"/>
        <v>1</v>
      </c>
    </row>
    <row r="1941">
      <c r="B1941" t="str">
        <f>IFERROR(__xludf.DUMMYFUNCTION("""COMPUTED_VALUE"""),"")</f>
        <v/>
      </c>
      <c r="C1941" t="str">
        <f>IFERROR(__xludf.DUMMYFUNCTION("""COMPUTED_VALUE"""),"")</f>
        <v/>
      </c>
      <c r="D1941" t="str">
        <f>IFERROR(__xludf.DUMMYFUNCTION("""COMPUTED_VALUE"""),"")</f>
        <v/>
      </c>
      <c r="E1941" t="str">
        <f>IFERROR(__xludf.DUMMYFUNCTION("""COMPUTED_VALUE"""),"")</f>
        <v/>
      </c>
      <c r="F1941" t="str">
        <f>IFERROR(__xludf.DUMMYFUNCTION("""COMPUTED_VALUE"""),"")</f>
        <v/>
      </c>
      <c r="G1941" t="str">
        <f>IFERROR(__xludf.DUMMYFUNCTION("""COMPUTED_VALUE"""),"")</f>
        <v/>
      </c>
      <c r="H1941" t="str">
        <f>IFERROR(__xludf.DUMMYFUNCTION("""COMPUTED_VALUE"""),"")</f>
        <v/>
      </c>
      <c r="I1941" t="str">
        <f>IFERROR(__xludf.DUMMYFUNCTION("""COMPUTED_VALUE"""),"")</f>
        <v/>
      </c>
      <c r="J1941">
        <f>IFERROR(__xludf.DUMMYFUNCTION("""COMPUTED_VALUE"""),0.0)</f>
        <v>0</v>
      </c>
      <c r="L1941" s="250" t="str">
        <f>IFERROR(__xludf.DUMMYFUNCTION("""COMPUTED_VALUE"""),"")</f>
        <v/>
      </c>
      <c r="M1941" s="250" t="str">
        <f>IFERROR(__xludf.DUMMYFUNCTION("""COMPUTED_VALUE"""),"")</f>
        <v/>
      </c>
      <c r="N1941" s="250" t="str">
        <f>IFERROR(__xludf.DUMMYFUNCTION("""COMPUTED_VALUE"""),"")</f>
        <v/>
      </c>
      <c r="O1941" s="250" t="str">
        <f>IFERROR(__xludf.DUMMYFUNCTION("""COMPUTED_VALUE"""),"")</f>
        <v/>
      </c>
      <c r="P1941" s="250" t="str">
        <f>IFERROR(__xludf.DUMMYFUNCTION("""COMPUTED_VALUE"""),"")</f>
        <v/>
      </c>
      <c r="Q1941" s="250" t="str">
        <f>IFERROR(__xludf.DUMMYFUNCTION("""COMPUTED_VALUE"""),"")</f>
        <v/>
      </c>
      <c r="R1941" s="250" t="str">
        <f>IFERROR(__xludf.DUMMYFUNCTION("""COMPUTED_VALUE"""),"")</f>
        <v/>
      </c>
      <c r="U1941" s="250" t="str">
        <f>IFERROR(__xludf.DUMMYFUNCTION("""COMPUTED_VALUE"""),"#N/A")</f>
        <v>#N/A</v>
      </c>
      <c r="V1941" s="250" t="str">
        <f>IFERROR(__xludf.DUMMYFUNCTION("""COMPUTED_VALUE"""),"#N/A")</f>
        <v>#N/A</v>
      </c>
      <c r="W1941" s="250" t="str">
        <f>IFERROR(__xludf.DUMMYFUNCTION("""COMPUTED_VALUE"""),"#N/A")</f>
        <v>#N/A</v>
      </c>
      <c r="X1941" t="b">
        <f t="shared" ref="X1941:Z1941" si="3858">ISBLANK(K1941)</f>
        <v>1</v>
      </c>
      <c r="Y1941" t="b">
        <f t="shared" si="3858"/>
        <v>0</v>
      </c>
      <c r="Z1941" t="b">
        <f t="shared" si="3858"/>
        <v>0</v>
      </c>
      <c r="AA1941">
        <f t="shared" ref="AA1941:AC1941" si="3859">IF(X1941=FALSE,1,0)</f>
        <v>0</v>
      </c>
      <c r="AB1941">
        <f t="shared" si="3859"/>
        <v>1</v>
      </c>
      <c r="AC1941">
        <f t="shared" si="3859"/>
        <v>1</v>
      </c>
      <c r="AD1941">
        <f t="shared" si="6"/>
        <v>2</v>
      </c>
      <c r="AE1941">
        <f t="shared" si="7"/>
        <v>1</v>
      </c>
    </row>
    <row r="1942">
      <c r="B1942" t="str">
        <f>IFERROR(__xludf.DUMMYFUNCTION("""COMPUTED_VALUE"""),"")</f>
        <v/>
      </c>
      <c r="C1942" t="str">
        <f>IFERROR(__xludf.DUMMYFUNCTION("""COMPUTED_VALUE"""),"")</f>
        <v/>
      </c>
      <c r="D1942" t="str">
        <f>IFERROR(__xludf.DUMMYFUNCTION("""COMPUTED_VALUE"""),"")</f>
        <v/>
      </c>
      <c r="E1942" t="str">
        <f>IFERROR(__xludf.DUMMYFUNCTION("""COMPUTED_VALUE"""),"")</f>
        <v/>
      </c>
      <c r="F1942" t="str">
        <f>IFERROR(__xludf.DUMMYFUNCTION("""COMPUTED_VALUE"""),"")</f>
        <v/>
      </c>
      <c r="G1942" t="str">
        <f>IFERROR(__xludf.DUMMYFUNCTION("""COMPUTED_VALUE"""),"")</f>
        <v/>
      </c>
      <c r="H1942" t="str">
        <f>IFERROR(__xludf.DUMMYFUNCTION("""COMPUTED_VALUE"""),"")</f>
        <v/>
      </c>
      <c r="I1942" t="str">
        <f>IFERROR(__xludf.DUMMYFUNCTION("""COMPUTED_VALUE"""),"")</f>
        <v/>
      </c>
      <c r="J1942">
        <f>IFERROR(__xludf.DUMMYFUNCTION("""COMPUTED_VALUE"""),0.0)</f>
        <v>0</v>
      </c>
      <c r="L1942" s="250" t="str">
        <f>IFERROR(__xludf.DUMMYFUNCTION("""COMPUTED_VALUE"""),"")</f>
        <v/>
      </c>
      <c r="M1942" s="250" t="str">
        <f>IFERROR(__xludf.DUMMYFUNCTION("""COMPUTED_VALUE"""),"")</f>
        <v/>
      </c>
      <c r="N1942" s="250" t="str">
        <f>IFERROR(__xludf.DUMMYFUNCTION("""COMPUTED_VALUE"""),"")</f>
        <v/>
      </c>
      <c r="O1942" s="250" t="str">
        <f>IFERROR(__xludf.DUMMYFUNCTION("""COMPUTED_VALUE"""),"")</f>
        <v/>
      </c>
      <c r="P1942" s="250" t="str">
        <f>IFERROR(__xludf.DUMMYFUNCTION("""COMPUTED_VALUE"""),"")</f>
        <v/>
      </c>
      <c r="Q1942" s="250" t="str">
        <f>IFERROR(__xludf.DUMMYFUNCTION("""COMPUTED_VALUE"""),"")</f>
        <v/>
      </c>
      <c r="R1942" s="250" t="str">
        <f>IFERROR(__xludf.DUMMYFUNCTION("""COMPUTED_VALUE"""),"")</f>
        <v/>
      </c>
      <c r="U1942" s="250" t="str">
        <f>IFERROR(__xludf.DUMMYFUNCTION("""COMPUTED_VALUE"""),"#N/A")</f>
        <v>#N/A</v>
      </c>
      <c r="V1942" s="250" t="str">
        <f>IFERROR(__xludf.DUMMYFUNCTION("""COMPUTED_VALUE"""),"#N/A")</f>
        <v>#N/A</v>
      </c>
      <c r="W1942" s="250" t="str">
        <f>IFERROR(__xludf.DUMMYFUNCTION("""COMPUTED_VALUE"""),"#N/A")</f>
        <v>#N/A</v>
      </c>
      <c r="X1942" t="b">
        <f t="shared" ref="X1942:Z1942" si="3860">ISBLANK(K1942)</f>
        <v>1</v>
      </c>
      <c r="Y1942" t="b">
        <f t="shared" si="3860"/>
        <v>0</v>
      </c>
      <c r="Z1942" t="b">
        <f t="shared" si="3860"/>
        <v>0</v>
      </c>
      <c r="AA1942">
        <f t="shared" ref="AA1942:AC1942" si="3861">IF(X1942=FALSE,1,0)</f>
        <v>0</v>
      </c>
      <c r="AB1942">
        <f t="shared" si="3861"/>
        <v>1</v>
      </c>
      <c r="AC1942">
        <f t="shared" si="3861"/>
        <v>1</v>
      </c>
      <c r="AD1942">
        <f t="shared" si="6"/>
        <v>2</v>
      </c>
      <c r="AE1942">
        <f t="shared" si="7"/>
        <v>1</v>
      </c>
    </row>
    <row r="1943">
      <c r="B1943" t="str">
        <f>IFERROR(__xludf.DUMMYFUNCTION("""COMPUTED_VALUE"""),"")</f>
        <v/>
      </c>
      <c r="C1943" t="str">
        <f>IFERROR(__xludf.DUMMYFUNCTION("""COMPUTED_VALUE"""),"")</f>
        <v/>
      </c>
      <c r="D1943" t="str">
        <f>IFERROR(__xludf.DUMMYFUNCTION("""COMPUTED_VALUE"""),"")</f>
        <v/>
      </c>
      <c r="E1943" t="str">
        <f>IFERROR(__xludf.DUMMYFUNCTION("""COMPUTED_VALUE"""),"")</f>
        <v/>
      </c>
      <c r="F1943" t="str">
        <f>IFERROR(__xludf.DUMMYFUNCTION("""COMPUTED_VALUE"""),"")</f>
        <v/>
      </c>
      <c r="G1943" t="str">
        <f>IFERROR(__xludf.DUMMYFUNCTION("""COMPUTED_VALUE"""),"")</f>
        <v/>
      </c>
      <c r="H1943" t="str">
        <f>IFERROR(__xludf.DUMMYFUNCTION("""COMPUTED_VALUE"""),"")</f>
        <v/>
      </c>
      <c r="I1943" t="str">
        <f>IFERROR(__xludf.DUMMYFUNCTION("""COMPUTED_VALUE"""),"")</f>
        <v/>
      </c>
      <c r="J1943">
        <f>IFERROR(__xludf.DUMMYFUNCTION("""COMPUTED_VALUE"""),0.0)</f>
        <v>0</v>
      </c>
      <c r="L1943" s="250" t="str">
        <f>IFERROR(__xludf.DUMMYFUNCTION("""COMPUTED_VALUE"""),"")</f>
        <v/>
      </c>
      <c r="M1943" s="250" t="str">
        <f>IFERROR(__xludf.DUMMYFUNCTION("""COMPUTED_VALUE"""),"")</f>
        <v/>
      </c>
      <c r="N1943" s="250" t="str">
        <f>IFERROR(__xludf.DUMMYFUNCTION("""COMPUTED_VALUE"""),"")</f>
        <v/>
      </c>
      <c r="O1943" s="250" t="str">
        <f>IFERROR(__xludf.DUMMYFUNCTION("""COMPUTED_VALUE"""),"")</f>
        <v/>
      </c>
      <c r="P1943" s="250" t="str">
        <f>IFERROR(__xludf.DUMMYFUNCTION("""COMPUTED_VALUE"""),"")</f>
        <v/>
      </c>
      <c r="Q1943" s="250" t="str">
        <f>IFERROR(__xludf.DUMMYFUNCTION("""COMPUTED_VALUE"""),"")</f>
        <v/>
      </c>
      <c r="R1943" s="250" t="str">
        <f>IFERROR(__xludf.DUMMYFUNCTION("""COMPUTED_VALUE"""),"")</f>
        <v/>
      </c>
      <c r="U1943" s="250" t="str">
        <f>IFERROR(__xludf.DUMMYFUNCTION("""COMPUTED_VALUE"""),"#N/A")</f>
        <v>#N/A</v>
      </c>
      <c r="V1943" s="250" t="str">
        <f>IFERROR(__xludf.DUMMYFUNCTION("""COMPUTED_VALUE"""),"#N/A")</f>
        <v>#N/A</v>
      </c>
      <c r="W1943" s="250" t="str">
        <f>IFERROR(__xludf.DUMMYFUNCTION("""COMPUTED_VALUE"""),"#N/A")</f>
        <v>#N/A</v>
      </c>
      <c r="X1943" t="b">
        <f t="shared" ref="X1943:Z1943" si="3862">ISBLANK(K1943)</f>
        <v>1</v>
      </c>
      <c r="Y1943" t="b">
        <f t="shared" si="3862"/>
        <v>0</v>
      </c>
      <c r="Z1943" t="b">
        <f t="shared" si="3862"/>
        <v>0</v>
      </c>
      <c r="AA1943">
        <f t="shared" ref="AA1943:AC1943" si="3863">IF(X1943=FALSE,1,0)</f>
        <v>0</v>
      </c>
      <c r="AB1943">
        <f t="shared" si="3863"/>
        <v>1</v>
      </c>
      <c r="AC1943">
        <f t="shared" si="3863"/>
        <v>1</v>
      </c>
      <c r="AD1943">
        <f t="shared" si="6"/>
        <v>2</v>
      </c>
      <c r="AE1943">
        <f t="shared" si="7"/>
        <v>1</v>
      </c>
    </row>
    <row r="1944">
      <c r="B1944" t="str">
        <f>IFERROR(__xludf.DUMMYFUNCTION("""COMPUTED_VALUE"""),"")</f>
        <v/>
      </c>
      <c r="C1944" t="str">
        <f>IFERROR(__xludf.DUMMYFUNCTION("""COMPUTED_VALUE"""),"")</f>
        <v/>
      </c>
      <c r="D1944" t="str">
        <f>IFERROR(__xludf.DUMMYFUNCTION("""COMPUTED_VALUE"""),"")</f>
        <v/>
      </c>
      <c r="E1944" t="str">
        <f>IFERROR(__xludf.DUMMYFUNCTION("""COMPUTED_VALUE"""),"")</f>
        <v/>
      </c>
      <c r="F1944" t="str">
        <f>IFERROR(__xludf.DUMMYFUNCTION("""COMPUTED_VALUE"""),"")</f>
        <v/>
      </c>
      <c r="G1944" t="str">
        <f>IFERROR(__xludf.DUMMYFUNCTION("""COMPUTED_VALUE"""),"")</f>
        <v/>
      </c>
      <c r="H1944" t="str">
        <f>IFERROR(__xludf.DUMMYFUNCTION("""COMPUTED_VALUE"""),"")</f>
        <v/>
      </c>
      <c r="I1944" t="str">
        <f>IFERROR(__xludf.DUMMYFUNCTION("""COMPUTED_VALUE"""),"")</f>
        <v/>
      </c>
      <c r="J1944">
        <f>IFERROR(__xludf.DUMMYFUNCTION("""COMPUTED_VALUE"""),0.0)</f>
        <v>0</v>
      </c>
      <c r="L1944" s="250" t="str">
        <f>IFERROR(__xludf.DUMMYFUNCTION("""COMPUTED_VALUE"""),"")</f>
        <v/>
      </c>
      <c r="M1944" s="250" t="str">
        <f>IFERROR(__xludf.DUMMYFUNCTION("""COMPUTED_VALUE"""),"")</f>
        <v/>
      </c>
      <c r="N1944" s="250" t="str">
        <f>IFERROR(__xludf.DUMMYFUNCTION("""COMPUTED_VALUE"""),"")</f>
        <v/>
      </c>
      <c r="O1944" s="250" t="str">
        <f>IFERROR(__xludf.DUMMYFUNCTION("""COMPUTED_VALUE"""),"")</f>
        <v/>
      </c>
      <c r="P1944" s="250" t="str">
        <f>IFERROR(__xludf.DUMMYFUNCTION("""COMPUTED_VALUE"""),"")</f>
        <v/>
      </c>
      <c r="Q1944" s="250" t="str">
        <f>IFERROR(__xludf.DUMMYFUNCTION("""COMPUTED_VALUE"""),"")</f>
        <v/>
      </c>
      <c r="R1944" s="250" t="str">
        <f>IFERROR(__xludf.DUMMYFUNCTION("""COMPUTED_VALUE"""),"")</f>
        <v/>
      </c>
      <c r="U1944" s="250" t="str">
        <f>IFERROR(__xludf.DUMMYFUNCTION("""COMPUTED_VALUE"""),"#N/A")</f>
        <v>#N/A</v>
      </c>
      <c r="V1944" s="250" t="str">
        <f>IFERROR(__xludf.DUMMYFUNCTION("""COMPUTED_VALUE"""),"#N/A")</f>
        <v>#N/A</v>
      </c>
      <c r="W1944" s="250" t="str">
        <f>IFERROR(__xludf.DUMMYFUNCTION("""COMPUTED_VALUE"""),"#N/A")</f>
        <v>#N/A</v>
      </c>
      <c r="X1944" t="b">
        <f t="shared" ref="X1944:Z1944" si="3864">ISBLANK(K1944)</f>
        <v>1</v>
      </c>
      <c r="Y1944" t="b">
        <f t="shared" si="3864"/>
        <v>0</v>
      </c>
      <c r="Z1944" t="b">
        <f t="shared" si="3864"/>
        <v>0</v>
      </c>
      <c r="AA1944">
        <f t="shared" ref="AA1944:AC1944" si="3865">IF(X1944=FALSE,1,0)</f>
        <v>0</v>
      </c>
      <c r="AB1944">
        <f t="shared" si="3865"/>
        <v>1</v>
      </c>
      <c r="AC1944">
        <f t="shared" si="3865"/>
        <v>1</v>
      </c>
      <c r="AD1944">
        <f t="shared" si="6"/>
        <v>2</v>
      </c>
      <c r="AE1944">
        <f t="shared" si="7"/>
        <v>1</v>
      </c>
    </row>
    <row r="1945">
      <c r="B1945" t="str">
        <f>IFERROR(__xludf.DUMMYFUNCTION("""COMPUTED_VALUE"""),"")</f>
        <v/>
      </c>
      <c r="C1945" t="str">
        <f>IFERROR(__xludf.DUMMYFUNCTION("""COMPUTED_VALUE"""),"")</f>
        <v/>
      </c>
      <c r="D1945" t="str">
        <f>IFERROR(__xludf.DUMMYFUNCTION("""COMPUTED_VALUE"""),"")</f>
        <v/>
      </c>
      <c r="E1945" t="str">
        <f>IFERROR(__xludf.DUMMYFUNCTION("""COMPUTED_VALUE"""),"")</f>
        <v/>
      </c>
      <c r="F1945" t="str">
        <f>IFERROR(__xludf.DUMMYFUNCTION("""COMPUTED_VALUE"""),"")</f>
        <v/>
      </c>
      <c r="G1945" t="str">
        <f>IFERROR(__xludf.DUMMYFUNCTION("""COMPUTED_VALUE"""),"")</f>
        <v/>
      </c>
      <c r="H1945" t="str">
        <f>IFERROR(__xludf.DUMMYFUNCTION("""COMPUTED_VALUE"""),"")</f>
        <v/>
      </c>
      <c r="I1945" t="str">
        <f>IFERROR(__xludf.DUMMYFUNCTION("""COMPUTED_VALUE"""),"")</f>
        <v/>
      </c>
      <c r="J1945">
        <f>IFERROR(__xludf.DUMMYFUNCTION("""COMPUTED_VALUE"""),0.0)</f>
        <v>0</v>
      </c>
      <c r="L1945" s="250" t="str">
        <f>IFERROR(__xludf.DUMMYFUNCTION("""COMPUTED_VALUE"""),"")</f>
        <v/>
      </c>
      <c r="M1945" s="250" t="str">
        <f>IFERROR(__xludf.DUMMYFUNCTION("""COMPUTED_VALUE"""),"")</f>
        <v/>
      </c>
      <c r="N1945" s="250" t="str">
        <f>IFERROR(__xludf.DUMMYFUNCTION("""COMPUTED_VALUE"""),"")</f>
        <v/>
      </c>
      <c r="O1945" s="250" t="str">
        <f>IFERROR(__xludf.DUMMYFUNCTION("""COMPUTED_VALUE"""),"")</f>
        <v/>
      </c>
      <c r="P1945" s="250" t="str">
        <f>IFERROR(__xludf.DUMMYFUNCTION("""COMPUTED_VALUE"""),"")</f>
        <v/>
      </c>
      <c r="Q1945" s="250" t="str">
        <f>IFERROR(__xludf.DUMMYFUNCTION("""COMPUTED_VALUE"""),"")</f>
        <v/>
      </c>
      <c r="R1945" s="250" t="str">
        <f>IFERROR(__xludf.DUMMYFUNCTION("""COMPUTED_VALUE"""),"")</f>
        <v/>
      </c>
      <c r="U1945" s="250" t="str">
        <f>IFERROR(__xludf.DUMMYFUNCTION("""COMPUTED_VALUE"""),"#N/A")</f>
        <v>#N/A</v>
      </c>
      <c r="V1945" s="250" t="str">
        <f>IFERROR(__xludf.DUMMYFUNCTION("""COMPUTED_VALUE"""),"#N/A")</f>
        <v>#N/A</v>
      </c>
      <c r="W1945" s="250" t="str">
        <f>IFERROR(__xludf.DUMMYFUNCTION("""COMPUTED_VALUE"""),"#N/A")</f>
        <v>#N/A</v>
      </c>
      <c r="X1945" t="b">
        <f t="shared" ref="X1945:Z1945" si="3866">ISBLANK(K1945)</f>
        <v>1</v>
      </c>
      <c r="Y1945" t="b">
        <f t="shared" si="3866"/>
        <v>0</v>
      </c>
      <c r="Z1945" t="b">
        <f t="shared" si="3866"/>
        <v>0</v>
      </c>
      <c r="AA1945">
        <f t="shared" ref="AA1945:AC1945" si="3867">IF(X1945=FALSE,1,0)</f>
        <v>0</v>
      </c>
      <c r="AB1945">
        <f t="shared" si="3867"/>
        <v>1</v>
      </c>
      <c r="AC1945">
        <f t="shared" si="3867"/>
        <v>1</v>
      </c>
      <c r="AD1945">
        <f t="shared" si="6"/>
        <v>2</v>
      </c>
      <c r="AE1945">
        <f t="shared" si="7"/>
        <v>1</v>
      </c>
    </row>
    <row r="1946">
      <c r="B1946" t="str">
        <f>IFERROR(__xludf.DUMMYFUNCTION("""COMPUTED_VALUE"""),"")</f>
        <v/>
      </c>
      <c r="C1946" t="str">
        <f>IFERROR(__xludf.DUMMYFUNCTION("""COMPUTED_VALUE"""),"")</f>
        <v/>
      </c>
      <c r="D1946" t="str">
        <f>IFERROR(__xludf.DUMMYFUNCTION("""COMPUTED_VALUE"""),"")</f>
        <v/>
      </c>
      <c r="E1946" t="str">
        <f>IFERROR(__xludf.DUMMYFUNCTION("""COMPUTED_VALUE"""),"")</f>
        <v/>
      </c>
      <c r="F1946" t="str">
        <f>IFERROR(__xludf.DUMMYFUNCTION("""COMPUTED_VALUE"""),"")</f>
        <v/>
      </c>
      <c r="G1946" t="str">
        <f>IFERROR(__xludf.DUMMYFUNCTION("""COMPUTED_VALUE"""),"")</f>
        <v/>
      </c>
      <c r="H1946" t="str">
        <f>IFERROR(__xludf.DUMMYFUNCTION("""COMPUTED_VALUE"""),"")</f>
        <v/>
      </c>
      <c r="I1946" t="str">
        <f>IFERROR(__xludf.DUMMYFUNCTION("""COMPUTED_VALUE"""),"")</f>
        <v/>
      </c>
      <c r="J1946">
        <f>IFERROR(__xludf.DUMMYFUNCTION("""COMPUTED_VALUE"""),0.0)</f>
        <v>0</v>
      </c>
      <c r="L1946" s="250" t="str">
        <f>IFERROR(__xludf.DUMMYFUNCTION("""COMPUTED_VALUE"""),"")</f>
        <v/>
      </c>
      <c r="M1946" s="250" t="str">
        <f>IFERROR(__xludf.DUMMYFUNCTION("""COMPUTED_VALUE"""),"")</f>
        <v/>
      </c>
      <c r="N1946" s="250" t="str">
        <f>IFERROR(__xludf.DUMMYFUNCTION("""COMPUTED_VALUE"""),"")</f>
        <v/>
      </c>
      <c r="O1946" s="250" t="str">
        <f>IFERROR(__xludf.DUMMYFUNCTION("""COMPUTED_VALUE"""),"")</f>
        <v/>
      </c>
      <c r="P1946" s="250" t="str">
        <f>IFERROR(__xludf.DUMMYFUNCTION("""COMPUTED_VALUE"""),"")</f>
        <v/>
      </c>
      <c r="Q1946" s="250" t="str">
        <f>IFERROR(__xludf.DUMMYFUNCTION("""COMPUTED_VALUE"""),"")</f>
        <v/>
      </c>
      <c r="R1946" s="250" t="str">
        <f>IFERROR(__xludf.DUMMYFUNCTION("""COMPUTED_VALUE"""),"")</f>
        <v/>
      </c>
      <c r="U1946" s="250" t="str">
        <f>IFERROR(__xludf.DUMMYFUNCTION("""COMPUTED_VALUE"""),"#N/A")</f>
        <v>#N/A</v>
      </c>
      <c r="V1946" s="250" t="str">
        <f>IFERROR(__xludf.DUMMYFUNCTION("""COMPUTED_VALUE"""),"#N/A")</f>
        <v>#N/A</v>
      </c>
      <c r="W1946" s="250" t="str">
        <f>IFERROR(__xludf.DUMMYFUNCTION("""COMPUTED_VALUE"""),"#N/A")</f>
        <v>#N/A</v>
      </c>
      <c r="X1946" t="b">
        <f t="shared" ref="X1946:Z1946" si="3868">ISBLANK(K1946)</f>
        <v>1</v>
      </c>
      <c r="Y1946" t="b">
        <f t="shared" si="3868"/>
        <v>0</v>
      </c>
      <c r="Z1946" t="b">
        <f t="shared" si="3868"/>
        <v>0</v>
      </c>
      <c r="AA1946">
        <f t="shared" ref="AA1946:AC1946" si="3869">IF(X1946=FALSE,1,0)</f>
        <v>0</v>
      </c>
      <c r="AB1946">
        <f t="shared" si="3869"/>
        <v>1</v>
      </c>
      <c r="AC1946">
        <f t="shared" si="3869"/>
        <v>1</v>
      </c>
      <c r="AD1946">
        <f t="shared" si="6"/>
        <v>2</v>
      </c>
      <c r="AE1946">
        <f t="shared" si="7"/>
        <v>1</v>
      </c>
    </row>
    <row r="1947">
      <c r="B1947" t="str">
        <f>IFERROR(__xludf.DUMMYFUNCTION("""COMPUTED_VALUE"""),"")</f>
        <v/>
      </c>
      <c r="C1947" t="str">
        <f>IFERROR(__xludf.DUMMYFUNCTION("""COMPUTED_VALUE"""),"")</f>
        <v/>
      </c>
      <c r="D1947" t="str">
        <f>IFERROR(__xludf.DUMMYFUNCTION("""COMPUTED_VALUE"""),"")</f>
        <v/>
      </c>
      <c r="E1947" t="str">
        <f>IFERROR(__xludf.DUMMYFUNCTION("""COMPUTED_VALUE"""),"")</f>
        <v/>
      </c>
      <c r="F1947" t="str">
        <f>IFERROR(__xludf.DUMMYFUNCTION("""COMPUTED_VALUE"""),"")</f>
        <v/>
      </c>
      <c r="G1947" t="str">
        <f>IFERROR(__xludf.DUMMYFUNCTION("""COMPUTED_VALUE"""),"")</f>
        <v/>
      </c>
      <c r="H1947" t="str">
        <f>IFERROR(__xludf.DUMMYFUNCTION("""COMPUTED_VALUE"""),"")</f>
        <v/>
      </c>
      <c r="I1947" t="str">
        <f>IFERROR(__xludf.DUMMYFUNCTION("""COMPUTED_VALUE"""),"")</f>
        <v/>
      </c>
      <c r="J1947">
        <f>IFERROR(__xludf.DUMMYFUNCTION("""COMPUTED_VALUE"""),0.0)</f>
        <v>0</v>
      </c>
      <c r="L1947" s="250" t="str">
        <f>IFERROR(__xludf.DUMMYFUNCTION("""COMPUTED_VALUE"""),"")</f>
        <v/>
      </c>
      <c r="M1947" s="250" t="str">
        <f>IFERROR(__xludf.DUMMYFUNCTION("""COMPUTED_VALUE"""),"")</f>
        <v/>
      </c>
      <c r="N1947" s="250" t="str">
        <f>IFERROR(__xludf.DUMMYFUNCTION("""COMPUTED_VALUE"""),"")</f>
        <v/>
      </c>
      <c r="O1947" s="250" t="str">
        <f>IFERROR(__xludf.DUMMYFUNCTION("""COMPUTED_VALUE"""),"")</f>
        <v/>
      </c>
      <c r="P1947" s="250" t="str">
        <f>IFERROR(__xludf.DUMMYFUNCTION("""COMPUTED_VALUE"""),"")</f>
        <v/>
      </c>
      <c r="Q1947" s="250" t="str">
        <f>IFERROR(__xludf.DUMMYFUNCTION("""COMPUTED_VALUE"""),"")</f>
        <v/>
      </c>
      <c r="R1947" s="250" t="str">
        <f>IFERROR(__xludf.DUMMYFUNCTION("""COMPUTED_VALUE"""),"")</f>
        <v/>
      </c>
      <c r="U1947" s="250" t="str">
        <f>IFERROR(__xludf.DUMMYFUNCTION("""COMPUTED_VALUE"""),"#N/A")</f>
        <v>#N/A</v>
      </c>
      <c r="V1947" s="250" t="str">
        <f>IFERROR(__xludf.DUMMYFUNCTION("""COMPUTED_VALUE"""),"#N/A")</f>
        <v>#N/A</v>
      </c>
      <c r="W1947" s="250" t="str">
        <f>IFERROR(__xludf.DUMMYFUNCTION("""COMPUTED_VALUE"""),"#N/A")</f>
        <v>#N/A</v>
      </c>
      <c r="X1947" t="b">
        <f t="shared" ref="X1947:Z1947" si="3870">ISBLANK(K1947)</f>
        <v>1</v>
      </c>
      <c r="Y1947" t="b">
        <f t="shared" si="3870"/>
        <v>0</v>
      </c>
      <c r="Z1947" t="b">
        <f t="shared" si="3870"/>
        <v>0</v>
      </c>
      <c r="AA1947">
        <f t="shared" ref="AA1947:AC1947" si="3871">IF(X1947=FALSE,1,0)</f>
        <v>0</v>
      </c>
      <c r="AB1947">
        <f t="shared" si="3871"/>
        <v>1</v>
      </c>
      <c r="AC1947">
        <f t="shared" si="3871"/>
        <v>1</v>
      </c>
      <c r="AD1947">
        <f t="shared" si="6"/>
        <v>2</v>
      </c>
      <c r="AE1947">
        <f t="shared" si="7"/>
        <v>1</v>
      </c>
    </row>
    <row r="1948">
      <c r="B1948" t="str">
        <f>IFERROR(__xludf.DUMMYFUNCTION("""COMPUTED_VALUE"""),"")</f>
        <v/>
      </c>
      <c r="C1948" t="str">
        <f>IFERROR(__xludf.DUMMYFUNCTION("""COMPUTED_VALUE"""),"")</f>
        <v/>
      </c>
      <c r="D1948" t="str">
        <f>IFERROR(__xludf.DUMMYFUNCTION("""COMPUTED_VALUE"""),"")</f>
        <v/>
      </c>
      <c r="E1948" t="str">
        <f>IFERROR(__xludf.DUMMYFUNCTION("""COMPUTED_VALUE"""),"")</f>
        <v/>
      </c>
      <c r="F1948" t="str">
        <f>IFERROR(__xludf.DUMMYFUNCTION("""COMPUTED_VALUE"""),"")</f>
        <v/>
      </c>
      <c r="G1948" t="str">
        <f>IFERROR(__xludf.DUMMYFUNCTION("""COMPUTED_VALUE"""),"")</f>
        <v/>
      </c>
      <c r="H1948" t="str">
        <f>IFERROR(__xludf.DUMMYFUNCTION("""COMPUTED_VALUE"""),"")</f>
        <v/>
      </c>
      <c r="I1948" t="str">
        <f>IFERROR(__xludf.DUMMYFUNCTION("""COMPUTED_VALUE"""),"")</f>
        <v/>
      </c>
      <c r="J1948">
        <f>IFERROR(__xludf.DUMMYFUNCTION("""COMPUTED_VALUE"""),0.0)</f>
        <v>0</v>
      </c>
      <c r="L1948" s="250" t="str">
        <f>IFERROR(__xludf.DUMMYFUNCTION("""COMPUTED_VALUE"""),"")</f>
        <v/>
      </c>
      <c r="M1948" s="250" t="str">
        <f>IFERROR(__xludf.DUMMYFUNCTION("""COMPUTED_VALUE"""),"")</f>
        <v/>
      </c>
      <c r="N1948" s="250" t="str">
        <f>IFERROR(__xludf.DUMMYFUNCTION("""COMPUTED_VALUE"""),"")</f>
        <v/>
      </c>
      <c r="O1948" s="250" t="str">
        <f>IFERROR(__xludf.DUMMYFUNCTION("""COMPUTED_VALUE"""),"")</f>
        <v/>
      </c>
      <c r="P1948" s="250" t="str">
        <f>IFERROR(__xludf.DUMMYFUNCTION("""COMPUTED_VALUE"""),"")</f>
        <v/>
      </c>
      <c r="Q1948" s="250" t="str">
        <f>IFERROR(__xludf.DUMMYFUNCTION("""COMPUTED_VALUE"""),"")</f>
        <v/>
      </c>
      <c r="R1948" s="250" t="str">
        <f>IFERROR(__xludf.DUMMYFUNCTION("""COMPUTED_VALUE"""),"")</f>
        <v/>
      </c>
      <c r="U1948" s="250" t="str">
        <f>IFERROR(__xludf.DUMMYFUNCTION("""COMPUTED_VALUE"""),"#N/A")</f>
        <v>#N/A</v>
      </c>
      <c r="V1948" s="250" t="str">
        <f>IFERROR(__xludf.DUMMYFUNCTION("""COMPUTED_VALUE"""),"#N/A")</f>
        <v>#N/A</v>
      </c>
      <c r="W1948" s="250" t="str">
        <f>IFERROR(__xludf.DUMMYFUNCTION("""COMPUTED_VALUE"""),"#N/A")</f>
        <v>#N/A</v>
      </c>
      <c r="X1948" t="b">
        <f t="shared" ref="X1948:Z1948" si="3872">ISBLANK(K1948)</f>
        <v>1</v>
      </c>
      <c r="Y1948" t="b">
        <f t="shared" si="3872"/>
        <v>0</v>
      </c>
      <c r="Z1948" t="b">
        <f t="shared" si="3872"/>
        <v>0</v>
      </c>
      <c r="AA1948">
        <f t="shared" ref="AA1948:AC1948" si="3873">IF(X1948=FALSE,1,0)</f>
        <v>0</v>
      </c>
      <c r="AB1948">
        <f t="shared" si="3873"/>
        <v>1</v>
      </c>
      <c r="AC1948">
        <f t="shared" si="3873"/>
        <v>1</v>
      </c>
      <c r="AD1948">
        <f t="shared" si="6"/>
        <v>2</v>
      </c>
      <c r="AE1948">
        <f t="shared" si="7"/>
        <v>1</v>
      </c>
    </row>
    <row r="1949">
      <c r="B1949" t="str">
        <f>IFERROR(__xludf.DUMMYFUNCTION("""COMPUTED_VALUE"""),"")</f>
        <v/>
      </c>
      <c r="C1949" t="str">
        <f>IFERROR(__xludf.DUMMYFUNCTION("""COMPUTED_VALUE"""),"")</f>
        <v/>
      </c>
      <c r="D1949" t="str">
        <f>IFERROR(__xludf.DUMMYFUNCTION("""COMPUTED_VALUE"""),"")</f>
        <v/>
      </c>
      <c r="E1949" t="str">
        <f>IFERROR(__xludf.DUMMYFUNCTION("""COMPUTED_VALUE"""),"")</f>
        <v/>
      </c>
      <c r="F1949" t="str">
        <f>IFERROR(__xludf.DUMMYFUNCTION("""COMPUTED_VALUE"""),"")</f>
        <v/>
      </c>
      <c r="G1949" t="str">
        <f>IFERROR(__xludf.DUMMYFUNCTION("""COMPUTED_VALUE"""),"")</f>
        <v/>
      </c>
      <c r="H1949" t="str">
        <f>IFERROR(__xludf.DUMMYFUNCTION("""COMPUTED_VALUE"""),"")</f>
        <v/>
      </c>
      <c r="I1949" t="str">
        <f>IFERROR(__xludf.DUMMYFUNCTION("""COMPUTED_VALUE"""),"")</f>
        <v/>
      </c>
      <c r="J1949">
        <f>IFERROR(__xludf.DUMMYFUNCTION("""COMPUTED_VALUE"""),0.0)</f>
        <v>0</v>
      </c>
      <c r="L1949" s="250" t="str">
        <f>IFERROR(__xludf.DUMMYFUNCTION("""COMPUTED_VALUE"""),"")</f>
        <v/>
      </c>
      <c r="M1949" s="250" t="str">
        <f>IFERROR(__xludf.DUMMYFUNCTION("""COMPUTED_VALUE"""),"")</f>
        <v/>
      </c>
      <c r="N1949" s="250" t="str">
        <f>IFERROR(__xludf.DUMMYFUNCTION("""COMPUTED_VALUE"""),"")</f>
        <v/>
      </c>
      <c r="O1949" s="250" t="str">
        <f>IFERROR(__xludf.DUMMYFUNCTION("""COMPUTED_VALUE"""),"")</f>
        <v/>
      </c>
      <c r="P1949" s="250" t="str">
        <f>IFERROR(__xludf.DUMMYFUNCTION("""COMPUTED_VALUE"""),"")</f>
        <v/>
      </c>
      <c r="Q1949" s="250" t="str">
        <f>IFERROR(__xludf.DUMMYFUNCTION("""COMPUTED_VALUE"""),"")</f>
        <v/>
      </c>
      <c r="R1949" s="250" t="str">
        <f>IFERROR(__xludf.DUMMYFUNCTION("""COMPUTED_VALUE"""),"")</f>
        <v/>
      </c>
      <c r="U1949" s="250" t="str">
        <f>IFERROR(__xludf.DUMMYFUNCTION("""COMPUTED_VALUE"""),"#N/A")</f>
        <v>#N/A</v>
      </c>
      <c r="V1949" s="250" t="str">
        <f>IFERROR(__xludf.DUMMYFUNCTION("""COMPUTED_VALUE"""),"#N/A")</f>
        <v>#N/A</v>
      </c>
      <c r="W1949" s="250" t="str">
        <f>IFERROR(__xludf.DUMMYFUNCTION("""COMPUTED_VALUE"""),"#N/A")</f>
        <v>#N/A</v>
      </c>
      <c r="X1949" t="b">
        <f t="shared" ref="X1949:Z1949" si="3874">ISBLANK(K1949)</f>
        <v>1</v>
      </c>
      <c r="Y1949" t="b">
        <f t="shared" si="3874"/>
        <v>0</v>
      </c>
      <c r="Z1949" t="b">
        <f t="shared" si="3874"/>
        <v>0</v>
      </c>
      <c r="AA1949">
        <f t="shared" ref="AA1949:AC1949" si="3875">IF(X1949=FALSE,1,0)</f>
        <v>0</v>
      </c>
      <c r="AB1949">
        <f t="shared" si="3875"/>
        <v>1</v>
      </c>
      <c r="AC1949">
        <f t="shared" si="3875"/>
        <v>1</v>
      </c>
      <c r="AD1949">
        <f t="shared" si="6"/>
        <v>2</v>
      </c>
      <c r="AE1949">
        <f t="shared" si="7"/>
        <v>1</v>
      </c>
    </row>
    <row r="1950">
      <c r="B1950" t="str">
        <f>IFERROR(__xludf.DUMMYFUNCTION("""COMPUTED_VALUE"""),"")</f>
        <v/>
      </c>
      <c r="C1950" t="str">
        <f>IFERROR(__xludf.DUMMYFUNCTION("""COMPUTED_VALUE"""),"")</f>
        <v/>
      </c>
      <c r="D1950" t="str">
        <f>IFERROR(__xludf.DUMMYFUNCTION("""COMPUTED_VALUE"""),"")</f>
        <v/>
      </c>
      <c r="E1950" t="str">
        <f>IFERROR(__xludf.DUMMYFUNCTION("""COMPUTED_VALUE"""),"")</f>
        <v/>
      </c>
      <c r="F1950" t="str">
        <f>IFERROR(__xludf.DUMMYFUNCTION("""COMPUTED_VALUE"""),"")</f>
        <v/>
      </c>
      <c r="G1950" t="str">
        <f>IFERROR(__xludf.DUMMYFUNCTION("""COMPUTED_VALUE"""),"")</f>
        <v/>
      </c>
      <c r="H1950" t="str">
        <f>IFERROR(__xludf.DUMMYFUNCTION("""COMPUTED_VALUE"""),"")</f>
        <v/>
      </c>
      <c r="I1950" t="str">
        <f>IFERROR(__xludf.DUMMYFUNCTION("""COMPUTED_VALUE"""),"")</f>
        <v/>
      </c>
      <c r="J1950">
        <f>IFERROR(__xludf.DUMMYFUNCTION("""COMPUTED_VALUE"""),0.0)</f>
        <v>0</v>
      </c>
      <c r="L1950" s="250" t="str">
        <f>IFERROR(__xludf.DUMMYFUNCTION("""COMPUTED_VALUE"""),"")</f>
        <v/>
      </c>
      <c r="M1950" s="250" t="str">
        <f>IFERROR(__xludf.DUMMYFUNCTION("""COMPUTED_VALUE"""),"")</f>
        <v/>
      </c>
      <c r="N1950" s="250" t="str">
        <f>IFERROR(__xludf.DUMMYFUNCTION("""COMPUTED_VALUE"""),"")</f>
        <v/>
      </c>
      <c r="O1950" s="250" t="str">
        <f>IFERROR(__xludf.DUMMYFUNCTION("""COMPUTED_VALUE"""),"")</f>
        <v/>
      </c>
      <c r="P1950" s="250" t="str">
        <f>IFERROR(__xludf.DUMMYFUNCTION("""COMPUTED_VALUE"""),"")</f>
        <v/>
      </c>
      <c r="Q1950" s="250" t="str">
        <f>IFERROR(__xludf.DUMMYFUNCTION("""COMPUTED_VALUE"""),"")</f>
        <v/>
      </c>
      <c r="R1950" s="250" t="str">
        <f>IFERROR(__xludf.DUMMYFUNCTION("""COMPUTED_VALUE"""),"")</f>
        <v/>
      </c>
      <c r="U1950" s="250" t="str">
        <f>IFERROR(__xludf.DUMMYFUNCTION("""COMPUTED_VALUE"""),"#N/A")</f>
        <v>#N/A</v>
      </c>
      <c r="V1950" s="250" t="str">
        <f>IFERROR(__xludf.DUMMYFUNCTION("""COMPUTED_VALUE"""),"#N/A")</f>
        <v>#N/A</v>
      </c>
      <c r="W1950" s="250" t="str">
        <f>IFERROR(__xludf.DUMMYFUNCTION("""COMPUTED_VALUE"""),"#N/A")</f>
        <v>#N/A</v>
      </c>
      <c r="X1950" t="b">
        <f t="shared" ref="X1950:Z1950" si="3876">ISBLANK(K1950)</f>
        <v>1</v>
      </c>
      <c r="Y1950" t="b">
        <f t="shared" si="3876"/>
        <v>0</v>
      </c>
      <c r="Z1950" t="b">
        <f t="shared" si="3876"/>
        <v>0</v>
      </c>
      <c r="AA1950">
        <f t="shared" ref="AA1950:AC1950" si="3877">IF(X1950=FALSE,1,0)</f>
        <v>0</v>
      </c>
      <c r="AB1950">
        <f t="shared" si="3877"/>
        <v>1</v>
      </c>
      <c r="AC1950">
        <f t="shared" si="3877"/>
        <v>1</v>
      </c>
      <c r="AD1950">
        <f t="shared" si="6"/>
        <v>2</v>
      </c>
      <c r="AE1950">
        <f t="shared" si="7"/>
        <v>1</v>
      </c>
    </row>
    <row r="1951">
      <c r="B1951" t="str">
        <f>IFERROR(__xludf.DUMMYFUNCTION("""COMPUTED_VALUE"""),"")</f>
        <v/>
      </c>
      <c r="C1951" t="str">
        <f>IFERROR(__xludf.DUMMYFUNCTION("""COMPUTED_VALUE"""),"")</f>
        <v/>
      </c>
      <c r="D1951" t="str">
        <f>IFERROR(__xludf.DUMMYFUNCTION("""COMPUTED_VALUE"""),"")</f>
        <v/>
      </c>
      <c r="E1951" t="str">
        <f>IFERROR(__xludf.DUMMYFUNCTION("""COMPUTED_VALUE"""),"")</f>
        <v/>
      </c>
      <c r="F1951" t="str">
        <f>IFERROR(__xludf.DUMMYFUNCTION("""COMPUTED_VALUE"""),"")</f>
        <v/>
      </c>
      <c r="G1951" t="str">
        <f>IFERROR(__xludf.DUMMYFUNCTION("""COMPUTED_VALUE"""),"")</f>
        <v/>
      </c>
      <c r="H1951" t="str">
        <f>IFERROR(__xludf.DUMMYFUNCTION("""COMPUTED_VALUE"""),"")</f>
        <v/>
      </c>
      <c r="I1951" t="str">
        <f>IFERROR(__xludf.DUMMYFUNCTION("""COMPUTED_VALUE"""),"")</f>
        <v/>
      </c>
      <c r="J1951">
        <f>IFERROR(__xludf.DUMMYFUNCTION("""COMPUTED_VALUE"""),0.0)</f>
        <v>0</v>
      </c>
      <c r="L1951" s="250" t="str">
        <f>IFERROR(__xludf.DUMMYFUNCTION("""COMPUTED_VALUE"""),"")</f>
        <v/>
      </c>
      <c r="M1951" s="250" t="str">
        <f>IFERROR(__xludf.DUMMYFUNCTION("""COMPUTED_VALUE"""),"")</f>
        <v/>
      </c>
      <c r="N1951" s="250" t="str">
        <f>IFERROR(__xludf.DUMMYFUNCTION("""COMPUTED_VALUE"""),"")</f>
        <v/>
      </c>
      <c r="O1951" s="250" t="str">
        <f>IFERROR(__xludf.DUMMYFUNCTION("""COMPUTED_VALUE"""),"")</f>
        <v/>
      </c>
      <c r="P1951" s="250" t="str">
        <f>IFERROR(__xludf.DUMMYFUNCTION("""COMPUTED_VALUE"""),"")</f>
        <v/>
      </c>
      <c r="Q1951" s="250" t="str">
        <f>IFERROR(__xludf.DUMMYFUNCTION("""COMPUTED_VALUE"""),"")</f>
        <v/>
      </c>
      <c r="R1951" s="250" t="str">
        <f>IFERROR(__xludf.DUMMYFUNCTION("""COMPUTED_VALUE"""),"")</f>
        <v/>
      </c>
      <c r="U1951" s="250" t="str">
        <f>IFERROR(__xludf.DUMMYFUNCTION("""COMPUTED_VALUE"""),"#N/A")</f>
        <v>#N/A</v>
      </c>
      <c r="V1951" s="250" t="str">
        <f>IFERROR(__xludf.DUMMYFUNCTION("""COMPUTED_VALUE"""),"#N/A")</f>
        <v>#N/A</v>
      </c>
      <c r="W1951" s="250" t="str">
        <f>IFERROR(__xludf.DUMMYFUNCTION("""COMPUTED_VALUE"""),"#N/A")</f>
        <v>#N/A</v>
      </c>
      <c r="X1951" t="b">
        <f t="shared" ref="X1951:Z1951" si="3878">ISBLANK(K1951)</f>
        <v>1</v>
      </c>
      <c r="Y1951" t="b">
        <f t="shared" si="3878"/>
        <v>0</v>
      </c>
      <c r="Z1951" t="b">
        <f t="shared" si="3878"/>
        <v>0</v>
      </c>
      <c r="AA1951">
        <f t="shared" ref="AA1951:AC1951" si="3879">IF(X1951=FALSE,1,0)</f>
        <v>0</v>
      </c>
      <c r="AB1951">
        <f t="shared" si="3879"/>
        <v>1</v>
      </c>
      <c r="AC1951">
        <f t="shared" si="3879"/>
        <v>1</v>
      </c>
      <c r="AD1951">
        <f t="shared" si="6"/>
        <v>2</v>
      </c>
      <c r="AE1951">
        <f t="shared" si="7"/>
        <v>1</v>
      </c>
    </row>
    <row r="1952">
      <c r="B1952" t="str">
        <f>IFERROR(__xludf.DUMMYFUNCTION("""COMPUTED_VALUE"""),"")</f>
        <v/>
      </c>
      <c r="C1952" t="str">
        <f>IFERROR(__xludf.DUMMYFUNCTION("""COMPUTED_VALUE"""),"")</f>
        <v/>
      </c>
      <c r="D1952" t="str">
        <f>IFERROR(__xludf.DUMMYFUNCTION("""COMPUTED_VALUE"""),"")</f>
        <v/>
      </c>
      <c r="E1952" t="str">
        <f>IFERROR(__xludf.DUMMYFUNCTION("""COMPUTED_VALUE"""),"")</f>
        <v/>
      </c>
      <c r="F1952" t="str">
        <f>IFERROR(__xludf.DUMMYFUNCTION("""COMPUTED_VALUE"""),"")</f>
        <v/>
      </c>
      <c r="G1952" t="str">
        <f>IFERROR(__xludf.DUMMYFUNCTION("""COMPUTED_VALUE"""),"")</f>
        <v/>
      </c>
      <c r="H1952" t="str">
        <f>IFERROR(__xludf.DUMMYFUNCTION("""COMPUTED_VALUE"""),"")</f>
        <v/>
      </c>
      <c r="I1952" t="str">
        <f>IFERROR(__xludf.DUMMYFUNCTION("""COMPUTED_VALUE"""),"")</f>
        <v/>
      </c>
      <c r="J1952">
        <f>IFERROR(__xludf.DUMMYFUNCTION("""COMPUTED_VALUE"""),0.0)</f>
        <v>0</v>
      </c>
      <c r="L1952" s="250" t="str">
        <f>IFERROR(__xludf.DUMMYFUNCTION("""COMPUTED_VALUE"""),"")</f>
        <v/>
      </c>
      <c r="M1952" s="250" t="str">
        <f>IFERROR(__xludf.DUMMYFUNCTION("""COMPUTED_VALUE"""),"")</f>
        <v/>
      </c>
      <c r="N1952" s="250" t="str">
        <f>IFERROR(__xludf.DUMMYFUNCTION("""COMPUTED_VALUE"""),"")</f>
        <v/>
      </c>
      <c r="O1952" s="250" t="str">
        <f>IFERROR(__xludf.DUMMYFUNCTION("""COMPUTED_VALUE"""),"")</f>
        <v/>
      </c>
      <c r="P1952" s="250" t="str">
        <f>IFERROR(__xludf.DUMMYFUNCTION("""COMPUTED_VALUE"""),"")</f>
        <v/>
      </c>
      <c r="Q1952" s="250" t="str">
        <f>IFERROR(__xludf.DUMMYFUNCTION("""COMPUTED_VALUE"""),"")</f>
        <v/>
      </c>
      <c r="R1952" s="250" t="str">
        <f>IFERROR(__xludf.DUMMYFUNCTION("""COMPUTED_VALUE"""),"")</f>
        <v/>
      </c>
      <c r="U1952" s="250" t="str">
        <f>IFERROR(__xludf.DUMMYFUNCTION("""COMPUTED_VALUE"""),"#N/A")</f>
        <v>#N/A</v>
      </c>
      <c r="V1952" s="250" t="str">
        <f>IFERROR(__xludf.DUMMYFUNCTION("""COMPUTED_VALUE"""),"#N/A")</f>
        <v>#N/A</v>
      </c>
      <c r="W1952" s="250" t="str">
        <f>IFERROR(__xludf.DUMMYFUNCTION("""COMPUTED_VALUE"""),"#N/A")</f>
        <v>#N/A</v>
      </c>
      <c r="X1952" t="b">
        <f t="shared" ref="X1952:Z1952" si="3880">ISBLANK(K1952)</f>
        <v>1</v>
      </c>
      <c r="Y1952" t="b">
        <f t="shared" si="3880"/>
        <v>0</v>
      </c>
      <c r="Z1952" t="b">
        <f t="shared" si="3880"/>
        <v>0</v>
      </c>
      <c r="AA1952">
        <f t="shared" ref="AA1952:AC1952" si="3881">IF(X1952=FALSE,1,0)</f>
        <v>0</v>
      </c>
      <c r="AB1952">
        <f t="shared" si="3881"/>
        <v>1</v>
      </c>
      <c r="AC1952">
        <f t="shared" si="3881"/>
        <v>1</v>
      </c>
      <c r="AD1952">
        <f t="shared" si="6"/>
        <v>2</v>
      </c>
      <c r="AE1952">
        <f t="shared" si="7"/>
        <v>1</v>
      </c>
    </row>
    <row r="1953">
      <c r="B1953" t="str">
        <f>IFERROR(__xludf.DUMMYFUNCTION("""COMPUTED_VALUE"""),"")</f>
        <v/>
      </c>
      <c r="C1953" t="str">
        <f>IFERROR(__xludf.DUMMYFUNCTION("""COMPUTED_VALUE"""),"")</f>
        <v/>
      </c>
      <c r="D1953" t="str">
        <f>IFERROR(__xludf.DUMMYFUNCTION("""COMPUTED_VALUE"""),"")</f>
        <v/>
      </c>
      <c r="E1953" t="str">
        <f>IFERROR(__xludf.DUMMYFUNCTION("""COMPUTED_VALUE"""),"")</f>
        <v/>
      </c>
      <c r="F1953" t="str">
        <f>IFERROR(__xludf.DUMMYFUNCTION("""COMPUTED_VALUE"""),"")</f>
        <v/>
      </c>
      <c r="G1953" t="str">
        <f>IFERROR(__xludf.DUMMYFUNCTION("""COMPUTED_VALUE"""),"")</f>
        <v/>
      </c>
      <c r="H1953" t="str">
        <f>IFERROR(__xludf.DUMMYFUNCTION("""COMPUTED_VALUE"""),"")</f>
        <v/>
      </c>
      <c r="I1953" t="str">
        <f>IFERROR(__xludf.DUMMYFUNCTION("""COMPUTED_VALUE"""),"")</f>
        <v/>
      </c>
      <c r="J1953">
        <f>IFERROR(__xludf.DUMMYFUNCTION("""COMPUTED_VALUE"""),0.0)</f>
        <v>0</v>
      </c>
      <c r="L1953" s="250" t="str">
        <f>IFERROR(__xludf.DUMMYFUNCTION("""COMPUTED_VALUE"""),"")</f>
        <v/>
      </c>
      <c r="M1953" s="250" t="str">
        <f>IFERROR(__xludf.DUMMYFUNCTION("""COMPUTED_VALUE"""),"")</f>
        <v/>
      </c>
      <c r="N1953" s="250" t="str">
        <f>IFERROR(__xludf.DUMMYFUNCTION("""COMPUTED_VALUE"""),"")</f>
        <v/>
      </c>
      <c r="O1953" s="250" t="str">
        <f>IFERROR(__xludf.DUMMYFUNCTION("""COMPUTED_VALUE"""),"")</f>
        <v/>
      </c>
      <c r="P1953" s="250" t="str">
        <f>IFERROR(__xludf.DUMMYFUNCTION("""COMPUTED_VALUE"""),"")</f>
        <v/>
      </c>
      <c r="Q1953" s="250" t="str">
        <f>IFERROR(__xludf.DUMMYFUNCTION("""COMPUTED_VALUE"""),"")</f>
        <v/>
      </c>
      <c r="R1953" s="250" t="str">
        <f>IFERROR(__xludf.DUMMYFUNCTION("""COMPUTED_VALUE"""),"")</f>
        <v/>
      </c>
      <c r="U1953" s="250" t="str">
        <f>IFERROR(__xludf.DUMMYFUNCTION("""COMPUTED_VALUE"""),"#N/A")</f>
        <v>#N/A</v>
      </c>
      <c r="V1953" s="250" t="str">
        <f>IFERROR(__xludf.DUMMYFUNCTION("""COMPUTED_VALUE"""),"#N/A")</f>
        <v>#N/A</v>
      </c>
      <c r="W1953" s="250" t="str">
        <f>IFERROR(__xludf.DUMMYFUNCTION("""COMPUTED_VALUE"""),"#N/A")</f>
        <v>#N/A</v>
      </c>
      <c r="X1953" t="b">
        <f t="shared" ref="X1953:Z1953" si="3882">ISBLANK(K1953)</f>
        <v>1</v>
      </c>
      <c r="Y1953" t="b">
        <f t="shared" si="3882"/>
        <v>0</v>
      </c>
      <c r="Z1953" t="b">
        <f t="shared" si="3882"/>
        <v>0</v>
      </c>
      <c r="AA1953">
        <f t="shared" ref="AA1953:AC1953" si="3883">IF(X1953=FALSE,1,0)</f>
        <v>0</v>
      </c>
      <c r="AB1953">
        <f t="shared" si="3883"/>
        <v>1</v>
      </c>
      <c r="AC1953">
        <f t="shared" si="3883"/>
        <v>1</v>
      </c>
      <c r="AD1953">
        <f t="shared" si="6"/>
        <v>2</v>
      </c>
      <c r="AE1953">
        <f t="shared" si="7"/>
        <v>1</v>
      </c>
    </row>
    <row r="1954">
      <c r="B1954" t="str">
        <f>IFERROR(__xludf.DUMMYFUNCTION("""COMPUTED_VALUE"""),"")</f>
        <v/>
      </c>
      <c r="C1954" t="str">
        <f>IFERROR(__xludf.DUMMYFUNCTION("""COMPUTED_VALUE"""),"")</f>
        <v/>
      </c>
      <c r="D1954" t="str">
        <f>IFERROR(__xludf.DUMMYFUNCTION("""COMPUTED_VALUE"""),"")</f>
        <v/>
      </c>
      <c r="E1954" t="str">
        <f>IFERROR(__xludf.DUMMYFUNCTION("""COMPUTED_VALUE"""),"")</f>
        <v/>
      </c>
      <c r="F1954" t="str">
        <f>IFERROR(__xludf.DUMMYFUNCTION("""COMPUTED_VALUE"""),"")</f>
        <v/>
      </c>
      <c r="G1954" t="str">
        <f>IFERROR(__xludf.DUMMYFUNCTION("""COMPUTED_VALUE"""),"")</f>
        <v/>
      </c>
      <c r="H1954" t="str">
        <f>IFERROR(__xludf.DUMMYFUNCTION("""COMPUTED_VALUE"""),"")</f>
        <v/>
      </c>
      <c r="I1954" t="str">
        <f>IFERROR(__xludf.DUMMYFUNCTION("""COMPUTED_VALUE"""),"")</f>
        <v/>
      </c>
      <c r="J1954">
        <f>IFERROR(__xludf.DUMMYFUNCTION("""COMPUTED_VALUE"""),0.0)</f>
        <v>0</v>
      </c>
      <c r="L1954" s="250" t="str">
        <f>IFERROR(__xludf.DUMMYFUNCTION("""COMPUTED_VALUE"""),"")</f>
        <v/>
      </c>
      <c r="M1954" s="250" t="str">
        <f>IFERROR(__xludf.DUMMYFUNCTION("""COMPUTED_VALUE"""),"")</f>
        <v/>
      </c>
      <c r="N1954" s="250" t="str">
        <f>IFERROR(__xludf.DUMMYFUNCTION("""COMPUTED_VALUE"""),"")</f>
        <v/>
      </c>
      <c r="O1954" s="250" t="str">
        <f>IFERROR(__xludf.DUMMYFUNCTION("""COMPUTED_VALUE"""),"")</f>
        <v/>
      </c>
      <c r="P1954" s="250" t="str">
        <f>IFERROR(__xludf.DUMMYFUNCTION("""COMPUTED_VALUE"""),"")</f>
        <v/>
      </c>
      <c r="Q1954" s="250" t="str">
        <f>IFERROR(__xludf.DUMMYFUNCTION("""COMPUTED_VALUE"""),"")</f>
        <v/>
      </c>
      <c r="R1954" s="250" t="str">
        <f>IFERROR(__xludf.DUMMYFUNCTION("""COMPUTED_VALUE"""),"")</f>
        <v/>
      </c>
      <c r="U1954" s="250" t="str">
        <f>IFERROR(__xludf.DUMMYFUNCTION("""COMPUTED_VALUE"""),"#N/A")</f>
        <v>#N/A</v>
      </c>
      <c r="V1954" s="250" t="str">
        <f>IFERROR(__xludf.DUMMYFUNCTION("""COMPUTED_VALUE"""),"#N/A")</f>
        <v>#N/A</v>
      </c>
      <c r="W1954" s="250" t="str">
        <f>IFERROR(__xludf.DUMMYFUNCTION("""COMPUTED_VALUE"""),"#N/A")</f>
        <v>#N/A</v>
      </c>
      <c r="X1954" t="b">
        <f t="shared" ref="X1954:Z1954" si="3884">ISBLANK(K1954)</f>
        <v>1</v>
      </c>
      <c r="Y1954" t="b">
        <f t="shared" si="3884"/>
        <v>0</v>
      </c>
      <c r="Z1954" t="b">
        <f t="shared" si="3884"/>
        <v>0</v>
      </c>
      <c r="AA1954">
        <f t="shared" ref="AA1954:AC1954" si="3885">IF(X1954=FALSE,1,0)</f>
        <v>0</v>
      </c>
      <c r="AB1954">
        <f t="shared" si="3885"/>
        <v>1</v>
      </c>
      <c r="AC1954">
        <f t="shared" si="3885"/>
        <v>1</v>
      </c>
      <c r="AD1954">
        <f t="shared" si="6"/>
        <v>2</v>
      </c>
      <c r="AE1954">
        <f t="shared" si="7"/>
        <v>1</v>
      </c>
    </row>
    <row r="1955">
      <c r="B1955" t="str">
        <f>IFERROR(__xludf.DUMMYFUNCTION("""COMPUTED_VALUE"""),"")</f>
        <v/>
      </c>
      <c r="C1955" t="str">
        <f>IFERROR(__xludf.DUMMYFUNCTION("""COMPUTED_VALUE"""),"")</f>
        <v/>
      </c>
      <c r="D1955" t="str">
        <f>IFERROR(__xludf.DUMMYFUNCTION("""COMPUTED_VALUE"""),"")</f>
        <v/>
      </c>
      <c r="E1955" t="str">
        <f>IFERROR(__xludf.DUMMYFUNCTION("""COMPUTED_VALUE"""),"")</f>
        <v/>
      </c>
      <c r="F1955" t="str">
        <f>IFERROR(__xludf.DUMMYFUNCTION("""COMPUTED_VALUE"""),"")</f>
        <v/>
      </c>
      <c r="G1955" t="str">
        <f>IFERROR(__xludf.DUMMYFUNCTION("""COMPUTED_VALUE"""),"")</f>
        <v/>
      </c>
      <c r="H1955" t="str">
        <f>IFERROR(__xludf.DUMMYFUNCTION("""COMPUTED_VALUE"""),"")</f>
        <v/>
      </c>
      <c r="I1955" t="str">
        <f>IFERROR(__xludf.DUMMYFUNCTION("""COMPUTED_VALUE"""),"")</f>
        <v/>
      </c>
      <c r="J1955">
        <f>IFERROR(__xludf.DUMMYFUNCTION("""COMPUTED_VALUE"""),0.0)</f>
        <v>0</v>
      </c>
      <c r="L1955" s="250" t="str">
        <f>IFERROR(__xludf.DUMMYFUNCTION("""COMPUTED_VALUE"""),"")</f>
        <v/>
      </c>
      <c r="M1955" s="250" t="str">
        <f>IFERROR(__xludf.DUMMYFUNCTION("""COMPUTED_VALUE"""),"")</f>
        <v/>
      </c>
      <c r="N1955" s="250" t="str">
        <f>IFERROR(__xludf.DUMMYFUNCTION("""COMPUTED_VALUE"""),"")</f>
        <v/>
      </c>
      <c r="O1955" s="250" t="str">
        <f>IFERROR(__xludf.DUMMYFUNCTION("""COMPUTED_VALUE"""),"")</f>
        <v/>
      </c>
      <c r="P1955" s="250" t="str">
        <f>IFERROR(__xludf.DUMMYFUNCTION("""COMPUTED_VALUE"""),"")</f>
        <v/>
      </c>
      <c r="Q1955" s="250" t="str">
        <f>IFERROR(__xludf.DUMMYFUNCTION("""COMPUTED_VALUE"""),"")</f>
        <v/>
      </c>
      <c r="R1955" s="250" t="str">
        <f>IFERROR(__xludf.DUMMYFUNCTION("""COMPUTED_VALUE"""),"")</f>
        <v/>
      </c>
      <c r="U1955" s="250" t="str">
        <f>IFERROR(__xludf.DUMMYFUNCTION("""COMPUTED_VALUE"""),"#N/A")</f>
        <v>#N/A</v>
      </c>
      <c r="V1955" s="250" t="str">
        <f>IFERROR(__xludf.DUMMYFUNCTION("""COMPUTED_VALUE"""),"#N/A")</f>
        <v>#N/A</v>
      </c>
      <c r="W1955" s="250" t="str">
        <f>IFERROR(__xludf.DUMMYFUNCTION("""COMPUTED_VALUE"""),"#N/A")</f>
        <v>#N/A</v>
      </c>
      <c r="X1955" t="b">
        <f t="shared" ref="X1955:Z1955" si="3886">ISBLANK(K1955)</f>
        <v>1</v>
      </c>
      <c r="Y1955" t="b">
        <f t="shared" si="3886"/>
        <v>0</v>
      </c>
      <c r="Z1955" t="b">
        <f t="shared" si="3886"/>
        <v>0</v>
      </c>
      <c r="AA1955">
        <f t="shared" ref="AA1955:AC1955" si="3887">IF(X1955=FALSE,1,0)</f>
        <v>0</v>
      </c>
      <c r="AB1955">
        <f t="shared" si="3887"/>
        <v>1</v>
      </c>
      <c r="AC1955">
        <f t="shared" si="3887"/>
        <v>1</v>
      </c>
      <c r="AD1955">
        <f t="shared" si="6"/>
        <v>2</v>
      </c>
      <c r="AE1955">
        <f t="shared" si="7"/>
        <v>1</v>
      </c>
    </row>
    <row r="1956">
      <c r="B1956" t="str">
        <f>IFERROR(__xludf.DUMMYFUNCTION("""COMPUTED_VALUE"""),"")</f>
        <v/>
      </c>
      <c r="C1956" t="str">
        <f>IFERROR(__xludf.DUMMYFUNCTION("""COMPUTED_VALUE"""),"")</f>
        <v/>
      </c>
      <c r="D1956" t="str">
        <f>IFERROR(__xludf.DUMMYFUNCTION("""COMPUTED_VALUE"""),"")</f>
        <v/>
      </c>
      <c r="E1956" t="str">
        <f>IFERROR(__xludf.DUMMYFUNCTION("""COMPUTED_VALUE"""),"")</f>
        <v/>
      </c>
      <c r="F1956" t="str">
        <f>IFERROR(__xludf.DUMMYFUNCTION("""COMPUTED_VALUE"""),"")</f>
        <v/>
      </c>
      <c r="G1956" t="str">
        <f>IFERROR(__xludf.DUMMYFUNCTION("""COMPUTED_VALUE"""),"")</f>
        <v/>
      </c>
      <c r="H1956" t="str">
        <f>IFERROR(__xludf.DUMMYFUNCTION("""COMPUTED_VALUE"""),"")</f>
        <v/>
      </c>
      <c r="I1956" t="str">
        <f>IFERROR(__xludf.DUMMYFUNCTION("""COMPUTED_VALUE"""),"")</f>
        <v/>
      </c>
      <c r="J1956">
        <f>IFERROR(__xludf.DUMMYFUNCTION("""COMPUTED_VALUE"""),0.0)</f>
        <v>0</v>
      </c>
      <c r="L1956" s="250" t="str">
        <f>IFERROR(__xludf.DUMMYFUNCTION("""COMPUTED_VALUE"""),"")</f>
        <v/>
      </c>
      <c r="M1956" s="250" t="str">
        <f>IFERROR(__xludf.DUMMYFUNCTION("""COMPUTED_VALUE"""),"")</f>
        <v/>
      </c>
      <c r="N1956" s="250" t="str">
        <f>IFERROR(__xludf.DUMMYFUNCTION("""COMPUTED_VALUE"""),"")</f>
        <v/>
      </c>
      <c r="O1956" s="250" t="str">
        <f>IFERROR(__xludf.DUMMYFUNCTION("""COMPUTED_VALUE"""),"")</f>
        <v/>
      </c>
      <c r="P1956" s="250" t="str">
        <f>IFERROR(__xludf.DUMMYFUNCTION("""COMPUTED_VALUE"""),"")</f>
        <v/>
      </c>
      <c r="Q1956" s="250" t="str">
        <f>IFERROR(__xludf.DUMMYFUNCTION("""COMPUTED_VALUE"""),"")</f>
        <v/>
      </c>
      <c r="R1956" s="250" t="str">
        <f>IFERROR(__xludf.DUMMYFUNCTION("""COMPUTED_VALUE"""),"")</f>
        <v/>
      </c>
      <c r="U1956" s="250" t="str">
        <f>IFERROR(__xludf.DUMMYFUNCTION("""COMPUTED_VALUE"""),"#N/A")</f>
        <v>#N/A</v>
      </c>
      <c r="V1956" s="250" t="str">
        <f>IFERROR(__xludf.DUMMYFUNCTION("""COMPUTED_VALUE"""),"#N/A")</f>
        <v>#N/A</v>
      </c>
      <c r="W1956" s="250" t="str">
        <f>IFERROR(__xludf.DUMMYFUNCTION("""COMPUTED_VALUE"""),"#N/A")</f>
        <v>#N/A</v>
      </c>
      <c r="X1956" t="b">
        <f t="shared" ref="X1956:Z1956" si="3888">ISBLANK(K1956)</f>
        <v>1</v>
      </c>
      <c r="Y1956" t="b">
        <f t="shared" si="3888"/>
        <v>0</v>
      </c>
      <c r="Z1956" t="b">
        <f t="shared" si="3888"/>
        <v>0</v>
      </c>
      <c r="AA1956">
        <f t="shared" ref="AA1956:AC1956" si="3889">IF(X1956=FALSE,1,0)</f>
        <v>0</v>
      </c>
      <c r="AB1956">
        <f t="shared" si="3889"/>
        <v>1</v>
      </c>
      <c r="AC1956">
        <f t="shared" si="3889"/>
        <v>1</v>
      </c>
      <c r="AD1956">
        <f t="shared" si="6"/>
        <v>2</v>
      </c>
      <c r="AE1956">
        <f t="shared" si="7"/>
        <v>1</v>
      </c>
    </row>
    <row r="1957">
      <c r="B1957" t="str">
        <f>IFERROR(__xludf.DUMMYFUNCTION("""COMPUTED_VALUE"""),"")</f>
        <v/>
      </c>
      <c r="C1957" t="str">
        <f>IFERROR(__xludf.DUMMYFUNCTION("""COMPUTED_VALUE"""),"")</f>
        <v/>
      </c>
      <c r="D1957" t="str">
        <f>IFERROR(__xludf.DUMMYFUNCTION("""COMPUTED_VALUE"""),"")</f>
        <v/>
      </c>
      <c r="E1957" t="str">
        <f>IFERROR(__xludf.DUMMYFUNCTION("""COMPUTED_VALUE"""),"")</f>
        <v/>
      </c>
      <c r="F1957" t="str">
        <f>IFERROR(__xludf.DUMMYFUNCTION("""COMPUTED_VALUE"""),"")</f>
        <v/>
      </c>
      <c r="G1957" t="str">
        <f>IFERROR(__xludf.DUMMYFUNCTION("""COMPUTED_VALUE"""),"")</f>
        <v/>
      </c>
      <c r="H1957" t="str">
        <f>IFERROR(__xludf.DUMMYFUNCTION("""COMPUTED_VALUE"""),"")</f>
        <v/>
      </c>
      <c r="I1957" t="str">
        <f>IFERROR(__xludf.DUMMYFUNCTION("""COMPUTED_VALUE"""),"")</f>
        <v/>
      </c>
      <c r="J1957">
        <f>IFERROR(__xludf.DUMMYFUNCTION("""COMPUTED_VALUE"""),0.0)</f>
        <v>0</v>
      </c>
      <c r="L1957" s="250" t="str">
        <f>IFERROR(__xludf.DUMMYFUNCTION("""COMPUTED_VALUE"""),"")</f>
        <v/>
      </c>
      <c r="M1957" s="250" t="str">
        <f>IFERROR(__xludf.DUMMYFUNCTION("""COMPUTED_VALUE"""),"")</f>
        <v/>
      </c>
      <c r="N1957" s="250" t="str">
        <f>IFERROR(__xludf.DUMMYFUNCTION("""COMPUTED_VALUE"""),"")</f>
        <v/>
      </c>
      <c r="O1957" s="250" t="str">
        <f>IFERROR(__xludf.DUMMYFUNCTION("""COMPUTED_VALUE"""),"")</f>
        <v/>
      </c>
      <c r="P1957" s="250" t="str">
        <f>IFERROR(__xludf.DUMMYFUNCTION("""COMPUTED_VALUE"""),"")</f>
        <v/>
      </c>
      <c r="Q1957" s="250" t="str">
        <f>IFERROR(__xludf.DUMMYFUNCTION("""COMPUTED_VALUE"""),"")</f>
        <v/>
      </c>
      <c r="R1957" s="250" t="str">
        <f>IFERROR(__xludf.DUMMYFUNCTION("""COMPUTED_VALUE"""),"")</f>
        <v/>
      </c>
      <c r="U1957" s="250" t="str">
        <f>IFERROR(__xludf.DUMMYFUNCTION("""COMPUTED_VALUE"""),"#N/A")</f>
        <v>#N/A</v>
      </c>
      <c r="V1957" s="250" t="str">
        <f>IFERROR(__xludf.DUMMYFUNCTION("""COMPUTED_VALUE"""),"#N/A")</f>
        <v>#N/A</v>
      </c>
      <c r="W1957" s="250" t="str">
        <f>IFERROR(__xludf.DUMMYFUNCTION("""COMPUTED_VALUE"""),"#N/A")</f>
        <v>#N/A</v>
      </c>
      <c r="X1957" t="b">
        <f t="shared" ref="X1957:Z1957" si="3890">ISBLANK(K1957)</f>
        <v>1</v>
      </c>
      <c r="Y1957" t="b">
        <f t="shared" si="3890"/>
        <v>0</v>
      </c>
      <c r="Z1957" t="b">
        <f t="shared" si="3890"/>
        <v>0</v>
      </c>
      <c r="AA1957">
        <f t="shared" ref="AA1957:AC1957" si="3891">IF(X1957=FALSE,1,0)</f>
        <v>0</v>
      </c>
      <c r="AB1957">
        <f t="shared" si="3891"/>
        <v>1</v>
      </c>
      <c r="AC1957">
        <f t="shared" si="3891"/>
        <v>1</v>
      </c>
      <c r="AD1957">
        <f t="shared" si="6"/>
        <v>2</v>
      </c>
      <c r="AE1957">
        <f t="shared" si="7"/>
        <v>1</v>
      </c>
    </row>
    <row r="1958">
      <c r="B1958" t="str">
        <f>IFERROR(__xludf.DUMMYFUNCTION("""COMPUTED_VALUE"""),"")</f>
        <v/>
      </c>
      <c r="C1958" t="str">
        <f>IFERROR(__xludf.DUMMYFUNCTION("""COMPUTED_VALUE"""),"")</f>
        <v/>
      </c>
      <c r="D1958" t="str">
        <f>IFERROR(__xludf.DUMMYFUNCTION("""COMPUTED_VALUE"""),"")</f>
        <v/>
      </c>
      <c r="E1958" t="str">
        <f>IFERROR(__xludf.DUMMYFUNCTION("""COMPUTED_VALUE"""),"")</f>
        <v/>
      </c>
      <c r="F1958" t="str">
        <f>IFERROR(__xludf.DUMMYFUNCTION("""COMPUTED_VALUE"""),"")</f>
        <v/>
      </c>
      <c r="G1958" t="str">
        <f>IFERROR(__xludf.DUMMYFUNCTION("""COMPUTED_VALUE"""),"")</f>
        <v/>
      </c>
      <c r="H1958" t="str">
        <f>IFERROR(__xludf.DUMMYFUNCTION("""COMPUTED_VALUE"""),"")</f>
        <v/>
      </c>
      <c r="I1958" t="str">
        <f>IFERROR(__xludf.DUMMYFUNCTION("""COMPUTED_VALUE"""),"")</f>
        <v/>
      </c>
      <c r="J1958">
        <f>IFERROR(__xludf.DUMMYFUNCTION("""COMPUTED_VALUE"""),0.0)</f>
        <v>0</v>
      </c>
      <c r="L1958" s="250" t="str">
        <f>IFERROR(__xludf.DUMMYFUNCTION("""COMPUTED_VALUE"""),"")</f>
        <v/>
      </c>
      <c r="M1958" s="250" t="str">
        <f>IFERROR(__xludf.DUMMYFUNCTION("""COMPUTED_VALUE"""),"")</f>
        <v/>
      </c>
      <c r="N1958" s="250" t="str">
        <f>IFERROR(__xludf.DUMMYFUNCTION("""COMPUTED_VALUE"""),"")</f>
        <v/>
      </c>
      <c r="O1958" s="250" t="str">
        <f>IFERROR(__xludf.DUMMYFUNCTION("""COMPUTED_VALUE"""),"")</f>
        <v/>
      </c>
      <c r="P1958" s="250" t="str">
        <f>IFERROR(__xludf.DUMMYFUNCTION("""COMPUTED_VALUE"""),"")</f>
        <v/>
      </c>
      <c r="Q1958" s="250" t="str">
        <f>IFERROR(__xludf.DUMMYFUNCTION("""COMPUTED_VALUE"""),"")</f>
        <v/>
      </c>
      <c r="R1958" s="250" t="str">
        <f>IFERROR(__xludf.DUMMYFUNCTION("""COMPUTED_VALUE"""),"")</f>
        <v/>
      </c>
      <c r="U1958" s="250" t="str">
        <f>IFERROR(__xludf.DUMMYFUNCTION("""COMPUTED_VALUE"""),"#N/A")</f>
        <v>#N/A</v>
      </c>
      <c r="V1958" s="250" t="str">
        <f>IFERROR(__xludf.DUMMYFUNCTION("""COMPUTED_VALUE"""),"#N/A")</f>
        <v>#N/A</v>
      </c>
      <c r="W1958" s="250" t="str">
        <f>IFERROR(__xludf.DUMMYFUNCTION("""COMPUTED_VALUE"""),"#N/A")</f>
        <v>#N/A</v>
      </c>
      <c r="X1958" t="b">
        <f t="shared" ref="X1958:Z1958" si="3892">ISBLANK(K1958)</f>
        <v>1</v>
      </c>
      <c r="Y1958" t="b">
        <f t="shared" si="3892"/>
        <v>0</v>
      </c>
      <c r="Z1958" t="b">
        <f t="shared" si="3892"/>
        <v>0</v>
      </c>
      <c r="AA1958">
        <f t="shared" ref="AA1958:AC1958" si="3893">IF(X1958=FALSE,1,0)</f>
        <v>0</v>
      </c>
      <c r="AB1958">
        <f t="shared" si="3893"/>
        <v>1</v>
      </c>
      <c r="AC1958">
        <f t="shared" si="3893"/>
        <v>1</v>
      </c>
      <c r="AD1958">
        <f t="shared" si="6"/>
        <v>2</v>
      </c>
      <c r="AE1958">
        <f t="shared" si="7"/>
        <v>1</v>
      </c>
    </row>
    <row r="1959">
      <c r="B1959" t="str">
        <f>IFERROR(__xludf.DUMMYFUNCTION("""COMPUTED_VALUE"""),"")</f>
        <v/>
      </c>
      <c r="C1959" t="str">
        <f>IFERROR(__xludf.DUMMYFUNCTION("""COMPUTED_VALUE"""),"")</f>
        <v/>
      </c>
      <c r="D1959" t="str">
        <f>IFERROR(__xludf.DUMMYFUNCTION("""COMPUTED_VALUE"""),"")</f>
        <v/>
      </c>
      <c r="E1959" t="str">
        <f>IFERROR(__xludf.DUMMYFUNCTION("""COMPUTED_VALUE"""),"")</f>
        <v/>
      </c>
      <c r="F1959" t="str">
        <f>IFERROR(__xludf.DUMMYFUNCTION("""COMPUTED_VALUE"""),"")</f>
        <v/>
      </c>
      <c r="G1959" t="str">
        <f>IFERROR(__xludf.DUMMYFUNCTION("""COMPUTED_VALUE"""),"")</f>
        <v/>
      </c>
      <c r="H1959" t="str">
        <f>IFERROR(__xludf.DUMMYFUNCTION("""COMPUTED_VALUE"""),"")</f>
        <v/>
      </c>
      <c r="I1959" t="str">
        <f>IFERROR(__xludf.DUMMYFUNCTION("""COMPUTED_VALUE"""),"")</f>
        <v/>
      </c>
      <c r="J1959">
        <f>IFERROR(__xludf.DUMMYFUNCTION("""COMPUTED_VALUE"""),0.0)</f>
        <v>0</v>
      </c>
      <c r="L1959" s="250" t="str">
        <f>IFERROR(__xludf.DUMMYFUNCTION("""COMPUTED_VALUE"""),"")</f>
        <v/>
      </c>
      <c r="M1959" s="250" t="str">
        <f>IFERROR(__xludf.DUMMYFUNCTION("""COMPUTED_VALUE"""),"")</f>
        <v/>
      </c>
      <c r="N1959" s="250" t="str">
        <f>IFERROR(__xludf.DUMMYFUNCTION("""COMPUTED_VALUE"""),"")</f>
        <v/>
      </c>
      <c r="O1959" s="250" t="str">
        <f>IFERROR(__xludf.DUMMYFUNCTION("""COMPUTED_VALUE"""),"")</f>
        <v/>
      </c>
      <c r="P1959" s="250" t="str">
        <f>IFERROR(__xludf.DUMMYFUNCTION("""COMPUTED_VALUE"""),"")</f>
        <v/>
      </c>
      <c r="Q1959" s="250" t="str">
        <f>IFERROR(__xludf.DUMMYFUNCTION("""COMPUTED_VALUE"""),"")</f>
        <v/>
      </c>
      <c r="R1959" s="250" t="str">
        <f>IFERROR(__xludf.DUMMYFUNCTION("""COMPUTED_VALUE"""),"")</f>
        <v/>
      </c>
      <c r="U1959" s="250" t="str">
        <f>IFERROR(__xludf.DUMMYFUNCTION("""COMPUTED_VALUE"""),"#N/A")</f>
        <v>#N/A</v>
      </c>
      <c r="V1959" s="250" t="str">
        <f>IFERROR(__xludf.DUMMYFUNCTION("""COMPUTED_VALUE"""),"#N/A")</f>
        <v>#N/A</v>
      </c>
      <c r="W1959" s="250" t="str">
        <f>IFERROR(__xludf.DUMMYFUNCTION("""COMPUTED_VALUE"""),"#N/A")</f>
        <v>#N/A</v>
      </c>
      <c r="X1959" t="b">
        <f t="shared" ref="X1959:Z1959" si="3894">ISBLANK(K1959)</f>
        <v>1</v>
      </c>
      <c r="Y1959" t="b">
        <f t="shared" si="3894"/>
        <v>0</v>
      </c>
      <c r="Z1959" t="b">
        <f t="shared" si="3894"/>
        <v>0</v>
      </c>
      <c r="AA1959">
        <f t="shared" ref="AA1959:AC1959" si="3895">IF(X1959=FALSE,1,0)</f>
        <v>0</v>
      </c>
      <c r="AB1959">
        <f t="shared" si="3895"/>
        <v>1</v>
      </c>
      <c r="AC1959">
        <f t="shared" si="3895"/>
        <v>1</v>
      </c>
      <c r="AD1959">
        <f t="shared" si="6"/>
        <v>2</v>
      </c>
      <c r="AE1959">
        <f t="shared" si="7"/>
        <v>1</v>
      </c>
    </row>
    <row r="1960">
      <c r="B1960" t="str">
        <f>IFERROR(__xludf.DUMMYFUNCTION("""COMPUTED_VALUE"""),"")</f>
        <v/>
      </c>
      <c r="C1960" t="str">
        <f>IFERROR(__xludf.DUMMYFUNCTION("""COMPUTED_VALUE"""),"")</f>
        <v/>
      </c>
      <c r="D1960" t="str">
        <f>IFERROR(__xludf.DUMMYFUNCTION("""COMPUTED_VALUE"""),"")</f>
        <v/>
      </c>
      <c r="E1960" t="str">
        <f>IFERROR(__xludf.DUMMYFUNCTION("""COMPUTED_VALUE"""),"")</f>
        <v/>
      </c>
      <c r="F1960" t="str">
        <f>IFERROR(__xludf.DUMMYFUNCTION("""COMPUTED_VALUE"""),"")</f>
        <v/>
      </c>
      <c r="G1960" t="str">
        <f>IFERROR(__xludf.DUMMYFUNCTION("""COMPUTED_VALUE"""),"")</f>
        <v/>
      </c>
      <c r="H1960" t="str">
        <f>IFERROR(__xludf.DUMMYFUNCTION("""COMPUTED_VALUE"""),"")</f>
        <v/>
      </c>
      <c r="I1960" t="str">
        <f>IFERROR(__xludf.DUMMYFUNCTION("""COMPUTED_VALUE"""),"")</f>
        <v/>
      </c>
      <c r="J1960">
        <f>IFERROR(__xludf.DUMMYFUNCTION("""COMPUTED_VALUE"""),0.0)</f>
        <v>0</v>
      </c>
      <c r="L1960" s="250" t="str">
        <f>IFERROR(__xludf.DUMMYFUNCTION("""COMPUTED_VALUE"""),"")</f>
        <v/>
      </c>
      <c r="M1960" s="250" t="str">
        <f>IFERROR(__xludf.DUMMYFUNCTION("""COMPUTED_VALUE"""),"")</f>
        <v/>
      </c>
      <c r="N1960" s="250" t="str">
        <f>IFERROR(__xludf.DUMMYFUNCTION("""COMPUTED_VALUE"""),"")</f>
        <v/>
      </c>
      <c r="O1960" s="250" t="str">
        <f>IFERROR(__xludf.DUMMYFUNCTION("""COMPUTED_VALUE"""),"")</f>
        <v/>
      </c>
      <c r="P1960" s="250" t="str">
        <f>IFERROR(__xludf.DUMMYFUNCTION("""COMPUTED_VALUE"""),"")</f>
        <v/>
      </c>
      <c r="Q1960" s="250" t="str">
        <f>IFERROR(__xludf.DUMMYFUNCTION("""COMPUTED_VALUE"""),"")</f>
        <v/>
      </c>
      <c r="R1960" s="250" t="str">
        <f>IFERROR(__xludf.DUMMYFUNCTION("""COMPUTED_VALUE"""),"")</f>
        <v/>
      </c>
      <c r="U1960" s="250" t="str">
        <f>IFERROR(__xludf.DUMMYFUNCTION("""COMPUTED_VALUE"""),"#N/A")</f>
        <v>#N/A</v>
      </c>
      <c r="V1960" s="250" t="str">
        <f>IFERROR(__xludf.DUMMYFUNCTION("""COMPUTED_VALUE"""),"#N/A")</f>
        <v>#N/A</v>
      </c>
      <c r="W1960" s="250" t="str">
        <f>IFERROR(__xludf.DUMMYFUNCTION("""COMPUTED_VALUE"""),"#N/A")</f>
        <v>#N/A</v>
      </c>
      <c r="X1960" t="b">
        <f t="shared" ref="X1960:Z1960" si="3896">ISBLANK(K1960)</f>
        <v>1</v>
      </c>
      <c r="Y1960" t="b">
        <f t="shared" si="3896"/>
        <v>0</v>
      </c>
      <c r="Z1960" t="b">
        <f t="shared" si="3896"/>
        <v>0</v>
      </c>
      <c r="AA1960">
        <f t="shared" ref="AA1960:AC1960" si="3897">IF(X1960=FALSE,1,0)</f>
        <v>0</v>
      </c>
      <c r="AB1960">
        <f t="shared" si="3897"/>
        <v>1</v>
      </c>
      <c r="AC1960">
        <f t="shared" si="3897"/>
        <v>1</v>
      </c>
      <c r="AD1960">
        <f t="shared" si="6"/>
        <v>2</v>
      </c>
      <c r="AE1960">
        <f t="shared" si="7"/>
        <v>1</v>
      </c>
    </row>
    <row r="1961">
      <c r="B1961" t="str">
        <f>IFERROR(__xludf.DUMMYFUNCTION("""COMPUTED_VALUE"""),"")</f>
        <v/>
      </c>
      <c r="C1961" t="str">
        <f>IFERROR(__xludf.DUMMYFUNCTION("""COMPUTED_VALUE"""),"")</f>
        <v/>
      </c>
      <c r="D1961" t="str">
        <f>IFERROR(__xludf.DUMMYFUNCTION("""COMPUTED_VALUE"""),"")</f>
        <v/>
      </c>
      <c r="E1961" t="str">
        <f>IFERROR(__xludf.DUMMYFUNCTION("""COMPUTED_VALUE"""),"")</f>
        <v/>
      </c>
      <c r="F1961" t="str">
        <f>IFERROR(__xludf.DUMMYFUNCTION("""COMPUTED_VALUE"""),"")</f>
        <v/>
      </c>
      <c r="G1961" t="str">
        <f>IFERROR(__xludf.DUMMYFUNCTION("""COMPUTED_VALUE"""),"")</f>
        <v/>
      </c>
      <c r="H1961" t="str">
        <f>IFERROR(__xludf.DUMMYFUNCTION("""COMPUTED_VALUE"""),"")</f>
        <v/>
      </c>
      <c r="I1961" t="str">
        <f>IFERROR(__xludf.DUMMYFUNCTION("""COMPUTED_VALUE"""),"")</f>
        <v/>
      </c>
      <c r="J1961">
        <f>IFERROR(__xludf.DUMMYFUNCTION("""COMPUTED_VALUE"""),0.0)</f>
        <v>0</v>
      </c>
      <c r="L1961" s="250" t="str">
        <f>IFERROR(__xludf.DUMMYFUNCTION("""COMPUTED_VALUE"""),"")</f>
        <v/>
      </c>
      <c r="M1961" s="250" t="str">
        <f>IFERROR(__xludf.DUMMYFUNCTION("""COMPUTED_VALUE"""),"")</f>
        <v/>
      </c>
      <c r="N1961" s="250" t="str">
        <f>IFERROR(__xludf.DUMMYFUNCTION("""COMPUTED_VALUE"""),"")</f>
        <v/>
      </c>
      <c r="O1961" s="250" t="str">
        <f>IFERROR(__xludf.DUMMYFUNCTION("""COMPUTED_VALUE"""),"")</f>
        <v/>
      </c>
      <c r="P1961" s="250" t="str">
        <f>IFERROR(__xludf.DUMMYFUNCTION("""COMPUTED_VALUE"""),"")</f>
        <v/>
      </c>
      <c r="Q1961" s="250" t="str">
        <f>IFERROR(__xludf.DUMMYFUNCTION("""COMPUTED_VALUE"""),"")</f>
        <v/>
      </c>
      <c r="R1961" s="250" t="str">
        <f>IFERROR(__xludf.DUMMYFUNCTION("""COMPUTED_VALUE"""),"")</f>
        <v/>
      </c>
      <c r="U1961" s="250" t="str">
        <f>IFERROR(__xludf.DUMMYFUNCTION("""COMPUTED_VALUE"""),"#N/A")</f>
        <v>#N/A</v>
      </c>
      <c r="V1961" s="250" t="str">
        <f>IFERROR(__xludf.DUMMYFUNCTION("""COMPUTED_VALUE"""),"#N/A")</f>
        <v>#N/A</v>
      </c>
      <c r="W1961" s="250" t="str">
        <f>IFERROR(__xludf.DUMMYFUNCTION("""COMPUTED_VALUE"""),"#N/A")</f>
        <v>#N/A</v>
      </c>
      <c r="X1961" t="b">
        <f t="shared" ref="X1961:Z1961" si="3898">ISBLANK(K1961)</f>
        <v>1</v>
      </c>
      <c r="Y1961" t="b">
        <f t="shared" si="3898"/>
        <v>0</v>
      </c>
      <c r="Z1961" t="b">
        <f t="shared" si="3898"/>
        <v>0</v>
      </c>
      <c r="AA1961">
        <f t="shared" ref="AA1961:AC1961" si="3899">IF(X1961=FALSE,1,0)</f>
        <v>0</v>
      </c>
      <c r="AB1961">
        <f t="shared" si="3899"/>
        <v>1</v>
      </c>
      <c r="AC1961">
        <f t="shared" si="3899"/>
        <v>1</v>
      </c>
      <c r="AD1961">
        <f t="shared" si="6"/>
        <v>2</v>
      </c>
      <c r="AE1961">
        <f t="shared" si="7"/>
        <v>1</v>
      </c>
    </row>
    <row r="1962">
      <c r="B1962" t="str">
        <f>IFERROR(__xludf.DUMMYFUNCTION("""COMPUTED_VALUE"""),"")</f>
        <v/>
      </c>
      <c r="C1962" t="str">
        <f>IFERROR(__xludf.DUMMYFUNCTION("""COMPUTED_VALUE"""),"")</f>
        <v/>
      </c>
      <c r="D1962" t="str">
        <f>IFERROR(__xludf.DUMMYFUNCTION("""COMPUTED_VALUE"""),"")</f>
        <v/>
      </c>
      <c r="E1962" t="str">
        <f>IFERROR(__xludf.DUMMYFUNCTION("""COMPUTED_VALUE"""),"")</f>
        <v/>
      </c>
      <c r="F1962" t="str">
        <f>IFERROR(__xludf.DUMMYFUNCTION("""COMPUTED_VALUE"""),"")</f>
        <v/>
      </c>
      <c r="G1962" t="str">
        <f>IFERROR(__xludf.DUMMYFUNCTION("""COMPUTED_VALUE"""),"")</f>
        <v/>
      </c>
      <c r="H1962" t="str">
        <f>IFERROR(__xludf.DUMMYFUNCTION("""COMPUTED_VALUE"""),"")</f>
        <v/>
      </c>
      <c r="I1962" t="str">
        <f>IFERROR(__xludf.DUMMYFUNCTION("""COMPUTED_VALUE"""),"")</f>
        <v/>
      </c>
      <c r="J1962">
        <f>IFERROR(__xludf.DUMMYFUNCTION("""COMPUTED_VALUE"""),0.0)</f>
        <v>0</v>
      </c>
      <c r="L1962" s="250" t="str">
        <f>IFERROR(__xludf.DUMMYFUNCTION("""COMPUTED_VALUE"""),"")</f>
        <v/>
      </c>
      <c r="M1962" s="250" t="str">
        <f>IFERROR(__xludf.DUMMYFUNCTION("""COMPUTED_VALUE"""),"")</f>
        <v/>
      </c>
      <c r="N1962" s="250" t="str">
        <f>IFERROR(__xludf.DUMMYFUNCTION("""COMPUTED_VALUE"""),"")</f>
        <v/>
      </c>
      <c r="O1962" s="250" t="str">
        <f>IFERROR(__xludf.DUMMYFUNCTION("""COMPUTED_VALUE"""),"")</f>
        <v/>
      </c>
      <c r="P1962" s="250" t="str">
        <f>IFERROR(__xludf.DUMMYFUNCTION("""COMPUTED_VALUE"""),"")</f>
        <v/>
      </c>
      <c r="Q1962" s="250" t="str">
        <f>IFERROR(__xludf.DUMMYFUNCTION("""COMPUTED_VALUE"""),"")</f>
        <v/>
      </c>
      <c r="R1962" s="250" t="str">
        <f>IFERROR(__xludf.DUMMYFUNCTION("""COMPUTED_VALUE"""),"")</f>
        <v/>
      </c>
      <c r="U1962" s="250" t="str">
        <f>IFERROR(__xludf.DUMMYFUNCTION("""COMPUTED_VALUE"""),"#N/A")</f>
        <v>#N/A</v>
      </c>
      <c r="V1962" s="250" t="str">
        <f>IFERROR(__xludf.DUMMYFUNCTION("""COMPUTED_VALUE"""),"#N/A")</f>
        <v>#N/A</v>
      </c>
      <c r="W1962" s="250" t="str">
        <f>IFERROR(__xludf.DUMMYFUNCTION("""COMPUTED_VALUE"""),"#N/A")</f>
        <v>#N/A</v>
      </c>
      <c r="X1962" t="b">
        <f t="shared" ref="X1962:Z1962" si="3900">ISBLANK(K1962)</f>
        <v>1</v>
      </c>
      <c r="Y1962" t="b">
        <f t="shared" si="3900"/>
        <v>0</v>
      </c>
      <c r="Z1962" t="b">
        <f t="shared" si="3900"/>
        <v>0</v>
      </c>
      <c r="AA1962">
        <f t="shared" ref="AA1962:AC1962" si="3901">IF(X1962=FALSE,1,0)</f>
        <v>0</v>
      </c>
      <c r="AB1962">
        <f t="shared" si="3901"/>
        <v>1</v>
      </c>
      <c r="AC1962">
        <f t="shared" si="3901"/>
        <v>1</v>
      </c>
      <c r="AD1962">
        <f t="shared" si="6"/>
        <v>2</v>
      </c>
      <c r="AE1962">
        <f t="shared" si="7"/>
        <v>1</v>
      </c>
    </row>
    <row r="1963">
      <c r="B1963" t="str">
        <f>IFERROR(__xludf.DUMMYFUNCTION("""COMPUTED_VALUE"""),"")</f>
        <v/>
      </c>
      <c r="C1963" t="str">
        <f>IFERROR(__xludf.DUMMYFUNCTION("""COMPUTED_VALUE"""),"")</f>
        <v/>
      </c>
      <c r="D1963" t="str">
        <f>IFERROR(__xludf.DUMMYFUNCTION("""COMPUTED_VALUE"""),"")</f>
        <v/>
      </c>
      <c r="E1963" t="str">
        <f>IFERROR(__xludf.DUMMYFUNCTION("""COMPUTED_VALUE"""),"")</f>
        <v/>
      </c>
      <c r="F1963" t="str">
        <f>IFERROR(__xludf.DUMMYFUNCTION("""COMPUTED_VALUE"""),"")</f>
        <v/>
      </c>
      <c r="G1963" t="str">
        <f>IFERROR(__xludf.DUMMYFUNCTION("""COMPUTED_VALUE"""),"")</f>
        <v/>
      </c>
      <c r="H1963" t="str">
        <f>IFERROR(__xludf.DUMMYFUNCTION("""COMPUTED_VALUE"""),"")</f>
        <v/>
      </c>
      <c r="I1963" t="str">
        <f>IFERROR(__xludf.DUMMYFUNCTION("""COMPUTED_VALUE"""),"")</f>
        <v/>
      </c>
      <c r="J1963">
        <f>IFERROR(__xludf.DUMMYFUNCTION("""COMPUTED_VALUE"""),0.0)</f>
        <v>0</v>
      </c>
      <c r="L1963" s="250" t="str">
        <f>IFERROR(__xludf.DUMMYFUNCTION("""COMPUTED_VALUE"""),"")</f>
        <v/>
      </c>
      <c r="M1963" s="250" t="str">
        <f>IFERROR(__xludf.DUMMYFUNCTION("""COMPUTED_VALUE"""),"")</f>
        <v/>
      </c>
      <c r="N1963" s="250" t="str">
        <f>IFERROR(__xludf.DUMMYFUNCTION("""COMPUTED_VALUE"""),"")</f>
        <v/>
      </c>
      <c r="O1963" s="250" t="str">
        <f>IFERROR(__xludf.DUMMYFUNCTION("""COMPUTED_VALUE"""),"")</f>
        <v/>
      </c>
      <c r="P1963" s="250" t="str">
        <f>IFERROR(__xludf.DUMMYFUNCTION("""COMPUTED_VALUE"""),"")</f>
        <v/>
      </c>
      <c r="Q1963" s="250" t="str">
        <f>IFERROR(__xludf.DUMMYFUNCTION("""COMPUTED_VALUE"""),"")</f>
        <v/>
      </c>
      <c r="R1963" s="250" t="str">
        <f>IFERROR(__xludf.DUMMYFUNCTION("""COMPUTED_VALUE"""),"")</f>
        <v/>
      </c>
      <c r="U1963" s="250" t="str">
        <f>IFERROR(__xludf.DUMMYFUNCTION("""COMPUTED_VALUE"""),"#N/A")</f>
        <v>#N/A</v>
      </c>
      <c r="V1963" s="250" t="str">
        <f>IFERROR(__xludf.DUMMYFUNCTION("""COMPUTED_VALUE"""),"#N/A")</f>
        <v>#N/A</v>
      </c>
      <c r="W1963" s="250" t="str">
        <f>IFERROR(__xludf.DUMMYFUNCTION("""COMPUTED_VALUE"""),"#N/A")</f>
        <v>#N/A</v>
      </c>
      <c r="X1963" t="b">
        <f t="shared" ref="X1963:Z1963" si="3902">ISBLANK(K1963)</f>
        <v>1</v>
      </c>
      <c r="Y1963" t="b">
        <f t="shared" si="3902"/>
        <v>0</v>
      </c>
      <c r="Z1963" t="b">
        <f t="shared" si="3902"/>
        <v>0</v>
      </c>
      <c r="AA1963">
        <f t="shared" ref="AA1963:AC1963" si="3903">IF(X1963=FALSE,1,0)</f>
        <v>0</v>
      </c>
      <c r="AB1963">
        <f t="shared" si="3903"/>
        <v>1</v>
      </c>
      <c r="AC1963">
        <f t="shared" si="3903"/>
        <v>1</v>
      </c>
      <c r="AD1963">
        <f t="shared" si="6"/>
        <v>2</v>
      </c>
      <c r="AE1963">
        <f t="shared" si="7"/>
        <v>1</v>
      </c>
    </row>
    <row r="1964">
      <c r="B1964" t="str">
        <f>IFERROR(__xludf.DUMMYFUNCTION("""COMPUTED_VALUE"""),"")</f>
        <v/>
      </c>
      <c r="C1964" t="str">
        <f>IFERROR(__xludf.DUMMYFUNCTION("""COMPUTED_VALUE"""),"")</f>
        <v/>
      </c>
      <c r="D1964" t="str">
        <f>IFERROR(__xludf.DUMMYFUNCTION("""COMPUTED_VALUE"""),"")</f>
        <v/>
      </c>
      <c r="E1964" t="str">
        <f>IFERROR(__xludf.DUMMYFUNCTION("""COMPUTED_VALUE"""),"")</f>
        <v/>
      </c>
      <c r="F1964" t="str">
        <f>IFERROR(__xludf.DUMMYFUNCTION("""COMPUTED_VALUE"""),"")</f>
        <v/>
      </c>
      <c r="G1964" t="str">
        <f>IFERROR(__xludf.DUMMYFUNCTION("""COMPUTED_VALUE"""),"")</f>
        <v/>
      </c>
      <c r="H1964" t="str">
        <f>IFERROR(__xludf.DUMMYFUNCTION("""COMPUTED_VALUE"""),"")</f>
        <v/>
      </c>
      <c r="I1964" t="str">
        <f>IFERROR(__xludf.DUMMYFUNCTION("""COMPUTED_VALUE"""),"")</f>
        <v/>
      </c>
      <c r="J1964">
        <f>IFERROR(__xludf.DUMMYFUNCTION("""COMPUTED_VALUE"""),0.0)</f>
        <v>0</v>
      </c>
      <c r="L1964" s="250" t="str">
        <f>IFERROR(__xludf.DUMMYFUNCTION("""COMPUTED_VALUE"""),"")</f>
        <v/>
      </c>
      <c r="M1964" s="250" t="str">
        <f>IFERROR(__xludf.DUMMYFUNCTION("""COMPUTED_VALUE"""),"")</f>
        <v/>
      </c>
      <c r="N1964" s="250" t="str">
        <f>IFERROR(__xludf.DUMMYFUNCTION("""COMPUTED_VALUE"""),"")</f>
        <v/>
      </c>
      <c r="O1964" s="250" t="str">
        <f>IFERROR(__xludf.DUMMYFUNCTION("""COMPUTED_VALUE"""),"")</f>
        <v/>
      </c>
      <c r="P1964" s="250" t="str">
        <f>IFERROR(__xludf.DUMMYFUNCTION("""COMPUTED_VALUE"""),"")</f>
        <v/>
      </c>
      <c r="Q1964" s="250" t="str">
        <f>IFERROR(__xludf.DUMMYFUNCTION("""COMPUTED_VALUE"""),"")</f>
        <v/>
      </c>
      <c r="R1964" s="250" t="str">
        <f>IFERROR(__xludf.DUMMYFUNCTION("""COMPUTED_VALUE"""),"")</f>
        <v/>
      </c>
      <c r="U1964" s="250" t="str">
        <f>IFERROR(__xludf.DUMMYFUNCTION("""COMPUTED_VALUE"""),"#N/A")</f>
        <v>#N/A</v>
      </c>
      <c r="V1964" s="250" t="str">
        <f>IFERROR(__xludf.DUMMYFUNCTION("""COMPUTED_VALUE"""),"#N/A")</f>
        <v>#N/A</v>
      </c>
      <c r="W1964" s="250" t="str">
        <f>IFERROR(__xludf.DUMMYFUNCTION("""COMPUTED_VALUE"""),"#N/A")</f>
        <v>#N/A</v>
      </c>
      <c r="X1964" t="b">
        <f t="shared" ref="X1964:Z1964" si="3904">ISBLANK(K1964)</f>
        <v>1</v>
      </c>
      <c r="Y1964" t="b">
        <f t="shared" si="3904"/>
        <v>0</v>
      </c>
      <c r="Z1964" t="b">
        <f t="shared" si="3904"/>
        <v>0</v>
      </c>
      <c r="AA1964">
        <f t="shared" ref="AA1964:AC1964" si="3905">IF(X1964=FALSE,1,0)</f>
        <v>0</v>
      </c>
      <c r="AB1964">
        <f t="shared" si="3905"/>
        <v>1</v>
      </c>
      <c r="AC1964">
        <f t="shared" si="3905"/>
        <v>1</v>
      </c>
      <c r="AD1964">
        <f t="shared" si="6"/>
        <v>2</v>
      </c>
      <c r="AE1964">
        <f t="shared" si="7"/>
        <v>1</v>
      </c>
    </row>
    <row r="1965">
      <c r="B1965" t="str">
        <f>IFERROR(__xludf.DUMMYFUNCTION("""COMPUTED_VALUE"""),"")</f>
        <v/>
      </c>
      <c r="C1965" t="str">
        <f>IFERROR(__xludf.DUMMYFUNCTION("""COMPUTED_VALUE"""),"")</f>
        <v/>
      </c>
      <c r="D1965" t="str">
        <f>IFERROR(__xludf.DUMMYFUNCTION("""COMPUTED_VALUE"""),"")</f>
        <v/>
      </c>
      <c r="E1965" t="str">
        <f>IFERROR(__xludf.DUMMYFUNCTION("""COMPUTED_VALUE"""),"")</f>
        <v/>
      </c>
      <c r="F1965" t="str">
        <f>IFERROR(__xludf.DUMMYFUNCTION("""COMPUTED_VALUE"""),"")</f>
        <v/>
      </c>
      <c r="G1965" t="str">
        <f>IFERROR(__xludf.DUMMYFUNCTION("""COMPUTED_VALUE"""),"")</f>
        <v/>
      </c>
      <c r="H1965" t="str">
        <f>IFERROR(__xludf.DUMMYFUNCTION("""COMPUTED_VALUE"""),"")</f>
        <v/>
      </c>
      <c r="I1965" t="str">
        <f>IFERROR(__xludf.DUMMYFUNCTION("""COMPUTED_VALUE"""),"")</f>
        <v/>
      </c>
      <c r="J1965">
        <f>IFERROR(__xludf.DUMMYFUNCTION("""COMPUTED_VALUE"""),0.0)</f>
        <v>0</v>
      </c>
      <c r="L1965" s="250" t="str">
        <f>IFERROR(__xludf.DUMMYFUNCTION("""COMPUTED_VALUE"""),"")</f>
        <v/>
      </c>
      <c r="M1965" s="250" t="str">
        <f>IFERROR(__xludf.DUMMYFUNCTION("""COMPUTED_VALUE"""),"")</f>
        <v/>
      </c>
      <c r="N1965" s="250" t="str">
        <f>IFERROR(__xludf.DUMMYFUNCTION("""COMPUTED_VALUE"""),"")</f>
        <v/>
      </c>
      <c r="O1965" s="250" t="str">
        <f>IFERROR(__xludf.DUMMYFUNCTION("""COMPUTED_VALUE"""),"")</f>
        <v/>
      </c>
      <c r="P1965" s="250" t="str">
        <f>IFERROR(__xludf.DUMMYFUNCTION("""COMPUTED_VALUE"""),"")</f>
        <v/>
      </c>
      <c r="Q1965" s="250" t="str">
        <f>IFERROR(__xludf.DUMMYFUNCTION("""COMPUTED_VALUE"""),"")</f>
        <v/>
      </c>
      <c r="R1965" s="250" t="str">
        <f>IFERROR(__xludf.DUMMYFUNCTION("""COMPUTED_VALUE"""),"")</f>
        <v/>
      </c>
      <c r="U1965" s="250" t="str">
        <f>IFERROR(__xludf.DUMMYFUNCTION("""COMPUTED_VALUE"""),"#N/A")</f>
        <v>#N/A</v>
      </c>
      <c r="V1965" s="250" t="str">
        <f>IFERROR(__xludf.DUMMYFUNCTION("""COMPUTED_VALUE"""),"#N/A")</f>
        <v>#N/A</v>
      </c>
      <c r="W1965" s="250" t="str">
        <f>IFERROR(__xludf.DUMMYFUNCTION("""COMPUTED_VALUE"""),"#N/A")</f>
        <v>#N/A</v>
      </c>
      <c r="X1965" t="b">
        <f t="shared" ref="X1965:Z1965" si="3906">ISBLANK(K1965)</f>
        <v>1</v>
      </c>
      <c r="Y1965" t="b">
        <f t="shared" si="3906"/>
        <v>0</v>
      </c>
      <c r="Z1965" t="b">
        <f t="shared" si="3906"/>
        <v>0</v>
      </c>
      <c r="AA1965">
        <f t="shared" ref="AA1965:AC1965" si="3907">IF(X1965=FALSE,1,0)</f>
        <v>0</v>
      </c>
      <c r="AB1965">
        <f t="shared" si="3907"/>
        <v>1</v>
      </c>
      <c r="AC1965">
        <f t="shared" si="3907"/>
        <v>1</v>
      </c>
      <c r="AD1965">
        <f t="shared" si="6"/>
        <v>2</v>
      </c>
      <c r="AE1965">
        <f t="shared" si="7"/>
        <v>1</v>
      </c>
    </row>
    <row r="1966">
      <c r="B1966" t="str">
        <f>IFERROR(__xludf.DUMMYFUNCTION("""COMPUTED_VALUE"""),"")</f>
        <v/>
      </c>
      <c r="C1966" t="str">
        <f>IFERROR(__xludf.DUMMYFUNCTION("""COMPUTED_VALUE"""),"")</f>
        <v/>
      </c>
      <c r="D1966" t="str">
        <f>IFERROR(__xludf.DUMMYFUNCTION("""COMPUTED_VALUE"""),"")</f>
        <v/>
      </c>
      <c r="E1966" t="str">
        <f>IFERROR(__xludf.DUMMYFUNCTION("""COMPUTED_VALUE"""),"")</f>
        <v/>
      </c>
      <c r="F1966" t="str">
        <f>IFERROR(__xludf.DUMMYFUNCTION("""COMPUTED_VALUE"""),"")</f>
        <v/>
      </c>
      <c r="G1966" t="str">
        <f>IFERROR(__xludf.DUMMYFUNCTION("""COMPUTED_VALUE"""),"")</f>
        <v/>
      </c>
      <c r="H1966" t="str">
        <f>IFERROR(__xludf.DUMMYFUNCTION("""COMPUTED_VALUE"""),"")</f>
        <v/>
      </c>
      <c r="I1966" t="str">
        <f>IFERROR(__xludf.DUMMYFUNCTION("""COMPUTED_VALUE"""),"")</f>
        <v/>
      </c>
      <c r="J1966">
        <f>IFERROR(__xludf.DUMMYFUNCTION("""COMPUTED_VALUE"""),0.0)</f>
        <v>0</v>
      </c>
      <c r="L1966" s="250" t="str">
        <f>IFERROR(__xludf.DUMMYFUNCTION("""COMPUTED_VALUE"""),"")</f>
        <v/>
      </c>
      <c r="M1966" s="250" t="str">
        <f>IFERROR(__xludf.DUMMYFUNCTION("""COMPUTED_VALUE"""),"")</f>
        <v/>
      </c>
      <c r="N1966" s="250" t="str">
        <f>IFERROR(__xludf.DUMMYFUNCTION("""COMPUTED_VALUE"""),"")</f>
        <v/>
      </c>
      <c r="O1966" s="250" t="str">
        <f>IFERROR(__xludf.DUMMYFUNCTION("""COMPUTED_VALUE"""),"")</f>
        <v/>
      </c>
      <c r="P1966" s="250" t="str">
        <f>IFERROR(__xludf.DUMMYFUNCTION("""COMPUTED_VALUE"""),"")</f>
        <v/>
      </c>
      <c r="Q1966" s="250" t="str">
        <f>IFERROR(__xludf.DUMMYFUNCTION("""COMPUTED_VALUE"""),"")</f>
        <v/>
      </c>
      <c r="R1966" s="250" t="str">
        <f>IFERROR(__xludf.DUMMYFUNCTION("""COMPUTED_VALUE"""),"")</f>
        <v/>
      </c>
      <c r="U1966" s="250" t="str">
        <f>IFERROR(__xludf.DUMMYFUNCTION("""COMPUTED_VALUE"""),"#N/A")</f>
        <v>#N/A</v>
      </c>
      <c r="V1966" s="250" t="str">
        <f>IFERROR(__xludf.DUMMYFUNCTION("""COMPUTED_VALUE"""),"#N/A")</f>
        <v>#N/A</v>
      </c>
      <c r="W1966" s="250" t="str">
        <f>IFERROR(__xludf.DUMMYFUNCTION("""COMPUTED_VALUE"""),"#N/A")</f>
        <v>#N/A</v>
      </c>
      <c r="X1966" t="b">
        <f t="shared" ref="X1966:Z1966" si="3908">ISBLANK(K1966)</f>
        <v>1</v>
      </c>
      <c r="Y1966" t="b">
        <f t="shared" si="3908"/>
        <v>0</v>
      </c>
      <c r="Z1966" t="b">
        <f t="shared" si="3908"/>
        <v>0</v>
      </c>
      <c r="AA1966">
        <f t="shared" ref="AA1966:AC1966" si="3909">IF(X1966=FALSE,1,0)</f>
        <v>0</v>
      </c>
      <c r="AB1966">
        <f t="shared" si="3909"/>
        <v>1</v>
      </c>
      <c r="AC1966">
        <f t="shared" si="3909"/>
        <v>1</v>
      </c>
      <c r="AD1966">
        <f t="shared" si="6"/>
        <v>2</v>
      </c>
      <c r="AE1966">
        <f t="shared" si="7"/>
        <v>1</v>
      </c>
    </row>
    <row r="1967">
      <c r="B1967" t="str">
        <f>IFERROR(__xludf.DUMMYFUNCTION("""COMPUTED_VALUE"""),"")</f>
        <v/>
      </c>
      <c r="C1967" t="str">
        <f>IFERROR(__xludf.DUMMYFUNCTION("""COMPUTED_VALUE"""),"")</f>
        <v/>
      </c>
      <c r="D1967" t="str">
        <f>IFERROR(__xludf.DUMMYFUNCTION("""COMPUTED_VALUE"""),"")</f>
        <v/>
      </c>
      <c r="E1967" t="str">
        <f>IFERROR(__xludf.DUMMYFUNCTION("""COMPUTED_VALUE"""),"")</f>
        <v/>
      </c>
      <c r="F1967" t="str">
        <f>IFERROR(__xludf.DUMMYFUNCTION("""COMPUTED_VALUE"""),"")</f>
        <v/>
      </c>
      <c r="G1967" t="str">
        <f>IFERROR(__xludf.DUMMYFUNCTION("""COMPUTED_VALUE"""),"")</f>
        <v/>
      </c>
      <c r="H1967" t="str">
        <f>IFERROR(__xludf.DUMMYFUNCTION("""COMPUTED_VALUE"""),"")</f>
        <v/>
      </c>
      <c r="I1967" t="str">
        <f>IFERROR(__xludf.DUMMYFUNCTION("""COMPUTED_VALUE"""),"")</f>
        <v/>
      </c>
      <c r="J1967">
        <f>IFERROR(__xludf.DUMMYFUNCTION("""COMPUTED_VALUE"""),0.0)</f>
        <v>0</v>
      </c>
      <c r="L1967" s="250" t="str">
        <f>IFERROR(__xludf.DUMMYFUNCTION("""COMPUTED_VALUE"""),"")</f>
        <v/>
      </c>
      <c r="M1967" s="250" t="str">
        <f>IFERROR(__xludf.DUMMYFUNCTION("""COMPUTED_VALUE"""),"")</f>
        <v/>
      </c>
      <c r="N1967" s="250" t="str">
        <f>IFERROR(__xludf.DUMMYFUNCTION("""COMPUTED_VALUE"""),"")</f>
        <v/>
      </c>
      <c r="O1967" s="250" t="str">
        <f>IFERROR(__xludf.DUMMYFUNCTION("""COMPUTED_VALUE"""),"")</f>
        <v/>
      </c>
      <c r="P1967" s="250" t="str">
        <f>IFERROR(__xludf.DUMMYFUNCTION("""COMPUTED_VALUE"""),"")</f>
        <v/>
      </c>
      <c r="Q1967" s="250" t="str">
        <f>IFERROR(__xludf.DUMMYFUNCTION("""COMPUTED_VALUE"""),"")</f>
        <v/>
      </c>
      <c r="R1967" s="250" t="str">
        <f>IFERROR(__xludf.DUMMYFUNCTION("""COMPUTED_VALUE"""),"")</f>
        <v/>
      </c>
      <c r="U1967" s="250" t="str">
        <f>IFERROR(__xludf.DUMMYFUNCTION("""COMPUTED_VALUE"""),"#N/A")</f>
        <v>#N/A</v>
      </c>
      <c r="V1967" s="250" t="str">
        <f>IFERROR(__xludf.DUMMYFUNCTION("""COMPUTED_VALUE"""),"#N/A")</f>
        <v>#N/A</v>
      </c>
      <c r="W1967" s="250" t="str">
        <f>IFERROR(__xludf.DUMMYFUNCTION("""COMPUTED_VALUE"""),"#N/A")</f>
        <v>#N/A</v>
      </c>
      <c r="X1967" t="b">
        <f t="shared" ref="X1967:Z1967" si="3910">ISBLANK(K1967)</f>
        <v>1</v>
      </c>
      <c r="Y1967" t="b">
        <f t="shared" si="3910"/>
        <v>0</v>
      </c>
      <c r="Z1967" t="b">
        <f t="shared" si="3910"/>
        <v>0</v>
      </c>
      <c r="AA1967">
        <f t="shared" ref="AA1967:AC1967" si="3911">IF(X1967=FALSE,1,0)</f>
        <v>0</v>
      </c>
      <c r="AB1967">
        <f t="shared" si="3911"/>
        <v>1</v>
      </c>
      <c r="AC1967">
        <f t="shared" si="3911"/>
        <v>1</v>
      </c>
      <c r="AD1967">
        <f t="shared" si="6"/>
        <v>2</v>
      </c>
      <c r="AE1967">
        <f t="shared" si="7"/>
        <v>1</v>
      </c>
    </row>
    <row r="1968">
      <c r="B1968" t="str">
        <f>IFERROR(__xludf.DUMMYFUNCTION("""COMPUTED_VALUE"""),"")</f>
        <v/>
      </c>
      <c r="C1968" t="str">
        <f>IFERROR(__xludf.DUMMYFUNCTION("""COMPUTED_VALUE"""),"")</f>
        <v/>
      </c>
      <c r="D1968" t="str">
        <f>IFERROR(__xludf.DUMMYFUNCTION("""COMPUTED_VALUE"""),"")</f>
        <v/>
      </c>
      <c r="E1968" t="str">
        <f>IFERROR(__xludf.DUMMYFUNCTION("""COMPUTED_VALUE"""),"")</f>
        <v/>
      </c>
      <c r="F1968" t="str">
        <f>IFERROR(__xludf.DUMMYFUNCTION("""COMPUTED_VALUE"""),"")</f>
        <v/>
      </c>
      <c r="G1968" t="str">
        <f>IFERROR(__xludf.DUMMYFUNCTION("""COMPUTED_VALUE"""),"")</f>
        <v/>
      </c>
      <c r="H1968" t="str">
        <f>IFERROR(__xludf.DUMMYFUNCTION("""COMPUTED_VALUE"""),"")</f>
        <v/>
      </c>
      <c r="I1968" t="str">
        <f>IFERROR(__xludf.DUMMYFUNCTION("""COMPUTED_VALUE"""),"")</f>
        <v/>
      </c>
      <c r="J1968">
        <f>IFERROR(__xludf.DUMMYFUNCTION("""COMPUTED_VALUE"""),0.0)</f>
        <v>0</v>
      </c>
      <c r="L1968" s="250" t="str">
        <f>IFERROR(__xludf.DUMMYFUNCTION("""COMPUTED_VALUE"""),"")</f>
        <v/>
      </c>
      <c r="M1968" s="250" t="str">
        <f>IFERROR(__xludf.DUMMYFUNCTION("""COMPUTED_VALUE"""),"")</f>
        <v/>
      </c>
      <c r="N1968" s="250" t="str">
        <f>IFERROR(__xludf.DUMMYFUNCTION("""COMPUTED_VALUE"""),"")</f>
        <v/>
      </c>
      <c r="O1968" s="250" t="str">
        <f>IFERROR(__xludf.DUMMYFUNCTION("""COMPUTED_VALUE"""),"")</f>
        <v/>
      </c>
      <c r="P1968" s="250" t="str">
        <f>IFERROR(__xludf.DUMMYFUNCTION("""COMPUTED_VALUE"""),"")</f>
        <v/>
      </c>
      <c r="Q1968" s="250" t="str">
        <f>IFERROR(__xludf.DUMMYFUNCTION("""COMPUTED_VALUE"""),"")</f>
        <v/>
      </c>
      <c r="R1968" s="250" t="str">
        <f>IFERROR(__xludf.DUMMYFUNCTION("""COMPUTED_VALUE"""),"")</f>
        <v/>
      </c>
      <c r="U1968" s="250" t="str">
        <f>IFERROR(__xludf.DUMMYFUNCTION("""COMPUTED_VALUE"""),"#N/A")</f>
        <v>#N/A</v>
      </c>
      <c r="V1968" s="250" t="str">
        <f>IFERROR(__xludf.DUMMYFUNCTION("""COMPUTED_VALUE"""),"#N/A")</f>
        <v>#N/A</v>
      </c>
      <c r="W1968" s="250" t="str">
        <f>IFERROR(__xludf.DUMMYFUNCTION("""COMPUTED_VALUE"""),"#N/A")</f>
        <v>#N/A</v>
      </c>
      <c r="X1968" t="b">
        <f t="shared" ref="X1968:Z1968" si="3912">ISBLANK(K1968)</f>
        <v>1</v>
      </c>
      <c r="Y1968" t="b">
        <f t="shared" si="3912"/>
        <v>0</v>
      </c>
      <c r="Z1968" t="b">
        <f t="shared" si="3912"/>
        <v>0</v>
      </c>
      <c r="AA1968">
        <f t="shared" ref="AA1968:AC1968" si="3913">IF(X1968=FALSE,1,0)</f>
        <v>0</v>
      </c>
      <c r="AB1968">
        <f t="shared" si="3913"/>
        <v>1</v>
      </c>
      <c r="AC1968">
        <f t="shared" si="3913"/>
        <v>1</v>
      </c>
      <c r="AD1968">
        <f t="shared" si="6"/>
        <v>2</v>
      </c>
      <c r="AE1968">
        <f t="shared" si="7"/>
        <v>1</v>
      </c>
    </row>
    <row r="1969">
      <c r="B1969" t="str">
        <f>IFERROR(__xludf.DUMMYFUNCTION("""COMPUTED_VALUE"""),"")</f>
        <v/>
      </c>
      <c r="C1969" t="str">
        <f>IFERROR(__xludf.DUMMYFUNCTION("""COMPUTED_VALUE"""),"")</f>
        <v/>
      </c>
      <c r="D1969" t="str">
        <f>IFERROR(__xludf.DUMMYFUNCTION("""COMPUTED_VALUE"""),"")</f>
        <v/>
      </c>
      <c r="E1969" t="str">
        <f>IFERROR(__xludf.DUMMYFUNCTION("""COMPUTED_VALUE"""),"")</f>
        <v/>
      </c>
      <c r="F1969" t="str">
        <f>IFERROR(__xludf.DUMMYFUNCTION("""COMPUTED_VALUE"""),"")</f>
        <v/>
      </c>
      <c r="G1969" t="str">
        <f>IFERROR(__xludf.DUMMYFUNCTION("""COMPUTED_VALUE"""),"")</f>
        <v/>
      </c>
      <c r="H1969" t="str">
        <f>IFERROR(__xludf.DUMMYFUNCTION("""COMPUTED_VALUE"""),"")</f>
        <v/>
      </c>
      <c r="I1969" t="str">
        <f>IFERROR(__xludf.DUMMYFUNCTION("""COMPUTED_VALUE"""),"")</f>
        <v/>
      </c>
      <c r="J1969">
        <f>IFERROR(__xludf.DUMMYFUNCTION("""COMPUTED_VALUE"""),0.0)</f>
        <v>0</v>
      </c>
      <c r="L1969" s="250" t="str">
        <f>IFERROR(__xludf.DUMMYFUNCTION("""COMPUTED_VALUE"""),"")</f>
        <v/>
      </c>
      <c r="M1969" s="250" t="str">
        <f>IFERROR(__xludf.DUMMYFUNCTION("""COMPUTED_VALUE"""),"")</f>
        <v/>
      </c>
      <c r="N1969" s="250" t="str">
        <f>IFERROR(__xludf.DUMMYFUNCTION("""COMPUTED_VALUE"""),"")</f>
        <v/>
      </c>
      <c r="O1969" s="250" t="str">
        <f>IFERROR(__xludf.DUMMYFUNCTION("""COMPUTED_VALUE"""),"")</f>
        <v/>
      </c>
      <c r="P1969" s="250" t="str">
        <f>IFERROR(__xludf.DUMMYFUNCTION("""COMPUTED_VALUE"""),"")</f>
        <v/>
      </c>
      <c r="Q1969" s="250" t="str">
        <f>IFERROR(__xludf.DUMMYFUNCTION("""COMPUTED_VALUE"""),"")</f>
        <v/>
      </c>
      <c r="R1969" s="250" t="str">
        <f>IFERROR(__xludf.DUMMYFUNCTION("""COMPUTED_VALUE"""),"")</f>
        <v/>
      </c>
      <c r="U1969" s="250" t="str">
        <f>IFERROR(__xludf.DUMMYFUNCTION("""COMPUTED_VALUE"""),"#N/A")</f>
        <v>#N/A</v>
      </c>
      <c r="V1969" s="250" t="str">
        <f>IFERROR(__xludf.DUMMYFUNCTION("""COMPUTED_VALUE"""),"#N/A")</f>
        <v>#N/A</v>
      </c>
      <c r="W1969" s="250" t="str">
        <f>IFERROR(__xludf.DUMMYFUNCTION("""COMPUTED_VALUE"""),"#N/A")</f>
        <v>#N/A</v>
      </c>
      <c r="X1969" t="b">
        <f t="shared" ref="X1969:Z1969" si="3914">ISBLANK(K1969)</f>
        <v>1</v>
      </c>
      <c r="Y1969" t="b">
        <f t="shared" si="3914"/>
        <v>0</v>
      </c>
      <c r="Z1969" t="b">
        <f t="shared" si="3914"/>
        <v>0</v>
      </c>
      <c r="AA1969">
        <f t="shared" ref="AA1969:AC1969" si="3915">IF(X1969=FALSE,1,0)</f>
        <v>0</v>
      </c>
      <c r="AB1969">
        <f t="shared" si="3915"/>
        <v>1</v>
      </c>
      <c r="AC1969">
        <f t="shared" si="3915"/>
        <v>1</v>
      </c>
      <c r="AD1969">
        <f t="shared" si="6"/>
        <v>2</v>
      </c>
      <c r="AE1969">
        <f t="shared" si="7"/>
        <v>1</v>
      </c>
    </row>
    <row r="1970">
      <c r="B1970" t="str">
        <f>IFERROR(__xludf.DUMMYFUNCTION("""COMPUTED_VALUE"""),"")</f>
        <v/>
      </c>
      <c r="C1970" t="str">
        <f>IFERROR(__xludf.DUMMYFUNCTION("""COMPUTED_VALUE"""),"")</f>
        <v/>
      </c>
      <c r="D1970" t="str">
        <f>IFERROR(__xludf.DUMMYFUNCTION("""COMPUTED_VALUE"""),"")</f>
        <v/>
      </c>
      <c r="E1970" t="str">
        <f>IFERROR(__xludf.DUMMYFUNCTION("""COMPUTED_VALUE"""),"")</f>
        <v/>
      </c>
      <c r="F1970" t="str">
        <f>IFERROR(__xludf.DUMMYFUNCTION("""COMPUTED_VALUE"""),"")</f>
        <v/>
      </c>
      <c r="G1970" t="str">
        <f>IFERROR(__xludf.DUMMYFUNCTION("""COMPUTED_VALUE"""),"")</f>
        <v/>
      </c>
      <c r="H1970" t="str">
        <f>IFERROR(__xludf.DUMMYFUNCTION("""COMPUTED_VALUE"""),"")</f>
        <v/>
      </c>
      <c r="I1970" t="str">
        <f>IFERROR(__xludf.DUMMYFUNCTION("""COMPUTED_VALUE"""),"")</f>
        <v/>
      </c>
      <c r="J1970">
        <f>IFERROR(__xludf.DUMMYFUNCTION("""COMPUTED_VALUE"""),0.0)</f>
        <v>0</v>
      </c>
      <c r="L1970" s="250" t="str">
        <f>IFERROR(__xludf.DUMMYFUNCTION("""COMPUTED_VALUE"""),"")</f>
        <v/>
      </c>
      <c r="M1970" s="250" t="str">
        <f>IFERROR(__xludf.DUMMYFUNCTION("""COMPUTED_VALUE"""),"")</f>
        <v/>
      </c>
      <c r="N1970" s="250" t="str">
        <f>IFERROR(__xludf.DUMMYFUNCTION("""COMPUTED_VALUE"""),"")</f>
        <v/>
      </c>
      <c r="O1970" s="250" t="str">
        <f>IFERROR(__xludf.DUMMYFUNCTION("""COMPUTED_VALUE"""),"")</f>
        <v/>
      </c>
      <c r="P1970" s="250" t="str">
        <f>IFERROR(__xludf.DUMMYFUNCTION("""COMPUTED_VALUE"""),"")</f>
        <v/>
      </c>
      <c r="Q1970" s="250" t="str">
        <f>IFERROR(__xludf.DUMMYFUNCTION("""COMPUTED_VALUE"""),"")</f>
        <v/>
      </c>
      <c r="R1970" s="250" t="str">
        <f>IFERROR(__xludf.DUMMYFUNCTION("""COMPUTED_VALUE"""),"")</f>
        <v/>
      </c>
      <c r="U1970" s="250" t="str">
        <f>IFERROR(__xludf.DUMMYFUNCTION("""COMPUTED_VALUE"""),"#N/A")</f>
        <v>#N/A</v>
      </c>
      <c r="V1970" s="250" t="str">
        <f>IFERROR(__xludf.DUMMYFUNCTION("""COMPUTED_VALUE"""),"#N/A")</f>
        <v>#N/A</v>
      </c>
      <c r="W1970" s="250" t="str">
        <f>IFERROR(__xludf.DUMMYFUNCTION("""COMPUTED_VALUE"""),"#N/A")</f>
        <v>#N/A</v>
      </c>
      <c r="X1970" t="b">
        <f t="shared" ref="X1970:Z1970" si="3916">ISBLANK(K1970)</f>
        <v>1</v>
      </c>
      <c r="Y1970" t="b">
        <f t="shared" si="3916"/>
        <v>0</v>
      </c>
      <c r="Z1970" t="b">
        <f t="shared" si="3916"/>
        <v>0</v>
      </c>
      <c r="AA1970">
        <f t="shared" ref="AA1970:AC1970" si="3917">IF(X1970=FALSE,1,0)</f>
        <v>0</v>
      </c>
      <c r="AB1970">
        <f t="shared" si="3917"/>
        <v>1</v>
      </c>
      <c r="AC1970">
        <f t="shared" si="3917"/>
        <v>1</v>
      </c>
      <c r="AD1970">
        <f t="shared" si="6"/>
        <v>2</v>
      </c>
      <c r="AE1970">
        <f t="shared" si="7"/>
        <v>1</v>
      </c>
    </row>
    <row r="1971">
      <c r="B1971" t="str">
        <f>IFERROR(__xludf.DUMMYFUNCTION("""COMPUTED_VALUE"""),"")</f>
        <v/>
      </c>
      <c r="C1971" t="str">
        <f>IFERROR(__xludf.DUMMYFUNCTION("""COMPUTED_VALUE"""),"")</f>
        <v/>
      </c>
      <c r="D1971" t="str">
        <f>IFERROR(__xludf.DUMMYFUNCTION("""COMPUTED_VALUE"""),"")</f>
        <v/>
      </c>
      <c r="E1971" t="str">
        <f>IFERROR(__xludf.DUMMYFUNCTION("""COMPUTED_VALUE"""),"")</f>
        <v/>
      </c>
      <c r="F1971" t="str">
        <f>IFERROR(__xludf.DUMMYFUNCTION("""COMPUTED_VALUE"""),"")</f>
        <v/>
      </c>
      <c r="G1971" t="str">
        <f>IFERROR(__xludf.DUMMYFUNCTION("""COMPUTED_VALUE"""),"")</f>
        <v/>
      </c>
      <c r="H1971" t="str">
        <f>IFERROR(__xludf.DUMMYFUNCTION("""COMPUTED_VALUE"""),"")</f>
        <v/>
      </c>
      <c r="I1971" t="str">
        <f>IFERROR(__xludf.DUMMYFUNCTION("""COMPUTED_VALUE"""),"")</f>
        <v/>
      </c>
      <c r="J1971">
        <f>IFERROR(__xludf.DUMMYFUNCTION("""COMPUTED_VALUE"""),0.0)</f>
        <v>0</v>
      </c>
      <c r="L1971" s="250" t="str">
        <f>IFERROR(__xludf.DUMMYFUNCTION("""COMPUTED_VALUE"""),"")</f>
        <v/>
      </c>
      <c r="M1971" s="250" t="str">
        <f>IFERROR(__xludf.DUMMYFUNCTION("""COMPUTED_VALUE"""),"")</f>
        <v/>
      </c>
      <c r="N1971" s="250" t="str">
        <f>IFERROR(__xludf.DUMMYFUNCTION("""COMPUTED_VALUE"""),"")</f>
        <v/>
      </c>
      <c r="O1971" s="250" t="str">
        <f>IFERROR(__xludf.DUMMYFUNCTION("""COMPUTED_VALUE"""),"")</f>
        <v/>
      </c>
      <c r="P1971" s="250" t="str">
        <f>IFERROR(__xludf.DUMMYFUNCTION("""COMPUTED_VALUE"""),"")</f>
        <v/>
      </c>
      <c r="Q1971" s="250" t="str">
        <f>IFERROR(__xludf.DUMMYFUNCTION("""COMPUTED_VALUE"""),"")</f>
        <v/>
      </c>
      <c r="R1971" s="250" t="str">
        <f>IFERROR(__xludf.DUMMYFUNCTION("""COMPUTED_VALUE"""),"")</f>
        <v/>
      </c>
      <c r="U1971" s="250" t="str">
        <f>IFERROR(__xludf.DUMMYFUNCTION("""COMPUTED_VALUE"""),"#N/A")</f>
        <v>#N/A</v>
      </c>
      <c r="V1971" s="250" t="str">
        <f>IFERROR(__xludf.DUMMYFUNCTION("""COMPUTED_VALUE"""),"#N/A")</f>
        <v>#N/A</v>
      </c>
      <c r="W1971" s="250" t="str">
        <f>IFERROR(__xludf.DUMMYFUNCTION("""COMPUTED_VALUE"""),"#N/A")</f>
        <v>#N/A</v>
      </c>
      <c r="X1971" t="b">
        <f t="shared" ref="X1971:Z1971" si="3918">ISBLANK(K1971)</f>
        <v>1</v>
      </c>
      <c r="Y1971" t="b">
        <f t="shared" si="3918"/>
        <v>0</v>
      </c>
      <c r="Z1971" t="b">
        <f t="shared" si="3918"/>
        <v>0</v>
      </c>
      <c r="AA1971">
        <f t="shared" ref="AA1971:AC1971" si="3919">IF(X1971=FALSE,1,0)</f>
        <v>0</v>
      </c>
      <c r="AB1971">
        <f t="shared" si="3919"/>
        <v>1</v>
      </c>
      <c r="AC1971">
        <f t="shared" si="3919"/>
        <v>1</v>
      </c>
      <c r="AD1971">
        <f t="shared" si="6"/>
        <v>2</v>
      </c>
      <c r="AE1971">
        <f t="shared" si="7"/>
        <v>1</v>
      </c>
    </row>
    <row r="1972">
      <c r="B1972" t="str">
        <f>IFERROR(__xludf.DUMMYFUNCTION("""COMPUTED_VALUE"""),"")</f>
        <v/>
      </c>
      <c r="C1972" t="str">
        <f>IFERROR(__xludf.DUMMYFUNCTION("""COMPUTED_VALUE"""),"")</f>
        <v/>
      </c>
      <c r="D1972" t="str">
        <f>IFERROR(__xludf.DUMMYFUNCTION("""COMPUTED_VALUE"""),"")</f>
        <v/>
      </c>
      <c r="E1972" t="str">
        <f>IFERROR(__xludf.DUMMYFUNCTION("""COMPUTED_VALUE"""),"")</f>
        <v/>
      </c>
      <c r="F1972" t="str">
        <f>IFERROR(__xludf.DUMMYFUNCTION("""COMPUTED_VALUE"""),"")</f>
        <v/>
      </c>
      <c r="G1972" t="str">
        <f>IFERROR(__xludf.DUMMYFUNCTION("""COMPUTED_VALUE"""),"")</f>
        <v/>
      </c>
      <c r="H1972" t="str">
        <f>IFERROR(__xludf.DUMMYFUNCTION("""COMPUTED_VALUE"""),"")</f>
        <v/>
      </c>
      <c r="I1972" t="str">
        <f>IFERROR(__xludf.DUMMYFUNCTION("""COMPUTED_VALUE"""),"")</f>
        <v/>
      </c>
      <c r="J1972">
        <f>IFERROR(__xludf.DUMMYFUNCTION("""COMPUTED_VALUE"""),0.0)</f>
        <v>0</v>
      </c>
      <c r="L1972" s="250" t="str">
        <f>IFERROR(__xludf.DUMMYFUNCTION("""COMPUTED_VALUE"""),"")</f>
        <v/>
      </c>
      <c r="M1972" s="250" t="str">
        <f>IFERROR(__xludf.DUMMYFUNCTION("""COMPUTED_VALUE"""),"")</f>
        <v/>
      </c>
      <c r="N1972" s="250" t="str">
        <f>IFERROR(__xludf.DUMMYFUNCTION("""COMPUTED_VALUE"""),"")</f>
        <v/>
      </c>
      <c r="O1972" s="250" t="str">
        <f>IFERROR(__xludf.DUMMYFUNCTION("""COMPUTED_VALUE"""),"")</f>
        <v/>
      </c>
      <c r="P1972" s="250" t="str">
        <f>IFERROR(__xludf.DUMMYFUNCTION("""COMPUTED_VALUE"""),"")</f>
        <v/>
      </c>
      <c r="Q1972" s="250" t="str">
        <f>IFERROR(__xludf.DUMMYFUNCTION("""COMPUTED_VALUE"""),"")</f>
        <v/>
      </c>
      <c r="R1972" s="250" t="str">
        <f>IFERROR(__xludf.DUMMYFUNCTION("""COMPUTED_VALUE"""),"")</f>
        <v/>
      </c>
      <c r="U1972" s="250" t="str">
        <f>IFERROR(__xludf.DUMMYFUNCTION("""COMPUTED_VALUE"""),"#N/A")</f>
        <v>#N/A</v>
      </c>
      <c r="V1972" s="250" t="str">
        <f>IFERROR(__xludf.DUMMYFUNCTION("""COMPUTED_VALUE"""),"#N/A")</f>
        <v>#N/A</v>
      </c>
      <c r="W1972" s="250" t="str">
        <f>IFERROR(__xludf.DUMMYFUNCTION("""COMPUTED_VALUE"""),"#N/A")</f>
        <v>#N/A</v>
      </c>
      <c r="X1972" t="b">
        <f t="shared" ref="X1972:Z1972" si="3920">ISBLANK(K1972)</f>
        <v>1</v>
      </c>
      <c r="Y1972" t="b">
        <f t="shared" si="3920"/>
        <v>0</v>
      </c>
      <c r="Z1972" t="b">
        <f t="shared" si="3920"/>
        <v>0</v>
      </c>
      <c r="AA1972">
        <f t="shared" ref="AA1972:AC1972" si="3921">IF(X1972=FALSE,1,0)</f>
        <v>0</v>
      </c>
      <c r="AB1972">
        <f t="shared" si="3921"/>
        <v>1</v>
      </c>
      <c r="AC1972">
        <f t="shared" si="3921"/>
        <v>1</v>
      </c>
      <c r="AD1972">
        <f t="shared" si="6"/>
        <v>2</v>
      </c>
      <c r="AE1972">
        <f t="shared" si="7"/>
        <v>1</v>
      </c>
    </row>
    <row r="1973">
      <c r="B1973" t="str">
        <f>IFERROR(__xludf.DUMMYFUNCTION("""COMPUTED_VALUE"""),"")</f>
        <v/>
      </c>
      <c r="C1973" t="str">
        <f>IFERROR(__xludf.DUMMYFUNCTION("""COMPUTED_VALUE"""),"")</f>
        <v/>
      </c>
      <c r="D1973" t="str">
        <f>IFERROR(__xludf.DUMMYFUNCTION("""COMPUTED_VALUE"""),"")</f>
        <v/>
      </c>
      <c r="E1973" t="str">
        <f>IFERROR(__xludf.DUMMYFUNCTION("""COMPUTED_VALUE"""),"")</f>
        <v/>
      </c>
      <c r="F1973" t="str">
        <f>IFERROR(__xludf.DUMMYFUNCTION("""COMPUTED_VALUE"""),"")</f>
        <v/>
      </c>
      <c r="G1973" t="str">
        <f>IFERROR(__xludf.DUMMYFUNCTION("""COMPUTED_VALUE"""),"")</f>
        <v/>
      </c>
      <c r="H1973" t="str">
        <f>IFERROR(__xludf.DUMMYFUNCTION("""COMPUTED_VALUE"""),"")</f>
        <v/>
      </c>
      <c r="I1973" t="str">
        <f>IFERROR(__xludf.DUMMYFUNCTION("""COMPUTED_VALUE"""),"")</f>
        <v/>
      </c>
      <c r="J1973">
        <f>IFERROR(__xludf.DUMMYFUNCTION("""COMPUTED_VALUE"""),0.0)</f>
        <v>0</v>
      </c>
      <c r="L1973" s="250" t="str">
        <f>IFERROR(__xludf.DUMMYFUNCTION("""COMPUTED_VALUE"""),"")</f>
        <v/>
      </c>
      <c r="M1973" s="250" t="str">
        <f>IFERROR(__xludf.DUMMYFUNCTION("""COMPUTED_VALUE"""),"")</f>
        <v/>
      </c>
      <c r="N1973" s="250" t="str">
        <f>IFERROR(__xludf.DUMMYFUNCTION("""COMPUTED_VALUE"""),"")</f>
        <v/>
      </c>
      <c r="O1973" s="250" t="str">
        <f>IFERROR(__xludf.DUMMYFUNCTION("""COMPUTED_VALUE"""),"")</f>
        <v/>
      </c>
      <c r="P1973" s="250" t="str">
        <f>IFERROR(__xludf.DUMMYFUNCTION("""COMPUTED_VALUE"""),"")</f>
        <v/>
      </c>
      <c r="Q1973" s="250" t="str">
        <f>IFERROR(__xludf.DUMMYFUNCTION("""COMPUTED_VALUE"""),"")</f>
        <v/>
      </c>
      <c r="R1973" s="250" t="str">
        <f>IFERROR(__xludf.DUMMYFUNCTION("""COMPUTED_VALUE"""),"")</f>
        <v/>
      </c>
      <c r="U1973" s="250" t="str">
        <f>IFERROR(__xludf.DUMMYFUNCTION("""COMPUTED_VALUE"""),"#N/A")</f>
        <v>#N/A</v>
      </c>
      <c r="V1973" s="250" t="str">
        <f>IFERROR(__xludf.DUMMYFUNCTION("""COMPUTED_VALUE"""),"#N/A")</f>
        <v>#N/A</v>
      </c>
      <c r="W1973" s="250" t="str">
        <f>IFERROR(__xludf.DUMMYFUNCTION("""COMPUTED_VALUE"""),"#N/A")</f>
        <v>#N/A</v>
      </c>
      <c r="X1973" t="b">
        <f t="shared" ref="X1973:Z1973" si="3922">ISBLANK(K1973)</f>
        <v>1</v>
      </c>
      <c r="Y1973" t="b">
        <f t="shared" si="3922"/>
        <v>0</v>
      </c>
      <c r="Z1973" t="b">
        <f t="shared" si="3922"/>
        <v>0</v>
      </c>
      <c r="AA1973">
        <f t="shared" ref="AA1973:AC1973" si="3923">IF(X1973=FALSE,1,0)</f>
        <v>0</v>
      </c>
      <c r="AB1973">
        <f t="shared" si="3923"/>
        <v>1</v>
      </c>
      <c r="AC1973">
        <f t="shared" si="3923"/>
        <v>1</v>
      </c>
      <c r="AD1973">
        <f t="shared" si="6"/>
        <v>2</v>
      </c>
      <c r="AE1973">
        <f t="shared" si="7"/>
        <v>1</v>
      </c>
    </row>
    <row r="1974">
      <c r="B1974" t="str">
        <f>IFERROR(__xludf.DUMMYFUNCTION("""COMPUTED_VALUE"""),"")</f>
        <v/>
      </c>
      <c r="C1974" t="str">
        <f>IFERROR(__xludf.DUMMYFUNCTION("""COMPUTED_VALUE"""),"")</f>
        <v/>
      </c>
      <c r="D1974" t="str">
        <f>IFERROR(__xludf.DUMMYFUNCTION("""COMPUTED_VALUE"""),"")</f>
        <v/>
      </c>
      <c r="E1974" t="str">
        <f>IFERROR(__xludf.DUMMYFUNCTION("""COMPUTED_VALUE"""),"")</f>
        <v/>
      </c>
      <c r="F1974" t="str">
        <f>IFERROR(__xludf.DUMMYFUNCTION("""COMPUTED_VALUE"""),"")</f>
        <v/>
      </c>
      <c r="G1974" t="str">
        <f>IFERROR(__xludf.DUMMYFUNCTION("""COMPUTED_VALUE"""),"")</f>
        <v/>
      </c>
      <c r="H1974" t="str">
        <f>IFERROR(__xludf.DUMMYFUNCTION("""COMPUTED_VALUE"""),"")</f>
        <v/>
      </c>
      <c r="I1974" t="str">
        <f>IFERROR(__xludf.DUMMYFUNCTION("""COMPUTED_VALUE"""),"")</f>
        <v/>
      </c>
      <c r="J1974">
        <f>IFERROR(__xludf.DUMMYFUNCTION("""COMPUTED_VALUE"""),0.0)</f>
        <v>0</v>
      </c>
      <c r="L1974" s="250" t="str">
        <f>IFERROR(__xludf.DUMMYFUNCTION("""COMPUTED_VALUE"""),"")</f>
        <v/>
      </c>
      <c r="M1974" s="250" t="str">
        <f>IFERROR(__xludf.DUMMYFUNCTION("""COMPUTED_VALUE"""),"")</f>
        <v/>
      </c>
      <c r="N1974" s="250" t="str">
        <f>IFERROR(__xludf.DUMMYFUNCTION("""COMPUTED_VALUE"""),"")</f>
        <v/>
      </c>
      <c r="O1974" s="250" t="str">
        <f>IFERROR(__xludf.DUMMYFUNCTION("""COMPUTED_VALUE"""),"")</f>
        <v/>
      </c>
      <c r="P1974" s="250" t="str">
        <f>IFERROR(__xludf.DUMMYFUNCTION("""COMPUTED_VALUE"""),"")</f>
        <v/>
      </c>
      <c r="Q1974" s="250" t="str">
        <f>IFERROR(__xludf.DUMMYFUNCTION("""COMPUTED_VALUE"""),"")</f>
        <v/>
      </c>
      <c r="R1974" s="250" t="str">
        <f>IFERROR(__xludf.DUMMYFUNCTION("""COMPUTED_VALUE"""),"")</f>
        <v/>
      </c>
      <c r="U1974" s="250" t="str">
        <f>IFERROR(__xludf.DUMMYFUNCTION("""COMPUTED_VALUE"""),"#N/A")</f>
        <v>#N/A</v>
      </c>
      <c r="V1974" s="250" t="str">
        <f>IFERROR(__xludf.DUMMYFUNCTION("""COMPUTED_VALUE"""),"#N/A")</f>
        <v>#N/A</v>
      </c>
      <c r="W1974" s="250" t="str">
        <f>IFERROR(__xludf.DUMMYFUNCTION("""COMPUTED_VALUE"""),"#N/A")</f>
        <v>#N/A</v>
      </c>
      <c r="X1974" t="b">
        <f t="shared" ref="X1974:Z1974" si="3924">ISBLANK(K1974)</f>
        <v>1</v>
      </c>
      <c r="Y1974" t="b">
        <f t="shared" si="3924"/>
        <v>0</v>
      </c>
      <c r="Z1974" t="b">
        <f t="shared" si="3924"/>
        <v>0</v>
      </c>
      <c r="AA1974">
        <f t="shared" ref="AA1974:AC1974" si="3925">IF(X1974=FALSE,1,0)</f>
        <v>0</v>
      </c>
      <c r="AB1974">
        <f t="shared" si="3925"/>
        <v>1</v>
      </c>
      <c r="AC1974">
        <f t="shared" si="3925"/>
        <v>1</v>
      </c>
      <c r="AD1974">
        <f t="shared" si="6"/>
        <v>2</v>
      </c>
      <c r="AE1974">
        <f t="shared" si="7"/>
        <v>1</v>
      </c>
    </row>
    <row r="1975">
      <c r="B1975" t="str">
        <f>IFERROR(__xludf.DUMMYFUNCTION("""COMPUTED_VALUE"""),"")</f>
        <v/>
      </c>
      <c r="C1975" t="str">
        <f>IFERROR(__xludf.DUMMYFUNCTION("""COMPUTED_VALUE"""),"")</f>
        <v/>
      </c>
      <c r="D1975" t="str">
        <f>IFERROR(__xludf.DUMMYFUNCTION("""COMPUTED_VALUE"""),"")</f>
        <v/>
      </c>
      <c r="E1975" t="str">
        <f>IFERROR(__xludf.DUMMYFUNCTION("""COMPUTED_VALUE"""),"")</f>
        <v/>
      </c>
      <c r="F1975" t="str">
        <f>IFERROR(__xludf.DUMMYFUNCTION("""COMPUTED_VALUE"""),"")</f>
        <v/>
      </c>
      <c r="G1975" t="str">
        <f>IFERROR(__xludf.DUMMYFUNCTION("""COMPUTED_VALUE"""),"")</f>
        <v/>
      </c>
      <c r="H1975" t="str">
        <f>IFERROR(__xludf.DUMMYFUNCTION("""COMPUTED_VALUE"""),"")</f>
        <v/>
      </c>
      <c r="I1975" t="str">
        <f>IFERROR(__xludf.DUMMYFUNCTION("""COMPUTED_VALUE"""),"")</f>
        <v/>
      </c>
      <c r="J1975">
        <f>IFERROR(__xludf.DUMMYFUNCTION("""COMPUTED_VALUE"""),0.0)</f>
        <v>0</v>
      </c>
      <c r="L1975" s="250" t="str">
        <f>IFERROR(__xludf.DUMMYFUNCTION("""COMPUTED_VALUE"""),"")</f>
        <v/>
      </c>
      <c r="M1975" s="250" t="str">
        <f>IFERROR(__xludf.DUMMYFUNCTION("""COMPUTED_VALUE"""),"")</f>
        <v/>
      </c>
      <c r="N1975" s="250" t="str">
        <f>IFERROR(__xludf.DUMMYFUNCTION("""COMPUTED_VALUE"""),"")</f>
        <v/>
      </c>
      <c r="O1975" s="250" t="str">
        <f>IFERROR(__xludf.DUMMYFUNCTION("""COMPUTED_VALUE"""),"")</f>
        <v/>
      </c>
      <c r="P1975" s="250" t="str">
        <f>IFERROR(__xludf.DUMMYFUNCTION("""COMPUTED_VALUE"""),"")</f>
        <v/>
      </c>
      <c r="Q1975" s="250" t="str">
        <f>IFERROR(__xludf.DUMMYFUNCTION("""COMPUTED_VALUE"""),"")</f>
        <v/>
      </c>
      <c r="R1975" s="250" t="str">
        <f>IFERROR(__xludf.DUMMYFUNCTION("""COMPUTED_VALUE"""),"")</f>
        <v/>
      </c>
      <c r="U1975" s="250" t="str">
        <f>IFERROR(__xludf.DUMMYFUNCTION("""COMPUTED_VALUE"""),"#N/A")</f>
        <v>#N/A</v>
      </c>
      <c r="V1975" s="250" t="str">
        <f>IFERROR(__xludf.DUMMYFUNCTION("""COMPUTED_VALUE"""),"#N/A")</f>
        <v>#N/A</v>
      </c>
      <c r="W1975" s="250" t="str">
        <f>IFERROR(__xludf.DUMMYFUNCTION("""COMPUTED_VALUE"""),"#N/A")</f>
        <v>#N/A</v>
      </c>
      <c r="X1975" t="b">
        <f t="shared" ref="X1975:Z1975" si="3926">ISBLANK(K1975)</f>
        <v>1</v>
      </c>
      <c r="Y1975" t="b">
        <f t="shared" si="3926"/>
        <v>0</v>
      </c>
      <c r="Z1975" t="b">
        <f t="shared" si="3926"/>
        <v>0</v>
      </c>
      <c r="AA1975">
        <f t="shared" ref="AA1975:AC1975" si="3927">IF(X1975=FALSE,1,0)</f>
        <v>0</v>
      </c>
      <c r="AB1975">
        <f t="shared" si="3927"/>
        <v>1</v>
      </c>
      <c r="AC1975">
        <f t="shared" si="3927"/>
        <v>1</v>
      </c>
      <c r="AD1975">
        <f t="shared" si="6"/>
        <v>2</v>
      </c>
      <c r="AE1975">
        <f t="shared" si="7"/>
        <v>1</v>
      </c>
    </row>
    <row r="1976">
      <c r="B1976" t="str">
        <f>IFERROR(__xludf.DUMMYFUNCTION("""COMPUTED_VALUE"""),"")</f>
        <v/>
      </c>
      <c r="C1976" t="str">
        <f>IFERROR(__xludf.DUMMYFUNCTION("""COMPUTED_VALUE"""),"")</f>
        <v/>
      </c>
      <c r="D1976" t="str">
        <f>IFERROR(__xludf.DUMMYFUNCTION("""COMPUTED_VALUE"""),"")</f>
        <v/>
      </c>
      <c r="E1976" t="str">
        <f>IFERROR(__xludf.DUMMYFUNCTION("""COMPUTED_VALUE"""),"")</f>
        <v/>
      </c>
      <c r="F1976" t="str">
        <f>IFERROR(__xludf.DUMMYFUNCTION("""COMPUTED_VALUE"""),"")</f>
        <v/>
      </c>
      <c r="G1976" t="str">
        <f>IFERROR(__xludf.DUMMYFUNCTION("""COMPUTED_VALUE"""),"")</f>
        <v/>
      </c>
      <c r="H1976" t="str">
        <f>IFERROR(__xludf.DUMMYFUNCTION("""COMPUTED_VALUE"""),"")</f>
        <v/>
      </c>
      <c r="I1976" t="str">
        <f>IFERROR(__xludf.DUMMYFUNCTION("""COMPUTED_VALUE"""),"")</f>
        <v/>
      </c>
      <c r="J1976">
        <f>IFERROR(__xludf.DUMMYFUNCTION("""COMPUTED_VALUE"""),0.0)</f>
        <v>0</v>
      </c>
      <c r="L1976" s="250" t="str">
        <f>IFERROR(__xludf.DUMMYFUNCTION("""COMPUTED_VALUE"""),"")</f>
        <v/>
      </c>
      <c r="M1976" s="250" t="str">
        <f>IFERROR(__xludf.DUMMYFUNCTION("""COMPUTED_VALUE"""),"")</f>
        <v/>
      </c>
      <c r="N1976" s="250" t="str">
        <f>IFERROR(__xludf.DUMMYFUNCTION("""COMPUTED_VALUE"""),"")</f>
        <v/>
      </c>
      <c r="O1976" s="250" t="str">
        <f>IFERROR(__xludf.DUMMYFUNCTION("""COMPUTED_VALUE"""),"")</f>
        <v/>
      </c>
      <c r="P1976" s="250" t="str">
        <f>IFERROR(__xludf.DUMMYFUNCTION("""COMPUTED_VALUE"""),"")</f>
        <v/>
      </c>
      <c r="Q1976" s="250" t="str">
        <f>IFERROR(__xludf.DUMMYFUNCTION("""COMPUTED_VALUE"""),"")</f>
        <v/>
      </c>
      <c r="R1976" s="250" t="str">
        <f>IFERROR(__xludf.DUMMYFUNCTION("""COMPUTED_VALUE"""),"")</f>
        <v/>
      </c>
      <c r="U1976" s="250" t="str">
        <f>IFERROR(__xludf.DUMMYFUNCTION("""COMPUTED_VALUE"""),"#N/A")</f>
        <v>#N/A</v>
      </c>
      <c r="V1976" s="250" t="str">
        <f>IFERROR(__xludf.DUMMYFUNCTION("""COMPUTED_VALUE"""),"#N/A")</f>
        <v>#N/A</v>
      </c>
      <c r="W1976" s="250" t="str">
        <f>IFERROR(__xludf.DUMMYFUNCTION("""COMPUTED_VALUE"""),"#N/A")</f>
        <v>#N/A</v>
      </c>
      <c r="X1976" t="b">
        <f t="shared" ref="X1976:Z1976" si="3928">ISBLANK(K1976)</f>
        <v>1</v>
      </c>
      <c r="Y1976" t="b">
        <f t="shared" si="3928"/>
        <v>0</v>
      </c>
      <c r="Z1976" t="b">
        <f t="shared" si="3928"/>
        <v>0</v>
      </c>
      <c r="AA1976">
        <f t="shared" ref="AA1976:AC1976" si="3929">IF(X1976=FALSE,1,0)</f>
        <v>0</v>
      </c>
      <c r="AB1976">
        <f t="shared" si="3929"/>
        <v>1</v>
      </c>
      <c r="AC1976">
        <f t="shared" si="3929"/>
        <v>1</v>
      </c>
      <c r="AD1976">
        <f t="shared" si="6"/>
        <v>2</v>
      </c>
      <c r="AE1976">
        <f t="shared" si="7"/>
        <v>1</v>
      </c>
    </row>
    <row r="1977">
      <c r="B1977" t="str">
        <f>IFERROR(__xludf.DUMMYFUNCTION("""COMPUTED_VALUE"""),"")</f>
        <v/>
      </c>
      <c r="C1977" t="str">
        <f>IFERROR(__xludf.DUMMYFUNCTION("""COMPUTED_VALUE"""),"")</f>
        <v/>
      </c>
      <c r="D1977" t="str">
        <f>IFERROR(__xludf.DUMMYFUNCTION("""COMPUTED_VALUE"""),"")</f>
        <v/>
      </c>
      <c r="E1977" t="str">
        <f>IFERROR(__xludf.DUMMYFUNCTION("""COMPUTED_VALUE"""),"")</f>
        <v/>
      </c>
      <c r="F1977" t="str">
        <f>IFERROR(__xludf.DUMMYFUNCTION("""COMPUTED_VALUE"""),"")</f>
        <v/>
      </c>
      <c r="G1977" t="str">
        <f>IFERROR(__xludf.DUMMYFUNCTION("""COMPUTED_VALUE"""),"")</f>
        <v/>
      </c>
      <c r="H1977" t="str">
        <f>IFERROR(__xludf.DUMMYFUNCTION("""COMPUTED_VALUE"""),"")</f>
        <v/>
      </c>
      <c r="I1977" t="str">
        <f>IFERROR(__xludf.DUMMYFUNCTION("""COMPUTED_VALUE"""),"")</f>
        <v/>
      </c>
      <c r="J1977">
        <f>IFERROR(__xludf.DUMMYFUNCTION("""COMPUTED_VALUE"""),0.0)</f>
        <v>0</v>
      </c>
      <c r="L1977" s="250" t="str">
        <f>IFERROR(__xludf.DUMMYFUNCTION("""COMPUTED_VALUE"""),"")</f>
        <v/>
      </c>
      <c r="M1977" s="250" t="str">
        <f>IFERROR(__xludf.DUMMYFUNCTION("""COMPUTED_VALUE"""),"")</f>
        <v/>
      </c>
      <c r="N1977" s="250" t="str">
        <f>IFERROR(__xludf.DUMMYFUNCTION("""COMPUTED_VALUE"""),"")</f>
        <v/>
      </c>
      <c r="O1977" s="250" t="str">
        <f>IFERROR(__xludf.DUMMYFUNCTION("""COMPUTED_VALUE"""),"")</f>
        <v/>
      </c>
      <c r="P1977" s="250" t="str">
        <f>IFERROR(__xludf.DUMMYFUNCTION("""COMPUTED_VALUE"""),"")</f>
        <v/>
      </c>
      <c r="Q1977" s="250" t="str">
        <f>IFERROR(__xludf.DUMMYFUNCTION("""COMPUTED_VALUE"""),"")</f>
        <v/>
      </c>
      <c r="R1977" s="250" t="str">
        <f>IFERROR(__xludf.DUMMYFUNCTION("""COMPUTED_VALUE"""),"")</f>
        <v/>
      </c>
      <c r="U1977" s="250" t="str">
        <f>IFERROR(__xludf.DUMMYFUNCTION("""COMPUTED_VALUE"""),"#N/A")</f>
        <v>#N/A</v>
      </c>
      <c r="V1977" s="250" t="str">
        <f>IFERROR(__xludf.DUMMYFUNCTION("""COMPUTED_VALUE"""),"#N/A")</f>
        <v>#N/A</v>
      </c>
      <c r="W1977" s="250" t="str">
        <f>IFERROR(__xludf.DUMMYFUNCTION("""COMPUTED_VALUE"""),"#N/A")</f>
        <v>#N/A</v>
      </c>
      <c r="X1977" t="b">
        <f t="shared" ref="X1977:Z1977" si="3930">ISBLANK(K1977)</f>
        <v>1</v>
      </c>
      <c r="Y1977" t="b">
        <f t="shared" si="3930"/>
        <v>0</v>
      </c>
      <c r="Z1977" t="b">
        <f t="shared" si="3930"/>
        <v>0</v>
      </c>
      <c r="AA1977">
        <f t="shared" ref="AA1977:AC1977" si="3931">IF(X1977=FALSE,1,0)</f>
        <v>0</v>
      </c>
      <c r="AB1977">
        <f t="shared" si="3931"/>
        <v>1</v>
      </c>
      <c r="AC1977">
        <f t="shared" si="3931"/>
        <v>1</v>
      </c>
      <c r="AD1977">
        <f t="shared" si="6"/>
        <v>2</v>
      </c>
      <c r="AE1977">
        <f t="shared" si="7"/>
        <v>1</v>
      </c>
    </row>
    <row r="1978">
      <c r="B1978" t="str">
        <f>IFERROR(__xludf.DUMMYFUNCTION("""COMPUTED_VALUE"""),"")</f>
        <v/>
      </c>
      <c r="C1978" t="str">
        <f>IFERROR(__xludf.DUMMYFUNCTION("""COMPUTED_VALUE"""),"")</f>
        <v/>
      </c>
      <c r="D1978" t="str">
        <f>IFERROR(__xludf.DUMMYFUNCTION("""COMPUTED_VALUE"""),"")</f>
        <v/>
      </c>
      <c r="E1978" t="str">
        <f>IFERROR(__xludf.DUMMYFUNCTION("""COMPUTED_VALUE"""),"")</f>
        <v/>
      </c>
      <c r="F1978" t="str">
        <f>IFERROR(__xludf.DUMMYFUNCTION("""COMPUTED_VALUE"""),"")</f>
        <v/>
      </c>
      <c r="G1978" t="str">
        <f>IFERROR(__xludf.DUMMYFUNCTION("""COMPUTED_VALUE"""),"")</f>
        <v/>
      </c>
      <c r="H1978" t="str">
        <f>IFERROR(__xludf.DUMMYFUNCTION("""COMPUTED_VALUE"""),"")</f>
        <v/>
      </c>
      <c r="I1978" t="str">
        <f>IFERROR(__xludf.DUMMYFUNCTION("""COMPUTED_VALUE"""),"")</f>
        <v/>
      </c>
      <c r="J1978">
        <f>IFERROR(__xludf.DUMMYFUNCTION("""COMPUTED_VALUE"""),0.0)</f>
        <v>0</v>
      </c>
      <c r="L1978" s="250" t="str">
        <f>IFERROR(__xludf.DUMMYFUNCTION("""COMPUTED_VALUE"""),"")</f>
        <v/>
      </c>
      <c r="M1978" s="250" t="str">
        <f>IFERROR(__xludf.DUMMYFUNCTION("""COMPUTED_VALUE"""),"")</f>
        <v/>
      </c>
      <c r="N1978" s="250" t="str">
        <f>IFERROR(__xludf.DUMMYFUNCTION("""COMPUTED_VALUE"""),"")</f>
        <v/>
      </c>
      <c r="O1978" s="250" t="str">
        <f>IFERROR(__xludf.DUMMYFUNCTION("""COMPUTED_VALUE"""),"")</f>
        <v/>
      </c>
      <c r="P1978" s="250" t="str">
        <f>IFERROR(__xludf.DUMMYFUNCTION("""COMPUTED_VALUE"""),"")</f>
        <v/>
      </c>
      <c r="Q1978" s="250" t="str">
        <f>IFERROR(__xludf.DUMMYFUNCTION("""COMPUTED_VALUE"""),"")</f>
        <v/>
      </c>
      <c r="R1978" s="250" t="str">
        <f>IFERROR(__xludf.DUMMYFUNCTION("""COMPUTED_VALUE"""),"")</f>
        <v/>
      </c>
      <c r="U1978" s="250" t="str">
        <f>IFERROR(__xludf.DUMMYFUNCTION("""COMPUTED_VALUE"""),"#N/A")</f>
        <v>#N/A</v>
      </c>
      <c r="V1978" s="250" t="str">
        <f>IFERROR(__xludf.DUMMYFUNCTION("""COMPUTED_VALUE"""),"#N/A")</f>
        <v>#N/A</v>
      </c>
      <c r="W1978" s="250" t="str">
        <f>IFERROR(__xludf.DUMMYFUNCTION("""COMPUTED_VALUE"""),"#N/A")</f>
        <v>#N/A</v>
      </c>
      <c r="X1978" t="b">
        <f t="shared" ref="X1978:Z1978" si="3932">ISBLANK(K1978)</f>
        <v>1</v>
      </c>
      <c r="Y1978" t="b">
        <f t="shared" si="3932"/>
        <v>0</v>
      </c>
      <c r="Z1978" t="b">
        <f t="shared" si="3932"/>
        <v>0</v>
      </c>
      <c r="AA1978">
        <f t="shared" ref="AA1978:AC1978" si="3933">IF(X1978=FALSE,1,0)</f>
        <v>0</v>
      </c>
      <c r="AB1978">
        <f t="shared" si="3933"/>
        <v>1</v>
      </c>
      <c r="AC1978">
        <f t="shared" si="3933"/>
        <v>1</v>
      </c>
      <c r="AD1978">
        <f t="shared" si="6"/>
        <v>2</v>
      </c>
      <c r="AE1978">
        <f t="shared" si="7"/>
        <v>1</v>
      </c>
    </row>
    <row r="1979">
      <c r="B1979" t="str">
        <f>IFERROR(__xludf.DUMMYFUNCTION("""COMPUTED_VALUE"""),"")</f>
        <v/>
      </c>
      <c r="C1979" t="str">
        <f>IFERROR(__xludf.DUMMYFUNCTION("""COMPUTED_VALUE"""),"")</f>
        <v/>
      </c>
      <c r="D1979" t="str">
        <f>IFERROR(__xludf.DUMMYFUNCTION("""COMPUTED_VALUE"""),"")</f>
        <v/>
      </c>
      <c r="E1979" t="str">
        <f>IFERROR(__xludf.DUMMYFUNCTION("""COMPUTED_VALUE"""),"")</f>
        <v/>
      </c>
      <c r="F1979" t="str">
        <f>IFERROR(__xludf.DUMMYFUNCTION("""COMPUTED_VALUE"""),"")</f>
        <v/>
      </c>
      <c r="G1979" t="str">
        <f>IFERROR(__xludf.DUMMYFUNCTION("""COMPUTED_VALUE"""),"")</f>
        <v/>
      </c>
      <c r="H1979" t="str">
        <f>IFERROR(__xludf.DUMMYFUNCTION("""COMPUTED_VALUE"""),"")</f>
        <v/>
      </c>
      <c r="I1979" t="str">
        <f>IFERROR(__xludf.DUMMYFUNCTION("""COMPUTED_VALUE"""),"")</f>
        <v/>
      </c>
      <c r="J1979">
        <f>IFERROR(__xludf.DUMMYFUNCTION("""COMPUTED_VALUE"""),0.0)</f>
        <v>0</v>
      </c>
      <c r="L1979" s="250" t="str">
        <f>IFERROR(__xludf.DUMMYFUNCTION("""COMPUTED_VALUE"""),"")</f>
        <v/>
      </c>
      <c r="M1979" s="250" t="str">
        <f>IFERROR(__xludf.DUMMYFUNCTION("""COMPUTED_VALUE"""),"")</f>
        <v/>
      </c>
      <c r="N1979" s="250" t="str">
        <f>IFERROR(__xludf.DUMMYFUNCTION("""COMPUTED_VALUE"""),"")</f>
        <v/>
      </c>
      <c r="O1979" s="250" t="str">
        <f>IFERROR(__xludf.DUMMYFUNCTION("""COMPUTED_VALUE"""),"")</f>
        <v/>
      </c>
      <c r="P1979" s="250" t="str">
        <f>IFERROR(__xludf.DUMMYFUNCTION("""COMPUTED_VALUE"""),"")</f>
        <v/>
      </c>
      <c r="Q1979" s="250" t="str">
        <f>IFERROR(__xludf.DUMMYFUNCTION("""COMPUTED_VALUE"""),"")</f>
        <v/>
      </c>
      <c r="R1979" s="250" t="str">
        <f>IFERROR(__xludf.DUMMYFUNCTION("""COMPUTED_VALUE"""),"")</f>
        <v/>
      </c>
      <c r="U1979" s="250" t="str">
        <f>IFERROR(__xludf.DUMMYFUNCTION("""COMPUTED_VALUE"""),"#N/A")</f>
        <v>#N/A</v>
      </c>
      <c r="V1979" s="250" t="str">
        <f>IFERROR(__xludf.DUMMYFUNCTION("""COMPUTED_VALUE"""),"#N/A")</f>
        <v>#N/A</v>
      </c>
      <c r="W1979" s="250" t="str">
        <f>IFERROR(__xludf.DUMMYFUNCTION("""COMPUTED_VALUE"""),"#N/A")</f>
        <v>#N/A</v>
      </c>
      <c r="X1979" t="b">
        <f t="shared" ref="X1979:Z1979" si="3934">ISBLANK(K1979)</f>
        <v>1</v>
      </c>
      <c r="Y1979" t="b">
        <f t="shared" si="3934"/>
        <v>0</v>
      </c>
      <c r="Z1979" t="b">
        <f t="shared" si="3934"/>
        <v>0</v>
      </c>
      <c r="AA1979">
        <f t="shared" ref="AA1979:AC1979" si="3935">IF(X1979=FALSE,1,0)</f>
        <v>0</v>
      </c>
      <c r="AB1979">
        <f t="shared" si="3935"/>
        <v>1</v>
      </c>
      <c r="AC1979">
        <f t="shared" si="3935"/>
        <v>1</v>
      </c>
      <c r="AD1979">
        <f t="shared" si="6"/>
        <v>2</v>
      </c>
      <c r="AE1979">
        <f t="shared" si="7"/>
        <v>1</v>
      </c>
    </row>
    <row r="1980">
      <c r="B1980" t="str">
        <f>IFERROR(__xludf.DUMMYFUNCTION("""COMPUTED_VALUE"""),"")</f>
        <v/>
      </c>
      <c r="C1980" t="str">
        <f>IFERROR(__xludf.DUMMYFUNCTION("""COMPUTED_VALUE"""),"")</f>
        <v/>
      </c>
      <c r="D1980" t="str">
        <f>IFERROR(__xludf.DUMMYFUNCTION("""COMPUTED_VALUE"""),"")</f>
        <v/>
      </c>
      <c r="E1980" t="str">
        <f>IFERROR(__xludf.DUMMYFUNCTION("""COMPUTED_VALUE"""),"")</f>
        <v/>
      </c>
      <c r="F1980" t="str">
        <f>IFERROR(__xludf.DUMMYFUNCTION("""COMPUTED_VALUE"""),"")</f>
        <v/>
      </c>
      <c r="G1980" t="str">
        <f>IFERROR(__xludf.DUMMYFUNCTION("""COMPUTED_VALUE"""),"")</f>
        <v/>
      </c>
      <c r="H1980" t="str">
        <f>IFERROR(__xludf.DUMMYFUNCTION("""COMPUTED_VALUE"""),"")</f>
        <v/>
      </c>
      <c r="I1980" t="str">
        <f>IFERROR(__xludf.DUMMYFUNCTION("""COMPUTED_VALUE"""),"")</f>
        <v/>
      </c>
      <c r="J1980">
        <f>IFERROR(__xludf.DUMMYFUNCTION("""COMPUTED_VALUE"""),0.0)</f>
        <v>0</v>
      </c>
      <c r="L1980" s="250" t="str">
        <f>IFERROR(__xludf.DUMMYFUNCTION("""COMPUTED_VALUE"""),"")</f>
        <v/>
      </c>
      <c r="M1980" s="250" t="str">
        <f>IFERROR(__xludf.DUMMYFUNCTION("""COMPUTED_VALUE"""),"")</f>
        <v/>
      </c>
      <c r="N1980" s="250" t="str">
        <f>IFERROR(__xludf.DUMMYFUNCTION("""COMPUTED_VALUE"""),"")</f>
        <v/>
      </c>
      <c r="O1980" s="250" t="str">
        <f>IFERROR(__xludf.DUMMYFUNCTION("""COMPUTED_VALUE"""),"")</f>
        <v/>
      </c>
      <c r="P1980" s="250" t="str">
        <f>IFERROR(__xludf.DUMMYFUNCTION("""COMPUTED_VALUE"""),"")</f>
        <v/>
      </c>
      <c r="Q1980" s="250" t="str">
        <f>IFERROR(__xludf.DUMMYFUNCTION("""COMPUTED_VALUE"""),"")</f>
        <v/>
      </c>
      <c r="R1980" s="250" t="str">
        <f>IFERROR(__xludf.DUMMYFUNCTION("""COMPUTED_VALUE"""),"")</f>
        <v/>
      </c>
      <c r="U1980" s="250" t="str">
        <f>IFERROR(__xludf.DUMMYFUNCTION("""COMPUTED_VALUE"""),"#N/A")</f>
        <v>#N/A</v>
      </c>
      <c r="V1980" s="250" t="str">
        <f>IFERROR(__xludf.DUMMYFUNCTION("""COMPUTED_VALUE"""),"#N/A")</f>
        <v>#N/A</v>
      </c>
      <c r="W1980" s="250" t="str">
        <f>IFERROR(__xludf.DUMMYFUNCTION("""COMPUTED_VALUE"""),"#N/A")</f>
        <v>#N/A</v>
      </c>
      <c r="X1980" t="b">
        <f t="shared" ref="X1980:Z1980" si="3936">ISBLANK(K1980)</f>
        <v>1</v>
      </c>
      <c r="Y1980" t="b">
        <f t="shared" si="3936"/>
        <v>0</v>
      </c>
      <c r="Z1980" t="b">
        <f t="shared" si="3936"/>
        <v>0</v>
      </c>
      <c r="AA1980">
        <f t="shared" ref="AA1980:AC1980" si="3937">IF(X1980=FALSE,1,0)</f>
        <v>0</v>
      </c>
      <c r="AB1980">
        <f t="shared" si="3937"/>
        <v>1</v>
      </c>
      <c r="AC1980">
        <f t="shared" si="3937"/>
        <v>1</v>
      </c>
      <c r="AD1980">
        <f t="shared" si="6"/>
        <v>2</v>
      </c>
      <c r="AE1980">
        <f t="shared" si="7"/>
        <v>1</v>
      </c>
    </row>
    <row r="1981">
      <c r="B1981" t="str">
        <f>IFERROR(__xludf.DUMMYFUNCTION("""COMPUTED_VALUE"""),"")</f>
        <v/>
      </c>
      <c r="C1981" t="str">
        <f>IFERROR(__xludf.DUMMYFUNCTION("""COMPUTED_VALUE"""),"")</f>
        <v/>
      </c>
      <c r="D1981" t="str">
        <f>IFERROR(__xludf.DUMMYFUNCTION("""COMPUTED_VALUE"""),"")</f>
        <v/>
      </c>
      <c r="E1981" t="str">
        <f>IFERROR(__xludf.DUMMYFUNCTION("""COMPUTED_VALUE"""),"")</f>
        <v/>
      </c>
      <c r="F1981" t="str">
        <f>IFERROR(__xludf.DUMMYFUNCTION("""COMPUTED_VALUE"""),"")</f>
        <v/>
      </c>
      <c r="G1981" t="str">
        <f>IFERROR(__xludf.DUMMYFUNCTION("""COMPUTED_VALUE"""),"")</f>
        <v/>
      </c>
      <c r="H1981" t="str">
        <f>IFERROR(__xludf.DUMMYFUNCTION("""COMPUTED_VALUE"""),"")</f>
        <v/>
      </c>
      <c r="I1981" t="str">
        <f>IFERROR(__xludf.DUMMYFUNCTION("""COMPUTED_VALUE"""),"")</f>
        <v/>
      </c>
      <c r="J1981">
        <f>IFERROR(__xludf.DUMMYFUNCTION("""COMPUTED_VALUE"""),0.0)</f>
        <v>0</v>
      </c>
      <c r="L1981" s="250" t="str">
        <f>IFERROR(__xludf.DUMMYFUNCTION("""COMPUTED_VALUE"""),"")</f>
        <v/>
      </c>
      <c r="M1981" s="250" t="str">
        <f>IFERROR(__xludf.DUMMYFUNCTION("""COMPUTED_VALUE"""),"")</f>
        <v/>
      </c>
      <c r="N1981" s="250" t="str">
        <f>IFERROR(__xludf.DUMMYFUNCTION("""COMPUTED_VALUE"""),"")</f>
        <v/>
      </c>
      <c r="O1981" s="250" t="str">
        <f>IFERROR(__xludf.DUMMYFUNCTION("""COMPUTED_VALUE"""),"")</f>
        <v/>
      </c>
      <c r="P1981" s="250" t="str">
        <f>IFERROR(__xludf.DUMMYFUNCTION("""COMPUTED_VALUE"""),"")</f>
        <v/>
      </c>
      <c r="Q1981" s="250" t="str">
        <f>IFERROR(__xludf.DUMMYFUNCTION("""COMPUTED_VALUE"""),"")</f>
        <v/>
      </c>
      <c r="R1981" s="250" t="str">
        <f>IFERROR(__xludf.DUMMYFUNCTION("""COMPUTED_VALUE"""),"")</f>
        <v/>
      </c>
      <c r="U1981" s="250" t="str">
        <f>IFERROR(__xludf.DUMMYFUNCTION("""COMPUTED_VALUE"""),"#N/A")</f>
        <v>#N/A</v>
      </c>
      <c r="V1981" s="250" t="str">
        <f>IFERROR(__xludf.DUMMYFUNCTION("""COMPUTED_VALUE"""),"#N/A")</f>
        <v>#N/A</v>
      </c>
      <c r="W1981" s="250" t="str">
        <f>IFERROR(__xludf.DUMMYFUNCTION("""COMPUTED_VALUE"""),"#N/A")</f>
        <v>#N/A</v>
      </c>
      <c r="X1981" t="b">
        <f t="shared" ref="X1981:Z1981" si="3938">ISBLANK(K1981)</f>
        <v>1</v>
      </c>
      <c r="Y1981" t="b">
        <f t="shared" si="3938"/>
        <v>0</v>
      </c>
      <c r="Z1981" t="b">
        <f t="shared" si="3938"/>
        <v>0</v>
      </c>
      <c r="AA1981">
        <f t="shared" ref="AA1981:AC1981" si="3939">IF(X1981=FALSE,1,0)</f>
        <v>0</v>
      </c>
      <c r="AB1981">
        <f t="shared" si="3939"/>
        <v>1</v>
      </c>
      <c r="AC1981">
        <f t="shared" si="3939"/>
        <v>1</v>
      </c>
      <c r="AD1981">
        <f t="shared" si="6"/>
        <v>2</v>
      </c>
      <c r="AE1981">
        <f t="shared" si="7"/>
        <v>1</v>
      </c>
    </row>
    <row r="1982">
      <c r="B1982" t="str">
        <f>IFERROR(__xludf.DUMMYFUNCTION("""COMPUTED_VALUE"""),"")</f>
        <v/>
      </c>
      <c r="C1982" t="str">
        <f>IFERROR(__xludf.DUMMYFUNCTION("""COMPUTED_VALUE"""),"")</f>
        <v/>
      </c>
      <c r="D1982" t="str">
        <f>IFERROR(__xludf.DUMMYFUNCTION("""COMPUTED_VALUE"""),"")</f>
        <v/>
      </c>
      <c r="E1982" t="str">
        <f>IFERROR(__xludf.DUMMYFUNCTION("""COMPUTED_VALUE"""),"")</f>
        <v/>
      </c>
      <c r="F1982" t="str">
        <f>IFERROR(__xludf.DUMMYFUNCTION("""COMPUTED_VALUE"""),"")</f>
        <v/>
      </c>
      <c r="G1982" t="str">
        <f>IFERROR(__xludf.DUMMYFUNCTION("""COMPUTED_VALUE"""),"")</f>
        <v/>
      </c>
      <c r="H1982" t="str">
        <f>IFERROR(__xludf.DUMMYFUNCTION("""COMPUTED_VALUE"""),"")</f>
        <v/>
      </c>
      <c r="I1982" t="str">
        <f>IFERROR(__xludf.DUMMYFUNCTION("""COMPUTED_VALUE"""),"")</f>
        <v/>
      </c>
      <c r="J1982">
        <f>IFERROR(__xludf.DUMMYFUNCTION("""COMPUTED_VALUE"""),0.0)</f>
        <v>0</v>
      </c>
      <c r="L1982" s="250" t="str">
        <f>IFERROR(__xludf.DUMMYFUNCTION("""COMPUTED_VALUE"""),"")</f>
        <v/>
      </c>
      <c r="M1982" s="250" t="str">
        <f>IFERROR(__xludf.DUMMYFUNCTION("""COMPUTED_VALUE"""),"")</f>
        <v/>
      </c>
      <c r="N1982" s="250" t="str">
        <f>IFERROR(__xludf.DUMMYFUNCTION("""COMPUTED_VALUE"""),"")</f>
        <v/>
      </c>
      <c r="O1982" s="250" t="str">
        <f>IFERROR(__xludf.DUMMYFUNCTION("""COMPUTED_VALUE"""),"")</f>
        <v/>
      </c>
      <c r="P1982" s="250" t="str">
        <f>IFERROR(__xludf.DUMMYFUNCTION("""COMPUTED_VALUE"""),"")</f>
        <v/>
      </c>
      <c r="Q1982" s="250" t="str">
        <f>IFERROR(__xludf.DUMMYFUNCTION("""COMPUTED_VALUE"""),"")</f>
        <v/>
      </c>
      <c r="R1982" s="250" t="str">
        <f>IFERROR(__xludf.DUMMYFUNCTION("""COMPUTED_VALUE"""),"")</f>
        <v/>
      </c>
      <c r="U1982" s="250" t="str">
        <f>IFERROR(__xludf.DUMMYFUNCTION("""COMPUTED_VALUE"""),"#N/A")</f>
        <v>#N/A</v>
      </c>
      <c r="V1982" s="250" t="str">
        <f>IFERROR(__xludf.DUMMYFUNCTION("""COMPUTED_VALUE"""),"#N/A")</f>
        <v>#N/A</v>
      </c>
      <c r="W1982" s="250" t="str">
        <f>IFERROR(__xludf.DUMMYFUNCTION("""COMPUTED_VALUE"""),"#N/A")</f>
        <v>#N/A</v>
      </c>
      <c r="X1982" t="b">
        <f t="shared" ref="X1982:Z1982" si="3940">ISBLANK(K1982)</f>
        <v>1</v>
      </c>
      <c r="Y1982" t="b">
        <f t="shared" si="3940"/>
        <v>0</v>
      </c>
      <c r="Z1982" t="b">
        <f t="shared" si="3940"/>
        <v>0</v>
      </c>
      <c r="AA1982">
        <f t="shared" ref="AA1982:AC1982" si="3941">IF(X1982=FALSE,1,0)</f>
        <v>0</v>
      </c>
      <c r="AB1982">
        <f t="shared" si="3941"/>
        <v>1</v>
      </c>
      <c r="AC1982">
        <f t="shared" si="3941"/>
        <v>1</v>
      </c>
      <c r="AD1982">
        <f t="shared" si="6"/>
        <v>2</v>
      </c>
      <c r="AE1982">
        <f t="shared" si="7"/>
        <v>1</v>
      </c>
    </row>
    <row r="1983">
      <c r="B1983" t="str">
        <f>IFERROR(__xludf.DUMMYFUNCTION("""COMPUTED_VALUE"""),"")</f>
        <v/>
      </c>
      <c r="C1983" t="str">
        <f>IFERROR(__xludf.DUMMYFUNCTION("""COMPUTED_VALUE"""),"")</f>
        <v/>
      </c>
      <c r="D1983" t="str">
        <f>IFERROR(__xludf.DUMMYFUNCTION("""COMPUTED_VALUE"""),"")</f>
        <v/>
      </c>
      <c r="E1983" t="str">
        <f>IFERROR(__xludf.DUMMYFUNCTION("""COMPUTED_VALUE"""),"")</f>
        <v/>
      </c>
      <c r="F1983" t="str">
        <f>IFERROR(__xludf.DUMMYFUNCTION("""COMPUTED_VALUE"""),"")</f>
        <v/>
      </c>
      <c r="G1983" t="str">
        <f>IFERROR(__xludf.DUMMYFUNCTION("""COMPUTED_VALUE"""),"")</f>
        <v/>
      </c>
      <c r="H1983" t="str">
        <f>IFERROR(__xludf.DUMMYFUNCTION("""COMPUTED_VALUE"""),"")</f>
        <v/>
      </c>
      <c r="I1983" t="str">
        <f>IFERROR(__xludf.DUMMYFUNCTION("""COMPUTED_VALUE"""),"")</f>
        <v/>
      </c>
      <c r="J1983">
        <f>IFERROR(__xludf.DUMMYFUNCTION("""COMPUTED_VALUE"""),0.0)</f>
        <v>0</v>
      </c>
      <c r="L1983" s="250" t="str">
        <f>IFERROR(__xludf.DUMMYFUNCTION("""COMPUTED_VALUE"""),"")</f>
        <v/>
      </c>
      <c r="M1983" s="250" t="str">
        <f>IFERROR(__xludf.DUMMYFUNCTION("""COMPUTED_VALUE"""),"")</f>
        <v/>
      </c>
      <c r="N1983" s="250" t="str">
        <f>IFERROR(__xludf.DUMMYFUNCTION("""COMPUTED_VALUE"""),"")</f>
        <v/>
      </c>
      <c r="O1983" s="250" t="str">
        <f>IFERROR(__xludf.DUMMYFUNCTION("""COMPUTED_VALUE"""),"")</f>
        <v/>
      </c>
      <c r="P1983" s="250" t="str">
        <f>IFERROR(__xludf.DUMMYFUNCTION("""COMPUTED_VALUE"""),"")</f>
        <v/>
      </c>
      <c r="Q1983" s="250" t="str">
        <f>IFERROR(__xludf.DUMMYFUNCTION("""COMPUTED_VALUE"""),"")</f>
        <v/>
      </c>
      <c r="R1983" s="250" t="str">
        <f>IFERROR(__xludf.DUMMYFUNCTION("""COMPUTED_VALUE"""),"")</f>
        <v/>
      </c>
      <c r="U1983" s="250" t="str">
        <f>IFERROR(__xludf.DUMMYFUNCTION("""COMPUTED_VALUE"""),"#N/A")</f>
        <v>#N/A</v>
      </c>
      <c r="V1983" s="250" t="str">
        <f>IFERROR(__xludf.DUMMYFUNCTION("""COMPUTED_VALUE"""),"#N/A")</f>
        <v>#N/A</v>
      </c>
      <c r="W1983" s="250" t="str">
        <f>IFERROR(__xludf.DUMMYFUNCTION("""COMPUTED_VALUE"""),"#N/A")</f>
        <v>#N/A</v>
      </c>
      <c r="X1983" t="b">
        <f t="shared" ref="X1983:Z1983" si="3942">ISBLANK(K1983)</f>
        <v>1</v>
      </c>
      <c r="Y1983" t="b">
        <f t="shared" si="3942"/>
        <v>0</v>
      </c>
      <c r="Z1983" t="b">
        <f t="shared" si="3942"/>
        <v>0</v>
      </c>
      <c r="AA1983">
        <f t="shared" ref="AA1983:AC1983" si="3943">IF(X1983=FALSE,1,0)</f>
        <v>0</v>
      </c>
      <c r="AB1983">
        <f t="shared" si="3943"/>
        <v>1</v>
      </c>
      <c r="AC1983">
        <f t="shared" si="3943"/>
        <v>1</v>
      </c>
      <c r="AD1983">
        <f t="shared" si="6"/>
        <v>2</v>
      </c>
      <c r="AE1983">
        <f t="shared" si="7"/>
        <v>1</v>
      </c>
    </row>
    <row r="1984">
      <c r="B1984" t="str">
        <f>IFERROR(__xludf.DUMMYFUNCTION("""COMPUTED_VALUE"""),"")</f>
        <v/>
      </c>
      <c r="C1984" t="str">
        <f>IFERROR(__xludf.DUMMYFUNCTION("""COMPUTED_VALUE"""),"")</f>
        <v/>
      </c>
      <c r="D1984" t="str">
        <f>IFERROR(__xludf.DUMMYFUNCTION("""COMPUTED_VALUE"""),"")</f>
        <v/>
      </c>
      <c r="E1984" t="str">
        <f>IFERROR(__xludf.DUMMYFUNCTION("""COMPUTED_VALUE"""),"")</f>
        <v/>
      </c>
      <c r="F1984" t="str">
        <f>IFERROR(__xludf.DUMMYFUNCTION("""COMPUTED_VALUE"""),"")</f>
        <v/>
      </c>
      <c r="G1984" t="str">
        <f>IFERROR(__xludf.DUMMYFUNCTION("""COMPUTED_VALUE"""),"")</f>
        <v/>
      </c>
      <c r="H1984" t="str">
        <f>IFERROR(__xludf.DUMMYFUNCTION("""COMPUTED_VALUE"""),"")</f>
        <v/>
      </c>
      <c r="I1984" t="str">
        <f>IFERROR(__xludf.DUMMYFUNCTION("""COMPUTED_VALUE"""),"")</f>
        <v/>
      </c>
      <c r="J1984">
        <f>IFERROR(__xludf.DUMMYFUNCTION("""COMPUTED_VALUE"""),0.0)</f>
        <v>0</v>
      </c>
      <c r="L1984" s="250" t="str">
        <f>IFERROR(__xludf.DUMMYFUNCTION("""COMPUTED_VALUE"""),"")</f>
        <v/>
      </c>
      <c r="M1984" s="250" t="str">
        <f>IFERROR(__xludf.DUMMYFUNCTION("""COMPUTED_VALUE"""),"")</f>
        <v/>
      </c>
      <c r="N1984" s="250" t="str">
        <f>IFERROR(__xludf.DUMMYFUNCTION("""COMPUTED_VALUE"""),"")</f>
        <v/>
      </c>
      <c r="O1984" s="250" t="str">
        <f>IFERROR(__xludf.DUMMYFUNCTION("""COMPUTED_VALUE"""),"")</f>
        <v/>
      </c>
      <c r="P1984" s="250" t="str">
        <f>IFERROR(__xludf.DUMMYFUNCTION("""COMPUTED_VALUE"""),"")</f>
        <v/>
      </c>
      <c r="Q1984" s="250" t="str">
        <f>IFERROR(__xludf.DUMMYFUNCTION("""COMPUTED_VALUE"""),"")</f>
        <v/>
      </c>
      <c r="R1984" s="250" t="str">
        <f>IFERROR(__xludf.DUMMYFUNCTION("""COMPUTED_VALUE"""),"")</f>
        <v/>
      </c>
      <c r="U1984" s="250" t="str">
        <f>IFERROR(__xludf.DUMMYFUNCTION("""COMPUTED_VALUE"""),"#N/A")</f>
        <v>#N/A</v>
      </c>
      <c r="V1984" s="250" t="str">
        <f>IFERROR(__xludf.DUMMYFUNCTION("""COMPUTED_VALUE"""),"#N/A")</f>
        <v>#N/A</v>
      </c>
      <c r="W1984" s="250" t="str">
        <f>IFERROR(__xludf.DUMMYFUNCTION("""COMPUTED_VALUE"""),"#N/A")</f>
        <v>#N/A</v>
      </c>
      <c r="X1984" t="b">
        <f t="shared" ref="X1984:Z1984" si="3944">ISBLANK(K1984)</f>
        <v>1</v>
      </c>
      <c r="Y1984" t="b">
        <f t="shared" si="3944"/>
        <v>0</v>
      </c>
      <c r="Z1984" t="b">
        <f t="shared" si="3944"/>
        <v>0</v>
      </c>
      <c r="AA1984">
        <f t="shared" ref="AA1984:AC1984" si="3945">IF(X1984=FALSE,1,0)</f>
        <v>0</v>
      </c>
      <c r="AB1984">
        <f t="shared" si="3945"/>
        <v>1</v>
      </c>
      <c r="AC1984">
        <f t="shared" si="3945"/>
        <v>1</v>
      </c>
      <c r="AD1984">
        <f t="shared" si="6"/>
        <v>2</v>
      </c>
      <c r="AE1984">
        <f t="shared" si="7"/>
        <v>1</v>
      </c>
    </row>
    <row r="1985">
      <c r="B1985" t="str">
        <f>IFERROR(__xludf.DUMMYFUNCTION("""COMPUTED_VALUE"""),"")</f>
        <v/>
      </c>
      <c r="C1985" t="str">
        <f>IFERROR(__xludf.DUMMYFUNCTION("""COMPUTED_VALUE"""),"")</f>
        <v/>
      </c>
      <c r="D1985" t="str">
        <f>IFERROR(__xludf.DUMMYFUNCTION("""COMPUTED_VALUE"""),"")</f>
        <v/>
      </c>
      <c r="E1985" t="str">
        <f>IFERROR(__xludf.DUMMYFUNCTION("""COMPUTED_VALUE"""),"")</f>
        <v/>
      </c>
      <c r="F1985" t="str">
        <f>IFERROR(__xludf.DUMMYFUNCTION("""COMPUTED_VALUE"""),"")</f>
        <v/>
      </c>
      <c r="G1985" t="str">
        <f>IFERROR(__xludf.DUMMYFUNCTION("""COMPUTED_VALUE"""),"")</f>
        <v/>
      </c>
      <c r="H1985" t="str">
        <f>IFERROR(__xludf.DUMMYFUNCTION("""COMPUTED_VALUE"""),"")</f>
        <v/>
      </c>
      <c r="I1985" t="str">
        <f>IFERROR(__xludf.DUMMYFUNCTION("""COMPUTED_VALUE"""),"")</f>
        <v/>
      </c>
      <c r="J1985">
        <f>IFERROR(__xludf.DUMMYFUNCTION("""COMPUTED_VALUE"""),0.0)</f>
        <v>0</v>
      </c>
      <c r="L1985" s="250" t="str">
        <f>IFERROR(__xludf.DUMMYFUNCTION("""COMPUTED_VALUE"""),"")</f>
        <v/>
      </c>
      <c r="M1985" s="250" t="str">
        <f>IFERROR(__xludf.DUMMYFUNCTION("""COMPUTED_VALUE"""),"")</f>
        <v/>
      </c>
      <c r="N1985" s="250" t="str">
        <f>IFERROR(__xludf.DUMMYFUNCTION("""COMPUTED_VALUE"""),"")</f>
        <v/>
      </c>
      <c r="O1985" s="250" t="str">
        <f>IFERROR(__xludf.DUMMYFUNCTION("""COMPUTED_VALUE"""),"")</f>
        <v/>
      </c>
      <c r="P1985" s="250" t="str">
        <f>IFERROR(__xludf.DUMMYFUNCTION("""COMPUTED_VALUE"""),"")</f>
        <v/>
      </c>
      <c r="Q1985" s="250" t="str">
        <f>IFERROR(__xludf.DUMMYFUNCTION("""COMPUTED_VALUE"""),"")</f>
        <v/>
      </c>
      <c r="R1985" s="250" t="str">
        <f>IFERROR(__xludf.DUMMYFUNCTION("""COMPUTED_VALUE"""),"")</f>
        <v/>
      </c>
      <c r="U1985" s="250" t="str">
        <f>IFERROR(__xludf.DUMMYFUNCTION("""COMPUTED_VALUE"""),"#N/A")</f>
        <v>#N/A</v>
      </c>
      <c r="V1985" s="250" t="str">
        <f>IFERROR(__xludf.DUMMYFUNCTION("""COMPUTED_VALUE"""),"#N/A")</f>
        <v>#N/A</v>
      </c>
      <c r="W1985" s="250" t="str">
        <f>IFERROR(__xludf.DUMMYFUNCTION("""COMPUTED_VALUE"""),"#N/A")</f>
        <v>#N/A</v>
      </c>
      <c r="X1985" t="b">
        <f t="shared" ref="X1985:Z1985" si="3946">ISBLANK(K1985)</f>
        <v>1</v>
      </c>
      <c r="Y1985" t="b">
        <f t="shared" si="3946"/>
        <v>0</v>
      </c>
      <c r="Z1985" t="b">
        <f t="shared" si="3946"/>
        <v>0</v>
      </c>
      <c r="AA1985">
        <f t="shared" ref="AA1985:AC1985" si="3947">IF(X1985=FALSE,1,0)</f>
        <v>0</v>
      </c>
      <c r="AB1985">
        <f t="shared" si="3947"/>
        <v>1</v>
      </c>
      <c r="AC1985">
        <f t="shared" si="3947"/>
        <v>1</v>
      </c>
      <c r="AD1985">
        <f t="shared" si="6"/>
        <v>2</v>
      </c>
      <c r="AE1985">
        <f t="shared" si="7"/>
        <v>1</v>
      </c>
    </row>
    <row r="1986">
      <c r="B1986" t="str">
        <f>IFERROR(__xludf.DUMMYFUNCTION("""COMPUTED_VALUE"""),"")</f>
        <v/>
      </c>
      <c r="C1986" t="str">
        <f>IFERROR(__xludf.DUMMYFUNCTION("""COMPUTED_VALUE"""),"")</f>
        <v/>
      </c>
      <c r="D1986" t="str">
        <f>IFERROR(__xludf.DUMMYFUNCTION("""COMPUTED_VALUE"""),"")</f>
        <v/>
      </c>
      <c r="E1986" t="str">
        <f>IFERROR(__xludf.DUMMYFUNCTION("""COMPUTED_VALUE"""),"")</f>
        <v/>
      </c>
      <c r="F1986" t="str">
        <f>IFERROR(__xludf.DUMMYFUNCTION("""COMPUTED_VALUE"""),"")</f>
        <v/>
      </c>
      <c r="G1986" t="str">
        <f>IFERROR(__xludf.DUMMYFUNCTION("""COMPUTED_VALUE"""),"")</f>
        <v/>
      </c>
      <c r="H1986" t="str">
        <f>IFERROR(__xludf.DUMMYFUNCTION("""COMPUTED_VALUE"""),"")</f>
        <v/>
      </c>
      <c r="I1986" t="str">
        <f>IFERROR(__xludf.DUMMYFUNCTION("""COMPUTED_VALUE"""),"")</f>
        <v/>
      </c>
      <c r="J1986">
        <f>IFERROR(__xludf.DUMMYFUNCTION("""COMPUTED_VALUE"""),0.0)</f>
        <v>0</v>
      </c>
      <c r="L1986" s="250" t="str">
        <f>IFERROR(__xludf.DUMMYFUNCTION("""COMPUTED_VALUE"""),"")</f>
        <v/>
      </c>
      <c r="M1986" s="250" t="str">
        <f>IFERROR(__xludf.DUMMYFUNCTION("""COMPUTED_VALUE"""),"")</f>
        <v/>
      </c>
      <c r="N1986" s="250" t="str">
        <f>IFERROR(__xludf.DUMMYFUNCTION("""COMPUTED_VALUE"""),"")</f>
        <v/>
      </c>
      <c r="O1986" s="250" t="str">
        <f>IFERROR(__xludf.DUMMYFUNCTION("""COMPUTED_VALUE"""),"")</f>
        <v/>
      </c>
      <c r="P1986" s="250" t="str">
        <f>IFERROR(__xludf.DUMMYFUNCTION("""COMPUTED_VALUE"""),"")</f>
        <v/>
      </c>
      <c r="Q1986" s="250" t="str">
        <f>IFERROR(__xludf.DUMMYFUNCTION("""COMPUTED_VALUE"""),"")</f>
        <v/>
      </c>
      <c r="R1986" s="250" t="str">
        <f>IFERROR(__xludf.DUMMYFUNCTION("""COMPUTED_VALUE"""),"")</f>
        <v/>
      </c>
      <c r="U1986" s="250" t="str">
        <f>IFERROR(__xludf.DUMMYFUNCTION("""COMPUTED_VALUE"""),"#N/A")</f>
        <v>#N/A</v>
      </c>
      <c r="V1986" s="250" t="str">
        <f>IFERROR(__xludf.DUMMYFUNCTION("""COMPUTED_VALUE"""),"#N/A")</f>
        <v>#N/A</v>
      </c>
      <c r="W1986" s="250" t="str">
        <f>IFERROR(__xludf.DUMMYFUNCTION("""COMPUTED_VALUE"""),"#N/A")</f>
        <v>#N/A</v>
      </c>
      <c r="X1986" t="b">
        <f t="shared" ref="X1986:Z1986" si="3948">ISBLANK(K1986)</f>
        <v>1</v>
      </c>
      <c r="Y1986" t="b">
        <f t="shared" si="3948"/>
        <v>0</v>
      </c>
      <c r="Z1986" t="b">
        <f t="shared" si="3948"/>
        <v>0</v>
      </c>
      <c r="AA1986">
        <f t="shared" ref="AA1986:AC1986" si="3949">IF(X1986=FALSE,1,0)</f>
        <v>0</v>
      </c>
      <c r="AB1986">
        <f t="shared" si="3949"/>
        <v>1</v>
      </c>
      <c r="AC1986">
        <f t="shared" si="3949"/>
        <v>1</v>
      </c>
      <c r="AD1986">
        <f t="shared" si="6"/>
        <v>2</v>
      </c>
      <c r="AE1986">
        <f t="shared" si="7"/>
        <v>1</v>
      </c>
    </row>
    <row r="1987">
      <c r="B1987" t="str">
        <f>IFERROR(__xludf.DUMMYFUNCTION("""COMPUTED_VALUE"""),"")</f>
        <v/>
      </c>
      <c r="C1987" t="str">
        <f>IFERROR(__xludf.DUMMYFUNCTION("""COMPUTED_VALUE"""),"")</f>
        <v/>
      </c>
      <c r="D1987" t="str">
        <f>IFERROR(__xludf.DUMMYFUNCTION("""COMPUTED_VALUE"""),"")</f>
        <v/>
      </c>
      <c r="E1987" t="str">
        <f>IFERROR(__xludf.DUMMYFUNCTION("""COMPUTED_VALUE"""),"")</f>
        <v/>
      </c>
      <c r="F1987" t="str">
        <f>IFERROR(__xludf.DUMMYFUNCTION("""COMPUTED_VALUE"""),"")</f>
        <v/>
      </c>
      <c r="G1987" t="str">
        <f>IFERROR(__xludf.DUMMYFUNCTION("""COMPUTED_VALUE"""),"")</f>
        <v/>
      </c>
      <c r="H1987" t="str">
        <f>IFERROR(__xludf.DUMMYFUNCTION("""COMPUTED_VALUE"""),"")</f>
        <v/>
      </c>
      <c r="I1987" t="str">
        <f>IFERROR(__xludf.DUMMYFUNCTION("""COMPUTED_VALUE"""),"")</f>
        <v/>
      </c>
      <c r="J1987">
        <f>IFERROR(__xludf.DUMMYFUNCTION("""COMPUTED_VALUE"""),0.0)</f>
        <v>0</v>
      </c>
      <c r="L1987" s="250" t="str">
        <f>IFERROR(__xludf.DUMMYFUNCTION("""COMPUTED_VALUE"""),"")</f>
        <v/>
      </c>
      <c r="M1987" s="250" t="str">
        <f>IFERROR(__xludf.DUMMYFUNCTION("""COMPUTED_VALUE"""),"")</f>
        <v/>
      </c>
      <c r="N1987" s="250" t="str">
        <f>IFERROR(__xludf.DUMMYFUNCTION("""COMPUTED_VALUE"""),"")</f>
        <v/>
      </c>
      <c r="O1987" s="250" t="str">
        <f>IFERROR(__xludf.DUMMYFUNCTION("""COMPUTED_VALUE"""),"")</f>
        <v/>
      </c>
      <c r="P1987" s="250" t="str">
        <f>IFERROR(__xludf.DUMMYFUNCTION("""COMPUTED_VALUE"""),"")</f>
        <v/>
      </c>
      <c r="Q1987" s="250" t="str">
        <f>IFERROR(__xludf.DUMMYFUNCTION("""COMPUTED_VALUE"""),"")</f>
        <v/>
      </c>
      <c r="R1987" s="250" t="str">
        <f>IFERROR(__xludf.DUMMYFUNCTION("""COMPUTED_VALUE"""),"")</f>
        <v/>
      </c>
      <c r="U1987" s="250" t="str">
        <f>IFERROR(__xludf.DUMMYFUNCTION("""COMPUTED_VALUE"""),"#N/A")</f>
        <v>#N/A</v>
      </c>
      <c r="V1987" s="250" t="str">
        <f>IFERROR(__xludf.DUMMYFUNCTION("""COMPUTED_VALUE"""),"#N/A")</f>
        <v>#N/A</v>
      </c>
      <c r="W1987" s="250" t="str">
        <f>IFERROR(__xludf.DUMMYFUNCTION("""COMPUTED_VALUE"""),"#N/A")</f>
        <v>#N/A</v>
      </c>
      <c r="X1987" t="b">
        <f t="shared" ref="X1987:Z1987" si="3950">ISBLANK(K1987)</f>
        <v>1</v>
      </c>
      <c r="Y1987" t="b">
        <f t="shared" si="3950"/>
        <v>0</v>
      </c>
      <c r="Z1987" t="b">
        <f t="shared" si="3950"/>
        <v>0</v>
      </c>
      <c r="AA1987">
        <f t="shared" ref="AA1987:AC1987" si="3951">IF(X1987=FALSE,1,0)</f>
        <v>0</v>
      </c>
      <c r="AB1987">
        <f t="shared" si="3951"/>
        <v>1</v>
      </c>
      <c r="AC1987">
        <f t="shared" si="3951"/>
        <v>1</v>
      </c>
      <c r="AD1987">
        <f t="shared" si="6"/>
        <v>2</v>
      </c>
      <c r="AE1987">
        <f t="shared" si="7"/>
        <v>1</v>
      </c>
    </row>
    <row r="1988">
      <c r="B1988" t="str">
        <f>IFERROR(__xludf.DUMMYFUNCTION("""COMPUTED_VALUE"""),"")</f>
        <v/>
      </c>
      <c r="C1988" t="str">
        <f>IFERROR(__xludf.DUMMYFUNCTION("""COMPUTED_VALUE"""),"")</f>
        <v/>
      </c>
      <c r="D1988" t="str">
        <f>IFERROR(__xludf.DUMMYFUNCTION("""COMPUTED_VALUE"""),"")</f>
        <v/>
      </c>
      <c r="E1988" t="str">
        <f>IFERROR(__xludf.DUMMYFUNCTION("""COMPUTED_VALUE"""),"")</f>
        <v/>
      </c>
      <c r="F1988" t="str">
        <f>IFERROR(__xludf.DUMMYFUNCTION("""COMPUTED_VALUE"""),"")</f>
        <v/>
      </c>
      <c r="G1988" t="str">
        <f>IFERROR(__xludf.DUMMYFUNCTION("""COMPUTED_VALUE"""),"")</f>
        <v/>
      </c>
      <c r="H1988" t="str">
        <f>IFERROR(__xludf.DUMMYFUNCTION("""COMPUTED_VALUE"""),"")</f>
        <v/>
      </c>
      <c r="I1988" t="str">
        <f>IFERROR(__xludf.DUMMYFUNCTION("""COMPUTED_VALUE"""),"")</f>
        <v/>
      </c>
      <c r="J1988">
        <f>IFERROR(__xludf.DUMMYFUNCTION("""COMPUTED_VALUE"""),0.0)</f>
        <v>0</v>
      </c>
      <c r="L1988" s="250" t="str">
        <f>IFERROR(__xludf.DUMMYFUNCTION("""COMPUTED_VALUE"""),"")</f>
        <v/>
      </c>
      <c r="M1988" s="250" t="str">
        <f>IFERROR(__xludf.DUMMYFUNCTION("""COMPUTED_VALUE"""),"")</f>
        <v/>
      </c>
      <c r="N1988" s="250" t="str">
        <f>IFERROR(__xludf.DUMMYFUNCTION("""COMPUTED_VALUE"""),"")</f>
        <v/>
      </c>
      <c r="O1988" s="250" t="str">
        <f>IFERROR(__xludf.DUMMYFUNCTION("""COMPUTED_VALUE"""),"")</f>
        <v/>
      </c>
      <c r="P1988" s="250" t="str">
        <f>IFERROR(__xludf.DUMMYFUNCTION("""COMPUTED_VALUE"""),"")</f>
        <v/>
      </c>
      <c r="Q1988" s="250" t="str">
        <f>IFERROR(__xludf.DUMMYFUNCTION("""COMPUTED_VALUE"""),"")</f>
        <v/>
      </c>
      <c r="R1988" s="250" t="str">
        <f>IFERROR(__xludf.DUMMYFUNCTION("""COMPUTED_VALUE"""),"")</f>
        <v/>
      </c>
      <c r="U1988" s="250" t="str">
        <f>IFERROR(__xludf.DUMMYFUNCTION("""COMPUTED_VALUE"""),"#N/A")</f>
        <v>#N/A</v>
      </c>
      <c r="V1988" s="250" t="str">
        <f>IFERROR(__xludf.DUMMYFUNCTION("""COMPUTED_VALUE"""),"#N/A")</f>
        <v>#N/A</v>
      </c>
      <c r="W1988" s="250" t="str">
        <f>IFERROR(__xludf.DUMMYFUNCTION("""COMPUTED_VALUE"""),"#N/A")</f>
        <v>#N/A</v>
      </c>
      <c r="X1988" t="b">
        <f t="shared" ref="X1988:Z1988" si="3952">ISBLANK(K1988)</f>
        <v>1</v>
      </c>
      <c r="Y1988" t="b">
        <f t="shared" si="3952"/>
        <v>0</v>
      </c>
      <c r="Z1988" t="b">
        <f t="shared" si="3952"/>
        <v>0</v>
      </c>
      <c r="AA1988">
        <f t="shared" ref="AA1988:AC1988" si="3953">IF(X1988=FALSE,1,0)</f>
        <v>0</v>
      </c>
      <c r="AB1988">
        <f t="shared" si="3953"/>
        <v>1</v>
      </c>
      <c r="AC1988">
        <f t="shared" si="3953"/>
        <v>1</v>
      </c>
      <c r="AD1988">
        <f t="shared" si="6"/>
        <v>2</v>
      </c>
      <c r="AE1988">
        <f t="shared" si="7"/>
        <v>1</v>
      </c>
    </row>
    <row r="1989">
      <c r="B1989" t="str">
        <f>IFERROR(__xludf.DUMMYFUNCTION("""COMPUTED_VALUE"""),"")</f>
        <v/>
      </c>
      <c r="C1989" t="str">
        <f>IFERROR(__xludf.DUMMYFUNCTION("""COMPUTED_VALUE"""),"")</f>
        <v/>
      </c>
      <c r="D1989" t="str">
        <f>IFERROR(__xludf.DUMMYFUNCTION("""COMPUTED_VALUE"""),"")</f>
        <v/>
      </c>
      <c r="E1989" t="str">
        <f>IFERROR(__xludf.DUMMYFUNCTION("""COMPUTED_VALUE"""),"")</f>
        <v/>
      </c>
      <c r="F1989" t="str">
        <f>IFERROR(__xludf.DUMMYFUNCTION("""COMPUTED_VALUE"""),"")</f>
        <v/>
      </c>
      <c r="G1989" t="str">
        <f>IFERROR(__xludf.DUMMYFUNCTION("""COMPUTED_VALUE"""),"")</f>
        <v/>
      </c>
      <c r="H1989" t="str">
        <f>IFERROR(__xludf.DUMMYFUNCTION("""COMPUTED_VALUE"""),"")</f>
        <v/>
      </c>
      <c r="I1989" t="str">
        <f>IFERROR(__xludf.DUMMYFUNCTION("""COMPUTED_VALUE"""),"")</f>
        <v/>
      </c>
      <c r="J1989">
        <f>IFERROR(__xludf.DUMMYFUNCTION("""COMPUTED_VALUE"""),0.0)</f>
        <v>0</v>
      </c>
      <c r="L1989" s="250" t="str">
        <f>IFERROR(__xludf.DUMMYFUNCTION("""COMPUTED_VALUE"""),"")</f>
        <v/>
      </c>
      <c r="M1989" s="250" t="str">
        <f>IFERROR(__xludf.DUMMYFUNCTION("""COMPUTED_VALUE"""),"")</f>
        <v/>
      </c>
      <c r="N1989" s="250" t="str">
        <f>IFERROR(__xludf.DUMMYFUNCTION("""COMPUTED_VALUE"""),"")</f>
        <v/>
      </c>
      <c r="O1989" s="250" t="str">
        <f>IFERROR(__xludf.DUMMYFUNCTION("""COMPUTED_VALUE"""),"")</f>
        <v/>
      </c>
      <c r="P1989" s="250" t="str">
        <f>IFERROR(__xludf.DUMMYFUNCTION("""COMPUTED_VALUE"""),"")</f>
        <v/>
      </c>
      <c r="Q1989" s="250" t="str">
        <f>IFERROR(__xludf.DUMMYFUNCTION("""COMPUTED_VALUE"""),"")</f>
        <v/>
      </c>
      <c r="R1989" s="250" t="str">
        <f>IFERROR(__xludf.DUMMYFUNCTION("""COMPUTED_VALUE"""),"")</f>
        <v/>
      </c>
      <c r="U1989" s="250" t="str">
        <f>IFERROR(__xludf.DUMMYFUNCTION("""COMPUTED_VALUE"""),"#N/A")</f>
        <v>#N/A</v>
      </c>
      <c r="V1989" s="250" t="str">
        <f>IFERROR(__xludf.DUMMYFUNCTION("""COMPUTED_VALUE"""),"#N/A")</f>
        <v>#N/A</v>
      </c>
      <c r="W1989" s="250" t="str">
        <f>IFERROR(__xludf.DUMMYFUNCTION("""COMPUTED_VALUE"""),"#N/A")</f>
        <v>#N/A</v>
      </c>
      <c r="X1989" t="b">
        <f t="shared" ref="X1989:Z1989" si="3954">ISBLANK(K1989)</f>
        <v>1</v>
      </c>
      <c r="Y1989" t="b">
        <f t="shared" si="3954"/>
        <v>0</v>
      </c>
      <c r="Z1989" t="b">
        <f t="shared" si="3954"/>
        <v>0</v>
      </c>
      <c r="AA1989">
        <f t="shared" ref="AA1989:AC1989" si="3955">IF(X1989=FALSE,1,0)</f>
        <v>0</v>
      </c>
      <c r="AB1989">
        <f t="shared" si="3955"/>
        <v>1</v>
      </c>
      <c r="AC1989">
        <f t="shared" si="3955"/>
        <v>1</v>
      </c>
      <c r="AD1989">
        <f t="shared" si="6"/>
        <v>2</v>
      </c>
      <c r="AE1989">
        <f t="shared" si="7"/>
        <v>1</v>
      </c>
    </row>
    <row r="1990">
      <c r="B1990" t="str">
        <f>IFERROR(__xludf.DUMMYFUNCTION("""COMPUTED_VALUE"""),"")</f>
        <v/>
      </c>
      <c r="C1990" t="str">
        <f>IFERROR(__xludf.DUMMYFUNCTION("""COMPUTED_VALUE"""),"")</f>
        <v/>
      </c>
      <c r="D1990" t="str">
        <f>IFERROR(__xludf.DUMMYFUNCTION("""COMPUTED_VALUE"""),"")</f>
        <v/>
      </c>
      <c r="E1990" t="str">
        <f>IFERROR(__xludf.DUMMYFUNCTION("""COMPUTED_VALUE"""),"")</f>
        <v/>
      </c>
      <c r="F1990" t="str">
        <f>IFERROR(__xludf.DUMMYFUNCTION("""COMPUTED_VALUE"""),"")</f>
        <v/>
      </c>
      <c r="G1990" t="str">
        <f>IFERROR(__xludf.DUMMYFUNCTION("""COMPUTED_VALUE"""),"")</f>
        <v/>
      </c>
      <c r="H1990" t="str">
        <f>IFERROR(__xludf.DUMMYFUNCTION("""COMPUTED_VALUE"""),"")</f>
        <v/>
      </c>
      <c r="I1990" t="str">
        <f>IFERROR(__xludf.DUMMYFUNCTION("""COMPUTED_VALUE"""),"")</f>
        <v/>
      </c>
      <c r="J1990">
        <f>IFERROR(__xludf.DUMMYFUNCTION("""COMPUTED_VALUE"""),0.0)</f>
        <v>0</v>
      </c>
      <c r="L1990" s="250" t="str">
        <f>IFERROR(__xludf.DUMMYFUNCTION("""COMPUTED_VALUE"""),"")</f>
        <v/>
      </c>
      <c r="M1990" s="250" t="str">
        <f>IFERROR(__xludf.DUMMYFUNCTION("""COMPUTED_VALUE"""),"")</f>
        <v/>
      </c>
      <c r="N1990" s="250" t="str">
        <f>IFERROR(__xludf.DUMMYFUNCTION("""COMPUTED_VALUE"""),"")</f>
        <v/>
      </c>
      <c r="O1990" s="250" t="str">
        <f>IFERROR(__xludf.DUMMYFUNCTION("""COMPUTED_VALUE"""),"")</f>
        <v/>
      </c>
      <c r="P1990" s="250" t="str">
        <f>IFERROR(__xludf.DUMMYFUNCTION("""COMPUTED_VALUE"""),"")</f>
        <v/>
      </c>
      <c r="Q1990" s="250" t="str">
        <f>IFERROR(__xludf.DUMMYFUNCTION("""COMPUTED_VALUE"""),"")</f>
        <v/>
      </c>
      <c r="R1990" s="250" t="str">
        <f>IFERROR(__xludf.DUMMYFUNCTION("""COMPUTED_VALUE"""),"")</f>
        <v/>
      </c>
      <c r="U1990" s="250" t="str">
        <f>IFERROR(__xludf.DUMMYFUNCTION("""COMPUTED_VALUE"""),"#N/A")</f>
        <v>#N/A</v>
      </c>
      <c r="V1990" s="250" t="str">
        <f>IFERROR(__xludf.DUMMYFUNCTION("""COMPUTED_VALUE"""),"#N/A")</f>
        <v>#N/A</v>
      </c>
      <c r="W1990" s="250" t="str">
        <f>IFERROR(__xludf.DUMMYFUNCTION("""COMPUTED_VALUE"""),"#N/A")</f>
        <v>#N/A</v>
      </c>
      <c r="X1990" t="b">
        <f t="shared" ref="X1990:Z1990" si="3956">ISBLANK(K1990)</f>
        <v>1</v>
      </c>
      <c r="Y1990" t="b">
        <f t="shared" si="3956"/>
        <v>0</v>
      </c>
      <c r="Z1990" t="b">
        <f t="shared" si="3956"/>
        <v>0</v>
      </c>
      <c r="AA1990">
        <f t="shared" ref="AA1990:AC1990" si="3957">IF(X1990=FALSE,1,0)</f>
        <v>0</v>
      </c>
      <c r="AB1990">
        <f t="shared" si="3957"/>
        <v>1</v>
      </c>
      <c r="AC1990">
        <f t="shared" si="3957"/>
        <v>1</v>
      </c>
      <c r="AD1990">
        <f t="shared" si="6"/>
        <v>2</v>
      </c>
      <c r="AE1990">
        <f t="shared" si="7"/>
        <v>1</v>
      </c>
    </row>
    <row r="1991">
      <c r="B1991" t="str">
        <f>IFERROR(__xludf.DUMMYFUNCTION("""COMPUTED_VALUE"""),"")</f>
        <v/>
      </c>
      <c r="C1991" t="str">
        <f>IFERROR(__xludf.DUMMYFUNCTION("""COMPUTED_VALUE"""),"")</f>
        <v/>
      </c>
      <c r="D1991" t="str">
        <f>IFERROR(__xludf.DUMMYFUNCTION("""COMPUTED_VALUE"""),"")</f>
        <v/>
      </c>
      <c r="E1991" t="str">
        <f>IFERROR(__xludf.DUMMYFUNCTION("""COMPUTED_VALUE"""),"")</f>
        <v/>
      </c>
      <c r="F1991" t="str">
        <f>IFERROR(__xludf.DUMMYFUNCTION("""COMPUTED_VALUE"""),"")</f>
        <v/>
      </c>
      <c r="G1991" t="str">
        <f>IFERROR(__xludf.DUMMYFUNCTION("""COMPUTED_VALUE"""),"")</f>
        <v/>
      </c>
      <c r="H1991" t="str">
        <f>IFERROR(__xludf.DUMMYFUNCTION("""COMPUTED_VALUE"""),"")</f>
        <v/>
      </c>
      <c r="I1991" t="str">
        <f>IFERROR(__xludf.DUMMYFUNCTION("""COMPUTED_VALUE"""),"")</f>
        <v/>
      </c>
      <c r="J1991">
        <f>IFERROR(__xludf.DUMMYFUNCTION("""COMPUTED_VALUE"""),0.0)</f>
        <v>0</v>
      </c>
      <c r="L1991" s="250" t="str">
        <f>IFERROR(__xludf.DUMMYFUNCTION("""COMPUTED_VALUE"""),"")</f>
        <v/>
      </c>
      <c r="M1991" s="250" t="str">
        <f>IFERROR(__xludf.DUMMYFUNCTION("""COMPUTED_VALUE"""),"")</f>
        <v/>
      </c>
      <c r="N1991" s="250" t="str">
        <f>IFERROR(__xludf.DUMMYFUNCTION("""COMPUTED_VALUE"""),"")</f>
        <v/>
      </c>
      <c r="O1991" s="250" t="str">
        <f>IFERROR(__xludf.DUMMYFUNCTION("""COMPUTED_VALUE"""),"")</f>
        <v/>
      </c>
      <c r="P1991" s="250" t="str">
        <f>IFERROR(__xludf.DUMMYFUNCTION("""COMPUTED_VALUE"""),"")</f>
        <v/>
      </c>
      <c r="Q1991" s="250" t="str">
        <f>IFERROR(__xludf.DUMMYFUNCTION("""COMPUTED_VALUE"""),"")</f>
        <v/>
      </c>
      <c r="R1991" s="250" t="str">
        <f>IFERROR(__xludf.DUMMYFUNCTION("""COMPUTED_VALUE"""),"")</f>
        <v/>
      </c>
      <c r="U1991" s="250" t="str">
        <f>IFERROR(__xludf.DUMMYFUNCTION("""COMPUTED_VALUE"""),"#N/A")</f>
        <v>#N/A</v>
      </c>
      <c r="V1991" s="250" t="str">
        <f>IFERROR(__xludf.DUMMYFUNCTION("""COMPUTED_VALUE"""),"#N/A")</f>
        <v>#N/A</v>
      </c>
      <c r="W1991" s="250" t="str">
        <f>IFERROR(__xludf.DUMMYFUNCTION("""COMPUTED_VALUE"""),"#N/A")</f>
        <v>#N/A</v>
      </c>
      <c r="X1991" t="b">
        <f t="shared" ref="X1991:Z1991" si="3958">ISBLANK(K1991)</f>
        <v>1</v>
      </c>
      <c r="Y1991" t="b">
        <f t="shared" si="3958"/>
        <v>0</v>
      </c>
      <c r="Z1991" t="b">
        <f t="shared" si="3958"/>
        <v>0</v>
      </c>
      <c r="AA1991">
        <f t="shared" ref="AA1991:AC1991" si="3959">IF(X1991=FALSE,1,0)</f>
        <v>0</v>
      </c>
      <c r="AB1991">
        <f t="shared" si="3959"/>
        <v>1</v>
      </c>
      <c r="AC1991">
        <f t="shared" si="3959"/>
        <v>1</v>
      </c>
      <c r="AD1991">
        <f t="shared" si="6"/>
        <v>2</v>
      </c>
      <c r="AE1991">
        <f t="shared" si="7"/>
        <v>1</v>
      </c>
    </row>
    <row r="1992">
      <c r="B1992" t="str">
        <f>IFERROR(__xludf.DUMMYFUNCTION("""COMPUTED_VALUE"""),"")</f>
        <v/>
      </c>
      <c r="C1992" t="str">
        <f>IFERROR(__xludf.DUMMYFUNCTION("""COMPUTED_VALUE"""),"")</f>
        <v/>
      </c>
      <c r="D1992" t="str">
        <f>IFERROR(__xludf.DUMMYFUNCTION("""COMPUTED_VALUE"""),"")</f>
        <v/>
      </c>
      <c r="E1992" t="str">
        <f>IFERROR(__xludf.DUMMYFUNCTION("""COMPUTED_VALUE"""),"")</f>
        <v/>
      </c>
      <c r="F1992" t="str">
        <f>IFERROR(__xludf.DUMMYFUNCTION("""COMPUTED_VALUE"""),"")</f>
        <v/>
      </c>
      <c r="G1992" t="str">
        <f>IFERROR(__xludf.DUMMYFUNCTION("""COMPUTED_VALUE"""),"")</f>
        <v/>
      </c>
      <c r="H1992" t="str">
        <f>IFERROR(__xludf.DUMMYFUNCTION("""COMPUTED_VALUE"""),"")</f>
        <v/>
      </c>
      <c r="I1992" t="str">
        <f>IFERROR(__xludf.DUMMYFUNCTION("""COMPUTED_VALUE"""),"")</f>
        <v/>
      </c>
      <c r="J1992">
        <f>IFERROR(__xludf.DUMMYFUNCTION("""COMPUTED_VALUE"""),0.0)</f>
        <v>0</v>
      </c>
      <c r="L1992" s="250" t="str">
        <f>IFERROR(__xludf.DUMMYFUNCTION("""COMPUTED_VALUE"""),"")</f>
        <v/>
      </c>
      <c r="M1992" s="250" t="str">
        <f>IFERROR(__xludf.DUMMYFUNCTION("""COMPUTED_VALUE"""),"")</f>
        <v/>
      </c>
      <c r="N1992" s="250" t="str">
        <f>IFERROR(__xludf.DUMMYFUNCTION("""COMPUTED_VALUE"""),"")</f>
        <v/>
      </c>
      <c r="O1992" s="250" t="str">
        <f>IFERROR(__xludf.DUMMYFUNCTION("""COMPUTED_VALUE"""),"")</f>
        <v/>
      </c>
      <c r="P1992" s="250" t="str">
        <f>IFERROR(__xludf.DUMMYFUNCTION("""COMPUTED_VALUE"""),"")</f>
        <v/>
      </c>
      <c r="Q1992" s="250" t="str">
        <f>IFERROR(__xludf.DUMMYFUNCTION("""COMPUTED_VALUE"""),"")</f>
        <v/>
      </c>
      <c r="R1992" s="250" t="str">
        <f>IFERROR(__xludf.DUMMYFUNCTION("""COMPUTED_VALUE"""),"")</f>
        <v/>
      </c>
      <c r="U1992" s="250" t="str">
        <f>IFERROR(__xludf.DUMMYFUNCTION("""COMPUTED_VALUE"""),"#N/A")</f>
        <v>#N/A</v>
      </c>
      <c r="V1992" s="250" t="str">
        <f>IFERROR(__xludf.DUMMYFUNCTION("""COMPUTED_VALUE"""),"#N/A")</f>
        <v>#N/A</v>
      </c>
      <c r="W1992" s="250" t="str">
        <f>IFERROR(__xludf.DUMMYFUNCTION("""COMPUTED_VALUE"""),"#N/A")</f>
        <v>#N/A</v>
      </c>
      <c r="X1992" t="b">
        <f t="shared" ref="X1992:Z1992" si="3960">ISBLANK(K1992)</f>
        <v>1</v>
      </c>
      <c r="Y1992" t="b">
        <f t="shared" si="3960"/>
        <v>0</v>
      </c>
      <c r="Z1992" t="b">
        <f t="shared" si="3960"/>
        <v>0</v>
      </c>
      <c r="AA1992">
        <f t="shared" ref="AA1992:AC1992" si="3961">IF(X1992=FALSE,1,0)</f>
        <v>0</v>
      </c>
      <c r="AB1992">
        <f t="shared" si="3961"/>
        <v>1</v>
      </c>
      <c r="AC1992">
        <f t="shared" si="3961"/>
        <v>1</v>
      </c>
      <c r="AD1992">
        <f t="shared" si="6"/>
        <v>2</v>
      </c>
      <c r="AE1992">
        <f t="shared" si="7"/>
        <v>1</v>
      </c>
    </row>
    <row r="1993">
      <c r="B1993" t="str">
        <f>IFERROR(__xludf.DUMMYFUNCTION("""COMPUTED_VALUE"""),"")</f>
        <v/>
      </c>
      <c r="C1993" t="str">
        <f>IFERROR(__xludf.DUMMYFUNCTION("""COMPUTED_VALUE"""),"")</f>
        <v/>
      </c>
      <c r="D1993" t="str">
        <f>IFERROR(__xludf.DUMMYFUNCTION("""COMPUTED_VALUE"""),"")</f>
        <v/>
      </c>
      <c r="E1993" t="str">
        <f>IFERROR(__xludf.DUMMYFUNCTION("""COMPUTED_VALUE"""),"")</f>
        <v/>
      </c>
      <c r="F1993" t="str">
        <f>IFERROR(__xludf.DUMMYFUNCTION("""COMPUTED_VALUE"""),"")</f>
        <v/>
      </c>
      <c r="G1993" t="str">
        <f>IFERROR(__xludf.DUMMYFUNCTION("""COMPUTED_VALUE"""),"")</f>
        <v/>
      </c>
      <c r="H1993" t="str">
        <f>IFERROR(__xludf.DUMMYFUNCTION("""COMPUTED_VALUE"""),"")</f>
        <v/>
      </c>
      <c r="I1993" t="str">
        <f>IFERROR(__xludf.DUMMYFUNCTION("""COMPUTED_VALUE"""),"")</f>
        <v/>
      </c>
      <c r="J1993">
        <f>IFERROR(__xludf.DUMMYFUNCTION("""COMPUTED_VALUE"""),0.0)</f>
        <v>0</v>
      </c>
      <c r="L1993" s="250" t="str">
        <f>IFERROR(__xludf.DUMMYFUNCTION("""COMPUTED_VALUE"""),"")</f>
        <v/>
      </c>
      <c r="M1993" s="250" t="str">
        <f>IFERROR(__xludf.DUMMYFUNCTION("""COMPUTED_VALUE"""),"")</f>
        <v/>
      </c>
      <c r="N1993" s="250" t="str">
        <f>IFERROR(__xludf.DUMMYFUNCTION("""COMPUTED_VALUE"""),"")</f>
        <v/>
      </c>
      <c r="O1993" s="250" t="str">
        <f>IFERROR(__xludf.DUMMYFUNCTION("""COMPUTED_VALUE"""),"")</f>
        <v/>
      </c>
      <c r="P1993" s="250" t="str">
        <f>IFERROR(__xludf.DUMMYFUNCTION("""COMPUTED_VALUE"""),"")</f>
        <v/>
      </c>
      <c r="Q1993" s="250" t="str">
        <f>IFERROR(__xludf.DUMMYFUNCTION("""COMPUTED_VALUE"""),"")</f>
        <v/>
      </c>
      <c r="R1993" s="250" t="str">
        <f>IFERROR(__xludf.DUMMYFUNCTION("""COMPUTED_VALUE"""),"")</f>
        <v/>
      </c>
      <c r="U1993" s="250" t="str">
        <f>IFERROR(__xludf.DUMMYFUNCTION("""COMPUTED_VALUE"""),"#N/A")</f>
        <v>#N/A</v>
      </c>
      <c r="V1993" s="250" t="str">
        <f>IFERROR(__xludf.DUMMYFUNCTION("""COMPUTED_VALUE"""),"#N/A")</f>
        <v>#N/A</v>
      </c>
      <c r="W1993" s="250" t="str">
        <f>IFERROR(__xludf.DUMMYFUNCTION("""COMPUTED_VALUE"""),"#N/A")</f>
        <v>#N/A</v>
      </c>
      <c r="X1993" t="b">
        <f t="shared" ref="X1993:Z1993" si="3962">ISBLANK(K1993)</f>
        <v>1</v>
      </c>
      <c r="Y1993" t="b">
        <f t="shared" si="3962"/>
        <v>0</v>
      </c>
      <c r="Z1993" t="b">
        <f t="shared" si="3962"/>
        <v>0</v>
      </c>
      <c r="AA1993">
        <f t="shared" ref="AA1993:AC1993" si="3963">IF(X1993=FALSE,1,0)</f>
        <v>0</v>
      </c>
      <c r="AB1993">
        <f t="shared" si="3963"/>
        <v>1</v>
      </c>
      <c r="AC1993">
        <f t="shared" si="3963"/>
        <v>1</v>
      </c>
      <c r="AD1993">
        <f t="shared" si="6"/>
        <v>2</v>
      </c>
      <c r="AE1993">
        <f t="shared" si="7"/>
        <v>1</v>
      </c>
    </row>
    <row r="1994">
      <c r="B1994" t="str">
        <f>IFERROR(__xludf.DUMMYFUNCTION("""COMPUTED_VALUE"""),"")</f>
        <v/>
      </c>
      <c r="C1994" t="str">
        <f>IFERROR(__xludf.DUMMYFUNCTION("""COMPUTED_VALUE"""),"")</f>
        <v/>
      </c>
      <c r="D1994" t="str">
        <f>IFERROR(__xludf.DUMMYFUNCTION("""COMPUTED_VALUE"""),"")</f>
        <v/>
      </c>
      <c r="E1994" t="str">
        <f>IFERROR(__xludf.DUMMYFUNCTION("""COMPUTED_VALUE"""),"")</f>
        <v/>
      </c>
      <c r="F1994" t="str">
        <f>IFERROR(__xludf.DUMMYFUNCTION("""COMPUTED_VALUE"""),"")</f>
        <v/>
      </c>
      <c r="G1994" t="str">
        <f>IFERROR(__xludf.DUMMYFUNCTION("""COMPUTED_VALUE"""),"")</f>
        <v/>
      </c>
      <c r="H1994" t="str">
        <f>IFERROR(__xludf.DUMMYFUNCTION("""COMPUTED_VALUE"""),"")</f>
        <v/>
      </c>
      <c r="I1994" t="str">
        <f>IFERROR(__xludf.DUMMYFUNCTION("""COMPUTED_VALUE"""),"")</f>
        <v/>
      </c>
      <c r="J1994">
        <f>IFERROR(__xludf.DUMMYFUNCTION("""COMPUTED_VALUE"""),0.0)</f>
        <v>0</v>
      </c>
      <c r="L1994" s="250" t="str">
        <f>IFERROR(__xludf.DUMMYFUNCTION("""COMPUTED_VALUE"""),"")</f>
        <v/>
      </c>
      <c r="M1994" s="250" t="str">
        <f>IFERROR(__xludf.DUMMYFUNCTION("""COMPUTED_VALUE"""),"")</f>
        <v/>
      </c>
      <c r="N1994" s="250" t="str">
        <f>IFERROR(__xludf.DUMMYFUNCTION("""COMPUTED_VALUE"""),"")</f>
        <v/>
      </c>
      <c r="O1994" s="250" t="str">
        <f>IFERROR(__xludf.DUMMYFUNCTION("""COMPUTED_VALUE"""),"")</f>
        <v/>
      </c>
      <c r="P1994" s="250" t="str">
        <f>IFERROR(__xludf.DUMMYFUNCTION("""COMPUTED_VALUE"""),"")</f>
        <v/>
      </c>
      <c r="Q1994" s="250" t="str">
        <f>IFERROR(__xludf.DUMMYFUNCTION("""COMPUTED_VALUE"""),"")</f>
        <v/>
      </c>
      <c r="R1994" s="250" t="str">
        <f>IFERROR(__xludf.DUMMYFUNCTION("""COMPUTED_VALUE"""),"")</f>
        <v/>
      </c>
      <c r="U1994" s="250" t="str">
        <f>IFERROR(__xludf.DUMMYFUNCTION("""COMPUTED_VALUE"""),"#N/A")</f>
        <v>#N/A</v>
      </c>
      <c r="V1994" s="250" t="str">
        <f>IFERROR(__xludf.DUMMYFUNCTION("""COMPUTED_VALUE"""),"#N/A")</f>
        <v>#N/A</v>
      </c>
      <c r="W1994" s="250" t="str">
        <f>IFERROR(__xludf.DUMMYFUNCTION("""COMPUTED_VALUE"""),"#N/A")</f>
        <v>#N/A</v>
      </c>
      <c r="X1994" t="b">
        <f t="shared" ref="X1994:Z1994" si="3964">ISBLANK(K1994)</f>
        <v>1</v>
      </c>
      <c r="Y1994" t="b">
        <f t="shared" si="3964"/>
        <v>0</v>
      </c>
      <c r="Z1994" t="b">
        <f t="shared" si="3964"/>
        <v>0</v>
      </c>
      <c r="AA1994">
        <f t="shared" ref="AA1994:AC1994" si="3965">IF(X1994=FALSE,1,0)</f>
        <v>0</v>
      </c>
      <c r="AB1994">
        <f t="shared" si="3965"/>
        <v>1</v>
      </c>
      <c r="AC1994">
        <f t="shared" si="3965"/>
        <v>1</v>
      </c>
      <c r="AD1994">
        <f t="shared" si="6"/>
        <v>2</v>
      </c>
      <c r="AE1994">
        <f t="shared" si="7"/>
        <v>1</v>
      </c>
    </row>
    <row r="1995">
      <c r="B1995" t="str">
        <f>IFERROR(__xludf.DUMMYFUNCTION("""COMPUTED_VALUE"""),"")</f>
        <v/>
      </c>
      <c r="C1995" t="str">
        <f>IFERROR(__xludf.DUMMYFUNCTION("""COMPUTED_VALUE"""),"")</f>
        <v/>
      </c>
      <c r="D1995" t="str">
        <f>IFERROR(__xludf.DUMMYFUNCTION("""COMPUTED_VALUE"""),"")</f>
        <v/>
      </c>
      <c r="E1995" t="str">
        <f>IFERROR(__xludf.DUMMYFUNCTION("""COMPUTED_VALUE"""),"")</f>
        <v/>
      </c>
      <c r="F1995" t="str">
        <f>IFERROR(__xludf.DUMMYFUNCTION("""COMPUTED_VALUE"""),"")</f>
        <v/>
      </c>
      <c r="G1995" t="str">
        <f>IFERROR(__xludf.DUMMYFUNCTION("""COMPUTED_VALUE"""),"")</f>
        <v/>
      </c>
      <c r="H1995" t="str">
        <f>IFERROR(__xludf.DUMMYFUNCTION("""COMPUTED_VALUE"""),"")</f>
        <v/>
      </c>
      <c r="I1995" t="str">
        <f>IFERROR(__xludf.DUMMYFUNCTION("""COMPUTED_VALUE"""),"")</f>
        <v/>
      </c>
      <c r="J1995">
        <f>IFERROR(__xludf.DUMMYFUNCTION("""COMPUTED_VALUE"""),0.0)</f>
        <v>0</v>
      </c>
      <c r="L1995" s="250" t="str">
        <f>IFERROR(__xludf.DUMMYFUNCTION("""COMPUTED_VALUE"""),"")</f>
        <v/>
      </c>
      <c r="M1995" s="250" t="str">
        <f>IFERROR(__xludf.DUMMYFUNCTION("""COMPUTED_VALUE"""),"")</f>
        <v/>
      </c>
      <c r="N1995" s="250" t="str">
        <f>IFERROR(__xludf.DUMMYFUNCTION("""COMPUTED_VALUE"""),"")</f>
        <v/>
      </c>
      <c r="O1995" s="250" t="str">
        <f>IFERROR(__xludf.DUMMYFUNCTION("""COMPUTED_VALUE"""),"")</f>
        <v/>
      </c>
      <c r="P1995" s="250" t="str">
        <f>IFERROR(__xludf.DUMMYFUNCTION("""COMPUTED_VALUE"""),"")</f>
        <v/>
      </c>
      <c r="Q1995" s="250" t="str">
        <f>IFERROR(__xludf.DUMMYFUNCTION("""COMPUTED_VALUE"""),"")</f>
        <v/>
      </c>
      <c r="R1995" s="250" t="str">
        <f>IFERROR(__xludf.DUMMYFUNCTION("""COMPUTED_VALUE"""),"")</f>
        <v/>
      </c>
      <c r="U1995" s="250" t="str">
        <f>IFERROR(__xludf.DUMMYFUNCTION("""COMPUTED_VALUE"""),"#N/A")</f>
        <v>#N/A</v>
      </c>
      <c r="V1995" s="250" t="str">
        <f>IFERROR(__xludf.DUMMYFUNCTION("""COMPUTED_VALUE"""),"#N/A")</f>
        <v>#N/A</v>
      </c>
      <c r="W1995" s="250" t="str">
        <f>IFERROR(__xludf.DUMMYFUNCTION("""COMPUTED_VALUE"""),"#N/A")</f>
        <v>#N/A</v>
      </c>
      <c r="X1995" t="b">
        <f t="shared" ref="X1995:Z1995" si="3966">ISBLANK(K1995)</f>
        <v>1</v>
      </c>
      <c r="Y1995" t="b">
        <f t="shared" si="3966"/>
        <v>0</v>
      </c>
      <c r="Z1995" t="b">
        <f t="shared" si="3966"/>
        <v>0</v>
      </c>
      <c r="AA1995">
        <f t="shared" ref="AA1995:AC1995" si="3967">IF(X1995=FALSE,1,0)</f>
        <v>0</v>
      </c>
      <c r="AB1995">
        <f t="shared" si="3967"/>
        <v>1</v>
      </c>
      <c r="AC1995">
        <f t="shared" si="3967"/>
        <v>1</v>
      </c>
      <c r="AD1995">
        <f t="shared" si="6"/>
        <v>2</v>
      </c>
      <c r="AE1995">
        <f t="shared" si="7"/>
        <v>1</v>
      </c>
    </row>
    <row r="1996">
      <c r="B1996" t="str">
        <f>IFERROR(__xludf.DUMMYFUNCTION("""COMPUTED_VALUE"""),"")</f>
        <v/>
      </c>
      <c r="C1996" t="str">
        <f>IFERROR(__xludf.DUMMYFUNCTION("""COMPUTED_VALUE"""),"")</f>
        <v/>
      </c>
      <c r="D1996" t="str">
        <f>IFERROR(__xludf.DUMMYFUNCTION("""COMPUTED_VALUE"""),"")</f>
        <v/>
      </c>
      <c r="E1996" t="str">
        <f>IFERROR(__xludf.DUMMYFUNCTION("""COMPUTED_VALUE"""),"")</f>
        <v/>
      </c>
      <c r="F1996" t="str">
        <f>IFERROR(__xludf.DUMMYFUNCTION("""COMPUTED_VALUE"""),"")</f>
        <v/>
      </c>
      <c r="G1996" t="str">
        <f>IFERROR(__xludf.DUMMYFUNCTION("""COMPUTED_VALUE"""),"")</f>
        <v/>
      </c>
      <c r="H1996" t="str">
        <f>IFERROR(__xludf.DUMMYFUNCTION("""COMPUTED_VALUE"""),"")</f>
        <v/>
      </c>
      <c r="I1996" t="str">
        <f>IFERROR(__xludf.DUMMYFUNCTION("""COMPUTED_VALUE"""),"")</f>
        <v/>
      </c>
      <c r="J1996">
        <f>IFERROR(__xludf.DUMMYFUNCTION("""COMPUTED_VALUE"""),0.0)</f>
        <v>0</v>
      </c>
      <c r="L1996" s="250" t="str">
        <f>IFERROR(__xludf.DUMMYFUNCTION("""COMPUTED_VALUE"""),"")</f>
        <v/>
      </c>
      <c r="M1996" s="250" t="str">
        <f>IFERROR(__xludf.DUMMYFUNCTION("""COMPUTED_VALUE"""),"")</f>
        <v/>
      </c>
      <c r="N1996" s="250" t="str">
        <f>IFERROR(__xludf.DUMMYFUNCTION("""COMPUTED_VALUE"""),"")</f>
        <v/>
      </c>
      <c r="O1996" s="250" t="str">
        <f>IFERROR(__xludf.DUMMYFUNCTION("""COMPUTED_VALUE"""),"")</f>
        <v/>
      </c>
      <c r="P1996" s="250" t="str">
        <f>IFERROR(__xludf.DUMMYFUNCTION("""COMPUTED_VALUE"""),"")</f>
        <v/>
      </c>
      <c r="Q1996" s="250" t="str">
        <f>IFERROR(__xludf.DUMMYFUNCTION("""COMPUTED_VALUE"""),"")</f>
        <v/>
      </c>
      <c r="R1996" s="250" t="str">
        <f>IFERROR(__xludf.DUMMYFUNCTION("""COMPUTED_VALUE"""),"")</f>
        <v/>
      </c>
      <c r="U1996" s="250" t="str">
        <f>IFERROR(__xludf.DUMMYFUNCTION("""COMPUTED_VALUE"""),"#N/A")</f>
        <v>#N/A</v>
      </c>
      <c r="V1996" s="250" t="str">
        <f>IFERROR(__xludf.DUMMYFUNCTION("""COMPUTED_VALUE"""),"#N/A")</f>
        <v>#N/A</v>
      </c>
      <c r="W1996" s="250" t="str">
        <f>IFERROR(__xludf.DUMMYFUNCTION("""COMPUTED_VALUE"""),"#N/A")</f>
        <v>#N/A</v>
      </c>
      <c r="X1996" t="b">
        <f t="shared" ref="X1996:Z1996" si="3968">ISBLANK(K1996)</f>
        <v>1</v>
      </c>
      <c r="Y1996" t="b">
        <f t="shared" si="3968"/>
        <v>0</v>
      </c>
      <c r="Z1996" t="b">
        <f t="shared" si="3968"/>
        <v>0</v>
      </c>
      <c r="AA1996">
        <f t="shared" ref="AA1996:AC1996" si="3969">IF(X1996=FALSE,1,0)</f>
        <v>0</v>
      </c>
      <c r="AB1996">
        <f t="shared" si="3969"/>
        <v>1</v>
      </c>
      <c r="AC1996">
        <f t="shared" si="3969"/>
        <v>1</v>
      </c>
      <c r="AD1996">
        <f t="shared" si="6"/>
        <v>2</v>
      </c>
      <c r="AE1996">
        <f t="shared" si="7"/>
        <v>1</v>
      </c>
    </row>
    <row r="1997">
      <c r="B1997" t="str">
        <f>IFERROR(__xludf.DUMMYFUNCTION("""COMPUTED_VALUE"""),"")</f>
        <v/>
      </c>
      <c r="C1997" t="str">
        <f>IFERROR(__xludf.DUMMYFUNCTION("""COMPUTED_VALUE"""),"")</f>
        <v/>
      </c>
      <c r="D1997" t="str">
        <f>IFERROR(__xludf.DUMMYFUNCTION("""COMPUTED_VALUE"""),"")</f>
        <v/>
      </c>
      <c r="E1997" t="str">
        <f>IFERROR(__xludf.DUMMYFUNCTION("""COMPUTED_VALUE"""),"")</f>
        <v/>
      </c>
      <c r="F1997" t="str">
        <f>IFERROR(__xludf.DUMMYFUNCTION("""COMPUTED_VALUE"""),"")</f>
        <v/>
      </c>
      <c r="G1997" t="str">
        <f>IFERROR(__xludf.DUMMYFUNCTION("""COMPUTED_VALUE"""),"")</f>
        <v/>
      </c>
      <c r="H1997" t="str">
        <f>IFERROR(__xludf.DUMMYFUNCTION("""COMPUTED_VALUE"""),"")</f>
        <v/>
      </c>
      <c r="I1997" t="str">
        <f>IFERROR(__xludf.DUMMYFUNCTION("""COMPUTED_VALUE"""),"")</f>
        <v/>
      </c>
      <c r="J1997">
        <f>IFERROR(__xludf.DUMMYFUNCTION("""COMPUTED_VALUE"""),0.0)</f>
        <v>0</v>
      </c>
      <c r="L1997" s="250" t="str">
        <f>IFERROR(__xludf.DUMMYFUNCTION("""COMPUTED_VALUE"""),"")</f>
        <v/>
      </c>
      <c r="M1997" s="250" t="str">
        <f>IFERROR(__xludf.DUMMYFUNCTION("""COMPUTED_VALUE"""),"")</f>
        <v/>
      </c>
      <c r="N1997" s="250" t="str">
        <f>IFERROR(__xludf.DUMMYFUNCTION("""COMPUTED_VALUE"""),"")</f>
        <v/>
      </c>
      <c r="O1997" s="250" t="str">
        <f>IFERROR(__xludf.DUMMYFUNCTION("""COMPUTED_VALUE"""),"")</f>
        <v/>
      </c>
      <c r="P1997" s="250" t="str">
        <f>IFERROR(__xludf.DUMMYFUNCTION("""COMPUTED_VALUE"""),"")</f>
        <v/>
      </c>
      <c r="Q1997" s="250" t="str">
        <f>IFERROR(__xludf.DUMMYFUNCTION("""COMPUTED_VALUE"""),"")</f>
        <v/>
      </c>
      <c r="R1997" s="250" t="str">
        <f>IFERROR(__xludf.DUMMYFUNCTION("""COMPUTED_VALUE"""),"")</f>
        <v/>
      </c>
      <c r="U1997" s="250" t="str">
        <f>IFERROR(__xludf.DUMMYFUNCTION("""COMPUTED_VALUE"""),"#N/A")</f>
        <v>#N/A</v>
      </c>
      <c r="V1997" s="250" t="str">
        <f>IFERROR(__xludf.DUMMYFUNCTION("""COMPUTED_VALUE"""),"#N/A")</f>
        <v>#N/A</v>
      </c>
      <c r="W1997" s="250" t="str">
        <f>IFERROR(__xludf.DUMMYFUNCTION("""COMPUTED_VALUE"""),"#N/A")</f>
        <v>#N/A</v>
      </c>
      <c r="X1997" t="b">
        <f t="shared" ref="X1997:Z1997" si="3970">ISBLANK(K1997)</f>
        <v>1</v>
      </c>
      <c r="Y1997" t="b">
        <f t="shared" si="3970"/>
        <v>0</v>
      </c>
      <c r="Z1997" t="b">
        <f t="shared" si="3970"/>
        <v>0</v>
      </c>
      <c r="AA1997">
        <f t="shared" ref="AA1997:AC1997" si="3971">IF(X1997=FALSE,1,0)</f>
        <v>0</v>
      </c>
      <c r="AB1997">
        <f t="shared" si="3971"/>
        <v>1</v>
      </c>
      <c r="AC1997">
        <f t="shared" si="3971"/>
        <v>1</v>
      </c>
      <c r="AD1997">
        <f t="shared" si="6"/>
        <v>2</v>
      </c>
      <c r="AE1997">
        <f t="shared" si="7"/>
        <v>1</v>
      </c>
    </row>
    <row r="1998">
      <c r="B1998" t="str">
        <f>IFERROR(__xludf.DUMMYFUNCTION("""COMPUTED_VALUE"""),"")</f>
        <v/>
      </c>
      <c r="C1998" t="str">
        <f>IFERROR(__xludf.DUMMYFUNCTION("""COMPUTED_VALUE"""),"")</f>
        <v/>
      </c>
      <c r="D1998" t="str">
        <f>IFERROR(__xludf.DUMMYFUNCTION("""COMPUTED_VALUE"""),"")</f>
        <v/>
      </c>
      <c r="E1998" t="str">
        <f>IFERROR(__xludf.DUMMYFUNCTION("""COMPUTED_VALUE"""),"")</f>
        <v/>
      </c>
      <c r="F1998" t="str">
        <f>IFERROR(__xludf.DUMMYFUNCTION("""COMPUTED_VALUE"""),"")</f>
        <v/>
      </c>
      <c r="G1998" t="str">
        <f>IFERROR(__xludf.DUMMYFUNCTION("""COMPUTED_VALUE"""),"")</f>
        <v/>
      </c>
      <c r="H1998" t="str">
        <f>IFERROR(__xludf.DUMMYFUNCTION("""COMPUTED_VALUE"""),"")</f>
        <v/>
      </c>
      <c r="I1998" t="str">
        <f>IFERROR(__xludf.DUMMYFUNCTION("""COMPUTED_VALUE"""),"")</f>
        <v/>
      </c>
      <c r="J1998">
        <f>IFERROR(__xludf.DUMMYFUNCTION("""COMPUTED_VALUE"""),0.0)</f>
        <v>0</v>
      </c>
      <c r="L1998" s="250" t="str">
        <f>IFERROR(__xludf.DUMMYFUNCTION("""COMPUTED_VALUE"""),"")</f>
        <v/>
      </c>
      <c r="M1998" s="250" t="str">
        <f>IFERROR(__xludf.DUMMYFUNCTION("""COMPUTED_VALUE"""),"")</f>
        <v/>
      </c>
      <c r="N1998" s="250" t="str">
        <f>IFERROR(__xludf.DUMMYFUNCTION("""COMPUTED_VALUE"""),"")</f>
        <v/>
      </c>
      <c r="O1998" s="250" t="str">
        <f>IFERROR(__xludf.DUMMYFUNCTION("""COMPUTED_VALUE"""),"")</f>
        <v/>
      </c>
      <c r="P1998" s="250" t="str">
        <f>IFERROR(__xludf.DUMMYFUNCTION("""COMPUTED_VALUE"""),"")</f>
        <v/>
      </c>
      <c r="Q1998" s="250" t="str">
        <f>IFERROR(__xludf.DUMMYFUNCTION("""COMPUTED_VALUE"""),"")</f>
        <v/>
      </c>
      <c r="R1998" s="250" t="str">
        <f>IFERROR(__xludf.DUMMYFUNCTION("""COMPUTED_VALUE"""),"")</f>
        <v/>
      </c>
      <c r="U1998" s="250" t="str">
        <f>IFERROR(__xludf.DUMMYFUNCTION("""COMPUTED_VALUE"""),"#N/A")</f>
        <v>#N/A</v>
      </c>
      <c r="V1998" s="250" t="str">
        <f>IFERROR(__xludf.DUMMYFUNCTION("""COMPUTED_VALUE"""),"#N/A")</f>
        <v>#N/A</v>
      </c>
      <c r="W1998" s="250" t="str">
        <f>IFERROR(__xludf.DUMMYFUNCTION("""COMPUTED_VALUE"""),"#N/A")</f>
        <v>#N/A</v>
      </c>
      <c r="X1998" t="b">
        <f t="shared" ref="X1998:Z1998" si="3972">ISBLANK(K1998)</f>
        <v>1</v>
      </c>
      <c r="Y1998" t="b">
        <f t="shared" si="3972"/>
        <v>0</v>
      </c>
      <c r="Z1998" t="b">
        <f t="shared" si="3972"/>
        <v>0</v>
      </c>
      <c r="AA1998">
        <f t="shared" ref="AA1998:AC1998" si="3973">IF(X1998=FALSE,1,0)</f>
        <v>0</v>
      </c>
      <c r="AB1998">
        <f t="shared" si="3973"/>
        <v>1</v>
      </c>
      <c r="AC1998">
        <f t="shared" si="3973"/>
        <v>1</v>
      </c>
      <c r="AD1998">
        <f t="shared" si="6"/>
        <v>2</v>
      </c>
      <c r="AE1998">
        <f t="shared" si="7"/>
        <v>1</v>
      </c>
    </row>
    <row r="1999">
      <c r="B1999" t="str">
        <f>IFERROR(__xludf.DUMMYFUNCTION("""COMPUTED_VALUE"""),"")</f>
        <v/>
      </c>
      <c r="C1999" t="str">
        <f>IFERROR(__xludf.DUMMYFUNCTION("""COMPUTED_VALUE"""),"")</f>
        <v/>
      </c>
      <c r="D1999" t="str">
        <f>IFERROR(__xludf.DUMMYFUNCTION("""COMPUTED_VALUE"""),"")</f>
        <v/>
      </c>
      <c r="E1999" t="str">
        <f>IFERROR(__xludf.DUMMYFUNCTION("""COMPUTED_VALUE"""),"")</f>
        <v/>
      </c>
      <c r="F1999" t="str">
        <f>IFERROR(__xludf.DUMMYFUNCTION("""COMPUTED_VALUE"""),"")</f>
        <v/>
      </c>
      <c r="G1999" t="str">
        <f>IFERROR(__xludf.DUMMYFUNCTION("""COMPUTED_VALUE"""),"")</f>
        <v/>
      </c>
      <c r="H1999" t="str">
        <f>IFERROR(__xludf.DUMMYFUNCTION("""COMPUTED_VALUE"""),"")</f>
        <v/>
      </c>
      <c r="I1999" t="str">
        <f>IFERROR(__xludf.DUMMYFUNCTION("""COMPUTED_VALUE"""),"")</f>
        <v/>
      </c>
      <c r="J1999">
        <f>IFERROR(__xludf.DUMMYFUNCTION("""COMPUTED_VALUE"""),0.0)</f>
        <v>0</v>
      </c>
      <c r="L1999" s="250" t="str">
        <f>IFERROR(__xludf.DUMMYFUNCTION("""COMPUTED_VALUE"""),"")</f>
        <v/>
      </c>
      <c r="M1999" s="250" t="str">
        <f>IFERROR(__xludf.DUMMYFUNCTION("""COMPUTED_VALUE"""),"")</f>
        <v/>
      </c>
      <c r="N1999" s="250" t="str">
        <f>IFERROR(__xludf.DUMMYFUNCTION("""COMPUTED_VALUE"""),"")</f>
        <v/>
      </c>
      <c r="O1999" s="250" t="str">
        <f>IFERROR(__xludf.DUMMYFUNCTION("""COMPUTED_VALUE"""),"")</f>
        <v/>
      </c>
      <c r="P1999" s="250" t="str">
        <f>IFERROR(__xludf.DUMMYFUNCTION("""COMPUTED_VALUE"""),"")</f>
        <v/>
      </c>
      <c r="Q1999" s="250" t="str">
        <f>IFERROR(__xludf.DUMMYFUNCTION("""COMPUTED_VALUE"""),"")</f>
        <v/>
      </c>
      <c r="R1999" s="250" t="str">
        <f>IFERROR(__xludf.DUMMYFUNCTION("""COMPUTED_VALUE"""),"")</f>
        <v/>
      </c>
      <c r="U1999" s="250" t="str">
        <f>IFERROR(__xludf.DUMMYFUNCTION("""COMPUTED_VALUE"""),"#N/A")</f>
        <v>#N/A</v>
      </c>
      <c r="V1999" s="250" t="str">
        <f>IFERROR(__xludf.DUMMYFUNCTION("""COMPUTED_VALUE"""),"#N/A")</f>
        <v>#N/A</v>
      </c>
      <c r="W1999" s="250" t="str">
        <f>IFERROR(__xludf.DUMMYFUNCTION("""COMPUTED_VALUE"""),"#N/A")</f>
        <v>#N/A</v>
      </c>
      <c r="X1999" t="b">
        <f t="shared" ref="X1999:Z1999" si="3974">ISBLANK(K1999)</f>
        <v>1</v>
      </c>
      <c r="Y1999" t="b">
        <f t="shared" si="3974"/>
        <v>0</v>
      </c>
      <c r="Z1999" t="b">
        <f t="shared" si="3974"/>
        <v>0</v>
      </c>
      <c r="AA1999">
        <f t="shared" ref="AA1999:AC1999" si="3975">IF(X1999=FALSE,1,0)</f>
        <v>0</v>
      </c>
      <c r="AB1999">
        <f t="shared" si="3975"/>
        <v>1</v>
      </c>
      <c r="AC1999">
        <f t="shared" si="3975"/>
        <v>1</v>
      </c>
      <c r="AD1999">
        <f t="shared" si="6"/>
        <v>2</v>
      </c>
      <c r="AE1999">
        <f t="shared" si="7"/>
        <v>1</v>
      </c>
    </row>
    <row r="2000">
      <c r="B2000" t="str">
        <f>IFERROR(__xludf.DUMMYFUNCTION("""COMPUTED_VALUE"""),"")</f>
        <v/>
      </c>
      <c r="C2000" t="str">
        <f>IFERROR(__xludf.DUMMYFUNCTION("""COMPUTED_VALUE"""),"")</f>
        <v/>
      </c>
      <c r="D2000" t="str">
        <f>IFERROR(__xludf.DUMMYFUNCTION("""COMPUTED_VALUE"""),"")</f>
        <v/>
      </c>
      <c r="E2000" t="str">
        <f>IFERROR(__xludf.DUMMYFUNCTION("""COMPUTED_VALUE"""),"")</f>
        <v/>
      </c>
      <c r="F2000" t="str">
        <f>IFERROR(__xludf.DUMMYFUNCTION("""COMPUTED_VALUE"""),"")</f>
        <v/>
      </c>
      <c r="G2000" t="str">
        <f>IFERROR(__xludf.DUMMYFUNCTION("""COMPUTED_VALUE"""),"")</f>
        <v/>
      </c>
      <c r="H2000" t="str">
        <f>IFERROR(__xludf.DUMMYFUNCTION("""COMPUTED_VALUE"""),"")</f>
        <v/>
      </c>
      <c r="I2000" t="str">
        <f>IFERROR(__xludf.DUMMYFUNCTION("""COMPUTED_VALUE"""),"")</f>
        <v/>
      </c>
      <c r="J2000">
        <f>IFERROR(__xludf.DUMMYFUNCTION("""COMPUTED_VALUE"""),0.0)</f>
        <v>0</v>
      </c>
      <c r="L2000" s="250" t="str">
        <f>IFERROR(__xludf.DUMMYFUNCTION("""COMPUTED_VALUE"""),"")</f>
        <v/>
      </c>
      <c r="M2000" s="250" t="str">
        <f>IFERROR(__xludf.DUMMYFUNCTION("""COMPUTED_VALUE"""),"")</f>
        <v/>
      </c>
      <c r="N2000" s="250" t="str">
        <f>IFERROR(__xludf.DUMMYFUNCTION("""COMPUTED_VALUE"""),"")</f>
        <v/>
      </c>
      <c r="O2000" s="250" t="str">
        <f>IFERROR(__xludf.DUMMYFUNCTION("""COMPUTED_VALUE"""),"")</f>
        <v/>
      </c>
      <c r="P2000" s="250" t="str">
        <f>IFERROR(__xludf.DUMMYFUNCTION("""COMPUTED_VALUE"""),"")</f>
        <v/>
      </c>
      <c r="Q2000" s="250" t="str">
        <f>IFERROR(__xludf.DUMMYFUNCTION("""COMPUTED_VALUE"""),"")</f>
        <v/>
      </c>
      <c r="R2000" s="250" t="str">
        <f>IFERROR(__xludf.DUMMYFUNCTION("""COMPUTED_VALUE"""),"")</f>
        <v/>
      </c>
      <c r="U2000" s="250" t="str">
        <f>IFERROR(__xludf.DUMMYFUNCTION("""COMPUTED_VALUE"""),"#N/A")</f>
        <v>#N/A</v>
      </c>
      <c r="V2000" s="250" t="str">
        <f>IFERROR(__xludf.DUMMYFUNCTION("""COMPUTED_VALUE"""),"#N/A")</f>
        <v>#N/A</v>
      </c>
      <c r="W2000" s="250" t="str">
        <f>IFERROR(__xludf.DUMMYFUNCTION("""COMPUTED_VALUE"""),"#N/A")</f>
        <v>#N/A</v>
      </c>
      <c r="X2000" t="b">
        <f t="shared" ref="X2000:Z2000" si="3976">ISBLANK(K2000)</f>
        <v>1</v>
      </c>
      <c r="Y2000" t="b">
        <f t="shared" si="3976"/>
        <v>0</v>
      </c>
      <c r="Z2000" t="b">
        <f t="shared" si="3976"/>
        <v>0</v>
      </c>
      <c r="AA2000">
        <f t="shared" ref="AA2000:AC2000" si="3977">IF(X2000=FALSE,1,0)</f>
        <v>0</v>
      </c>
      <c r="AB2000">
        <f t="shared" si="3977"/>
        <v>1</v>
      </c>
      <c r="AC2000">
        <f t="shared" si="3977"/>
        <v>1</v>
      </c>
      <c r="AD2000">
        <f t="shared" si="6"/>
        <v>2</v>
      </c>
      <c r="AE2000">
        <f t="shared" si="7"/>
        <v>1</v>
      </c>
    </row>
    <row r="2001">
      <c r="B2001" t="str">
        <f>IFERROR(__xludf.DUMMYFUNCTION("""COMPUTED_VALUE"""),"")</f>
        <v/>
      </c>
      <c r="C2001" t="str">
        <f>IFERROR(__xludf.DUMMYFUNCTION("""COMPUTED_VALUE"""),"")</f>
        <v/>
      </c>
      <c r="D2001" t="str">
        <f>IFERROR(__xludf.DUMMYFUNCTION("""COMPUTED_VALUE"""),"")</f>
        <v/>
      </c>
      <c r="E2001" t="str">
        <f>IFERROR(__xludf.DUMMYFUNCTION("""COMPUTED_VALUE"""),"")</f>
        <v/>
      </c>
      <c r="F2001" t="str">
        <f>IFERROR(__xludf.DUMMYFUNCTION("""COMPUTED_VALUE"""),"")</f>
        <v/>
      </c>
      <c r="G2001" t="str">
        <f>IFERROR(__xludf.DUMMYFUNCTION("""COMPUTED_VALUE"""),"")</f>
        <v/>
      </c>
      <c r="H2001" t="str">
        <f>IFERROR(__xludf.DUMMYFUNCTION("""COMPUTED_VALUE"""),"")</f>
        <v/>
      </c>
      <c r="I2001" t="str">
        <f>IFERROR(__xludf.DUMMYFUNCTION("""COMPUTED_VALUE"""),"")</f>
        <v/>
      </c>
      <c r="J2001">
        <f>IFERROR(__xludf.DUMMYFUNCTION("""COMPUTED_VALUE"""),0.0)</f>
        <v>0</v>
      </c>
      <c r="L2001" s="250" t="str">
        <f>IFERROR(__xludf.DUMMYFUNCTION("""COMPUTED_VALUE"""),"")</f>
        <v/>
      </c>
      <c r="M2001" s="250" t="str">
        <f>IFERROR(__xludf.DUMMYFUNCTION("""COMPUTED_VALUE"""),"")</f>
        <v/>
      </c>
      <c r="N2001" s="250" t="str">
        <f>IFERROR(__xludf.DUMMYFUNCTION("""COMPUTED_VALUE"""),"")</f>
        <v/>
      </c>
      <c r="O2001" s="250" t="str">
        <f>IFERROR(__xludf.DUMMYFUNCTION("""COMPUTED_VALUE"""),"")</f>
        <v/>
      </c>
      <c r="P2001" s="250" t="str">
        <f>IFERROR(__xludf.DUMMYFUNCTION("""COMPUTED_VALUE"""),"")</f>
        <v/>
      </c>
      <c r="Q2001" s="250" t="str">
        <f>IFERROR(__xludf.DUMMYFUNCTION("""COMPUTED_VALUE"""),"")</f>
        <v/>
      </c>
      <c r="R2001" s="250" t="str">
        <f>IFERROR(__xludf.DUMMYFUNCTION("""COMPUTED_VALUE"""),"")</f>
        <v/>
      </c>
      <c r="U2001" s="250" t="str">
        <f>IFERROR(__xludf.DUMMYFUNCTION("""COMPUTED_VALUE"""),"#N/A")</f>
        <v>#N/A</v>
      </c>
      <c r="V2001" s="250" t="str">
        <f>IFERROR(__xludf.DUMMYFUNCTION("""COMPUTED_VALUE"""),"#N/A")</f>
        <v>#N/A</v>
      </c>
      <c r="W2001" s="250" t="str">
        <f>IFERROR(__xludf.DUMMYFUNCTION("""COMPUTED_VALUE"""),"#N/A")</f>
        <v>#N/A</v>
      </c>
      <c r="X2001" t="b">
        <f t="shared" ref="X2001:Z2001" si="3978">ISBLANK(K2001)</f>
        <v>1</v>
      </c>
      <c r="Y2001" t="b">
        <f t="shared" si="3978"/>
        <v>0</v>
      </c>
      <c r="Z2001" t="b">
        <f t="shared" si="3978"/>
        <v>0</v>
      </c>
      <c r="AA2001">
        <f t="shared" ref="AA2001:AC2001" si="3979">IF(X2001=FALSE,1,0)</f>
        <v>0</v>
      </c>
      <c r="AB2001">
        <f t="shared" si="3979"/>
        <v>1</v>
      </c>
      <c r="AC2001">
        <f t="shared" si="3979"/>
        <v>1</v>
      </c>
      <c r="AD2001">
        <f t="shared" si="6"/>
        <v>2</v>
      </c>
      <c r="AE2001">
        <f t="shared" si="7"/>
        <v>1</v>
      </c>
    </row>
    <row r="2002">
      <c r="B2002" t="str">
        <f>IFERROR(__xludf.DUMMYFUNCTION("""COMPUTED_VALUE"""),"")</f>
        <v/>
      </c>
      <c r="C2002" t="str">
        <f>IFERROR(__xludf.DUMMYFUNCTION("""COMPUTED_VALUE"""),"")</f>
        <v/>
      </c>
      <c r="D2002" t="str">
        <f>IFERROR(__xludf.DUMMYFUNCTION("""COMPUTED_VALUE"""),"")</f>
        <v/>
      </c>
      <c r="E2002" t="str">
        <f>IFERROR(__xludf.DUMMYFUNCTION("""COMPUTED_VALUE"""),"")</f>
        <v/>
      </c>
      <c r="F2002" t="str">
        <f>IFERROR(__xludf.DUMMYFUNCTION("""COMPUTED_VALUE"""),"")</f>
        <v/>
      </c>
      <c r="G2002" t="str">
        <f>IFERROR(__xludf.DUMMYFUNCTION("""COMPUTED_VALUE"""),"")</f>
        <v/>
      </c>
      <c r="H2002" t="str">
        <f>IFERROR(__xludf.DUMMYFUNCTION("""COMPUTED_VALUE"""),"")</f>
        <v/>
      </c>
      <c r="I2002" t="str">
        <f>IFERROR(__xludf.DUMMYFUNCTION("""COMPUTED_VALUE"""),"")</f>
        <v/>
      </c>
      <c r="J2002">
        <f>IFERROR(__xludf.DUMMYFUNCTION("""COMPUTED_VALUE"""),0.0)</f>
        <v>0</v>
      </c>
      <c r="L2002" s="250" t="str">
        <f>IFERROR(__xludf.DUMMYFUNCTION("""COMPUTED_VALUE"""),"")</f>
        <v/>
      </c>
      <c r="M2002" s="250" t="str">
        <f>IFERROR(__xludf.DUMMYFUNCTION("""COMPUTED_VALUE"""),"")</f>
        <v/>
      </c>
      <c r="N2002" s="250" t="str">
        <f>IFERROR(__xludf.DUMMYFUNCTION("""COMPUTED_VALUE"""),"")</f>
        <v/>
      </c>
      <c r="O2002" s="250" t="str">
        <f>IFERROR(__xludf.DUMMYFUNCTION("""COMPUTED_VALUE"""),"")</f>
        <v/>
      </c>
      <c r="P2002" s="250" t="str">
        <f>IFERROR(__xludf.DUMMYFUNCTION("""COMPUTED_VALUE"""),"")</f>
        <v/>
      </c>
      <c r="Q2002" s="250" t="str">
        <f>IFERROR(__xludf.DUMMYFUNCTION("""COMPUTED_VALUE"""),"")</f>
        <v/>
      </c>
      <c r="R2002" s="250" t="str">
        <f>IFERROR(__xludf.DUMMYFUNCTION("""COMPUTED_VALUE"""),"")</f>
        <v/>
      </c>
      <c r="U2002" s="250" t="str">
        <f>IFERROR(__xludf.DUMMYFUNCTION("""COMPUTED_VALUE"""),"#N/A")</f>
        <v>#N/A</v>
      </c>
      <c r="V2002" s="250" t="str">
        <f>IFERROR(__xludf.DUMMYFUNCTION("""COMPUTED_VALUE"""),"#N/A")</f>
        <v>#N/A</v>
      </c>
      <c r="W2002" s="250" t="str">
        <f>IFERROR(__xludf.DUMMYFUNCTION("""COMPUTED_VALUE"""),"#N/A")</f>
        <v>#N/A</v>
      </c>
      <c r="X2002" t="b">
        <f t="shared" ref="X2002:Z2002" si="3980">ISBLANK(K2002)</f>
        <v>1</v>
      </c>
      <c r="Y2002" t="b">
        <f t="shared" si="3980"/>
        <v>0</v>
      </c>
      <c r="Z2002" t="b">
        <f t="shared" si="3980"/>
        <v>0</v>
      </c>
      <c r="AA2002">
        <f t="shared" ref="AA2002:AC2002" si="3981">IF(X2002=FALSE,1,0)</f>
        <v>0</v>
      </c>
      <c r="AB2002">
        <f t="shared" si="3981"/>
        <v>1</v>
      </c>
      <c r="AC2002">
        <f t="shared" si="3981"/>
        <v>1</v>
      </c>
      <c r="AD2002">
        <f t="shared" si="6"/>
        <v>2</v>
      </c>
      <c r="AE2002">
        <f t="shared" si="7"/>
        <v>1</v>
      </c>
    </row>
    <row r="2003">
      <c r="B2003" t="str">
        <f>IFERROR(__xludf.DUMMYFUNCTION("""COMPUTED_VALUE"""),"")</f>
        <v/>
      </c>
      <c r="C2003" t="str">
        <f>IFERROR(__xludf.DUMMYFUNCTION("""COMPUTED_VALUE"""),"")</f>
        <v/>
      </c>
      <c r="D2003" t="str">
        <f>IFERROR(__xludf.DUMMYFUNCTION("""COMPUTED_VALUE"""),"")</f>
        <v/>
      </c>
      <c r="E2003" t="str">
        <f>IFERROR(__xludf.DUMMYFUNCTION("""COMPUTED_VALUE"""),"")</f>
        <v/>
      </c>
      <c r="F2003" t="str">
        <f>IFERROR(__xludf.DUMMYFUNCTION("""COMPUTED_VALUE"""),"")</f>
        <v/>
      </c>
      <c r="G2003" t="str">
        <f>IFERROR(__xludf.DUMMYFUNCTION("""COMPUTED_VALUE"""),"")</f>
        <v/>
      </c>
      <c r="H2003" t="str">
        <f>IFERROR(__xludf.DUMMYFUNCTION("""COMPUTED_VALUE"""),"")</f>
        <v/>
      </c>
      <c r="I2003" t="str">
        <f>IFERROR(__xludf.DUMMYFUNCTION("""COMPUTED_VALUE"""),"")</f>
        <v/>
      </c>
      <c r="J2003">
        <f>IFERROR(__xludf.DUMMYFUNCTION("""COMPUTED_VALUE"""),0.0)</f>
        <v>0</v>
      </c>
      <c r="L2003" s="250" t="str">
        <f>IFERROR(__xludf.DUMMYFUNCTION("""COMPUTED_VALUE"""),"")</f>
        <v/>
      </c>
      <c r="M2003" s="250" t="str">
        <f>IFERROR(__xludf.DUMMYFUNCTION("""COMPUTED_VALUE"""),"")</f>
        <v/>
      </c>
      <c r="N2003" s="250" t="str">
        <f>IFERROR(__xludf.DUMMYFUNCTION("""COMPUTED_VALUE"""),"")</f>
        <v/>
      </c>
      <c r="O2003" s="250" t="str">
        <f>IFERROR(__xludf.DUMMYFUNCTION("""COMPUTED_VALUE"""),"")</f>
        <v/>
      </c>
      <c r="P2003" s="250" t="str">
        <f>IFERROR(__xludf.DUMMYFUNCTION("""COMPUTED_VALUE"""),"")</f>
        <v/>
      </c>
      <c r="Q2003" s="250" t="str">
        <f>IFERROR(__xludf.DUMMYFUNCTION("""COMPUTED_VALUE"""),"")</f>
        <v/>
      </c>
      <c r="R2003" s="250" t="str">
        <f>IFERROR(__xludf.DUMMYFUNCTION("""COMPUTED_VALUE"""),"")</f>
        <v/>
      </c>
      <c r="U2003" s="250" t="str">
        <f>IFERROR(__xludf.DUMMYFUNCTION("""COMPUTED_VALUE"""),"#N/A")</f>
        <v>#N/A</v>
      </c>
      <c r="V2003" s="250" t="str">
        <f>IFERROR(__xludf.DUMMYFUNCTION("""COMPUTED_VALUE"""),"#N/A")</f>
        <v>#N/A</v>
      </c>
      <c r="W2003" s="250" t="str">
        <f>IFERROR(__xludf.DUMMYFUNCTION("""COMPUTED_VALUE"""),"#N/A")</f>
        <v>#N/A</v>
      </c>
      <c r="X2003" t="b">
        <f t="shared" ref="X2003:Z2003" si="3982">ISBLANK(K2003)</f>
        <v>1</v>
      </c>
      <c r="Y2003" t="b">
        <f t="shared" si="3982"/>
        <v>0</v>
      </c>
      <c r="Z2003" t="b">
        <f t="shared" si="3982"/>
        <v>0</v>
      </c>
      <c r="AA2003">
        <f t="shared" ref="AA2003:AC2003" si="3983">IF(X2003=FALSE,1,0)</f>
        <v>0</v>
      </c>
      <c r="AB2003">
        <f t="shared" si="3983"/>
        <v>1</v>
      </c>
      <c r="AC2003">
        <f t="shared" si="3983"/>
        <v>1</v>
      </c>
      <c r="AD2003">
        <f t="shared" si="6"/>
        <v>2</v>
      </c>
      <c r="AE2003">
        <f t="shared" si="7"/>
        <v>1</v>
      </c>
    </row>
    <row r="2004">
      <c r="B2004" t="str">
        <f>IFERROR(__xludf.DUMMYFUNCTION("""COMPUTED_VALUE"""),"")</f>
        <v/>
      </c>
      <c r="C2004" t="str">
        <f>IFERROR(__xludf.DUMMYFUNCTION("""COMPUTED_VALUE"""),"")</f>
        <v/>
      </c>
      <c r="D2004" t="str">
        <f>IFERROR(__xludf.DUMMYFUNCTION("""COMPUTED_VALUE"""),"")</f>
        <v/>
      </c>
      <c r="E2004" t="str">
        <f>IFERROR(__xludf.DUMMYFUNCTION("""COMPUTED_VALUE"""),"")</f>
        <v/>
      </c>
      <c r="F2004" t="str">
        <f>IFERROR(__xludf.DUMMYFUNCTION("""COMPUTED_VALUE"""),"")</f>
        <v/>
      </c>
      <c r="G2004" t="str">
        <f>IFERROR(__xludf.DUMMYFUNCTION("""COMPUTED_VALUE"""),"")</f>
        <v/>
      </c>
      <c r="H2004" t="str">
        <f>IFERROR(__xludf.DUMMYFUNCTION("""COMPUTED_VALUE"""),"")</f>
        <v/>
      </c>
      <c r="I2004" t="str">
        <f>IFERROR(__xludf.DUMMYFUNCTION("""COMPUTED_VALUE"""),"")</f>
        <v/>
      </c>
      <c r="J2004">
        <f>IFERROR(__xludf.DUMMYFUNCTION("""COMPUTED_VALUE"""),0.0)</f>
        <v>0</v>
      </c>
      <c r="L2004" s="250" t="str">
        <f>IFERROR(__xludf.DUMMYFUNCTION("""COMPUTED_VALUE"""),"")</f>
        <v/>
      </c>
      <c r="M2004" s="250" t="str">
        <f>IFERROR(__xludf.DUMMYFUNCTION("""COMPUTED_VALUE"""),"")</f>
        <v/>
      </c>
      <c r="N2004" s="250" t="str">
        <f>IFERROR(__xludf.DUMMYFUNCTION("""COMPUTED_VALUE"""),"")</f>
        <v/>
      </c>
      <c r="O2004" s="250" t="str">
        <f>IFERROR(__xludf.DUMMYFUNCTION("""COMPUTED_VALUE"""),"")</f>
        <v/>
      </c>
      <c r="P2004" s="250" t="str">
        <f>IFERROR(__xludf.DUMMYFUNCTION("""COMPUTED_VALUE"""),"")</f>
        <v/>
      </c>
      <c r="Q2004" s="250" t="str">
        <f>IFERROR(__xludf.DUMMYFUNCTION("""COMPUTED_VALUE"""),"")</f>
        <v/>
      </c>
      <c r="R2004" s="250" t="str">
        <f>IFERROR(__xludf.DUMMYFUNCTION("""COMPUTED_VALUE"""),"")</f>
        <v/>
      </c>
      <c r="U2004" s="250" t="str">
        <f>IFERROR(__xludf.DUMMYFUNCTION("""COMPUTED_VALUE"""),"#N/A")</f>
        <v>#N/A</v>
      </c>
      <c r="V2004" s="250" t="str">
        <f>IFERROR(__xludf.DUMMYFUNCTION("""COMPUTED_VALUE"""),"#N/A")</f>
        <v>#N/A</v>
      </c>
      <c r="W2004" s="250" t="str">
        <f>IFERROR(__xludf.DUMMYFUNCTION("""COMPUTED_VALUE"""),"#N/A")</f>
        <v>#N/A</v>
      </c>
      <c r="X2004" t="b">
        <f t="shared" ref="X2004:Z2004" si="3984">ISBLANK(K2004)</f>
        <v>1</v>
      </c>
      <c r="Y2004" t="b">
        <f t="shared" si="3984"/>
        <v>0</v>
      </c>
      <c r="Z2004" t="b">
        <f t="shared" si="3984"/>
        <v>0</v>
      </c>
      <c r="AA2004">
        <f t="shared" ref="AA2004:AC2004" si="3985">IF(X2004=FALSE,1,0)</f>
        <v>0</v>
      </c>
      <c r="AB2004">
        <f t="shared" si="3985"/>
        <v>1</v>
      </c>
      <c r="AC2004">
        <f t="shared" si="3985"/>
        <v>1</v>
      </c>
      <c r="AD2004">
        <f t="shared" si="6"/>
        <v>2</v>
      </c>
      <c r="AE2004">
        <f t="shared" si="7"/>
        <v>1</v>
      </c>
    </row>
    <row r="2005">
      <c r="B2005" t="str">
        <f>IFERROR(__xludf.DUMMYFUNCTION("""COMPUTED_VALUE"""),"")</f>
        <v/>
      </c>
      <c r="C2005" t="str">
        <f>IFERROR(__xludf.DUMMYFUNCTION("""COMPUTED_VALUE"""),"")</f>
        <v/>
      </c>
      <c r="D2005" t="str">
        <f>IFERROR(__xludf.DUMMYFUNCTION("""COMPUTED_VALUE"""),"")</f>
        <v/>
      </c>
      <c r="E2005" t="str">
        <f>IFERROR(__xludf.DUMMYFUNCTION("""COMPUTED_VALUE"""),"")</f>
        <v/>
      </c>
      <c r="F2005" t="str">
        <f>IFERROR(__xludf.DUMMYFUNCTION("""COMPUTED_VALUE"""),"")</f>
        <v/>
      </c>
      <c r="G2005" t="str">
        <f>IFERROR(__xludf.DUMMYFUNCTION("""COMPUTED_VALUE"""),"")</f>
        <v/>
      </c>
      <c r="H2005" t="str">
        <f>IFERROR(__xludf.DUMMYFUNCTION("""COMPUTED_VALUE"""),"")</f>
        <v/>
      </c>
      <c r="I2005" t="str">
        <f>IFERROR(__xludf.DUMMYFUNCTION("""COMPUTED_VALUE"""),"")</f>
        <v/>
      </c>
      <c r="J2005">
        <f>IFERROR(__xludf.DUMMYFUNCTION("""COMPUTED_VALUE"""),0.0)</f>
        <v>0</v>
      </c>
      <c r="L2005" s="250" t="str">
        <f>IFERROR(__xludf.DUMMYFUNCTION("""COMPUTED_VALUE"""),"")</f>
        <v/>
      </c>
      <c r="M2005" s="250" t="str">
        <f>IFERROR(__xludf.DUMMYFUNCTION("""COMPUTED_VALUE"""),"")</f>
        <v/>
      </c>
      <c r="N2005" s="250" t="str">
        <f>IFERROR(__xludf.DUMMYFUNCTION("""COMPUTED_VALUE"""),"")</f>
        <v/>
      </c>
      <c r="O2005" s="250" t="str">
        <f>IFERROR(__xludf.DUMMYFUNCTION("""COMPUTED_VALUE"""),"")</f>
        <v/>
      </c>
      <c r="P2005" s="250" t="str">
        <f>IFERROR(__xludf.DUMMYFUNCTION("""COMPUTED_VALUE"""),"")</f>
        <v/>
      </c>
      <c r="Q2005" s="250" t="str">
        <f>IFERROR(__xludf.DUMMYFUNCTION("""COMPUTED_VALUE"""),"")</f>
        <v/>
      </c>
      <c r="R2005" s="250" t="str">
        <f>IFERROR(__xludf.DUMMYFUNCTION("""COMPUTED_VALUE"""),"")</f>
        <v/>
      </c>
      <c r="U2005" s="250" t="str">
        <f>IFERROR(__xludf.DUMMYFUNCTION("""COMPUTED_VALUE"""),"#N/A")</f>
        <v>#N/A</v>
      </c>
      <c r="V2005" s="250" t="str">
        <f>IFERROR(__xludf.DUMMYFUNCTION("""COMPUTED_VALUE"""),"#N/A")</f>
        <v>#N/A</v>
      </c>
      <c r="W2005" s="250" t="str">
        <f>IFERROR(__xludf.DUMMYFUNCTION("""COMPUTED_VALUE"""),"#N/A")</f>
        <v>#N/A</v>
      </c>
      <c r="X2005" t="b">
        <f t="shared" ref="X2005:Z2005" si="3986">ISBLANK(K2005)</f>
        <v>1</v>
      </c>
      <c r="Y2005" t="b">
        <f t="shared" si="3986"/>
        <v>0</v>
      </c>
      <c r="Z2005" t="b">
        <f t="shared" si="3986"/>
        <v>0</v>
      </c>
      <c r="AA2005">
        <f t="shared" ref="AA2005:AC2005" si="3987">IF(X2005=FALSE,1,0)</f>
        <v>0</v>
      </c>
      <c r="AB2005">
        <f t="shared" si="3987"/>
        <v>1</v>
      </c>
      <c r="AC2005">
        <f t="shared" si="3987"/>
        <v>1</v>
      </c>
      <c r="AD2005">
        <f t="shared" si="6"/>
        <v>2</v>
      </c>
      <c r="AE2005">
        <f t="shared" si="7"/>
        <v>1</v>
      </c>
    </row>
    <row r="2006">
      <c r="B2006" t="str">
        <f>IFERROR(__xludf.DUMMYFUNCTION("""COMPUTED_VALUE"""),"")</f>
        <v/>
      </c>
      <c r="C2006" t="str">
        <f>IFERROR(__xludf.DUMMYFUNCTION("""COMPUTED_VALUE"""),"")</f>
        <v/>
      </c>
      <c r="D2006" t="str">
        <f>IFERROR(__xludf.DUMMYFUNCTION("""COMPUTED_VALUE"""),"")</f>
        <v/>
      </c>
      <c r="E2006" t="str">
        <f>IFERROR(__xludf.DUMMYFUNCTION("""COMPUTED_VALUE"""),"")</f>
        <v/>
      </c>
      <c r="F2006" t="str">
        <f>IFERROR(__xludf.DUMMYFUNCTION("""COMPUTED_VALUE"""),"")</f>
        <v/>
      </c>
      <c r="G2006" t="str">
        <f>IFERROR(__xludf.DUMMYFUNCTION("""COMPUTED_VALUE"""),"")</f>
        <v/>
      </c>
      <c r="H2006" t="str">
        <f>IFERROR(__xludf.DUMMYFUNCTION("""COMPUTED_VALUE"""),"")</f>
        <v/>
      </c>
      <c r="I2006" t="str">
        <f>IFERROR(__xludf.DUMMYFUNCTION("""COMPUTED_VALUE"""),"")</f>
        <v/>
      </c>
      <c r="J2006">
        <f>IFERROR(__xludf.DUMMYFUNCTION("""COMPUTED_VALUE"""),0.0)</f>
        <v>0</v>
      </c>
      <c r="L2006" s="250" t="str">
        <f>IFERROR(__xludf.DUMMYFUNCTION("""COMPUTED_VALUE"""),"")</f>
        <v/>
      </c>
      <c r="M2006" s="250" t="str">
        <f>IFERROR(__xludf.DUMMYFUNCTION("""COMPUTED_VALUE"""),"")</f>
        <v/>
      </c>
      <c r="N2006" s="250" t="str">
        <f>IFERROR(__xludf.DUMMYFUNCTION("""COMPUTED_VALUE"""),"")</f>
        <v/>
      </c>
      <c r="O2006" s="250" t="str">
        <f>IFERROR(__xludf.DUMMYFUNCTION("""COMPUTED_VALUE"""),"")</f>
        <v/>
      </c>
      <c r="P2006" s="250" t="str">
        <f>IFERROR(__xludf.DUMMYFUNCTION("""COMPUTED_VALUE"""),"")</f>
        <v/>
      </c>
      <c r="Q2006" s="250" t="str">
        <f>IFERROR(__xludf.DUMMYFUNCTION("""COMPUTED_VALUE"""),"")</f>
        <v/>
      </c>
      <c r="R2006" s="250" t="str">
        <f>IFERROR(__xludf.DUMMYFUNCTION("""COMPUTED_VALUE"""),"")</f>
        <v/>
      </c>
      <c r="U2006" s="250" t="str">
        <f>IFERROR(__xludf.DUMMYFUNCTION("""COMPUTED_VALUE"""),"#N/A")</f>
        <v>#N/A</v>
      </c>
      <c r="V2006" s="250" t="str">
        <f>IFERROR(__xludf.DUMMYFUNCTION("""COMPUTED_VALUE"""),"#N/A")</f>
        <v>#N/A</v>
      </c>
      <c r="W2006" s="250" t="str">
        <f>IFERROR(__xludf.DUMMYFUNCTION("""COMPUTED_VALUE"""),"#N/A")</f>
        <v>#N/A</v>
      </c>
      <c r="X2006" t="b">
        <f t="shared" ref="X2006:Z2006" si="3988">ISBLANK(K2006)</f>
        <v>1</v>
      </c>
      <c r="Y2006" t="b">
        <f t="shared" si="3988"/>
        <v>0</v>
      </c>
      <c r="Z2006" t="b">
        <f t="shared" si="3988"/>
        <v>0</v>
      </c>
      <c r="AA2006">
        <f t="shared" ref="AA2006:AC2006" si="3989">IF(X2006=FALSE,1,0)</f>
        <v>0</v>
      </c>
      <c r="AB2006">
        <f t="shared" si="3989"/>
        <v>1</v>
      </c>
      <c r="AC2006">
        <f t="shared" si="3989"/>
        <v>1</v>
      </c>
      <c r="AD2006">
        <f t="shared" si="6"/>
        <v>2</v>
      </c>
      <c r="AE2006">
        <f t="shared" si="7"/>
        <v>1</v>
      </c>
    </row>
    <row r="2007">
      <c r="B2007" t="str">
        <f>IFERROR(__xludf.DUMMYFUNCTION("""COMPUTED_VALUE"""),"")</f>
        <v/>
      </c>
      <c r="C2007" t="str">
        <f>IFERROR(__xludf.DUMMYFUNCTION("""COMPUTED_VALUE"""),"")</f>
        <v/>
      </c>
      <c r="D2007" t="str">
        <f>IFERROR(__xludf.DUMMYFUNCTION("""COMPUTED_VALUE"""),"")</f>
        <v/>
      </c>
      <c r="E2007" t="str">
        <f>IFERROR(__xludf.DUMMYFUNCTION("""COMPUTED_VALUE"""),"")</f>
        <v/>
      </c>
      <c r="F2007" t="str">
        <f>IFERROR(__xludf.DUMMYFUNCTION("""COMPUTED_VALUE"""),"")</f>
        <v/>
      </c>
      <c r="G2007" t="str">
        <f>IFERROR(__xludf.DUMMYFUNCTION("""COMPUTED_VALUE"""),"")</f>
        <v/>
      </c>
      <c r="H2007" t="str">
        <f>IFERROR(__xludf.DUMMYFUNCTION("""COMPUTED_VALUE"""),"")</f>
        <v/>
      </c>
      <c r="I2007" t="str">
        <f>IFERROR(__xludf.DUMMYFUNCTION("""COMPUTED_VALUE"""),"")</f>
        <v/>
      </c>
      <c r="J2007">
        <f>IFERROR(__xludf.DUMMYFUNCTION("""COMPUTED_VALUE"""),0.0)</f>
        <v>0</v>
      </c>
      <c r="L2007" s="250" t="str">
        <f>IFERROR(__xludf.DUMMYFUNCTION("""COMPUTED_VALUE"""),"")</f>
        <v/>
      </c>
      <c r="M2007" s="250" t="str">
        <f>IFERROR(__xludf.DUMMYFUNCTION("""COMPUTED_VALUE"""),"")</f>
        <v/>
      </c>
      <c r="N2007" s="250" t="str">
        <f>IFERROR(__xludf.DUMMYFUNCTION("""COMPUTED_VALUE"""),"")</f>
        <v/>
      </c>
      <c r="O2007" s="250" t="str">
        <f>IFERROR(__xludf.DUMMYFUNCTION("""COMPUTED_VALUE"""),"")</f>
        <v/>
      </c>
      <c r="P2007" s="250" t="str">
        <f>IFERROR(__xludf.DUMMYFUNCTION("""COMPUTED_VALUE"""),"")</f>
        <v/>
      </c>
      <c r="Q2007" s="250" t="str">
        <f>IFERROR(__xludf.DUMMYFUNCTION("""COMPUTED_VALUE"""),"")</f>
        <v/>
      </c>
      <c r="R2007" s="250" t="str">
        <f>IFERROR(__xludf.DUMMYFUNCTION("""COMPUTED_VALUE"""),"")</f>
        <v/>
      </c>
      <c r="U2007" s="250" t="str">
        <f>IFERROR(__xludf.DUMMYFUNCTION("""COMPUTED_VALUE"""),"#N/A")</f>
        <v>#N/A</v>
      </c>
      <c r="V2007" s="250" t="str">
        <f>IFERROR(__xludf.DUMMYFUNCTION("""COMPUTED_VALUE"""),"#N/A")</f>
        <v>#N/A</v>
      </c>
      <c r="W2007" s="250" t="str">
        <f>IFERROR(__xludf.DUMMYFUNCTION("""COMPUTED_VALUE"""),"#N/A")</f>
        <v>#N/A</v>
      </c>
      <c r="X2007" t="b">
        <f t="shared" ref="X2007:Z2007" si="3990">ISBLANK(K2007)</f>
        <v>1</v>
      </c>
      <c r="Y2007" t="b">
        <f t="shared" si="3990"/>
        <v>0</v>
      </c>
      <c r="Z2007" t="b">
        <f t="shared" si="3990"/>
        <v>0</v>
      </c>
      <c r="AA2007">
        <f t="shared" ref="AA2007:AC2007" si="3991">IF(X2007=FALSE,1,0)</f>
        <v>0</v>
      </c>
      <c r="AB2007">
        <f t="shared" si="3991"/>
        <v>1</v>
      </c>
      <c r="AC2007">
        <f t="shared" si="3991"/>
        <v>1</v>
      </c>
      <c r="AD2007">
        <f t="shared" si="6"/>
        <v>2</v>
      </c>
      <c r="AE2007">
        <f t="shared" si="7"/>
        <v>1</v>
      </c>
    </row>
    <row r="2008">
      <c r="B2008" t="str">
        <f>IFERROR(__xludf.DUMMYFUNCTION("""COMPUTED_VALUE"""),"")</f>
        <v/>
      </c>
      <c r="C2008" t="str">
        <f>IFERROR(__xludf.DUMMYFUNCTION("""COMPUTED_VALUE"""),"")</f>
        <v/>
      </c>
      <c r="D2008" t="str">
        <f>IFERROR(__xludf.DUMMYFUNCTION("""COMPUTED_VALUE"""),"")</f>
        <v/>
      </c>
      <c r="E2008" t="str">
        <f>IFERROR(__xludf.DUMMYFUNCTION("""COMPUTED_VALUE"""),"")</f>
        <v/>
      </c>
      <c r="F2008" t="str">
        <f>IFERROR(__xludf.DUMMYFUNCTION("""COMPUTED_VALUE"""),"")</f>
        <v/>
      </c>
      <c r="G2008" t="str">
        <f>IFERROR(__xludf.DUMMYFUNCTION("""COMPUTED_VALUE"""),"")</f>
        <v/>
      </c>
      <c r="H2008" t="str">
        <f>IFERROR(__xludf.DUMMYFUNCTION("""COMPUTED_VALUE"""),"")</f>
        <v/>
      </c>
      <c r="I2008" t="str">
        <f>IFERROR(__xludf.DUMMYFUNCTION("""COMPUTED_VALUE"""),"")</f>
        <v/>
      </c>
      <c r="J2008">
        <f>IFERROR(__xludf.DUMMYFUNCTION("""COMPUTED_VALUE"""),0.0)</f>
        <v>0</v>
      </c>
      <c r="L2008" s="250" t="str">
        <f>IFERROR(__xludf.DUMMYFUNCTION("""COMPUTED_VALUE"""),"")</f>
        <v/>
      </c>
      <c r="M2008" s="250" t="str">
        <f>IFERROR(__xludf.DUMMYFUNCTION("""COMPUTED_VALUE"""),"")</f>
        <v/>
      </c>
      <c r="N2008" s="250" t="str">
        <f>IFERROR(__xludf.DUMMYFUNCTION("""COMPUTED_VALUE"""),"")</f>
        <v/>
      </c>
      <c r="O2008" s="250" t="str">
        <f>IFERROR(__xludf.DUMMYFUNCTION("""COMPUTED_VALUE"""),"")</f>
        <v/>
      </c>
      <c r="P2008" s="250" t="str">
        <f>IFERROR(__xludf.DUMMYFUNCTION("""COMPUTED_VALUE"""),"")</f>
        <v/>
      </c>
      <c r="Q2008" s="250" t="str">
        <f>IFERROR(__xludf.DUMMYFUNCTION("""COMPUTED_VALUE"""),"")</f>
        <v/>
      </c>
      <c r="R2008" s="250" t="str">
        <f>IFERROR(__xludf.DUMMYFUNCTION("""COMPUTED_VALUE"""),"")</f>
        <v/>
      </c>
      <c r="U2008" s="250" t="str">
        <f>IFERROR(__xludf.DUMMYFUNCTION("""COMPUTED_VALUE"""),"#N/A")</f>
        <v>#N/A</v>
      </c>
      <c r="V2008" s="250" t="str">
        <f>IFERROR(__xludf.DUMMYFUNCTION("""COMPUTED_VALUE"""),"#N/A")</f>
        <v>#N/A</v>
      </c>
      <c r="W2008" s="250" t="str">
        <f>IFERROR(__xludf.DUMMYFUNCTION("""COMPUTED_VALUE"""),"#N/A")</f>
        <v>#N/A</v>
      </c>
      <c r="X2008" t="b">
        <f t="shared" ref="X2008:Z2008" si="3992">ISBLANK(K2008)</f>
        <v>1</v>
      </c>
      <c r="Y2008" t="b">
        <f t="shared" si="3992"/>
        <v>0</v>
      </c>
      <c r="Z2008" t="b">
        <f t="shared" si="3992"/>
        <v>0</v>
      </c>
      <c r="AA2008">
        <f t="shared" ref="AA2008:AC2008" si="3993">IF(X2008=FALSE,1,0)</f>
        <v>0</v>
      </c>
      <c r="AB2008">
        <f t="shared" si="3993"/>
        <v>1</v>
      </c>
      <c r="AC2008">
        <f t="shared" si="3993"/>
        <v>1</v>
      </c>
      <c r="AD2008">
        <f t="shared" si="6"/>
        <v>2</v>
      </c>
      <c r="AE2008">
        <f t="shared" si="7"/>
        <v>1</v>
      </c>
    </row>
    <row r="2009">
      <c r="B2009" t="str">
        <f>IFERROR(__xludf.DUMMYFUNCTION("""COMPUTED_VALUE"""),"")</f>
        <v/>
      </c>
      <c r="C2009" t="str">
        <f>IFERROR(__xludf.DUMMYFUNCTION("""COMPUTED_VALUE"""),"")</f>
        <v/>
      </c>
      <c r="D2009" t="str">
        <f>IFERROR(__xludf.DUMMYFUNCTION("""COMPUTED_VALUE"""),"")</f>
        <v/>
      </c>
      <c r="E2009" t="str">
        <f>IFERROR(__xludf.DUMMYFUNCTION("""COMPUTED_VALUE"""),"")</f>
        <v/>
      </c>
      <c r="F2009" t="str">
        <f>IFERROR(__xludf.DUMMYFUNCTION("""COMPUTED_VALUE"""),"")</f>
        <v/>
      </c>
      <c r="G2009" t="str">
        <f>IFERROR(__xludf.DUMMYFUNCTION("""COMPUTED_VALUE"""),"")</f>
        <v/>
      </c>
      <c r="H2009" t="str">
        <f>IFERROR(__xludf.DUMMYFUNCTION("""COMPUTED_VALUE"""),"")</f>
        <v/>
      </c>
      <c r="I2009" t="str">
        <f>IFERROR(__xludf.DUMMYFUNCTION("""COMPUTED_VALUE"""),"")</f>
        <v/>
      </c>
      <c r="J2009">
        <f>IFERROR(__xludf.DUMMYFUNCTION("""COMPUTED_VALUE"""),0.0)</f>
        <v>0</v>
      </c>
      <c r="L2009" s="250" t="str">
        <f>IFERROR(__xludf.DUMMYFUNCTION("""COMPUTED_VALUE"""),"")</f>
        <v/>
      </c>
      <c r="M2009" s="250" t="str">
        <f>IFERROR(__xludf.DUMMYFUNCTION("""COMPUTED_VALUE"""),"")</f>
        <v/>
      </c>
      <c r="N2009" s="250" t="str">
        <f>IFERROR(__xludf.DUMMYFUNCTION("""COMPUTED_VALUE"""),"")</f>
        <v/>
      </c>
      <c r="O2009" s="250" t="str">
        <f>IFERROR(__xludf.DUMMYFUNCTION("""COMPUTED_VALUE"""),"")</f>
        <v/>
      </c>
      <c r="P2009" s="250" t="str">
        <f>IFERROR(__xludf.DUMMYFUNCTION("""COMPUTED_VALUE"""),"")</f>
        <v/>
      </c>
      <c r="Q2009" s="250" t="str">
        <f>IFERROR(__xludf.DUMMYFUNCTION("""COMPUTED_VALUE"""),"")</f>
        <v/>
      </c>
      <c r="R2009" s="250" t="str">
        <f>IFERROR(__xludf.DUMMYFUNCTION("""COMPUTED_VALUE"""),"")</f>
        <v/>
      </c>
      <c r="U2009" s="250" t="str">
        <f>IFERROR(__xludf.DUMMYFUNCTION("""COMPUTED_VALUE"""),"#N/A")</f>
        <v>#N/A</v>
      </c>
      <c r="V2009" s="250" t="str">
        <f>IFERROR(__xludf.DUMMYFUNCTION("""COMPUTED_VALUE"""),"#N/A")</f>
        <v>#N/A</v>
      </c>
      <c r="W2009" s="250" t="str">
        <f>IFERROR(__xludf.DUMMYFUNCTION("""COMPUTED_VALUE"""),"#N/A")</f>
        <v>#N/A</v>
      </c>
      <c r="X2009" t="b">
        <f t="shared" ref="X2009:Z2009" si="3994">ISBLANK(K2009)</f>
        <v>1</v>
      </c>
      <c r="Y2009" t="b">
        <f t="shared" si="3994"/>
        <v>0</v>
      </c>
      <c r="Z2009" t="b">
        <f t="shared" si="3994"/>
        <v>0</v>
      </c>
      <c r="AA2009">
        <f t="shared" ref="AA2009:AC2009" si="3995">IF(X2009=FALSE,1,0)</f>
        <v>0</v>
      </c>
      <c r="AB2009">
        <f t="shared" si="3995"/>
        <v>1</v>
      </c>
      <c r="AC2009">
        <f t="shared" si="3995"/>
        <v>1</v>
      </c>
      <c r="AD2009">
        <f t="shared" si="6"/>
        <v>2</v>
      </c>
      <c r="AE2009">
        <f t="shared" si="7"/>
        <v>1</v>
      </c>
    </row>
    <row r="2010">
      <c r="B2010" t="str">
        <f>IFERROR(__xludf.DUMMYFUNCTION("""COMPUTED_VALUE"""),"")</f>
        <v/>
      </c>
      <c r="C2010" t="str">
        <f>IFERROR(__xludf.DUMMYFUNCTION("""COMPUTED_VALUE"""),"")</f>
        <v/>
      </c>
      <c r="D2010" t="str">
        <f>IFERROR(__xludf.DUMMYFUNCTION("""COMPUTED_VALUE"""),"")</f>
        <v/>
      </c>
      <c r="E2010" t="str">
        <f>IFERROR(__xludf.DUMMYFUNCTION("""COMPUTED_VALUE"""),"")</f>
        <v/>
      </c>
      <c r="F2010" t="str">
        <f>IFERROR(__xludf.DUMMYFUNCTION("""COMPUTED_VALUE"""),"")</f>
        <v/>
      </c>
      <c r="G2010" t="str">
        <f>IFERROR(__xludf.DUMMYFUNCTION("""COMPUTED_VALUE"""),"")</f>
        <v/>
      </c>
      <c r="H2010" t="str">
        <f>IFERROR(__xludf.DUMMYFUNCTION("""COMPUTED_VALUE"""),"")</f>
        <v/>
      </c>
      <c r="I2010" t="str">
        <f>IFERROR(__xludf.DUMMYFUNCTION("""COMPUTED_VALUE"""),"")</f>
        <v/>
      </c>
      <c r="J2010">
        <f>IFERROR(__xludf.DUMMYFUNCTION("""COMPUTED_VALUE"""),0.0)</f>
        <v>0</v>
      </c>
      <c r="L2010" s="250" t="str">
        <f>IFERROR(__xludf.DUMMYFUNCTION("""COMPUTED_VALUE"""),"")</f>
        <v/>
      </c>
      <c r="M2010" s="250" t="str">
        <f>IFERROR(__xludf.DUMMYFUNCTION("""COMPUTED_VALUE"""),"")</f>
        <v/>
      </c>
      <c r="N2010" s="250" t="str">
        <f>IFERROR(__xludf.DUMMYFUNCTION("""COMPUTED_VALUE"""),"")</f>
        <v/>
      </c>
      <c r="O2010" s="250" t="str">
        <f>IFERROR(__xludf.DUMMYFUNCTION("""COMPUTED_VALUE"""),"")</f>
        <v/>
      </c>
      <c r="P2010" s="250" t="str">
        <f>IFERROR(__xludf.DUMMYFUNCTION("""COMPUTED_VALUE"""),"")</f>
        <v/>
      </c>
      <c r="Q2010" s="250" t="str">
        <f>IFERROR(__xludf.DUMMYFUNCTION("""COMPUTED_VALUE"""),"")</f>
        <v/>
      </c>
      <c r="R2010" s="250" t="str">
        <f>IFERROR(__xludf.DUMMYFUNCTION("""COMPUTED_VALUE"""),"")</f>
        <v/>
      </c>
      <c r="U2010" s="250" t="str">
        <f>IFERROR(__xludf.DUMMYFUNCTION("""COMPUTED_VALUE"""),"#N/A")</f>
        <v>#N/A</v>
      </c>
      <c r="V2010" s="250" t="str">
        <f>IFERROR(__xludf.DUMMYFUNCTION("""COMPUTED_VALUE"""),"#N/A")</f>
        <v>#N/A</v>
      </c>
      <c r="W2010" s="250" t="str">
        <f>IFERROR(__xludf.DUMMYFUNCTION("""COMPUTED_VALUE"""),"#N/A")</f>
        <v>#N/A</v>
      </c>
      <c r="X2010" t="b">
        <f t="shared" ref="X2010:Z2010" si="3996">ISBLANK(K2010)</f>
        <v>1</v>
      </c>
      <c r="Y2010" t="b">
        <f t="shared" si="3996"/>
        <v>0</v>
      </c>
      <c r="Z2010" t="b">
        <f t="shared" si="3996"/>
        <v>0</v>
      </c>
      <c r="AA2010">
        <f t="shared" ref="AA2010:AC2010" si="3997">IF(X2010=FALSE,1,0)</f>
        <v>0</v>
      </c>
      <c r="AB2010">
        <f t="shared" si="3997"/>
        <v>1</v>
      </c>
      <c r="AC2010">
        <f t="shared" si="3997"/>
        <v>1</v>
      </c>
      <c r="AD2010">
        <f t="shared" si="6"/>
        <v>2</v>
      </c>
      <c r="AE2010">
        <f t="shared" si="7"/>
        <v>1</v>
      </c>
    </row>
    <row r="2011">
      <c r="B2011" t="str">
        <f>IFERROR(__xludf.DUMMYFUNCTION("""COMPUTED_VALUE"""),"")</f>
        <v/>
      </c>
      <c r="C2011" t="str">
        <f>IFERROR(__xludf.DUMMYFUNCTION("""COMPUTED_VALUE"""),"")</f>
        <v/>
      </c>
      <c r="D2011" t="str">
        <f>IFERROR(__xludf.DUMMYFUNCTION("""COMPUTED_VALUE"""),"")</f>
        <v/>
      </c>
      <c r="E2011" t="str">
        <f>IFERROR(__xludf.DUMMYFUNCTION("""COMPUTED_VALUE"""),"")</f>
        <v/>
      </c>
      <c r="F2011" t="str">
        <f>IFERROR(__xludf.DUMMYFUNCTION("""COMPUTED_VALUE"""),"")</f>
        <v/>
      </c>
      <c r="G2011" t="str">
        <f>IFERROR(__xludf.DUMMYFUNCTION("""COMPUTED_VALUE"""),"")</f>
        <v/>
      </c>
      <c r="H2011" t="str">
        <f>IFERROR(__xludf.DUMMYFUNCTION("""COMPUTED_VALUE"""),"")</f>
        <v/>
      </c>
      <c r="I2011" t="str">
        <f>IFERROR(__xludf.DUMMYFUNCTION("""COMPUTED_VALUE"""),"")</f>
        <v/>
      </c>
      <c r="J2011">
        <f>IFERROR(__xludf.DUMMYFUNCTION("""COMPUTED_VALUE"""),0.0)</f>
        <v>0</v>
      </c>
      <c r="L2011" s="250" t="str">
        <f>IFERROR(__xludf.DUMMYFUNCTION("""COMPUTED_VALUE"""),"")</f>
        <v/>
      </c>
      <c r="M2011" s="250" t="str">
        <f>IFERROR(__xludf.DUMMYFUNCTION("""COMPUTED_VALUE"""),"")</f>
        <v/>
      </c>
      <c r="N2011" s="250" t="str">
        <f>IFERROR(__xludf.DUMMYFUNCTION("""COMPUTED_VALUE"""),"")</f>
        <v/>
      </c>
      <c r="O2011" s="250" t="str">
        <f>IFERROR(__xludf.DUMMYFUNCTION("""COMPUTED_VALUE"""),"")</f>
        <v/>
      </c>
      <c r="P2011" s="250" t="str">
        <f>IFERROR(__xludf.DUMMYFUNCTION("""COMPUTED_VALUE"""),"")</f>
        <v/>
      </c>
      <c r="Q2011" s="250" t="str">
        <f>IFERROR(__xludf.DUMMYFUNCTION("""COMPUTED_VALUE"""),"")</f>
        <v/>
      </c>
      <c r="R2011" s="250" t="str">
        <f>IFERROR(__xludf.DUMMYFUNCTION("""COMPUTED_VALUE"""),"")</f>
        <v/>
      </c>
      <c r="U2011" s="250" t="str">
        <f>IFERROR(__xludf.DUMMYFUNCTION("""COMPUTED_VALUE"""),"#N/A")</f>
        <v>#N/A</v>
      </c>
      <c r="V2011" s="250" t="str">
        <f>IFERROR(__xludf.DUMMYFUNCTION("""COMPUTED_VALUE"""),"#N/A")</f>
        <v>#N/A</v>
      </c>
      <c r="W2011" s="250" t="str">
        <f>IFERROR(__xludf.DUMMYFUNCTION("""COMPUTED_VALUE"""),"#N/A")</f>
        <v>#N/A</v>
      </c>
      <c r="X2011" t="b">
        <f t="shared" ref="X2011:Z2011" si="3998">ISBLANK(K2011)</f>
        <v>1</v>
      </c>
      <c r="Y2011" t="b">
        <f t="shared" si="3998"/>
        <v>0</v>
      </c>
      <c r="Z2011" t="b">
        <f t="shared" si="3998"/>
        <v>0</v>
      </c>
      <c r="AA2011">
        <f t="shared" ref="AA2011:AC2011" si="3999">IF(X2011=FALSE,1,0)</f>
        <v>0</v>
      </c>
      <c r="AB2011">
        <f t="shared" si="3999"/>
        <v>1</v>
      </c>
      <c r="AC2011">
        <f t="shared" si="3999"/>
        <v>1</v>
      </c>
      <c r="AD2011">
        <f t="shared" si="6"/>
        <v>2</v>
      </c>
      <c r="AE2011">
        <f t="shared" si="7"/>
        <v>1</v>
      </c>
    </row>
    <row r="2012">
      <c r="X2012" t="b">
        <f t="shared" ref="X2012:Z2012" si="4000">ISBLANK(K2012)</f>
        <v>1</v>
      </c>
      <c r="Y2012" t="b">
        <f t="shared" si="4000"/>
        <v>1</v>
      </c>
      <c r="Z2012" t="b">
        <f t="shared" si="4000"/>
        <v>1</v>
      </c>
      <c r="AA2012">
        <f t="shared" ref="AA2012:AC2012" si="4001">IF(X2012=FALSE,1,0)</f>
        <v>0</v>
      </c>
      <c r="AB2012">
        <f t="shared" si="4001"/>
        <v>0</v>
      </c>
      <c r="AC2012">
        <f t="shared" si="4001"/>
        <v>0</v>
      </c>
      <c r="AD2012">
        <f t="shared" si="6"/>
        <v>0</v>
      </c>
      <c r="AE2012">
        <f t="shared" si="7"/>
        <v>0</v>
      </c>
    </row>
    <row r="2013">
      <c r="X2013" t="b">
        <f t="shared" ref="X2013:Z2013" si="4002">ISBLANK(K2013)</f>
        <v>1</v>
      </c>
      <c r="Y2013" t="b">
        <f t="shared" si="4002"/>
        <v>1</v>
      </c>
      <c r="Z2013" t="b">
        <f t="shared" si="4002"/>
        <v>1</v>
      </c>
      <c r="AA2013">
        <f t="shared" ref="AA2013:AC2013" si="4003">IF(X2013=FALSE,1,0)</f>
        <v>0</v>
      </c>
      <c r="AB2013">
        <f t="shared" si="4003"/>
        <v>0</v>
      </c>
      <c r="AC2013">
        <f t="shared" si="4003"/>
        <v>0</v>
      </c>
      <c r="AD2013">
        <f t="shared" si="6"/>
        <v>0</v>
      </c>
      <c r="AE2013">
        <f t="shared" si="7"/>
        <v>0</v>
      </c>
    </row>
    <row r="2014">
      <c r="X2014" t="b">
        <f t="shared" ref="X2014:Z2014" si="4004">ISBLANK(K2014)</f>
        <v>1</v>
      </c>
      <c r="Y2014" t="b">
        <f t="shared" si="4004"/>
        <v>1</v>
      </c>
      <c r="Z2014" t="b">
        <f t="shared" si="4004"/>
        <v>1</v>
      </c>
      <c r="AA2014">
        <f t="shared" ref="AA2014:AC2014" si="4005">IF(X2014=FALSE,1,0)</f>
        <v>0</v>
      </c>
      <c r="AB2014">
        <f t="shared" si="4005"/>
        <v>0</v>
      </c>
      <c r="AC2014">
        <f t="shared" si="4005"/>
        <v>0</v>
      </c>
      <c r="AD2014">
        <f t="shared" si="6"/>
        <v>0</v>
      </c>
      <c r="AE2014">
        <f t="shared" si="7"/>
        <v>0</v>
      </c>
    </row>
    <row r="2015">
      <c r="X2015" t="b">
        <f t="shared" ref="X2015:Z2015" si="4006">ISBLANK(K2015)</f>
        <v>1</v>
      </c>
      <c r="Y2015" t="b">
        <f t="shared" si="4006"/>
        <v>1</v>
      </c>
      <c r="Z2015" t="b">
        <f t="shared" si="4006"/>
        <v>1</v>
      </c>
      <c r="AA2015">
        <f t="shared" ref="AA2015:AC2015" si="4007">IF(X2015=FALSE,1,0)</f>
        <v>0</v>
      </c>
      <c r="AB2015">
        <f t="shared" si="4007"/>
        <v>0</v>
      </c>
      <c r="AC2015">
        <f t="shared" si="4007"/>
        <v>0</v>
      </c>
      <c r="AD2015">
        <f t="shared" si="6"/>
        <v>0</v>
      </c>
      <c r="AE2015">
        <f t="shared" si="7"/>
        <v>0</v>
      </c>
    </row>
    <row r="2016">
      <c r="X2016" t="b">
        <f t="shared" ref="X2016:Z2016" si="4008">ISBLANK(K2016)</f>
        <v>1</v>
      </c>
      <c r="Y2016" t="b">
        <f t="shared" si="4008"/>
        <v>1</v>
      </c>
      <c r="Z2016" t="b">
        <f t="shared" si="4008"/>
        <v>1</v>
      </c>
      <c r="AA2016">
        <f t="shared" ref="AA2016:AC2016" si="4009">IF(X2016=FALSE,1,0)</f>
        <v>0</v>
      </c>
      <c r="AB2016">
        <f t="shared" si="4009"/>
        <v>0</v>
      </c>
      <c r="AC2016">
        <f t="shared" si="4009"/>
        <v>0</v>
      </c>
      <c r="AD2016">
        <f t="shared" si="6"/>
        <v>0</v>
      </c>
      <c r="AE2016">
        <f t="shared" si="7"/>
        <v>0</v>
      </c>
    </row>
    <row r="2017">
      <c r="X2017" t="b">
        <f t="shared" ref="X2017:Z2017" si="4010">ISBLANK(K2017)</f>
        <v>1</v>
      </c>
      <c r="Y2017" t="b">
        <f t="shared" si="4010"/>
        <v>1</v>
      </c>
      <c r="Z2017" t="b">
        <f t="shared" si="4010"/>
        <v>1</v>
      </c>
      <c r="AA2017">
        <f t="shared" ref="AA2017:AC2017" si="4011">IF(X2017=FALSE,1,0)</f>
        <v>0</v>
      </c>
      <c r="AB2017">
        <f t="shared" si="4011"/>
        <v>0</v>
      </c>
      <c r="AC2017">
        <f t="shared" si="4011"/>
        <v>0</v>
      </c>
      <c r="AD2017">
        <f t="shared" si="6"/>
        <v>0</v>
      </c>
      <c r="AE2017">
        <f t="shared" si="7"/>
        <v>0</v>
      </c>
    </row>
    <row r="2018">
      <c r="X2018" t="b">
        <f t="shared" ref="X2018:Z2018" si="4012">ISBLANK(K2018)</f>
        <v>1</v>
      </c>
      <c r="Y2018" t="b">
        <f t="shared" si="4012"/>
        <v>1</v>
      </c>
      <c r="Z2018" t="b">
        <f t="shared" si="4012"/>
        <v>1</v>
      </c>
      <c r="AA2018">
        <f t="shared" ref="AA2018:AC2018" si="4013">IF(X2018=FALSE,1,0)</f>
        <v>0</v>
      </c>
      <c r="AB2018">
        <f t="shared" si="4013"/>
        <v>0</v>
      </c>
      <c r="AC2018">
        <f t="shared" si="4013"/>
        <v>0</v>
      </c>
      <c r="AD2018">
        <f t="shared" si="6"/>
        <v>0</v>
      </c>
      <c r="AE2018">
        <f t="shared" si="7"/>
        <v>0</v>
      </c>
    </row>
    <row r="2019">
      <c r="X2019" t="b">
        <f t="shared" ref="X2019:Z2019" si="4014">ISBLANK(K2019)</f>
        <v>1</v>
      </c>
      <c r="Y2019" t="b">
        <f t="shared" si="4014"/>
        <v>1</v>
      </c>
      <c r="Z2019" t="b">
        <f t="shared" si="4014"/>
        <v>1</v>
      </c>
      <c r="AA2019">
        <f t="shared" ref="AA2019:AC2019" si="4015">IF(X2019=FALSE,1,0)</f>
        <v>0</v>
      </c>
      <c r="AB2019">
        <f t="shared" si="4015"/>
        <v>0</v>
      </c>
      <c r="AC2019">
        <f t="shared" si="4015"/>
        <v>0</v>
      </c>
      <c r="AD2019">
        <f t="shared" si="6"/>
        <v>0</v>
      </c>
      <c r="AE2019">
        <f t="shared" si="7"/>
        <v>0</v>
      </c>
    </row>
    <row r="2020">
      <c r="X2020" t="b">
        <f t="shared" ref="X2020:Z2020" si="4016">ISBLANK(K2020)</f>
        <v>1</v>
      </c>
      <c r="Y2020" t="b">
        <f t="shared" si="4016"/>
        <v>1</v>
      </c>
      <c r="Z2020" t="b">
        <f t="shared" si="4016"/>
        <v>1</v>
      </c>
      <c r="AA2020">
        <f t="shared" ref="AA2020:AC2020" si="4017">IF(X2020=FALSE,1,0)</f>
        <v>0</v>
      </c>
      <c r="AB2020">
        <f t="shared" si="4017"/>
        <v>0</v>
      </c>
      <c r="AC2020">
        <f t="shared" si="4017"/>
        <v>0</v>
      </c>
      <c r="AD2020">
        <f t="shared" si="6"/>
        <v>0</v>
      </c>
      <c r="AE2020">
        <f t="shared" si="7"/>
        <v>0</v>
      </c>
    </row>
    <row r="2021">
      <c r="X2021" t="b">
        <f t="shared" ref="X2021:Z2021" si="4018">ISBLANK(K2021)</f>
        <v>1</v>
      </c>
      <c r="Y2021" t="b">
        <f t="shared" si="4018"/>
        <v>1</v>
      </c>
      <c r="Z2021" t="b">
        <f t="shared" si="4018"/>
        <v>1</v>
      </c>
      <c r="AA2021">
        <f t="shared" ref="AA2021:AC2021" si="4019">IF(X2021=FALSE,1,0)</f>
        <v>0</v>
      </c>
      <c r="AB2021">
        <f t="shared" si="4019"/>
        <v>0</v>
      </c>
      <c r="AC2021">
        <f t="shared" si="4019"/>
        <v>0</v>
      </c>
      <c r="AD2021">
        <f t="shared" si="6"/>
        <v>0</v>
      </c>
      <c r="AE2021">
        <f t="shared" si="7"/>
        <v>0</v>
      </c>
    </row>
    <row r="2022">
      <c r="X2022" t="b">
        <f t="shared" ref="X2022:Z2022" si="4020">ISBLANK(K2022)</f>
        <v>1</v>
      </c>
      <c r="Y2022" t="b">
        <f t="shared" si="4020"/>
        <v>1</v>
      </c>
      <c r="Z2022" t="b">
        <f t="shared" si="4020"/>
        <v>1</v>
      </c>
      <c r="AA2022">
        <f t="shared" ref="AA2022:AC2022" si="4021">IF(X2022=FALSE,1,0)</f>
        <v>0</v>
      </c>
      <c r="AB2022">
        <f t="shared" si="4021"/>
        <v>0</v>
      </c>
      <c r="AC2022">
        <f t="shared" si="4021"/>
        <v>0</v>
      </c>
      <c r="AD2022">
        <f t="shared" si="6"/>
        <v>0</v>
      </c>
      <c r="AE2022">
        <f t="shared" si="7"/>
        <v>0</v>
      </c>
    </row>
    <row r="2023">
      <c r="X2023" t="b">
        <f t="shared" ref="X2023:Z2023" si="4022">ISBLANK(K2023)</f>
        <v>1</v>
      </c>
      <c r="Y2023" t="b">
        <f t="shared" si="4022"/>
        <v>1</v>
      </c>
      <c r="Z2023" t="b">
        <f t="shared" si="4022"/>
        <v>1</v>
      </c>
      <c r="AA2023">
        <f t="shared" ref="AA2023:AC2023" si="4023">IF(X2023=FALSE,1,0)</f>
        <v>0</v>
      </c>
      <c r="AB2023">
        <f t="shared" si="4023"/>
        <v>0</v>
      </c>
      <c r="AC2023">
        <f t="shared" si="4023"/>
        <v>0</v>
      </c>
      <c r="AD2023">
        <f t="shared" si="6"/>
        <v>0</v>
      </c>
      <c r="AE2023">
        <f t="shared" si="7"/>
        <v>0</v>
      </c>
    </row>
    <row r="2024">
      <c r="X2024" t="b">
        <f t="shared" ref="X2024:Z2024" si="4024">ISBLANK(K2024)</f>
        <v>1</v>
      </c>
      <c r="Y2024" t="b">
        <f t="shared" si="4024"/>
        <v>1</v>
      </c>
      <c r="Z2024" t="b">
        <f t="shared" si="4024"/>
        <v>1</v>
      </c>
      <c r="AA2024">
        <f t="shared" ref="AA2024:AC2024" si="4025">IF(X2024=FALSE,1,0)</f>
        <v>0</v>
      </c>
      <c r="AB2024">
        <f t="shared" si="4025"/>
        <v>0</v>
      </c>
      <c r="AC2024">
        <f t="shared" si="4025"/>
        <v>0</v>
      </c>
      <c r="AD2024">
        <f t="shared" si="6"/>
        <v>0</v>
      </c>
      <c r="AE2024">
        <f t="shared" si="7"/>
        <v>0</v>
      </c>
    </row>
    <row r="2025">
      <c r="X2025" t="b">
        <f t="shared" ref="X2025:Z2025" si="4026">ISBLANK(K2025)</f>
        <v>1</v>
      </c>
      <c r="Y2025" t="b">
        <f t="shared" si="4026"/>
        <v>1</v>
      </c>
      <c r="Z2025" t="b">
        <f t="shared" si="4026"/>
        <v>1</v>
      </c>
      <c r="AA2025">
        <f t="shared" ref="AA2025:AC2025" si="4027">IF(X2025=FALSE,1,0)</f>
        <v>0</v>
      </c>
      <c r="AB2025">
        <f t="shared" si="4027"/>
        <v>0</v>
      </c>
      <c r="AC2025">
        <f t="shared" si="4027"/>
        <v>0</v>
      </c>
      <c r="AD2025">
        <f t="shared" si="6"/>
        <v>0</v>
      </c>
      <c r="AE2025">
        <f t="shared" si="7"/>
        <v>0</v>
      </c>
    </row>
    <row r="2026">
      <c r="X2026" t="b">
        <f t="shared" ref="X2026:Z2026" si="4028">ISBLANK(K2026)</f>
        <v>1</v>
      </c>
      <c r="Y2026" t="b">
        <f t="shared" si="4028"/>
        <v>1</v>
      </c>
      <c r="Z2026" t="b">
        <f t="shared" si="4028"/>
        <v>1</v>
      </c>
      <c r="AA2026">
        <f t="shared" ref="AA2026:AC2026" si="4029">IF(X2026=FALSE,1,0)</f>
        <v>0</v>
      </c>
      <c r="AB2026">
        <f t="shared" si="4029"/>
        <v>0</v>
      </c>
      <c r="AC2026">
        <f t="shared" si="4029"/>
        <v>0</v>
      </c>
      <c r="AD2026">
        <f t="shared" si="6"/>
        <v>0</v>
      </c>
      <c r="AE2026">
        <f t="shared" si="7"/>
        <v>0</v>
      </c>
    </row>
    <row r="2027">
      <c r="X2027" t="b">
        <f t="shared" ref="X2027:Z2027" si="4030">ISBLANK(K2027)</f>
        <v>1</v>
      </c>
      <c r="Y2027" t="b">
        <f t="shared" si="4030"/>
        <v>1</v>
      </c>
      <c r="Z2027" t="b">
        <f t="shared" si="4030"/>
        <v>1</v>
      </c>
      <c r="AA2027">
        <f t="shared" ref="AA2027:AC2027" si="4031">IF(X2027=FALSE,1,0)</f>
        <v>0</v>
      </c>
      <c r="AB2027">
        <f t="shared" si="4031"/>
        <v>0</v>
      </c>
      <c r="AC2027">
        <f t="shared" si="4031"/>
        <v>0</v>
      </c>
      <c r="AD2027">
        <f t="shared" si="6"/>
        <v>0</v>
      </c>
      <c r="AE2027">
        <f t="shared" si="7"/>
        <v>0</v>
      </c>
    </row>
    <row r="2028">
      <c r="X2028" t="b">
        <f t="shared" ref="X2028:Z2028" si="4032">ISBLANK(K2028)</f>
        <v>1</v>
      </c>
      <c r="Y2028" t="b">
        <f t="shared" si="4032"/>
        <v>1</v>
      </c>
      <c r="Z2028" t="b">
        <f t="shared" si="4032"/>
        <v>1</v>
      </c>
      <c r="AA2028">
        <f t="shared" ref="AA2028:AC2028" si="4033">IF(X2028=FALSE,1,0)</f>
        <v>0</v>
      </c>
      <c r="AB2028">
        <f t="shared" si="4033"/>
        <v>0</v>
      </c>
      <c r="AC2028">
        <f t="shared" si="4033"/>
        <v>0</v>
      </c>
      <c r="AD2028">
        <f t="shared" si="6"/>
        <v>0</v>
      </c>
      <c r="AE2028">
        <f t="shared" si="7"/>
        <v>0</v>
      </c>
    </row>
    <row r="2029">
      <c r="X2029" t="b">
        <f t="shared" ref="X2029:Z2029" si="4034">ISBLANK(K2029)</f>
        <v>1</v>
      </c>
      <c r="Y2029" t="b">
        <f t="shared" si="4034"/>
        <v>1</v>
      </c>
      <c r="Z2029" t="b">
        <f t="shared" si="4034"/>
        <v>1</v>
      </c>
      <c r="AA2029">
        <f t="shared" ref="AA2029:AC2029" si="4035">IF(X2029=FALSE,1,0)</f>
        <v>0</v>
      </c>
      <c r="AB2029">
        <f t="shared" si="4035"/>
        <v>0</v>
      </c>
      <c r="AC2029">
        <f t="shared" si="4035"/>
        <v>0</v>
      </c>
      <c r="AD2029">
        <f t="shared" si="6"/>
        <v>0</v>
      </c>
      <c r="AE2029">
        <f t="shared" si="7"/>
        <v>0</v>
      </c>
    </row>
    <row r="2030">
      <c r="X2030" t="b">
        <f t="shared" ref="X2030:Z2030" si="4036">ISBLANK(K2030)</f>
        <v>1</v>
      </c>
      <c r="Y2030" t="b">
        <f t="shared" si="4036"/>
        <v>1</v>
      </c>
      <c r="Z2030" t="b">
        <f t="shared" si="4036"/>
        <v>1</v>
      </c>
      <c r="AA2030">
        <f t="shared" ref="AA2030:AC2030" si="4037">IF(X2030=FALSE,1,0)</f>
        <v>0</v>
      </c>
      <c r="AB2030">
        <f t="shared" si="4037"/>
        <v>0</v>
      </c>
      <c r="AC2030">
        <f t="shared" si="4037"/>
        <v>0</v>
      </c>
      <c r="AD2030">
        <f t="shared" si="6"/>
        <v>0</v>
      </c>
      <c r="AE2030">
        <f t="shared" si="7"/>
        <v>0</v>
      </c>
    </row>
    <row r="2031">
      <c r="X2031" t="b">
        <f t="shared" ref="X2031:Z2031" si="4038">ISBLANK(K2031)</f>
        <v>1</v>
      </c>
      <c r="Y2031" t="b">
        <f t="shared" si="4038"/>
        <v>1</v>
      </c>
      <c r="Z2031" t="b">
        <f t="shared" si="4038"/>
        <v>1</v>
      </c>
      <c r="AA2031">
        <f t="shared" ref="AA2031:AC2031" si="4039">IF(X2031=FALSE,1,0)</f>
        <v>0</v>
      </c>
      <c r="AB2031">
        <f t="shared" si="4039"/>
        <v>0</v>
      </c>
      <c r="AC2031">
        <f t="shared" si="4039"/>
        <v>0</v>
      </c>
      <c r="AD2031">
        <f t="shared" si="6"/>
        <v>0</v>
      </c>
      <c r="AE2031">
        <f t="shared" si="7"/>
        <v>0</v>
      </c>
    </row>
    <row r="2032">
      <c r="X2032" t="b">
        <f t="shared" ref="X2032:Z2032" si="4040">ISBLANK(K2032)</f>
        <v>1</v>
      </c>
      <c r="Y2032" t="b">
        <f t="shared" si="4040"/>
        <v>1</v>
      </c>
      <c r="Z2032" t="b">
        <f t="shared" si="4040"/>
        <v>1</v>
      </c>
      <c r="AA2032">
        <f t="shared" ref="AA2032:AC2032" si="4041">IF(X2032=FALSE,1,0)</f>
        <v>0</v>
      </c>
      <c r="AB2032">
        <f t="shared" si="4041"/>
        <v>0</v>
      </c>
      <c r="AC2032">
        <f t="shared" si="4041"/>
        <v>0</v>
      </c>
      <c r="AD2032">
        <f t="shared" si="6"/>
        <v>0</v>
      </c>
      <c r="AE2032">
        <f t="shared" si="7"/>
        <v>0</v>
      </c>
    </row>
    <row r="2033">
      <c r="X2033" t="b">
        <f t="shared" ref="X2033:Z2033" si="4042">ISBLANK(K2033)</f>
        <v>1</v>
      </c>
      <c r="Y2033" t="b">
        <f t="shared" si="4042"/>
        <v>1</v>
      </c>
      <c r="Z2033" t="b">
        <f t="shared" si="4042"/>
        <v>1</v>
      </c>
      <c r="AA2033">
        <f t="shared" ref="AA2033:AC2033" si="4043">IF(X2033=FALSE,1,0)</f>
        <v>0</v>
      </c>
      <c r="AB2033">
        <f t="shared" si="4043"/>
        <v>0</v>
      </c>
      <c r="AC2033">
        <f t="shared" si="4043"/>
        <v>0</v>
      </c>
      <c r="AD2033">
        <f t="shared" si="6"/>
        <v>0</v>
      </c>
      <c r="AE2033">
        <f t="shared" si="7"/>
        <v>0</v>
      </c>
    </row>
    <row r="2034">
      <c r="X2034" t="b">
        <f t="shared" ref="X2034:Z2034" si="4044">ISBLANK(K2034)</f>
        <v>1</v>
      </c>
      <c r="Y2034" t="b">
        <f t="shared" si="4044"/>
        <v>1</v>
      </c>
      <c r="Z2034" t="b">
        <f t="shared" si="4044"/>
        <v>1</v>
      </c>
      <c r="AA2034">
        <f t="shared" ref="AA2034:AC2034" si="4045">IF(X2034=FALSE,1,0)</f>
        <v>0</v>
      </c>
      <c r="AB2034">
        <f t="shared" si="4045"/>
        <v>0</v>
      </c>
      <c r="AC2034">
        <f t="shared" si="4045"/>
        <v>0</v>
      </c>
      <c r="AD2034">
        <f t="shared" si="6"/>
        <v>0</v>
      </c>
      <c r="AE2034">
        <f t="shared" si="7"/>
        <v>0</v>
      </c>
    </row>
    <row r="2035">
      <c r="X2035" t="b">
        <f t="shared" ref="X2035:Z2035" si="4046">ISBLANK(K2035)</f>
        <v>1</v>
      </c>
      <c r="Y2035" t="b">
        <f t="shared" si="4046"/>
        <v>1</v>
      </c>
      <c r="Z2035" t="b">
        <f t="shared" si="4046"/>
        <v>1</v>
      </c>
      <c r="AA2035">
        <f t="shared" ref="AA2035:AC2035" si="4047">IF(X2035=FALSE,1,0)</f>
        <v>0</v>
      </c>
      <c r="AB2035">
        <f t="shared" si="4047"/>
        <v>0</v>
      </c>
      <c r="AC2035">
        <f t="shared" si="4047"/>
        <v>0</v>
      </c>
      <c r="AD2035">
        <f t="shared" si="6"/>
        <v>0</v>
      </c>
      <c r="AE2035">
        <f t="shared" si="7"/>
        <v>0</v>
      </c>
    </row>
    <row r="2036">
      <c r="X2036" t="b">
        <f t="shared" ref="X2036:Z2036" si="4048">ISBLANK(K2036)</f>
        <v>1</v>
      </c>
      <c r="Y2036" t="b">
        <f t="shared" si="4048"/>
        <v>1</v>
      </c>
      <c r="Z2036" t="b">
        <f t="shared" si="4048"/>
        <v>1</v>
      </c>
      <c r="AA2036">
        <f t="shared" ref="AA2036:AC2036" si="4049">IF(X2036=FALSE,1,0)</f>
        <v>0</v>
      </c>
      <c r="AB2036">
        <f t="shared" si="4049"/>
        <v>0</v>
      </c>
      <c r="AC2036">
        <f t="shared" si="4049"/>
        <v>0</v>
      </c>
      <c r="AD2036">
        <f t="shared" si="6"/>
        <v>0</v>
      </c>
      <c r="AE2036">
        <f t="shared" si="7"/>
        <v>0</v>
      </c>
    </row>
    <row r="2037">
      <c r="X2037" t="b">
        <f t="shared" ref="X2037:Z2037" si="4050">ISBLANK(K2037)</f>
        <v>1</v>
      </c>
      <c r="Y2037" t="b">
        <f t="shared" si="4050"/>
        <v>1</v>
      </c>
      <c r="Z2037" t="b">
        <f t="shared" si="4050"/>
        <v>1</v>
      </c>
      <c r="AA2037">
        <f t="shared" ref="AA2037:AC2037" si="4051">IF(X2037=FALSE,1,0)</f>
        <v>0</v>
      </c>
      <c r="AB2037">
        <f t="shared" si="4051"/>
        <v>0</v>
      </c>
      <c r="AC2037">
        <f t="shared" si="4051"/>
        <v>0</v>
      </c>
      <c r="AD2037">
        <f t="shared" si="6"/>
        <v>0</v>
      </c>
      <c r="AE2037">
        <f t="shared" si="7"/>
        <v>0</v>
      </c>
    </row>
    <row r="2038">
      <c r="X2038" t="b">
        <f t="shared" ref="X2038:Z2038" si="4052">ISBLANK(K2038)</f>
        <v>1</v>
      </c>
      <c r="Y2038" t="b">
        <f t="shared" si="4052"/>
        <v>1</v>
      </c>
      <c r="Z2038" t="b">
        <f t="shared" si="4052"/>
        <v>1</v>
      </c>
      <c r="AA2038">
        <f t="shared" ref="AA2038:AC2038" si="4053">IF(X2038=FALSE,1,0)</f>
        <v>0</v>
      </c>
      <c r="AB2038">
        <f t="shared" si="4053"/>
        <v>0</v>
      </c>
      <c r="AC2038">
        <f t="shared" si="4053"/>
        <v>0</v>
      </c>
      <c r="AD2038">
        <f t="shared" si="6"/>
        <v>0</v>
      </c>
      <c r="AE2038">
        <f t="shared" si="7"/>
        <v>0</v>
      </c>
    </row>
    <row r="2039">
      <c r="X2039" t="b">
        <f t="shared" ref="X2039:Z2039" si="4054">ISBLANK(K2039)</f>
        <v>1</v>
      </c>
      <c r="Y2039" t="b">
        <f t="shared" si="4054"/>
        <v>1</v>
      </c>
      <c r="Z2039" t="b">
        <f t="shared" si="4054"/>
        <v>1</v>
      </c>
      <c r="AA2039">
        <f t="shared" ref="AA2039:AC2039" si="4055">IF(X2039=FALSE,1,0)</f>
        <v>0</v>
      </c>
      <c r="AB2039">
        <f t="shared" si="4055"/>
        <v>0</v>
      </c>
      <c r="AC2039">
        <f t="shared" si="4055"/>
        <v>0</v>
      </c>
      <c r="AD2039">
        <f t="shared" si="6"/>
        <v>0</v>
      </c>
      <c r="AE2039">
        <f t="shared" si="7"/>
        <v>0</v>
      </c>
    </row>
    <row r="2040">
      <c r="X2040" t="b">
        <f t="shared" ref="X2040:Z2040" si="4056">ISBLANK(K2040)</f>
        <v>1</v>
      </c>
      <c r="Y2040" t="b">
        <f t="shared" si="4056"/>
        <v>1</v>
      </c>
      <c r="Z2040" t="b">
        <f t="shared" si="4056"/>
        <v>1</v>
      </c>
      <c r="AA2040">
        <f t="shared" ref="AA2040:AC2040" si="4057">IF(X2040=FALSE,1,0)</f>
        <v>0</v>
      </c>
      <c r="AB2040">
        <f t="shared" si="4057"/>
        <v>0</v>
      </c>
      <c r="AC2040">
        <f t="shared" si="4057"/>
        <v>0</v>
      </c>
      <c r="AD2040">
        <f t="shared" si="6"/>
        <v>0</v>
      </c>
      <c r="AE2040">
        <f t="shared" si="7"/>
        <v>0</v>
      </c>
    </row>
    <row r="2041">
      <c r="X2041" t="b">
        <f t="shared" ref="X2041:Z2041" si="4058">ISBLANK(K2041)</f>
        <v>1</v>
      </c>
      <c r="Y2041" t="b">
        <f t="shared" si="4058"/>
        <v>1</v>
      </c>
      <c r="Z2041" t="b">
        <f t="shared" si="4058"/>
        <v>1</v>
      </c>
      <c r="AA2041">
        <f t="shared" ref="AA2041:AC2041" si="4059">IF(X2041=FALSE,1,0)</f>
        <v>0</v>
      </c>
      <c r="AB2041">
        <f t="shared" si="4059"/>
        <v>0</v>
      </c>
      <c r="AC2041">
        <f t="shared" si="4059"/>
        <v>0</v>
      </c>
      <c r="AD2041">
        <f t="shared" si="6"/>
        <v>0</v>
      </c>
      <c r="AE2041">
        <f t="shared" si="7"/>
        <v>0</v>
      </c>
    </row>
    <row r="2042">
      <c r="X2042" t="b">
        <f t="shared" ref="X2042:Z2042" si="4060">ISBLANK(K2042)</f>
        <v>1</v>
      </c>
      <c r="Y2042" t="b">
        <f t="shared" si="4060"/>
        <v>1</v>
      </c>
      <c r="Z2042" t="b">
        <f t="shared" si="4060"/>
        <v>1</v>
      </c>
      <c r="AA2042">
        <f t="shared" ref="AA2042:AC2042" si="4061">IF(X2042=FALSE,1,0)</f>
        <v>0</v>
      </c>
      <c r="AB2042">
        <f t="shared" si="4061"/>
        <v>0</v>
      </c>
      <c r="AC2042">
        <f t="shared" si="4061"/>
        <v>0</v>
      </c>
      <c r="AD2042">
        <f t="shared" si="6"/>
        <v>0</v>
      </c>
      <c r="AE2042">
        <f t="shared" si="7"/>
        <v>0</v>
      </c>
    </row>
    <row r="2043">
      <c r="X2043" t="b">
        <f t="shared" ref="X2043:Z2043" si="4062">ISBLANK(K2043)</f>
        <v>1</v>
      </c>
      <c r="Y2043" t="b">
        <f t="shared" si="4062"/>
        <v>1</v>
      </c>
      <c r="Z2043" t="b">
        <f t="shared" si="4062"/>
        <v>1</v>
      </c>
      <c r="AA2043">
        <f t="shared" ref="AA2043:AC2043" si="4063">IF(X2043=FALSE,1,0)</f>
        <v>0</v>
      </c>
      <c r="AB2043">
        <f t="shared" si="4063"/>
        <v>0</v>
      </c>
      <c r="AC2043">
        <f t="shared" si="4063"/>
        <v>0</v>
      </c>
      <c r="AD2043">
        <f t="shared" si="6"/>
        <v>0</v>
      </c>
      <c r="AE2043">
        <f t="shared" si="7"/>
        <v>0</v>
      </c>
    </row>
    <row r="2044">
      <c r="X2044" t="b">
        <f t="shared" ref="X2044:Z2044" si="4064">ISBLANK(K2044)</f>
        <v>1</v>
      </c>
      <c r="Y2044" t="b">
        <f t="shared" si="4064"/>
        <v>1</v>
      </c>
      <c r="Z2044" t="b">
        <f t="shared" si="4064"/>
        <v>1</v>
      </c>
      <c r="AA2044">
        <f t="shared" ref="AA2044:AC2044" si="4065">IF(X2044=FALSE,1,0)</f>
        <v>0</v>
      </c>
      <c r="AB2044">
        <f t="shared" si="4065"/>
        <v>0</v>
      </c>
      <c r="AC2044">
        <f t="shared" si="4065"/>
        <v>0</v>
      </c>
      <c r="AD2044">
        <f t="shared" si="6"/>
        <v>0</v>
      </c>
      <c r="AE2044">
        <f t="shared" si="7"/>
        <v>0</v>
      </c>
    </row>
    <row r="2045">
      <c r="X2045" t="b">
        <f t="shared" ref="X2045:Z2045" si="4066">ISBLANK(K2045)</f>
        <v>1</v>
      </c>
      <c r="Y2045" t="b">
        <f t="shared" si="4066"/>
        <v>1</v>
      </c>
      <c r="Z2045" t="b">
        <f t="shared" si="4066"/>
        <v>1</v>
      </c>
      <c r="AA2045">
        <f t="shared" ref="AA2045:AC2045" si="4067">IF(X2045=FALSE,1,0)</f>
        <v>0</v>
      </c>
      <c r="AB2045">
        <f t="shared" si="4067"/>
        <v>0</v>
      </c>
      <c r="AC2045">
        <f t="shared" si="4067"/>
        <v>0</v>
      </c>
      <c r="AD2045">
        <f t="shared" si="6"/>
        <v>0</v>
      </c>
      <c r="AE2045">
        <f t="shared" si="7"/>
        <v>0</v>
      </c>
    </row>
    <row r="2046">
      <c r="X2046" t="b">
        <f t="shared" ref="X2046:Z2046" si="4068">ISBLANK(K2046)</f>
        <v>1</v>
      </c>
      <c r="Y2046" t="b">
        <f t="shared" si="4068"/>
        <v>1</v>
      </c>
      <c r="Z2046" t="b">
        <f t="shared" si="4068"/>
        <v>1</v>
      </c>
      <c r="AA2046">
        <f t="shared" ref="AA2046:AC2046" si="4069">IF(X2046=FALSE,1,0)</f>
        <v>0</v>
      </c>
      <c r="AB2046">
        <f t="shared" si="4069"/>
        <v>0</v>
      </c>
      <c r="AC2046">
        <f t="shared" si="4069"/>
        <v>0</v>
      </c>
      <c r="AD2046">
        <f t="shared" si="6"/>
        <v>0</v>
      </c>
      <c r="AE2046">
        <f t="shared" si="7"/>
        <v>0</v>
      </c>
    </row>
    <row r="2047">
      <c r="X2047" t="b">
        <f t="shared" ref="X2047:Z2047" si="4070">ISBLANK(K2047)</f>
        <v>1</v>
      </c>
      <c r="Y2047" t="b">
        <f t="shared" si="4070"/>
        <v>1</v>
      </c>
      <c r="Z2047" t="b">
        <f t="shared" si="4070"/>
        <v>1</v>
      </c>
      <c r="AA2047">
        <f t="shared" ref="AA2047:AC2047" si="4071">IF(X2047=FALSE,1,0)</f>
        <v>0</v>
      </c>
      <c r="AB2047">
        <f t="shared" si="4071"/>
        <v>0</v>
      </c>
      <c r="AC2047">
        <f t="shared" si="4071"/>
        <v>0</v>
      </c>
      <c r="AD2047">
        <f t="shared" si="6"/>
        <v>0</v>
      </c>
      <c r="AE2047">
        <f t="shared" si="7"/>
        <v>0</v>
      </c>
    </row>
    <row r="2048">
      <c r="X2048" t="b">
        <f t="shared" ref="X2048:Z2048" si="4072">ISBLANK(K2048)</f>
        <v>1</v>
      </c>
      <c r="Y2048" t="b">
        <f t="shared" si="4072"/>
        <v>1</v>
      </c>
      <c r="Z2048" t="b">
        <f t="shared" si="4072"/>
        <v>1</v>
      </c>
      <c r="AA2048">
        <f t="shared" ref="AA2048:AC2048" si="4073">IF(X2048=FALSE,1,0)</f>
        <v>0</v>
      </c>
      <c r="AB2048">
        <f t="shared" si="4073"/>
        <v>0</v>
      </c>
      <c r="AC2048">
        <f t="shared" si="4073"/>
        <v>0</v>
      </c>
      <c r="AD2048">
        <f t="shared" si="6"/>
        <v>0</v>
      </c>
      <c r="AE2048">
        <f t="shared" si="7"/>
        <v>0</v>
      </c>
    </row>
    <row r="2049">
      <c r="X2049" t="b">
        <f t="shared" ref="X2049:Z2049" si="4074">ISBLANK(K2049)</f>
        <v>1</v>
      </c>
      <c r="Y2049" t="b">
        <f t="shared" si="4074"/>
        <v>1</v>
      </c>
      <c r="Z2049" t="b">
        <f t="shared" si="4074"/>
        <v>1</v>
      </c>
      <c r="AA2049">
        <f t="shared" ref="AA2049:AC2049" si="4075">IF(X2049=FALSE,1,0)</f>
        <v>0</v>
      </c>
      <c r="AB2049">
        <f t="shared" si="4075"/>
        <v>0</v>
      </c>
      <c r="AC2049">
        <f t="shared" si="4075"/>
        <v>0</v>
      </c>
      <c r="AD2049">
        <f t="shared" si="6"/>
        <v>0</v>
      </c>
      <c r="AE2049">
        <f t="shared" si="7"/>
        <v>0</v>
      </c>
    </row>
    <row r="2050">
      <c r="X2050" t="b">
        <f t="shared" ref="X2050:Z2050" si="4076">ISBLANK(K2050)</f>
        <v>1</v>
      </c>
      <c r="Y2050" t="b">
        <f t="shared" si="4076"/>
        <v>1</v>
      </c>
      <c r="Z2050" t="b">
        <f t="shared" si="4076"/>
        <v>1</v>
      </c>
      <c r="AA2050">
        <f t="shared" ref="AA2050:AC2050" si="4077">IF(X2050=FALSE,1,0)</f>
        <v>0</v>
      </c>
      <c r="AB2050">
        <f t="shared" si="4077"/>
        <v>0</v>
      </c>
      <c r="AC2050">
        <f t="shared" si="4077"/>
        <v>0</v>
      </c>
      <c r="AD2050">
        <f t="shared" si="6"/>
        <v>0</v>
      </c>
      <c r="AE2050">
        <f t="shared" si="7"/>
        <v>0</v>
      </c>
    </row>
    <row r="2051">
      <c r="X2051" t="b">
        <f t="shared" ref="X2051:Z2051" si="4078">ISBLANK(K2051)</f>
        <v>1</v>
      </c>
      <c r="Y2051" t="b">
        <f t="shared" si="4078"/>
        <v>1</v>
      </c>
      <c r="Z2051" t="b">
        <f t="shared" si="4078"/>
        <v>1</v>
      </c>
      <c r="AA2051">
        <f t="shared" ref="AA2051:AC2051" si="4079">IF(X2051=FALSE,1,0)</f>
        <v>0</v>
      </c>
      <c r="AB2051">
        <f t="shared" si="4079"/>
        <v>0</v>
      </c>
      <c r="AC2051">
        <f t="shared" si="4079"/>
        <v>0</v>
      </c>
      <c r="AD2051">
        <f t="shared" si="6"/>
        <v>0</v>
      </c>
      <c r="AE2051">
        <f t="shared" si="7"/>
        <v>0</v>
      </c>
    </row>
    <row r="2052">
      <c r="X2052" t="b">
        <f t="shared" ref="X2052:Z2052" si="4080">ISBLANK(K2052)</f>
        <v>1</v>
      </c>
      <c r="Y2052" t="b">
        <f t="shared" si="4080"/>
        <v>1</v>
      </c>
      <c r="Z2052" t="b">
        <f t="shared" si="4080"/>
        <v>1</v>
      </c>
      <c r="AA2052">
        <f t="shared" ref="AA2052:AC2052" si="4081">IF(X2052=FALSE,1,0)</f>
        <v>0</v>
      </c>
      <c r="AB2052">
        <f t="shared" si="4081"/>
        <v>0</v>
      </c>
      <c r="AC2052">
        <f t="shared" si="4081"/>
        <v>0</v>
      </c>
      <c r="AD2052">
        <f t="shared" si="6"/>
        <v>0</v>
      </c>
      <c r="AE2052">
        <f t="shared" si="7"/>
        <v>0</v>
      </c>
    </row>
    <row r="2053">
      <c r="X2053" t="b">
        <f t="shared" ref="X2053:Z2053" si="4082">ISBLANK(K2053)</f>
        <v>1</v>
      </c>
      <c r="Y2053" t="b">
        <f t="shared" si="4082"/>
        <v>1</v>
      </c>
      <c r="Z2053" t="b">
        <f t="shared" si="4082"/>
        <v>1</v>
      </c>
      <c r="AA2053">
        <f t="shared" ref="AA2053:AC2053" si="4083">IF(X2053=FALSE,1,0)</f>
        <v>0</v>
      </c>
      <c r="AB2053">
        <f t="shared" si="4083"/>
        <v>0</v>
      </c>
      <c r="AC2053">
        <f t="shared" si="4083"/>
        <v>0</v>
      </c>
      <c r="AD2053">
        <f t="shared" si="6"/>
        <v>0</v>
      </c>
      <c r="AE2053">
        <f t="shared" si="7"/>
        <v>0</v>
      </c>
    </row>
    <row r="2054">
      <c r="X2054" t="b">
        <f t="shared" ref="X2054:Z2054" si="4084">ISBLANK(K2054)</f>
        <v>1</v>
      </c>
      <c r="Y2054" t="b">
        <f t="shared" si="4084"/>
        <v>1</v>
      </c>
      <c r="Z2054" t="b">
        <f t="shared" si="4084"/>
        <v>1</v>
      </c>
      <c r="AA2054">
        <f t="shared" ref="AA2054:AC2054" si="4085">IF(X2054=FALSE,1,0)</f>
        <v>0</v>
      </c>
      <c r="AB2054">
        <f t="shared" si="4085"/>
        <v>0</v>
      </c>
      <c r="AC2054">
        <f t="shared" si="4085"/>
        <v>0</v>
      </c>
      <c r="AD2054">
        <f t="shared" si="6"/>
        <v>0</v>
      </c>
      <c r="AE2054">
        <f t="shared" si="7"/>
        <v>0</v>
      </c>
    </row>
    <row r="2055">
      <c r="X2055" t="b">
        <f t="shared" ref="X2055:Z2055" si="4086">ISBLANK(K2055)</f>
        <v>1</v>
      </c>
      <c r="Y2055" t="b">
        <f t="shared" si="4086"/>
        <v>1</v>
      </c>
      <c r="Z2055" t="b">
        <f t="shared" si="4086"/>
        <v>1</v>
      </c>
      <c r="AA2055">
        <f t="shared" ref="AA2055:AC2055" si="4087">IF(X2055=FALSE,1,0)</f>
        <v>0</v>
      </c>
      <c r="AB2055">
        <f t="shared" si="4087"/>
        <v>0</v>
      </c>
      <c r="AC2055">
        <f t="shared" si="4087"/>
        <v>0</v>
      </c>
      <c r="AD2055">
        <f t="shared" si="6"/>
        <v>0</v>
      </c>
      <c r="AE2055">
        <f t="shared" si="7"/>
        <v>0</v>
      </c>
    </row>
    <row r="2056">
      <c r="X2056" t="b">
        <f t="shared" ref="X2056:Z2056" si="4088">ISBLANK(K2056)</f>
        <v>1</v>
      </c>
      <c r="Y2056" t="b">
        <f t="shared" si="4088"/>
        <v>1</v>
      </c>
      <c r="Z2056" t="b">
        <f t="shared" si="4088"/>
        <v>1</v>
      </c>
      <c r="AA2056">
        <f t="shared" ref="AA2056:AC2056" si="4089">IF(X2056=FALSE,1,0)</f>
        <v>0</v>
      </c>
      <c r="AB2056">
        <f t="shared" si="4089"/>
        <v>0</v>
      </c>
      <c r="AC2056">
        <f t="shared" si="4089"/>
        <v>0</v>
      </c>
      <c r="AD2056">
        <f t="shared" si="6"/>
        <v>0</v>
      </c>
      <c r="AE2056">
        <f t="shared" si="7"/>
        <v>0</v>
      </c>
    </row>
    <row r="2057">
      <c r="X2057" t="b">
        <f t="shared" ref="X2057:Z2057" si="4090">ISBLANK(K2057)</f>
        <v>1</v>
      </c>
      <c r="Y2057" t="b">
        <f t="shared" si="4090"/>
        <v>1</v>
      </c>
      <c r="Z2057" t="b">
        <f t="shared" si="4090"/>
        <v>1</v>
      </c>
      <c r="AA2057">
        <f t="shared" ref="AA2057:AC2057" si="4091">IF(X2057=FALSE,1,0)</f>
        <v>0</v>
      </c>
      <c r="AB2057">
        <f t="shared" si="4091"/>
        <v>0</v>
      </c>
      <c r="AC2057">
        <f t="shared" si="4091"/>
        <v>0</v>
      </c>
      <c r="AD2057">
        <f t="shared" si="6"/>
        <v>0</v>
      </c>
      <c r="AE2057">
        <f t="shared" si="7"/>
        <v>0</v>
      </c>
    </row>
    <row r="2058">
      <c r="X2058" t="b">
        <f t="shared" ref="X2058:Z2058" si="4092">ISBLANK(K2058)</f>
        <v>1</v>
      </c>
      <c r="Y2058" t="b">
        <f t="shared" si="4092"/>
        <v>1</v>
      </c>
      <c r="Z2058" t="b">
        <f t="shared" si="4092"/>
        <v>1</v>
      </c>
      <c r="AA2058">
        <f t="shared" ref="AA2058:AC2058" si="4093">IF(X2058=FALSE,1,0)</f>
        <v>0</v>
      </c>
      <c r="AB2058">
        <f t="shared" si="4093"/>
        <v>0</v>
      </c>
      <c r="AC2058">
        <f t="shared" si="4093"/>
        <v>0</v>
      </c>
      <c r="AD2058">
        <f t="shared" si="6"/>
        <v>0</v>
      </c>
      <c r="AE2058">
        <f t="shared" si="7"/>
        <v>0</v>
      </c>
    </row>
    <row r="2059">
      <c r="X2059" t="b">
        <f t="shared" ref="X2059:Z2059" si="4094">ISBLANK(K2059)</f>
        <v>1</v>
      </c>
      <c r="Y2059" t="b">
        <f t="shared" si="4094"/>
        <v>1</v>
      </c>
      <c r="Z2059" t="b">
        <f t="shared" si="4094"/>
        <v>1</v>
      </c>
      <c r="AA2059">
        <f t="shared" ref="AA2059:AC2059" si="4095">IF(X2059=FALSE,1,0)</f>
        <v>0</v>
      </c>
      <c r="AB2059">
        <f t="shared" si="4095"/>
        <v>0</v>
      </c>
      <c r="AC2059">
        <f t="shared" si="4095"/>
        <v>0</v>
      </c>
      <c r="AD2059">
        <f t="shared" si="6"/>
        <v>0</v>
      </c>
      <c r="AE2059">
        <f t="shared" si="7"/>
        <v>0</v>
      </c>
    </row>
    <row r="2060">
      <c r="X2060" t="b">
        <f t="shared" ref="X2060:Z2060" si="4096">ISBLANK(K2060)</f>
        <v>1</v>
      </c>
      <c r="Y2060" t="b">
        <f t="shared" si="4096"/>
        <v>1</v>
      </c>
      <c r="Z2060" t="b">
        <f t="shared" si="4096"/>
        <v>1</v>
      </c>
      <c r="AA2060">
        <f t="shared" ref="AA2060:AC2060" si="4097">IF(X2060=FALSE,1,0)</f>
        <v>0</v>
      </c>
      <c r="AB2060">
        <f t="shared" si="4097"/>
        <v>0</v>
      </c>
      <c r="AC2060">
        <f t="shared" si="4097"/>
        <v>0</v>
      </c>
      <c r="AD2060">
        <f t="shared" si="6"/>
        <v>0</v>
      </c>
      <c r="AE2060">
        <f t="shared" si="7"/>
        <v>0</v>
      </c>
    </row>
    <row r="2061">
      <c r="X2061" t="b">
        <f t="shared" ref="X2061:Z2061" si="4098">ISBLANK(K2061)</f>
        <v>1</v>
      </c>
      <c r="Y2061" t="b">
        <f t="shared" si="4098"/>
        <v>1</v>
      </c>
      <c r="Z2061" t="b">
        <f t="shared" si="4098"/>
        <v>1</v>
      </c>
      <c r="AA2061">
        <f t="shared" ref="AA2061:AC2061" si="4099">IF(X2061=FALSE,1,0)</f>
        <v>0</v>
      </c>
      <c r="AB2061">
        <f t="shared" si="4099"/>
        <v>0</v>
      </c>
      <c r="AC2061">
        <f t="shared" si="4099"/>
        <v>0</v>
      </c>
      <c r="AD2061">
        <f t="shared" si="6"/>
        <v>0</v>
      </c>
      <c r="AE2061">
        <f t="shared" si="7"/>
        <v>0</v>
      </c>
    </row>
    <row r="2062">
      <c r="X2062" t="b">
        <f t="shared" ref="X2062:Z2062" si="4100">ISBLANK(K2062)</f>
        <v>1</v>
      </c>
      <c r="Y2062" t="b">
        <f t="shared" si="4100"/>
        <v>1</v>
      </c>
      <c r="Z2062" t="b">
        <f t="shared" si="4100"/>
        <v>1</v>
      </c>
      <c r="AA2062">
        <f t="shared" ref="AA2062:AC2062" si="4101">IF(X2062=FALSE,1,0)</f>
        <v>0</v>
      </c>
      <c r="AB2062">
        <f t="shared" si="4101"/>
        <v>0</v>
      </c>
      <c r="AC2062">
        <f t="shared" si="4101"/>
        <v>0</v>
      </c>
      <c r="AD2062">
        <f t="shared" si="6"/>
        <v>0</v>
      </c>
      <c r="AE2062">
        <f t="shared" si="7"/>
        <v>0</v>
      </c>
    </row>
    <row r="2063">
      <c r="X2063" t="b">
        <f t="shared" ref="X2063:Z2063" si="4102">ISBLANK(K2063)</f>
        <v>1</v>
      </c>
      <c r="Y2063" t="b">
        <f t="shared" si="4102"/>
        <v>1</v>
      </c>
      <c r="Z2063" t="b">
        <f t="shared" si="4102"/>
        <v>1</v>
      </c>
      <c r="AA2063">
        <f t="shared" ref="AA2063:AC2063" si="4103">IF(X2063=FALSE,1,0)</f>
        <v>0</v>
      </c>
      <c r="AB2063">
        <f t="shared" si="4103"/>
        <v>0</v>
      </c>
      <c r="AC2063">
        <f t="shared" si="4103"/>
        <v>0</v>
      </c>
      <c r="AD2063">
        <f t="shared" si="6"/>
        <v>0</v>
      </c>
      <c r="AE2063">
        <f t="shared" si="7"/>
        <v>0</v>
      </c>
    </row>
    <row r="2064">
      <c r="X2064" t="b">
        <f t="shared" ref="X2064:Z2064" si="4104">ISBLANK(K2064)</f>
        <v>1</v>
      </c>
      <c r="Y2064" t="b">
        <f t="shared" si="4104"/>
        <v>1</v>
      </c>
      <c r="Z2064" t="b">
        <f t="shared" si="4104"/>
        <v>1</v>
      </c>
      <c r="AA2064">
        <f t="shared" ref="AA2064:AC2064" si="4105">IF(X2064=FALSE,1,0)</f>
        <v>0</v>
      </c>
      <c r="AB2064">
        <f t="shared" si="4105"/>
        <v>0</v>
      </c>
      <c r="AC2064">
        <f t="shared" si="4105"/>
        <v>0</v>
      </c>
      <c r="AD2064">
        <f t="shared" si="6"/>
        <v>0</v>
      </c>
      <c r="AE2064">
        <f t="shared" si="7"/>
        <v>0</v>
      </c>
    </row>
    <row r="2065">
      <c r="X2065" t="b">
        <f t="shared" ref="X2065:Z2065" si="4106">ISBLANK(K2065)</f>
        <v>1</v>
      </c>
      <c r="Y2065" t="b">
        <f t="shared" si="4106"/>
        <v>1</v>
      </c>
      <c r="Z2065" t="b">
        <f t="shared" si="4106"/>
        <v>1</v>
      </c>
      <c r="AA2065">
        <f t="shared" ref="AA2065:AC2065" si="4107">IF(X2065=FALSE,1,0)</f>
        <v>0</v>
      </c>
      <c r="AB2065">
        <f t="shared" si="4107"/>
        <v>0</v>
      </c>
      <c r="AC2065">
        <f t="shared" si="4107"/>
        <v>0</v>
      </c>
      <c r="AD2065">
        <f t="shared" si="6"/>
        <v>0</v>
      </c>
      <c r="AE2065">
        <f t="shared" si="7"/>
        <v>0</v>
      </c>
    </row>
    <row r="2066">
      <c r="X2066" t="b">
        <f t="shared" ref="X2066:Z2066" si="4108">ISBLANK(K2066)</f>
        <v>1</v>
      </c>
      <c r="Y2066" t="b">
        <f t="shared" si="4108"/>
        <v>1</v>
      </c>
      <c r="Z2066" t="b">
        <f t="shared" si="4108"/>
        <v>1</v>
      </c>
      <c r="AA2066">
        <f t="shared" ref="AA2066:AC2066" si="4109">IF(X2066=FALSE,1,0)</f>
        <v>0</v>
      </c>
      <c r="AB2066">
        <f t="shared" si="4109"/>
        <v>0</v>
      </c>
      <c r="AC2066">
        <f t="shared" si="4109"/>
        <v>0</v>
      </c>
      <c r="AD2066">
        <f t="shared" si="6"/>
        <v>0</v>
      </c>
      <c r="AE2066">
        <f t="shared" si="7"/>
        <v>0</v>
      </c>
    </row>
    <row r="2067">
      <c r="X2067" t="b">
        <f t="shared" ref="X2067:Z2067" si="4110">ISBLANK(K2067)</f>
        <v>1</v>
      </c>
      <c r="Y2067" t="b">
        <f t="shared" si="4110"/>
        <v>1</v>
      </c>
      <c r="Z2067" t="b">
        <f t="shared" si="4110"/>
        <v>1</v>
      </c>
      <c r="AA2067">
        <f t="shared" ref="AA2067:AC2067" si="4111">IF(X2067=FALSE,1,0)</f>
        <v>0</v>
      </c>
      <c r="AB2067">
        <f t="shared" si="4111"/>
        <v>0</v>
      </c>
      <c r="AC2067">
        <f t="shared" si="4111"/>
        <v>0</v>
      </c>
      <c r="AD2067">
        <f t="shared" si="6"/>
        <v>0</v>
      </c>
      <c r="AE2067">
        <f t="shared" si="7"/>
        <v>0</v>
      </c>
    </row>
    <row r="2068">
      <c r="X2068" t="b">
        <f t="shared" ref="X2068:Z2068" si="4112">ISBLANK(K2068)</f>
        <v>1</v>
      </c>
      <c r="Y2068" t="b">
        <f t="shared" si="4112"/>
        <v>1</v>
      </c>
      <c r="Z2068" t="b">
        <f t="shared" si="4112"/>
        <v>1</v>
      </c>
      <c r="AA2068">
        <f t="shared" ref="AA2068:AC2068" si="4113">IF(X2068=FALSE,1,0)</f>
        <v>0</v>
      </c>
      <c r="AB2068">
        <f t="shared" si="4113"/>
        <v>0</v>
      </c>
      <c r="AC2068">
        <f t="shared" si="4113"/>
        <v>0</v>
      </c>
      <c r="AD2068">
        <f t="shared" si="6"/>
        <v>0</v>
      </c>
      <c r="AE2068">
        <f t="shared" si="7"/>
        <v>0</v>
      </c>
    </row>
    <row r="2069">
      <c r="X2069" t="b">
        <f t="shared" ref="X2069:Z2069" si="4114">ISBLANK(K2069)</f>
        <v>1</v>
      </c>
      <c r="Y2069" t="b">
        <f t="shared" si="4114"/>
        <v>1</v>
      </c>
      <c r="Z2069" t="b">
        <f t="shared" si="4114"/>
        <v>1</v>
      </c>
      <c r="AA2069">
        <f t="shared" ref="AA2069:AC2069" si="4115">IF(X2069=FALSE,1,0)</f>
        <v>0</v>
      </c>
      <c r="AB2069">
        <f t="shared" si="4115"/>
        <v>0</v>
      </c>
      <c r="AC2069">
        <f t="shared" si="4115"/>
        <v>0</v>
      </c>
      <c r="AD2069">
        <f t="shared" si="6"/>
        <v>0</v>
      </c>
      <c r="AE2069">
        <f t="shared" si="7"/>
        <v>0</v>
      </c>
    </row>
    <row r="2070">
      <c r="X2070" t="b">
        <f t="shared" ref="X2070:Z2070" si="4116">ISBLANK(K2070)</f>
        <v>1</v>
      </c>
      <c r="Y2070" t="b">
        <f t="shared" si="4116"/>
        <v>1</v>
      </c>
      <c r="Z2070" t="b">
        <f t="shared" si="4116"/>
        <v>1</v>
      </c>
      <c r="AA2070">
        <f t="shared" ref="AA2070:AC2070" si="4117">IF(X2070=FALSE,1,0)</f>
        <v>0</v>
      </c>
      <c r="AB2070">
        <f t="shared" si="4117"/>
        <v>0</v>
      </c>
      <c r="AC2070">
        <f t="shared" si="4117"/>
        <v>0</v>
      </c>
      <c r="AD2070">
        <f t="shared" si="6"/>
        <v>0</v>
      </c>
      <c r="AE2070">
        <f t="shared" si="7"/>
        <v>0</v>
      </c>
    </row>
    <row r="2071">
      <c r="X2071" t="b">
        <f t="shared" ref="X2071:Z2071" si="4118">ISBLANK(K2071)</f>
        <v>1</v>
      </c>
      <c r="Y2071" t="b">
        <f t="shared" si="4118"/>
        <v>1</v>
      </c>
      <c r="Z2071" t="b">
        <f t="shared" si="4118"/>
        <v>1</v>
      </c>
      <c r="AA2071">
        <f t="shared" ref="AA2071:AC2071" si="4119">IF(X2071=FALSE,1,0)</f>
        <v>0</v>
      </c>
      <c r="AB2071">
        <f t="shared" si="4119"/>
        <v>0</v>
      </c>
      <c r="AC2071">
        <f t="shared" si="4119"/>
        <v>0</v>
      </c>
      <c r="AD2071">
        <f t="shared" si="6"/>
        <v>0</v>
      </c>
      <c r="AE2071">
        <f t="shared" si="7"/>
        <v>0</v>
      </c>
    </row>
    <row r="2072">
      <c r="X2072" t="b">
        <f t="shared" ref="X2072:Z2072" si="4120">ISBLANK(K2072)</f>
        <v>1</v>
      </c>
      <c r="Y2072" t="b">
        <f t="shared" si="4120"/>
        <v>1</v>
      </c>
      <c r="Z2072" t="b">
        <f t="shared" si="4120"/>
        <v>1</v>
      </c>
      <c r="AA2072">
        <f t="shared" ref="AA2072:AC2072" si="4121">IF(X2072=FALSE,1,0)</f>
        <v>0</v>
      </c>
      <c r="AB2072">
        <f t="shared" si="4121"/>
        <v>0</v>
      </c>
      <c r="AC2072">
        <f t="shared" si="4121"/>
        <v>0</v>
      </c>
      <c r="AD2072">
        <f t="shared" si="6"/>
        <v>0</v>
      </c>
      <c r="AE2072">
        <f t="shared" si="7"/>
        <v>0</v>
      </c>
    </row>
    <row r="2073">
      <c r="X2073" t="b">
        <f t="shared" ref="X2073:Z2073" si="4122">ISBLANK(K2073)</f>
        <v>1</v>
      </c>
      <c r="Y2073" t="b">
        <f t="shared" si="4122"/>
        <v>1</v>
      </c>
      <c r="Z2073" t="b">
        <f t="shared" si="4122"/>
        <v>1</v>
      </c>
      <c r="AA2073">
        <f t="shared" ref="AA2073:AC2073" si="4123">IF(X2073=FALSE,1,0)</f>
        <v>0</v>
      </c>
      <c r="AB2073">
        <f t="shared" si="4123"/>
        <v>0</v>
      </c>
      <c r="AC2073">
        <f t="shared" si="4123"/>
        <v>0</v>
      </c>
      <c r="AD2073">
        <f t="shared" si="6"/>
        <v>0</v>
      </c>
      <c r="AE2073">
        <f t="shared" si="7"/>
        <v>0</v>
      </c>
    </row>
    <row r="2074">
      <c r="X2074" t="b">
        <f t="shared" ref="X2074:Z2074" si="4124">ISBLANK(K2074)</f>
        <v>1</v>
      </c>
      <c r="Y2074" t="b">
        <f t="shared" si="4124"/>
        <v>1</v>
      </c>
      <c r="Z2074" t="b">
        <f t="shared" si="4124"/>
        <v>1</v>
      </c>
      <c r="AA2074">
        <f t="shared" ref="AA2074:AC2074" si="4125">IF(X2074=FALSE,1,0)</f>
        <v>0</v>
      </c>
      <c r="AB2074">
        <f t="shared" si="4125"/>
        <v>0</v>
      </c>
      <c r="AC2074">
        <f t="shared" si="4125"/>
        <v>0</v>
      </c>
      <c r="AD2074">
        <f t="shared" si="6"/>
        <v>0</v>
      </c>
      <c r="AE2074">
        <f t="shared" si="7"/>
        <v>0</v>
      </c>
    </row>
    <row r="2075">
      <c r="X2075" t="b">
        <f t="shared" ref="X2075:Z2075" si="4126">ISBLANK(K2075)</f>
        <v>1</v>
      </c>
      <c r="Y2075" t="b">
        <f t="shared" si="4126"/>
        <v>1</v>
      </c>
      <c r="Z2075" t="b">
        <f t="shared" si="4126"/>
        <v>1</v>
      </c>
      <c r="AA2075">
        <f t="shared" ref="AA2075:AC2075" si="4127">IF(X2075=FALSE,1,0)</f>
        <v>0</v>
      </c>
      <c r="AB2075">
        <f t="shared" si="4127"/>
        <v>0</v>
      </c>
      <c r="AC2075">
        <f t="shared" si="4127"/>
        <v>0</v>
      </c>
      <c r="AD2075">
        <f t="shared" si="6"/>
        <v>0</v>
      </c>
      <c r="AE2075">
        <f t="shared" si="7"/>
        <v>0</v>
      </c>
    </row>
    <row r="2076">
      <c r="X2076" t="b">
        <f t="shared" ref="X2076:Z2076" si="4128">ISBLANK(K2076)</f>
        <v>1</v>
      </c>
      <c r="Y2076" t="b">
        <f t="shared" si="4128"/>
        <v>1</v>
      </c>
      <c r="Z2076" t="b">
        <f t="shared" si="4128"/>
        <v>1</v>
      </c>
      <c r="AA2076">
        <f t="shared" ref="AA2076:AC2076" si="4129">IF(X2076=FALSE,1,0)</f>
        <v>0</v>
      </c>
      <c r="AB2076">
        <f t="shared" si="4129"/>
        <v>0</v>
      </c>
      <c r="AC2076">
        <f t="shared" si="4129"/>
        <v>0</v>
      </c>
      <c r="AD2076">
        <f t="shared" si="6"/>
        <v>0</v>
      </c>
      <c r="AE2076">
        <f t="shared" si="7"/>
        <v>0</v>
      </c>
    </row>
    <row r="2077">
      <c r="X2077" t="b">
        <f t="shared" ref="X2077:Z2077" si="4130">ISBLANK(K2077)</f>
        <v>1</v>
      </c>
      <c r="Y2077" t="b">
        <f t="shared" si="4130"/>
        <v>1</v>
      </c>
      <c r="Z2077" t="b">
        <f t="shared" si="4130"/>
        <v>1</v>
      </c>
      <c r="AA2077">
        <f t="shared" ref="AA2077:AC2077" si="4131">IF(X2077=FALSE,1,0)</f>
        <v>0</v>
      </c>
      <c r="AB2077">
        <f t="shared" si="4131"/>
        <v>0</v>
      </c>
      <c r="AC2077">
        <f t="shared" si="4131"/>
        <v>0</v>
      </c>
      <c r="AD2077">
        <f t="shared" si="6"/>
        <v>0</v>
      </c>
      <c r="AE2077">
        <f t="shared" si="7"/>
        <v>0</v>
      </c>
    </row>
    <row r="2078">
      <c r="X2078" t="b">
        <f t="shared" ref="X2078:Z2078" si="4132">ISBLANK(K2078)</f>
        <v>1</v>
      </c>
      <c r="Y2078" t="b">
        <f t="shared" si="4132"/>
        <v>1</v>
      </c>
      <c r="Z2078" t="b">
        <f t="shared" si="4132"/>
        <v>1</v>
      </c>
      <c r="AA2078">
        <f t="shared" ref="AA2078:AC2078" si="4133">IF(X2078=FALSE,1,0)</f>
        <v>0</v>
      </c>
      <c r="AB2078">
        <f t="shared" si="4133"/>
        <v>0</v>
      </c>
      <c r="AC2078">
        <f t="shared" si="4133"/>
        <v>0</v>
      </c>
      <c r="AD2078">
        <f t="shared" si="6"/>
        <v>0</v>
      </c>
      <c r="AE2078">
        <f t="shared" si="7"/>
        <v>0</v>
      </c>
    </row>
    <row r="2079">
      <c r="X2079" t="b">
        <f t="shared" ref="X2079:Z2079" si="4134">ISBLANK(K2079)</f>
        <v>1</v>
      </c>
      <c r="Y2079" t="b">
        <f t="shared" si="4134"/>
        <v>1</v>
      </c>
      <c r="Z2079" t="b">
        <f t="shared" si="4134"/>
        <v>1</v>
      </c>
      <c r="AA2079">
        <f t="shared" ref="AA2079:AC2079" si="4135">IF(X2079=FALSE,1,0)</f>
        <v>0</v>
      </c>
      <c r="AB2079">
        <f t="shared" si="4135"/>
        <v>0</v>
      </c>
      <c r="AC2079">
        <f t="shared" si="4135"/>
        <v>0</v>
      </c>
      <c r="AD2079">
        <f t="shared" si="6"/>
        <v>0</v>
      </c>
      <c r="AE2079">
        <f t="shared" si="7"/>
        <v>0</v>
      </c>
    </row>
    <row r="2080">
      <c r="X2080" t="b">
        <f t="shared" ref="X2080:Z2080" si="4136">ISBLANK(K2080)</f>
        <v>1</v>
      </c>
      <c r="Y2080" t="b">
        <f t="shared" si="4136"/>
        <v>1</v>
      </c>
      <c r="Z2080" t="b">
        <f t="shared" si="4136"/>
        <v>1</v>
      </c>
      <c r="AA2080">
        <f t="shared" ref="AA2080:AC2080" si="4137">IF(X2080=FALSE,1,0)</f>
        <v>0</v>
      </c>
      <c r="AB2080">
        <f t="shared" si="4137"/>
        <v>0</v>
      </c>
      <c r="AC2080">
        <f t="shared" si="4137"/>
        <v>0</v>
      </c>
      <c r="AD2080">
        <f t="shared" si="6"/>
        <v>0</v>
      </c>
      <c r="AE2080">
        <f t="shared" si="7"/>
        <v>0</v>
      </c>
    </row>
    <row r="2081">
      <c r="X2081" t="b">
        <f t="shared" ref="X2081:Z2081" si="4138">ISBLANK(K2081)</f>
        <v>1</v>
      </c>
      <c r="Y2081" t="b">
        <f t="shared" si="4138"/>
        <v>1</v>
      </c>
      <c r="Z2081" t="b">
        <f t="shared" si="4138"/>
        <v>1</v>
      </c>
      <c r="AA2081">
        <f t="shared" ref="AA2081:AC2081" si="4139">IF(X2081=FALSE,1,0)</f>
        <v>0</v>
      </c>
      <c r="AB2081">
        <f t="shared" si="4139"/>
        <v>0</v>
      </c>
      <c r="AC2081">
        <f t="shared" si="4139"/>
        <v>0</v>
      </c>
      <c r="AD2081">
        <f t="shared" si="6"/>
        <v>0</v>
      </c>
      <c r="AE2081">
        <f t="shared" si="7"/>
        <v>0</v>
      </c>
    </row>
    <row r="2082">
      <c r="X2082" t="b">
        <f t="shared" ref="X2082:Z2082" si="4140">ISBLANK(K2082)</f>
        <v>1</v>
      </c>
      <c r="Y2082" t="b">
        <f t="shared" si="4140"/>
        <v>1</v>
      </c>
      <c r="Z2082" t="b">
        <f t="shared" si="4140"/>
        <v>1</v>
      </c>
      <c r="AA2082">
        <f t="shared" ref="AA2082:AC2082" si="4141">IF(X2082=FALSE,1,0)</f>
        <v>0</v>
      </c>
      <c r="AB2082">
        <f t="shared" si="4141"/>
        <v>0</v>
      </c>
      <c r="AC2082">
        <f t="shared" si="4141"/>
        <v>0</v>
      </c>
      <c r="AD2082">
        <f t="shared" si="6"/>
        <v>0</v>
      </c>
      <c r="AE2082">
        <f t="shared" si="7"/>
        <v>0</v>
      </c>
    </row>
    <row r="2083">
      <c r="X2083" t="b">
        <f t="shared" ref="X2083:Z2083" si="4142">ISBLANK(K2083)</f>
        <v>1</v>
      </c>
      <c r="Y2083" t="b">
        <f t="shared" si="4142"/>
        <v>1</v>
      </c>
      <c r="Z2083" t="b">
        <f t="shared" si="4142"/>
        <v>1</v>
      </c>
      <c r="AA2083">
        <f t="shared" ref="AA2083:AC2083" si="4143">IF(X2083=FALSE,1,0)</f>
        <v>0</v>
      </c>
      <c r="AB2083">
        <f t="shared" si="4143"/>
        <v>0</v>
      </c>
      <c r="AC2083">
        <f t="shared" si="4143"/>
        <v>0</v>
      </c>
      <c r="AD2083">
        <f t="shared" si="6"/>
        <v>0</v>
      </c>
      <c r="AE2083">
        <f t="shared" si="7"/>
        <v>0</v>
      </c>
    </row>
    <row r="2084">
      <c r="X2084" t="b">
        <f t="shared" ref="X2084:Z2084" si="4144">ISBLANK(K2084)</f>
        <v>1</v>
      </c>
      <c r="Y2084" t="b">
        <f t="shared" si="4144"/>
        <v>1</v>
      </c>
      <c r="Z2084" t="b">
        <f t="shared" si="4144"/>
        <v>1</v>
      </c>
      <c r="AA2084">
        <f t="shared" ref="AA2084:AC2084" si="4145">IF(X2084=FALSE,1,0)</f>
        <v>0</v>
      </c>
      <c r="AB2084">
        <f t="shared" si="4145"/>
        <v>0</v>
      </c>
      <c r="AC2084">
        <f t="shared" si="4145"/>
        <v>0</v>
      </c>
      <c r="AD2084">
        <f t="shared" si="6"/>
        <v>0</v>
      </c>
      <c r="AE2084">
        <f t="shared" si="7"/>
        <v>0</v>
      </c>
    </row>
    <row r="2085">
      <c r="X2085" t="b">
        <f t="shared" ref="X2085:Z2085" si="4146">ISBLANK(K2085)</f>
        <v>1</v>
      </c>
      <c r="Y2085" t="b">
        <f t="shared" si="4146"/>
        <v>1</v>
      </c>
      <c r="Z2085" t="b">
        <f t="shared" si="4146"/>
        <v>1</v>
      </c>
      <c r="AA2085">
        <f t="shared" ref="AA2085:AC2085" si="4147">IF(X2085=FALSE,1,0)</f>
        <v>0</v>
      </c>
      <c r="AB2085">
        <f t="shared" si="4147"/>
        <v>0</v>
      </c>
      <c r="AC2085">
        <f t="shared" si="4147"/>
        <v>0</v>
      </c>
      <c r="AD2085">
        <f t="shared" si="6"/>
        <v>0</v>
      </c>
      <c r="AE2085">
        <f t="shared" si="7"/>
        <v>0</v>
      </c>
    </row>
    <row r="2086">
      <c r="X2086" t="b">
        <f t="shared" ref="X2086:Z2086" si="4148">ISBLANK(K2086)</f>
        <v>1</v>
      </c>
      <c r="Y2086" t="b">
        <f t="shared" si="4148"/>
        <v>1</v>
      </c>
      <c r="Z2086" t="b">
        <f t="shared" si="4148"/>
        <v>1</v>
      </c>
      <c r="AA2086">
        <f t="shared" ref="AA2086:AC2086" si="4149">IF(X2086=FALSE,1,0)</f>
        <v>0</v>
      </c>
      <c r="AB2086">
        <f t="shared" si="4149"/>
        <v>0</v>
      </c>
      <c r="AC2086">
        <f t="shared" si="4149"/>
        <v>0</v>
      </c>
      <c r="AD2086">
        <f t="shared" si="6"/>
        <v>0</v>
      </c>
      <c r="AE2086">
        <f t="shared" si="7"/>
        <v>0</v>
      </c>
    </row>
    <row r="2087">
      <c r="X2087" t="b">
        <f t="shared" ref="X2087:Z2087" si="4150">ISBLANK(K2087)</f>
        <v>1</v>
      </c>
      <c r="Y2087" t="b">
        <f t="shared" si="4150"/>
        <v>1</v>
      </c>
      <c r="Z2087" t="b">
        <f t="shared" si="4150"/>
        <v>1</v>
      </c>
      <c r="AA2087">
        <f t="shared" ref="AA2087:AC2087" si="4151">IF(X2087=FALSE,1,0)</f>
        <v>0</v>
      </c>
      <c r="AB2087">
        <f t="shared" si="4151"/>
        <v>0</v>
      </c>
      <c r="AC2087">
        <f t="shared" si="4151"/>
        <v>0</v>
      </c>
      <c r="AD2087">
        <f t="shared" si="6"/>
        <v>0</v>
      </c>
      <c r="AE2087">
        <f t="shared" si="7"/>
        <v>0</v>
      </c>
    </row>
    <row r="2088">
      <c r="X2088" t="b">
        <f t="shared" ref="X2088:Z2088" si="4152">ISBLANK(K2088)</f>
        <v>1</v>
      </c>
      <c r="Y2088" t="b">
        <f t="shared" si="4152"/>
        <v>1</v>
      </c>
      <c r="Z2088" t="b">
        <f t="shared" si="4152"/>
        <v>1</v>
      </c>
      <c r="AA2088">
        <f t="shared" ref="AA2088:AC2088" si="4153">IF(X2088=FALSE,1,0)</f>
        <v>0</v>
      </c>
      <c r="AB2088">
        <f t="shared" si="4153"/>
        <v>0</v>
      </c>
      <c r="AC2088">
        <f t="shared" si="4153"/>
        <v>0</v>
      </c>
      <c r="AD2088">
        <f t="shared" si="6"/>
        <v>0</v>
      </c>
      <c r="AE2088">
        <f t="shared" si="7"/>
        <v>0</v>
      </c>
    </row>
    <row r="2089">
      <c r="X2089" t="b">
        <f t="shared" ref="X2089:Z2089" si="4154">ISBLANK(K2089)</f>
        <v>1</v>
      </c>
      <c r="Y2089" t="b">
        <f t="shared" si="4154"/>
        <v>1</v>
      </c>
      <c r="Z2089" t="b">
        <f t="shared" si="4154"/>
        <v>1</v>
      </c>
      <c r="AA2089">
        <f t="shared" ref="AA2089:AC2089" si="4155">IF(X2089=FALSE,1,0)</f>
        <v>0</v>
      </c>
      <c r="AB2089">
        <f t="shared" si="4155"/>
        <v>0</v>
      </c>
      <c r="AC2089">
        <f t="shared" si="4155"/>
        <v>0</v>
      </c>
      <c r="AD2089">
        <f t="shared" si="6"/>
        <v>0</v>
      </c>
      <c r="AE2089">
        <f t="shared" si="7"/>
        <v>0</v>
      </c>
    </row>
    <row r="2090">
      <c r="X2090" t="b">
        <f t="shared" ref="X2090:Z2090" si="4156">ISBLANK(K2090)</f>
        <v>1</v>
      </c>
      <c r="Y2090" t="b">
        <f t="shared" si="4156"/>
        <v>1</v>
      </c>
      <c r="Z2090" t="b">
        <f t="shared" si="4156"/>
        <v>1</v>
      </c>
      <c r="AA2090">
        <f t="shared" ref="AA2090:AC2090" si="4157">IF(X2090=FALSE,1,0)</f>
        <v>0</v>
      </c>
      <c r="AB2090">
        <f t="shared" si="4157"/>
        <v>0</v>
      </c>
      <c r="AC2090">
        <f t="shared" si="4157"/>
        <v>0</v>
      </c>
      <c r="AD2090">
        <f t="shared" si="6"/>
        <v>0</v>
      </c>
      <c r="AE2090">
        <f t="shared" si="7"/>
        <v>0</v>
      </c>
    </row>
    <row r="2091">
      <c r="X2091" t="b">
        <f t="shared" ref="X2091:Z2091" si="4158">ISBLANK(K2091)</f>
        <v>1</v>
      </c>
      <c r="Y2091" t="b">
        <f t="shared" si="4158"/>
        <v>1</v>
      </c>
      <c r="Z2091" t="b">
        <f t="shared" si="4158"/>
        <v>1</v>
      </c>
      <c r="AA2091">
        <f t="shared" ref="AA2091:AC2091" si="4159">IF(X2091=FALSE,1,0)</f>
        <v>0</v>
      </c>
      <c r="AB2091">
        <f t="shared" si="4159"/>
        <v>0</v>
      </c>
      <c r="AC2091">
        <f t="shared" si="4159"/>
        <v>0</v>
      </c>
      <c r="AD2091">
        <f t="shared" si="6"/>
        <v>0</v>
      </c>
      <c r="AE2091">
        <f t="shared" si="7"/>
        <v>0</v>
      </c>
    </row>
    <row r="2092">
      <c r="X2092" t="b">
        <f t="shared" ref="X2092:Z2092" si="4160">ISBLANK(K2092)</f>
        <v>1</v>
      </c>
      <c r="Y2092" t="b">
        <f t="shared" si="4160"/>
        <v>1</v>
      </c>
      <c r="Z2092" t="b">
        <f t="shared" si="4160"/>
        <v>1</v>
      </c>
      <c r="AA2092">
        <f t="shared" ref="AA2092:AC2092" si="4161">IF(X2092=FALSE,1,0)</f>
        <v>0</v>
      </c>
      <c r="AB2092">
        <f t="shared" si="4161"/>
        <v>0</v>
      </c>
      <c r="AC2092">
        <f t="shared" si="4161"/>
        <v>0</v>
      </c>
      <c r="AD2092">
        <f t="shared" si="6"/>
        <v>0</v>
      </c>
      <c r="AE2092">
        <f t="shared" si="7"/>
        <v>0</v>
      </c>
    </row>
    <row r="2093">
      <c r="X2093" t="b">
        <f t="shared" ref="X2093:Z2093" si="4162">ISBLANK(K2093)</f>
        <v>1</v>
      </c>
      <c r="Y2093" t="b">
        <f t="shared" si="4162"/>
        <v>1</v>
      </c>
      <c r="Z2093" t="b">
        <f t="shared" si="4162"/>
        <v>1</v>
      </c>
      <c r="AA2093">
        <f t="shared" ref="AA2093:AC2093" si="4163">IF(X2093=FALSE,1,0)</f>
        <v>0</v>
      </c>
      <c r="AB2093">
        <f t="shared" si="4163"/>
        <v>0</v>
      </c>
      <c r="AC2093">
        <f t="shared" si="4163"/>
        <v>0</v>
      </c>
      <c r="AD2093">
        <f t="shared" si="6"/>
        <v>0</v>
      </c>
      <c r="AE2093">
        <f t="shared" si="7"/>
        <v>0</v>
      </c>
    </row>
    <row r="2094">
      <c r="X2094" t="b">
        <f t="shared" ref="X2094:Z2094" si="4164">ISBLANK(K2094)</f>
        <v>1</v>
      </c>
      <c r="Y2094" t="b">
        <f t="shared" si="4164"/>
        <v>1</v>
      </c>
      <c r="Z2094" t="b">
        <f t="shared" si="4164"/>
        <v>1</v>
      </c>
      <c r="AA2094">
        <f t="shared" ref="AA2094:AC2094" si="4165">IF(X2094=FALSE,1,0)</f>
        <v>0</v>
      </c>
      <c r="AB2094">
        <f t="shared" si="4165"/>
        <v>0</v>
      </c>
      <c r="AC2094">
        <f t="shared" si="4165"/>
        <v>0</v>
      </c>
      <c r="AD2094">
        <f t="shared" si="6"/>
        <v>0</v>
      </c>
      <c r="AE2094">
        <f t="shared" si="7"/>
        <v>0</v>
      </c>
    </row>
    <row r="2095">
      <c r="X2095" t="b">
        <f t="shared" ref="X2095:Z2095" si="4166">ISBLANK(K2095)</f>
        <v>1</v>
      </c>
      <c r="Y2095" t="b">
        <f t="shared" si="4166"/>
        <v>1</v>
      </c>
      <c r="Z2095" t="b">
        <f t="shared" si="4166"/>
        <v>1</v>
      </c>
      <c r="AA2095">
        <f t="shared" ref="AA2095:AC2095" si="4167">IF(X2095=FALSE,1,0)</f>
        <v>0</v>
      </c>
      <c r="AB2095">
        <f t="shared" si="4167"/>
        <v>0</v>
      </c>
      <c r="AC2095">
        <f t="shared" si="4167"/>
        <v>0</v>
      </c>
      <c r="AD2095">
        <f t="shared" si="6"/>
        <v>0</v>
      </c>
      <c r="AE2095">
        <f t="shared" si="7"/>
        <v>0</v>
      </c>
    </row>
    <row r="2096">
      <c r="X2096" t="b">
        <f t="shared" ref="X2096:Z2096" si="4168">ISBLANK(K2096)</f>
        <v>1</v>
      </c>
      <c r="Y2096" t="b">
        <f t="shared" si="4168"/>
        <v>1</v>
      </c>
      <c r="Z2096" t="b">
        <f t="shared" si="4168"/>
        <v>1</v>
      </c>
      <c r="AA2096">
        <f t="shared" ref="AA2096:AC2096" si="4169">IF(X2096=FALSE,1,0)</f>
        <v>0</v>
      </c>
      <c r="AB2096">
        <f t="shared" si="4169"/>
        <v>0</v>
      </c>
      <c r="AC2096">
        <f t="shared" si="4169"/>
        <v>0</v>
      </c>
      <c r="AD2096">
        <f t="shared" si="6"/>
        <v>0</v>
      </c>
      <c r="AE2096">
        <f t="shared" si="7"/>
        <v>0</v>
      </c>
    </row>
    <row r="2097">
      <c r="X2097" t="b">
        <f t="shared" ref="X2097:Z2097" si="4170">ISBLANK(K2097)</f>
        <v>1</v>
      </c>
      <c r="Y2097" t="b">
        <f t="shared" si="4170"/>
        <v>1</v>
      </c>
      <c r="Z2097" t="b">
        <f t="shared" si="4170"/>
        <v>1</v>
      </c>
      <c r="AA2097">
        <f t="shared" ref="AA2097:AC2097" si="4171">IF(X2097=FALSE,1,0)</f>
        <v>0</v>
      </c>
      <c r="AB2097">
        <f t="shared" si="4171"/>
        <v>0</v>
      </c>
      <c r="AC2097">
        <f t="shared" si="4171"/>
        <v>0</v>
      </c>
      <c r="AD2097">
        <f t="shared" si="6"/>
        <v>0</v>
      </c>
      <c r="AE2097">
        <f t="shared" si="7"/>
        <v>0</v>
      </c>
    </row>
    <row r="2098">
      <c r="X2098" t="b">
        <f t="shared" ref="X2098:Z2098" si="4172">ISBLANK(K2098)</f>
        <v>1</v>
      </c>
      <c r="Y2098" t="b">
        <f t="shared" si="4172"/>
        <v>1</v>
      </c>
      <c r="Z2098" t="b">
        <f t="shared" si="4172"/>
        <v>1</v>
      </c>
      <c r="AA2098">
        <f t="shared" ref="AA2098:AC2098" si="4173">IF(X2098=FALSE,1,0)</f>
        <v>0</v>
      </c>
      <c r="AB2098">
        <f t="shared" si="4173"/>
        <v>0</v>
      </c>
      <c r="AC2098">
        <f t="shared" si="4173"/>
        <v>0</v>
      </c>
      <c r="AD2098">
        <f t="shared" si="6"/>
        <v>0</v>
      </c>
      <c r="AE2098">
        <f t="shared" si="7"/>
        <v>0</v>
      </c>
    </row>
    <row r="2099">
      <c r="X2099" t="b">
        <f t="shared" ref="X2099:Z2099" si="4174">ISBLANK(K2099)</f>
        <v>1</v>
      </c>
      <c r="Y2099" t="b">
        <f t="shared" si="4174"/>
        <v>1</v>
      </c>
      <c r="Z2099" t="b">
        <f t="shared" si="4174"/>
        <v>1</v>
      </c>
      <c r="AA2099">
        <f t="shared" ref="AA2099:AC2099" si="4175">IF(X2099=FALSE,1,0)</f>
        <v>0</v>
      </c>
      <c r="AB2099">
        <f t="shared" si="4175"/>
        <v>0</v>
      </c>
      <c r="AC2099">
        <f t="shared" si="4175"/>
        <v>0</v>
      </c>
      <c r="AD2099">
        <f t="shared" si="6"/>
        <v>0</v>
      </c>
      <c r="AE2099">
        <f t="shared" si="7"/>
        <v>0</v>
      </c>
    </row>
    <row r="2100">
      <c r="X2100" t="b">
        <f t="shared" ref="X2100:Z2100" si="4176">ISBLANK(K2100)</f>
        <v>1</v>
      </c>
      <c r="Y2100" t="b">
        <f t="shared" si="4176"/>
        <v>1</v>
      </c>
      <c r="Z2100" t="b">
        <f t="shared" si="4176"/>
        <v>1</v>
      </c>
      <c r="AA2100">
        <f t="shared" ref="AA2100:AC2100" si="4177">IF(X2100=FALSE,1,0)</f>
        <v>0</v>
      </c>
      <c r="AB2100">
        <f t="shared" si="4177"/>
        <v>0</v>
      </c>
      <c r="AC2100">
        <f t="shared" si="4177"/>
        <v>0</v>
      </c>
      <c r="AD2100">
        <f t="shared" si="6"/>
        <v>0</v>
      </c>
      <c r="AE2100">
        <f t="shared" si="7"/>
        <v>0</v>
      </c>
    </row>
    <row r="2101">
      <c r="X2101" t="b">
        <f t="shared" ref="X2101:Z2101" si="4178">ISBLANK(K2101)</f>
        <v>1</v>
      </c>
      <c r="Y2101" t="b">
        <f t="shared" si="4178"/>
        <v>1</v>
      </c>
      <c r="Z2101" t="b">
        <f t="shared" si="4178"/>
        <v>1</v>
      </c>
      <c r="AA2101">
        <f t="shared" ref="AA2101:AC2101" si="4179">IF(X2101=FALSE,1,0)</f>
        <v>0</v>
      </c>
      <c r="AB2101">
        <f t="shared" si="4179"/>
        <v>0</v>
      </c>
      <c r="AC2101">
        <f t="shared" si="4179"/>
        <v>0</v>
      </c>
      <c r="AD2101">
        <f t="shared" si="6"/>
        <v>0</v>
      </c>
      <c r="AE2101">
        <f t="shared" si="7"/>
        <v>0</v>
      </c>
    </row>
    <row r="2102">
      <c r="X2102" t="b">
        <f t="shared" ref="X2102:Z2102" si="4180">ISBLANK(K2102)</f>
        <v>1</v>
      </c>
      <c r="Y2102" t="b">
        <f t="shared" si="4180"/>
        <v>1</v>
      </c>
      <c r="Z2102" t="b">
        <f t="shared" si="4180"/>
        <v>1</v>
      </c>
      <c r="AA2102">
        <f t="shared" ref="AA2102:AC2102" si="4181">IF(X2102=FALSE,1,0)</f>
        <v>0</v>
      </c>
      <c r="AB2102">
        <f t="shared" si="4181"/>
        <v>0</v>
      </c>
      <c r="AC2102">
        <f t="shared" si="4181"/>
        <v>0</v>
      </c>
      <c r="AD2102">
        <f t="shared" si="6"/>
        <v>0</v>
      </c>
      <c r="AE2102">
        <f t="shared" si="7"/>
        <v>0</v>
      </c>
    </row>
    <row r="2103">
      <c r="X2103" t="b">
        <f t="shared" ref="X2103:Z2103" si="4182">ISBLANK(K2103)</f>
        <v>1</v>
      </c>
      <c r="Y2103" t="b">
        <f t="shared" si="4182"/>
        <v>1</v>
      </c>
      <c r="Z2103" t="b">
        <f t="shared" si="4182"/>
        <v>1</v>
      </c>
      <c r="AA2103">
        <f t="shared" ref="AA2103:AC2103" si="4183">IF(X2103=FALSE,1,0)</f>
        <v>0</v>
      </c>
      <c r="AB2103">
        <f t="shared" si="4183"/>
        <v>0</v>
      </c>
      <c r="AC2103">
        <f t="shared" si="4183"/>
        <v>0</v>
      </c>
      <c r="AD2103">
        <f t="shared" si="6"/>
        <v>0</v>
      </c>
      <c r="AE2103">
        <f t="shared" si="7"/>
        <v>0</v>
      </c>
    </row>
    <row r="2104">
      <c r="X2104" t="b">
        <f t="shared" ref="X2104:Z2104" si="4184">ISBLANK(K2104)</f>
        <v>1</v>
      </c>
      <c r="Y2104" t="b">
        <f t="shared" si="4184"/>
        <v>1</v>
      </c>
      <c r="Z2104" t="b">
        <f t="shared" si="4184"/>
        <v>1</v>
      </c>
      <c r="AA2104">
        <f t="shared" ref="AA2104:AC2104" si="4185">IF(X2104=FALSE,1,0)</f>
        <v>0</v>
      </c>
      <c r="AB2104">
        <f t="shared" si="4185"/>
        <v>0</v>
      </c>
      <c r="AC2104">
        <f t="shared" si="4185"/>
        <v>0</v>
      </c>
      <c r="AD2104">
        <f t="shared" si="6"/>
        <v>0</v>
      </c>
      <c r="AE2104">
        <f t="shared" si="7"/>
        <v>0</v>
      </c>
    </row>
    <row r="2105">
      <c r="X2105" t="b">
        <f t="shared" ref="X2105:Z2105" si="4186">ISBLANK(K2105)</f>
        <v>1</v>
      </c>
      <c r="Y2105" t="b">
        <f t="shared" si="4186"/>
        <v>1</v>
      </c>
      <c r="Z2105" t="b">
        <f t="shared" si="4186"/>
        <v>1</v>
      </c>
      <c r="AA2105">
        <f t="shared" ref="AA2105:AC2105" si="4187">IF(X2105=FALSE,1,0)</f>
        <v>0</v>
      </c>
      <c r="AB2105">
        <f t="shared" si="4187"/>
        <v>0</v>
      </c>
      <c r="AC2105">
        <f t="shared" si="4187"/>
        <v>0</v>
      </c>
      <c r="AD2105">
        <f t="shared" si="6"/>
        <v>0</v>
      </c>
      <c r="AE2105">
        <f t="shared" si="7"/>
        <v>0</v>
      </c>
    </row>
    <row r="2106">
      <c r="X2106" t="b">
        <f t="shared" ref="X2106:Z2106" si="4188">ISBLANK(K2106)</f>
        <v>1</v>
      </c>
      <c r="Y2106" t="b">
        <f t="shared" si="4188"/>
        <v>1</v>
      </c>
      <c r="Z2106" t="b">
        <f t="shared" si="4188"/>
        <v>1</v>
      </c>
      <c r="AA2106">
        <f t="shared" ref="AA2106:AC2106" si="4189">IF(X2106=FALSE,1,0)</f>
        <v>0</v>
      </c>
      <c r="AB2106">
        <f t="shared" si="4189"/>
        <v>0</v>
      </c>
      <c r="AC2106">
        <f t="shared" si="4189"/>
        <v>0</v>
      </c>
      <c r="AD2106">
        <f t="shared" si="6"/>
        <v>0</v>
      </c>
      <c r="AE2106">
        <f t="shared" si="7"/>
        <v>0</v>
      </c>
    </row>
    <row r="2107">
      <c r="X2107" t="b">
        <f t="shared" ref="X2107:Z2107" si="4190">ISBLANK(K2107)</f>
        <v>1</v>
      </c>
      <c r="Y2107" t="b">
        <f t="shared" si="4190"/>
        <v>1</v>
      </c>
      <c r="Z2107" t="b">
        <f t="shared" si="4190"/>
        <v>1</v>
      </c>
      <c r="AA2107">
        <f t="shared" ref="AA2107:AC2107" si="4191">IF(X2107=FALSE,1,0)</f>
        <v>0</v>
      </c>
      <c r="AB2107">
        <f t="shared" si="4191"/>
        <v>0</v>
      </c>
      <c r="AC2107">
        <f t="shared" si="4191"/>
        <v>0</v>
      </c>
      <c r="AD2107">
        <f t="shared" si="6"/>
        <v>0</v>
      </c>
      <c r="AE2107">
        <f t="shared" si="7"/>
        <v>0</v>
      </c>
    </row>
    <row r="2108">
      <c r="X2108" t="b">
        <f t="shared" ref="X2108:Z2108" si="4192">ISBLANK(K2108)</f>
        <v>1</v>
      </c>
      <c r="Y2108" t="b">
        <f t="shared" si="4192"/>
        <v>1</v>
      </c>
      <c r="Z2108" t="b">
        <f t="shared" si="4192"/>
        <v>1</v>
      </c>
      <c r="AA2108">
        <f t="shared" ref="AA2108:AC2108" si="4193">IF(X2108=FALSE,1,0)</f>
        <v>0</v>
      </c>
      <c r="AB2108">
        <f t="shared" si="4193"/>
        <v>0</v>
      </c>
      <c r="AC2108">
        <f t="shared" si="4193"/>
        <v>0</v>
      </c>
      <c r="AD2108">
        <f t="shared" si="6"/>
        <v>0</v>
      </c>
      <c r="AE2108">
        <f t="shared" si="7"/>
        <v>0</v>
      </c>
    </row>
    <row r="2109">
      <c r="X2109" t="b">
        <f t="shared" ref="X2109:Z2109" si="4194">ISBLANK(K2109)</f>
        <v>1</v>
      </c>
      <c r="Y2109" t="b">
        <f t="shared" si="4194"/>
        <v>1</v>
      </c>
      <c r="Z2109" t="b">
        <f t="shared" si="4194"/>
        <v>1</v>
      </c>
      <c r="AA2109">
        <f t="shared" ref="AA2109:AC2109" si="4195">IF(X2109=FALSE,1,0)</f>
        <v>0</v>
      </c>
      <c r="AB2109">
        <f t="shared" si="4195"/>
        <v>0</v>
      </c>
      <c r="AC2109">
        <f t="shared" si="4195"/>
        <v>0</v>
      </c>
      <c r="AD2109">
        <f t="shared" si="6"/>
        <v>0</v>
      </c>
      <c r="AE2109">
        <f t="shared" si="7"/>
        <v>0</v>
      </c>
    </row>
    <row r="2110">
      <c r="X2110" t="b">
        <f t="shared" ref="X2110:Z2110" si="4196">ISBLANK(K2110)</f>
        <v>1</v>
      </c>
      <c r="Y2110" t="b">
        <f t="shared" si="4196"/>
        <v>1</v>
      </c>
      <c r="Z2110" t="b">
        <f t="shared" si="4196"/>
        <v>1</v>
      </c>
      <c r="AA2110">
        <f t="shared" ref="AA2110:AC2110" si="4197">IF(X2110=FALSE,1,0)</f>
        <v>0</v>
      </c>
      <c r="AB2110">
        <f t="shared" si="4197"/>
        <v>0</v>
      </c>
      <c r="AC2110">
        <f t="shared" si="4197"/>
        <v>0</v>
      </c>
      <c r="AD2110">
        <f t="shared" si="6"/>
        <v>0</v>
      </c>
      <c r="AE2110">
        <f t="shared" si="7"/>
        <v>0</v>
      </c>
    </row>
    <row r="2111">
      <c r="X2111" t="b">
        <f t="shared" ref="X2111:Z2111" si="4198">ISBLANK(K2111)</f>
        <v>1</v>
      </c>
      <c r="Y2111" t="b">
        <f t="shared" si="4198"/>
        <v>1</v>
      </c>
      <c r="Z2111" t="b">
        <f t="shared" si="4198"/>
        <v>1</v>
      </c>
      <c r="AA2111">
        <f t="shared" ref="AA2111:AC2111" si="4199">IF(X2111=FALSE,1,0)</f>
        <v>0</v>
      </c>
      <c r="AB2111">
        <f t="shared" si="4199"/>
        <v>0</v>
      </c>
      <c r="AC2111">
        <f t="shared" si="4199"/>
        <v>0</v>
      </c>
      <c r="AD2111">
        <f t="shared" si="6"/>
        <v>0</v>
      </c>
      <c r="AE2111">
        <f t="shared" si="7"/>
        <v>0</v>
      </c>
    </row>
    <row r="2112">
      <c r="X2112" t="b">
        <f t="shared" ref="X2112:Z2112" si="4200">ISBLANK(K2112)</f>
        <v>1</v>
      </c>
      <c r="Y2112" t="b">
        <f t="shared" si="4200"/>
        <v>1</v>
      </c>
      <c r="Z2112" t="b">
        <f t="shared" si="4200"/>
        <v>1</v>
      </c>
      <c r="AA2112">
        <f t="shared" ref="AA2112:AC2112" si="4201">IF(X2112=FALSE,1,0)</f>
        <v>0</v>
      </c>
      <c r="AB2112">
        <f t="shared" si="4201"/>
        <v>0</v>
      </c>
      <c r="AC2112">
        <f t="shared" si="4201"/>
        <v>0</v>
      </c>
      <c r="AD2112">
        <f t="shared" si="6"/>
        <v>0</v>
      </c>
      <c r="AE2112">
        <f t="shared" si="7"/>
        <v>0</v>
      </c>
    </row>
    <row r="2113">
      <c r="X2113" t="b">
        <f t="shared" ref="X2113:Z2113" si="4202">ISBLANK(K2113)</f>
        <v>1</v>
      </c>
      <c r="Y2113" t="b">
        <f t="shared" si="4202"/>
        <v>1</v>
      </c>
      <c r="Z2113" t="b">
        <f t="shared" si="4202"/>
        <v>1</v>
      </c>
      <c r="AA2113">
        <f t="shared" ref="AA2113:AC2113" si="4203">IF(X2113=FALSE,1,0)</f>
        <v>0</v>
      </c>
      <c r="AB2113">
        <f t="shared" si="4203"/>
        <v>0</v>
      </c>
      <c r="AC2113">
        <f t="shared" si="4203"/>
        <v>0</v>
      </c>
      <c r="AD2113">
        <f t="shared" si="6"/>
        <v>0</v>
      </c>
      <c r="AE2113">
        <f t="shared" si="7"/>
        <v>0</v>
      </c>
    </row>
    <row r="2114">
      <c r="X2114" t="b">
        <f t="shared" ref="X2114:Z2114" si="4204">ISBLANK(K2114)</f>
        <v>1</v>
      </c>
      <c r="Y2114" t="b">
        <f t="shared" si="4204"/>
        <v>1</v>
      </c>
      <c r="Z2114" t="b">
        <f t="shared" si="4204"/>
        <v>1</v>
      </c>
      <c r="AA2114">
        <f t="shared" ref="AA2114:AC2114" si="4205">IF(X2114=FALSE,1,0)</f>
        <v>0</v>
      </c>
      <c r="AB2114">
        <f t="shared" si="4205"/>
        <v>0</v>
      </c>
      <c r="AC2114">
        <f t="shared" si="4205"/>
        <v>0</v>
      </c>
      <c r="AD2114">
        <f t="shared" si="6"/>
        <v>0</v>
      </c>
      <c r="AE2114">
        <f t="shared" si="7"/>
        <v>0</v>
      </c>
    </row>
    <row r="2115">
      <c r="X2115" t="b">
        <f t="shared" ref="X2115:Z2115" si="4206">ISBLANK(K2115)</f>
        <v>1</v>
      </c>
      <c r="Y2115" t="b">
        <f t="shared" si="4206"/>
        <v>1</v>
      </c>
      <c r="Z2115" t="b">
        <f t="shared" si="4206"/>
        <v>1</v>
      </c>
      <c r="AA2115">
        <f t="shared" ref="AA2115:AC2115" si="4207">IF(X2115=FALSE,1,0)</f>
        <v>0</v>
      </c>
      <c r="AB2115">
        <f t="shared" si="4207"/>
        <v>0</v>
      </c>
      <c r="AC2115">
        <f t="shared" si="4207"/>
        <v>0</v>
      </c>
      <c r="AD2115">
        <f t="shared" si="6"/>
        <v>0</v>
      </c>
      <c r="AE2115">
        <f t="shared" si="7"/>
        <v>0</v>
      </c>
    </row>
    <row r="2116">
      <c r="X2116" t="b">
        <f t="shared" ref="X2116:Z2116" si="4208">ISBLANK(K2116)</f>
        <v>1</v>
      </c>
      <c r="Y2116" t="b">
        <f t="shared" si="4208"/>
        <v>1</v>
      </c>
      <c r="Z2116" t="b">
        <f t="shared" si="4208"/>
        <v>1</v>
      </c>
      <c r="AA2116">
        <f t="shared" ref="AA2116:AC2116" si="4209">IF(X2116=FALSE,1,0)</f>
        <v>0</v>
      </c>
      <c r="AB2116">
        <f t="shared" si="4209"/>
        <v>0</v>
      </c>
      <c r="AC2116">
        <f t="shared" si="4209"/>
        <v>0</v>
      </c>
      <c r="AD2116">
        <f t="shared" si="6"/>
        <v>0</v>
      </c>
      <c r="AE2116">
        <f t="shared" si="7"/>
        <v>0</v>
      </c>
    </row>
    <row r="2117">
      <c r="X2117" t="b">
        <f t="shared" ref="X2117:Z2117" si="4210">ISBLANK(K2117)</f>
        <v>1</v>
      </c>
      <c r="Y2117" t="b">
        <f t="shared" si="4210"/>
        <v>1</v>
      </c>
      <c r="Z2117" t="b">
        <f t="shared" si="4210"/>
        <v>1</v>
      </c>
      <c r="AA2117">
        <f t="shared" ref="AA2117:AC2117" si="4211">IF(X2117=FALSE,1,0)</f>
        <v>0</v>
      </c>
      <c r="AB2117">
        <f t="shared" si="4211"/>
        <v>0</v>
      </c>
      <c r="AC2117">
        <f t="shared" si="4211"/>
        <v>0</v>
      </c>
      <c r="AD2117">
        <f t="shared" si="6"/>
        <v>0</v>
      </c>
      <c r="AE2117">
        <f t="shared" si="7"/>
        <v>0</v>
      </c>
    </row>
    <row r="2118">
      <c r="X2118" t="b">
        <f t="shared" ref="X2118:Z2118" si="4212">ISBLANK(K2118)</f>
        <v>1</v>
      </c>
      <c r="Y2118" t="b">
        <f t="shared" si="4212"/>
        <v>1</v>
      </c>
      <c r="Z2118" t="b">
        <f t="shared" si="4212"/>
        <v>1</v>
      </c>
      <c r="AA2118">
        <f t="shared" ref="AA2118:AC2118" si="4213">IF(X2118=FALSE,1,0)</f>
        <v>0</v>
      </c>
      <c r="AB2118">
        <f t="shared" si="4213"/>
        <v>0</v>
      </c>
      <c r="AC2118">
        <f t="shared" si="4213"/>
        <v>0</v>
      </c>
      <c r="AD2118">
        <f t="shared" si="6"/>
        <v>0</v>
      </c>
      <c r="AE2118">
        <f t="shared" si="7"/>
        <v>0</v>
      </c>
    </row>
    <row r="2119">
      <c r="X2119" t="b">
        <f t="shared" ref="X2119:Z2119" si="4214">ISBLANK(K2119)</f>
        <v>1</v>
      </c>
      <c r="Y2119" t="b">
        <f t="shared" si="4214"/>
        <v>1</v>
      </c>
      <c r="Z2119" t="b">
        <f t="shared" si="4214"/>
        <v>1</v>
      </c>
      <c r="AA2119">
        <f t="shared" ref="AA2119:AC2119" si="4215">IF(X2119=FALSE,1,0)</f>
        <v>0</v>
      </c>
      <c r="AB2119">
        <f t="shared" si="4215"/>
        <v>0</v>
      </c>
      <c r="AC2119">
        <f t="shared" si="4215"/>
        <v>0</v>
      </c>
      <c r="AD2119">
        <f t="shared" si="6"/>
        <v>0</v>
      </c>
      <c r="AE2119">
        <f t="shared" si="7"/>
        <v>0</v>
      </c>
    </row>
    <row r="2120">
      <c r="X2120" t="b">
        <f t="shared" ref="X2120:Z2120" si="4216">ISBLANK(K2120)</f>
        <v>1</v>
      </c>
      <c r="Y2120" t="b">
        <f t="shared" si="4216"/>
        <v>1</v>
      </c>
      <c r="Z2120" t="b">
        <f t="shared" si="4216"/>
        <v>1</v>
      </c>
      <c r="AA2120">
        <f t="shared" ref="AA2120:AC2120" si="4217">IF(X2120=FALSE,1,0)</f>
        <v>0</v>
      </c>
      <c r="AB2120">
        <f t="shared" si="4217"/>
        <v>0</v>
      </c>
      <c r="AC2120">
        <f t="shared" si="4217"/>
        <v>0</v>
      </c>
      <c r="AD2120">
        <f t="shared" si="6"/>
        <v>0</v>
      </c>
      <c r="AE2120">
        <f t="shared" si="7"/>
        <v>0</v>
      </c>
    </row>
    <row r="2121">
      <c r="X2121" t="b">
        <f t="shared" ref="X2121:Z2121" si="4218">ISBLANK(K2121)</f>
        <v>1</v>
      </c>
      <c r="Y2121" t="b">
        <f t="shared" si="4218"/>
        <v>1</v>
      </c>
      <c r="Z2121" t="b">
        <f t="shared" si="4218"/>
        <v>1</v>
      </c>
      <c r="AA2121">
        <f t="shared" ref="AA2121:AC2121" si="4219">IF(X2121=FALSE,1,0)</f>
        <v>0</v>
      </c>
      <c r="AB2121">
        <f t="shared" si="4219"/>
        <v>0</v>
      </c>
      <c r="AC2121">
        <f t="shared" si="4219"/>
        <v>0</v>
      </c>
      <c r="AD2121">
        <f t="shared" si="6"/>
        <v>0</v>
      </c>
      <c r="AE2121">
        <f t="shared" si="7"/>
        <v>0</v>
      </c>
    </row>
    <row r="2122">
      <c r="X2122" t="b">
        <f t="shared" ref="X2122:Z2122" si="4220">ISBLANK(K2122)</f>
        <v>1</v>
      </c>
      <c r="Y2122" t="b">
        <f t="shared" si="4220"/>
        <v>1</v>
      </c>
      <c r="Z2122" t="b">
        <f t="shared" si="4220"/>
        <v>1</v>
      </c>
      <c r="AA2122">
        <f t="shared" ref="AA2122:AC2122" si="4221">IF(X2122=FALSE,1,0)</f>
        <v>0</v>
      </c>
      <c r="AB2122">
        <f t="shared" si="4221"/>
        <v>0</v>
      </c>
      <c r="AC2122">
        <f t="shared" si="4221"/>
        <v>0</v>
      </c>
      <c r="AD2122">
        <f t="shared" si="6"/>
        <v>0</v>
      </c>
      <c r="AE2122">
        <f t="shared" si="7"/>
        <v>0</v>
      </c>
    </row>
    <row r="2123">
      <c r="X2123" t="b">
        <f t="shared" ref="X2123:Z2123" si="4222">ISBLANK(K2123)</f>
        <v>1</v>
      </c>
      <c r="Y2123" t="b">
        <f t="shared" si="4222"/>
        <v>1</v>
      </c>
      <c r="Z2123" t="b">
        <f t="shared" si="4222"/>
        <v>1</v>
      </c>
      <c r="AA2123">
        <f t="shared" ref="AA2123:AC2123" si="4223">IF(X2123=FALSE,1,0)</f>
        <v>0</v>
      </c>
      <c r="AB2123">
        <f t="shared" si="4223"/>
        <v>0</v>
      </c>
      <c r="AC2123">
        <f t="shared" si="4223"/>
        <v>0</v>
      </c>
      <c r="AD2123">
        <f t="shared" si="6"/>
        <v>0</v>
      </c>
      <c r="AE2123">
        <f t="shared" si="7"/>
        <v>0</v>
      </c>
    </row>
    <row r="2124">
      <c r="X2124" t="b">
        <f t="shared" ref="X2124:Z2124" si="4224">ISBLANK(K2124)</f>
        <v>1</v>
      </c>
      <c r="Y2124" t="b">
        <f t="shared" si="4224"/>
        <v>1</v>
      </c>
      <c r="Z2124" t="b">
        <f t="shared" si="4224"/>
        <v>1</v>
      </c>
      <c r="AA2124">
        <f t="shared" ref="AA2124:AC2124" si="4225">IF(X2124=FALSE,1,0)</f>
        <v>0</v>
      </c>
      <c r="AB2124">
        <f t="shared" si="4225"/>
        <v>0</v>
      </c>
      <c r="AC2124">
        <f t="shared" si="4225"/>
        <v>0</v>
      </c>
      <c r="AD2124">
        <f t="shared" si="6"/>
        <v>0</v>
      </c>
      <c r="AE2124">
        <f t="shared" si="7"/>
        <v>0</v>
      </c>
    </row>
    <row r="2125">
      <c r="X2125" t="b">
        <f t="shared" ref="X2125:Z2125" si="4226">ISBLANK(K2125)</f>
        <v>1</v>
      </c>
      <c r="Y2125" t="b">
        <f t="shared" si="4226"/>
        <v>1</v>
      </c>
      <c r="Z2125" t="b">
        <f t="shared" si="4226"/>
        <v>1</v>
      </c>
      <c r="AA2125">
        <f t="shared" ref="AA2125:AC2125" si="4227">IF(X2125=FALSE,1,0)</f>
        <v>0</v>
      </c>
      <c r="AB2125">
        <f t="shared" si="4227"/>
        <v>0</v>
      </c>
      <c r="AC2125">
        <f t="shared" si="4227"/>
        <v>0</v>
      </c>
      <c r="AD2125">
        <f t="shared" si="6"/>
        <v>0</v>
      </c>
      <c r="AE2125">
        <f t="shared" si="7"/>
        <v>0</v>
      </c>
    </row>
    <row r="2126">
      <c r="X2126" t="b">
        <f t="shared" ref="X2126:Z2126" si="4228">ISBLANK(K2126)</f>
        <v>1</v>
      </c>
      <c r="Y2126" t="b">
        <f t="shared" si="4228"/>
        <v>1</v>
      </c>
      <c r="Z2126" t="b">
        <f t="shared" si="4228"/>
        <v>1</v>
      </c>
      <c r="AA2126">
        <f t="shared" ref="AA2126:AC2126" si="4229">IF(X2126=FALSE,1,0)</f>
        <v>0</v>
      </c>
      <c r="AB2126">
        <f t="shared" si="4229"/>
        <v>0</v>
      </c>
      <c r="AC2126">
        <f t="shared" si="4229"/>
        <v>0</v>
      </c>
      <c r="AD2126">
        <f t="shared" si="6"/>
        <v>0</v>
      </c>
      <c r="AE2126">
        <f t="shared" si="7"/>
        <v>0</v>
      </c>
    </row>
    <row r="2127">
      <c r="X2127" t="b">
        <f t="shared" ref="X2127:Z2127" si="4230">ISBLANK(K2127)</f>
        <v>1</v>
      </c>
      <c r="Y2127" t="b">
        <f t="shared" si="4230"/>
        <v>1</v>
      </c>
      <c r="Z2127" t="b">
        <f t="shared" si="4230"/>
        <v>1</v>
      </c>
      <c r="AA2127">
        <f t="shared" ref="AA2127:AC2127" si="4231">IF(X2127=FALSE,1,0)</f>
        <v>0</v>
      </c>
      <c r="AB2127">
        <f t="shared" si="4231"/>
        <v>0</v>
      </c>
      <c r="AC2127">
        <f t="shared" si="4231"/>
        <v>0</v>
      </c>
      <c r="AD2127">
        <f t="shared" si="6"/>
        <v>0</v>
      </c>
      <c r="AE2127">
        <f t="shared" si="7"/>
        <v>0</v>
      </c>
    </row>
    <row r="2128">
      <c r="X2128" t="b">
        <f t="shared" ref="X2128:Z2128" si="4232">ISBLANK(K2128)</f>
        <v>1</v>
      </c>
      <c r="Y2128" t="b">
        <f t="shared" si="4232"/>
        <v>1</v>
      </c>
      <c r="Z2128" t="b">
        <f t="shared" si="4232"/>
        <v>1</v>
      </c>
      <c r="AA2128">
        <f t="shared" ref="AA2128:AC2128" si="4233">IF(X2128=FALSE,1,0)</f>
        <v>0</v>
      </c>
      <c r="AB2128">
        <f t="shared" si="4233"/>
        <v>0</v>
      </c>
      <c r="AC2128">
        <f t="shared" si="4233"/>
        <v>0</v>
      </c>
      <c r="AD2128">
        <f t="shared" si="6"/>
        <v>0</v>
      </c>
      <c r="AE2128">
        <f t="shared" si="7"/>
        <v>0</v>
      </c>
    </row>
    <row r="2129">
      <c r="X2129" t="b">
        <f t="shared" ref="X2129:Z2129" si="4234">ISBLANK(K2129)</f>
        <v>1</v>
      </c>
      <c r="Y2129" t="b">
        <f t="shared" si="4234"/>
        <v>1</v>
      </c>
      <c r="Z2129" t="b">
        <f t="shared" si="4234"/>
        <v>1</v>
      </c>
      <c r="AA2129">
        <f t="shared" ref="AA2129:AC2129" si="4235">IF(X2129=FALSE,1,0)</f>
        <v>0</v>
      </c>
      <c r="AB2129">
        <f t="shared" si="4235"/>
        <v>0</v>
      </c>
      <c r="AC2129">
        <f t="shared" si="4235"/>
        <v>0</v>
      </c>
      <c r="AD2129">
        <f t="shared" si="6"/>
        <v>0</v>
      </c>
      <c r="AE2129">
        <f t="shared" si="7"/>
        <v>0</v>
      </c>
    </row>
    <row r="2130">
      <c r="X2130" t="b">
        <f t="shared" ref="X2130:Z2130" si="4236">ISBLANK(K2130)</f>
        <v>1</v>
      </c>
      <c r="Y2130" t="b">
        <f t="shared" si="4236"/>
        <v>1</v>
      </c>
      <c r="Z2130" t="b">
        <f t="shared" si="4236"/>
        <v>1</v>
      </c>
      <c r="AA2130">
        <f t="shared" ref="AA2130:AC2130" si="4237">IF(X2130=FALSE,1,0)</f>
        <v>0</v>
      </c>
      <c r="AB2130">
        <f t="shared" si="4237"/>
        <v>0</v>
      </c>
      <c r="AC2130">
        <f t="shared" si="4237"/>
        <v>0</v>
      </c>
      <c r="AD2130">
        <f t="shared" si="6"/>
        <v>0</v>
      </c>
      <c r="AE2130">
        <f t="shared" si="7"/>
        <v>0</v>
      </c>
    </row>
    <row r="2131">
      <c r="X2131" t="b">
        <f t="shared" ref="X2131:Z2131" si="4238">ISBLANK(K2131)</f>
        <v>1</v>
      </c>
      <c r="Y2131" t="b">
        <f t="shared" si="4238"/>
        <v>1</v>
      </c>
      <c r="Z2131" t="b">
        <f t="shared" si="4238"/>
        <v>1</v>
      </c>
      <c r="AA2131">
        <f t="shared" ref="AA2131:AC2131" si="4239">IF(X2131=FALSE,1,0)</f>
        <v>0</v>
      </c>
      <c r="AB2131">
        <f t="shared" si="4239"/>
        <v>0</v>
      </c>
      <c r="AC2131">
        <f t="shared" si="4239"/>
        <v>0</v>
      </c>
      <c r="AD2131">
        <f t="shared" si="6"/>
        <v>0</v>
      </c>
      <c r="AE2131">
        <f t="shared" si="7"/>
        <v>0</v>
      </c>
    </row>
    <row r="2132">
      <c r="X2132" t="b">
        <f t="shared" ref="X2132:Z2132" si="4240">ISBLANK(K2132)</f>
        <v>1</v>
      </c>
      <c r="Y2132" t="b">
        <f t="shared" si="4240"/>
        <v>1</v>
      </c>
      <c r="Z2132" t="b">
        <f t="shared" si="4240"/>
        <v>1</v>
      </c>
      <c r="AA2132">
        <f t="shared" ref="AA2132:AC2132" si="4241">IF(X2132=FALSE,1,0)</f>
        <v>0</v>
      </c>
      <c r="AB2132">
        <f t="shared" si="4241"/>
        <v>0</v>
      </c>
      <c r="AC2132">
        <f t="shared" si="4241"/>
        <v>0</v>
      </c>
      <c r="AD2132">
        <f t="shared" si="6"/>
        <v>0</v>
      </c>
      <c r="AE2132">
        <f t="shared" si="7"/>
        <v>0</v>
      </c>
    </row>
    <row r="2133">
      <c r="X2133" t="b">
        <f t="shared" ref="X2133:Z2133" si="4242">ISBLANK(K2133)</f>
        <v>1</v>
      </c>
      <c r="Y2133" t="b">
        <f t="shared" si="4242"/>
        <v>1</v>
      </c>
      <c r="Z2133" t="b">
        <f t="shared" si="4242"/>
        <v>1</v>
      </c>
      <c r="AA2133">
        <f t="shared" ref="AA2133:AC2133" si="4243">IF(X2133=FALSE,1,0)</f>
        <v>0</v>
      </c>
      <c r="AB2133">
        <f t="shared" si="4243"/>
        <v>0</v>
      </c>
      <c r="AC2133">
        <f t="shared" si="4243"/>
        <v>0</v>
      </c>
      <c r="AD2133">
        <f t="shared" si="6"/>
        <v>0</v>
      </c>
      <c r="AE2133">
        <f t="shared" si="7"/>
        <v>0</v>
      </c>
    </row>
    <row r="2134">
      <c r="X2134" t="b">
        <f t="shared" ref="X2134:Z2134" si="4244">ISBLANK(K2134)</f>
        <v>1</v>
      </c>
      <c r="Y2134" t="b">
        <f t="shared" si="4244"/>
        <v>1</v>
      </c>
      <c r="Z2134" t="b">
        <f t="shared" si="4244"/>
        <v>1</v>
      </c>
      <c r="AA2134">
        <f t="shared" ref="AA2134:AC2134" si="4245">IF(X2134=FALSE,1,0)</f>
        <v>0</v>
      </c>
      <c r="AB2134">
        <f t="shared" si="4245"/>
        <v>0</v>
      </c>
      <c r="AC2134">
        <f t="shared" si="4245"/>
        <v>0</v>
      </c>
      <c r="AD2134">
        <f t="shared" si="6"/>
        <v>0</v>
      </c>
      <c r="AE2134">
        <f t="shared" si="7"/>
        <v>0</v>
      </c>
    </row>
    <row r="2135">
      <c r="X2135" t="b">
        <f t="shared" ref="X2135:Z2135" si="4246">ISBLANK(K2135)</f>
        <v>1</v>
      </c>
      <c r="Y2135" t="b">
        <f t="shared" si="4246"/>
        <v>1</v>
      </c>
      <c r="Z2135" t="b">
        <f t="shared" si="4246"/>
        <v>1</v>
      </c>
      <c r="AA2135">
        <f t="shared" ref="AA2135:AC2135" si="4247">IF(X2135=FALSE,1,0)</f>
        <v>0</v>
      </c>
      <c r="AB2135">
        <f t="shared" si="4247"/>
        <v>0</v>
      </c>
      <c r="AC2135">
        <f t="shared" si="4247"/>
        <v>0</v>
      </c>
      <c r="AD2135">
        <f t="shared" si="6"/>
        <v>0</v>
      </c>
      <c r="AE2135">
        <f t="shared" si="7"/>
        <v>0</v>
      </c>
    </row>
    <row r="2136">
      <c r="X2136" t="b">
        <f t="shared" ref="X2136:Z2136" si="4248">ISBLANK(K2136)</f>
        <v>1</v>
      </c>
      <c r="Y2136" t="b">
        <f t="shared" si="4248"/>
        <v>1</v>
      </c>
      <c r="Z2136" t="b">
        <f t="shared" si="4248"/>
        <v>1</v>
      </c>
      <c r="AA2136">
        <f t="shared" ref="AA2136:AC2136" si="4249">IF(X2136=FALSE,1,0)</f>
        <v>0</v>
      </c>
      <c r="AB2136">
        <f t="shared" si="4249"/>
        <v>0</v>
      </c>
      <c r="AC2136">
        <f t="shared" si="4249"/>
        <v>0</v>
      </c>
      <c r="AD2136">
        <f t="shared" si="6"/>
        <v>0</v>
      </c>
      <c r="AE2136">
        <f t="shared" si="7"/>
        <v>0</v>
      </c>
    </row>
    <row r="2137">
      <c r="X2137" t="b">
        <f t="shared" ref="X2137:Z2137" si="4250">ISBLANK(K2137)</f>
        <v>1</v>
      </c>
      <c r="Y2137" t="b">
        <f t="shared" si="4250"/>
        <v>1</v>
      </c>
      <c r="Z2137" t="b">
        <f t="shared" si="4250"/>
        <v>1</v>
      </c>
      <c r="AA2137">
        <f t="shared" ref="AA2137:AC2137" si="4251">IF(X2137=FALSE,1,0)</f>
        <v>0</v>
      </c>
      <c r="AB2137">
        <f t="shared" si="4251"/>
        <v>0</v>
      </c>
      <c r="AC2137">
        <f t="shared" si="4251"/>
        <v>0</v>
      </c>
      <c r="AD2137">
        <f t="shared" si="6"/>
        <v>0</v>
      </c>
      <c r="AE2137">
        <f t="shared" si="7"/>
        <v>0</v>
      </c>
    </row>
    <row r="2138">
      <c r="X2138" t="b">
        <f t="shared" ref="X2138:Z2138" si="4252">ISBLANK(K2138)</f>
        <v>1</v>
      </c>
      <c r="Y2138" t="b">
        <f t="shared" si="4252"/>
        <v>1</v>
      </c>
      <c r="Z2138" t="b">
        <f t="shared" si="4252"/>
        <v>1</v>
      </c>
      <c r="AA2138">
        <f t="shared" ref="AA2138:AC2138" si="4253">IF(X2138=FALSE,1,0)</f>
        <v>0</v>
      </c>
      <c r="AB2138">
        <f t="shared" si="4253"/>
        <v>0</v>
      </c>
      <c r="AC2138">
        <f t="shared" si="4253"/>
        <v>0</v>
      </c>
      <c r="AD2138">
        <f t="shared" si="6"/>
        <v>0</v>
      </c>
      <c r="AE2138">
        <f t="shared" si="7"/>
        <v>0</v>
      </c>
    </row>
    <row r="2139">
      <c r="X2139" t="b">
        <f t="shared" ref="X2139:Z2139" si="4254">ISBLANK(K2139)</f>
        <v>1</v>
      </c>
      <c r="Y2139" t="b">
        <f t="shared" si="4254"/>
        <v>1</v>
      </c>
      <c r="Z2139" t="b">
        <f t="shared" si="4254"/>
        <v>1</v>
      </c>
      <c r="AA2139">
        <f t="shared" ref="AA2139:AC2139" si="4255">IF(X2139=FALSE,1,0)</f>
        <v>0</v>
      </c>
      <c r="AB2139">
        <f t="shared" si="4255"/>
        <v>0</v>
      </c>
      <c r="AC2139">
        <f t="shared" si="4255"/>
        <v>0</v>
      </c>
      <c r="AD2139">
        <f t="shared" si="6"/>
        <v>0</v>
      </c>
      <c r="AE2139">
        <f t="shared" si="7"/>
        <v>0</v>
      </c>
    </row>
    <row r="2140">
      <c r="X2140" t="b">
        <f t="shared" ref="X2140:Z2140" si="4256">ISBLANK(K2140)</f>
        <v>1</v>
      </c>
      <c r="Y2140" t="b">
        <f t="shared" si="4256"/>
        <v>1</v>
      </c>
      <c r="Z2140" t="b">
        <f t="shared" si="4256"/>
        <v>1</v>
      </c>
      <c r="AA2140">
        <f t="shared" ref="AA2140:AC2140" si="4257">IF(X2140=FALSE,1,0)</f>
        <v>0</v>
      </c>
      <c r="AB2140">
        <f t="shared" si="4257"/>
        <v>0</v>
      </c>
      <c r="AC2140">
        <f t="shared" si="4257"/>
        <v>0</v>
      </c>
      <c r="AD2140">
        <f t="shared" si="6"/>
        <v>0</v>
      </c>
      <c r="AE2140">
        <f t="shared" si="7"/>
        <v>0</v>
      </c>
    </row>
    <row r="2141">
      <c r="X2141" t="b">
        <f t="shared" ref="X2141:Z2141" si="4258">ISBLANK(K2141)</f>
        <v>1</v>
      </c>
      <c r="Y2141" t="b">
        <f t="shared" si="4258"/>
        <v>1</v>
      </c>
      <c r="Z2141" t="b">
        <f t="shared" si="4258"/>
        <v>1</v>
      </c>
      <c r="AA2141">
        <f t="shared" ref="AA2141:AC2141" si="4259">IF(X2141=FALSE,1,0)</f>
        <v>0</v>
      </c>
      <c r="AB2141">
        <f t="shared" si="4259"/>
        <v>0</v>
      </c>
      <c r="AC2141">
        <f t="shared" si="4259"/>
        <v>0</v>
      </c>
      <c r="AD2141">
        <f t="shared" si="6"/>
        <v>0</v>
      </c>
      <c r="AE2141">
        <f t="shared" si="7"/>
        <v>0</v>
      </c>
    </row>
    <row r="2142">
      <c r="X2142" t="b">
        <f t="shared" ref="X2142:Z2142" si="4260">ISBLANK(K2142)</f>
        <v>1</v>
      </c>
      <c r="Y2142" t="b">
        <f t="shared" si="4260"/>
        <v>1</v>
      </c>
      <c r="Z2142" t="b">
        <f t="shared" si="4260"/>
        <v>1</v>
      </c>
      <c r="AA2142">
        <f t="shared" ref="AA2142:AC2142" si="4261">IF(X2142=FALSE,1,0)</f>
        <v>0</v>
      </c>
      <c r="AB2142">
        <f t="shared" si="4261"/>
        <v>0</v>
      </c>
      <c r="AC2142">
        <f t="shared" si="4261"/>
        <v>0</v>
      </c>
      <c r="AD2142">
        <f t="shared" si="6"/>
        <v>0</v>
      </c>
      <c r="AE2142">
        <f t="shared" si="7"/>
        <v>0</v>
      </c>
    </row>
    <row r="2143">
      <c r="X2143" t="b">
        <f t="shared" ref="X2143:Z2143" si="4262">ISBLANK(K2143)</f>
        <v>1</v>
      </c>
      <c r="Y2143" t="b">
        <f t="shared" si="4262"/>
        <v>1</v>
      </c>
      <c r="Z2143" t="b">
        <f t="shared" si="4262"/>
        <v>1</v>
      </c>
      <c r="AA2143">
        <f t="shared" ref="AA2143:AC2143" si="4263">IF(X2143=FALSE,1,0)</f>
        <v>0</v>
      </c>
      <c r="AB2143">
        <f t="shared" si="4263"/>
        <v>0</v>
      </c>
      <c r="AC2143">
        <f t="shared" si="4263"/>
        <v>0</v>
      </c>
      <c r="AD2143">
        <f t="shared" si="6"/>
        <v>0</v>
      </c>
      <c r="AE2143">
        <f t="shared" si="7"/>
        <v>0</v>
      </c>
    </row>
    <row r="2144">
      <c r="X2144" t="b">
        <f t="shared" ref="X2144:Z2144" si="4264">ISBLANK(K2144)</f>
        <v>1</v>
      </c>
      <c r="Y2144" t="b">
        <f t="shared" si="4264"/>
        <v>1</v>
      </c>
      <c r="Z2144" t="b">
        <f t="shared" si="4264"/>
        <v>1</v>
      </c>
      <c r="AA2144">
        <f t="shared" ref="AA2144:AC2144" si="4265">IF(X2144=FALSE,1,0)</f>
        <v>0</v>
      </c>
      <c r="AB2144">
        <f t="shared" si="4265"/>
        <v>0</v>
      </c>
      <c r="AC2144">
        <f t="shared" si="4265"/>
        <v>0</v>
      </c>
      <c r="AD2144">
        <f t="shared" si="6"/>
        <v>0</v>
      </c>
      <c r="AE2144">
        <f t="shared" si="7"/>
        <v>0</v>
      </c>
    </row>
    <row r="2145">
      <c r="X2145" t="b">
        <f t="shared" ref="X2145:Z2145" si="4266">ISBLANK(K2145)</f>
        <v>1</v>
      </c>
      <c r="Y2145" t="b">
        <f t="shared" si="4266"/>
        <v>1</v>
      </c>
      <c r="Z2145" t="b">
        <f t="shared" si="4266"/>
        <v>1</v>
      </c>
      <c r="AA2145">
        <f t="shared" ref="AA2145:AC2145" si="4267">IF(X2145=FALSE,1,0)</f>
        <v>0</v>
      </c>
      <c r="AB2145">
        <f t="shared" si="4267"/>
        <v>0</v>
      </c>
      <c r="AC2145">
        <f t="shared" si="4267"/>
        <v>0</v>
      </c>
      <c r="AD2145">
        <f t="shared" si="6"/>
        <v>0</v>
      </c>
      <c r="AE2145">
        <f t="shared" si="7"/>
        <v>0</v>
      </c>
    </row>
    <row r="2146">
      <c r="X2146" t="b">
        <f t="shared" ref="X2146:Z2146" si="4268">ISBLANK(K2146)</f>
        <v>1</v>
      </c>
      <c r="Y2146" t="b">
        <f t="shared" si="4268"/>
        <v>1</v>
      </c>
      <c r="Z2146" t="b">
        <f t="shared" si="4268"/>
        <v>1</v>
      </c>
      <c r="AA2146">
        <f t="shared" ref="AA2146:AC2146" si="4269">IF(X2146=FALSE,1,0)</f>
        <v>0</v>
      </c>
      <c r="AB2146">
        <f t="shared" si="4269"/>
        <v>0</v>
      </c>
      <c r="AC2146">
        <f t="shared" si="4269"/>
        <v>0</v>
      </c>
      <c r="AD2146">
        <f t="shared" si="6"/>
        <v>0</v>
      </c>
      <c r="AE2146">
        <f t="shared" si="7"/>
        <v>0</v>
      </c>
    </row>
    <row r="2147">
      <c r="X2147" t="b">
        <f t="shared" ref="X2147:Z2147" si="4270">ISBLANK(K2147)</f>
        <v>1</v>
      </c>
      <c r="Y2147" t="b">
        <f t="shared" si="4270"/>
        <v>1</v>
      </c>
      <c r="Z2147" t="b">
        <f t="shared" si="4270"/>
        <v>1</v>
      </c>
      <c r="AA2147">
        <f t="shared" ref="AA2147:AC2147" si="4271">IF(X2147=FALSE,1,0)</f>
        <v>0</v>
      </c>
      <c r="AB2147">
        <f t="shared" si="4271"/>
        <v>0</v>
      </c>
      <c r="AC2147">
        <f t="shared" si="4271"/>
        <v>0</v>
      </c>
      <c r="AD2147">
        <f t="shared" si="6"/>
        <v>0</v>
      </c>
      <c r="AE2147">
        <f t="shared" si="7"/>
        <v>0</v>
      </c>
    </row>
    <row r="2148">
      <c r="X2148" t="b">
        <f t="shared" ref="X2148:Z2148" si="4272">ISBLANK(K2148)</f>
        <v>1</v>
      </c>
      <c r="Y2148" t="b">
        <f t="shared" si="4272"/>
        <v>1</v>
      </c>
      <c r="Z2148" t="b">
        <f t="shared" si="4272"/>
        <v>1</v>
      </c>
      <c r="AA2148">
        <f t="shared" ref="AA2148:AC2148" si="4273">IF(X2148=FALSE,1,0)</f>
        <v>0</v>
      </c>
      <c r="AB2148">
        <f t="shared" si="4273"/>
        <v>0</v>
      </c>
      <c r="AC2148">
        <f t="shared" si="4273"/>
        <v>0</v>
      </c>
      <c r="AD2148">
        <f t="shared" si="6"/>
        <v>0</v>
      </c>
      <c r="AE2148">
        <f t="shared" si="7"/>
        <v>0</v>
      </c>
    </row>
    <row r="2149">
      <c r="X2149" t="b">
        <f t="shared" ref="X2149:Z2149" si="4274">ISBLANK(K2149)</f>
        <v>1</v>
      </c>
      <c r="Y2149" t="b">
        <f t="shared" si="4274"/>
        <v>1</v>
      </c>
      <c r="Z2149" t="b">
        <f t="shared" si="4274"/>
        <v>1</v>
      </c>
      <c r="AA2149">
        <f t="shared" ref="AA2149:AC2149" si="4275">IF(X2149=FALSE,1,0)</f>
        <v>0</v>
      </c>
      <c r="AB2149">
        <f t="shared" si="4275"/>
        <v>0</v>
      </c>
      <c r="AC2149">
        <f t="shared" si="4275"/>
        <v>0</v>
      </c>
      <c r="AD2149">
        <f t="shared" si="6"/>
        <v>0</v>
      </c>
      <c r="AE2149">
        <f t="shared" si="7"/>
        <v>0</v>
      </c>
    </row>
    <row r="2150">
      <c r="X2150" t="b">
        <f t="shared" ref="X2150:Z2150" si="4276">ISBLANK(K2150)</f>
        <v>1</v>
      </c>
      <c r="Y2150" t="b">
        <f t="shared" si="4276"/>
        <v>1</v>
      </c>
      <c r="Z2150" t="b">
        <f t="shared" si="4276"/>
        <v>1</v>
      </c>
      <c r="AA2150">
        <f t="shared" ref="AA2150:AC2150" si="4277">IF(X2150=FALSE,1,0)</f>
        <v>0</v>
      </c>
      <c r="AB2150">
        <f t="shared" si="4277"/>
        <v>0</v>
      </c>
      <c r="AC2150">
        <f t="shared" si="4277"/>
        <v>0</v>
      </c>
      <c r="AD2150">
        <f t="shared" si="6"/>
        <v>0</v>
      </c>
      <c r="AE2150">
        <f t="shared" si="7"/>
        <v>0</v>
      </c>
    </row>
    <row r="2151">
      <c r="X2151" t="b">
        <f t="shared" ref="X2151:Z2151" si="4278">ISBLANK(K2151)</f>
        <v>1</v>
      </c>
      <c r="Y2151" t="b">
        <f t="shared" si="4278"/>
        <v>1</v>
      </c>
      <c r="Z2151" t="b">
        <f t="shared" si="4278"/>
        <v>1</v>
      </c>
      <c r="AA2151">
        <f t="shared" ref="AA2151:AC2151" si="4279">IF(X2151=FALSE,1,0)</f>
        <v>0</v>
      </c>
      <c r="AB2151">
        <f t="shared" si="4279"/>
        <v>0</v>
      </c>
      <c r="AC2151">
        <f t="shared" si="4279"/>
        <v>0</v>
      </c>
      <c r="AD2151">
        <f t="shared" si="6"/>
        <v>0</v>
      </c>
      <c r="AE2151">
        <f t="shared" si="7"/>
        <v>0</v>
      </c>
    </row>
    <row r="2152">
      <c r="X2152" t="b">
        <f t="shared" ref="X2152:Z2152" si="4280">ISBLANK(K2152)</f>
        <v>1</v>
      </c>
      <c r="Y2152" t="b">
        <f t="shared" si="4280"/>
        <v>1</v>
      </c>
      <c r="Z2152" t="b">
        <f t="shared" si="4280"/>
        <v>1</v>
      </c>
      <c r="AA2152">
        <f t="shared" ref="AA2152:AC2152" si="4281">IF(X2152=FALSE,1,0)</f>
        <v>0</v>
      </c>
      <c r="AB2152">
        <f t="shared" si="4281"/>
        <v>0</v>
      </c>
      <c r="AC2152">
        <f t="shared" si="4281"/>
        <v>0</v>
      </c>
      <c r="AD2152">
        <f t="shared" si="6"/>
        <v>0</v>
      </c>
      <c r="AE2152">
        <f t="shared" si="7"/>
        <v>0</v>
      </c>
    </row>
    <row r="2153">
      <c r="X2153" t="b">
        <f t="shared" ref="X2153:Z2153" si="4282">ISBLANK(K2153)</f>
        <v>1</v>
      </c>
      <c r="Y2153" t="b">
        <f t="shared" si="4282"/>
        <v>1</v>
      </c>
      <c r="Z2153" t="b">
        <f t="shared" si="4282"/>
        <v>1</v>
      </c>
      <c r="AA2153">
        <f t="shared" ref="AA2153:AC2153" si="4283">IF(X2153=FALSE,1,0)</f>
        <v>0</v>
      </c>
      <c r="AB2153">
        <f t="shared" si="4283"/>
        <v>0</v>
      </c>
      <c r="AC2153">
        <f t="shared" si="4283"/>
        <v>0</v>
      </c>
      <c r="AD2153">
        <f t="shared" si="6"/>
        <v>0</v>
      </c>
      <c r="AE2153">
        <f t="shared" si="7"/>
        <v>0</v>
      </c>
    </row>
    <row r="2154">
      <c r="X2154" t="b">
        <f t="shared" ref="X2154:Z2154" si="4284">ISBLANK(K2154)</f>
        <v>1</v>
      </c>
      <c r="Y2154" t="b">
        <f t="shared" si="4284"/>
        <v>1</v>
      </c>
      <c r="Z2154" t="b">
        <f t="shared" si="4284"/>
        <v>1</v>
      </c>
      <c r="AA2154">
        <f t="shared" ref="AA2154:AC2154" si="4285">IF(X2154=FALSE,1,0)</f>
        <v>0</v>
      </c>
      <c r="AB2154">
        <f t="shared" si="4285"/>
        <v>0</v>
      </c>
      <c r="AC2154">
        <f t="shared" si="4285"/>
        <v>0</v>
      </c>
      <c r="AD2154">
        <f t="shared" si="6"/>
        <v>0</v>
      </c>
      <c r="AE2154">
        <f t="shared" si="7"/>
        <v>0</v>
      </c>
    </row>
    <row r="2155">
      <c r="X2155" t="b">
        <f t="shared" ref="X2155:Z2155" si="4286">ISBLANK(K2155)</f>
        <v>1</v>
      </c>
      <c r="Y2155" t="b">
        <f t="shared" si="4286"/>
        <v>1</v>
      </c>
      <c r="Z2155" t="b">
        <f t="shared" si="4286"/>
        <v>1</v>
      </c>
      <c r="AA2155">
        <f t="shared" ref="AA2155:AC2155" si="4287">IF(X2155=FALSE,1,0)</f>
        <v>0</v>
      </c>
      <c r="AB2155">
        <f t="shared" si="4287"/>
        <v>0</v>
      </c>
      <c r="AC2155">
        <f t="shared" si="4287"/>
        <v>0</v>
      </c>
      <c r="AD2155">
        <f t="shared" si="6"/>
        <v>0</v>
      </c>
      <c r="AE2155">
        <f t="shared" si="7"/>
        <v>0</v>
      </c>
    </row>
    <row r="2156">
      <c r="X2156" t="b">
        <f t="shared" ref="X2156:Z2156" si="4288">ISBLANK(K2156)</f>
        <v>1</v>
      </c>
      <c r="Y2156" t="b">
        <f t="shared" si="4288"/>
        <v>1</v>
      </c>
      <c r="Z2156" t="b">
        <f t="shared" si="4288"/>
        <v>1</v>
      </c>
      <c r="AA2156">
        <f t="shared" ref="AA2156:AC2156" si="4289">IF(X2156=FALSE,1,0)</f>
        <v>0</v>
      </c>
      <c r="AB2156">
        <f t="shared" si="4289"/>
        <v>0</v>
      </c>
      <c r="AC2156">
        <f t="shared" si="4289"/>
        <v>0</v>
      </c>
      <c r="AD2156">
        <f t="shared" si="6"/>
        <v>0</v>
      </c>
      <c r="AE2156">
        <f t="shared" si="7"/>
        <v>0</v>
      </c>
    </row>
    <row r="2157">
      <c r="X2157" t="b">
        <f t="shared" ref="X2157:Z2157" si="4290">ISBLANK(K2157)</f>
        <v>1</v>
      </c>
      <c r="Y2157" t="b">
        <f t="shared" si="4290"/>
        <v>1</v>
      </c>
      <c r="Z2157" t="b">
        <f t="shared" si="4290"/>
        <v>1</v>
      </c>
      <c r="AA2157">
        <f t="shared" ref="AA2157:AC2157" si="4291">IF(X2157=FALSE,1,0)</f>
        <v>0</v>
      </c>
      <c r="AB2157">
        <f t="shared" si="4291"/>
        <v>0</v>
      </c>
      <c r="AC2157">
        <f t="shared" si="4291"/>
        <v>0</v>
      </c>
      <c r="AD2157">
        <f t="shared" si="6"/>
        <v>0</v>
      </c>
      <c r="AE2157">
        <f t="shared" si="7"/>
        <v>0</v>
      </c>
    </row>
    <row r="2158">
      <c r="X2158" t="b">
        <f t="shared" ref="X2158:Z2158" si="4292">ISBLANK(K2158)</f>
        <v>1</v>
      </c>
      <c r="Y2158" t="b">
        <f t="shared" si="4292"/>
        <v>1</v>
      </c>
      <c r="Z2158" t="b">
        <f t="shared" si="4292"/>
        <v>1</v>
      </c>
      <c r="AA2158">
        <f t="shared" ref="AA2158:AC2158" si="4293">IF(X2158=FALSE,1,0)</f>
        <v>0</v>
      </c>
      <c r="AB2158">
        <f t="shared" si="4293"/>
        <v>0</v>
      </c>
      <c r="AC2158">
        <f t="shared" si="4293"/>
        <v>0</v>
      </c>
      <c r="AD2158">
        <f t="shared" si="6"/>
        <v>0</v>
      </c>
      <c r="AE2158">
        <f t="shared" si="7"/>
        <v>0</v>
      </c>
    </row>
    <row r="2159">
      <c r="X2159" t="b">
        <f t="shared" ref="X2159:Z2159" si="4294">ISBLANK(K2159)</f>
        <v>1</v>
      </c>
      <c r="Y2159" t="b">
        <f t="shared" si="4294"/>
        <v>1</v>
      </c>
      <c r="Z2159" t="b">
        <f t="shared" si="4294"/>
        <v>1</v>
      </c>
      <c r="AA2159">
        <f t="shared" ref="AA2159:AC2159" si="4295">IF(X2159=FALSE,1,0)</f>
        <v>0</v>
      </c>
      <c r="AB2159">
        <f t="shared" si="4295"/>
        <v>0</v>
      </c>
      <c r="AC2159">
        <f t="shared" si="4295"/>
        <v>0</v>
      </c>
      <c r="AD2159">
        <f t="shared" si="6"/>
        <v>0</v>
      </c>
      <c r="AE2159">
        <f t="shared" si="7"/>
        <v>0</v>
      </c>
    </row>
    <row r="2160">
      <c r="X2160" t="b">
        <f t="shared" ref="X2160:Z2160" si="4296">ISBLANK(K2160)</f>
        <v>1</v>
      </c>
      <c r="Y2160" t="b">
        <f t="shared" si="4296"/>
        <v>1</v>
      </c>
      <c r="Z2160" t="b">
        <f t="shared" si="4296"/>
        <v>1</v>
      </c>
      <c r="AA2160">
        <f t="shared" ref="AA2160:AC2160" si="4297">IF(X2160=FALSE,1,0)</f>
        <v>0</v>
      </c>
      <c r="AB2160">
        <f t="shared" si="4297"/>
        <v>0</v>
      </c>
      <c r="AC2160">
        <f t="shared" si="4297"/>
        <v>0</v>
      </c>
      <c r="AD2160">
        <f t="shared" si="6"/>
        <v>0</v>
      </c>
      <c r="AE2160">
        <f t="shared" si="7"/>
        <v>0</v>
      </c>
    </row>
    <row r="2161">
      <c r="X2161" t="b">
        <f t="shared" ref="X2161:Z2161" si="4298">ISBLANK(K2161)</f>
        <v>1</v>
      </c>
      <c r="Y2161" t="b">
        <f t="shared" si="4298"/>
        <v>1</v>
      </c>
      <c r="Z2161" t="b">
        <f t="shared" si="4298"/>
        <v>1</v>
      </c>
      <c r="AA2161">
        <f t="shared" ref="AA2161:AC2161" si="4299">IF(X2161=FALSE,1,0)</f>
        <v>0</v>
      </c>
      <c r="AB2161">
        <f t="shared" si="4299"/>
        <v>0</v>
      </c>
      <c r="AC2161">
        <f t="shared" si="4299"/>
        <v>0</v>
      </c>
      <c r="AD2161">
        <f t="shared" si="6"/>
        <v>0</v>
      </c>
      <c r="AE2161">
        <f t="shared" si="7"/>
        <v>0</v>
      </c>
    </row>
    <row r="2162">
      <c r="X2162" t="b">
        <f t="shared" ref="X2162:Z2162" si="4300">ISBLANK(K2162)</f>
        <v>1</v>
      </c>
      <c r="Y2162" t="b">
        <f t="shared" si="4300"/>
        <v>1</v>
      </c>
      <c r="Z2162" t="b">
        <f t="shared" si="4300"/>
        <v>1</v>
      </c>
      <c r="AA2162">
        <f t="shared" ref="AA2162:AC2162" si="4301">IF(X2162=FALSE,1,0)</f>
        <v>0</v>
      </c>
      <c r="AB2162">
        <f t="shared" si="4301"/>
        <v>0</v>
      </c>
      <c r="AC2162">
        <f t="shared" si="4301"/>
        <v>0</v>
      </c>
      <c r="AD2162">
        <f t="shared" si="6"/>
        <v>0</v>
      </c>
      <c r="AE2162">
        <f t="shared" si="7"/>
        <v>0</v>
      </c>
    </row>
    <row r="2163">
      <c r="X2163" t="b">
        <f t="shared" ref="X2163:Z2163" si="4302">ISBLANK(K2163)</f>
        <v>1</v>
      </c>
      <c r="Y2163" t="b">
        <f t="shared" si="4302"/>
        <v>1</v>
      </c>
      <c r="Z2163" t="b">
        <f t="shared" si="4302"/>
        <v>1</v>
      </c>
      <c r="AA2163">
        <f t="shared" ref="AA2163:AC2163" si="4303">IF(X2163=FALSE,1,0)</f>
        <v>0</v>
      </c>
      <c r="AB2163">
        <f t="shared" si="4303"/>
        <v>0</v>
      </c>
      <c r="AC2163">
        <f t="shared" si="4303"/>
        <v>0</v>
      </c>
      <c r="AD2163">
        <f t="shared" si="6"/>
        <v>0</v>
      </c>
      <c r="AE2163">
        <f t="shared" si="7"/>
        <v>0</v>
      </c>
    </row>
    <row r="2164">
      <c r="X2164" t="b">
        <f t="shared" ref="X2164:Z2164" si="4304">ISBLANK(K2164)</f>
        <v>1</v>
      </c>
      <c r="Y2164" t="b">
        <f t="shared" si="4304"/>
        <v>1</v>
      </c>
      <c r="Z2164" t="b">
        <f t="shared" si="4304"/>
        <v>1</v>
      </c>
      <c r="AA2164">
        <f t="shared" ref="AA2164:AC2164" si="4305">IF(X2164=FALSE,1,0)</f>
        <v>0</v>
      </c>
      <c r="AB2164">
        <f t="shared" si="4305"/>
        <v>0</v>
      </c>
      <c r="AC2164">
        <f t="shared" si="4305"/>
        <v>0</v>
      </c>
      <c r="AD2164">
        <f t="shared" si="6"/>
        <v>0</v>
      </c>
      <c r="AE2164">
        <f t="shared" si="7"/>
        <v>0</v>
      </c>
    </row>
    <row r="2165">
      <c r="X2165" t="b">
        <f t="shared" ref="X2165:Z2165" si="4306">ISBLANK(K2165)</f>
        <v>1</v>
      </c>
      <c r="Y2165" t="b">
        <f t="shared" si="4306"/>
        <v>1</v>
      </c>
      <c r="Z2165" t="b">
        <f t="shared" si="4306"/>
        <v>1</v>
      </c>
      <c r="AA2165">
        <f t="shared" ref="AA2165:AC2165" si="4307">IF(X2165=FALSE,1,0)</f>
        <v>0</v>
      </c>
      <c r="AB2165">
        <f t="shared" si="4307"/>
        <v>0</v>
      </c>
      <c r="AC2165">
        <f t="shared" si="4307"/>
        <v>0</v>
      </c>
      <c r="AD2165">
        <f t="shared" si="6"/>
        <v>0</v>
      </c>
      <c r="AE2165">
        <f t="shared" si="7"/>
        <v>0</v>
      </c>
    </row>
    <row r="2166">
      <c r="X2166" t="b">
        <f t="shared" ref="X2166:Z2166" si="4308">ISBLANK(K2166)</f>
        <v>1</v>
      </c>
      <c r="Y2166" t="b">
        <f t="shared" si="4308"/>
        <v>1</v>
      </c>
      <c r="Z2166" t="b">
        <f t="shared" si="4308"/>
        <v>1</v>
      </c>
      <c r="AA2166">
        <f t="shared" ref="AA2166:AC2166" si="4309">IF(X2166=FALSE,1,0)</f>
        <v>0</v>
      </c>
      <c r="AB2166">
        <f t="shared" si="4309"/>
        <v>0</v>
      </c>
      <c r="AC2166">
        <f t="shared" si="4309"/>
        <v>0</v>
      </c>
      <c r="AD2166">
        <f t="shared" si="6"/>
        <v>0</v>
      </c>
      <c r="AE2166">
        <f t="shared" si="7"/>
        <v>0</v>
      </c>
    </row>
    <row r="2167">
      <c r="X2167" t="b">
        <f t="shared" ref="X2167:Z2167" si="4310">ISBLANK(K2167)</f>
        <v>1</v>
      </c>
      <c r="Y2167" t="b">
        <f t="shared" si="4310"/>
        <v>1</v>
      </c>
      <c r="Z2167" t="b">
        <f t="shared" si="4310"/>
        <v>1</v>
      </c>
      <c r="AA2167">
        <f t="shared" ref="AA2167:AC2167" si="4311">IF(X2167=FALSE,1,0)</f>
        <v>0</v>
      </c>
      <c r="AB2167">
        <f t="shared" si="4311"/>
        <v>0</v>
      </c>
      <c r="AC2167">
        <f t="shared" si="4311"/>
        <v>0</v>
      </c>
      <c r="AD2167">
        <f t="shared" si="6"/>
        <v>0</v>
      </c>
      <c r="AE2167">
        <f t="shared" si="7"/>
        <v>0</v>
      </c>
    </row>
    <row r="2168">
      <c r="X2168" t="b">
        <f t="shared" ref="X2168:Z2168" si="4312">ISBLANK(K2168)</f>
        <v>1</v>
      </c>
      <c r="Y2168" t="b">
        <f t="shared" si="4312"/>
        <v>1</v>
      </c>
      <c r="Z2168" t="b">
        <f t="shared" si="4312"/>
        <v>1</v>
      </c>
      <c r="AA2168">
        <f t="shared" ref="AA2168:AC2168" si="4313">IF(X2168=FALSE,1,0)</f>
        <v>0</v>
      </c>
      <c r="AB2168">
        <f t="shared" si="4313"/>
        <v>0</v>
      </c>
      <c r="AC2168">
        <f t="shared" si="4313"/>
        <v>0</v>
      </c>
      <c r="AD2168">
        <f t="shared" si="6"/>
        <v>0</v>
      </c>
      <c r="AE2168">
        <f t="shared" si="7"/>
        <v>0</v>
      </c>
    </row>
    <row r="2169">
      <c r="X2169" t="b">
        <f t="shared" ref="X2169:Z2169" si="4314">ISBLANK(K2169)</f>
        <v>1</v>
      </c>
      <c r="Y2169" t="b">
        <f t="shared" si="4314"/>
        <v>1</v>
      </c>
      <c r="Z2169" t="b">
        <f t="shared" si="4314"/>
        <v>1</v>
      </c>
      <c r="AA2169">
        <f t="shared" ref="AA2169:AC2169" si="4315">IF(X2169=FALSE,1,0)</f>
        <v>0</v>
      </c>
      <c r="AB2169">
        <f t="shared" si="4315"/>
        <v>0</v>
      </c>
      <c r="AC2169">
        <f t="shared" si="4315"/>
        <v>0</v>
      </c>
      <c r="AD2169">
        <f t="shared" si="6"/>
        <v>0</v>
      </c>
      <c r="AE2169">
        <f t="shared" si="7"/>
        <v>0</v>
      </c>
    </row>
    <row r="2170">
      <c r="X2170" t="b">
        <f t="shared" ref="X2170:Z2170" si="4316">ISBLANK(K2170)</f>
        <v>1</v>
      </c>
      <c r="Y2170" t="b">
        <f t="shared" si="4316"/>
        <v>1</v>
      </c>
      <c r="Z2170" t="b">
        <f t="shared" si="4316"/>
        <v>1</v>
      </c>
      <c r="AA2170">
        <f t="shared" ref="AA2170:AC2170" si="4317">IF(X2170=FALSE,1,0)</f>
        <v>0</v>
      </c>
      <c r="AB2170">
        <f t="shared" si="4317"/>
        <v>0</v>
      </c>
      <c r="AC2170">
        <f t="shared" si="4317"/>
        <v>0</v>
      </c>
      <c r="AD2170">
        <f t="shared" si="6"/>
        <v>0</v>
      </c>
      <c r="AE2170">
        <f t="shared" si="7"/>
        <v>0</v>
      </c>
    </row>
    <row r="2171">
      <c r="X2171" t="b">
        <f t="shared" ref="X2171:Z2171" si="4318">ISBLANK(K2171)</f>
        <v>1</v>
      </c>
      <c r="Y2171" t="b">
        <f t="shared" si="4318"/>
        <v>1</v>
      </c>
      <c r="Z2171" t="b">
        <f t="shared" si="4318"/>
        <v>1</v>
      </c>
      <c r="AA2171">
        <f t="shared" ref="AA2171:AC2171" si="4319">IF(X2171=FALSE,1,0)</f>
        <v>0</v>
      </c>
      <c r="AB2171">
        <f t="shared" si="4319"/>
        <v>0</v>
      </c>
      <c r="AC2171">
        <f t="shared" si="4319"/>
        <v>0</v>
      </c>
      <c r="AD2171">
        <f t="shared" si="6"/>
        <v>0</v>
      </c>
      <c r="AE2171">
        <f t="shared" si="7"/>
        <v>0</v>
      </c>
    </row>
    <row r="2172">
      <c r="X2172" t="b">
        <f t="shared" ref="X2172:Z2172" si="4320">ISBLANK(K2172)</f>
        <v>1</v>
      </c>
      <c r="Y2172" t="b">
        <f t="shared" si="4320"/>
        <v>1</v>
      </c>
      <c r="Z2172" t="b">
        <f t="shared" si="4320"/>
        <v>1</v>
      </c>
      <c r="AA2172">
        <f t="shared" ref="AA2172:AC2172" si="4321">IF(X2172=FALSE,1,0)</f>
        <v>0</v>
      </c>
      <c r="AB2172">
        <f t="shared" si="4321"/>
        <v>0</v>
      </c>
      <c r="AC2172">
        <f t="shared" si="4321"/>
        <v>0</v>
      </c>
      <c r="AD2172">
        <f t="shared" si="6"/>
        <v>0</v>
      </c>
      <c r="AE2172">
        <f t="shared" si="7"/>
        <v>0</v>
      </c>
    </row>
    <row r="2173">
      <c r="X2173" t="b">
        <f t="shared" ref="X2173:Z2173" si="4322">ISBLANK(K2173)</f>
        <v>1</v>
      </c>
      <c r="Y2173" t="b">
        <f t="shared" si="4322"/>
        <v>1</v>
      </c>
      <c r="Z2173" t="b">
        <f t="shared" si="4322"/>
        <v>1</v>
      </c>
      <c r="AA2173">
        <f t="shared" ref="AA2173:AC2173" si="4323">IF(X2173=FALSE,1,0)</f>
        <v>0</v>
      </c>
      <c r="AB2173">
        <f t="shared" si="4323"/>
        <v>0</v>
      </c>
      <c r="AC2173">
        <f t="shared" si="4323"/>
        <v>0</v>
      </c>
      <c r="AD2173">
        <f t="shared" si="6"/>
        <v>0</v>
      </c>
      <c r="AE2173">
        <f t="shared" si="7"/>
        <v>0</v>
      </c>
    </row>
    <row r="2174">
      <c r="X2174" t="b">
        <f t="shared" ref="X2174:Z2174" si="4324">ISBLANK(K2174)</f>
        <v>1</v>
      </c>
      <c r="Y2174" t="b">
        <f t="shared" si="4324"/>
        <v>1</v>
      </c>
      <c r="Z2174" t="b">
        <f t="shared" si="4324"/>
        <v>1</v>
      </c>
      <c r="AA2174">
        <f t="shared" ref="AA2174:AC2174" si="4325">IF(X2174=FALSE,1,0)</f>
        <v>0</v>
      </c>
      <c r="AB2174">
        <f t="shared" si="4325"/>
        <v>0</v>
      </c>
      <c r="AC2174">
        <f t="shared" si="4325"/>
        <v>0</v>
      </c>
      <c r="AD2174">
        <f t="shared" si="6"/>
        <v>0</v>
      </c>
      <c r="AE2174">
        <f t="shared" si="7"/>
        <v>0</v>
      </c>
    </row>
    <row r="2175">
      <c r="X2175" t="b">
        <f t="shared" ref="X2175:Z2175" si="4326">ISBLANK(K2175)</f>
        <v>1</v>
      </c>
      <c r="Y2175" t="b">
        <f t="shared" si="4326"/>
        <v>1</v>
      </c>
      <c r="Z2175" t="b">
        <f t="shared" si="4326"/>
        <v>1</v>
      </c>
      <c r="AA2175">
        <f t="shared" ref="AA2175:AC2175" si="4327">IF(X2175=FALSE,1,0)</f>
        <v>0</v>
      </c>
      <c r="AB2175">
        <f t="shared" si="4327"/>
        <v>0</v>
      </c>
      <c r="AC2175">
        <f t="shared" si="4327"/>
        <v>0</v>
      </c>
      <c r="AD2175">
        <f t="shared" si="6"/>
        <v>0</v>
      </c>
      <c r="AE2175">
        <f t="shared" si="7"/>
        <v>0</v>
      </c>
    </row>
    <row r="2176">
      <c r="X2176" t="b">
        <f t="shared" ref="X2176:Z2176" si="4328">ISBLANK(K2176)</f>
        <v>1</v>
      </c>
      <c r="Y2176" t="b">
        <f t="shared" si="4328"/>
        <v>1</v>
      </c>
      <c r="Z2176" t="b">
        <f t="shared" si="4328"/>
        <v>1</v>
      </c>
      <c r="AA2176">
        <f t="shared" ref="AA2176:AC2176" si="4329">IF(X2176=FALSE,1,0)</f>
        <v>0</v>
      </c>
      <c r="AB2176">
        <f t="shared" si="4329"/>
        <v>0</v>
      </c>
      <c r="AC2176">
        <f t="shared" si="4329"/>
        <v>0</v>
      </c>
      <c r="AD2176">
        <f t="shared" si="6"/>
        <v>0</v>
      </c>
      <c r="AE2176">
        <f t="shared" si="7"/>
        <v>0</v>
      </c>
    </row>
    <row r="2177">
      <c r="X2177" t="b">
        <f t="shared" ref="X2177:Z2177" si="4330">ISBLANK(K2177)</f>
        <v>1</v>
      </c>
      <c r="Y2177" t="b">
        <f t="shared" si="4330"/>
        <v>1</v>
      </c>
      <c r="Z2177" t="b">
        <f t="shared" si="4330"/>
        <v>1</v>
      </c>
      <c r="AA2177">
        <f t="shared" ref="AA2177:AC2177" si="4331">IF(X2177=FALSE,1,0)</f>
        <v>0</v>
      </c>
      <c r="AB2177">
        <f t="shared" si="4331"/>
        <v>0</v>
      </c>
      <c r="AC2177">
        <f t="shared" si="4331"/>
        <v>0</v>
      </c>
      <c r="AD2177">
        <f t="shared" si="6"/>
        <v>0</v>
      </c>
      <c r="AE2177">
        <f t="shared" si="7"/>
        <v>0</v>
      </c>
    </row>
    <row r="2178">
      <c r="X2178" t="b">
        <f t="shared" ref="X2178:Z2178" si="4332">ISBLANK(K2178)</f>
        <v>1</v>
      </c>
      <c r="Y2178" t="b">
        <f t="shared" si="4332"/>
        <v>1</v>
      </c>
      <c r="Z2178" t="b">
        <f t="shared" si="4332"/>
        <v>1</v>
      </c>
      <c r="AA2178">
        <f t="shared" ref="AA2178:AC2178" si="4333">IF(X2178=FALSE,1,0)</f>
        <v>0</v>
      </c>
      <c r="AB2178">
        <f t="shared" si="4333"/>
        <v>0</v>
      </c>
      <c r="AC2178">
        <f t="shared" si="4333"/>
        <v>0</v>
      </c>
      <c r="AD2178">
        <f t="shared" si="6"/>
        <v>0</v>
      </c>
      <c r="AE2178">
        <f t="shared" si="7"/>
        <v>0</v>
      </c>
    </row>
    <row r="2179">
      <c r="X2179" t="b">
        <f t="shared" ref="X2179:Z2179" si="4334">ISBLANK(K2179)</f>
        <v>1</v>
      </c>
      <c r="Y2179" t="b">
        <f t="shared" si="4334"/>
        <v>1</v>
      </c>
      <c r="Z2179" t="b">
        <f t="shared" si="4334"/>
        <v>1</v>
      </c>
      <c r="AA2179">
        <f t="shared" ref="AA2179:AC2179" si="4335">IF(X2179=FALSE,1,0)</f>
        <v>0</v>
      </c>
      <c r="AB2179">
        <f t="shared" si="4335"/>
        <v>0</v>
      </c>
      <c r="AC2179">
        <f t="shared" si="4335"/>
        <v>0</v>
      </c>
      <c r="AD2179">
        <f t="shared" si="6"/>
        <v>0</v>
      </c>
      <c r="AE2179">
        <f t="shared" si="7"/>
        <v>0</v>
      </c>
    </row>
    <row r="2180">
      <c r="X2180" t="b">
        <f t="shared" ref="X2180:Z2180" si="4336">ISBLANK(K2180)</f>
        <v>1</v>
      </c>
      <c r="Y2180" t="b">
        <f t="shared" si="4336"/>
        <v>1</v>
      </c>
      <c r="Z2180" t="b">
        <f t="shared" si="4336"/>
        <v>1</v>
      </c>
      <c r="AA2180">
        <f t="shared" ref="AA2180:AC2180" si="4337">IF(X2180=FALSE,1,0)</f>
        <v>0</v>
      </c>
      <c r="AB2180">
        <f t="shared" si="4337"/>
        <v>0</v>
      </c>
      <c r="AC2180">
        <f t="shared" si="4337"/>
        <v>0</v>
      </c>
      <c r="AD2180">
        <f t="shared" si="6"/>
        <v>0</v>
      </c>
      <c r="AE2180">
        <f t="shared" si="7"/>
        <v>0</v>
      </c>
    </row>
    <row r="2181">
      <c r="X2181" t="b">
        <f t="shared" ref="X2181:Z2181" si="4338">ISBLANK(K2181)</f>
        <v>1</v>
      </c>
      <c r="Y2181" t="b">
        <f t="shared" si="4338"/>
        <v>1</v>
      </c>
      <c r="Z2181" t="b">
        <f t="shared" si="4338"/>
        <v>1</v>
      </c>
      <c r="AA2181">
        <f t="shared" ref="AA2181:AC2181" si="4339">IF(X2181=FALSE,1,0)</f>
        <v>0</v>
      </c>
      <c r="AB2181">
        <f t="shared" si="4339"/>
        <v>0</v>
      </c>
      <c r="AC2181">
        <f t="shared" si="4339"/>
        <v>0</v>
      </c>
      <c r="AD2181">
        <f t="shared" si="6"/>
        <v>0</v>
      </c>
      <c r="AE2181">
        <f t="shared" si="7"/>
        <v>0</v>
      </c>
    </row>
    <row r="2182">
      <c r="X2182" t="b">
        <f t="shared" ref="X2182:Z2182" si="4340">ISBLANK(K2182)</f>
        <v>1</v>
      </c>
      <c r="Y2182" t="b">
        <f t="shared" si="4340"/>
        <v>1</v>
      </c>
      <c r="Z2182" t="b">
        <f t="shared" si="4340"/>
        <v>1</v>
      </c>
      <c r="AA2182">
        <f t="shared" ref="AA2182:AC2182" si="4341">IF(X2182=FALSE,1,0)</f>
        <v>0</v>
      </c>
      <c r="AB2182">
        <f t="shared" si="4341"/>
        <v>0</v>
      </c>
      <c r="AC2182">
        <f t="shared" si="4341"/>
        <v>0</v>
      </c>
      <c r="AD2182">
        <f t="shared" si="6"/>
        <v>0</v>
      </c>
      <c r="AE2182">
        <f t="shared" si="7"/>
        <v>0</v>
      </c>
    </row>
    <row r="2183">
      <c r="X2183" t="b">
        <f t="shared" ref="X2183:Z2183" si="4342">ISBLANK(K2183)</f>
        <v>1</v>
      </c>
      <c r="Y2183" t="b">
        <f t="shared" si="4342"/>
        <v>1</v>
      </c>
      <c r="Z2183" t="b">
        <f t="shared" si="4342"/>
        <v>1</v>
      </c>
      <c r="AA2183">
        <f t="shared" ref="AA2183:AC2183" si="4343">IF(X2183=FALSE,1,0)</f>
        <v>0</v>
      </c>
      <c r="AB2183">
        <f t="shared" si="4343"/>
        <v>0</v>
      </c>
      <c r="AC2183">
        <f t="shared" si="4343"/>
        <v>0</v>
      </c>
      <c r="AD2183">
        <f t="shared" si="6"/>
        <v>0</v>
      </c>
      <c r="AE2183">
        <f t="shared" si="7"/>
        <v>0</v>
      </c>
    </row>
    <row r="2184">
      <c r="X2184" t="b">
        <f t="shared" ref="X2184:Z2184" si="4344">ISBLANK(K2184)</f>
        <v>1</v>
      </c>
      <c r="Y2184" t="b">
        <f t="shared" si="4344"/>
        <v>1</v>
      </c>
      <c r="Z2184" t="b">
        <f t="shared" si="4344"/>
        <v>1</v>
      </c>
      <c r="AA2184">
        <f t="shared" ref="AA2184:AC2184" si="4345">IF(X2184=FALSE,1,0)</f>
        <v>0</v>
      </c>
      <c r="AB2184">
        <f t="shared" si="4345"/>
        <v>0</v>
      </c>
      <c r="AC2184">
        <f t="shared" si="4345"/>
        <v>0</v>
      </c>
      <c r="AD2184">
        <f t="shared" si="6"/>
        <v>0</v>
      </c>
      <c r="AE2184">
        <f t="shared" si="7"/>
        <v>0</v>
      </c>
    </row>
    <row r="2185">
      <c r="X2185" t="b">
        <f t="shared" ref="X2185:Z2185" si="4346">ISBLANK(K2185)</f>
        <v>1</v>
      </c>
      <c r="Y2185" t="b">
        <f t="shared" si="4346"/>
        <v>1</v>
      </c>
      <c r="Z2185" t="b">
        <f t="shared" si="4346"/>
        <v>1</v>
      </c>
      <c r="AA2185">
        <f t="shared" ref="AA2185:AC2185" si="4347">IF(X2185=FALSE,1,0)</f>
        <v>0</v>
      </c>
      <c r="AB2185">
        <f t="shared" si="4347"/>
        <v>0</v>
      </c>
      <c r="AC2185">
        <f t="shared" si="4347"/>
        <v>0</v>
      </c>
      <c r="AD2185">
        <f t="shared" si="6"/>
        <v>0</v>
      </c>
      <c r="AE2185">
        <f t="shared" si="7"/>
        <v>0</v>
      </c>
    </row>
    <row r="2186">
      <c r="X2186" t="b">
        <f t="shared" ref="X2186:Z2186" si="4348">ISBLANK(K2186)</f>
        <v>1</v>
      </c>
      <c r="Y2186" t="b">
        <f t="shared" si="4348"/>
        <v>1</v>
      </c>
      <c r="Z2186" t="b">
        <f t="shared" si="4348"/>
        <v>1</v>
      </c>
      <c r="AA2186">
        <f t="shared" ref="AA2186:AC2186" si="4349">IF(X2186=FALSE,1,0)</f>
        <v>0</v>
      </c>
      <c r="AB2186">
        <f t="shared" si="4349"/>
        <v>0</v>
      </c>
      <c r="AC2186">
        <f t="shared" si="4349"/>
        <v>0</v>
      </c>
      <c r="AD2186">
        <f t="shared" si="6"/>
        <v>0</v>
      </c>
      <c r="AE2186">
        <f t="shared" si="7"/>
        <v>0</v>
      </c>
    </row>
    <row r="2187">
      <c r="X2187" t="b">
        <f t="shared" ref="X2187:Z2187" si="4350">ISBLANK(K2187)</f>
        <v>1</v>
      </c>
      <c r="Y2187" t="b">
        <f t="shared" si="4350"/>
        <v>1</v>
      </c>
      <c r="Z2187" t="b">
        <f t="shared" si="4350"/>
        <v>1</v>
      </c>
      <c r="AA2187">
        <f t="shared" ref="AA2187:AC2187" si="4351">IF(X2187=FALSE,1,0)</f>
        <v>0</v>
      </c>
      <c r="AB2187">
        <f t="shared" si="4351"/>
        <v>0</v>
      </c>
      <c r="AC2187">
        <f t="shared" si="4351"/>
        <v>0</v>
      </c>
      <c r="AD2187">
        <f t="shared" si="6"/>
        <v>0</v>
      </c>
      <c r="AE2187">
        <f t="shared" si="7"/>
        <v>0</v>
      </c>
    </row>
    <row r="2188">
      <c r="X2188" t="b">
        <f t="shared" ref="X2188:Z2188" si="4352">ISBLANK(K2188)</f>
        <v>1</v>
      </c>
      <c r="Y2188" t="b">
        <f t="shared" si="4352"/>
        <v>1</v>
      </c>
      <c r="Z2188" t="b">
        <f t="shared" si="4352"/>
        <v>1</v>
      </c>
      <c r="AA2188">
        <f t="shared" ref="AA2188:AC2188" si="4353">IF(X2188=FALSE,1,0)</f>
        <v>0</v>
      </c>
      <c r="AB2188">
        <f t="shared" si="4353"/>
        <v>0</v>
      </c>
      <c r="AC2188">
        <f t="shared" si="4353"/>
        <v>0</v>
      </c>
      <c r="AD2188">
        <f t="shared" si="6"/>
        <v>0</v>
      </c>
      <c r="AE2188">
        <f t="shared" si="7"/>
        <v>0</v>
      </c>
    </row>
    <row r="2189">
      <c r="X2189" t="b">
        <f t="shared" ref="X2189:Z2189" si="4354">ISBLANK(K2189)</f>
        <v>1</v>
      </c>
      <c r="Y2189" t="b">
        <f t="shared" si="4354"/>
        <v>1</v>
      </c>
      <c r="Z2189" t="b">
        <f t="shared" si="4354"/>
        <v>1</v>
      </c>
      <c r="AA2189">
        <f t="shared" ref="AA2189:AC2189" si="4355">IF(X2189=FALSE,1,0)</f>
        <v>0</v>
      </c>
      <c r="AB2189">
        <f t="shared" si="4355"/>
        <v>0</v>
      </c>
      <c r="AC2189">
        <f t="shared" si="4355"/>
        <v>0</v>
      </c>
      <c r="AD2189">
        <f t="shared" si="6"/>
        <v>0</v>
      </c>
      <c r="AE2189">
        <f t="shared" si="7"/>
        <v>0</v>
      </c>
    </row>
    <row r="2190">
      <c r="X2190" t="b">
        <f t="shared" ref="X2190:Z2190" si="4356">ISBLANK(K2190)</f>
        <v>1</v>
      </c>
      <c r="Y2190" t="b">
        <f t="shared" si="4356"/>
        <v>1</v>
      </c>
      <c r="Z2190" t="b">
        <f t="shared" si="4356"/>
        <v>1</v>
      </c>
      <c r="AA2190">
        <f t="shared" ref="AA2190:AC2190" si="4357">IF(X2190=FALSE,1,0)</f>
        <v>0</v>
      </c>
      <c r="AB2190">
        <f t="shared" si="4357"/>
        <v>0</v>
      </c>
      <c r="AC2190">
        <f t="shared" si="4357"/>
        <v>0</v>
      </c>
      <c r="AD2190">
        <f t="shared" si="6"/>
        <v>0</v>
      </c>
      <c r="AE2190">
        <f t="shared" si="7"/>
        <v>0</v>
      </c>
    </row>
    <row r="2191">
      <c r="X2191" t="b">
        <f t="shared" ref="X2191:Z2191" si="4358">ISBLANK(K2191)</f>
        <v>1</v>
      </c>
      <c r="Y2191" t="b">
        <f t="shared" si="4358"/>
        <v>1</v>
      </c>
      <c r="Z2191" t="b">
        <f t="shared" si="4358"/>
        <v>1</v>
      </c>
      <c r="AA2191">
        <f t="shared" ref="AA2191:AC2191" si="4359">IF(X2191=FALSE,1,0)</f>
        <v>0</v>
      </c>
      <c r="AB2191">
        <f t="shared" si="4359"/>
        <v>0</v>
      </c>
      <c r="AC2191">
        <f t="shared" si="4359"/>
        <v>0</v>
      </c>
      <c r="AD2191">
        <f t="shared" si="6"/>
        <v>0</v>
      </c>
      <c r="AE2191">
        <f t="shared" si="7"/>
        <v>0</v>
      </c>
    </row>
    <row r="2192">
      <c r="X2192" t="b">
        <f t="shared" ref="X2192:Z2192" si="4360">ISBLANK(K2192)</f>
        <v>1</v>
      </c>
      <c r="Y2192" t="b">
        <f t="shared" si="4360"/>
        <v>1</v>
      </c>
      <c r="Z2192" t="b">
        <f t="shared" si="4360"/>
        <v>1</v>
      </c>
      <c r="AA2192">
        <f t="shared" ref="AA2192:AC2192" si="4361">IF(X2192=FALSE,1,0)</f>
        <v>0</v>
      </c>
      <c r="AB2192">
        <f t="shared" si="4361"/>
        <v>0</v>
      </c>
      <c r="AC2192">
        <f t="shared" si="4361"/>
        <v>0</v>
      </c>
      <c r="AD2192">
        <f t="shared" si="6"/>
        <v>0</v>
      </c>
      <c r="AE2192">
        <f t="shared" si="7"/>
        <v>0</v>
      </c>
    </row>
    <row r="2193">
      <c r="X2193" t="b">
        <f t="shared" ref="X2193:Z2193" si="4362">ISBLANK(K2193)</f>
        <v>1</v>
      </c>
      <c r="Y2193" t="b">
        <f t="shared" si="4362"/>
        <v>1</v>
      </c>
      <c r="Z2193" t="b">
        <f t="shared" si="4362"/>
        <v>1</v>
      </c>
      <c r="AA2193">
        <f t="shared" ref="AA2193:AC2193" si="4363">IF(X2193=FALSE,1,0)</f>
        <v>0</v>
      </c>
      <c r="AB2193">
        <f t="shared" si="4363"/>
        <v>0</v>
      </c>
      <c r="AC2193">
        <f t="shared" si="4363"/>
        <v>0</v>
      </c>
      <c r="AD2193">
        <f t="shared" si="6"/>
        <v>0</v>
      </c>
      <c r="AE2193">
        <f t="shared" si="7"/>
        <v>0</v>
      </c>
    </row>
    <row r="2194">
      <c r="X2194" t="b">
        <f t="shared" ref="X2194:Z2194" si="4364">ISBLANK(K2194)</f>
        <v>1</v>
      </c>
      <c r="Y2194" t="b">
        <f t="shared" si="4364"/>
        <v>1</v>
      </c>
      <c r="Z2194" t="b">
        <f t="shared" si="4364"/>
        <v>1</v>
      </c>
      <c r="AA2194">
        <f t="shared" ref="AA2194:AC2194" si="4365">IF(X2194=FALSE,1,0)</f>
        <v>0</v>
      </c>
      <c r="AB2194">
        <f t="shared" si="4365"/>
        <v>0</v>
      </c>
      <c r="AC2194">
        <f t="shared" si="4365"/>
        <v>0</v>
      </c>
      <c r="AD2194">
        <f t="shared" si="6"/>
        <v>0</v>
      </c>
      <c r="AE2194">
        <f t="shared" si="7"/>
        <v>0</v>
      </c>
    </row>
    <row r="2195">
      <c r="X2195" t="b">
        <f t="shared" ref="X2195:Z2195" si="4366">ISBLANK(K2195)</f>
        <v>1</v>
      </c>
      <c r="Y2195" t="b">
        <f t="shared" si="4366"/>
        <v>1</v>
      </c>
      <c r="Z2195" t="b">
        <f t="shared" si="4366"/>
        <v>1</v>
      </c>
      <c r="AA2195">
        <f t="shared" ref="AA2195:AC2195" si="4367">IF(X2195=FALSE,1,0)</f>
        <v>0</v>
      </c>
      <c r="AB2195">
        <f t="shared" si="4367"/>
        <v>0</v>
      </c>
      <c r="AC2195">
        <f t="shared" si="4367"/>
        <v>0</v>
      </c>
      <c r="AD2195">
        <f t="shared" si="6"/>
        <v>0</v>
      </c>
      <c r="AE2195">
        <f t="shared" si="7"/>
        <v>0</v>
      </c>
    </row>
    <row r="2196">
      <c r="X2196" t="b">
        <f t="shared" ref="X2196:Z2196" si="4368">ISBLANK(K2196)</f>
        <v>1</v>
      </c>
      <c r="Y2196" t="b">
        <f t="shared" si="4368"/>
        <v>1</v>
      </c>
      <c r="Z2196" t="b">
        <f t="shared" si="4368"/>
        <v>1</v>
      </c>
      <c r="AA2196">
        <f t="shared" ref="AA2196:AC2196" si="4369">IF(X2196=FALSE,1,0)</f>
        <v>0</v>
      </c>
      <c r="AB2196">
        <f t="shared" si="4369"/>
        <v>0</v>
      </c>
      <c r="AC2196">
        <f t="shared" si="4369"/>
        <v>0</v>
      </c>
      <c r="AD2196">
        <f t="shared" si="6"/>
        <v>0</v>
      </c>
      <c r="AE2196">
        <f t="shared" si="7"/>
        <v>0</v>
      </c>
    </row>
    <row r="2197">
      <c r="X2197" t="b">
        <f t="shared" ref="X2197:Z2197" si="4370">ISBLANK(K2197)</f>
        <v>1</v>
      </c>
      <c r="Y2197" t="b">
        <f t="shared" si="4370"/>
        <v>1</v>
      </c>
      <c r="Z2197" t="b">
        <f t="shared" si="4370"/>
        <v>1</v>
      </c>
      <c r="AA2197">
        <f t="shared" ref="AA2197:AC2197" si="4371">IF(X2197=FALSE,1,0)</f>
        <v>0</v>
      </c>
      <c r="AB2197">
        <f t="shared" si="4371"/>
        <v>0</v>
      </c>
      <c r="AC2197">
        <f t="shared" si="4371"/>
        <v>0</v>
      </c>
      <c r="AD2197">
        <f t="shared" si="6"/>
        <v>0</v>
      </c>
      <c r="AE2197">
        <f t="shared" si="7"/>
        <v>0</v>
      </c>
    </row>
    <row r="2198">
      <c r="X2198" t="b">
        <f t="shared" ref="X2198:Z2198" si="4372">ISBLANK(K2198)</f>
        <v>1</v>
      </c>
      <c r="Y2198" t="b">
        <f t="shared" si="4372"/>
        <v>1</v>
      </c>
      <c r="Z2198" t="b">
        <f t="shared" si="4372"/>
        <v>1</v>
      </c>
      <c r="AA2198">
        <f t="shared" ref="AA2198:AC2198" si="4373">IF(X2198=FALSE,1,0)</f>
        <v>0</v>
      </c>
      <c r="AB2198">
        <f t="shared" si="4373"/>
        <v>0</v>
      </c>
      <c r="AC2198">
        <f t="shared" si="4373"/>
        <v>0</v>
      </c>
      <c r="AD2198">
        <f t="shared" si="6"/>
        <v>0</v>
      </c>
      <c r="AE2198">
        <f t="shared" si="7"/>
        <v>0</v>
      </c>
    </row>
    <row r="2199">
      <c r="X2199" t="b">
        <f t="shared" ref="X2199:Z2199" si="4374">ISBLANK(K2199)</f>
        <v>1</v>
      </c>
      <c r="Y2199" t="b">
        <f t="shared" si="4374"/>
        <v>1</v>
      </c>
      <c r="Z2199" t="b">
        <f t="shared" si="4374"/>
        <v>1</v>
      </c>
      <c r="AA2199">
        <f t="shared" ref="AA2199:AC2199" si="4375">IF(X2199=FALSE,1,0)</f>
        <v>0</v>
      </c>
      <c r="AB2199">
        <f t="shared" si="4375"/>
        <v>0</v>
      </c>
      <c r="AC2199">
        <f t="shared" si="4375"/>
        <v>0</v>
      </c>
      <c r="AD2199">
        <f t="shared" si="6"/>
        <v>0</v>
      </c>
      <c r="AE2199">
        <f t="shared" si="7"/>
        <v>0</v>
      </c>
    </row>
    <row r="2200">
      <c r="X2200" t="b">
        <f t="shared" ref="X2200:Z2200" si="4376">ISBLANK(K2200)</f>
        <v>1</v>
      </c>
      <c r="Y2200" t="b">
        <f t="shared" si="4376"/>
        <v>1</v>
      </c>
      <c r="Z2200" t="b">
        <f t="shared" si="4376"/>
        <v>1</v>
      </c>
      <c r="AA2200">
        <f t="shared" ref="AA2200:AC2200" si="4377">IF(X2200=FALSE,1,0)</f>
        <v>0</v>
      </c>
      <c r="AB2200">
        <f t="shared" si="4377"/>
        <v>0</v>
      </c>
      <c r="AC2200">
        <f t="shared" si="4377"/>
        <v>0</v>
      </c>
      <c r="AD2200">
        <f t="shared" si="6"/>
        <v>0</v>
      </c>
      <c r="AE2200">
        <f t="shared" si="7"/>
        <v>0</v>
      </c>
    </row>
    <row r="2201">
      <c r="X2201" t="b">
        <f t="shared" ref="X2201:Z2201" si="4378">ISBLANK(K2201)</f>
        <v>1</v>
      </c>
      <c r="Y2201" t="b">
        <f t="shared" si="4378"/>
        <v>1</v>
      </c>
      <c r="Z2201" t="b">
        <f t="shared" si="4378"/>
        <v>1</v>
      </c>
      <c r="AA2201">
        <f t="shared" ref="AA2201:AC2201" si="4379">IF(X2201=FALSE,1,0)</f>
        <v>0</v>
      </c>
      <c r="AB2201">
        <f t="shared" si="4379"/>
        <v>0</v>
      </c>
      <c r="AC2201">
        <f t="shared" si="4379"/>
        <v>0</v>
      </c>
      <c r="AD2201">
        <f t="shared" si="6"/>
        <v>0</v>
      </c>
      <c r="AE2201">
        <f t="shared" si="7"/>
        <v>0</v>
      </c>
    </row>
    <row r="2202">
      <c r="X2202" t="b">
        <f t="shared" ref="X2202:Z2202" si="4380">ISBLANK(K2202)</f>
        <v>1</v>
      </c>
      <c r="Y2202" t="b">
        <f t="shared" si="4380"/>
        <v>1</v>
      </c>
      <c r="Z2202" t="b">
        <f t="shared" si="4380"/>
        <v>1</v>
      </c>
      <c r="AA2202">
        <f t="shared" ref="AA2202:AC2202" si="4381">IF(X2202=FALSE,1,0)</f>
        <v>0</v>
      </c>
      <c r="AB2202">
        <f t="shared" si="4381"/>
        <v>0</v>
      </c>
      <c r="AC2202">
        <f t="shared" si="4381"/>
        <v>0</v>
      </c>
      <c r="AD2202">
        <f t="shared" si="6"/>
        <v>0</v>
      </c>
      <c r="AE2202">
        <f t="shared" si="7"/>
        <v>0</v>
      </c>
    </row>
    <row r="2203">
      <c r="X2203" t="b">
        <f t="shared" ref="X2203:Z2203" si="4382">ISBLANK(K2203)</f>
        <v>1</v>
      </c>
      <c r="Y2203" t="b">
        <f t="shared" si="4382"/>
        <v>1</v>
      </c>
      <c r="Z2203" t="b">
        <f t="shared" si="4382"/>
        <v>1</v>
      </c>
      <c r="AA2203">
        <f t="shared" ref="AA2203:AC2203" si="4383">IF(X2203=FALSE,1,0)</f>
        <v>0</v>
      </c>
      <c r="AB2203">
        <f t="shared" si="4383"/>
        <v>0</v>
      </c>
      <c r="AC2203">
        <f t="shared" si="4383"/>
        <v>0</v>
      </c>
      <c r="AD2203">
        <f t="shared" si="6"/>
        <v>0</v>
      </c>
      <c r="AE2203">
        <f t="shared" si="7"/>
        <v>0</v>
      </c>
    </row>
    <row r="2204">
      <c r="X2204" t="b">
        <f t="shared" ref="X2204:Z2204" si="4384">ISBLANK(K2204)</f>
        <v>1</v>
      </c>
      <c r="Y2204" t="b">
        <f t="shared" si="4384"/>
        <v>1</v>
      </c>
      <c r="Z2204" t="b">
        <f t="shared" si="4384"/>
        <v>1</v>
      </c>
      <c r="AA2204">
        <f t="shared" ref="AA2204:AC2204" si="4385">IF(X2204=FALSE,1,0)</f>
        <v>0</v>
      </c>
      <c r="AB2204">
        <f t="shared" si="4385"/>
        <v>0</v>
      </c>
      <c r="AC2204">
        <f t="shared" si="4385"/>
        <v>0</v>
      </c>
      <c r="AD2204">
        <f t="shared" si="6"/>
        <v>0</v>
      </c>
      <c r="AE2204">
        <f t="shared" si="7"/>
        <v>0</v>
      </c>
    </row>
    <row r="2205">
      <c r="X2205" t="b">
        <f t="shared" ref="X2205:Z2205" si="4386">ISBLANK(K2205)</f>
        <v>1</v>
      </c>
      <c r="Y2205" t="b">
        <f t="shared" si="4386"/>
        <v>1</v>
      </c>
      <c r="Z2205" t="b">
        <f t="shared" si="4386"/>
        <v>1</v>
      </c>
      <c r="AA2205">
        <f t="shared" ref="AA2205:AC2205" si="4387">IF(X2205=FALSE,1,0)</f>
        <v>0</v>
      </c>
      <c r="AB2205">
        <f t="shared" si="4387"/>
        <v>0</v>
      </c>
      <c r="AC2205">
        <f t="shared" si="4387"/>
        <v>0</v>
      </c>
      <c r="AD2205">
        <f t="shared" si="6"/>
        <v>0</v>
      </c>
      <c r="AE2205">
        <f t="shared" si="7"/>
        <v>0</v>
      </c>
    </row>
    <row r="2206">
      <c r="X2206" t="b">
        <f t="shared" ref="X2206:Z2206" si="4388">ISBLANK(K2206)</f>
        <v>1</v>
      </c>
      <c r="Y2206" t="b">
        <f t="shared" si="4388"/>
        <v>1</v>
      </c>
      <c r="Z2206" t="b">
        <f t="shared" si="4388"/>
        <v>1</v>
      </c>
      <c r="AA2206">
        <f t="shared" ref="AA2206:AC2206" si="4389">IF(X2206=FALSE,1,0)</f>
        <v>0</v>
      </c>
      <c r="AB2206">
        <f t="shared" si="4389"/>
        <v>0</v>
      </c>
      <c r="AC2206">
        <f t="shared" si="4389"/>
        <v>0</v>
      </c>
      <c r="AD2206">
        <f t="shared" si="6"/>
        <v>0</v>
      </c>
      <c r="AE2206">
        <f t="shared" si="7"/>
        <v>0</v>
      </c>
    </row>
    <row r="2207">
      <c r="X2207" t="b">
        <f t="shared" ref="X2207:Z2207" si="4390">ISBLANK(K2207)</f>
        <v>1</v>
      </c>
      <c r="Y2207" t="b">
        <f t="shared" si="4390"/>
        <v>1</v>
      </c>
      <c r="Z2207" t="b">
        <f t="shared" si="4390"/>
        <v>1</v>
      </c>
      <c r="AA2207">
        <f t="shared" ref="AA2207:AC2207" si="4391">IF(X2207=FALSE,1,0)</f>
        <v>0</v>
      </c>
      <c r="AB2207">
        <f t="shared" si="4391"/>
        <v>0</v>
      </c>
      <c r="AC2207">
        <f t="shared" si="4391"/>
        <v>0</v>
      </c>
      <c r="AD2207">
        <f t="shared" si="6"/>
        <v>0</v>
      </c>
      <c r="AE2207">
        <f t="shared" si="7"/>
        <v>0</v>
      </c>
    </row>
    <row r="2208">
      <c r="X2208" t="b">
        <f t="shared" ref="X2208:Z2208" si="4392">ISBLANK(K2208)</f>
        <v>1</v>
      </c>
      <c r="Y2208" t="b">
        <f t="shared" si="4392"/>
        <v>1</v>
      </c>
      <c r="Z2208" t="b">
        <f t="shared" si="4392"/>
        <v>1</v>
      </c>
      <c r="AA2208">
        <f t="shared" ref="AA2208:AC2208" si="4393">IF(X2208=FALSE,1,0)</f>
        <v>0</v>
      </c>
      <c r="AB2208">
        <f t="shared" si="4393"/>
        <v>0</v>
      </c>
      <c r="AC2208">
        <f t="shared" si="4393"/>
        <v>0</v>
      </c>
      <c r="AD2208">
        <f t="shared" si="6"/>
        <v>0</v>
      </c>
      <c r="AE2208">
        <f t="shared" si="7"/>
        <v>0</v>
      </c>
    </row>
    <row r="2209">
      <c r="X2209" t="b">
        <f t="shared" ref="X2209:Z2209" si="4394">ISBLANK(K2209)</f>
        <v>1</v>
      </c>
      <c r="Y2209" t="b">
        <f t="shared" si="4394"/>
        <v>1</v>
      </c>
      <c r="Z2209" t="b">
        <f t="shared" si="4394"/>
        <v>1</v>
      </c>
      <c r="AA2209">
        <f t="shared" ref="AA2209:AC2209" si="4395">IF(X2209=FALSE,1,0)</f>
        <v>0</v>
      </c>
      <c r="AB2209">
        <f t="shared" si="4395"/>
        <v>0</v>
      </c>
      <c r="AC2209">
        <f t="shared" si="4395"/>
        <v>0</v>
      </c>
      <c r="AD2209">
        <f t="shared" si="6"/>
        <v>0</v>
      </c>
      <c r="AE2209">
        <f t="shared" si="7"/>
        <v>0</v>
      </c>
    </row>
    <row r="2210">
      <c r="X2210" t="b">
        <f t="shared" ref="X2210:Z2210" si="4396">ISBLANK(K2210)</f>
        <v>1</v>
      </c>
      <c r="Y2210" t="b">
        <f t="shared" si="4396"/>
        <v>1</v>
      </c>
      <c r="Z2210" t="b">
        <f t="shared" si="4396"/>
        <v>1</v>
      </c>
      <c r="AA2210">
        <f t="shared" ref="AA2210:AC2210" si="4397">IF(X2210=FALSE,1,0)</f>
        <v>0</v>
      </c>
      <c r="AB2210">
        <f t="shared" si="4397"/>
        <v>0</v>
      </c>
      <c r="AC2210">
        <f t="shared" si="4397"/>
        <v>0</v>
      </c>
      <c r="AD2210">
        <f t="shared" si="6"/>
        <v>0</v>
      </c>
      <c r="AE2210">
        <f t="shared" si="7"/>
        <v>0</v>
      </c>
    </row>
    <row r="2211">
      <c r="X2211" t="b">
        <f t="shared" ref="X2211:Z2211" si="4398">ISBLANK(K2211)</f>
        <v>1</v>
      </c>
      <c r="Y2211" t="b">
        <f t="shared" si="4398"/>
        <v>1</v>
      </c>
      <c r="Z2211" t="b">
        <f t="shared" si="4398"/>
        <v>1</v>
      </c>
      <c r="AA2211">
        <f t="shared" ref="AA2211:AC2211" si="4399">IF(X2211=FALSE,1,0)</f>
        <v>0</v>
      </c>
      <c r="AB2211">
        <f t="shared" si="4399"/>
        <v>0</v>
      </c>
      <c r="AC2211">
        <f t="shared" si="4399"/>
        <v>0</v>
      </c>
      <c r="AD2211">
        <f t="shared" si="6"/>
        <v>0</v>
      </c>
      <c r="AE2211">
        <f t="shared" si="7"/>
        <v>0</v>
      </c>
    </row>
    <row r="2212">
      <c r="X2212" t="b">
        <f t="shared" ref="X2212:Z2212" si="4400">ISBLANK(K2212)</f>
        <v>1</v>
      </c>
      <c r="Y2212" t="b">
        <f t="shared" si="4400"/>
        <v>1</v>
      </c>
      <c r="Z2212" t="b">
        <f t="shared" si="4400"/>
        <v>1</v>
      </c>
      <c r="AA2212">
        <f t="shared" ref="AA2212:AC2212" si="4401">IF(X2212=FALSE,1,0)</f>
        <v>0</v>
      </c>
      <c r="AB2212">
        <f t="shared" si="4401"/>
        <v>0</v>
      </c>
      <c r="AC2212">
        <f t="shared" si="4401"/>
        <v>0</v>
      </c>
      <c r="AD2212">
        <f t="shared" si="6"/>
        <v>0</v>
      </c>
      <c r="AE2212">
        <f t="shared" si="7"/>
        <v>0</v>
      </c>
    </row>
    <row r="2213">
      <c r="X2213" t="b">
        <f t="shared" ref="X2213:Z2213" si="4402">ISBLANK(K2213)</f>
        <v>1</v>
      </c>
      <c r="Y2213" t="b">
        <f t="shared" si="4402"/>
        <v>1</v>
      </c>
      <c r="Z2213" t="b">
        <f t="shared" si="4402"/>
        <v>1</v>
      </c>
      <c r="AA2213">
        <f t="shared" ref="AA2213:AC2213" si="4403">IF(X2213=FALSE,1,0)</f>
        <v>0</v>
      </c>
      <c r="AB2213">
        <f t="shared" si="4403"/>
        <v>0</v>
      </c>
      <c r="AC2213">
        <f t="shared" si="4403"/>
        <v>0</v>
      </c>
      <c r="AD2213">
        <f t="shared" si="6"/>
        <v>0</v>
      </c>
      <c r="AE2213">
        <f t="shared" si="7"/>
        <v>0</v>
      </c>
    </row>
    <row r="2214">
      <c r="X2214" t="b">
        <f t="shared" ref="X2214:Z2214" si="4404">ISBLANK(K2214)</f>
        <v>1</v>
      </c>
      <c r="Y2214" t="b">
        <f t="shared" si="4404"/>
        <v>1</v>
      </c>
      <c r="Z2214" t="b">
        <f t="shared" si="4404"/>
        <v>1</v>
      </c>
      <c r="AA2214">
        <f t="shared" ref="AA2214:AC2214" si="4405">IF(X2214=FALSE,1,0)</f>
        <v>0</v>
      </c>
      <c r="AB2214">
        <f t="shared" si="4405"/>
        <v>0</v>
      </c>
      <c r="AC2214">
        <f t="shared" si="4405"/>
        <v>0</v>
      </c>
      <c r="AD2214">
        <f t="shared" si="6"/>
        <v>0</v>
      </c>
      <c r="AE2214">
        <f t="shared" si="7"/>
        <v>0</v>
      </c>
    </row>
    <row r="2215">
      <c r="X2215" t="b">
        <f t="shared" ref="X2215:Z2215" si="4406">ISBLANK(K2215)</f>
        <v>1</v>
      </c>
      <c r="Y2215" t="b">
        <f t="shared" si="4406"/>
        <v>1</v>
      </c>
      <c r="Z2215" t="b">
        <f t="shared" si="4406"/>
        <v>1</v>
      </c>
      <c r="AA2215">
        <f t="shared" ref="AA2215:AC2215" si="4407">IF(X2215=FALSE,1,0)</f>
        <v>0</v>
      </c>
      <c r="AB2215">
        <f t="shared" si="4407"/>
        <v>0</v>
      </c>
      <c r="AC2215">
        <f t="shared" si="4407"/>
        <v>0</v>
      </c>
      <c r="AD2215">
        <f t="shared" si="6"/>
        <v>0</v>
      </c>
      <c r="AE2215">
        <f t="shared" si="7"/>
        <v>0</v>
      </c>
    </row>
    <row r="2216">
      <c r="X2216" t="b">
        <f t="shared" ref="X2216:Z2216" si="4408">ISBLANK(K2216)</f>
        <v>1</v>
      </c>
      <c r="Y2216" t="b">
        <f t="shared" si="4408"/>
        <v>1</v>
      </c>
      <c r="Z2216" t="b">
        <f t="shared" si="4408"/>
        <v>1</v>
      </c>
      <c r="AA2216">
        <f t="shared" ref="AA2216:AC2216" si="4409">IF(X2216=FALSE,1,0)</f>
        <v>0</v>
      </c>
      <c r="AB2216">
        <f t="shared" si="4409"/>
        <v>0</v>
      </c>
      <c r="AC2216">
        <f t="shared" si="4409"/>
        <v>0</v>
      </c>
      <c r="AD2216">
        <f t="shared" si="6"/>
        <v>0</v>
      </c>
      <c r="AE2216">
        <f t="shared" si="7"/>
        <v>0</v>
      </c>
    </row>
    <row r="2217">
      <c r="X2217" t="b">
        <f t="shared" ref="X2217:Z2217" si="4410">ISBLANK(K2217)</f>
        <v>1</v>
      </c>
      <c r="Y2217" t="b">
        <f t="shared" si="4410"/>
        <v>1</v>
      </c>
      <c r="Z2217" t="b">
        <f t="shared" si="4410"/>
        <v>1</v>
      </c>
      <c r="AA2217">
        <f t="shared" ref="AA2217:AC2217" si="4411">IF(X2217=FALSE,1,0)</f>
        <v>0</v>
      </c>
      <c r="AB2217">
        <f t="shared" si="4411"/>
        <v>0</v>
      </c>
      <c r="AC2217">
        <f t="shared" si="4411"/>
        <v>0</v>
      </c>
      <c r="AD2217">
        <f t="shared" si="6"/>
        <v>0</v>
      </c>
      <c r="AE2217">
        <f t="shared" si="7"/>
        <v>0</v>
      </c>
    </row>
    <row r="2218">
      <c r="X2218" t="b">
        <f t="shared" ref="X2218:Z2218" si="4412">ISBLANK(K2218)</f>
        <v>1</v>
      </c>
      <c r="Y2218" t="b">
        <f t="shared" si="4412"/>
        <v>1</v>
      </c>
      <c r="Z2218" t="b">
        <f t="shared" si="4412"/>
        <v>1</v>
      </c>
      <c r="AA2218">
        <f t="shared" ref="AA2218:AC2218" si="4413">IF(X2218=FALSE,1,0)</f>
        <v>0</v>
      </c>
      <c r="AB2218">
        <f t="shared" si="4413"/>
        <v>0</v>
      </c>
      <c r="AC2218">
        <f t="shared" si="4413"/>
        <v>0</v>
      </c>
      <c r="AD2218">
        <f t="shared" si="6"/>
        <v>0</v>
      </c>
      <c r="AE2218">
        <f t="shared" si="7"/>
        <v>0</v>
      </c>
    </row>
    <row r="2219">
      <c r="X2219" t="b">
        <f t="shared" ref="X2219:Z2219" si="4414">ISBLANK(K2219)</f>
        <v>1</v>
      </c>
      <c r="Y2219" t="b">
        <f t="shared" si="4414"/>
        <v>1</v>
      </c>
      <c r="Z2219" t="b">
        <f t="shared" si="4414"/>
        <v>1</v>
      </c>
      <c r="AA2219">
        <f t="shared" ref="AA2219:AC2219" si="4415">IF(X2219=FALSE,1,0)</f>
        <v>0</v>
      </c>
      <c r="AB2219">
        <f t="shared" si="4415"/>
        <v>0</v>
      </c>
      <c r="AC2219">
        <f t="shared" si="4415"/>
        <v>0</v>
      </c>
      <c r="AD2219">
        <f t="shared" si="6"/>
        <v>0</v>
      </c>
      <c r="AE2219">
        <f t="shared" si="7"/>
        <v>0</v>
      </c>
    </row>
    <row r="2220">
      <c r="X2220" t="b">
        <f t="shared" ref="X2220:Z2220" si="4416">ISBLANK(K2220)</f>
        <v>1</v>
      </c>
      <c r="Y2220" t="b">
        <f t="shared" si="4416"/>
        <v>1</v>
      </c>
      <c r="Z2220" t="b">
        <f t="shared" si="4416"/>
        <v>1</v>
      </c>
      <c r="AA2220">
        <f t="shared" ref="AA2220:AC2220" si="4417">IF(X2220=FALSE,1,0)</f>
        <v>0</v>
      </c>
      <c r="AB2220">
        <f t="shared" si="4417"/>
        <v>0</v>
      </c>
      <c r="AC2220">
        <f t="shared" si="4417"/>
        <v>0</v>
      </c>
      <c r="AD2220">
        <f t="shared" si="6"/>
        <v>0</v>
      </c>
      <c r="AE2220">
        <f t="shared" si="7"/>
        <v>0</v>
      </c>
    </row>
    <row r="2221">
      <c r="X2221" t="b">
        <f t="shared" ref="X2221:Z2221" si="4418">ISBLANK(K2221)</f>
        <v>1</v>
      </c>
      <c r="Y2221" t="b">
        <f t="shared" si="4418"/>
        <v>1</v>
      </c>
      <c r="Z2221" t="b">
        <f t="shared" si="4418"/>
        <v>1</v>
      </c>
      <c r="AA2221">
        <f t="shared" ref="AA2221:AC2221" si="4419">IF(X2221=FALSE,1,0)</f>
        <v>0</v>
      </c>
      <c r="AB2221">
        <f t="shared" si="4419"/>
        <v>0</v>
      </c>
      <c r="AC2221">
        <f t="shared" si="4419"/>
        <v>0</v>
      </c>
      <c r="AD2221">
        <f t="shared" si="6"/>
        <v>0</v>
      </c>
      <c r="AE2221">
        <f t="shared" si="7"/>
        <v>0</v>
      </c>
    </row>
    <row r="2222">
      <c r="X2222" t="b">
        <f t="shared" ref="X2222:Z2222" si="4420">ISBLANK(K2222)</f>
        <v>1</v>
      </c>
      <c r="Y2222" t="b">
        <f t="shared" si="4420"/>
        <v>1</v>
      </c>
      <c r="Z2222" t="b">
        <f t="shared" si="4420"/>
        <v>1</v>
      </c>
      <c r="AA2222">
        <f t="shared" ref="AA2222:AC2222" si="4421">IF(X2222=FALSE,1,0)</f>
        <v>0</v>
      </c>
      <c r="AB2222">
        <f t="shared" si="4421"/>
        <v>0</v>
      </c>
      <c r="AC2222">
        <f t="shared" si="4421"/>
        <v>0</v>
      </c>
      <c r="AD2222">
        <f t="shared" si="6"/>
        <v>0</v>
      </c>
      <c r="AE2222">
        <f t="shared" si="7"/>
        <v>0</v>
      </c>
    </row>
    <row r="2223">
      <c r="X2223" t="b">
        <f t="shared" ref="X2223:Z2223" si="4422">ISBLANK(K2223)</f>
        <v>1</v>
      </c>
      <c r="Y2223" t="b">
        <f t="shared" si="4422"/>
        <v>1</v>
      </c>
      <c r="Z2223" t="b">
        <f t="shared" si="4422"/>
        <v>1</v>
      </c>
      <c r="AA2223">
        <f t="shared" ref="AA2223:AC2223" si="4423">IF(X2223=FALSE,1,0)</f>
        <v>0</v>
      </c>
      <c r="AB2223">
        <f t="shared" si="4423"/>
        <v>0</v>
      </c>
      <c r="AC2223">
        <f t="shared" si="4423"/>
        <v>0</v>
      </c>
      <c r="AD2223">
        <f t="shared" si="6"/>
        <v>0</v>
      </c>
      <c r="AE2223">
        <f t="shared" si="7"/>
        <v>0</v>
      </c>
    </row>
    <row r="2224">
      <c r="X2224" t="b">
        <f t="shared" ref="X2224:Z2224" si="4424">ISBLANK(K2224)</f>
        <v>1</v>
      </c>
      <c r="Y2224" t="b">
        <f t="shared" si="4424"/>
        <v>1</v>
      </c>
      <c r="Z2224" t="b">
        <f t="shared" si="4424"/>
        <v>1</v>
      </c>
      <c r="AA2224">
        <f t="shared" ref="AA2224:AC2224" si="4425">IF(X2224=FALSE,1,0)</f>
        <v>0</v>
      </c>
      <c r="AB2224">
        <f t="shared" si="4425"/>
        <v>0</v>
      </c>
      <c r="AC2224">
        <f t="shared" si="4425"/>
        <v>0</v>
      </c>
      <c r="AD2224">
        <f t="shared" si="6"/>
        <v>0</v>
      </c>
      <c r="AE2224">
        <f t="shared" si="7"/>
        <v>0</v>
      </c>
    </row>
    <row r="2225">
      <c r="X2225" t="b">
        <f t="shared" ref="X2225:Z2225" si="4426">ISBLANK(K2225)</f>
        <v>1</v>
      </c>
      <c r="Y2225" t="b">
        <f t="shared" si="4426"/>
        <v>1</v>
      </c>
      <c r="Z2225" t="b">
        <f t="shared" si="4426"/>
        <v>1</v>
      </c>
      <c r="AA2225">
        <f t="shared" ref="AA2225:AC2225" si="4427">IF(X2225=FALSE,1,0)</f>
        <v>0</v>
      </c>
      <c r="AB2225">
        <f t="shared" si="4427"/>
        <v>0</v>
      </c>
      <c r="AC2225">
        <f t="shared" si="4427"/>
        <v>0</v>
      </c>
      <c r="AD2225">
        <f t="shared" si="6"/>
        <v>0</v>
      </c>
      <c r="AE2225">
        <f t="shared" si="7"/>
        <v>0</v>
      </c>
    </row>
    <row r="2226">
      <c r="X2226" t="b">
        <f t="shared" ref="X2226:Z2226" si="4428">ISBLANK(K2226)</f>
        <v>1</v>
      </c>
      <c r="Y2226" t="b">
        <f t="shared" si="4428"/>
        <v>1</v>
      </c>
      <c r="Z2226" t="b">
        <f t="shared" si="4428"/>
        <v>1</v>
      </c>
      <c r="AA2226">
        <f t="shared" ref="AA2226:AC2226" si="4429">IF(X2226=FALSE,1,0)</f>
        <v>0</v>
      </c>
      <c r="AB2226">
        <f t="shared" si="4429"/>
        <v>0</v>
      </c>
      <c r="AC2226">
        <f t="shared" si="4429"/>
        <v>0</v>
      </c>
      <c r="AD2226">
        <f t="shared" si="6"/>
        <v>0</v>
      </c>
      <c r="AE2226">
        <f t="shared" si="7"/>
        <v>0</v>
      </c>
    </row>
    <row r="2227">
      <c r="X2227" t="b">
        <f t="shared" ref="X2227:Z2227" si="4430">ISBLANK(K2227)</f>
        <v>1</v>
      </c>
      <c r="Y2227" t="b">
        <f t="shared" si="4430"/>
        <v>1</v>
      </c>
      <c r="Z2227" t="b">
        <f t="shared" si="4430"/>
        <v>1</v>
      </c>
      <c r="AA2227">
        <f t="shared" ref="AA2227:AC2227" si="4431">IF(X2227=FALSE,1,0)</f>
        <v>0</v>
      </c>
      <c r="AB2227">
        <f t="shared" si="4431"/>
        <v>0</v>
      </c>
      <c r="AC2227">
        <f t="shared" si="4431"/>
        <v>0</v>
      </c>
      <c r="AD2227">
        <f t="shared" si="6"/>
        <v>0</v>
      </c>
      <c r="AE2227">
        <f t="shared" si="7"/>
        <v>0</v>
      </c>
    </row>
    <row r="2228">
      <c r="X2228" t="b">
        <f t="shared" ref="X2228:Z2228" si="4432">ISBLANK(K2228)</f>
        <v>1</v>
      </c>
      <c r="Y2228" t="b">
        <f t="shared" si="4432"/>
        <v>1</v>
      </c>
      <c r="Z2228" t="b">
        <f t="shared" si="4432"/>
        <v>1</v>
      </c>
      <c r="AA2228">
        <f t="shared" ref="AA2228:AC2228" si="4433">IF(X2228=FALSE,1,0)</f>
        <v>0</v>
      </c>
      <c r="AB2228">
        <f t="shared" si="4433"/>
        <v>0</v>
      </c>
      <c r="AC2228">
        <f t="shared" si="4433"/>
        <v>0</v>
      </c>
      <c r="AD2228">
        <f t="shared" si="6"/>
        <v>0</v>
      </c>
      <c r="AE2228">
        <f t="shared" si="7"/>
        <v>0</v>
      </c>
    </row>
    <row r="2229">
      <c r="X2229" t="b">
        <f t="shared" ref="X2229:Z2229" si="4434">ISBLANK(K2229)</f>
        <v>1</v>
      </c>
      <c r="Y2229" t="b">
        <f t="shared" si="4434"/>
        <v>1</v>
      </c>
      <c r="Z2229" t="b">
        <f t="shared" si="4434"/>
        <v>1</v>
      </c>
      <c r="AA2229">
        <f t="shared" ref="AA2229:AC2229" si="4435">IF(X2229=FALSE,1,0)</f>
        <v>0</v>
      </c>
      <c r="AB2229">
        <f t="shared" si="4435"/>
        <v>0</v>
      </c>
      <c r="AC2229">
        <f t="shared" si="4435"/>
        <v>0</v>
      </c>
      <c r="AD2229">
        <f t="shared" si="6"/>
        <v>0</v>
      </c>
      <c r="AE2229">
        <f t="shared" si="7"/>
        <v>0</v>
      </c>
    </row>
    <row r="2230">
      <c r="X2230" t="b">
        <f t="shared" ref="X2230:Z2230" si="4436">ISBLANK(K2230)</f>
        <v>1</v>
      </c>
      <c r="Y2230" t="b">
        <f t="shared" si="4436"/>
        <v>1</v>
      </c>
      <c r="Z2230" t="b">
        <f t="shared" si="4436"/>
        <v>1</v>
      </c>
      <c r="AA2230">
        <f t="shared" ref="AA2230:AC2230" si="4437">IF(X2230=FALSE,1,0)</f>
        <v>0</v>
      </c>
      <c r="AB2230">
        <f t="shared" si="4437"/>
        <v>0</v>
      </c>
      <c r="AC2230">
        <f t="shared" si="4437"/>
        <v>0</v>
      </c>
      <c r="AD2230">
        <f t="shared" si="6"/>
        <v>0</v>
      </c>
      <c r="AE2230">
        <f t="shared" si="7"/>
        <v>0</v>
      </c>
    </row>
    <row r="2231">
      <c r="X2231" t="b">
        <f t="shared" ref="X2231:Z2231" si="4438">ISBLANK(K2231)</f>
        <v>1</v>
      </c>
      <c r="Y2231" t="b">
        <f t="shared" si="4438"/>
        <v>1</v>
      </c>
      <c r="Z2231" t="b">
        <f t="shared" si="4438"/>
        <v>1</v>
      </c>
      <c r="AA2231">
        <f t="shared" ref="AA2231:AC2231" si="4439">IF(X2231=FALSE,1,0)</f>
        <v>0</v>
      </c>
      <c r="AB2231">
        <f t="shared" si="4439"/>
        <v>0</v>
      </c>
      <c r="AC2231">
        <f t="shared" si="4439"/>
        <v>0</v>
      </c>
      <c r="AD2231">
        <f t="shared" si="6"/>
        <v>0</v>
      </c>
      <c r="AE2231">
        <f t="shared" si="7"/>
        <v>0</v>
      </c>
    </row>
    <row r="2232">
      <c r="X2232" t="b">
        <f t="shared" ref="X2232:Z2232" si="4440">ISBLANK(K2232)</f>
        <v>1</v>
      </c>
      <c r="Y2232" t="b">
        <f t="shared" si="4440"/>
        <v>1</v>
      </c>
      <c r="Z2232" t="b">
        <f t="shared" si="4440"/>
        <v>1</v>
      </c>
      <c r="AA2232">
        <f t="shared" ref="AA2232:AC2232" si="4441">IF(X2232=FALSE,1,0)</f>
        <v>0</v>
      </c>
      <c r="AB2232">
        <f t="shared" si="4441"/>
        <v>0</v>
      </c>
      <c r="AC2232">
        <f t="shared" si="4441"/>
        <v>0</v>
      </c>
      <c r="AD2232">
        <f t="shared" si="6"/>
        <v>0</v>
      </c>
      <c r="AE2232">
        <f t="shared" si="7"/>
        <v>0</v>
      </c>
    </row>
    <row r="2233">
      <c r="X2233" t="b">
        <f t="shared" ref="X2233:Z2233" si="4442">ISBLANK(K2233)</f>
        <v>1</v>
      </c>
      <c r="Y2233" t="b">
        <f t="shared" si="4442"/>
        <v>1</v>
      </c>
      <c r="Z2233" t="b">
        <f t="shared" si="4442"/>
        <v>1</v>
      </c>
      <c r="AA2233">
        <f t="shared" ref="AA2233:AC2233" si="4443">IF(X2233=FALSE,1,0)</f>
        <v>0</v>
      </c>
      <c r="AB2233">
        <f t="shared" si="4443"/>
        <v>0</v>
      </c>
      <c r="AC2233">
        <f t="shared" si="4443"/>
        <v>0</v>
      </c>
      <c r="AD2233">
        <f t="shared" si="6"/>
        <v>0</v>
      </c>
      <c r="AE2233">
        <f t="shared" si="7"/>
        <v>0</v>
      </c>
    </row>
    <row r="2234">
      <c r="X2234" t="b">
        <f t="shared" ref="X2234:Z2234" si="4444">ISBLANK(K2234)</f>
        <v>1</v>
      </c>
      <c r="Y2234" t="b">
        <f t="shared" si="4444"/>
        <v>1</v>
      </c>
      <c r="Z2234" t="b">
        <f t="shared" si="4444"/>
        <v>1</v>
      </c>
      <c r="AA2234">
        <f t="shared" ref="AA2234:AC2234" si="4445">IF(X2234=FALSE,1,0)</f>
        <v>0</v>
      </c>
      <c r="AB2234">
        <f t="shared" si="4445"/>
        <v>0</v>
      </c>
      <c r="AC2234">
        <f t="shared" si="4445"/>
        <v>0</v>
      </c>
      <c r="AD2234">
        <f t="shared" si="6"/>
        <v>0</v>
      </c>
      <c r="AE2234">
        <f t="shared" si="7"/>
        <v>0</v>
      </c>
    </row>
    <row r="2235">
      <c r="X2235" t="b">
        <f t="shared" ref="X2235:Z2235" si="4446">ISBLANK(K2235)</f>
        <v>1</v>
      </c>
      <c r="Y2235" t="b">
        <f t="shared" si="4446"/>
        <v>1</v>
      </c>
      <c r="Z2235" t="b">
        <f t="shared" si="4446"/>
        <v>1</v>
      </c>
      <c r="AA2235">
        <f t="shared" ref="AA2235:AC2235" si="4447">IF(X2235=FALSE,1,0)</f>
        <v>0</v>
      </c>
      <c r="AB2235">
        <f t="shared" si="4447"/>
        <v>0</v>
      </c>
      <c r="AC2235">
        <f t="shared" si="4447"/>
        <v>0</v>
      </c>
      <c r="AD2235">
        <f t="shared" si="6"/>
        <v>0</v>
      </c>
      <c r="AE2235">
        <f t="shared" si="7"/>
        <v>0</v>
      </c>
    </row>
    <row r="2236">
      <c r="X2236" t="b">
        <f t="shared" ref="X2236:Z2236" si="4448">ISBLANK(K2236)</f>
        <v>1</v>
      </c>
      <c r="Y2236" t="b">
        <f t="shared" si="4448"/>
        <v>1</v>
      </c>
      <c r="Z2236" t="b">
        <f t="shared" si="4448"/>
        <v>1</v>
      </c>
      <c r="AA2236">
        <f t="shared" ref="AA2236:AC2236" si="4449">IF(X2236=FALSE,1,0)</f>
        <v>0</v>
      </c>
      <c r="AB2236">
        <f t="shared" si="4449"/>
        <v>0</v>
      </c>
      <c r="AC2236">
        <f t="shared" si="4449"/>
        <v>0</v>
      </c>
      <c r="AD2236">
        <f t="shared" si="6"/>
        <v>0</v>
      </c>
      <c r="AE2236">
        <f t="shared" si="7"/>
        <v>0</v>
      </c>
    </row>
    <row r="2237">
      <c r="X2237" t="b">
        <f t="shared" ref="X2237:Z2237" si="4450">ISBLANK(K2237)</f>
        <v>1</v>
      </c>
      <c r="Y2237" t="b">
        <f t="shared" si="4450"/>
        <v>1</v>
      </c>
      <c r="Z2237" t="b">
        <f t="shared" si="4450"/>
        <v>1</v>
      </c>
      <c r="AA2237">
        <f t="shared" ref="AA2237:AC2237" si="4451">IF(X2237=FALSE,1,0)</f>
        <v>0</v>
      </c>
      <c r="AB2237">
        <f t="shared" si="4451"/>
        <v>0</v>
      </c>
      <c r="AC2237">
        <f t="shared" si="4451"/>
        <v>0</v>
      </c>
      <c r="AD2237">
        <f t="shared" si="6"/>
        <v>0</v>
      </c>
      <c r="AE2237">
        <f t="shared" si="7"/>
        <v>0</v>
      </c>
    </row>
    <row r="2238">
      <c r="X2238" t="b">
        <f t="shared" ref="X2238:Z2238" si="4452">ISBLANK(K2238)</f>
        <v>1</v>
      </c>
      <c r="Y2238" t="b">
        <f t="shared" si="4452"/>
        <v>1</v>
      </c>
      <c r="Z2238" t="b">
        <f t="shared" si="4452"/>
        <v>1</v>
      </c>
      <c r="AA2238">
        <f t="shared" ref="AA2238:AC2238" si="4453">IF(X2238=FALSE,1,0)</f>
        <v>0</v>
      </c>
      <c r="AB2238">
        <f t="shared" si="4453"/>
        <v>0</v>
      </c>
      <c r="AC2238">
        <f t="shared" si="4453"/>
        <v>0</v>
      </c>
      <c r="AD2238">
        <f t="shared" si="6"/>
        <v>0</v>
      </c>
      <c r="AE2238">
        <f t="shared" si="7"/>
        <v>0</v>
      </c>
    </row>
    <row r="2239">
      <c r="X2239" t="b">
        <f t="shared" ref="X2239:Z2239" si="4454">ISBLANK(K2239)</f>
        <v>1</v>
      </c>
      <c r="Y2239" t="b">
        <f t="shared" si="4454"/>
        <v>1</v>
      </c>
      <c r="Z2239" t="b">
        <f t="shared" si="4454"/>
        <v>1</v>
      </c>
      <c r="AA2239">
        <f t="shared" ref="AA2239:AC2239" si="4455">IF(X2239=FALSE,1,0)</f>
        <v>0</v>
      </c>
      <c r="AB2239">
        <f t="shared" si="4455"/>
        <v>0</v>
      </c>
      <c r="AC2239">
        <f t="shared" si="4455"/>
        <v>0</v>
      </c>
      <c r="AD2239">
        <f t="shared" si="6"/>
        <v>0</v>
      </c>
      <c r="AE2239">
        <f t="shared" si="7"/>
        <v>0</v>
      </c>
    </row>
    <row r="2240">
      <c r="X2240" t="b">
        <f t="shared" ref="X2240:Z2240" si="4456">ISBLANK(K2240)</f>
        <v>1</v>
      </c>
      <c r="Y2240" t="b">
        <f t="shared" si="4456"/>
        <v>1</v>
      </c>
      <c r="Z2240" t="b">
        <f t="shared" si="4456"/>
        <v>1</v>
      </c>
      <c r="AA2240">
        <f t="shared" ref="AA2240:AC2240" si="4457">IF(X2240=FALSE,1,0)</f>
        <v>0</v>
      </c>
      <c r="AB2240">
        <f t="shared" si="4457"/>
        <v>0</v>
      </c>
      <c r="AC2240">
        <f t="shared" si="4457"/>
        <v>0</v>
      </c>
      <c r="AD2240">
        <f t="shared" si="6"/>
        <v>0</v>
      </c>
      <c r="AE2240">
        <f t="shared" si="7"/>
        <v>0</v>
      </c>
    </row>
    <row r="2241">
      <c r="X2241" t="b">
        <f t="shared" ref="X2241:Z2241" si="4458">ISBLANK(K2241)</f>
        <v>1</v>
      </c>
      <c r="Y2241" t="b">
        <f t="shared" si="4458"/>
        <v>1</v>
      </c>
      <c r="Z2241" t="b">
        <f t="shared" si="4458"/>
        <v>1</v>
      </c>
      <c r="AA2241">
        <f t="shared" ref="AA2241:AC2241" si="4459">IF(X2241=FALSE,1,0)</f>
        <v>0</v>
      </c>
      <c r="AB2241">
        <f t="shared" si="4459"/>
        <v>0</v>
      </c>
      <c r="AC2241">
        <f t="shared" si="4459"/>
        <v>0</v>
      </c>
      <c r="AD2241">
        <f t="shared" si="6"/>
        <v>0</v>
      </c>
      <c r="AE2241">
        <f t="shared" si="7"/>
        <v>0</v>
      </c>
    </row>
    <row r="2242">
      <c r="X2242" t="b">
        <f t="shared" ref="X2242:Z2242" si="4460">ISBLANK(K2242)</f>
        <v>1</v>
      </c>
      <c r="Y2242" t="b">
        <f t="shared" si="4460"/>
        <v>1</v>
      </c>
      <c r="Z2242" t="b">
        <f t="shared" si="4460"/>
        <v>1</v>
      </c>
      <c r="AA2242">
        <f t="shared" ref="AA2242:AC2242" si="4461">IF(X2242=FALSE,1,0)</f>
        <v>0</v>
      </c>
      <c r="AB2242">
        <f t="shared" si="4461"/>
        <v>0</v>
      </c>
      <c r="AC2242">
        <f t="shared" si="4461"/>
        <v>0</v>
      </c>
      <c r="AD2242">
        <f t="shared" si="6"/>
        <v>0</v>
      </c>
      <c r="AE2242">
        <f t="shared" si="7"/>
        <v>0</v>
      </c>
    </row>
    <row r="2243">
      <c r="X2243" t="b">
        <f t="shared" ref="X2243:Z2243" si="4462">ISBLANK(K2243)</f>
        <v>1</v>
      </c>
      <c r="Y2243" t="b">
        <f t="shared" si="4462"/>
        <v>1</v>
      </c>
      <c r="Z2243" t="b">
        <f t="shared" si="4462"/>
        <v>1</v>
      </c>
      <c r="AA2243">
        <f t="shared" ref="AA2243:AC2243" si="4463">IF(X2243=FALSE,1,0)</f>
        <v>0</v>
      </c>
      <c r="AB2243">
        <f t="shared" si="4463"/>
        <v>0</v>
      </c>
      <c r="AC2243">
        <f t="shared" si="4463"/>
        <v>0</v>
      </c>
      <c r="AD2243">
        <f t="shared" si="6"/>
        <v>0</v>
      </c>
      <c r="AE2243">
        <f t="shared" si="7"/>
        <v>0</v>
      </c>
    </row>
    <row r="2244">
      <c r="X2244" t="b">
        <f t="shared" ref="X2244:Z2244" si="4464">ISBLANK(K2244)</f>
        <v>1</v>
      </c>
      <c r="Y2244" t="b">
        <f t="shared" si="4464"/>
        <v>1</v>
      </c>
      <c r="Z2244" t="b">
        <f t="shared" si="4464"/>
        <v>1</v>
      </c>
      <c r="AA2244">
        <f t="shared" ref="AA2244:AC2244" si="4465">IF(X2244=FALSE,1,0)</f>
        <v>0</v>
      </c>
      <c r="AB2244">
        <f t="shared" si="4465"/>
        <v>0</v>
      </c>
      <c r="AC2244">
        <f t="shared" si="4465"/>
        <v>0</v>
      </c>
      <c r="AD2244">
        <f t="shared" si="6"/>
        <v>0</v>
      </c>
      <c r="AE2244">
        <f t="shared" si="7"/>
        <v>0</v>
      </c>
    </row>
    <row r="2245">
      <c r="X2245" t="b">
        <f t="shared" ref="X2245:Z2245" si="4466">ISBLANK(K2245)</f>
        <v>1</v>
      </c>
      <c r="Y2245" t="b">
        <f t="shared" si="4466"/>
        <v>1</v>
      </c>
      <c r="Z2245" t="b">
        <f t="shared" si="4466"/>
        <v>1</v>
      </c>
      <c r="AA2245">
        <f t="shared" ref="AA2245:AC2245" si="4467">IF(X2245=FALSE,1,0)</f>
        <v>0</v>
      </c>
      <c r="AB2245">
        <f t="shared" si="4467"/>
        <v>0</v>
      </c>
      <c r="AC2245">
        <f t="shared" si="4467"/>
        <v>0</v>
      </c>
      <c r="AD2245">
        <f t="shared" si="6"/>
        <v>0</v>
      </c>
      <c r="AE2245">
        <f t="shared" si="7"/>
        <v>0</v>
      </c>
    </row>
    <row r="2246">
      <c r="X2246" t="b">
        <f t="shared" ref="X2246:Z2246" si="4468">ISBLANK(K2246)</f>
        <v>1</v>
      </c>
      <c r="Y2246" t="b">
        <f t="shared" si="4468"/>
        <v>1</v>
      </c>
      <c r="Z2246" t="b">
        <f t="shared" si="4468"/>
        <v>1</v>
      </c>
      <c r="AA2246">
        <f t="shared" ref="AA2246:AC2246" si="4469">IF(X2246=FALSE,1,0)</f>
        <v>0</v>
      </c>
      <c r="AB2246">
        <f t="shared" si="4469"/>
        <v>0</v>
      </c>
      <c r="AC2246">
        <f t="shared" si="4469"/>
        <v>0</v>
      </c>
      <c r="AD2246">
        <f t="shared" si="6"/>
        <v>0</v>
      </c>
      <c r="AE2246">
        <f t="shared" si="7"/>
        <v>0</v>
      </c>
    </row>
    <row r="2247">
      <c r="X2247" t="b">
        <f t="shared" ref="X2247:Z2247" si="4470">ISBLANK(K2247)</f>
        <v>1</v>
      </c>
      <c r="Y2247" t="b">
        <f t="shared" si="4470"/>
        <v>1</v>
      </c>
      <c r="Z2247" t="b">
        <f t="shared" si="4470"/>
        <v>1</v>
      </c>
      <c r="AA2247">
        <f t="shared" ref="AA2247:AC2247" si="4471">IF(X2247=FALSE,1,0)</f>
        <v>0</v>
      </c>
      <c r="AB2247">
        <f t="shared" si="4471"/>
        <v>0</v>
      </c>
      <c r="AC2247">
        <f t="shared" si="4471"/>
        <v>0</v>
      </c>
      <c r="AD2247">
        <f t="shared" si="6"/>
        <v>0</v>
      </c>
      <c r="AE2247">
        <f t="shared" si="7"/>
        <v>0</v>
      </c>
    </row>
    <row r="2248">
      <c r="X2248" t="b">
        <f t="shared" ref="X2248:Z2248" si="4472">ISBLANK(K2248)</f>
        <v>1</v>
      </c>
      <c r="Y2248" t="b">
        <f t="shared" si="4472"/>
        <v>1</v>
      </c>
      <c r="Z2248" t="b">
        <f t="shared" si="4472"/>
        <v>1</v>
      </c>
      <c r="AA2248">
        <f t="shared" ref="AA2248:AC2248" si="4473">IF(X2248=FALSE,1,0)</f>
        <v>0</v>
      </c>
      <c r="AB2248">
        <f t="shared" si="4473"/>
        <v>0</v>
      </c>
      <c r="AC2248">
        <f t="shared" si="4473"/>
        <v>0</v>
      </c>
      <c r="AD2248">
        <f t="shared" si="6"/>
        <v>0</v>
      </c>
      <c r="AE2248">
        <f t="shared" si="7"/>
        <v>0</v>
      </c>
    </row>
    <row r="2249">
      <c r="X2249" t="b">
        <f t="shared" ref="X2249:Z2249" si="4474">ISBLANK(K2249)</f>
        <v>1</v>
      </c>
      <c r="Y2249" t="b">
        <f t="shared" si="4474"/>
        <v>1</v>
      </c>
      <c r="Z2249" t="b">
        <f t="shared" si="4474"/>
        <v>1</v>
      </c>
      <c r="AA2249">
        <f t="shared" ref="AA2249:AC2249" si="4475">IF(X2249=FALSE,1,0)</f>
        <v>0</v>
      </c>
      <c r="AB2249">
        <f t="shared" si="4475"/>
        <v>0</v>
      </c>
      <c r="AC2249">
        <f t="shared" si="4475"/>
        <v>0</v>
      </c>
      <c r="AD2249">
        <f t="shared" si="6"/>
        <v>0</v>
      </c>
      <c r="AE2249">
        <f t="shared" si="7"/>
        <v>0</v>
      </c>
    </row>
    <row r="2250">
      <c r="X2250" t="b">
        <f t="shared" ref="X2250:Z2250" si="4476">ISBLANK(K2250)</f>
        <v>1</v>
      </c>
      <c r="Y2250" t="b">
        <f t="shared" si="4476"/>
        <v>1</v>
      </c>
      <c r="Z2250" t="b">
        <f t="shared" si="4476"/>
        <v>1</v>
      </c>
      <c r="AA2250">
        <f t="shared" ref="AA2250:AC2250" si="4477">IF(X2250=FALSE,1,0)</f>
        <v>0</v>
      </c>
      <c r="AB2250">
        <f t="shared" si="4477"/>
        <v>0</v>
      </c>
      <c r="AC2250">
        <f t="shared" si="4477"/>
        <v>0</v>
      </c>
      <c r="AD2250">
        <f t="shared" si="6"/>
        <v>0</v>
      </c>
      <c r="AE2250">
        <f t="shared" si="7"/>
        <v>0</v>
      </c>
    </row>
    <row r="2251">
      <c r="X2251" t="b">
        <f t="shared" ref="X2251:Z2251" si="4478">ISBLANK(K2251)</f>
        <v>1</v>
      </c>
      <c r="Y2251" t="b">
        <f t="shared" si="4478"/>
        <v>1</v>
      </c>
      <c r="Z2251" t="b">
        <f t="shared" si="4478"/>
        <v>1</v>
      </c>
      <c r="AA2251">
        <f t="shared" ref="AA2251:AC2251" si="4479">IF(X2251=FALSE,1,0)</f>
        <v>0</v>
      </c>
      <c r="AB2251">
        <f t="shared" si="4479"/>
        <v>0</v>
      </c>
      <c r="AC2251">
        <f t="shared" si="4479"/>
        <v>0</v>
      </c>
      <c r="AD2251">
        <f t="shared" si="6"/>
        <v>0</v>
      </c>
      <c r="AE2251">
        <f t="shared" si="7"/>
        <v>0</v>
      </c>
    </row>
    <row r="2252">
      <c r="X2252" t="b">
        <f t="shared" ref="X2252:Z2252" si="4480">ISBLANK(K2252)</f>
        <v>1</v>
      </c>
      <c r="Y2252" t="b">
        <f t="shared" si="4480"/>
        <v>1</v>
      </c>
      <c r="Z2252" t="b">
        <f t="shared" si="4480"/>
        <v>1</v>
      </c>
      <c r="AA2252">
        <f t="shared" ref="AA2252:AC2252" si="4481">IF(X2252=FALSE,1,0)</f>
        <v>0</v>
      </c>
      <c r="AB2252">
        <f t="shared" si="4481"/>
        <v>0</v>
      </c>
      <c r="AC2252">
        <f t="shared" si="4481"/>
        <v>0</v>
      </c>
      <c r="AD2252">
        <f t="shared" si="6"/>
        <v>0</v>
      </c>
      <c r="AE2252">
        <f t="shared" si="7"/>
        <v>0</v>
      </c>
    </row>
    <row r="2253">
      <c r="X2253" t="b">
        <f t="shared" ref="X2253:Z2253" si="4482">ISBLANK(K2253)</f>
        <v>1</v>
      </c>
      <c r="Y2253" t="b">
        <f t="shared" si="4482"/>
        <v>1</v>
      </c>
      <c r="Z2253" t="b">
        <f t="shared" si="4482"/>
        <v>1</v>
      </c>
      <c r="AA2253">
        <f t="shared" ref="AA2253:AC2253" si="4483">IF(X2253=FALSE,1,0)</f>
        <v>0</v>
      </c>
      <c r="AB2253">
        <f t="shared" si="4483"/>
        <v>0</v>
      </c>
      <c r="AC2253">
        <f t="shared" si="4483"/>
        <v>0</v>
      </c>
      <c r="AD2253">
        <f t="shared" si="6"/>
        <v>0</v>
      </c>
      <c r="AE2253">
        <f t="shared" si="7"/>
        <v>0</v>
      </c>
    </row>
    <row r="2254">
      <c r="X2254" t="b">
        <f t="shared" ref="X2254:Z2254" si="4484">ISBLANK(K2254)</f>
        <v>1</v>
      </c>
      <c r="Y2254" t="b">
        <f t="shared" si="4484"/>
        <v>1</v>
      </c>
      <c r="Z2254" t="b">
        <f t="shared" si="4484"/>
        <v>1</v>
      </c>
      <c r="AA2254">
        <f t="shared" ref="AA2254:AC2254" si="4485">IF(X2254=FALSE,1,0)</f>
        <v>0</v>
      </c>
      <c r="AB2254">
        <f t="shared" si="4485"/>
        <v>0</v>
      </c>
      <c r="AC2254">
        <f t="shared" si="4485"/>
        <v>0</v>
      </c>
      <c r="AD2254">
        <f t="shared" si="6"/>
        <v>0</v>
      </c>
      <c r="AE2254">
        <f t="shared" si="7"/>
        <v>0</v>
      </c>
    </row>
    <row r="2255">
      <c r="X2255" t="b">
        <f t="shared" ref="X2255:Z2255" si="4486">ISBLANK(K2255)</f>
        <v>1</v>
      </c>
      <c r="Y2255" t="b">
        <f t="shared" si="4486"/>
        <v>1</v>
      </c>
      <c r="Z2255" t="b">
        <f t="shared" si="4486"/>
        <v>1</v>
      </c>
      <c r="AA2255">
        <f t="shared" ref="AA2255:AC2255" si="4487">IF(X2255=FALSE,1,0)</f>
        <v>0</v>
      </c>
      <c r="AB2255">
        <f t="shared" si="4487"/>
        <v>0</v>
      </c>
      <c r="AC2255">
        <f t="shared" si="4487"/>
        <v>0</v>
      </c>
      <c r="AD2255">
        <f t="shared" si="6"/>
        <v>0</v>
      </c>
      <c r="AE2255">
        <f t="shared" si="7"/>
        <v>0</v>
      </c>
    </row>
    <row r="2256">
      <c r="X2256" t="b">
        <f t="shared" ref="X2256:Z2256" si="4488">ISBLANK(K2256)</f>
        <v>1</v>
      </c>
      <c r="Y2256" t="b">
        <f t="shared" si="4488"/>
        <v>1</v>
      </c>
      <c r="Z2256" t="b">
        <f t="shared" si="4488"/>
        <v>1</v>
      </c>
      <c r="AA2256">
        <f t="shared" ref="AA2256:AC2256" si="4489">IF(X2256=FALSE,1,0)</f>
        <v>0</v>
      </c>
      <c r="AB2256">
        <f t="shared" si="4489"/>
        <v>0</v>
      </c>
      <c r="AC2256">
        <f t="shared" si="4489"/>
        <v>0</v>
      </c>
      <c r="AD2256">
        <f t="shared" si="6"/>
        <v>0</v>
      </c>
      <c r="AE2256">
        <f t="shared" si="7"/>
        <v>0</v>
      </c>
    </row>
    <row r="2257">
      <c r="X2257" t="b">
        <f t="shared" ref="X2257:Z2257" si="4490">ISBLANK(K2257)</f>
        <v>1</v>
      </c>
      <c r="Y2257" t="b">
        <f t="shared" si="4490"/>
        <v>1</v>
      </c>
      <c r="Z2257" t="b">
        <f t="shared" si="4490"/>
        <v>1</v>
      </c>
      <c r="AA2257">
        <f t="shared" ref="AA2257:AC2257" si="4491">IF(X2257=FALSE,1,0)</f>
        <v>0</v>
      </c>
      <c r="AB2257">
        <f t="shared" si="4491"/>
        <v>0</v>
      </c>
      <c r="AC2257">
        <f t="shared" si="4491"/>
        <v>0</v>
      </c>
      <c r="AD2257">
        <f t="shared" si="6"/>
        <v>0</v>
      </c>
      <c r="AE2257">
        <f t="shared" si="7"/>
        <v>0</v>
      </c>
    </row>
    <row r="2258">
      <c r="X2258" t="b">
        <f t="shared" ref="X2258:Z2258" si="4492">ISBLANK(K2258)</f>
        <v>1</v>
      </c>
      <c r="Y2258" t="b">
        <f t="shared" si="4492"/>
        <v>1</v>
      </c>
      <c r="Z2258" t="b">
        <f t="shared" si="4492"/>
        <v>1</v>
      </c>
      <c r="AA2258">
        <f t="shared" ref="AA2258:AC2258" si="4493">IF(X2258=FALSE,1,0)</f>
        <v>0</v>
      </c>
      <c r="AB2258">
        <f t="shared" si="4493"/>
        <v>0</v>
      </c>
      <c r="AC2258">
        <f t="shared" si="4493"/>
        <v>0</v>
      </c>
      <c r="AD2258">
        <f t="shared" si="6"/>
        <v>0</v>
      </c>
      <c r="AE2258">
        <f t="shared" si="7"/>
        <v>0</v>
      </c>
    </row>
    <row r="2259">
      <c r="X2259" t="b">
        <f t="shared" ref="X2259:Z2259" si="4494">ISBLANK(K2259)</f>
        <v>1</v>
      </c>
      <c r="Y2259" t="b">
        <f t="shared" si="4494"/>
        <v>1</v>
      </c>
      <c r="Z2259" t="b">
        <f t="shared" si="4494"/>
        <v>1</v>
      </c>
      <c r="AA2259">
        <f t="shared" ref="AA2259:AC2259" si="4495">IF(X2259=FALSE,1,0)</f>
        <v>0</v>
      </c>
      <c r="AB2259">
        <f t="shared" si="4495"/>
        <v>0</v>
      </c>
      <c r="AC2259">
        <f t="shared" si="4495"/>
        <v>0</v>
      </c>
      <c r="AD2259">
        <f t="shared" si="6"/>
        <v>0</v>
      </c>
      <c r="AE2259">
        <f t="shared" si="7"/>
        <v>0</v>
      </c>
    </row>
    <row r="2260">
      <c r="X2260" t="b">
        <f t="shared" ref="X2260:Z2260" si="4496">ISBLANK(K2260)</f>
        <v>1</v>
      </c>
      <c r="Y2260" t="b">
        <f t="shared" si="4496"/>
        <v>1</v>
      </c>
      <c r="Z2260" t="b">
        <f t="shared" si="4496"/>
        <v>1</v>
      </c>
      <c r="AA2260">
        <f t="shared" ref="AA2260:AC2260" si="4497">IF(X2260=FALSE,1,0)</f>
        <v>0</v>
      </c>
      <c r="AB2260">
        <f t="shared" si="4497"/>
        <v>0</v>
      </c>
      <c r="AC2260">
        <f t="shared" si="4497"/>
        <v>0</v>
      </c>
      <c r="AD2260">
        <f t="shared" si="6"/>
        <v>0</v>
      </c>
      <c r="AE2260">
        <f t="shared" si="7"/>
        <v>0</v>
      </c>
    </row>
    <row r="2261">
      <c r="X2261" t="b">
        <f t="shared" ref="X2261:Z2261" si="4498">ISBLANK(K2261)</f>
        <v>1</v>
      </c>
      <c r="Y2261" t="b">
        <f t="shared" si="4498"/>
        <v>1</v>
      </c>
      <c r="Z2261" t="b">
        <f t="shared" si="4498"/>
        <v>1</v>
      </c>
      <c r="AA2261">
        <f t="shared" ref="AA2261:AC2261" si="4499">IF(X2261=FALSE,1,0)</f>
        <v>0</v>
      </c>
      <c r="AB2261">
        <f t="shared" si="4499"/>
        <v>0</v>
      </c>
      <c r="AC2261">
        <f t="shared" si="4499"/>
        <v>0</v>
      </c>
      <c r="AD2261">
        <f t="shared" si="6"/>
        <v>0</v>
      </c>
      <c r="AE2261">
        <f t="shared" si="7"/>
        <v>0</v>
      </c>
    </row>
    <row r="2262">
      <c r="X2262" t="b">
        <f t="shared" ref="X2262:Z2262" si="4500">ISBLANK(K2262)</f>
        <v>1</v>
      </c>
      <c r="Y2262" t="b">
        <f t="shared" si="4500"/>
        <v>1</v>
      </c>
      <c r="Z2262" t="b">
        <f t="shared" si="4500"/>
        <v>1</v>
      </c>
      <c r="AA2262">
        <f t="shared" ref="AA2262:AC2262" si="4501">IF(X2262=FALSE,1,0)</f>
        <v>0</v>
      </c>
      <c r="AB2262">
        <f t="shared" si="4501"/>
        <v>0</v>
      </c>
      <c r="AC2262">
        <f t="shared" si="4501"/>
        <v>0</v>
      </c>
      <c r="AD2262">
        <f t="shared" si="6"/>
        <v>0</v>
      </c>
      <c r="AE2262">
        <f t="shared" si="7"/>
        <v>0</v>
      </c>
    </row>
    <row r="2263">
      <c r="X2263" t="b">
        <f t="shared" ref="X2263:Z2263" si="4502">ISBLANK(K2263)</f>
        <v>1</v>
      </c>
      <c r="Y2263" t="b">
        <f t="shared" si="4502"/>
        <v>1</v>
      </c>
      <c r="Z2263" t="b">
        <f t="shared" si="4502"/>
        <v>1</v>
      </c>
      <c r="AA2263">
        <f t="shared" ref="AA2263:AC2263" si="4503">IF(X2263=FALSE,1,0)</f>
        <v>0</v>
      </c>
      <c r="AB2263">
        <f t="shared" si="4503"/>
        <v>0</v>
      </c>
      <c r="AC2263">
        <f t="shared" si="4503"/>
        <v>0</v>
      </c>
      <c r="AD2263">
        <f t="shared" si="6"/>
        <v>0</v>
      </c>
      <c r="AE2263">
        <f t="shared" si="7"/>
        <v>0</v>
      </c>
    </row>
    <row r="2264">
      <c r="X2264" t="b">
        <f t="shared" ref="X2264:Z2264" si="4504">ISBLANK(K2264)</f>
        <v>1</v>
      </c>
      <c r="Y2264" t="b">
        <f t="shared" si="4504"/>
        <v>1</v>
      </c>
      <c r="Z2264" t="b">
        <f t="shared" si="4504"/>
        <v>1</v>
      </c>
      <c r="AA2264">
        <f t="shared" ref="AA2264:AC2264" si="4505">IF(X2264=FALSE,1,0)</f>
        <v>0</v>
      </c>
      <c r="AB2264">
        <f t="shared" si="4505"/>
        <v>0</v>
      </c>
      <c r="AC2264">
        <f t="shared" si="4505"/>
        <v>0</v>
      </c>
      <c r="AD2264">
        <f t="shared" si="6"/>
        <v>0</v>
      </c>
      <c r="AE2264">
        <f t="shared" si="7"/>
        <v>0</v>
      </c>
    </row>
    <row r="2265">
      <c r="X2265" t="b">
        <f t="shared" ref="X2265:Z2265" si="4506">ISBLANK(K2265)</f>
        <v>1</v>
      </c>
      <c r="Y2265" t="b">
        <f t="shared" si="4506"/>
        <v>1</v>
      </c>
      <c r="Z2265" t="b">
        <f t="shared" si="4506"/>
        <v>1</v>
      </c>
      <c r="AA2265">
        <f t="shared" ref="AA2265:AC2265" si="4507">IF(X2265=FALSE,1,0)</f>
        <v>0</v>
      </c>
      <c r="AB2265">
        <f t="shared" si="4507"/>
        <v>0</v>
      </c>
      <c r="AC2265">
        <f t="shared" si="4507"/>
        <v>0</v>
      </c>
      <c r="AD2265">
        <f t="shared" si="6"/>
        <v>0</v>
      </c>
      <c r="AE2265">
        <f t="shared" si="7"/>
        <v>0</v>
      </c>
    </row>
    <row r="2266">
      <c r="X2266" t="b">
        <f t="shared" ref="X2266:Z2266" si="4508">ISBLANK(K2266)</f>
        <v>1</v>
      </c>
      <c r="Y2266" t="b">
        <f t="shared" si="4508"/>
        <v>1</v>
      </c>
      <c r="Z2266" t="b">
        <f t="shared" si="4508"/>
        <v>1</v>
      </c>
      <c r="AA2266">
        <f t="shared" ref="AA2266:AC2266" si="4509">IF(X2266=FALSE,1,0)</f>
        <v>0</v>
      </c>
      <c r="AB2266">
        <f t="shared" si="4509"/>
        <v>0</v>
      </c>
      <c r="AC2266">
        <f t="shared" si="4509"/>
        <v>0</v>
      </c>
      <c r="AD2266">
        <f t="shared" si="6"/>
        <v>0</v>
      </c>
      <c r="AE2266">
        <f t="shared" si="7"/>
        <v>0</v>
      </c>
    </row>
    <row r="2267">
      <c r="X2267" t="b">
        <f t="shared" ref="X2267:Z2267" si="4510">ISBLANK(K2267)</f>
        <v>1</v>
      </c>
      <c r="Y2267" t="b">
        <f t="shared" si="4510"/>
        <v>1</v>
      </c>
      <c r="Z2267" t="b">
        <f t="shared" si="4510"/>
        <v>1</v>
      </c>
      <c r="AA2267">
        <f t="shared" ref="AA2267:AC2267" si="4511">IF(X2267=FALSE,1,0)</f>
        <v>0</v>
      </c>
      <c r="AB2267">
        <f t="shared" si="4511"/>
        <v>0</v>
      </c>
      <c r="AC2267">
        <f t="shared" si="4511"/>
        <v>0</v>
      </c>
      <c r="AD2267">
        <f t="shared" si="6"/>
        <v>0</v>
      </c>
      <c r="AE2267">
        <f t="shared" si="7"/>
        <v>0</v>
      </c>
    </row>
    <row r="2268">
      <c r="X2268" t="b">
        <f t="shared" ref="X2268:Z2268" si="4512">ISBLANK(K2268)</f>
        <v>1</v>
      </c>
      <c r="Y2268" t="b">
        <f t="shared" si="4512"/>
        <v>1</v>
      </c>
      <c r="Z2268" t="b">
        <f t="shared" si="4512"/>
        <v>1</v>
      </c>
      <c r="AA2268">
        <f t="shared" ref="AA2268:AC2268" si="4513">IF(X2268=FALSE,1,0)</f>
        <v>0</v>
      </c>
      <c r="AB2268">
        <f t="shared" si="4513"/>
        <v>0</v>
      </c>
      <c r="AC2268">
        <f t="shared" si="4513"/>
        <v>0</v>
      </c>
      <c r="AD2268">
        <f t="shared" si="6"/>
        <v>0</v>
      </c>
      <c r="AE2268">
        <f t="shared" si="7"/>
        <v>0</v>
      </c>
    </row>
    <row r="2269">
      <c r="X2269" t="b">
        <f t="shared" ref="X2269:Z2269" si="4514">ISBLANK(K2269)</f>
        <v>1</v>
      </c>
      <c r="Y2269" t="b">
        <f t="shared" si="4514"/>
        <v>1</v>
      </c>
      <c r="Z2269" t="b">
        <f t="shared" si="4514"/>
        <v>1</v>
      </c>
      <c r="AA2269">
        <f t="shared" ref="AA2269:AC2269" si="4515">IF(X2269=FALSE,1,0)</f>
        <v>0</v>
      </c>
      <c r="AB2269">
        <f t="shared" si="4515"/>
        <v>0</v>
      </c>
      <c r="AC2269">
        <f t="shared" si="4515"/>
        <v>0</v>
      </c>
      <c r="AD2269">
        <f t="shared" si="6"/>
        <v>0</v>
      </c>
      <c r="AE2269">
        <f t="shared" si="7"/>
        <v>0</v>
      </c>
    </row>
    <row r="2270">
      <c r="X2270" t="b">
        <f t="shared" ref="X2270:Z2270" si="4516">ISBLANK(K2270)</f>
        <v>1</v>
      </c>
      <c r="Y2270" t="b">
        <f t="shared" si="4516"/>
        <v>1</v>
      </c>
      <c r="Z2270" t="b">
        <f t="shared" si="4516"/>
        <v>1</v>
      </c>
      <c r="AA2270">
        <f t="shared" ref="AA2270:AC2270" si="4517">IF(X2270=FALSE,1,0)</f>
        <v>0</v>
      </c>
      <c r="AB2270">
        <f t="shared" si="4517"/>
        <v>0</v>
      </c>
      <c r="AC2270">
        <f t="shared" si="4517"/>
        <v>0</v>
      </c>
      <c r="AD2270">
        <f t="shared" si="6"/>
        <v>0</v>
      </c>
      <c r="AE2270">
        <f t="shared" si="7"/>
        <v>0</v>
      </c>
    </row>
    <row r="2271">
      <c r="X2271" t="b">
        <f t="shared" ref="X2271:Z2271" si="4518">ISBLANK(K2271)</f>
        <v>1</v>
      </c>
      <c r="Y2271" t="b">
        <f t="shared" si="4518"/>
        <v>1</v>
      </c>
      <c r="Z2271" t="b">
        <f t="shared" si="4518"/>
        <v>1</v>
      </c>
      <c r="AA2271">
        <f t="shared" ref="AA2271:AC2271" si="4519">IF(X2271=FALSE,1,0)</f>
        <v>0</v>
      </c>
      <c r="AB2271">
        <f t="shared" si="4519"/>
        <v>0</v>
      </c>
      <c r="AC2271">
        <f t="shared" si="4519"/>
        <v>0</v>
      </c>
      <c r="AD2271">
        <f t="shared" si="6"/>
        <v>0</v>
      </c>
      <c r="AE2271">
        <f t="shared" si="7"/>
        <v>0</v>
      </c>
    </row>
    <row r="2272">
      <c r="X2272" t="b">
        <f t="shared" ref="X2272:Z2272" si="4520">ISBLANK(K2272)</f>
        <v>1</v>
      </c>
      <c r="Y2272" t="b">
        <f t="shared" si="4520"/>
        <v>1</v>
      </c>
      <c r="Z2272" t="b">
        <f t="shared" si="4520"/>
        <v>1</v>
      </c>
      <c r="AA2272">
        <f t="shared" ref="AA2272:AC2272" si="4521">IF(X2272=FALSE,1,0)</f>
        <v>0</v>
      </c>
      <c r="AB2272">
        <f t="shared" si="4521"/>
        <v>0</v>
      </c>
      <c r="AC2272">
        <f t="shared" si="4521"/>
        <v>0</v>
      </c>
      <c r="AD2272">
        <f t="shared" si="6"/>
        <v>0</v>
      </c>
      <c r="AE2272">
        <f t="shared" si="7"/>
        <v>0</v>
      </c>
    </row>
    <row r="2273">
      <c r="X2273" t="b">
        <f t="shared" ref="X2273:Z2273" si="4522">ISBLANK(K2273)</f>
        <v>1</v>
      </c>
      <c r="Y2273" t="b">
        <f t="shared" si="4522"/>
        <v>1</v>
      </c>
      <c r="Z2273" t="b">
        <f t="shared" si="4522"/>
        <v>1</v>
      </c>
      <c r="AA2273">
        <f t="shared" ref="AA2273:AC2273" si="4523">IF(X2273=FALSE,1,0)</f>
        <v>0</v>
      </c>
      <c r="AB2273">
        <f t="shared" si="4523"/>
        <v>0</v>
      </c>
      <c r="AC2273">
        <f t="shared" si="4523"/>
        <v>0</v>
      </c>
      <c r="AD2273">
        <f t="shared" si="6"/>
        <v>0</v>
      </c>
      <c r="AE2273">
        <f t="shared" si="7"/>
        <v>0</v>
      </c>
    </row>
    <row r="2274">
      <c r="X2274" t="b">
        <f t="shared" ref="X2274:Z2274" si="4524">ISBLANK(K2274)</f>
        <v>1</v>
      </c>
      <c r="Y2274" t="b">
        <f t="shared" si="4524"/>
        <v>1</v>
      </c>
      <c r="Z2274" t="b">
        <f t="shared" si="4524"/>
        <v>1</v>
      </c>
      <c r="AA2274">
        <f t="shared" ref="AA2274:AC2274" si="4525">IF(X2274=FALSE,1,0)</f>
        <v>0</v>
      </c>
      <c r="AB2274">
        <f t="shared" si="4525"/>
        <v>0</v>
      </c>
      <c r="AC2274">
        <f t="shared" si="4525"/>
        <v>0</v>
      </c>
      <c r="AD2274">
        <f t="shared" si="6"/>
        <v>0</v>
      </c>
      <c r="AE2274">
        <f t="shared" si="7"/>
        <v>0</v>
      </c>
    </row>
    <row r="2275">
      <c r="X2275" t="b">
        <f t="shared" ref="X2275:Z2275" si="4526">ISBLANK(K2275)</f>
        <v>1</v>
      </c>
      <c r="Y2275" t="b">
        <f t="shared" si="4526"/>
        <v>1</v>
      </c>
      <c r="Z2275" t="b">
        <f t="shared" si="4526"/>
        <v>1</v>
      </c>
      <c r="AA2275">
        <f t="shared" ref="AA2275:AC2275" si="4527">IF(X2275=FALSE,1,0)</f>
        <v>0</v>
      </c>
      <c r="AB2275">
        <f t="shared" si="4527"/>
        <v>0</v>
      </c>
      <c r="AC2275">
        <f t="shared" si="4527"/>
        <v>0</v>
      </c>
      <c r="AD2275">
        <f t="shared" si="6"/>
        <v>0</v>
      </c>
      <c r="AE2275">
        <f t="shared" si="7"/>
        <v>0</v>
      </c>
    </row>
    <row r="2276">
      <c r="X2276" t="b">
        <f t="shared" ref="X2276:Z2276" si="4528">ISBLANK(K2276)</f>
        <v>1</v>
      </c>
      <c r="Y2276" t="b">
        <f t="shared" si="4528"/>
        <v>1</v>
      </c>
      <c r="Z2276" t="b">
        <f t="shared" si="4528"/>
        <v>1</v>
      </c>
      <c r="AA2276">
        <f t="shared" ref="AA2276:AC2276" si="4529">IF(X2276=FALSE,1,0)</f>
        <v>0</v>
      </c>
      <c r="AB2276">
        <f t="shared" si="4529"/>
        <v>0</v>
      </c>
      <c r="AC2276">
        <f t="shared" si="4529"/>
        <v>0</v>
      </c>
      <c r="AD2276">
        <f t="shared" si="6"/>
        <v>0</v>
      </c>
      <c r="AE2276">
        <f t="shared" si="7"/>
        <v>0</v>
      </c>
    </row>
    <row r="2277">
      <c r="X2277" t="b">
        <f t="shared" ref="X2277:Z2277" si="4530">ISBLANK(K2277)</f>
        <v>1</v>
      </c>
      <c r="Y2277" t="b">
        <f t="shared" si="4530"/>
        <v>1</v>
      </c>
      <c r="Z2277" t="b">
        <f t="shared" si="4530"/>
        <v>1</v>
      </c>
      <c r="AA2277">
        <f t="shared" ref="AA2277:AC2277" si="4531">IF(X2277=FALSE,1,0)</f>
        <v>0</v>
      </c>
      <c r="AB2277">
        <f t="shared" si="4531"/>
        <v>0</v>
      </c>
      <c r="AC2277">
        <f t="shared" si="4531"/>
        <v>0</v>
      </c>
      <c r="AD2277">
        <f t="shared" si="6"/>
        <v>0</v>
      </c>
      <c r="AE2277">
        <f t="shared" si="7"/>
        <v>0</v>
      </c>
    </row>
    <row r="2278">
      <c r="X2278" t="b">
        <f t="shared" ref="X2278:Z2278" si="4532">ISBLANK(K2278)</f>
        <v>1</v>
      </c>
      <c r="Y2278" t="b">
        <f t="shared" si="4532"/>
        <v>1</v>
      </c>
      <c r="Z2278" t="b">
        <f t="shared" si="4532"/>
        <v>1</v>
      </c>
      <c r="AA2278">
        <f t="shared" ref="AA2278:AC2278" si="4533">IF(X2278=FALSE,1,0)</f>
        <v>0</v>
      </c>
      <c r="AB2278">
        <f t="shared" si="4533"/>
        <v>0</v>
      </c>
      <c r="AC2278">
        <f t="shared" si="4533"/>
        <v>0</v>
      </c>
      <c r="AD2278">
        <f t="shared" si="6"/>
        <v>0</v>
      </c>
      <c r="AE2278">
        <f t="shared" si="7"/>
        <v>0</v>
      </c>
    </row>
    <row r="2279">
      <c r="X2279" t="b">
        <f t="shared" ref="X2279:Z2279" si="4534">ISBLANK(K2279)</f>
        <v>1</v>
      </c>
      <c r="Y2279" t="b">
        <f t="shared" si="4534"/>
        <v>1</v>
      </c>
      <c r="Z2279" t="b">
        <f t="shared" si="4534"/>
        <v>1</v>
      </c>
      <c r="AA2279">
        <f t="shared" ref="AA2279:AC2279" si="4535">IF(X2279=FALSE,1,0)</f>
        <v>0</v>
      </c>
      <c r="AB2279">
        <f t="shared" si="4535"/>
        <v>0</v>
      </c>
      <c r="AC2279">
        <f t="shared" si="4535"/>
        <v>0</v>
      </c>
      <c r="AD2279">
        <f t="shared" si="6"/>
        <v>0</v>
      </c>
      <c r="AE2279">
        <f t="shared" si="7"/>
        <v>0</v>
      </c>
    </row>
    <row r="2280">
      <c r="X2280" t="b">
        <f t="shared" ref="X2280:Z2280" si="4536">ISBLANK(K2280)</f>
        <v>1</v>
      </c>
      <c r="Y2280" t="b">
        <f t="shared" si="4536"/>
        <v>1</v>
      </c>
      <c r="Z2280" t="b">
        <f t="shared" si="4536"/>
        <v>1</v>
      </c>
      <c r="AA2280">
        <f t="shared" ref="AA2280:AC2280" si="4537">IF(X2280=FALSE,1,0)</f>
        <v>0</v>
      </c>
      <c r="AB2280">
        <f t="shared" si="4537"/>
        <v>0</v>
      </c>
      <c r="AC2280">
        <f t="shared" si="4537"/>
        <v>0</v>
      </c>
      <c r="AD2280">
        <f t="shared" si="6"/>
        <v>0</v>
      </c>
      <c r="AE2280">
        <f t="shared" si="7"/>
        <v>0</v>
      </c>
    </row>
    <row r="2281">
      <c r="X2281" t="b">
        <f t="shared" ref="X2281:Z2281" si="4538">ISBLANK(K2281)</f>
        <v>1</v>
      </c>
      <c r="Y2281" t="b">
        <f t="shared" si="4538"/>
        <v>1</v>
      </c>
      <c r="Z2281" t="b">
        <f t="shared" si="4538"/>
        <v>1</v>
      </c>
      <c r="AA2281">
        <f t="shared" ref="AA2281:AC2281" si="4539">IF(X2281=FALSE,1,0)</f>
        <v>0</v>
      </c>
      <c r="AB2281">
        <f t="shared" si="4539"/>
        <v>0</v>
      </c>
      <c r="AC2281">
        <f t="shared" si="4539"/>
        <v>0</v>
      </c>
      <c r="AD2281">
        <f t="shared" si="6"/>
        <v>0</v>
      </c>
      <c r="AE2281">
        <f t="shared" si="7"/>
        <v>0</v>
      </c>
    </row>
    <row r="2282">
      <c r="X2282" t="b">
        <f t="shared" ref="X2282:Z2282" si="4540">ISBLANK(K2282)</f>
        <v>1</v>
      </c>
      <c r="Y2282" t="b">
        <f t="shared" si="4540"/>
        <v>1</v>
      </c>
      <c r="Z2282" t="b">
        <f t="shared" si="4540"/>
        <v>1</v>
      </c>
      <c r="AA2282">
        <f t="shared" ref="AA2282:AC2282" si="4541">IF(X2282=FALSE,1,0)</f>
        <v>0</v>
      </c>
      <c r="AB2282">
        <f t="shared" si="4541"/>
        <v>0</v>
      </c>
      <c r="AC2282">
        <f t="shared" si="4541"/>
        <v>0</v>
      </c>
      <c r="AD2282">
        <f t="shared" si="6"/>
        <v>0</v>
      </c>
      <c r="AE2282">
        <f t="shared" si="7"/>
        <v>0</v>
      </c>
    </row>
    <row r="2283">
      <c r="X2283" t="b">
        <f t="shared" ref="X2283:Z2283" si="4542">ISBLANK(K2283)</f>
        <v>1</v>
      </c>
      <c r="Y2283" t="b">
        <f t="shared" si="4542"/>
        <v>1</v>
      </c>
      <c r="Z2283" t="b">
        <f t="shared" si="4542"/>
        <v>1</v>
      </c>
      <c r="AA2283">
        <f t="shared" ref="AA2283:AC2283" si="4543">IF(X2283=FALSE,1,0)</f>
        <v>0</v>
      </c>
      <c r="AB2283">
        <f t="shared" si="4543"/>
        <v>0</v>
      </c>
      <c r="AC2283">
        <f t="shared" si="4543"/>
        <v>0</v>
      </c>
      <c r="AD2283">
        <f t="shared" si="6"/>
        <v>0</v>
      </c>
      <c r="AE2283">
        <f t="shared" si="7"/>
        <v>0</v>
      </c>
    </row>
    <row r="2284">
      <c r="X2284" t="b">
        <f t="shared" ref="X2284:Z2284" si="4544">ISBLANK(K2284)</f>
        <v>1</v>
      </c>
      <c r="Y2284" t="b">
        <f t="shared" si="4544"/>
        <v>1</v>
      </c>
      <c r="Z2284" t="b">
        <f t="shared" si="4544"/>
        <v>1</v>
      </c>
      <c r="AA2284">
        <f t="shared" ref="AA2284:AC2284" si="4545">IF(X2284=FALSE,1,0)</f>
        <v>0</v>
      </c>
      <c r="AB2284">
        <f t="shared" si="4545"/>
        <v>0</v>
      </c>
      <c r="AC2284">
        <f t="shared" si="4545"/>
        <v>0</v>
      </c>
      <c r="AD2284">
        <f t="shared" si="6"/>
        <v>0</v>
      </c>
      <c r="AE2284">
        <f t="shared" si="7"/>
        <v>0</v>
      </c>
    </row>
    <row r="2285">
      <c r="X2285" t="b">
        <f t="shared" ref="X2285:Z2285" si="4546">ISBLANK(K2285)</f>
        <v>1</v>
      </c>
      <c r="Y2285" t="b">
        <f t="shared" si="4546"/>
        <v>1</v>
      </c>
      <c r="Z2285" t="b">
        <f t="shared" si="4546"/>
        <v>1</v>
      </c>
      <c r="AA2285">
        <f t="shared" ref="AA2285:AC2285" si="4547">IF(X2285=FALSE,1,0)</f>
        <v>0</v>
      </c>
      <c r="AB2285">
        <f t="shared" si="4547"/>
        <v>0</v>
      </c>
      <c r="AC2285">
        <f t="shared" si="4547"/>
        <v>0</v>
      </c>
      <c r="AD2285">
        <f t="shared" si="6"/>
        <v>0</v>
      </c>
      <c r="AE2285">
        <f t="shared" si="7"/>
        <v>0</v>
      </c>
    </row>
    <row r="2286">
      <c r="X2286" t="b">
        <f t="shared" ref="X2286:Z2286" si="4548">ISBLANK(K2286)</f>
        <v>1</v>
      </c>
      <c r="Y2286" t="b">
        <f t="shared" si="4548"/>
        <v>1</v>
      </c>
      <c r="Z2286" t="b">
        <f t="shared" si="4548"/>
        <v>1</v>
      </c>
      <c r="AA2286">
        <f t="shared" ref="AA2286:AC2286" si="4549">IF(X2286=FALSE,1,0)</f>
        <v>0</v>
      </c>
      <c r="AB2286">
        <f t="shared" si="4549"/>
        <v>0</v>
      </c>
      <c r="AC2286">
        <f t="shared" si="4549"/>
        <v>0</v>
      </c>
      <c r="AD2286">
        <f t="shared" si="6"/>
        <v>0</v>
      </c>
      <c r="AE2286">
        <f t="shared" si="7"/>
        <v>0</v>
      </c>
    </row>
    <row r="2287">
      <c r="X2287" t="b">
        <f t="shared" ref="X2287:Z2287" si="4550">ISBLANK(K2287)</f>
        <v>1</v>
      </c>
      <c r="Y2287" t="b">
        <f t="shared" si="4550"/>
        <v>1</v>
      </c>
      <c r="Z2287" t="b">
        <f t="shared" si="4550"/>
        <v>1</v>
      </c>
      <c r="AA2287">
        <f t="shared" ref="AA2287:AC2287" si="4551">IF(X2287=FALSE,1,0)</f>
        <v>0</v>
      </c>
      <c r="AB2287">
        <f t="shared" si="4551"/>
        <v>0</v>
      </c>
      <c r="AC2287">
        <f t="shared" si="4551"/>
        <v>0</v>
      </c>
      <c r="AD2287">
        <f t="shared" si="6"/>
        <v>0</v>
      </c>
      <c r="AE2287">
        <f t="shared" si="7"/>
        <v>0</v>
      </c>
    </row>
    <row r="2288">
      <c r="X2288" t="b">
        <f t="shared" ref="X2288:Z2288" si="4552">ISBLANK(K2288)</f>
        <v>1</v>
      </c>
      <c r="Y2288" t="b">
        <f t="shared" si="4552"/>
        <v>1</v>
      </c>
      <c r="Z2288" t="b">
        <f t="shared" si="4552"/>
        <v>1</v>
      </c>
      <c r="AA2288">
        <f t="shared" ref="AA2288:AC2288" si="4553">IF(X2288=FALSE,1,0)</f>
        <v>0</v>
      </c>
      <c r="AB2288">
        <f t="shared" si="4553"/>
        <v>0</v>
      </c>
      <c r="AC2288">
        <f t="shared" si="4553"/>
        <v>0</v>
      </c>
      <c r="AD2288">
        <f t="shared" si="6"/>
        <v>0</v>
      </c>
      <c r="AE2288">
        <f t="shared" si="7"/>
        <v>0</v>
      </c>
    </row>
    <row r="2289">
      <c r="X2289" t="b">
        <f t="shared" ref="X2289:Z2289" si="4554">ISBLANK(K2289)</f>
        <v>1</v>
      </c>
      <c r="Y2289" t="b">
        <f t="shared" si="4554"/>
        <v>1</v>
      </c>
      <c r="Z2289" t="b">
        <f t="shared" si="4554"/>
        <v>1</v>
      </c>
      <c r="AA2289">
        <f t="shared" ref="AA2289:AC2289" si="4555">IF(X2289=FALSE,1,0)</f>
        <v>0</v>
      </c>
      <c r="AB2289">
        <f t="shared" si="4555"/>
        <v>0</v>
      </c>
      <c r="AC2289">
        <f t="shared" si="4555"/>
        <v>0</v>
      </c>
      <c r="AD2289">
        <f t="shared" si="6"/>
        <v>0</v>
      </c>
      <c r="AE2289">
        <f t="shared" si="7"/>
        <v>0</v>
      </c>
    </row>
    <row r="2290">
      <c r="X2290" t="b">
        <f t="shared" ref="X2290:Z2290" si="4556">ISBLANK(K2290)</f>
        <v>1</v>
      </c>
      <c r="Y2290" t="b">
        <f t="shared" si="4556"/>
        <v>1</v>
      </c>
      <c r="Z2290" t="b">
        <f t="shared" si="4556"/>
        <v>1</v>
      </c>
      <c r="AA2290">
        <f t="shared" ref="AA2290:AC2290" si="4557">IF(X2290=FALSE,1,0)</f>
        <v>0</v>
      </c>
      <c r="AB2290">
        <f t="shared" si="4557"/>
        <v>0</v>
      </c>
      <c r="AC2290">
        <f t="shared" si="4557"/>
        <v>0</v>
      </c>
      <c r="AD2290">
        <f t="shared" si="6"/>
        <v>0</v>
      </c>
      <c r="AE2290">
        <f t="shared" si="7"/>
        <v>0</v>
      </c>
    </row>
    <row r="2291">
      <c r="X2291" t="b">
        <f t="shared" ref="X2291:Z2291" si="4558">ISBLANK(K2291)</f>
        <v>1</v>
      </c>
      <c r="Y2291" t="b">
        <f t="shared" si="4558"/>
        <v>1</v>
      </c>
      <c r="Z2291" t="b">
        <f t="shared" si="4558"/>
        <v>1</v>
      </c>
      <c r="AA2291">
        <f t="shared" ref="AA2291:AC2291" si="4559">IF(X2291=FALSE,1,0)</f>
        <v>0</v>
      </c>
      <c r="AB2291">
        <f t="shared" si="4559"/>
        <v>0</v>
      </c>
      <c r="AC2291">
        <f t="shared" si="4559"/>
        <v>0</v>
      </c>
      <c r="AD2291">
        <f t="shared" si="6"/>
        <v>0</v>
      </c>
      <c r="AE2291">
        <f t="shared" si="7"/>
        <v>0</v>
      </c>
    </row>
    <row r="2292">
      <c r="X2292" t="b">
        <f t="shared" ref="X2292:Z2292" si="4560">ISBLANK(K2292)</f>
        <v>1</v>
      </c>
      <c r="Y2292" t="b">
        <f t="shared" si="4560"/>
        <v>1</v>
      </c>
      <c r="Z2292" t="b">
        <f t="shared" si="4560"/>
        <v>1</v>
      </c>
      <c r="AA2292">
        <f t="shared" ref="AA2292:AC2292" si="4561">IF(X2292=FALSE,1,0)</f>
        <v>0</v>
      </c>
      <c r="AB2292">
        <f t="shared" si="4561"/>
        <v>0</v>
      </c>
      <c r="AC2292">
        <f t="shared" si="4561"/>
        <v>0</v>
      </c>
      <c r="AD2292">
        <f t="shared" si="6"/>
        <v>0</v>
      </c>
      <c r="AE2292">
        <f t="shared" si="7"/>
        <v>0</v>
      </c>
    </row>
    <row r="2293">
      <c r="X2293" t="b">
        <f t="shared" ref="X2293:Z2293" si="4562">ISBLANK(K2293)</f>
        <v>1</v>
      </c>
      <c r="Y2293" t="b">
        <f t="shared" si="4562"/>
        <v>1</v>
      </c>
      <c r="Z2293" t="b">
        <f t="shared" si="4562"/>
        <v>1</v>
      </c>
      <c r="AA2293">
        <f t="shared" ref="AA2293:AC2293" si="4563">IF(X2293=FALSE,1,0)</f>
        <v>0</v>
      </c>
      <c r="AB2293">
        <f t="shared" si="4563"/>
        <v>0</v>
      </c>
      <c r="AC2293">
        <f t="shared" si="4563"/>
        <v>0</v>
      </c>
      <c r="AD2293">
        <f t="shared" si="6"/>
        <v>0</v>
      </c>
      <c r="AE2293">
        <f t="shared" si="7"/>
        <v>0</v>
      </c>
    </row>
    <row r="2294">
      <c r="X2294" t="b">
        <f t="shared" ref="X2294:Z2294" si="4564">ISBLANK(K2294)</f>
        <v>1</v>
      </c>
      <c r="Y2294" t="b">
        <f t="shared" si="4564"/>
        <v>1</v>
      </c>
      <c r="Z2294" t="b">
        <f t="shared" si="4564"/>
        <v>1</v>
      </c>
      <c r="AA2294">
        <f t="shared" ref="AA2294:AC2294" si="4565">IF(X2294=FALSE,1,0)</f>
        <v>0</v>
      </c>
      <c r="AB2294">
        <f t="shared" si="4565"/>
        <v>0</v>
      </c>
      <c r="AC2294">
        <f t="shared" si="4565"/>
        <v>0</v>
      </c>
      <c r="AD2294">
        <f t="shared" si="6"/>
        <v>0</v>
      </c>
      <c r="AE2294">
        <f t="shared" si="7"/>
        <v>0</v>
      </c>
    </row>
    <row r="2295">
      <c r="X2295" t="b">
        <f t="shared" ref="X2295:Z2295" si="4566">ISBLANK(K2295)</f>
        <v>1</v>
      </c>
      <c r="Y2295" t="b">
        <f t="shared" si="4566"/>
        <v>1</v>
      </c>
      <c r="Z2295" t="b">
        <f t="shared" si="4566"/>
        <v>1</v>
      </c>
      <c r="AA2295">
        <f t="shared" ref="AA2295:AC2295" si="4567">IF(X2295=FALSE,1,0)</f>
        <v>0</v>
      </c>
      <c r="AB2295">
        <f t="shared" si="4567"/>
        <v>0</v>
      </c>
      <c r="AC2295">
        <f t="shared" si="4567"/>
        <v>0</v>
      </c>
      <c r="AD2295">
        <f t="shared" si="6"/>
        <v>0</v>
      </c>
      <c r="AE2295">
        <f t="shared" si="7"/>
        <v>0</v>
      </c>
    </row>
    <row r="2296">
      <c r="X2296" t="b">
        <f t="shared" ref="X2296:Z2296" si="4568">ISBLANK(K2296)</f>
        <v>1</v>
      </c>
      <c r="Y2296" t="b">
        <f t="shared" si="4568"/>
        <v>1</v>
      </c>
      <c r="Z2296" t="b">
        <f t="shared" si="4568"/>
        <v>1</v>
      </c>
      <c r="AA2296">
        <f t="shared" ref="AA2296:AC2296" si="4569">IF(X2296=FALSE,1,0)</f>
        <v>0</v>
      </c>
      <c r="AB2296">
        <f t="shared" si="4569"/>
        <v>0</v>
      </c>
      <c r="AC2296">
        <f t="shared" si="4569"/>
        <v>0</v>
      </c>
      <c r="AD2296">
        <f t="shared" si="6"/>
        <v>0</v>
      </c>
      <c r="AE2296">
        <f t="shared" si="7"/>
        <v>0</v>
      </c>
    </row>
    <row r="2297">
      <c r="X2297" t="b">
        <f t="shared" ref="X2297:Z2297" si="4570">ISBLANK(K2297)</f>
        <v>1</v>
      </c>
      <c r="Y2297" t="b">
        <f t="shared" si="4570"/>
        <v>1</v>
      </c>
      <c r="Z2297" t="b">
        <f t="shared" si="4570"/>
        <v>1</v>
      </c>
      <c r="AA2297">
        <f t="shared" ref="AA2297:AC2297" si="4571">IF(X2297=FALSE,1,0)</f>
        <v>0</v>
      </c>
      <c r="AB2297">
        <f t="shared" si="4571"/>
        <v>0</v>
      </c>
      <c r="AC2297">
        <f t="shared" si="4571"/>
        <v>0</v>
      </c>
      <c r="AD2297">
        <f t="shared" si="6"/>
        <v>0</v>
      </c>
      <c r="AE2297">
        <f t="shared" si="7"/>
        <v>0</v>
      </c>
    </row>
    <row r="2298">
      <c r="X2298" t="b">
        <f t="shared" ref="X2298:Z2298" si="4572">ISBLANK(K2298)</f>
        <v>1</v>
      </c>
      <c r="Y2298" t="b">
        <f t="shared" si="4572"/>
        <v>1</v>
      </c>
      <c r="Z2298" t="b">
        <f t="shared" si="4572"/>
        <v>1</v>
      </c>
      <c r="AA2298">
        <f t="shared" ref="AA2298:AC2298" si="4573">IF(X2298=FALSE,1,0)</f>
        <v>0</v>
      </c>
      <c r="AB2298">
        <f t="shared" si="4573"/>
        <v>0</v>
      </c>
      <c r="AC2298">
        <f t="shared" si="4573"/>
        <v>0</v>
      </c>
      <c r="AD2298">
        <f t="shared" si="6"/>
        <v>0</v>
      </c>
      <c r="AE2298">
        <f t="shared" si="7"/>
        <v>0</v>
      </c>
    </row>
    <row r="2299">
      <c r="X2299" t="b">
        <f t="shared" ref="X2299:Z2299" si="4574">ISBLANK(K2299)</f>
        <v>1</v>
      </c>
      <c r="Y2299" t="b">
        <f t="shared" si="4574"/>
        <v>1</v>
      </c>
      <c r="Z2299" t="b">
        <f t="shared" si="4574"/>
        <v>1</v>
      </c>
      <c r="AA2299">
        <f t="shared" ref="AA2299:AC2299" si="4575">IF(X2299=FALSE,1,0)</f>
        <v>0</v>
      </c>
      <c r="AB2299">
        <f t="shared" si="4575"/>
        <v>0</v>
      </c>
      <c r="AC2299">
        <f t="shared" si="4575"/>
        <v>0</v>
      </c>
      <c r="AD2299">
        <f t="shared" si="6"/>
        <v>0</v>
      </c>
      <c r="AE2299">
        <f t="shared" si="7"/>
        <v>0</v>
      </c>
    </row>
    <row r="2300">
      <c r="X2300" t="b">
        <f t="shared" ref="X2300:Z2300" si="4576">ISBLANK(K2300)</f>
        <v>1</v>
      </c>
      <c r="Y2300" t="b">
        <f t="shared" si="4576"/>
        <v>1</v>
      </c>
      <c r="Z2300" t="b">
        <f t="shared" si="4576"/>
        <v>1</v>
      </c>
      <c r="AA2300">
        <f t="shared" ref="AA2300:AC2300" si="4577">IF(X2300=FALSE,1,0)</f>
        <v>0</v>
      </c>
      <c r="AB2300">
        <f t="shared" si="4577"/>
        <v>0</v>
      </c>
      <c r="AC2300">
        <f t="shared" si="4577"/>
        <v>0</v>
      </c>
      <c r="AD2300">
        <f t="shared" si="6"/>
        <v>0</v>
      </c>
      <c r="AE2300">
        <f t="shared" si="7"/>
        <v>0</v>
      </c>
    </row>
    <row r="2301">
      <c r="X2301" t="b">
        <f t="shared" ref="X2301:Z2301" si="4578">ISBLANK(K2301)</f>
        <v>1</v>
      </c>
      <c r="Y2301" t="b">
        <f t="shared" si="4578"/>
        <v>1</v>
      </c>
      <c r="Z2301" t="b">
        <f t="shared" si="4578"/>
        <v>1</v>
      </c>
      <c r="AA2301">
        <f t="shared" ref="AA2301:AC2301" si="4579">IF(X2301=FALSE,1,0)</f>
        <v>0</v>
      </c>
      <c r="AB2301">
        <f t="shared" si="4579"/>
        <v>0</v>
      </c>
      <c r="AC2301">
        <f t="shared" si="4579"/>
        <v>0</v>
      </c>
      <c r="AD2301">
        <f t="shared" si="6"/>
        <v>0</v>
      </c>
      <c r="AE2301">
        <f t="shared" si="7"/>
        <v>0</v>
      </c>
    </row>
    <row r="2302">
      <c r="X2302" t="b">
        <f t="shared" ref="X2302:Z2302" si="4580">ISBLANK(K2302)</f>
        <v>1</v>
      </c>
      <c r="Y2302" t="b">
        <f t="shared" si="4580"/>
        <v>1</v>
      </c>
      <c r="Z2302" t="b">
        <f t="shared" si="4580"/>
        <v>1</v>
      </c>
      <c r="AA2302">
        <f t="shared" ref="AA2302:AC2302" si="4581">IF(X2302=FALSE,1,0)</f>
        <v>0</v>
      </c>
      <c r="AB2302">
        <f t="shared" si="4581"/>
        <v>0</v>
      </c>
      <c r="AC2302">
        <f t="shared" si="4581"/>
        <v>0</v>
      </c>
      <c r="AD2302">
        <f t="shared" si="6"/>
        <v>0</v>
      </c>
      <c r="AE2302">
        <f t="shared" si="7"/>
        <v>0</v>
      </c>
    </row>
    <row r="2303">
      <c r="X2303" t="b">
        <f t="shared" ref="X2303:Z2303" si="4582">ISBLANK(K2303)</f>
        <v>1</v>
      </c>
      <c r="Y2303" t="b">
        <f t="shared" si="4582"/>
        <v>1</v>
      </c>
      <c r="Z2303" t="b">
        <f t="shared" si="4582"/>
        <v>1</v>
      </c>
      <c r="AA2303">
        <f t="shared" ref="AA2303:AC2303" si="4583">IF(X2303=FALSE,1,0)</f>
        <v>0</v>
      </c>
      <c r="AB2303">
        <f t="shared" si="4583"/>
        <v>0</v>
      </c>
      <c r="AC2303">
        <f t="shared" si="4583"/>
        <v>0</v>
      </c>
      <c r="AD2303">
        <f t="shared" si="6"/>
        <v>0</v>
      </c>
      <c r="AE2303">
        <f t="shared" si="7"/>
        <v>0</v>
      </c>
    </row>
    <row r="2304">
      <c r="X2304" t="b">
        <f t="shared" ref="X2304:Z2304" si="4584">ISBLANK(K2304)</f>
        <v>1</v>
      </c>
      <c r="Y2304" t="b">
        <f t="shared" si="4584"/>
        <v>1</v>
      </c>
      <c r="Z2304" t="b">
        <f t="shared" si="4584"/>
        <v>1</v>
      </c>
      <c r="AA2304">
        <f t="shared" ref="AA2304:AC2304" si="4585">IF(X2304=FALSE,1,0)</f>
        <v>0</v>
      </c>
      <c r="AB2304">
        <f t="shared" si="4585"/>
        <v>0</v>
      </c>
      <c r="AC2304">
        <f t="shared" si="4585"/>
        <v>0</v>
      </c>
      <c r="AD2304">
        <f t="shared" si="6"/>
        <v>0</v>
      </c>
      <c r="AE2304">
        <f t="shared" si="7"/>
        <v>0</v>
      </c>
    </row>
    <row r="2305">
      <c r="X2305" t="b">
        <f t="shared" ref="X2305:Z2305" si="4586">ISBLANK(K2305)</f>
        <v>1</v>
      </c>
      <c r="Y2305" t="b">
        <f t="shared" si="4586"/>
        <v>1</v>
      </c>
      <c r="Z2305" t="b">
        <f t="shared" si="4586"/>
        <v>1</v>
      </c>
      <c r="AA2305">
        <f t="shared" ref="AA2305:AC2305" si="4587">IF(X2305=FALSE,1,0)</f>
        <v>0</v>
      </c>
      <c r="AB2305">
        <f t="shared" si="4587"/>
        <v>0</v>
      </c>
      <c r="AC2305">
        <f t="shared" si="4587"/>
        <v>0</v>
      </c>
      <c r="AD2305">
        <f t="shared" si="6"/>
        <v>0</v>
      </c>
      <c r="AE2305">
        <f t="shared" si="7"/>
        <v>0</v>
      </c>
    </row>
    <row r="2306">
      <c r="X2306" t="b">
        <f t="shared" ref="X2306:Z2306" si="4588">ISBLANK(K2306)</f>
        <v>1</v>
      </c>
      <c r="Y2306" t="b">
        <f t="shared" si="4588"/>
        <v>1</v>
      </c>
      <c r="Z2306" t="b">
        <f t="shared" si="4588"/>
        <v>1</v>
      </c>
      <c r="AA2306">
        <f t="shared" ref="AA2306:AC2306" si="4589">IF(X2306=FALSE,1,0)</f>
        <v>0</v>
      </c>
      <c r="AB2306">
        <f t="shared" si="4589"/>
        <v>0</v>
      </c>
      <c r="AC2306">
        <f t="shared" si="4589"/>
        <v>0</v>
      </c>
      <c r="AD2306">
        <f t="shared" si="6"/>
        <v>0</v>
      </c>
      <c r="AE2306">
        <f t="shared" si="7"/>
        <v>0</v>
      </c>
    </row>
    <row r="2307">
      <c r="X2307" t="b">
        <f t="shared" ref="X2307:Z2307" si="4590">ISBLANK(K2307)</f>
        <v>1</v>
      </c>
      <c r="Y2307" t="b">
        <f t="shared" si="4590"/>
        <v>1</v>
      </c>
      <c r="Z2307" t="b">
        <f t="shared" si="4590"/>
        <v>1</v>
      </c>
      <c r="AA2307">
        <f t="shared" ref="AA2307:AC2307" si="4591">IF(X2307=FALSE,1,0)</f>
        <v>0</v>
      </c>
      <c r="AB2307">
        <f t="shared" si="4591"/>
        <v>0</v>
      </c>
      <c r="AC2307">
        <f t="shared" si="4591"/>
        <v>0</v>
      </c>
      <c r="AD2307">
        <f t="shared" si="6"/>
        <v>0</v>
      </c>
      <c r="AE2307">
        <f t="shared" si="7"/>
        <v>0</v>
      </c>
    </row>
    <row r="2308">
      <c r="X2308" t="b">
        <f t="shared" ref="X2308:Z2308" si="4592">ISBLANK(K2308)</f>
        <v>1</v>
      </c>
      <c r="Y2308" t="b">
        <f t="shared" si="4592"/>
        <v>1</v>
      </c>
      <c r="Z2308" t="b">
        <f t="shared" si="4592"/>
        <v>1</v>
      </c>
      <c r="AA2308">
        <f t="shared" ref="AA2308:AC2308" si="4593">IF(X2308=FALSE,1,0)</f>
        <v>0</v>
      </c>
      <c r="AB2308">
        <f t="shared" si="4593"/>
        <v>0</v>
      </c>
      <c r="AC2308">
        <f t="shared" si="4593"/>
        <v>0</v>
      </c>
      <c r="AD2308">
        <f t="shared" si="6"/>
        <v>0</v>
      </c>
      <c r="AE2308">
        <f t="shared" si="7"/>
        <v>0</v>
      </c>
    </row>
    <row r="2309">
      <c r="X2309" t="b">
        <f t="shared" ref="X2309:Z2309" si="4594">ISBLANK(K2309)</f>
        <v>1</v>
      </c>
      <c r="Y2309" t="b">
        <f t="shared" si="4594"/>
        <v>1</v>
      </c>
      <c r="Z2309" t="b">
        <f t="shared" si="4594"/>
        <v>1</v>
      </c>
      <c r="AA2309">
        <f t="shared" ref="AA2309:AC2309" si="4595">IF(X2309=FALSE,1,0)</f>
        <v>0</v>
      </c>
      <c r="AB2309">
        <f t="shared" si="4595"/>
        <v>0</v>
      </c>
      <c r="AC2309">
        <f t="shared" si="4595"/>
        <v>0</v>
      </c>
      <c r="AD2309">
        <f t="shared" si="6"/>
        <v>0</v>
      </c>
      <c r="AE2309">
        <f t="shared" si="7"/>
        <v>0</v>
      </c>
    </row>
    <row r="2310">
      <c r="X2310" t="b">
        <f t="shared" ref="X2310:Z2310" si="4596">ISBLANK(K2310)</f>
        <v>1</v>
      </c>
      <c r="Y2310" t="b">
        <f t="shared" si="4596"/>
        <v>1</v>
      </c>
      <c r="Z2310" t="b">
        <f t="shared" si="4596"/>
        <v>1</v>
      </c>
      <c r="AA2310">
        <f t="shared" ref="AA2310:AC2310" si="4597">IF(X2310=FALSE,1,0)</f>
        <v>0</v>
      </c>
      <c r="AB2310">
        <f t="shared" si="4597"/>
        <v>0</v>
      </c>
      <c r="AC2310">
        <f t="shared" si="4597"/>
        <v>0</v>
      </c>
      <c r="AD2310">
        <f t="shared" si="6"/>
        <v>0</v>
      </c>
      <c r="AE2310">
        <f t="shared" si="7"/>
        <v>0</v>
      </c>
    </row>
    <row r="2311">
      <c r="X2311" t="b">
        <f t="shared" ref="X2311:Z2311" si="4598">ISBLANK(K2311)</f>
        <v>1</v>
      </c>
      <c r="Y2311" t="b">
        <f t="shared" si="4598"/>
        <v>1</v>
      </c>
      <c r="Z2311" t="b">
        <f t="shared" si="4598"/>
        <v>1</v>
      </c>
      <c r="AA2311">
        <f t="shared" ref="AA2311:AC2311" si="4599">IF(X2311=FALSE,1,0)</f>
        <v>0</v>
      </c>
      <c r="AB2311">
        <f t="shared" si="4599"/>
        <v>0</v>
      </c>
      <c r="AC2311">
        <f t="shared" si="4599"/>
        <v>0</v>
      </c>
      <c r="AD2311">
        <f t="shared" si="6"/>
        <v>0</v>
      </c>
      <c r="AE2311">
        <f t="shared" si="7"/>
        <v>0</v>
      </c>
    </row>
    <row r="2312">
      <c r="X2312" t="b">
        <f t="shared" ref="X2312:Z2312" si="4600">ISBLANK(K2312)</f>
        <v>1</v>
      </c>
      <c r="Y2312" t="b">
        <f t="shared" si="4600"/>
        <v>1</v>
      </c>
      <c r="Z2312" t="b">
        <f t="shared" si="4600"/>
        <v>1</v>
      </c>
      <c r="AA2312">
        <f t="shared" ref="AA2312:AC2312" si="4601">IF(X2312=FALSE,1,0)</f>
        <v>0</v>
      </c>
      <c r="AB2312">
        <f t="shared" si="4601"/>
        <v>0</v>
      </c>
      <c r="AC2312">
        <f t="shared" si="4601"/>
        <v>0</v>
      </c>
      <c r="AD2312">
        <f t="shared" si="6"/>
        <v>0</v>
      </c>
      <c r="AE2312">
        <f t="shared" si="7"/>
        <v>0</v>
      </c>
    </row>
    <row r="2313">
      <c r="X2313" t="b">
        <f t="shared" ref="X2313:Z2313" si="4602">ISBLANK(K2313)</f>
        <v>1</v>
      </c>
      <c r="Y2313" t="b">
        <f t="shared" si="4602"/>
        <v>1</v>
      </c>
      <c r="Z2313" t="b">
        <f t="shared" si="4602"/>
        <v>1</v>
      </c>
      <c r="AA2313">
        <f t="shared" ref="AA2313:AC2313" si="4603">IF(X2313=FALSE,1,0)</f>
        <v>0</v>
      </c>
      <c r="AB2313">
        <f t="shared" si="4603"/>
        <v>0</v>
      </c>
      <c r="AC2313">
        <f t="shared" si="4603"/>
        <v>0</v>
      </c>
      <c r="AD2313">
        <f t="shared" si="6"/>
        <v>0</v>
      </c>
      <c r="AE2313">
        <f t="shared" si="7"/>
        <v>0</v>
      </c>
    </row>
    <row r="2314">
      <c r="X2314" t="b">
        <f t="shared" ref="X2314:Z2314" si="4604">ISBLANK(K2314)</f>
        <v>1</v>
      </c>
      <c r="Y2314" t="b">
        <f t="shared" si="4604"/>
        <v>1</v>
      </c>
      <c r="Z2314" t="b">
        <f t="shared" si="4604"/>
        <v>1</v>
      </c>
      <c r="AA2314">
        <f t="shared" ref="AA2314:AC2314" si="4605">IF(X2314=FALSE,1,0)</f>
        <v>0</v>
      </c>
      <c r="AB2314">
        <f t="shared" si="4605"/>
        <v>0</v>
      </c>
      <c r="AC2314">
        <f t="shared" si="4605"/>
        <v>0</v>
      </c>
      <c r="AD2314">
        <f t="shared" si="6"/>
        <v>0</v>
      </c>
      <c r="AE2314">
        <f t="shared" si="7"/>
        <v>0</v>
      </c>
    </row>
    <row r="2315">
      <c r="X2315" t="b">
        <f t="shared" ref="X2315:Z2315" si="4606">ISBLANK(K2315)</f>
        <v>1</v>
      </c>
      <c r="Y2315" t="b">
        <f t="shared" si="4606"/>
        <v>1</v>
      </c>
      <c r="Z2315" t="b">
        <f t="shared" si="4606"/>
        <v>1</v>
      </c>
      <c r="AA2315">
        <f t="shared" ref="AA2315:AC2315" si="4607">IF(X2315=FALSE,1,0)</f>
        <v>0</v>
      </c>
      <c r="AB2315">
        <f t="shared" si="4607"/>
        <v>0</v>
      </c>
      <c r="AC2315">
        <f t="shared" si="4607"/>
        <v>0</v>
      </c>
      <c r="AD2315">
        <f t="shared" si="6"/>
        <v>0</v>
      </c>
      <c r="AE2315">
        <f t="shared" si="7"/>
        <v>0</v>
      </c>
    </row>
    <row r="2316">
      <c r="X2316" t="b">
        <f t="shared" ref="X2316:Z2316" si="4608">ISBLANK(K2316)</f>
        <v>1</v>
      </c>
      <c r="Y2316" t="b">
        <f t="shared" si="4608"/>
        <v>1</v>
      </c>
      <c r="Z2316" t="b">
        <f t="shared" si="4608"/>
        <v>1</v>
      </c>
      <c r="AA2316">
        <f t="shared" ref="AA2316:AC2316" si="4609">IF(X2316=FALSE,1,0)</f>
        <v>0</v>
      </c>
      <c r="AB2316">
        <f t="shared" si="4609"/>
        <v>0</v>
      </c>
      <c r="AC2316">
        <f t="shared" si="4609"/>
        <v>0</v>
      </c>
      <c r="AD2316">
        <f t="shared" si="6"/>
        <v>0</v>
      </c>
      <c r="AE2316">
        <f t="shared" si="7"/>
        <v>0</v>
      </c>
    </row>
    <row r="2317">
      <c r="X2317" t="b">
        <f t="shared" ref="X2317:Z2317" si="4610">ISBLANK(K2317)</f>
        <v>1</v>
      </c>
      <c r="Y2317" t="b">
        <f t="shared" si="4610"/>
        <v>1</v>
      </c>
      <c r="Z2317" t="b">
        <f t="shared" si="4610"/>
        <v>1</v>
      </c>
      <c r="AA2317">
        <f t="shared" ref="AA2317:AC2317" si="4611">IF(X2317=FALSE,1,0)</f>
        <v>0</v>
      </c>
      <c r="AB2317">
        <f t="shared" si="4611"/>
        <v>0</v>
      </c>
      <c r="AC2317">
        <f t="shared" si="4611"/>
        <v>0</v>
      </c>
      <c r="AD2317">
        <f t="shared" si="6"/>
        <v>0</v>
      </c>
      <c r="AE2317">
        <f t="shared" si="7"/>
        <v>0</v>
      </c>
    </row>
    <row r="2318">
      <c r="X2318" t="b">
        <f t="shared" ref="X2318:Z2318" si="4612">ISBLANK(K2318)</f>
        <v>1</v>
      </c>
      <c r="Y2318" t="b">
        <f t="shared" si="4612"/>
        <v>1</v>
      </c>
      <c r="Z2318" t="b">
        <f t="shared" si="4612"/>
        <v>1</v>
      </c>
      <c r="AA2318">
        <f t="shared" ref="AA2318:AC2318" si="4613">IF(X2318=FALSE,1,0)</f>
        <v>0</v>
      </c>
      <c r="AB2318">
        <f t="shared" si="4613"/>
        <v>0</v>
      </c>
      <c r="AC2318">
        <f t="shared" si="4613"/>
        <v>0</v>
      </c>
      <c r="AD2318">
        <f t="shared" si="6"/>
        <v>0</v>
      </c>
      <c r="AE2318">
        <f t="shared" si="7"/>
        <v>0</v>
      </c>
    </row>
    <row r="2319">
      <c r="X2319" t="b">
        <f t="shared" ref="X2319:Z2319" si="4614">ISBLANK(K2319)</f>
        <v>1</v>
      </c>
      <c r="Y2319" t="b">
        <f t="shared" si="4614"/>
        <v>1</v>
      </c>
      <c r="Z2319" t="b">
        <f t="shared" si="4614"/>
        <v>1</v>
      </c>
      <c r="AA2319">
        <f t="shared" ref="AA2319:AC2319" si="4615">IF(X2319=FALSE,1,0)</f>
        <v>0</v>
      </c>
      <c r="AB2319">
        <f t="shared" si="4615"/>
        <v>0</v>
      </c>
      <c r="AC2319">
        <f t="shared" si="4615"/>
        <v>0</v>
      </c>
      <c r="AD2319">
        <f t="shared" si="6"/>
        <v>0</v>
      </c>
      <c r="AE2319">
        <f t="shared" si="7"/>
        <v>0</v>
      </c>
    </row>
    <row r="2320">
      <c r="X2320" t="b">
        <f t="shared" ref="X2320:Z2320" si="4616">ISBLANK(K2320)</f>
        <v>1</v>
      </c>
      <c r="Y2320" t="b">
        <f t="shared" si="4616"/>
        <v>1</v>
      </c>
      <c r="Z2320" t="b">
        <f t="shared" si="4616"/>
        <v>1</v>
      </c>
      <c r="AA2320">
        <f t="shared" ref="AA2320:AC2320" si="4617">IF(X2320=FALSE,1,0)</f>
        <v>0</v>
      </c>
      <c r="AB2320">
        <f t="shared" si="4617"/>
        <v>0</v>
      </c>
      <c r="AC2320">
        <f t="shared" si="4617"/>
        <v>0</v>
      </c>
      <c r="AD2320">
        <f t="shared" si="6"/>
        <v>0</v>
      </c>
      <c r="AE2320">
        <f t="shared" si="7"/>
        <v>0</v>
      </c>
    </row>
    <row r="2321">
      <c r="X2321" t="b">
        <f t="shared" ref="X2321:Z2321" si="4618">ISBLANK(K2321)</f>
        <v>1</v>
      </c>
      <c r="Y2321" t="b">
        <f t="shared" si="4618"/>
        <v>1</v>
      </c>
      <c r="Z2321" t="b">
        <f t="shared" si="4618"/>
        <v>1</v>
      </c>
      <c r="AA2321">
        <f t="shared" ref="AA2321:AC2321" si="4619">IF(X2321=FALSE,1,0)</f>
        <v>0</v>
      </c>
      <c r="AB2321">
        <f t="shared" si="4619"/>
        <v>0</v>
      </c>
      <c r="AC2321">
        <f t="shared" si="4619"/>
        <v>0</v>
      </c>
      <c r="AD2321">
        <f t="shared" si="6"/>
        <v>0</v>
      </c>
      <c r="AE2321">
        <f t="shared" si="7"/>
        <v>0</v>
      </c>
    </row>
    <row r="2322">
      <c r="X2322" t="b">
        <f t="shared" ref="X2322:Z2322" si="4620">ISBLANK(K2322)</f>
        <v>1</v>
      </c>
      <c r="Y2322" t="b">
        <f t="shared" si="4620"/>
        <v>1</v>
      </c>
      <c r="Z2322" t="b">
        <f t="shared" si="4620"/>
        <v>1</v>
      </c>
      <c r="AA2322">
        <f t="shared" ref="AA2322:AC2322" si="4621">IF(X2322=FALSE,1,0)</f>
        <v>0</v>
      </c>
      <c r="AB2322">
        <f t="shared" si="4621"/>
        <v>0</v>
      </c>
      <c r="AC2322">
        <f t="shared" si="4621"/>
        <v>0</v>
      </c>
      <c r="AD2322">
        <f t="shared" si="6"/>
        <v>0</v>
      </c>
      <c r="AE2322">
        <f t="shared" si="7"/>
        <v>0</v>
      </c>
    </row>
    <row r="2323">
      <c r="X2323" t="b">
        <f t="shared" ref="X2323:Z2323" si="4622">ISBLANK(K2323)</f>
        <v>1</v>
      </c>
      <c r="Y2323" t="b">
        <f t="shared" si="4622"/>
        <v>1</v>
      </c>
      <c r="Z2323" t="b">
        <f t="shared" si="4622"/>
        <v>1</v>
      </c>
      <c r="AA2323">
        <f t="shared" ref="AA2323:AC2323" si="4623">IF(X2323=FALSE,1,0)</f>
        <v>0</v>
      </c>
      <c r="AB2323">
        <f t="shared" si="4623"/>
        <v>0</v>
      </c>
      <c r="AC2323">
        <f t="shared" si="4623"/>
        <v>0</v>
      </c>
      <c r="AD2323">
        <f t="shared" si="6"/>
        <v>0</v>
      </c>
      <c r="AE2323">
        <f t="shared" si="7"/>
        <v>0</v>
      </c>
    </row>
    <row r="2324">
      <c r="X2324" t="b">
        <f t="shared" ref="X2324:Z2324" si="4624">ISBLANK(K2324)</f>
        <v>1</v>
      </c>
      <c r="Y2324" t="b">
        <f t="shared" si="4624"/>
        <v>1</v>
      </c>
      <c r="Z2324" t="b">
        <f t="shared" si="4624"/>
        <v>1</v>
      </c>
      <c r="AA2324">
        <f t="shared" ref="AA2324:AC2324" si="4625">IF(X2324=FALSE,1,0)</f>
        <v>0</v>
      </c>
      <c r="AB2324">
        <f t="shared" si="4625"/>
        <v>0</v>
      </c>
      <c r="AC2324">
        <f t="shared" si="4625"/>
        <v>0</v>
      </c>
      <c r="AD2324">
        <f t="shared" si="6"/>
        <v>0</v>
      </c>
      <c r="AE2324">
        <f t="shared" si="7"/>
        <v>0</v>
      </c>
    </row>
    <row r="2325">
      <c r="X2325" t="b">
        <f t="shared" ref="X2325:Z2325" si="4626">ISBLANK(K2325)</f>
        <v>1</v>
      </c>
      <c r="Y2325" t="b">
        <f t="shared" si="4626"/>
        <v>1</v>
      </c>
      <c r="Z2325" t="b">
        <f t="shared" si="4626"/>
        <v>1</v>
      </c>
      <c r="AA2325">
        <f t="shared" ref="AA2325:AC2325" si="4627">IF(X2325=FALSE,1,0)</f>
        <v>0</v>
      </c>
      <c r="AB2325">
        <f t="shared" si="4627"/>
        <v>0</v>
      </c>
      <c r="AC2325">
        <f t="shared" si="4627"/>
        <v>0</v>
      </c>
      <c r="AD2325">
        <f t="shared" si="6"/>
        <v>0</v>
      </c>
      <c r="AE2325">
        <f t="shared" si="7"/>
        <v>0</v>
      </c>
    </row>
    <row r="2326">
      <c r="X2326" t="b">
        <f t="shared" ref="X2326:Z2326" si="4628">ISBLANK(K2326)</f>
        <v>1</v>
      </c>
      <c r="Y2326" t="b">
        <f t="shared" si="4628"/>
        <v>1</v>
      </c>
      <c r="Z2326" t="b">
        <f t="shared" si="4628"/>
        <v>1</v>
      </c>
      <c r="AA2326">
        <f t="shared" ref="AA2326:AC2326" si="4629">IF(X2326=FALSE,1,0)</f>
        <v>0</v>
      </c>
      <c r="AB2326">
        <f t="shared" si="4629"/>
        <v>0</v>
      </c>
      <c r="AC2326">
        <f t="shared" si="4629"/>
        <v>0</v>
      </c>
      <c r="AD2326">
        <f t="shared" si="6"/>
        <v>0</v>
      </c>
      <c r="AE2326">
        <f t="shared" si="7"/>
        <v>0</v>
      </c>
    </row>
    <row r="2327">
      <c r="X2327" t="b">
        <f t="shared" ref="X2327:Z2327" si="4630">ISBLANK(K2327)</f>
        <v>1</v>
      </c>
      <c r="Y2327" t="b">
        <f t="shared" si="4630"/>
        <v>1</v>
      </c>
      <c r="Z2327" t="b">
        <f t="shared" si="4630"/>
        <v>1</v>
      </c>
      <c r="AA2327">
        <f t="shared" ref="AA2327:AC2327" si="4631">IF(X2327=FALSE,1,0)</f>
        <v>0</v>
      </c>
      <c r="AB2327">
        <f t="shared" si="4631"/>
        <v>0</v>
      </c>
      <c r="AC2327">
        <f t="shared" si="4631"/>
        <v>0</v>
      </c>
      <c r="AD2327">
        <f t="shared" si="6"/>
        <v>0</v>
      </c>
      <c r="AE2327">
        <f t="shared" si="7"/>
        <v>0</v>
      </c>
    </row>
    <row r="2328">
      <c r="X2328" t="b">
        <f t="shared" ref="X2328:Z2328" si="4632">ISBLANK(K2328)</f>
        <v>1</v>
      </c>
      <c r="Y2328" t="b">
        <f t="shared" si="4632"/>
        <v>1</v>
      </c>
      <c r="Z2328" t="b">
        <f t="shared" si="4632"/>
        <v>1</v>
      </c>
      <c r="AA2328">
        <f t="shared" ref="AA2328:AC2328" si="4633">IF(X2328=FALSE,1,0)</f>
        <v>0</v>
      </c>
      <c r="AB2328">
        <f t="shared" si="4633"/>
        <v>0</v>
      </c>
      <c r="AC2328">
        <f t="shared" si="4633"/>
        <v>0</v>
      </c>
      <c r="AD2328">
        <f t="shared" si="6"/>
        <v>0</v>
      </c>
      <c r="AE2328">
        <f t="shared" si="7"/>
        <v>0</v>
      </c>
    </row>
    <row r="2329">
      <c r="X2329" t="b">
        <f t="shared" ref="X2329:Z2329" si="4634">ISBLANK(K2329)</f>
        <v>1</v>
      </c>
      <c r="Y2329" t="b">
        <f t="shared" si="4634"/>
        <v>1</v>
      </c>
      <c r="Z2329" t="b">
        <f t="shared" si="4634"/>
        <v>1</v>
      </c>
      <c r="AA2329">
        <f t="shared" ref="AA2329:AC2329" si="4635">IF(X2329=FALSE,1,0)</f>
        <v>0</v>
      </c>
      <c r="AB2329">
        <f t="shared" si="4635"/>
        <v>0</v>
      </c>
      <c r="AC2329">
        <f t="shared" si="4635"/>
        <v>0</v>
      </c>
      <c r="AD2329">
        <f t="shared" si="6"/>
        <v>0</v>
      </c>
      <c r="AE2329">
        <f t="shared" si="7"/>
        <v>0</v>
      </c>
    </row>
    <row r="2330">
      <c r="X2330" t="b">
        <f t="shared" ref="X2330:Z2330" si="4636">ISBLANK(K2330)</f>
        <v>1</v>
      </c>
      <c r="Y2330" t="b">
        <f t="shared" si="4636"/>
        <v>1</v>
      </c>
      <c r="Z2330" t="b">
        <f t="shared" si="4636"/>
        <v>1</v>
      </c>
      <c r="AA2330">
        <f t="shared" ref="AA2330:AC2330" si="4637">IF(X2330=FALSE,1,0)</f>
        <v>0</v>
      </c>
      <c r="AB2330">
        <f t="shared" si="4637"/>
        <v>0</v>
      </c>
      <c r="AC2330">
        <f t="shared" si="4637"/>
        <v>0</v>
      </c>
      <c r="AD2330">
        <f t="shared" si="6"/>
        <v>0</v>
      </c>
      <c r="AE2330">
        <f t="shared" si="7"/>
        <v>0</v>
      </c>
    </row>
    <row r="2331">
      <c r="X2331" t="b">
        <f t="shared" ref="X2331:Z2331" si="4638">ISBLANK(K2331)</f>
        <v>1</v>
      </c>
      <c r="Y2331" t="b">
        <f t="shared" si="4638"/>
        <v>1</v>
      </c>
      <c r="Z2331" t="b">
        <f t="shared" si="4638"/>
        <v>1</v>
      </c>
      <c r="AA2331">
        <f t="shared" ref="AA2331:AC2331" si="4639">IF(X2331=FALSE,1,0)</f>
        <v>0</v>
      </c>
      <c r="AB2331">
        <f t="shared" si="4639"/>
        <v>0</v>
      </c>
      <c r="AC2331">
        <f t="shared" si="4639"/>
        <v>0</v>
      </c>
      <c r="AD2331">
        <f t="shared" si="6"/>
        <v>0</v>
      </c>
      <c r="AE2331">
        <f t="shared" si="7"/>
        <v>0</v>
      </c>
    </row>
    <row r="2332">
      <c r="X2332" t="b">
        <f t="shared" ref="X2332:Z2332" si="4640">ISBLANK(K2332)</f>
        <v>1</v>
      </c>
      <c r="Y2332" t="b">
        <f t="shared" si="4640"/>
        <v>1</v>
      </c>
      <c r="Z2332" t="b">
        <f t="shared" si="4640"/>
        <v>1</v>
      </c>
      <c r="AA2332">
        <f t="shared" ref="AA2332:AC2332" si="4641">IF(X2332=FALSE,1,0)</f>
        <v>0</v>
      </c>
      <c r="AB2332">
        <f t="shared" si="4641"/>
        <v>0</v>
      </c>
      <c r="AC2332">
        <f t="shared" si="4641"/>
        <v>0</v>
      </c>
      <c r="AD2332">
        <f t="shared" si="6"/>
        <v>0</v>
      </c>
      <c r="AE2332">
        <f t="shared" si="7"/>
        <v>0</v>
      </c>
    </row>
    <row r="2333">
      <c r="X2333" t="b">
        <f t="shared" ref="X2333:Z2333" si="4642">ISBLANK(K2333)</f>
        <v>1</v>
      </c>
      <c r="Y2333" t="b">
        <f t="shared" si="4642"/>
        <v>1</v>
      </c>
      <c r="Z2333" t="b">
        <f t="shared" si="4642"/>
        <v>1</v>
      </c>
      <c r="AA2333">
        <f t="shared" ref="AA2333:AC2333" si="4643">IF(X2333=FALSE,1,0)</f>
        <v>0</v>
      </c>
      <c r="AB2333">
        <f t="shared" si="4643"/>
        <v>0</v>
      </c>
      <c r="AC2333">
        <f t="shared" si="4643"/>
        <v>0</v>
      </c>
      <c r="AD2333">
        <f t="shared" si="6"/>
        <v>0</v>
      </c>
      <c r="AE2333">
        <f t="shared" si="7"/>
        <v>0</v>
      </c>
    </row>
    <row r="2334">
      <c r="X2334" t="b">
        <f t="shared" ref="X2334:Z2334" si="4644">ISBLANK(K2334)</f>
        <v>1</v>
      </c>
      <c r="Y2334" t="b">
        <f t="shared" si="4644"/>
        <v>1</v>
      </c>
      <c r="Z2334" t="b">
        <f t="shared" si="4644"/>
        <v>1</v>
      </c>
      <c r="AA2334">
        <f t="shared" ref="AA2334:AC2334" si="4645">IF(X2334=FALSE,1,0)</f>
        <v>0</v>
      </c>
      <c r="AB2334">
        <f t="shared" si="4645"/>
        <v>0</v>
      </c>
      <c r="AC2334">
        <f t="shared" si="4645"/>
        <v>0</v>
      </c>
      <c r="AD2334">
        <f t="shared" si="6"/>
        <v>0</v>
      </c>
      <c r="AE2334">
        <f t="shared" si="7"/>
        <v>0</v>
      </c>
    </row>
    <row r="2335">
      <c r="X2335" t="b">
        <f t="shared" ref="X2335:Z2335" si="4646">ISBLANK(K2335)</f>
        <v>1</v>
      </c>
      <c r="Y2335" t="b">
        <f t="shared" si="4646"/>
        <v>1</v>
      </c>
      <c r="Z2335" t="b">
        <f t="shared" si="4646"/>
        <v>1</v>
      </c>
      <c r="AA2335">
        <f t="shared" ref="AA2335:AC2335" si="4647">IF(X2335=FALSE,1,0)</f>
        <v>0</v>
      </c>
      <c r="AB2335">
        <f t="shared" si="4647"/>
        <v>0</v>
      </c>
      <c r="AC2335">
        <f t="shared" si="4647"/>
        <v>0</v>
      </c>
      <c r="AD2335">
        <f t="shared" si="6"/>
        <v>0</v>
      </c>
      <c r="AE2335">
        <f t="shared" si="7"/>
        <v>0</v>
      </c>
    </row>
    <row r="2336">
      <c r="X2336" t="b">
        <f t="shared" ref="X2336:Z2336" si="4648">ISBLANK(K2336)</f>
        <v>1</v>
      </c>
      <c r="Y2336" t="b">
        <f t="shared" si="4648"/>
        <v>1</v>
      </c>
      <c r="Z2336" t="b">
        <f t="shared" si="4648"/>
        <v>1</v>
      </c>
      <c r="AA2336">
        <f t="shared" ref="AA2336:AC2336" si="4649">IF(X2336=FALSE,1,0)</f>
        <v>0</v>
      </c>
      <c r="AB2336">
        <f t="shared" si="4649"/>
        <v>0</v>
      </c>
      <c r="AC2336">
        <f t="shared" si="4649"/>
        <v>0</v>
      </c>
      <c r="AD2336">
        <f t="shared" si="6"/>
        <v>0</v>
      </c>
      <c r="AE2336">
        <f t="shared" si="7"/>
        <v>0</v>
      </c>
    </row>
    <row r="2337">
      <c r="X2337" t="b">
        <f t="shared" ref="X2337:Z2337" si="4650">ISBLANK(K2337)</f>
        <v>1</v>
      </c>
      <c r="Y2337" t="b">
        <f t="shared" si="4650"/>
        <v>1</v>
      </c>
      <c r="Z2337" t="b">
        <f t="shared" si="4650"/>
        <v>1</v>
      </c>
      <c r="AA2337">
        <f t="shared" ref="AA2337:AC2337" si="4651">IF(X2337=FALSE,1,0)</f>
        <v>0</v>
      </c>
      <c r="AB2337">
        <f t="shared" si="4651"/>
        <v>0</v>
      </c>
      <c r="AC2337">
        <f t="shared" si="4651"/>
        <v>0</v>
      </c>
      <c r="AD2337">
        <f t="shared" si="6"/>
        <v>0</v>
      </c>
      <c r="AE2337">
        <f t="shared" si="7"/>
        <v>0</v>
      </c>
    </row>
    <row r="2338">
      <c r="X2338" t="b">
        <f t="shared" ref="X2338:Z2338" si="4652">ISBLANK(K2338)</f>
        <v>1</v>
      </c>
      <c r="Y2338" t="b">
        <f t="shared" si="4652"/>
        <v>1</v>
      </c>
      <c r="Z2338" t="b">
        <f t="shared" si="4652"/>
        <v>1</v>
      </c>
      <c r="AA2338">
        <f t="shared" ref="AA2338:AC2338" si="4653">IF(X2338=FALSE,1,0)</f>
        <v>0</v>
      </c>
      <c r="AB2338">
        <f t="shared" si="4653"/>
        <v>0</v>
      </c>
      <c r="AC2338">
        <f t="shared" si="4653"/>
        <v>0</v>
      </c>
      <c r="AD2338">
        <f t="shared" si="6"/>
        <v>0</v>
      </c>
      <c r="AE2338">
        <f t="shared" si="7"/>
        <v>0</v>
      </c>
    </row>
    <row r="2339">
      <c r="X2339" t="b">
        <f t="shared" ref="X2339:Z2339" si="4654">ISBLANK(K2339)</f>
        <v>1</v>
      </c>
      <c r="Y2339" t="b">
        <f t="shared" si="4654"/>
        <v>1</v>
      </c>
      <c r="Z2339" t="b">
        <f t="shared" si="4654"/>
        <v>1</v>
      </c>
      <c r="AA2339">
        <f t="shared" ref="AA2339:AC2339" si="4655">IF(X2339=FALSE,1,0)</f>
        <v>0</v>
      </c>
      <c r="AB2339">
        <f t="shared" si="4655"/>
        <v>0</v>
      </c>
      <c r="AC2339">
        <f t="shared" si="4655"/>
        <v>0</v>
      </c>
      <c r="AD2339">
        <f t="shared" si="6"/>
        <v>0</v>
      </c>
      <c r="AE2339">
        <f t="shared" si="7"/>
        <v>0</v>
      </c>
    </row>
    <row r="2340">
      <c r="X2340" t="b">
        <f t="shared" ref="X2340:Z2340" si="4656">ISBLANK(K2340)</f>
        <v>1</v>
      </c>
      <c r="Y2340" t="b">
        <f t="shared" si="4656"/>
        <v>1</v>
      </c>
      <c r="Z2340" t="b">
        <f t="shared" si="4656"/>
        <v>1</v>
      </c>
      <c r="AA2340">
        <f t="shared" ref="AA2340:AC2340" si="4657">IF(X2340=FALSE,1,0)</f>
        <v>0</v>
      </c>
      <c r="AB2340">
        <f t="shared" si="4657"/>
        <v>0</v>
      </c>
      <c r="AC2340">
        <f t="shared" si="4657"/>
        <v>0</v>
      </c>
      <c r="AD2340">
        <f t="shared" si="6"/>
        <v>0</v>
      </c>
      <c r="AE2340">
        <f t="shared" si="7"/>
        <v>0</v>
      </c>
    </row>
    <row r="2341">
      <c r="X2341" t="b">
        <f t="shared" ref="X2341:Z2341" si="4658">ISBLANK(K2341)</f>
        <v>1</v>
      </c>
      <c r="Y2341" t="b">
        <f t="shared" si="4658"/>
        <v>1</v>
      </c>
      <c r="Z2341" t="b">
        <f t="shared" si="4658"/>
        <v>1</v>
      </c>
      <c r="AA2341">
        <f t="shared" ref="AA2341:AC2341" si="4659">IF(X2341=FALSE,1,0)</f>
        <v>0</v>
      </c>
      <c r="AB2341">
        <f t="shared" si="4659"/>
        <v>0</v>
      </c>
      <c r="AC2341">
        <f t="shared" si="4659"/>
        <v>0</v>
      </c>
      <c r="AD2341">
        <f t="shared" si="6"/>
        <v>0</v>
      </c>
      <c r="AE2341">
        <f t="shared" si="7"/>
        <v>0</v>
      </c>
    </row>
    <row r="2342">
      <c r="X2342" t="b">
        <f t="shared" ref="X2342:Z2342" si="4660">ISBLANK(K2342)</f>
        <v>1</v>
      </c>
      <c r="Y2342" t="b">
        <f t="shared" si="4660"/>
        <v>1</v>
      </c>
      <c r="Z2342" t="b">
        <f t="shared" si="4660"/>
        <v>1</v>
      </c>
      <c r="AA2342">
        <f t="shared" ref="AA2342:AC2342" si="4661">IF(X2342=FALSE,1,0)</f>
        <v>0</v>
      </c>
      <c r="AB2342">
        <f t="shared" si="4661"/>
        <v>0</v>
      </c>
      <c r="AC2342">
        <f t="shared" si="4661"/>
        <v>0</v>
      </c>
      <c r="AD2342">
        <f t="shared" si="6"/>
        <v>0</v>
      </c>
      <c r="AE2342">
        <f t="shared" si="7"/>
        <v>0</v>
      </c>
    </row>
    <row r="2343">
      <c r="X2343" t="b">
        <f t="shared" ref="X2343:Z2343" si="4662">ISBLANK(K2343)</f>
        <v>1</v>
      </c>
      <c r="Y2343" t="b">
        <f t="shared" si="4662"/>
        <v>1</v>
      </c>
      <c r="Z2343" t="b">
        <f t="shared" si="4662"/>
        <v>1</v>
      </c>
      <c r="AA2343">
        <f t="shared" ref="AA2343:AC2343" si="4663">IF(X2343=FALSE,1,0)</f>
        <v>0</v>
      </c>
      <c r="AB2343">
        <f t="shared" si="4663"/>
        <v>0</v>
      </c>
      <c r="AC2343">
        <f t="shared" si="4663"/>
        <v>0</v>
      </c>
      <c r="AD2343">
        <f t="shared" si="6"/>
        <v>0</v>
      </c>
      <c r="AE2343">
        <f t="shared" si="7"/>
        <v>0</v>
      </c>
    </row>
    <row r="2344">
      <c r="X2344" t="b">
        <f t="shared" ref="X2344:Z2344" si="4664">ISBLANK(K2344)</f>
        <v>1</v>
      </c>
      <c r="Y2344" t="b">
        <f t="shared" si="4664"/>
        <v>1</v>
      </c>
      <c r="Z2344" t="b">
        <f t="shared" si="4664"/>
        <v>1</v>
      </c>
      <c r="AA2344">
        <f t="shared" ref="AA2344:AC2344" si="4665">IF(X2344=FALSE,1,0)</f>
        <v>0</v>
      </c>
      <c r="AB2344">
        <f t="shared" si="4665"/>
        <v>0</v>
      </c>
      <c r="AC2344">
        <f t="shared" si="4665"/>
        <v>0</v>
      </c>
      <c r="AD2344">
        <f t="shared" si="6"/>
        <v>0</v>
      </c>
      <c r="AE2344">
        <f t="shared" si="7"/>
        <v>0</v>
      </c>
    </row>
    <row r="2345">
      <c r="X2345" t="b">
        <f t="shared" ref="X2345:Z2345" si="4666">ISBLANK(K2345)</f>
        <v>1</v>
      </c>
      <c r="Y2345" t="b">
        <f t="shared" si="4666"/>
        <v>1</v>
      </c>
      <c r="Z2345" t="b">
        <f t="shared" si="4666"/>
        <v>1</v>
      </c>
      <c r="AA2345">
        <f t="shared" ref="AA2345:AC2345" si="4667">IF(X2345=FALSE,1,0)</f>
        <v>0</v>
      </c>
      <c r="AB2345">
        <f t="shared" si="4667"/>
        <v>0</v>
      </c>
      <c r="AC2345">
        <f t="shared" si="4667"/>
        <v>0</v>
      </c>
      <c r="AD2345">
        <f t="shared" si="6"/>
        <v>0</v>
      </c>
      <c r="AE2345">
        <f t="shared" si="7"/>
        <v>0</v>
      </c>
    </row>
    <row r="2346">
      <c r="X2346" t="b">
        <f t="shared" ref="X2346:Z2346" si="4668">ISBLANK(K2346)</f>
        <v>1</v>
      </c>
      <c r="Y2346" t="b">
        <f t="shared" si="4668"/>
        <v>1</v>
      </c>
      <c r="Z2346" t="b">
        <f t="shared" si="4668"/>
        <v>1</v>
      </c>
      <c r="AA2346">
        <f t="shared" ref="AA2346:AC2346" si="4669">IF(X2346=FALSE,1,0)</f>
        <v>0</v>
      </c>
      <c r="AB2346">
        <f t="shared" si="4669"/>
        <v>0</v>
      </c>
      <c r="AC2346">
        <f t="shared" si="4669"/>
        <v>0</v>
      </c>
      <c r="AD2346">
        <f t="shared" si="6"/>
        <v>0</v>
      </c>
      <c r="AE2346">
        <f t="shared" si="7"/>
        <v>0</v>
      </c>
    </row>
    <row r="2347">
      <c r="X2347" t="b">
        <f t="shared" ref="X2347:Z2347" si="4670">ISBLANK(K2347)</f>
        <v>1</v>
      </c>
      <c r="Y2347" t="b">
        <f t="shared" si="4670"/>
        <v>1</v>
      </c>
      <c r="Z2347" t="b">
        <f t="shared" si="4670"/>
        <v>1</v>
      </c>
      <c r="AA2347">
        <f t="shared" ref="AA2347:AC2347" si="4671">IF(X2347=FALSE,1,0)</f>
        <v>0</v>
      </c>
      <c r="AB2347">
        <f t="shared" si="4671"/>
        <v>0</v>
      </c>
      <c r="AC2347">
        <f t="shared" si="4671"/>
        <v>0</v>
      </c>
      <c r="AD2347">
        <f t="shared" si="6"/>
        <v>0</v>
      </c>
      <c r="AE2347">
        <f t="shared" si="7"/>
        <v>0</v>
      </c>
    </row>
    <row r="2348">
      <c r="X2348" t="b">
        <f t="shared" ref="X2348:Z2348" si="4672">ISBLANK(K2348)</f>
        <v>1</v>
      </c>
      <c r="Y2348" t="b">
        <f t="shared" si="4672"/>
        <v>1</v>
      </c>
      <c r="Z2348" t="b">
        <f t="shared" si="4672"/>
        <v>1</v>
      </c>
      <c r="AA2348">
        <f t="shared" ref="AA2348:AC2348" si="4673">IF(X2348=FALSE,1,0)</f>
        <v>0</v>
      </c>
      <c r="AB2348">
        <f t="shared" si="4673"/>
        <v>0</v>
      </c>
      <c r="AC2348">
        <f t="shared" si="4673"/>
        <v>0</v>
      </c>
      <c r="AD2348">
        <f t="shared" si="6"/>
        <v>0</v>
      </c>
      <c r="AE2348">
        <f t="shared" si="7"/>
        <v>0</v>
      </c>
    </row>
    <row r="2349">
      <c r="X2349" t="b">
        <f t="shared" ref="X2349:Z2349" si="4674">ISBLANK(K2349)</f>
        <v>1</v>
      </c>
      <c r="Y2349" t="b">
        <f t="shared" si="4674"/>
        <v>1</v>
      </c>
      <c r="Z2349" t="b">
        <f t="shared" si="4674"/>
        <v>1</v>
      </c>
      <c r="AA2349">
        <f t="shared" ref="AA2349:AC2349" si="4675">IF(X2349=FALSE,1,0)</f>
        <v>0</v>
      </c>
      <c r="AB2349">
        <f t="shared" si="4675"/>
        <v>0</v>
      </c>
      <c r="AC2349">
        <f t="shared" si="4675"/>
        <v>0</v>
      </c>
      <c r="AD2349">
        <f t="shared" si="6"/>
        <v>0</v>
      </c>
      <c r="AE2349">
        <f t="shared" si="7"/>
        <v>0</v>
      </c>
    </row>
    <row r="2350">
      <c r="X2350" t="b">
        <f t="shared" ref="X2350:Z2350" si="4676">ISBLANK(K2350)</f>
        <v>1</v>
      </c>
      <c r="Y2350" t="b">
        <f t="shared" si="4676"/>
        <v>1</v>
      </c>
      <c r="Z2350" t="b">
        <f t="shared" si="4676"/>
        <v>1</v>
      </c>
      <c r="AA2350">
        <f t="shared" ref="AA2350:AC2350" si="4677">IF(X2350=FALSE,1,0)</f>
        <v>0</v>
      </c>
      <c r="AB2350">
        <f t="shared" si="4677"/>
        <v>0</v>
      </c>
      <c r="AC2350">
        <f t="shared" si="4677"/>
        <v>0</v>
      </c>
      <c r="AD2350">
        <f t="shared" si="6"/>
        <v>0</v>
      </c>
      <c r="AE2350">
        <f t="shared" si="7"/>
        <v>0</v>
      </c>
    </row>
    <row r="2351">
      <c r="X2351" t="b">
        <f t="shared" ref="X2351:Z2351" si="4678">ISBLANK(K2351)</f>
        <v>1</v>
      </c>
      <c r="Y2351" t="b">
        <f t="shared" si="4678"/>
        <v>1</v>
      </c>
      <c r="Z2351" t="b">
        <f t="shared" si="4678"/>
        <v>1</v>
      </c>
      <c r="AA2351">
        <f t="shared" ref="AA2351:AC2351" si="4679">IF(X2351=FALSE,1,0)</f>
        <v>0</v>
      </c>
      <c r="AB2351">
        <f t="shared" si="4679"/>
        <v>0</v>
      </c>
      <c r="AC2351">
        <f t="shared" si="4679"/>
        <v>0</v>
      </c>
      <c r="AD2351">
        <f t="shared" si="6"/>
        <v>0</v>
      </c>
      <c r="AE2351">
        <f t="shared" si="7"/>
        <v>0</v>
      </c>
    </row>
    <row r="2352">
      <c r="X2352" t="b">
        <f t="shared" ref="X2352:Z2352" si="4680">ISBLANK(K2352)</f>
        <v>1</v>
      </c>
      <c r="Y2352" t="b">
        <f t="shared" si="4680"/>
        <v>1</v>
      </c>
      <c r="Z2352" t="b">
        <f t="shared" si="4680"/>
        <v>1</v>
      </c>
      <c r="AA2352">
        <f t="shared" ref="AA2352:AC2352" si="4681">IF(X2352=FALSE,1,0)</f>
        <v>0</v>
      </c>
      <c r="AB2352">
        <f t="shared" si="4681"/>
        <v>0</v>
      </c>
      <c r="AC2352">
        <f t="shared" si="4681"/>
        <v>0</v>
      </c>
      <c r="AD2352">
        <f t="shared" si="6"/>
        <v>0</v>
      </c>
      <c r="AE2352">
        <f t="shared" si="7"/>
        <v>0</v>
      </c>
    </row>
    <row r="2353">
      <c r="X2353" t="b">
        <f t="shared" ref="X2353:Z2353" si="4682">ISBLANK(K2353)</f>
        <v>1</v>
      </c>
      <c r="Y2353" t="b">
        <f t="shared" si="4682"/>
        <v>1</v>
      </c>
      <c r="Z2353" t="b">
        <f t="shared" si="4682"/>
        <v>1</v>
      </c>
      <c r="AA2353">
        <f t="shared" ref="AA2353:AC2353" si="4683">IF(X2353=FALSE,1,0)</f>
        <v>0</v>
      </c>
      <c r="AB2353">
        <f t="shared" si="4683"/>
        <v>0</v>
      </c>
      <c r="AC2353">
        <f t="shared" si="4683"/>
        <v>0</v>
      </c>
      <c r="AD2353">
        <f t="shared" si="6"/>
        <v>0</v>
      </c>
      <c r="AE2353">
        <f t="shared" si="7"/>
        <v>0</v>
      </c>
    </row>
    <row r="2354">
      <c r="X2354" t="b">
        <f t="shared" ref="X2354:Z2354" si="4684">ISBLANK(K2354)</f>
        <v>1</v>
      </c>
      <c r="Y2354" t="b">
        <f t="shared" si="4684"/>
        <v>1</v>
      </c>
      <c r="Z2354" t="b">
        <f t="shared" si="4684"/>
        <v>1</v>
      </c>
      <c r="AA2354">
        <f t="shared" ref="AA2354:AC2354" si="4685">IF(X2354=FALSE,1,0)</f>
        <v>0</v>
      </c>
      <c r="AB2354">
        <f t="shared" si="4685"/>
        <v>0</v>
      </c>
      <c r="AC2354">
        <f t="shared" si="4685"/>
        <v>0</v>
      </c>
      <c r="AD2354">
        <f t="shared" si="6"/>
        <v>0</v>
      </c>
      <c r="AE2354">
        <f t="shared" si="7"/>
        <v>0</v>
      </c>
    </row>
    <row r="2355">
      <c r="X2355" t="b">
        <f t="shared" ref="X2355:Z2355" si="4686">ISBLANK(K2355)</f>
        <v>1</v>
      </c>
      <c r="Y2355" t="b">
        <f t="shared" si="4686"/>
        <v>1</v>
      </c>
      <c r="Z2355" t="b">
        <f t="shared" si="4686"/>
        <v>1</v>
      </c>
      <c r="AA2355">
        <f t="shared" ref="AA2355:AC2355" si="4687">IF(X2355=FALSE,1,0)</f>
        <v>0</v>
      </c>
      <c r="AB2355">
        <f t="shared" si="4687"/>
        <v>0</v>
      </c>
      <c r="AC2355">
        <f t="shared" si="4687"/>
        <v>0</v>
      </c>
      <c r="AD2355">
        <f t="shared" si="6"/>
        <v>0</v>
      </c>
      <c r="AE2355">
        <f t="shared" si="7"/>
        <v>0</v>
      </c>
    </row>
    <row r="2356">
      <c r="X2356" t="b">
        <f t="shared" ref="X2356:Z2356" si="4688">ISBLANK(K2356)</f>
        <v>1</v>
      </c>
      <c r="Y2356" t="b">
        <f t="shared" si="4688"/>
        <v>1</v>
      </c>
      <c r="Z2356" t="b">
        <f t="shared" si="4688"/>
        <v>1</v>
      </c>
      <c r="AA2356">
        <f t="shared" ref="AA2356:AC2356" si="4689">IF(X2356=FALSE,1,0)</f>
        <v>0</v>
      </c>
      <c r="AB2356">
        <f t="shared" si="4689"/>
        <v>0</v>
      </c>
      <c r="AC2356">
        <f t="shared" si="4689"/>
        <v>0</v>
      </c>
      <c r="AD2356">
        <f t="shared" si="6"/>
        <v>0</v>
      </c>
      <c r="AE2356">
        <f t="shared" si="7"/>
        <v>0</v>
      </c>
    </row>
    <row r="2357">
      <c r="X2357" t="b">
        <f t="shared" ref="X2357:Z2357" si="4690">ISBLANK(K2357)</f>
        <v>1</v>
      </c>
      <c r="Y2357" t="b">
        <f t="shared" si="4690"/>
        <v>1</v>
      </c>
      <c r="Z2357" t="b">
        <f t="shared" si="4690"/>
        <v>1</v>
      </c>
      <c r="AA2357">
        <f t="shared" ref="AA2357:AC2357" si="4691">IF(X2357=FALSE,1,0)</f>
        <v>0</v>
      </c>
      <c r="AB2357">
        <f t="shared" si="4691"/>
        <v>0</v>
      </c>
      <c r="AC2357">
        <f t="shared" si="4691"/>
        <v>0</v>
      </c>
      <c r="AD2357">
        <f t="shared" si="6"/>
        <v>0</v>
      </c>
      <c r="AE2357">
        <f t="shared" si="7"/>
        <v>0</v>
      </c>
    </row>
    <row r="2358">
      <c r="X2358" t="b">
        <f t="shared" ref="X2358:Z2358" si="4692">ISBLANK(K2358)</f>
        <v>1</v>
      </c>
      <c r="Y2358" t="b">
        <f t="shared" si="4692"/>
        <v>1</v>
      </c>
      <c r="Z2358" t="b">
        <f t="shared" si="4692"/>
        <v>1</v>
      </c>
      <c r="AA2358">
        <f t="shared" ref="AA2358:AC2358" si="4693">IF(X2358=FALSE,1,0)</f>
        <v>0</v>
      </c>
      <c r="AB2358">
        <f t="shared" si="4693"/>
        <v>0</v>
      </c>
      <c r="AC2358">
        <f t="shared" si="4693"/>
        <v>0</v>
      </c>
      <c r="AD2358">
        <f t="shared" si="6"/>
        <v>0</v>
      </c>
      <c r="AE2358">
        <f t="shared" si="7"/>
        <v>0</v>
      </c>
    </row>
    <row r="2359">
      <c r="X2359" t="b">
        <f t="shared" ref="X2359:Z2359" si="4694">ISBLANK(K2359)</f>
        <v>1</v>
      </c>
      <c r="Y2359" t="b">
        <f t="shared" si="4694"/>
        <v>1</v>
      </c>
      <c r="Z2359" t="b">
        <f t="shared" si="4694"/>
        <v>1</v>
      </c>
      <c r="AA2359">
        <f t="shared" ref="AA2359:AC2359" si="4695">IF(X2359=FALSE,1,0)</f>
        <v>0</v>
      </c>
      <c r="AB2359">
        <f t="shared" si="4695"/>
        <v>0</v>
      </c>
      <c r="AC2359">
        <f t="shared" si="4695"/>
        <v>0</v>
      </c>
      <c r="AD2359">
        <f t="shared" si="6"/>
        <v>0</v>
      </c>
      <c r="AE2359">
        <f t="shared" si="7"/>
        <v>0</v>
      </c>
    </row>
    <row r="2360">
      <c r="X2360" t="b">
        <f t="shared" ref="X2360:Z2360" si="4696">ISBLANK(K2360)</f>
        <v>1</v>
      </c>
      <c r="Y2360" t="b">
        <f t="shared" si="4696"/>
        <v>1</v>
      </c>
      <c r="Z2360" t="b">
        <f t="shared" si="4696"/>
        <v>1</v>
      </c>
      <c r="AA2360">
        <f t="shared" ref="AA2360:AC2360" si="4697">IF(X2360=FALSE,1,0)</f>
        <v>0</v>
      </c>
      <c r="AB2360">
        <f t="shared" si="4697"/>
        <v>0</v>
      </c>
      <c r="AC2360">
        <f t="shared" si="4697"/>
        <v>0</v>
      </c>
      <c r="AD2360">
        <f t="shared" si="6"/>
        <v>0</v>
      </c>
      <c r="AE2360">
        <f t="shared" si="7"/>
        <v>0</v>
      </c>
    </row>
    <row r="2361">
      <c r="X2361" t="b">
        <f t="shared" ref="X2361:Z2361" si="4698">ISBLANK(K2361)</f>
        <v>1</v>
      </c>
      <c r="Y2361" t="b">
        <f t="shared" si="4698"/>
        <v>1</v>
      </c>
      <c r="Z2361" t="b">
        <f t="shared" si="4698"/>
        <v>1</v>
      </c>
      <c r="AA2361">
        <f t="shared" ref="AA2361:AC2361" si="4699">IF(X2361=FALSE,1,0)</f>
        <v>0</v>
      </c>
      <c r="AB2361">
        <f t="shared" si="4699"/>
        <v>0</v>
      </c>
      <c r="AC2361">
        <f t="shared" si="4699"/>
        <v>0</v>
      </c>
      <c r="AD2361">
        <f t="shared" si="6"/>
        <v>0</v>
      </c>
      <c r="AE2361">
        <f t="shared" si="7"/>
        <v>0</v>
      </c>
    </row>
    <row r="2362">
      <c r="X2362" t="b">
        <f t="shared" ref="X2362:Z2362" si="4700">ISBLANK(K2362)</f>
        <v>1</v>
      </c>
      <c r="Y2362" t="b">
        <f t="shared" si="4700"/>
        <v>1</v>
      </c>
      <c r="Z2362" t="b">
        <f t="shared" si="4700"/>
        <v>1</v>
      </c>
      <c r="AA2362">
        <f t="shared" ref="AA2362:AC2362" si="4701">IF(X2362=FALSE,1,0)</f>
        <v>0</v>
      </c>
      <c r="AB2362">
        <f t="shared" si="4701"/>
        <v>0</v>
      </c>
      <c r="AC2362">
        <f t="shared" si="4701"/>
        <v>0</v>
      </c>
      <c r="AD2362">
        <f t="shared" si="6"/>
        <v>0</v>
      </c>
      <c r="AE2362">
        <f t="shared" si="7"/>
        <v>0</v>
      </c>
    </row>
    <row r="2363">
      <c r="X2363" t="b">
        <f t="shared" ref="X2363:Z2363" si="4702">ISBLANK(K2363)</f>
        <v>1</v>
      </c>
      <c r="Y2363" t="b">
        <f t="shared" si="4702"/>
        <v>1</v>
      </c>
      <c r="Z2363" t="b">
        <f t="shared" si="4702"/>
        <v>1</v>
      </c>
      <c r="AA2363">
        <f t="shared" ref="AA2363:AC2363" si="4703">IF(X2363=FALSE,1,0)</f>
        <v>0</v>
      </c>
      <c r="AB2363">
        <f t="shared" si="4703"/>
        <v>0</v>
      </c>
      <c r="AC2363">
        <f t="shared" si="4703"/>
        <v>0</v>
      </c>
      <c r="AD2363">
        <f t="shared" si="6"/>
        <v>0</v>
      </c>
      <c r="AE2363">
        <f t="shared" si="7"/>
        <v>0</v>
      </c>
    </row>
    <row r="2364">
      <c r="X2364" t="b">
        <f t="shared" ref="X2364:Z2364" si="4704">ISBLANK(K2364)</f>
        <v>1</v>
      </c>
      <c r="Y2364" t="b">
        <f t="shared" si="4704"/>
        <v>1</v>
      </c>
      <c r="Z2364" t="b">
        <f t="shared" si="4704"/>
        <v>1</v>
      </c>
      <c r="AA2364">
        <f t="shared" ref="AA2364:AC2364" si="4705">IF(X2364=FALSE,1,0)</f>
        <v>0</v>
      </c>
      <c r="AB2364">
        <f t="shared" si="4705"/>
        <v>0</v>
      </c>
      <c r="AC2364">
        <f t="shared" si="4705"/>
        <v>0</v>
      </c>
      <c r="AD2364">
        <f t="shared" si="6"/>
        <v>0</v>
      </c>
      <c r="AE2364">
        <f t="shared" si="7"/>
        <v>0</v>
      </c>
    </row>
    <row r="2365">
      <c r="X2365" t="b">
        <f t="shared" ref="X2365:Z2365" si="4706">ISBLANK(K2365)</f>
        <v>1</v>
      </c>
      <c r="Y2365" t="b">
        <f t="shared" si="4706"/>
        <v>1</v>
      </c>
      <c r="Z2365" t="b">
        <f t="shared" si="4706"/>
        <v>1</v>
      </c>
      <c r="AA2365">
        <f t="shared" ref="AA2365:AC2365" si="4707">IF(X2365=FALSE,1,0)</f>
        <v>0</v>
      </c>
      <c r="AB2365">
        <f t="shared" si="4707"/>
        <v>0</v>
      </c>
      <c r="AC2365">
        <f t="shared" si="4707"/>
        <v>0</v>
      </c>
      <c r="AD2365">
        <f t="shared" si="6"/>
        <v>0</v>
      </c>
      <c r="AE2365">
        <f t="shared" si="7"/>
        <v>0</v>
      </c>
    </row>
    <row r="2366">
      <c r="X2366" t="b">
        <f t="shared" ref="X2366:Z2366" si="4708">ISBLANK(K2366)</f>
        <v>1</v>
      </c>
      <c r="Y2366" t="b">
        <f t="shared" si="4708"/>
        <v>1</v>
      </c>
      <c r="Z2366" t="b">
        <f t="shared" si="4708"/>
        <v>1</v>
      </c>
      <c r="AA2366">
        <f t="shared" ref="AA2366:AC2366" si="4709">IF(X2366=FALSE,1,0)</f>
        <v>0</v>
      </c>
      <c r="AB2366">
        <f t="shared" si="4709"/>
        <v>0</v>
      </c>
      <c r="AC2366">
        <f t="shared" si="4709"/>
        <v>0</v>
      </c>
      <c r="AD2366">
        <f t="shared" si="6"/>
        <v>0</v>
      </c>
      <c r="AE2366">
        <f t="shared" si="7"/>
        <v>0</v>
      </c>
    </row>
    <row r="2367">
      <c r="X2367" t="b">
        <f t="shared" ref="X2367:Z2367" si="4710">ISBLANK(K2367)</f>
        <v>1</v>
      </c>
      <c r="Y2367" t="b">
        <f t="shared" si="4710"/>
        <v>1</v>
      </c>
      <c r="Z2367" t="b">
        <f t="shared" si="4710"/>
        <v>1</v>
      </c>
      <c r="AA2367">
        <f t="shared" ref="AA2367:AC2367" si="4711">IF(X2367=FALSE,1,0)</f>
        <v>0</v>
      </c>
      <c r="AB2367">
        <f t="shared" si="4711"/>
        <v>0</v>
      </c>
      <c r="AC2367">
        <f t="shared" si="4711"/>
        <v>0</v>
      </c>
      <c r="AD2367">
        <f t="shared" si="6"/>
        <v>0</v>
      </c>
      <c r="AE2367">
        <f t="shared" si="7"/>
        <v>0</v>
      </c>
    </row>
    <row r="2368">
      <c r="X2368" t="b">
        <f t="shared" ref="X2368:Z2368" si="4712">ISBLANK(K2368)</f>
        <v>1</v>
      </c>
      <c r="Y2368" t="b">
        <f t="shared" si="4712"/>
        <v>1</v>
      </c>
      <c r="Z2368" t="b">
        <f t="shared" si="4712"/>
        <v>1</v>
      </c>
      <c r="AA2368">
        <f t="shared" ref="AA2368:AC2368" si="4713">IF(X2368=FALSE,1,0)</f>
        <v>0</v>
      </c>
      <c r="AB2368">
        <f t="shared" si="4713"/>
        <v>0</v>
      </c>
      <c r="AC2368">
        <f t="shared" si="4713"/>
        <v>0</v>
      </c>
      <c r="AD2368">
        <f t="shared" si="6"/>
        <v>0</v>
      </c>
      <c r="AE2368">
        <f t="shared" si="7"/>
        <v>0</v>
      </c>
    </row>
    <row r="2369">
      <c r="X2369" t="b">
        <f t="shared" ref="X2369:Z2369" si="4714">ISBLANK(K2369)</f>
        <v>1</v>
      </c>
      <c r="Y2369" t="b">
        <f t="shared" si="4714"/>
        <v>1</v>
      </c>
      <c r="Z2369" t="b">
        <f t="shared" si="4714"/>
        <v>1</v>
      </c>
      <c r="AA2369">
        <f t="shared" ref="AA2369:AC2369" si="4715">IF(X2369=FALSE,1,0)</f>
        <v>0</v>
      </c>
      <c r="AB2369">
        <f t="shared" si="4715"/>
        <v>0</v>
      </c>
      <c r="AC2369">
        <f t="shared" si="4715"/>
        <v>0</v>
      </c>
      <c r="AD2369">
        <f t="shared" si="6"/>
        <v>0</v>
      </c>
      <c r="AE2369">
        <f t="shared" si="7"/>
        <v>0</v>
      </c>
    </row>
    <row r="2370">
      <c r="X2370" t="b">
        <f t="shared" ref="X2370:Z2370" si="4716">ISBLANK(K2370)</f>
        <v>1</v>
      </c>
      <c r="Y2370" t="b">
        <f t="shared" si="4716"/>
        <v>1</v>
      </c>
      <c r="Z2370" t="b">
        <f t="shared" si="4716"/>
        <v>1</v>
      </c>
      <c r="AA2370">
        <f t="shared" ref="AA2370:AC2370" si="4717">IF(X2370=FALSE,1,0)</f>
        <v>0</v>
      </c>
      <c r="AB2370">
        <f t="shared" si="4717"/>
        <v>0</v>
      </c>
      <c r="AC2370">
        <f t="shared" si="4717"/>
        <v>0</v>
      </c>
      <c r="AD2370">
        <f t="shared" si="6"/>
        <v>0</v>
      </c>
      <c r="AE2370">
        <f t="shared" si="7"/>
        <v>0</v>
      </c>
    </row>
    <row r="2371">
      <c r="X2371" t="b">
        <f t="shared" ref="X2371:Z2371" si="4718">ISBLANK(K2371)</f>
        <v>1</v>
      </c>
      <c r="Y2371" t="b">
        <f t="shared" si="4718"/>
        <v>1</v>
      </c>
      <c r="Z2371" t="b">
        <f t="shared" si="4718"/>
        <v>1</v>
      </c>
      <c r="AA2371">
        <f t="shared" ref="AA2371:AC2371" si="4719">IF(X2371=FALSE,1,0)</f>
        <v>0</v>
      </c>
      <c r="AB2371">
        <f t="shared" si="4719"/>
        <v>0</v>
      </c>
      <c r="AC2371">
        <f t="shared" si="4719"/>
        <v>0</v>
      </c>
      <c r="AD2371">
        <f t="shared" si="6"/>
        <v>0</v>
      </c>
      <c r="AE2371">
        <f t="shared" si="7"/>
        <v>0</v>
      </c>
    </row>
    <row r="2372">
      <c r="X2372" t="b">
        <f t="shared" ref="X2372:Z2372" si="4720">ISBLANK(K2372)</f>
        <v>1</v>
      </c>
      <c r="Y2372" t="b">
        <f t="shared" si="4720"/>
        <v>1</v>
      </c>
      <c r="Z2372" t="b">
        <f t="shared" si="4720"/>
        <v>1</v>
      </c>
      <c r="AA2372">
        <f t="shared" ref="AA2372:AC2372" si="4721">IF(X2372=FALSE,1,0)</f>
        <v>0</v>
      </c>
      <c r="AB2372">
        <f t="shared" si="4721"/>
        <v>0</v>
      </c>
      <c r="AC2372">
        <f t="shared" si="4721"/>
        <v>0</v>
      </c>
      <c r="AD2372">
        <f t="shared" si="6"/>
        <v>0</v>
      </c>
      <c r="AE2372">
        <f t="shared" si="7"/>
        <v>0</v>
      </c>
    </row>
    <row r="2373">
      <c r="X2373" t="b">
        <f t="shared" ref="X2373:Z2373" si="4722">ISBLANK(K2373)</f>
        <v>1</v>
      </c>
      <c r="Y2373" t="b">
        <f t="shared" si="4722"/>
        <v>1</v>
      </c>
      <c r="Z2373" t="b">
        <f t="shared" si="4722"/>
        <v>1</v>
      </c>
      <c r="AA2373">
        <f t="shared" ref="AA2373:AC2373" si="4723">IF(X2373=FALSE,1,0)</f>
        <v>0</v>
      </c>
      <c r="AB2373">
        <f t="shared" si="4723"/>
        <v>0</v>
      </c>
      <c r="AC2373">
        <f t="shared" si="4723"/>
        <v>0</v>
      </c>
      <c r="AD2373">
        <f t="shared" si="6"/>
        <v>0</v>
      </c>
      <c r="AE2373">
        <f t="shared" si="7"/>
        <v>0</v>
      </c>
    </row>
    <row r="2374">
      <c r="X2374" t="b">
        <f t="shared" ref="X2374:Z2374" si="4724">ISBLANK(K2374)</f>
        <v>1</v>
      </c>
      <c r="Y2374" t="b">
        <f t="shared" si="4724"/>
        <v>1</v>
      </c>
      <c r="Z2374" t="b">
        <f t="shared" si="4724"/>
        <v>1</v>
      </c>
      <c r="AA2374">
        <f t="shared" ref="AA2374:AC2374" si="4725">IF(X2374=FALSE,1,0)</f>
        <v>0</v>
      </c>
      <c r="AB2374">
        <f t="shared" si="4725"/>
        <v>0</v>
      </c>
      <c r="AC2374">
        <f t="shared" si="4725"/>
        <v>0</v>
      </c>
      <c r="AD2374">
        <f t="shared" si="6"/>
        <v>0</v>
      </c>
      <c r="AE2374">
        <f t="shared" si="7"/>
        <v>0</v>
      </c>
    </row>
    <row r="2375">
      <c r="X2375" t="b">
        <f t="shared" ref="X2375:Z2375" si="4726">ISBLANK(K2375)</f>
        <v>1</v>
      </c>
      <c r="Y2375" t="b">
        <f t="shared" si="4726"/>
        <v>1</v>
      </c>
      <c r="Z2375" t="b">
        <f t="shared" si="4726"/>
        <v>1</v>
      </c>
      <c r="AA2375">
        <f t="shared" ref="AA2375:AC2375" si="4727">IF(X2375=FALSE,1,0)</f>
        <v>0</v>
      </c>
      <c r="AB2375">
        <f t="shared" si="4727"/>
        <v>0</v>
      </c>
      <c r="AC2375">
        <f t="shared" si="4727"/>
        <v>0</v>
      </c>
      <c r="AD2375">
        <f t="shared" si="6"/>
        <v>0</v>
      </c>
      <c r="AE2375">
        <f t="shared" si="7"/>
        <v>0</v>
      </c>
    </row>
    <row r="2376">
      <c r="X2376" t="b">
        <f t="shared" ref="X2376:Z2376" si="4728">ISBLANK(K2376)</f>
        <v>1</v>
      </c>
      <c r="Y2376" t="b">
        <f t="shared" si="4728"/>
        <v>1</v>
      </c>
      <c r="Z2376" t="b">
        <f t="shared" si="4728"/>
        <v>1</v>
      </c>
      <c r="AA2376">
        <f t="shared" ref="AA2376:AC2376" si="4729">IF(X2376=FALSE,1,0)</f>
        <v>0</v>
      </c>
      <c r="AB2376">
        <f t="shared" si="4729"/>
        <v>0</v>
      </c>
      <c r="AC2376">
        <f t="shared" si="4729"/>
        <v>0</v>
      </c>
      <c r="AD2376">
        <f t="shared" si="6"/>
        <v>0</v>
      </c>
      <c r="AE2376">
        <f t="shared" si="7"/>
        <v>0</v>
      </c>
    </row>
    <row r="2377">
      <c r="X2377" t="b">
        <f t="shared" ref="X2377:Z2377" si="4730">ISBLANK(K2377)</f>
        <v>1</v>
      </c>
      <c r="Y2377" t="b">
        <f t="shared" si="4730"/>
        <v>1</v>
      </c>
      <c r="Z2377" t="b">
        <f t="shared" si="4730"/>
        <v>1</v>
      </c>
      <c r="AA2377">
        <f t="shared" ref="AA2377:AC2377" si="4731">IF(X2377=FALSE,1,0)</f>
        <v>0</v>
      </c>
      <c r="AB2377">
        <f t="shared" si="4731"/>
        <v>0</v>
      </c>
      <c r="AC2377">
        <f t="shared" si="4731"/>
        <v>0</v>
      </c>
      <c r="AD2377">
        <f t="shared" si="6"/>
        <v>0</v>
      </c>
      <c r="AE2377">
        <f t="shared" si="7"/>
        <v>0</v>
      </c>
    </row>
    <row r="2378">
      <c r="X2378" t="b">
        <f t="shared" ref="X2378:Z2378" si="4732">ISBLANK(K2378)</f>
        <v>1</v>
      </c>
      <c r="Y2378" t="b">
        <f t="shared" si="4732"/>
        <v>1</v>
      </c>
      <c r="Z2378" t="b">
        <f t="shared" si="4732"/>
        <v>1</v>
      </c>
      <c r="AA2378">
        <f t="shared" ref="AA2378:AC2378" si="4733">IF(X2378=FALSE,1,0)</f>
        <v>0</v>
      </c>
      <c r="AB2378">
        <f t="shared" si="4733"/>
        <v>0</v>
      </c>
      <c r="AC2378">
        <f t="shared" si="4733"/>
        <v>0</v>
      </c>
      <c r="AD2378">
        <f t="shared" si="6"/>
        <v>0</v>
      </c>
      <c r="AE2378">
        <f t="shared" si="7"/>
        <v>0</v>
      </c>
    </row>
    <row r="2379">
      <c r="X2379" t="b">
        <f t="shared" ref="X2379:Z2379" si="4734">ISBLANK(K2379)</f>
        <v>1</v>
      </c>
      <c r="Y2379" t="b">
        <f t="shared" si="4734"/>
        <v>1</v>
      </c>
      <c r="Z2379" t="b">
        <f t="shared" si="4734"/>
        <v>1</v>
      </c>
      <c r="AA2379">
        <f t="shared" ref="AA2379:AC2379" si="4735">IF(X2379=FALSE,1,0)</f>
        <v>0</v>
      </c>
      <c r="AB2379">
        <f t="shared" si="4735"/>
        <v>0</v>
      </c>
      <c r="AC2379">
        <f t="shared" si="4735"/>
        <v>0</v>
      </c>
      <c r="AD2379">
        <f t="shared" si="6"/>
        <v>0</v>
      </c>
      <c r="AE2379">
        <f t="shared" si="7"/>
        <v>0</v>
      </c>
    </row>
    <row r="2380">
      <c r="X2380" t="b">
        <f t="shared" ref="X2380:Z2380" si="4736">ISBLANK(K2380)</f>
        <v>1</v>
      </c>
      <c r="Y2380" t="b">
        <f t="shared" si="4736"/>
        <v>1</v>
      </c>
      <c r="Z2380" t="b">
        <f t="shared" si="4736"/>
        <v>1</v>
      </c>
      <c r="AA2380">
        <f t="shared" ref="AA2380:AC2380" si="4737">IF(X2380=FALSE,1,0)</f>
        <v>0</v>
      </c>
      <c r="AB2380">
        <f t="shared" si="4737"/>
        <v>0</v>
      </c>
      <c r="AC2380">
        <f t="shared" si="4737"/>
        <v>0</v>
      </c>
      <c r="AD2380">
        <f t="shared" si="6"/>
        <v>0</v>
      </c>
      <c r="AE2380">
        <f t="shared" si="7"/>
        <v>0</v>
      </c>
    </row>
    <row r="2381">
      <c r="X2381" t="b">
        <f t="shared" ref="X2381:Z2381" si="4738">ISBLANK(K2381)</f>
        <v>1</v>
      </c>
      <c r="Y2381" t="b">
        <f t="shared" si="4738"/>
        <v>1</v>
      </c>
      <c r="Z2381" t="b">
        <f t="shared" si="4738"/>
        <v>1</v>
      </c>
      <c r="AA2381">
        <f t="shared" ref="AA2381:AC2381" si="4739">IF(X2381=FALSE,1,0)</f>
        <v>0</v>
      </c>
      <c r="AB2381">
        <f t="shared" si="4739"/>
        <v>0</v>
      </c>
      <c r="AC2381">
        <f t="shared" si="4739"/>
        <v>0</v>
      </c>
      <c r="AD2381">
        <f t="shared" si="6"/>
        <v>0</v>
      </c>
      <c r="AE2381">
        <f t="shared" si="7"/>
        <v>0</v>
      </c>
    </row>
    <row r="2382">
      <c r="X2382" t="b">
        <f t="shared" ref="X2382:Z2382" si="4740">ISBLANK(K2382)</f>
        <v>1</v>
      </c>
      <c r="Y2382" t="b">
        <f t="shared" si="4740"/>
        <v>1</v>
      </c>
      <c r="Z2382" t="b">
        <f t="shared" si="4740"/>
        <v>1</v>
      </c>
      <c r="AA2382">
        <f t="shared" ref="AA2382:AC2382" si="4741">IF(X2382=FALSE,1,0)</f>
        <v>0</v>
      </c>
      <c r="AB2382">
        <f t="shared" si="4741"/>
        <v>0</v>
      </c>
      <c r="AC2382">
        <f t="shared" si="4741"/>
        <v>0</v>
      </c>
      <c r="AD2382">
        <f t="shared" si="6"/>
        <v>0</v>
      </c>
      <c r="AE2382">
        <f t="shared" si="7"/>
        <v>0</v>
      </c>
    </row>
    <row r="2383">
      <c r="X2383" t="b">
        <f t="shared" ref="X2383:Z2383" si="4742">ISBLANK(K2383)</f>
        <v>1</v>
      </c>
      <c r="Y2383" t="b">
        <f t="shared" si="4742"/>
        <v>1</v>
      </c>
      <c r="Z2383" t="b">
        <f t="shared" si="4742"/>
        <v>1</v>
      </c>
      <c r="AA2383">
        <f t="shared" ref="AA2383:AC2383" si="4743">IF(X2383=FALSE,1,0)</f>
        <v>0</v>
      </c>
      <c r="AB2383">
        <f t="shared" si="4743"/>
        <v>0</v>
      </c>
      <c r="AC2383">
        <f t="shared" si="4743"/>
        <v>0</v>
      </c>
      <c r="AD2383">
        <f t="shared" si="6"/>
        <v>0</v>
      </c>
      <c r="AE2383">
        <f t="shared" si="7"/>
        <v>0</v>
      </c>
    </row>
    <row r="2384">
      <c r="X2384" t="b">
        <f t="shared" ref="X2384:Z2384" si="4744">ISBLANK(K2384)</f>
        <v>1</v>
      </c>
      <c r="Y2384" t="b">
        <f t="shared" si="4744"/>
        <v>1</v>
      </c>
      <c r="Z2384" t="b">
        <f t="shared" si="4744"/>
        <v>1</v>
      </c>
      <c r="AA2384">
        <f t="shared" ref="AA2384:AC2384" si="4745">IF(X2384=FALSE,1,0)</f>
        <v>0</v>
      </c>
      <c r="AB2384">
        <f t="shared" si="4745"/>
        <v>0</v>
      </c>
      <c r="AC2384">
        <f t="shared" si="4745"/>
        <v>0</v>
      </c>
      <c r="AD2384">
        <f t="shared" si="6"/>
        <v>0</v>
      </c>
      <c r="AE2384">
        <f t="shared" si="7"/>
        <v>0</v>
      </c>
    </row>
    <row r="2385">
      <c r="X2385" t="b">
        <f t="shared" ref="X2385:Z2385" si="4746">ISBLANK(K2385)</f>
        <v>1</v>
      </c>
      <c r="Y2385" t="b">
        <f t="shared" si="4746"/>
        <v>1</v>
      </c>
      <c r="Z2385" t="b">
        <f t="shared" si="4746"/>
        <v>1</v>
      </c>
      <c r="AA2385">
        <f t="shared" ref="AA2385:AC2385" si="4747">IF(X2385=FALSE,1,0)</f>
        <v>0</v>
      </c>
      <c r="AB2385">
        <f t="shared" si="4747"/>
        <v>0</v>
      </c>
      <c r="AC2385">
        <f t="shared" si="4747"/>
        <v>0</v>
      </c>
      <c r="AD2385">
        <f t="shared" si="6"/>
        <v>0</v>
      </c>
      <c r="AE2385">
        <f t="shared" si="7"/>
        <v>0</v>
      </c>
    </row>
    <row r="2386">
      <c r="X2386" t="b">
        <f t="shared" ref="X2386:Z2386" si="4748">ISBLANK(K2386)</f>
        <v>1</v>
      </c>
      <c r="Y2386" t="b">
        <f t="shared" si="4748"/>
        <v>1</v>
      </c>
      <c r="Z2386" t="b">
        <f t="shared" si="4748"/>
        <v>1</v>
      </c>
      <c r="AA2386">
        <f t="shared" ref="AA2386:AC2386" si="4749">IF(X2386=FALSE,1,0)</f>
        <v>0</v>
      </c>
      <c r="AB2386">
        <f t="shared" si="4749"/>
        <v>0</v>
      </c>
      <c r="AC2386">
        <f t="shared" si="4749"/>
        <v>0</v>
      </c>
      <c r="AD2386">
        <f t="shared" si="6"/>
        <v>0</v>
      </c>
      <c r="AE2386">
        <f t="shared" si="7"/>
        <v>0</v>
      </c>
    </row>
    <row r="2387">
      <c r="X2387" t="b">
        <f t="shared" ref="X2387:Z2387" si="4750">ISBLANK(K2387)</f>
        <v>1</v>
      </c>
      <c r="Y2387" t="b">
        <f t="shared" si="4750"/>
        <v>1</v>
      </c>
      <c r="Z2387" t="b">
        <f t="shared" si="4750"/>
        <v>1</v>
      </c>
      <c r="AA2387">
        <f t="shared" ref="AA2387:AC2387" si="4751">IF(X2387=FALSE,1,0)</f>
        <v>0</v>
      </c>
      <c r="AB2387">
        <f t="shared" si="4751"/>
        <v>0</v>
      </c>
      <c r="AC2387">
        <f t="shared" si="4751"/>
        <v>0</v>
      </c>
      <c r="AD2387">
        <f t="shared" si="6"/>
        <v>0</v>
      </c>
      <c r="AE2387">
        <f t="shared" si="7"/>
        <v>0</v>
      </c>
    </row>
    <row r="2388">
      <c r="X2388" t="b">
        <f t="shared" ref="X2388:Z2388" si="4752">ISBLANK(K2388)</f>
        <v>1</v>
      </c>
      <c r="Y2388" t="b">
        <f t="shared" si="4752"/>
        <v>1</v>
      </c>
      <c r="Z2388" t="b">
        <f t="shared" si="4752"/>
        <v>1</v>
      </c>
      <c r="AA2388">
        <f t="shared" ref="AA2388:AC2388" si="4753">IF(X2388=FALSE,1,0)</f>
        <v>0</v>
      </c>
      <c r="AB2388">
        <f t="shared" si="4753"/>
        <v>0</v>
      </c>
      <c r="AC2388">
        <f t="shared" si="4753"/>
        <v>0</v>
      </c>
      <c r="AD2388">
        <f t="shared" si="6"/>
        <v>0</v>
      </c>
      <c r="AE2388">
        <f t="shared" si="7"/>
        <v>0</v>
      </c>
    </row>
    <row r="2389">
      <c r="X2389" t="b">
        <f t="shared" ref="X2389:Z2389" si="4754">ISBLANK(K2389)</f>
        <v>1</v>
      </c>
      <c r="Y2389" t="b">
        <f t="shared" si="4754"/>
        <v>1</v>
      </c>
      <c r="Z2389" t="b">
        <f t="shared" si="4754"/>
        <v>1</v>
      </c>
      <c r="AA2389">
        <f t="shared" ref="AA2389:AC2389" si="4755">IF(X2389=FALSE,1,0)</f>
        <v>0</v>
      </c>
      <c r="AB2389">
        <f t="shared" si="4755"/>
        <v>0</v>
      </c>
      <c r="AC2389">
        <f t="shared" si="4755"/>
        <v>0</v>
      </c>
      <c r="AD2389">
        <f t="shared" si="6"/>
        <v>0</v>
      </c>
      <c r="AE2389">
        <f t="shared" si="7"/>
        <v>0</v>
      </c>
    </row>
    <row r="2390">
      <c r="X2390" t="b">
        <f t="shared" ref="X2390:Z2390" si="4756">ISBLANK(K2390)</f>
        <v>1</v>
      </c>
      <c r="Y2390" t="b">
        <f t="shared" si="4756"/>
        <v>1</v>
      </c>
      <c r="Z2390" t="b">
        <f t="shared" si="4756"/>
        <v>1</v>
      </c>
      <c r="AA2390">
        <f t="shared" ref="AA2390:AC2390" si="4757">IF(X2390=FALSE,1,0)</f>
        <v>0</v>
      </c>
      <c r="AB2390">
        <f t="shared" si="4757"/>
        <v>0</v>
      </c>
      <c r="AC2390">
        <f t="shared" si="4757"/>
        <v>0</v>
      </c>
      <c r="AD2390">
        <f t="shared" si="6"/>
        <v>0</v>
      </c>
      <c r="AE2390">
        <f t="shared" si="7"/>
        <v>0</v>
      </c>
    </row>
    <row r="2391">
      <c r="X2391" t="b">
        <f t="shared" ref="X2391:Z2391" si="4758">ISBLANK(K2391)</f>
        <v>1</v>
      </c>
      <c r="Y2391" t="b">
        <f t="shared" si="4758"/>
        <v>1</v>
      </c>
      <c r="Z2391" t="b">
        <f t="shared" si="4758"/>
        <v>1</v>
      </c>
      <c r="AA2391">
        <f t="shared" ref="AA2391:AC2391" si="4759">IF(X2391=FALSE,1,0)</f>
        <v>0</v>
      </c>
      <c r="AB2391">
        <f t="shared" si="4759"/>
        <v>0</v>
      </c>
      <c r="AC2391">
        <f t="shared" si="4759"/>
        <v>0</v>
      </c>
      <c r="AD2391">
        <f t="shared" si="6"/>
        <v>0</v>
      </c>
      <c r="AE2391">
        <f t="shared" si="7"/>
        <v>0</v>
      </c>
    </row>
    <row r="2392">
      <c r="X2392" t="b">
        <f t="shared" ref="X2392:Z2392" si="4760">ISBLANK(K2392)</f>
        <v>1</v>
      </c>
      <c r="Y2392" t="b">
        <f t="shared" si="4760"/>
        <v>1</v>
      </c>
      <c r="Z2392" t="b">
        <f t="shared" si="4760"/>
        <v>1</v>
      </c>
      <c r="AA2392">
        <f t="shared" ref="AA2392:AC2392" si="4761">IF(X2392=FALSE,1,0)</f>
        <v>0</v>
      </c>
      <c r="AB2392">
        <f t="shared" si="4761"/>
        <v>0</v>
      </c>
      <c r="AC2392">
        <f t="shared" si="4761"/>
        <v>0</v>
      </c>
      <c r="AD2392">
        <f t="shared" si="6"/>
        <v>0</v>
      </c>
      <c r="AE2392">
        <f t="shared" si="7"/>
        <v>0</v>
      </c>
    </row>
    <row r="2393">
      <c r="X2393" t="b">
        <f t="shared" ref="X2393:Z2393" si="4762">ISBLANK(K2393)</f>
        <v>1</v>
      </c>
      <c r="Y2393" t="b">
        <f t="shared" si="4762"/>
        <v>1</v>
      </c>
      <c r="Z2393" t="b">
        <f t="shared" si="4762"/>
        <v>1</v>
      </c>
      <c r="AA2393">
        <f t="shared" ref="AA2393:AC2393" si="4763">IF(X2393=FALSE,1,0)</f>
        <v>0</v>
      </c>
      <c r="AB2393">
        <f t="shared" si="4763"/>
        <v>0</v>
      </c>
      <c r="AC2393">
        <f t="shared" si="4763"/>
        <v>0</v>
      </c>
      <c r="AD2393">
        <f t="shared" si="6"/>
        <v>0</v>
      </c>
      <c r="AE2393">
        <f t="shared" si="7"/>
        <v>0</v>
      </c>
    </row>
    <row r="2394">
      <c r="X2394" t="b">
        <f t="shared" ref="X2394:Z2394" si="4764">ISBLANK(K2394)</f>
        <v>1</v>
      </c>
      <c r="Y2394" t="b">
        <f t="shared" si="4764"/>
        <v>1</v>
      </c>
      <c r="Z2394" t="b">
        <f t="shared" si="4764"/>
        <v>1</v>
      </c>
      <c r="AA2394">
        <f t="shared" ref="AA2394:AC2394" si="4765">IF(X2394=FALSE,1,0)</f>
        <v>0</v>
      </c>
      <c r="AB2394">
        <f t="shared" si="4765"/>
        <v>0</v>
      </c>
      <c r="AC2394">
        <f t="shared" si="4765"/>
        <v>0</v>
      </c>
      <c r="AD2394">
        <f t="shared" si="6"/>
        <v>0</v>
      </c>
      <c r="AE2394">
        <f t="shared" si="7"/>
        <v>0</v>
      </c>
    </row>
    <row r="2395">
      <c r="X2395" t="b">
        <f t="shared" ref="X2395:Z2395" si="4766">ISBLANK(K2395)</f>
        <v>1</v>
      </c>
      <c r="Y2395" t="b">
        <f t="shared" si="4766"/>
        <v>1</v>
      </c>
      <c r="Z2395" t="b">
        <f t="shared" si="4766"/>
        <v>1</v>
      </c>
      <c r="AA2395">
        <f t="shared" ref="AA2395:AC2395" si="4767">IF(X2395=FALSE,1,0)</f>
        <v>0</v>
      </c>
      <c r="AB2395">
        <f t="shared" si="4767"/>
        <v>0</v>
      </c>
      <c r="AC2395">
        <f t="shared" si="4767"/>
        <v>0</v>
      </c>
      <c r="AD2395">
        <f t="shared" si="6"/>
        <v>0</v>
      </c>
      <c r="AE2395">
        <f t="shared" si="7"/>
        <v>0</v>
      </c>
    </row>
    <row r="2396">
      <c r="X2396" t="b">
        <f t="shared" ref="X2396:Z2396" si="4768">ISBLANK(K2396)</f>
        <v>1</v>
      </c>
      <c r="Y2396" t="b">
        <f t="shared" si="4768"/>
        <v>1</v>
      </c>
      <c r="Z2396" t="b">
        <f t="shared" si="4768"/>
        <v>1</v>
      </c>
      <c r="AA2396">
        <f t="shared" ref="AA2396:AC2396" si="4769">IF(X2396=FALSE,1,0)</f>
        <v>0</v>
      </c>
      <c r="AB2396">
        <f t="shared" si="4769"/>
        <v>0</v>
      </c>
      <c r="AC2396">
        <f t="shared" si="4769"/>
        <v>0</v>
      </c>
      <c r="AD2396">
        <f t="shared" si="6"/>
        <v>0</v>
      </c>
      <c r="AE2396">
        <f t="shared" si="7"/>
        <v>0</v>
      </c>
    </row>
    <row r="2397">
      <c r="X2397" t="b">
        <f t="shared" ref="X2397:Z2397" si="4770">ISBLANK(K2397)</f>
        <v>1</v>
      </c>
      <c r="Y2397" t="b">
        <f t="shared" si="4770"/>
        <v>1</v>
      </c>
      <c r="Z2397" t="b">
        <f t="shared" si="4770"/>
        <v>1</v>
      </c>
      <c r="AA2397">
        <f t="shared" ref="AA2397:AC2397" si="4771">IF(X2397=FALSE,1,0)</f>
        <v>0</v>
      </c>
      <c r="AB2397">
        <f t="shared" si="4771"/>
        <v>0</v>
      </c>
      <c r="AC2397">
        <f t="shared" si="4771"/>
        <v>0</v>
      </c>
      <c r="AD2397">
        <f t="shared" si="6"/>
        <v>0</v>
      </c>
      <c r="AE2397">
        <f t="shared" si="7"/>
        <v>0</v>
      </c>
    </row>
    <row r="2398">
      <c r="X2398" t="b">
        <f t="shared" ref="X2398:Z2398" si="4772">ISBLANK(K2398)</f>
        <v>1</v>
      </c>
      <c r="Y2398" t="b">
        <f t="shared" si="4772"/>
        <v>1</v>
      </c>
      <c r="Z2398" t="b">
        <f t="shared" si="4772"/>
        <v>1</v>
      </c>
      <c r="AA2398">
        <f t="shared" ref="AA2398:AC2398" si="4773">IF(X2398=FALSE,1,0)</f>
        <v>0</v>
      </c>
      <c r="AB2398">
        <f t="shared" si="4773"/>
        <v>0</v>
      </c>
      <c r="AC2398">
        <f t="shared" si="4773"/>
        <v>0</v>
      </c>
      <c r="AD2398">
        <f t="shared" si="6"/>
        <v>0</v>
      </c>
      <c r="AE2398">
        <f t="shared" si="7"/>
        <v>0</v>
      </c>
    </row>
    <row r="2399">
      <c r="X2399" t="b">
        <f t="shared" ref="X2399:Z2399" si="4774">ISBLANK(K2399)</f>
        <v>1</v>
      </c>
      <c r="Y2399" t="b">
        <f t="shared" si="4774"/>
        <v>1</v>
      </c>
      <c r="Z2399" t="b">
        <f t="shared" si="4774"/>
        <v>1</v>
      </c>
      <c r="AA2399">
        <f t="shared" ref="AA2399:AC2399" si="4775">IF(X2399=FALSE,1,0)</f>
        <v>0</v>
      </c>
      <c r="AB2399">
        <f t="shared" si="4775"/>
        <v>0</v>
      </c>
      <c r="AC2399">
        <f t="shared" si="4775"/>
        <v>0</v>
      </c>
      <c r="AD2399">
        <f t="shared" si="6"/>
        <v>0</v>
      </c>
      <c r="AE2399">
        <f t="shared" si="7"/>
        <v>0</v>
      </c>
    </row>
    <row r="2400">
      <c r="X2400" t="b">
        <f t="shared" ref="X2400:Z2400" si="4776">ISBLANK(K2400)</f>
        <v>1</v>
      </c>
      <c r="Y2400" t="b">
        <f t="shared" si="4776"/>
        <v>1</v>
      </c>
      <c r="Z2400" t="b">
        <f t="shared" si="4776"/>
        <v>1</v>
      </c>
      <c r="AA2400">
        <f t="shared" ref="AA2400:AC2400" si="4777">IF(X2400=FALSE,1,0)</f>
        <v>0</v>
      </c>
      <c r="AB2400">
        <f t="shared" si="4777"/>
        <v>0</v>
      </c>
      <c r="AC2400">
        <f t="shared" si="4777"/>
        <v>0</v>
      </c>
      <c r="AD2400">
        <f t="shared" si="6"/>
        <v>0</v>
      </c>
      <c r="AE2400">
        <f t="shared" si="7"/>
        <v>0</v>
      </c>
    </row>
    <row r="2401">
      <c r="X2401" t="b">
        <f t="shared" ref="X2401:Z2401" si="4778">ISBLANK(K2401)</f>
        <v>1</v>
      </c>
      <c r="Y2401" t="b">
        <f t="shared" si="4778"/>
        <v>1</v>
      </c>
      <c r="Z2401" t="b">
        <f t="shared" si="4778"/>
        <v>1</v>
      </c>
      <c r="AA2401">
        <f t="shared" ref="AA2401:AC2401" si="4779">IF(X2401=FALSE,1,0)</f>
        <v>0</v>
      </c>
      <c r="AB2401">
        <f t="shared" si="4779"/>
        <v>0</v>
      </c>
      <c r="AC2401">
        <f t="shared" si="4779"/>
        <v>0</v>
      </c>
      <c r="AD2401">
        <f t="shared" si="6"/>
        <v>0</v>
      </c>
      <c r="AE2401">
        <f t="shared" si="7"/>
        <v>0</v>
      </c>
    </row>
    <row r="2402">
      <c r="X2402" t="b">
        <f t="shared" ref="X2402:Z2402" si="4780">ISBLANK(K2402)</f>
        <v>1</v>
      </c>
      <c r="Y2402" t="b">
        <f t="shared" si="4780"/>
        <v>1</v>
      </c>
      <c r="Z2402" t="b">
        <f t="shared" si="4780"/>
        <v>1</v>
      </c>
      <c r="AA2402">
        <f t="shared" ref="AA2402:AC2402" si="4781">IF(X2402=FALSE,1,0)</f>
        <v>0</v>
      </c>
      <c r="AB2402">
        <f t="shared" si="4781"/>
        <v>0</v>
      </c>
      <c r="AC2402">
        <f t="shared" si="4781"/>
        <v>0</v>
      </c>
      <c r="AD2402">
        <f t="shared" si="6"/>
        <v>0</v>
      </c>
      <c r="AE2402">
        <f t="shared" si="7"/>
        <v>0</v>
      </c>
    </row>
    <row r="2403">
      <c r="X2403" t="b">
        <f t="shared" ref="X2403:Z2403" si="4782">ISBLANK(K2403)</f>
        <v>1</v>
      </c>
      <c r="Y2403" t="b">
        <f t="shared" si="4782"/>
        <v>1</v>
      </c>
      <c r="Z2403" t="b">
        <f t="shared" si="4782"/>
        <v>1</v>
      </c>
      <c r="AA2403">
        <f t="shared" ref="AA2403:AC2403" si="4783">IF(X2403=FALSE,1,0)</f>
        <v>0</v>
      </c>
      <c r="AB2403">
        <f t="shared" si="4783"/>
        <v>0</v>
      </c>
      <c r="AC2403">
        <f t="shared" si="4783"/>
        <v>0</v>
      </c>
      <c r="AD2403">
        <f t="shared" si="6"/>
        <v>0</v>
      </c>
      <c r="AE2403">
        <f t="shared" si="7"/>
        <v>0</v>
      </c>
    </row>
    <row r="2404">
      <c r="X2404" t="b">
        <f t="shared" ref="X2404:Z2404" si="4784">ISBLANK(K2404)</f>
        <v>1</v>
      </c>
      <c r="Y2404" t="b">
        <f t="shared" si="4784"/>
        <v>1</v>
      </c>
      <c r="Z2404" t="b">
        <f t="shared" si="4784"/>
        <v>1</v>
      </c>
      <c r="AA2404">
        <f t="shared" ref="AA2404:AC2404" si="4785">IF(X2404=FALSE,1,0)</f>
        <v>0</v>
      </c>
      <c r="AB2404">
        <f t="shared" si="4785"/>
        <v>0</v>
      </c>
      <c r="AC2404">
        <f t="shared" si="4785"/>
        <v>0</v>
      </c>
      <c r="AD2404">
        <f t="shared" si="6"/>
        <v>0</v>
      </c>
      <c r="AE2404">
        <f t="shared" si="7"/>
        <v>0</v>
      </c>
    </row>
    <row r="2405">
      <c r="X2405" t="b">
        <f t="shared" ref="X2405:Z2405" si="4786">ISBLANK(K2405)</f>
        <v>1</v>
      </c>
      <c r="Y2405" t="b">
        <f t="shared" si="4786"/>
        <v>1</v>
      </c>
      <c r="Z2405" t="b">
        <f t="shared" si="4786"/>
        <v>1</v>
      </c>
      <c r="AA2405">
        <f t="shared" ref="AA2405:AC2405" si="4787">IF(X2405=FALSE,1,0)</f>
        <v>0</v>
      </c>
      <c r="AB2405">
        <f t="shared" si="4787"/>
        <v>0</v>
      </c>
      <c r="AC2405">
        <f t="shared" si="4787"/>
        <v>0</v>
      </c>
      <c r="AD2405">
        <f t="shared" si="6"/>
        <v>0</v>
      </c>
      <c r="AE2405">
        <f t="shared" si="7"/>
        <v>0</v>
      </c>
    </row>
    <row r="2406">
      <c r="X2406" t="b">
        <f t="shared" ref="X2406:Z2406" si="4788">ISBLANK(K2406)</f>
        <v>1</v>
      </c>
      <c r="Y2406" t="b">
        <f t="shared" si="4788"/>
        <v>1</v>
      </c>
      <c r="Z2406" t="b">
        <f t="shared" si="4788"/>
        <v>1</v>
      </c>
      <c r="AA2406">
        <f t="shared" ref="AA2406:AC2406" si="4789">IF(X2406=FALSE,1,0)</f>
        <v>0</v>
      </c>
      <c r="AB2406">
        <f t="shared" si="4789"/>
        <v>0</v>
      </c>
      <c r="AC2406">
        <f t="shared" si="4789"/>
        <v>0</v>
      </c>
      <c r="AD2406">
        <f t="shared" si="6"/>
        <v>0</v>
      </c>
      <c r="AE2406">
        <f t="shared" si="7"/>
        <v>0</v>
      </c>
    </row>
    <row r="2407">
      <c r="X2407" t="b">
        <f t="shared" ref="X2407:Z2407" si="4790">ISBLANK(K2407)</f>
        <v>1</v>
      </c>
      <c r="Y2407" t="b">
        <f t="shared" si="4790"/>
        <v>1</v>
      </c>
      <c r="Z2407" t="b">
        <f t="shared" si="4790"/>
        <v>1</v>
      </c>
      <c r="AA2407">
        <f t="shared" ref="AA2407:AC2407" si="4791">IF(X2407=FALSE,1,0)</f>
        <v>0</v>
      </c>
      <c r="AB2407">
        <f t="shared" si="4791"/>
        <v>0</v>
      </c>
      <c r="AC2407">
        <f t="shared" si="4791"/>
        <v>0</v>
      </c>
      <c r="AD2407">
        <f t="shared" si="6"/>
        <v>0</v>
      </c>
      <c r="AE2407">
        <f t="shared" si="7"/>
        <v>0</v>
      </c>
    </row>
    <row r="2408">
      <c r="X2408" t="b">
        <f t="shared" ref="X2408:Z2408" si="4792">ISBLANK(K2408)</f>
        <v>1</v>
      </c>
      <c r="Y2408" t="b">
        <f t="shared" si="4792"/>
        <v>1</v>
      </c>
      <c r="Z2408" t="b">
        <f t="shared" si="4792"/>
        <v>1</v>
      </c>
      <c r="AA2408">
        <f t="shared" ref="AA2408:AC2408" si="4793">IF(X2408=FALSE,1,0)</f>
        <v>0</v>
      </c>
      <c r="AB2408">
        <f t="shared" si="4793"/>
        <v>0</v>
      </c>
      <c r="AC2408">
        <f t="shared" si="4793"/>
        <v>0</v>
      </c>
      <c r="AD2408">
        <f t="shared" si="6"/>
        <v>0</v>
      </c>
      <c r="AE2408">
        <f t="shared" si="7"/>
        <v>0</v>
      </c>
    </row>
    <row r="2409">
      <c r="X2409" t="b">
        <f t="shared" ref="X2409:Z2409" si="4794">ISBLANK(K2409)</f>
        <v>1</v>
      </c>
      <c r="Y2409" t="b">
        <f t="shared" si="4794"/>
        <v>1</v>
      </c>
      <c r="Z2409" t="b">
        <f t="shared" si="4794"/>
        <v>1</v>
      </c>
      <c r="AA2409">
        <f t="shared" ref="AA2409:AC2409" si="4795">IF(X2409=FALSE,1,0)</f>
        <v>0</v>
      </c>
      <c r="AB2409">
        <f t="shared" si="4795"/>
        <v>0</v>
      </c>
      <c r="AC2409">
        <f t="shared" si="4795"/>
        <v>0</v>
      </c>
      <c r="AD2409">
        <f t="shared" si="6"/>
        <v>0</v>
      </c>
      <c r="AE2409">
        <f t="shared" si="7"/>
        <v>0</v>
      </c>
    </row>
    <row r="2410">
      <c r="X2410" t="b">
        <f t="shared" ref="X2410:Z2410" si="4796">ISBLANK(K2410)</f>
        <v>1</v>
      </c>
      <c r="Y2410" t="b">
        <f t="shared" si="4796"/>
        <v>1</v>
      </c>
      <c r="Z2410" t="b">
        <f t="shared" si="4796"/>
        <v>1</v>
      </c>
      <c r="AA2410">
        <f t="shared" ref="AA2410:AC2410" si="4797">IF(X2410=FALSE,1,0)</f>
        <v>0</v>
      </c>
      <c r="AB2410">
        <f t="shared" si="4797"/>
        <v>0</v>
      </c>
      <c r="AC2410">
        <f t="shared" si="4797"/>
        <v>0</v>
      </c>
      <c r="AD2410">
        <f t="shared" si="6"/>
        <v>0</v>
      </c>
      <c r="AE2410">
        <f t="shared" si="7"/>
        <v>0</v>
      </c>
    </row>
    <row r="2411">
      <c r="X2411" t="b">
        <f t="shared" ref="X2411:Z2411" si="4798">ISBLANK(K2411)</f>
        <v>1</v>
      </c>
      <c r="Y2411" t="b">
        <f t="shared" si="4798"/>
        <v>1</v>
      </c>
      <c r="Z2411" t="b">
        <f t="shared" si="4798"/>
        <v>1</v>
      </c>
      <c r="AA2411">
        <f t="shared" ref="AA2411:AC2411" si="4799">IF(X2411=FALSE,1,0)</f>
        <v>0</v>
      </c>
      <c r="AB2411">
        <f t="shared" si="4799"/>
        <v>0</v>
      </c>
      <c r="AC2411">
        <f t="shared" si="4799"/>
        <v>0</v>
      </c>
      <c r="AD2411">
        <f t="shared" si="6"/>
        <v>0</v>
      </c>
      <c r="AE2411">
        <f t="shared" si="7"/>
        <v>0</v>
      </c>
    </row>
    <row r="2412">
      <c r="X2412" t="b">
        <f t="shared" ref="X2412:Z2412" si="4800">ISBLANK(K2412)</f>
        <v>1</v>
      </c>
      <c r="Y2412" t="b">
        <f t="shared" si="4800"/>
        <v>1</v>
      </c>
      <c r="Z2412" t="b">
        <f t="shared" si="4800"/>
        <v>1</v>
      </c>
      <c r="AA2412">
        <f t="shared" ref="AA2412:AC2412" si="4801">IF(X2412=FALSE,1,0)</f>
        <v>0</v>
      </c>
      <c r="AB2412">
        <f t="shared" si="4801"/>
        <v>0</v>
      </c>
      <c r="AC2412">
        <f t="shared" si="4801"/>
        <v>0</v>
      </c>
      <c r="AD2412">
        <f t="shared" si="6"/>
        <v>0</v>
      </c>
      <c r="AE2412">
        <f t="shared" si="7"/>
        <v>0</v>
      </c>
    </row>
    <row r="2413">
      <c r="X2413" t="b">
        <f t="shared" ref="X2413:Z2413" si="4802">ISBLANK(K2413)</f>
        <v>1</v>
      </c>
      <c r="Y2413" t="b">
        <f t="shared" si="4802"/>
        <v>1</v>
      </c>
      <c r="Z2413" t="b">
        <f t="shared" si="4802"/>
        <v>1</v>
      </c>
      <c r="AA2413">
        <f t="shared" ref="AA2413:AC2413" si="4803">IF(X2413=FALSE,1,0)</f>
        <v>0</v>
      </c>
      <c r="AB2413">
        <f t="shared" si="4803"/>
        <v>0</v>
      </c>
      <c r="AC2413">
        <f t="shared" si="4803"/>
        <v>0</v>
      </c>
      <c r="AD2413">
        <f t="shared" si="6"/>
        <v>0</v>
      </c>
      <c r="AE2413">
        <f t="shared" si="7"/>
        <v>0</v>
      </c>
    </row>
    <row r="2414">
      <c r="X2414" t="b">
        <f t="shared" ref="X2414:Z2414" si="4804">ISBLANK(K2414)</f>
        <v>1</v>
      </c>
      <c r="Y2414" t="b">
        <f t="shared" si="4804"/>
        <v>1</v>
      </c>
      <c r="Z2414" t="b">
        <f t="shared" si="4804"/>
        <v>1</v>
      </c>
      <c r="AA2414">
        <f t="shared" ref="AA2414:AC2414" si="4805">IF(X2414=FALSE,1,0)</f>
        <v>0</v>
      </c>
      <c r="AB2414">
        <f t="shared" si="4805"/>
        <v>0</v>
      </c>
      <c r="AC2414">
        <f t="shared" si="4805"/>
        <v>0</v>
      </c>
      <c r="AD2414">
        <f t="shared" si="6"/>
        <v>0</v>
      </c>
      <c r="AE2414">
        <f t="shared" si="7"/>
        <v>0</v>
      </c>
    </row>
    <row r="2415">
      <c r="X2415" t="b">
        <f t="shared" ref="X2415:Z2415" si="4806">ISBLANK(K2415)</f>
        <v>1</v>
      </c>
      <c r="Y2415" t="b">
        <f t="shared" si="4806"/>
        <v>1</v>
      </c>
      <c r="Z2415" t="b">
        <f t="shared" si="4806"/>
        <v>1</v>
      </c>
      <c r="AA2415">
        <f t="shared" ref="AA2415:AC2415" si="4807">IF(X2415=FALSE,1,0)</f>
        <v>0</v>
      </c>
      <c r="AB2415">
        <f t="shared" si="4807"/>
        <v>0</v>
      </c>
      <c r="AC2415">
        <f t="shared" si="4807"/>
        <v>0</v>
      </c>
      <c r="AD2415">
        <f t="shared" si="6"/>
        <v>0</v>
      </c>
      <c r="AE2415">
        <f t="shared" si="7"/>
        <v>0</v>
      </c>
    </row>
    <row r="2416">
      <c r="X2416" t="b">
        <f t="shared" ref="X2416:Z2416" si="4808">ISBLANK(K2416)</f>
        <v>1</v>
      </c>
      <c r="Y2416" t="b">
        <f t="shared" si="4808"/>
        <v>1</v>
      </c>
      <c r="Z2416" t="b">
        <f t="shared" si="4808"/>
        <v>1</v>
      </c>
      <c r="AA2416">
        <f t="shared" ref="AA2416:AC2416" si="4809">IF(X2416=FALSE,1,0)</f>
        <v>0</v>
      </c>
      <c r="AB2416">
        <f t="shared" si="4809"/>
        <v>0</v>
      </c>
      <c r="AC2416">
        <f t="shared" si="4809"/>
        <v>0</v>
      </c>
      <c r="AD2416">
        <f t="shared" si="6"/>
        <v>0</v>
      </c>
      <c r="AE2416">
        <f t="shared" si="7"/>
        <v>0</v>
      </c>
    </row>
    <row r="2417">
      <c r="X2417" t="b">
        <f t="shared" ref="X2417:Z2417" si="4810">ISBLANK(K2417)</f>
        <v>1</v>
      </c>
      <c r="Y2417" t="b">
        <f t="shared" si="4810"/>
        <v>1</v>
      </c>
      <c r="Z2417" t="b">
        <f t="shared" si="4810"/>
        <v>1</v>
      </c>
      <c r="AA2417">
        <f t="shared" ref="AA2417:AC2417" si="4811">IF(X2417=FALSE,1,0)</f>
        <v>0</v>
      </c>
      <c r="AB2417">
        <f t="shared" si="4811"/>
        <v>0</v>
      </c>
      <c r="AC2417">
        <f t="shared" si="4811"/>
        <v>0</v>
      </c>
      <c r="AD2417">
        <f t="shared" si="6"/>
        <v>0</v>
      </c>
      <c r="AE2417">
        <f t="shared" si="7"/>
        <v>0</v>
      </c>
    </row>
    <row r="2418">
      <c r="X2418" t="b">
        <f t="shared" ref="X2418:Z2418" si="4812">ISBLANK(K2418)</f>
        <v>1</v>
      </c>
      <c r="Y2418" t="b">
        <f t="shared" si="4812"/>
        <v>1</v>
      </c>
      <c r="Z2418" t="b">
        <f t="shared" si="4812"/>
        <v>1</v>
      </c>
      <c r="AA2418">
        <f t="shared" ref="AA2418:AC2418" si="4813">IF(X2418=FALSE,1,0)</f>
        <v>0</v>
      </c>
      <c r="AB2418">
        <f t="shared" si="4813"/>
        <v>0</v>
      </c>
      <c r="AC2418">
        <f t="shared" si="4813"/>
        <v>0</v>
      </c>
      <c r="AD2418">
        <f t="shared" si="6"/>
        <v>0</v>
      </c>
      <c r="AE2418">
        <f t="shared" si="7"/>
        <v>0</v>
      </c>
    </row>
    <row r="2419">
      <c r="X2419" t="b">
        <f t="shared" ref="X2419:Z2419" si="4814">ISBLANK(K2419)</f>
        <v>1</v>
      </c>
      <c r="Y2419" t="b">
        <f t="shared" si="4814"/>
        <v>1</v>
      </c>
      <c r="Z2419" t="b">
        <f t="shared" si="4814"/>
        <v>1</v>
      </c>
      <c r="AA2419">
        <f t="shared" ref="AA2419:AC2419" si="4815">IF(X2419=FALSE,1,0)</f>
        <v>0</v>
      </c>
      <c r="AB2419">
        <f t="shared" si="4815"/>
        <v>0</v>
      </c>
      <c r="AC2419">
        <f t="shared" si="4815"/>
        <v>0</v>
      </c>
      <c r="AD2419">
        <f t="shared" si="6"/>
        <v>0</v>
      </c>
      <c r="AE2419">
        <f t="shared" si="7"/>
        <v>0</v>
      </c>
    </row>
    <row r="2420">
      <c r="X2420" t="b">
        <f t="shared" ref="X2420:Z2420" si="4816">ISBLANK(K2420)</f>
        <v>1</v>
      </c>
      <c r="Y2420" t="b">
        <f t="shared" si="4816"/>
        <v>1</v>
      </c>
      <c r="Z2420" t="b">
        <f t="shared" si="4816"/>
        <v>1</v>
      </c>
      <c r="AA2420">
        <f t="shared" ref="AA2420:AC2420" si="4817">IF(X2420=FALSE,1,0)</f>
        <v>0</v>
      </c>
      <c r="AB2420">
        <f t="shared" si="4817"/>
        <v>0</v>
      </c>
      <c r="AC2420">
        <f t="shared" si="4817"/>
        <v>0</v>
      </c>
      <c r="AD2420">
        <f t="shared" si="6"/>
        <v>0</v>
      </c>
      <c r="AE2420">
        <f t="shared" si="7"/>
        <v>0</v>
      </c>
    </row>
    <row r="2421">
      <c r="X2421" t="b">
        <f t="shared" ref="X2421:Z2421" si="4818">ISBLANK(K2421)</f>
        <v>1</v>
      </c>
      <c r="Y2421" t="b">
        <f t="shared" si="4818"/>
        <v>1</v>
      </c>
      <c r="Z2421" t="b">
        <f t="shared" si="4818"/>
        <v>1</v>
      </c>
      <c r="AA2421">
        <f t="shared" ref="AA2421:AC2421" si="4819">IF(X2421=FALSE,1,0)</f>
        <v>0</v>
      </c>
      <c r="AB2421">
        <f t="shared" si="4819"/>
        <v>0</v>
      </c>
      <c r="AC2421">
        <f t="shared" si="4819"/>
        <v>0</v>
      </c>
      <c r="AD2421">
        <f t="shared" si="6"/>
        <v>0</v>
      </c>
      <c r="AE2421">
        <f t="shared" si="7"/>
        <v>0</v>
      </c>
    </row>
    <row r="2422">
      <c r="X2422" t="b">
        <f t="shared" ref="X2422:Z2422" si="4820">ISBLANK(K2422)</f>
        <v>1</v>
      </c>
      <c r="Y2422" t="b">
        <f t="shared" si="4820"/>
        <v>1</v>
      </c>
      <c r="Z2422" t="b">
        <f t="shared" si="4820"/>
        <v>1</v>
      </c>
      <c r="AA2422">
        <f t="shared" ref="AA2422:AC2422" si="4821">IF(X2422=FALSE,1,0)</f>
        <v>0</v>
      </c>
      <c r="AB2422">
        <f t="shared" si="4821"/>
        <v>0</v>
      </c>
      <c r="AC2422">
        <f t="shared" si="4821"/>
        <v>0</v>
      </c>
      <c r="AD2422">
        <f t="shared" si="6"/>
        <v>0</v>
      </c>
      <c r="AE2422">
        <f t="shared" si="7"/>
        <v>0</v>
      </c>
    </row>
    <row r="2423">
      <c r="X2423" t="b">
        <f t="shared" ref="X2423:Z2423" si="4822">ISBLANK(K2423)</f>
        <v>1</v>
      </c>
      <c r="Y2423" t="b">
        <f t="shared" si="4822"/>
        <v>1</v>
      </c>
      <c r="Z2423" t="b">
        <f t="shared" si="4822"/>
        <v>1</v>
      </c>
      <c r="AA2423">
        <f t="shared" ref="AA2423:AC2423" si="4823">IF(X2423=FALSE,1,0)</f>
        <v>0</v>
      </c>
      <c r="AB2423">
        <f t="shared" si="4823"/>
        <v>0</v>
      </c>
      <c r="AC2423">
        <f t="shared" si="4823"/>
        <v>0</v>
      </c>
      <c r="AD2423">
        <f t="shared" si="6"/>
        <v>0</v>
      </c>
      <c r="AE2423">
        <f t="shared" si="7"/>
        <v>0</v>
      </c>
    </row>
    <row r="2424">
      <c r="X2424" t="b">
        <f t="shared" ref="X2424:Z2424" si="4824">ISBLANK(K2424)</f>
        <v>1</v>
      </c>
      <c r="Y2424" t="b">
        <f t="shared" si="4824"/>
        <v>1</v>
      </c>
      <c r="Z2424" t="b">
        <f t="shared" si="4824"/>
        <v>1</v>
      </c>
      <c r="AA2424">
        <f t="shared" ref="AA2424:AC2424" si="4825">IF(X2424=FALSE,1,0)</f>
        <v>0</v>
      </c>
      <c r="AB2424">
        <f t="shared" si="4825"/>
        <v>0</v>
      </c>
      <c r="AC2424">
        <f t="shared" si="4825"/>
        <v>0</v>
      </c>
      <c r="AD2424">
        <f t="shared" si="6"/>
        <v>0</v>
      </c>
      <c r="AE2424">
        <f t="shared" si="7"/>
        <v>0</v>
      </c>
    </row>
    <row r="2425">
      <c r="X2425" t="b">
        <f t="shared" ref="X2425:Z2425" si="4826">ISBLANK(K2425)</f>
        <v>1</v>
      </c>
      <c r="Y2425" t="b">
        <f t="shared" si="4826"/>
        <v>1</v>
      </c>
      <c r="Z2425" t="b">
        <f t="shared" si="4826"/>
        <v>1</v>
      </c>
      <c r="AA2425">
        <f t="shared" ref="AA2425:AC2425" si="4827">IF(X2425=FALSE,1,0)</f>
        <v>0</v>
      </c>
      <c r="AB2425">
        <f t="shared" si="4827"/>
        <v>0</v>
      </c>
      <c r="AC2425">
        <f t="shared" si="4827"/>
        <v>0</v>
      </c>
      <c r="AD2425">
        <f t="shared" si="6"/>
        <v>0</v>
      </c>
      <c r="AE2425">
        <f t="shared" si="7"/>
        <v>0</v>
      </c>
    </row>
    <row r="2426">
      <c r="X2426" t="b">
        <f t="shared" ref="X2426:Z2426" si="4828">ISBLANK(K2426)</f>
        <v>1</v>
      </c>
      <c r="Y2426" t="b">
        <f t="shared" si="4828"/>
        <v>1</v>
      </c>
      <c r="Z2426" t="b">
        <f t="shared" si="4828"/>
        <v>1</v>
      </c>
      <c r="AA2426">
        <f t="shared" ref="AA2426:AC2426" si="4829">IF(X2426=FALSE,1,0)</f>
        <v>0</v>
      </c>
      <c r="AB2426">
        <f t="shared" si="4829"/>
        <v>0</v>
      </c>
      <c r="AC2426">
        <f t="shared" si="4829"/>
        <v>0</v>
      </c>
      <c r="AD2426">
        <f t="shared" si="6"/>
        <v>0</v>
      </c>
      <c r="AE2426">
        <f t="shared" si="7"/>
        <v>0</v>
      </c>
    </row>
    <row r="2427">
      <c r="X2427" t="b">
        <f t="shared" ref="X2427:Z2427" si="4830">ISBLANK(K2427)</f>
        <v>1</v>
      </c>
      <c r="Y2427" t="b">
        <f t="shared" si="4830"/>
        <v>1</v>
      </c>
      <c r="Z2427" t="b">
        <f t="shared" si="4830"/>
        <v>1</v>
      </c>
      <c r="AA2427">
        <f t="shared" ref="AA2427:AC2427" si="4831">IF(X2427=FALSE,1,0)</f>
        <v>0</v>
      </c>
      <c r="AB2427">
        <f t="shared" si="4831"/>
        <v>0</v>
      </c>
      <c r="AC2427">
        <f t="shared" si="4831"/>
        <v>0</v>
      </c>
      <c r="AD2427">
        <f t="shared" si="6"/>
        <v>0</v>
      </c>
      <c r="AE2427">
        <f t="shared" si="7"/>
        <v>0</v>
      </c>
    </row>
    <row r="2428">
      <c r="X2428" t="b">
        <f t="shared" ref="X2428:Z2428" si="4832">ISBLANK(K2428)</f>
        <v>1</v>
      </c>
      <c r="Y2428" t="b">
        <f t="shared" si="4832"/>
        <v>1</v>
      </c>
      <c r="Z2428" t="b">
        <f t="shared" si="4832"/>
        <v>1</v>
      </c>
      <c r="AA2428">
        <f t="shared" ref="AA2428:AC2428" si="4833">IF(X2428=FALSE,1,0)</f>
        <v>0</v>
      </c>
      <c r="AB2428">
        <f t="shared" si="4833"/>
        <v>0</v>
      </c>
      <c r="AC2428">
        <f t="shared" si="4833"/>
        <v>0</v>
      </c>
      <c r="AD2428">
        <f t="shared" si="6"/>
        <v>0</v>
      </c>
      <c r="AE2428">
        <f t="shared" si="7"/>
        <v>0</v>
      </c>
    </row>
    <row r="2429">
      <c r="X2429" t="b">
        <f t="shared" ref="X2429:Z2429" si="4834">ISBLANK(K2429)</f>
        <v>1</v>
      </c>
      <c r="Y2429" t="b">
        <f t="shared" si="4834"/>
        <v>1</v>
      </c>
      <c r="Z2429" t="b">
        <f t="shared" si="4834"/>
        <v>1</v>
      </c>
      <c r="AA2429">
        <f t="shared" ref="AA2429:AC2429" si="4835">IF(X2429=FALSE,1,0)</f>
        <v>0</v>
      </c>
      <c r="AB2429">
        <f t="shared" si="4835"/>
        <v>0</v>
      </c>
      <c r="AC2429">
        <f t="shared" si="4835"/>
        <v>0</v>
      </c>
      <c r="AD2429">
        <f t="shared" si="6"/>
        <v>0</v>
      </c>
      <c r="AE2429">
        <f t="shared" si="7"/>
        <v>0</v>
      </c>
    </row>
    <row r="2430">
      <c r="X2430" t="b">
        <f t="shared" ref="X2430:Z2430" si="4836">ISBLANK(K2430)</f>
        <v>1</v>
      </c>
      <c r="Y2430" t="b">
        <f t="shared" si="4836"/>
        <v>1</v>
      </c>
      <c r="Z2430" t="b">
        <f t="shared" si="4836"/>
        <v>1</v>
      </c>
      <c r="AA2430">
        <f t="shared" ref="AA2430:AC2430" si="4837">IF(X2430=FALSE,1,0)</f>
        <v>0</v>
      </c>
      <c r="AB2430">
        <f t="shared" si="4837"/>
        <v>0</v>
      </c>
      <c r="AC2430">
        <f t="shared" si="4837"/>
        <v>0</v>
      </c>
      <c r="AD2430">
        <f t="shared" si="6"/>
        <v>0</v>
      </c>
      <c r="AE2430">
        <f t="shared" si="7"/>
        <v>0</v>
      </c>
    </row>
    <row r="2431">
      <c r="X2431" t="b">
        <f t="shared" ref="X2431:Z2431" si="4838">ISBLANK(K2431)</f>
        <v>1</v>
      </c>
      <c r="Y2431" t="b">
        <f t="shared" si="4838"/>
        <v>1</v>
      </c>
      <c r="Z2431" t="b">
        <f t="shared" si="4838"/>
        <v>1</v>
      </c>
      <c r="AA2431">
        <f t="shared" ref="AA2431:AC2431" si="4839">IF(X2431=FALSE,1,0)</f>
        <v>0</v>
      </c>
      <c r="AB2431">
        <f t="shared" si="4839"/>
        <v>0</v>
      </c>
      <c r="AC2431">
        <f t="shared" si="4839"/>
        <v>0</v>
      </c>
      <c r="AD2431">
        <f t="shared" si="6"/>
        <v>0</v>
      </c>
      <c r="AE2431">
        <f t="shared" si="7"/>
        <v>0</v>
      </c>
    </row>
    <row r="2432">
      <c r="X2432" t="b">
        <f t="shared" ref="X2432:Z2432" si="4840">ISBLANK(K2432)</f>
        <v>1</v>
      </c>
      <c r="Y2432" t="b">
        <f t="shared" si="4840"/>
        <v>1</v>
      </c>
      <c r="Z2432" t="b">
        <f t="shared" si="4840"/>
        <v>1</v>
      </c>
      <c r="AA2432">
        <f t="shared" ref="AA2432:AC2432" si="4841">IF(X2432=FALSE,1,0)</f>
        <v>0</v>
      </c>
      <c r="AB2432">
        <f t="shared" si="4841"/>
        <v>0</v>
      </c>
      <c r="AC2432">
        <f t="shared" si="4841"/>
        <v>0</v>
      </c>
      <c r="AD2432">
        <f t="shared" si="6"/>
        <v>0</v>
      </c>
      <c r="AE2432">
        <f t="shared" si="7"/>
        <v>0</v>
      </c>
    </row>
    <row r="2433">
      <c r="X2433" t="b">
        <f t="shared" ref="X2433:Z2433" si="4842">ISBLANK(K2433)</f>
        <v>1</v>
      </c>
      <c r="Y2433" t="b">
        <f t="shared" si="4842"/>
        <v>1</v>
      </c>
      <c r="Z2433" t="b">
        <f t="shared" si="4842"/>
        <v>1</v>
      </c>
      <c r="AA2433">
        <f t="shared" ref="AA2433:AC2433" si="4843">IF(X2433=FALSE,1,0)</f>
        <v>0</v>
      </c>
      <c r="AB2433">
        <f t="shared" si="4843"/>
        <v>0</v>
      </c>
      <c r="AC2433">
        <f t="shared" si="4843"/>
        <v>0</v>
      </c>
      <c r="AD2433">
        <f t="shared" si="6"/>
        <v>0</v>
      </c>
      <c r="AE2433">
        <f t="shared" si="7"/>
        <v>0</v>
      </c>
    </row>
    <row r="2434">
      <c r="X2434" t="b">
        <f t="shared" ref="X2434:Z2434" si="4844">ISBLANK(K2434)</f>
        <v>1</v>
      </c>
      <c r="Y2434" t="b">
        <f t="shared" si="4844"/>
        <v>1</v>
      </c>
      <c r="Z2434" t="b">
        <f t="shared" si="4844"/>
        <v>1</v>
      </c>
      <c r="AA2434">
        <f t="shared" ref="AA2434:AC2434" si="4845">IF(X2434=FALSE,1,0)</f>
        <v>0</v>
      </c>
      <c r="AB2434">
        <f t="shared" si="4845"/>
        <v>0</v>
      </c>
      <c r="AC2434">
        <f t="shared" si="4845"/>
        <v>0</v>
      </c>
      <c r="AD2434">
        <f t="shared" si="6"/>
        <v>0</v>
      </c>
      <c r="AE2434">
        <f t="shared" si="7"/>
        <v>0</v>
      </c>
    </row>
    <row r="2435">
      <c r="X2435" t="b">
        <f t="shared" ref="X2435:Z2435" si="4846">ISBLANK(K2435)</f>
        <v>1</v>
      </c>
      <c r="Y2435" t="b">
        <f t="shared" si="4846"/>
        <v>1</v>
      </c>
      <c r="Z2435" t="b">
        <f t="shared" si="4846"/>
        <v>1</v>
      </c>
      <c r="AA2435">
        <f t="shared" ref="AA2435:AC2435" si="4847">IF(X2435=FALSE,1,0)</f>
        <v>0</v>
      </c>
      <c r="AB2435">
        <f t="shared" si="4847"/>
        <v>0</v>
      </c>
      <c r="AC2435">
        <f t="shared" si="4847"/>
        <v>0</v>
      </c>
      <c r="AD2435">
        <f t="shared" si="6"/>
        <v>0</v>
      </c>
      <c r="AE2435">
        <f t="shared" si="7"/>
        <v>0</v>
      </c>
    </row>
    <row r="2436">
      <c r="X2436" t="b">
        <f t="shared" ref="X2436:Z2436" si="4848">ISBLANK(K2436)</f>
        <v>1</v>
      </c>
      <c r="Y2436" t="b">
        <f t="shared" si="4848"/>
        <v>1</v>
      </c>
      <c r="Z2436" t="b">
        <f t="shared" si="4848"/>
        <v>1</v>
      </c>
      <c r="AA2436">
        <f t="shared" ref="AA2436:AC2436" si="4849">IF(X2436=FALSE,1,0)</f>
        <v>0</v>
      </c>
      <c r="AB2436">
        <f t="shared" si="4849"/>
        <v>0</v>
      </c>
      <c r="AC2436">
        <f t="shared" si="4849"/>
        <v>0</v>
      </c>
      <c r="AD2436">
        <f t="shared" si="6"/>
        <v>0</v>
      </c>
      <c r="AE2436">
        <f t="shared" si="7"/>
        <v>0</v>
      </c>
    </row>
    <row r="2437">
      <c r="X2437" t="b">
        <f t="shared" ref="X2437:Z2437" si="4850">ISBLANK(K2437)</f>
        <v>1</v>
      </c>
      <c r="Y2437" t="b">
        <f t="shared" si="4850"/>
        <v>1</v>
      </c>
      <c r="Z2437" t="b">
        <f t="shared" si="4850"/>
        <v>1</v>
      </c>
      <c r="AA2437">
        <f t="shared" ref="AA2437:AC2437" si="4851">IF(X2437=FALSE,1,0)</f>
        <v>0</v>
      </c>
      <c r="AB2437">
        <f t="shared" si="4851"/>
        <v>0</v>
      </c>
      <c r="AC2437">
        <f t="shared" si="4851"/>
        <v>0</v>
      </c>
      <c r="AD2437">
        <f t="shared" si="6"/>
        <v>0</v>
      </c>
      <c r="AE2437">
        <f t="shared" si="7"/>
        <v>0</v>
      </c>
    </row>
    <row r="2438">
      <c r="X2438" t="b">
        <f t="shared" ref="X2438:Z2438" si="4852">ISBLANK(K2438)</f>
        <v>1</v>
      </c>
      <c r="Y2438" t="b">
        <f t="shared" si="4852"/>
        <v>1</v>
      </c>
      <c r="Z2438" t="b">
        <f t="shared" si="4852"/>
        <v>1</v>
      </c>
      <c r="AA2438">
        <f t="shared" ref="AA2438:AC2438" si="4853">IF(X2438=FALSE,1,0)</f>
        <v>0</v>
      </c>
      <c r="AB2438">
        <f t="shared" si="4853"/>
        <v>0</v>
      </c>
      <c r="AC2438">
        <f t="shared" si="4853"/>
        <v>0</v>
      </c>
      <c r="AD2438">
        <f t="shared" si="6"/>
        <v>0</v>
      </c>
      <c r="AE2438">
        <f t="shared" si="7"/>
        <v>0</v>
      </c>
    </row>
    <row r="2439">
      <c r="X2439" t="b">
        <f t="shared" ref="X2439:Z2439" si="4854">ISBLANK(K2439)</f>
        <v>1</v>
      </c>
      <c r="Y2439" t="b">
        <f t="shared" si="4854"/>
        <v>1</v>
      </c>
      <c r="Z2439" t="b">
        <f t="shared" si="4854"/>
        <v>1</v>
      </c>
      <c r="AA2439">
        <f t="shared" ref="AA2439:AC2439" si="4855">IF(X2439=FALSE,1,0)</f>
        <v>0</v>
      </c>
      <c r="AB2439">
        <f t="shared" si="4855"/>
        <v>0</v>
      </c>
      <c r="AC2439">
        <f t="shared" si="4855"/>
        <v>0</v>
      </c>
      <c r="AD2439">
        <f t="shared" si="6"/>
        <v>0</v>
      </c>
      <c r="AE2439">
        <f t="shared" si="7"/>
        <v>0</v>
      </c>
    </row>
    <row r="2440">
      <c r="X2440" t="b">
        <f t="shared" ref="X2440:Z2440" si="4856">ISBLANK(K2440)</f>
        <v>1</v>
      </c>
      <c r="Y2440" t="b">
        <f t="shared" si="4856"/>
        <v>1</v>
      </c>
      <c r="Z2440" t="b">
        <f t="shared" si="4856"/>
        <v>1</v>
      </c>
      <c r="AA2440">
        <f t="shared" ref="AA2440:AC2440" si="4857">IF(X2440=FALSE,1,0)</f>
        <v>0</v>
      </c>
      <c r="AB2440">
        <f t="shared" si="4857"/>
        <v>0</v>
      </c>
      <c r="AC2440">
        <f t="shared" si="4857"/>
        <v>0</v>
      </c>
      <c r="AD2440">
        <f t="shared" si="6"/>
        <v>0</v>
      </c>
      <c r="AE2440">
        <f t="shared" si="7"/>
        <v>0</v>
      </c>
    </row>
    <row r="2441">
      <c r="X2441" t="b">
        <f t="shared" ref="X2441:Z2441" si="4858">ISBLANK(K2441)</f>
        <v>1</v>
      </c>
      <c r="Y2441" t="b">
        <f t="shared" si="4858"/>
        <v>1</v>
      </c>
      <c r="Z2441" t="b">
        <f t="shared" si="4858"/>
        <v>1</v>
      </c>
      <c r="AA2441">
        <f t="shared" ref="AA2441:AC2441" si="4859">IF(X2441=FALSE,1,0)</f>
        <v>0</v>
      </c>
      <c r="AB2441">
        <f t="shared" si="4859"/>
        <v>0</v>
      </c>
      <c r="AC2441">
        <f t="shared" si="4859"/>
        <v>0</v>
      </c>
      <c r="AD2441">
        <f t="shared" si="6"/>
        <v>0</v>
      </c>
      <c r="AE2441">
        <f t="shared" si="7"/>
        <v>0</v>
      </c>
    </row>
    <row r="2442">
      <c r="X2442" t="b">
        <f t="shared" ref="X2442:Z2442" si="4860">ISBLANK(K2442)</f>
        <v>1</v>
      </c>
      <c r="Y2442" t="b">
        <f t="shared" si="4860"/>
        <v>1</v>
      </c>
      <c r="Z2442" t="b">
        <f t="shared" si="4860"/>
        <v>1</v>
      </c>
      <c r="AA2442">
        <f t="shared" ref="AA2442:AC2442" si="4861">IF(X2442=FALSE,1,0)</f>
        <v>0</v>
      </c>
      <c r="AB2442">
        <f t="shared" si="4861"/>
        <v>0</v>
      </c>
      <c r="AC2442">
        <f t="shared" si="4861"/>
        <v>0</v>
      </c>
      <c r="AD2442">
        <f t="shared" si="6"/>
        <v>0</v>
      </c>
      <c r="AE2442">
        <f t="shared" si="7"/>
        <v>0</v>
      </c>
    </row>
    <row r="2443">
      <c r="X2443" t="b">
        <f t="shared" ref="X2443:Z2443" si="4862">ISBLANK(K2443)</f>
        <v>1</v>
      </c>
      <c r="Y2443" t="b">
        <f t="shared" si="4862"/>
        <v>1</v>
      </c>
      <c r="Z2443" t="b">
        <f t="shared" si="4862"/>
        <v>1</v>
      </c>
      <c r="AA2443">
        <f t="shared" ref="AA2443:AC2443" si="4863">IF(X2443=FALSE,1,0)</f>
        <v>0</v>
      </c>
      <c r="AB2443">
        <f t="shared" si="4863"/>
        <v>0</v>
      </c>
      <c r="AC2443">
        <f t="shared" si="4863"/>
        <v>0</v>
      </c>
      <c r="AD2443">
        <f t="shared" si="6"/>
        <v>0</v>
      </c>
      <c r="AE2443">
        <f t="shared" si="7"/>
        <v>0</v>
      </c>
    </row>
    <row r="2444">
      <c r="X2444" t="b">
        <f t="shared" ref="X2444:Z2444" si="4864">ISBLANK(K2444)</f>
        <v>1</v>
      </c>
      <c r="Y2444" t="b">
        <f t="shared" si="4864"/>
        <v>1</v>
      </c>
      <c r="Z2444" t="b">
        <f t="shared" si="4864"/>
        <v>1</v>
      </c>
      <c r="AA2444">
        <f t="shared" ref="AA2444:AC2444" si="4865">IF(X2444=FALSE,1,0)</f>
        <v>0</v>
      </c>
      <c r="AB2444">
        <f t="shared" si="4865"/>
        <v>0</v>
      </c>
      <c r="AC2444">
        <f t="shared" si="4865"/>
        <v>0</v>
      </c>
      <c r="AD2444">
        <f t="shared" si="6"/>
        <v>0</v>
      </c>
      <c r="AE2444">
        <f t="shared" si="7"/>
        <v>0</v>
      </c>
    </row>
    <row r="2445">
      <c r="X2445" t="b">
        <f t="shared" ref="X2445:Z2445" si="4866">ISBLANK(K2445)</f>
        <v>1</v>
      </c>
      <c r="Y2445" t="b">
        <f t="shared" si="4866"/>
        <v>1</v>
      </c>
      <c r="Z2445" t="b">
        <f t="shared" si="4866"/>
        <v>1</v>
      </c>
      <c r="AA2445">
        <f t="shared" ref="AA2445:AC2445" si="4867">IF(X2445=FALSE,1,0)</f>
        <v>0</v>
      </c>
      <c r="AB2445">
        <f t="shared" si="4867"/>
        <v>0</v>
      </c>
      <c r="AC2445">
        <f t="shared" si="4867"/>
        <v>0</v>
      </c>
      <c r="AD2445">
        <f t="shared" si="6"/>
        <v>0</v>
      </c>
      <c r="AE2445">
        <f t="shared" si="7"/>
        <v>0</v>
      </c>
    </row>
    <row r="2446">
      <c r="X2446" t="b">
        <f t="shared" ref="X2446:Z2446" si="4868">ISBLANK(K2446)</f>
        <v>1</v>
      </c>
      <c r="Y2446" t="b">
        <f t="shared" si="4868"/>
        <v>1</v>
      </c>
      <c r="Z2446" t="b">
        <f t="shared" si="4868"/>
        <v>1</v>
      </c>
      <c r="AA2446">
        <f t="shared" ref="AA2446:AC2446" si="4869">IF(X2446=FALSE,1,0)</f>
        <v>0</v>
      </c>
      <c r="AB2446">
        <f t="shared" si="4869"/>
        <v>0</v>
      </c>
      <c r="AC2446">
        <f t="shared" si="4869"/>
        <v>0</v>
      </c>
      <c r="AD2446">
        <f t="shared" si="6"/>
        <v>0</v>
      </c>
      <c r="AE2446">
        <f t="shared" si="7"/>
        <v>0</v>
      </c>
    </row>
    <row r="2447">
      <c r="X2447" t="b">
        <f t="shared" ref="X2447:Z2447" si="4870">ISBLANK(K2447)</f>
        <v>1</v>
      </c>
      <c r="Y2447" t="b">
        <f t="shared" si="4870"/>
        <v>1</v>
      </c>
      <c r="Z2447" t="b">
        <f t="shared" si="4870"/>
        <v>1</v>
      </c>
      <c r="AA2447">
        <f t="shared" ref="AA2447:AC2447" si="4871">IF(X2447=FALSE,1,0)</f>
        <v>0</v>
      </c>
      <c r="AB2447">
        <f t="shared" si="4871"/>
        <v>0</v>
      </c>
      <c r="AC2447">
        <f t="shared" si="4871"/>
        <v>0</v>
      </c>
      <c r="AD2447">
        <f t="shared" si="6"/>
        <v>0</v>
      </c>
      <c r="AE2447">
        <f t="shared" si="7"/>
        <v>0</v>
      </c>
    </row>
    <row r="2448">
      <c r="X2448" t="b">
        <f t="shared" ref="X2448:Z2448" si="4872">ISBLANK(K2448)</f>
        <v>1</v>
      </c>
      <c r="Y2448" t="b">
        <f t="shared" si="4872"/>
        <v>1</v>
      </c>
      <c r="Z2448" t="b">
        <f t="shared" si="4872"/>
        <v>1</v>
      </c>
      <c r="AA2448">
        <f t="shared" ref="AA2448:AC2448" si="4873">IF(X2448=FALSE,1,0)</f>
        <v>0</v>
      </c>
      <c r="AB2448">
        <f t="shared" si="4873"/>
        <v>0</v>
      </c>
      <c r="AC2448">
        <f t="shared" si="4873"/>
        <v>0</v>
      </c>
      <c r="AD2448">
        <f t="shared" si="6"/>
        <v>0</v>
      </c>
      <c r="AE2448">
        <f t="shared" si="7"/>
        <v>0</v>
      </c>
    </row>
    <row r="2449">
      <c r="X2449" t="b">
        <f t="shared" ref="X2449:Z2449" si="4874">ISBLANK(K2449)</f>
        <v>1</v>
      </c>
      <c r="Y2449" t="b">
        <f t="shared" si="4874"/>
        <v>1</v>
      </c>
      <c r="Z2449" t="b">
        <f t="shared" si="4874"/>
        <v>1</v>
      </c>
      <c r="AA2449">
        <f t="shared" ref="AA2449:AC2449" si="4875">IF(X2449=FALSE,1,0)</f>
        <v>0</v>
      </c>
      <c r="AB2449">
        <f t="shared" si="4875"/>
        <v>0</v>
      </c>
      <c r="AC2449">
        <f t="shared" si="4875"/>
        <v>0</v>
      </c>
      <c r="AD2449">
        <f t="shared" si="6"/>
        <v>0</v>
      </c>
      <c r="AE2449">
        <f t="shared" si="7"/>
        <v>0</v>
      </c>
    </row>
    <row r="2450">
      <c r="X2450" t="b">
        <f t="shared" ref="X2450:Z2450" si="4876">ISBLANK(K2450)</f>
        <v>1</v>
      </c>
      <c r="Y2450" t="b">
        <f t="shared" si="4876"/>
        <v>1</v>
      </c>
      <c r="Z2450" t="b">
        <f t="shared" si="4876"/>
        <v>1</v>
      </c>
      <c r="AA2450">
        <f t="shared" ref="AA2450:AC2450" si="4877">IF(X2450=FALSE,1,0)</f>
        <v>0</v>
      </c>
      <c r="AB2450">
        <f t="shared" si="4877"/>
        <v>0</v>
      </c>
      <c r="AC2450">
        <f t="shared" si="4877"/>
        <v>0</v>
      </c>
      <c r="AD2450">
        <f t="shared" si="6"/>
        <v>0</v>
      </c>
      <c r="AE2450">
        <f t="shared" si="7"/>
        <v>0</v>
      </c>
    </row>
    <row r="2451">
      <c r="X2451" t="b">
        <f t="shared" ref="X2451:Z2451" si="4878">ISBLANK(K2451)</f>
        <v>1</v>
      </c>
      <c r="Y2451" t="b">
        <f t="shared" si="4878"/>
        <v>1</v>
      </c>
      <c r="Z2451" t="b">
        <f t="shared" si="4878"/>
        <v>1</v>
      </c>
      <c r="AA2451">
        <f t="shared" ref="AA2451:AC2451" si="4879">IF(X2451=FALSE,1,0)</f>
        <v>0</v>
      </c>
      <c r="AB2451">
        <f t="shared" si="4879"/>
        <v>0</v>
      </c>
      <c r="AC2451">
        <f t="shared" si="4879"/>
        <v>0</v>
      </c>
      <c r="AD2451">
        <f t="shared" si="6"/>
        <v>0</v>
      </c>
      <c r="AE2451">
        <f t="shared" si="7"/>
        <v>0</v>
      </c>
    </row>
    <row r="2452">
      <c r="X2452" t="b">
        <f t="shared" ref="X2452:Z2452" si="4880">ISBLANK(K2452)</f>
        <v>1</v>
      </c>
      <c r="Y2452" t="b">
        <f t="shared" si="4880"/>
        <v>1</v>
      </c>
      <c r="Z2452" t="b">
        <f t="shared" si="4880"/>
        <v>1</v>
      </c>
      <c r="AA2452">
        <f t="shared" ref="AA2452:AC2452" si="4881">IF(X2452=FALSE,1,0)</f>
        <v>0</v>
      </c>
      <c r="AB2452">
        <f t="shared" si="4881"/>
        <v>0</v>
      </c>
      <c r="AC2452">
        <f t="shared" si="4881"/>
        <v>0</v>
      </c>
      <c r="AD2452">
        <f t="shared" si="6"/>
        <v>0</v>
      </c>
      <c r="AE2452">
        <f t="shared" si="7"/>
        <v>0</v>
      </c>
    </row>
    <row r="2453">
      <c r="X2453" t="b">
        <f t="shared" ref="X2453:Z2453" si="4882">ISBLANK(K2453)</f>
        <v>1</v>
      </c>
      <c r="Y2453" t="b">
        <f t="shared" si="4882"/>
        <v>1</v>
      </c>
      <c r="Z2453" t="b">
        <f t="shared" si="4882"/>
        <v>1</v>
      </c>
      <c r="AA2453">
        <f t="shared" ref="AA2453:AC2453" si="4883">IF(X2453=FALSE,1,0)</f>
        <v>0</v>
      </c>
      <c r="AB2453">
        <f t="shared" si="4883"/>
        <v>0</v>
      </c>
      <c r="AC2453">
        <f t="shared" si="4883"/>
        <v>0</v>
      </c>
      <c r="AD2453">
        <f t="shared" si="6"/>
        <v>0</v>
      </c>
      <c r="AE2453">
        <f t="shared" si="7"/>
        <v>0</v>
      </c>
    </row>
    <row r="2454">
      <c r="X2454" t="b">
        <f t="shared" ref="X2454:Z2454" si="4884">ISBLANK(K2454)</f>
        <v>1</v>
      </c>
      <c r="Y2454" t="b">
        <f t="shared" si="4884"/>
        <v>1</v>
      </c>
      <c r="Z2454" t="b">
        <f t="shared" si="4884"/>
        <v>1</v>
      </c>
      <c r="AA2454">
        <f t="shared" ref="AA2454:AC2454" si="4885">IF(X2454=FALSE,1,0)</f>
        <v>0</v>
      </c>
      <c r="AB2454">
        <f t="shared" si="4885"/>
        <v>0</v>
      </c>
      <c r="AC2454">
        <f t="shared" si="4885"/>
        <v>0</v>
      </c>
      <c r="AD2454">
        <f t="shared" si="6"/>
        <v>0</v>
      </c>
      <c r="AE2454">
        <f t="shared" si="7"/>
        <v>0</v>
      </c>
    </row>
    <row r="2455">
      <c r="X2455" t="b">
        <f t="shared" ref="X2455:Z2455" si="4886">ISBLANK(K2455)</f>
        <v>1</v>
      </c>
      <c r="Y2455" t="b">
        <f t="shared" si="4886"/>
        <v>1</v>
      </c>
      <c r="Z2455" t="b">
        <f t="shared" si="4886"/>
        <v>1</v>
      </c>
      <c r="AA2455">
        <f t="shared" ref="AA2455:AC2455" si="4887">IF(X2455=FALSE,1,0)</f>
        <v>0</v>
      </c>
      <c r="AB2455">
        <f t="shared" si="4887"/>
        <v>0</v>
      </c>
      <c r="AC2455">
        <f t="shared" si="4887"/>
        <v>0</v>
      </c>
      <c r="AD2455">
        <f t="shared" si="6"/>
        <v>0</v>
      </c>
      <c r="AE2455">
        <f t="shared" si="7"/>
        <v>0</v>
      </c>
    </row>
    <row r="2456">
      <c r="X2456" t="b">
        <f t="shared" ref="X2456:Z2456" si="4888">ISBLANK(K2456)</f>
        <v>1</v>
      </c>
      <c r="Y2456" t="b">
        <f t="shared" si="4888"/>
        <v>1</v>
      </c>
      <c r="Z2456" t="b">
        <f t="shared" si="4888"/>
        <v>1</v>
      </c>
      <c r="AA2456">
        <f t="shared" ref="AA2456:AC2456" si="4889">IF(X2456=FALSE,1,0)</f>
        <v>0</v>
      </c>
      <c r="AB2456">
        <f t="shared" si="4889"/>
        <v>0</v>
      </c>
      <c r="AC2456">
        <f t="shared" si="4889"/>
        <v>0</v>
      </c>
      <c r="AD2456">
        <f t="shared" si="6"/>
        <v>0</v>
      </c>
      <c r="AE2456">
        <f t="shared" si="7"/>
        <v>0</v>
      </c>
    </row>
    <row r="2457">
      <c r="X2457" t="b">
        <f t="shared" ref="X2457:Z2457" si="4890">ISBLANK(K2457)</f>
        <v>1</v>
      </c>
      <c r="Y2457" t="b">
        <f t="shared" si="4890"/>
        <v>1</v>
      </c>
      <c r="Z2457" t="b">
        <f t="shared" si="4890"/>
        <v>1</v>
      </c>
      <c r="AA2457">
        <f t="shared" ref="AA2457:AC2457" si="4891">IF(X2457=FALSE,1,0)</f>
        <v>0</v>
      </c>
      <c r="AB2457">
        <f t="shared" si="4891"/>
        <v>0</v>
      </c>
      <c r="AC2457">
        <f t="shared" si="4891"/>
        <v>0</v>
      </c>
      <c r="AD2457">
        <f t="shared" si="6"/>
        <v>0</v>
      </c>
      <c r="AE2457">
        <f t="shared" si="7"/>
        <v>0</v>
      </c>
    </row>
    <row r="2458">
      <c r="X2458" t="b">
        <f t="shared" ref="X2458:Z2458" si="4892">ISBLANK(K2458)</f>
        <v>1</v>
      </c>
      <c r="Y2458" t="b">
        <f t="shared" si="4892"/>
        <v>1</v>
      </c>
      <c r="Z2458" t="b">
        <f t="shared" si="4892"/>
        <v>1</v>
      </c>
      <c r="AA2458">
        <f t="shared" ref="AA2458:AC2458" si="4893">IF(X2458=FALSE,1,0)</f>
        <v>0</v>
      </c>
      <c r="AB2458">
        <f t="shared" si="4893"/>
        <v>0</v>
      </c>
      <c r="AC2458">
        <f t="shared" si="4893"/>
        <v>0</v>
      </c>
      <c r="AD2458">
        <f t="shared" si="6"/>
        <v>0</v>
      </c>
      <c r="AE2458">
        <f t="shared" si="7"/>
        <v>0</v>
      </c>
    </row>
    <row r="2459">
      <c r="X2459" t="b">
        <f t="shared" ref="X2459:Z2459" si="4894">ISBLANK(K2459)</f>
        <v>1</v>
      </c>
      <c r="Y2459" t="b">
        <f t="shared" si="4894"/>
        <v>1</v>
      </c>
      <c r="Z2459" t="b">
        <f t="shared" si="4894"/>
        <v>1</v>
      </c>
      <c r="AA2459">
        <f t="shared" ref="AA2459:AC2459" si="4895">IF(X2459=FALSE,1,0)</f>
        <v>0</v>
      </c>
      <c r="AB2459">
        <f t="shared" si="4895"/>
        <v>0</v>
      </c>
      <c r="AC2459">
        <f t="shared" si="4895"/>
        <v>0</v>
      </c>
      <c r="AD2459">
        <f t="shared" si="6"/>
        <v>0</v>
      </c>
      <c r="AE2459">
        <f t="shared" si="7"/>
        <v>0</v>
      </c>
    </row>
    <row r="2460">
      <c r="X2460" t="b">
        <f t="shared" ref="X2460:Z2460" si="4896">ISBLANK(K2460)</f>
        <v>1</v>
      </c>
      <c r="Y2460" t="b">
        <f t="shared" si="4896"/>
        <v>1</v>
      </c>
      <c r="Z2460" t="b">
        <f t="shared" si="4896"/>
        <v>1</v>
      </c>
      <c r="AA2460">
        <f t="shared" ref="AA2460:AC2460" si="4897">IF(X2460=FALSE,1,0)</f>
        <v>0</v>
      </c>
      <c r="AB2460">
        <f t="shared" si="4897"/>
        <v>0</v>
      </c>
      <c r="AC2460">
        <f t="shared" si="4897"/>
        <v>0</v>
      </c>
      <c r="AD2460">
        <f t="shared" si="6"/>
        <v>0</v>
      </c>
      <c r="AE2460">
        <f t="shared" si="7"/>
        <v>0</v>
      </c>
    </row>
    <row r="2461">
      <c r="X2461" t="b">
        <f t="shared" ref="X2461:Z2461" si="4898">ISBLANK(K2461)</f>
        <v>1</v>
      </c>
      <c r="Y2461" t="b">
        <f t="shared" si="4898"/>
        <v>1</v>
      </c>
      <c r="Z2461" t="b">
        <f t="shared" si="4898"/>
        <v>1</v>
      </c>
      <c r="AA2461">
        <f t="shared" ref="AA2461:AC2461" si="4899">IF(X2461=FALSE,1,0)</f>
        <v>0</v>
      </c>
      <c r="AB2461">
        <f t="shared" si="4899"/>
        <v>0</v>
      </c>
      <c r="AC2461">
        <f t="shared" si="4899"/>
        <v>0</v>
      </c>
      <c r="AD2461">
        <f t="shared" si="6"/>
        <v>0</v>
      </c>
      <c r="AE2461">
        <f t="shared" si="7"/>
        <v>0</v>
      </c>
    </row>
    <row r="2462">
      <c r="X2462" t="b">
        <f t="shared" ref="X2462:Z2462" si="4900">ISBLANK(K2462)</f>
        <v>1</v>
      </c>
      <c r="Y2462" t="b">
        <f t="shared" si="4900"/>
        <v>1</v>
      </c>
      <c r="Z2462" t="b">
        <f t="shared" si="4900"/>
        <v>1</v>
      </c>
      <c r="AA2462">
        <f t="shared" ref="AA2462:AC2462" si="4901">IF(X2462=FALSE,1,0)</f>
        <v>0</v>
      </c>
      <c r="AB2462">
        <f t="shared" si="4901"/>
        <v>0</v>
      </c>
      <c r="AC2462">
        <f t="shared" si="4901"/>
        <v>0</v>
      </c>
      <c r="AD2462">
        <f t="shared" si="6"/>
        <v>0</v>
      </c>
      <c r="AE2462">
        <f t="shared" si="7"/>
        <v>0</v>
      </c>
    </row>
    <row r="2463">
      <c r="X2463" t="b">
        <f t="shared" ref="X2463:Z2463" si="4902">ISBLANK(K2463)</f>
        <v>1</v>
      </c>
      <c r="Y2463" t="b">
        <f t="shared" si="4902"/>
        <v>1</v>
      </c>
      <c r="Z2463" t="b">
        <f t="shared" si="4902"/>
        <v>1</v>
      </c>
      <c r="AA2463">
        <f t="shared" ref="AA2463:AC2463" si="4903">IF(X2463=FALSE,1,0)</f>
        <v>0</v>
      </c>
      <c r="AB2463">
        <f t="shared" si="4903"/>
        <v>0</v>
      </c>
      <c r="AC2463">
        <f t="shared" si="4903"/>
        <v>0</v>
      </c>
      <c r="AD2463">
        <f t="shared" si="6"/>
        <v>0</v>
      </c>
      <c r="AE2463">
        <f t="shared" si="7"/>
        <v>0</v>
      </c>
    </row>
    <row r="2464">
      <c r="X2464" t="b">
        <f t="shared" ref="X2464:Z2464" si="4904">ISBLANK(K2464)</f>
        <v>1</v>
      </c>
      <c r="Y2464" t="b">
        <f t="shared" si="4904"/>
        <v>1</v>
      </c>
      <c r="Z2464" t="b">
        <f t="shared" si="4904"/>
        <v>1</v>
      </c>
      <c r="AA2464">
        <f t="shared" ref="AA2464:AC2464" si="4905">IF(X2464=FALSE,1,0)</f>
        <v>0</v>
      </c>
      <c r="AB2464">
        <f t="shared" si="4905"/>
        <v>0</v>
      </c>
      <c r="AC2464">
        <f t="shared" si="4905"/>
        <v>0</v>
      </c>
      <c r="AD2464">
        <f t="shared" si="6"/>
        <v>0</v>
      </c>
      <c r="AE2464">
        <f t="shared" si="7"/>
        <v>0</v>
      </c>
    </row>
    <row r="2465">
      <c r="X2465" t="b">
        <f t="shared" ref="X2465:Z2465" si="4906">ISBLANK(K2465)</f>
        <v>1</v>
      </c>
      <c r="Y2465" t="b">
        <f t="shared" si="4906"/>
        <v>1</v>
      </c>
      <c r="Z2465" t="b">
        <f t="shared" si="4906"/>
        <v>1</v>
      </c>
      <c r="AA2465">
        <f t="shared" ref="AA2465:AC2465" si="4907">IF(X2465=FALSE,1,0)</f>
        <v>0</v>
      </c>
      <c r="AB2465">
        <f t="shared" si="4907"/>
        <v>0</v>
      </c>
      <c r="AC2465">
        <f t="shared" si="4907"/>
        <v>0</v>
      </c>
      <c r="AD2465">
        <f t="shared" si="6"/>
        <v>0</v>
      </c>
      <c r="AE2465">
        <f t="shared" si="7"/>
        <v>0</v>
      </c>
    </row>
    <row r="2466">
      <c r="X2466" t="b">
        <f t="shared" ref="X2466:Z2466" si="4908">ISBLANK(K2466)</f>
        <v>1</v>
      </c>
      <c r="Y2466" t="b">
        <f t="shared" si="4908"/>
        <v>1</v>
      </c>
      <c r="Z2466" t="b">
        <f t="shared" si="4908"/>
        <v>1</v>
      </c>
      <c r="AA2466">
        <f t="shared" ref="AA2466:AC2466" si="4909">IF(X2466=FALSE,1,0)</f>
        <v>0</v>
      </c>
      <c r="AB2466">
        <f t="shared" si="4909"/>
        <v>0</v>
      </c>
      <c r="AC2466">
        <f t="shared" si="4909"/>
        <v>0</v>
      </c>
      <c r="AD2466">
        <f t="shared" si="6"/>
        <v>0</v>
      </c>
      <c r="AE2466">
        <f t="shared" si="7"/>
        <v>0</v>
      </c>
    </row>
    <row r="2467">
      <c r="X2467" t="b">
        <f t="shared" ref="X2467:Z2467" si="4910">ISBLANK(K2467)</f>
        <v>1</v>
      </c>
      <c r="Y2467" t="b">
        <f t="shared" si="4910"/>
        <v>1</v>
      </c>
      <c r="Z2467" t="b">
        <f t="shared" si="4910"/>
        <v>1</v>
      </c>
      <c r="AA2467">
        <f t="shared" ref="AA2467:AC2467" si="4911">IF(X2467=FALSE,1,0)</f>
        <v>0</v>
      </c>
      <c r="AB2467">
        <f t="shared" si="4911"/>
        <v>0</v>
      </c>
      <c r="AC2467">
        <f t="shared" si="4911"/>
        <v>0</v>
      </c>
      <c r="AD2467">
        <f t="shared" si="6"/>
        <v>0</v>
      </c>
      <c r="AE2467">
        <f t="shared" si="7"/>
        <v>0</v>
      </c>
    </row>
    <row r="2468">
      <c r="X2468" t="b">
        <f t="shared" ref="X2468:Z2468" si="4912">ISBLANK(K2468)</f>
        <v>1</v>
      </c>
      <c r="Y2468" t="b">
        <f t="shared" si="4912"/>
        <v>1</v>
      </c>
      <c r="Z2468" t="b">
        <f t="shared" si="4912"/>
        <v>1</v>
      </c>
      <c r="AA2468">
        <f t="shared" ref="AA2468:AC2468" si="4913">IF(X2468=FALSE,1,0)</f>
        <v>0</v>
      </c>
      <c r="AB2468">
        <f t="shared" si="4913"/>
        <v>0</v>
      </c>
      <c r="AC2468">
        <f t="shared" si="4913"/>
        <v>0</v>
      </c>
      <c r="AD2468">
        <f t="shared" si="6"/>
        <v>0</v>
      </c>
      <c r="AE2468">
        <f t="shared" si="7"/>
        <v>0</v>
      </c>
    </row>
    <row r="2469">
      <c r="X2469" t="b">
        <f t="shared" ref="X2469:Z2469" si="4914">ISBLANK(K2469)</f>
        <v>1</v>
      </c>
      <c r="Y2469" t="b">
        <f t="shared" si="4914"/>
        <v>1</v>
      </c>
      <c r="Z2469" t="b">
        <f t="shared" si="4914"/>
        <v>1</v>
      </c>
      <c r="AA2469">
        <f t="shared" ref="AA2469:AC2469" si="4915">IF(X2469=FALSE,1,0)</f>
        <v>0</v>
      </c>
      <c r="AB2469">
        <f t="shared" si="4915"/>
        <v>0</v>
      </c>
      <c r="AC2469">
        <f t="shared" si="4915"/>
        <v>0</v>
      </c>
      <c r="AD2469">
        <f t="shared" si="6"/>
        <v>0</v>
      </c>
      <c r="AE2469">
        <f t="shared" si="7"/>
        <v>0</v>
      </c>
    </row>
    <row r="2470">
      <c r="X2470" t="b">
        <f t="shared" ref="X2470:Z2470" si="4916">ISBLANK(K2470)</f>
        <v>1</v>
      </c>
      <c r="Y2470" t="b">
        <f t="shared" si="4916"/>
        <v>1</v>
      </c>
      <c r="Z2470" t="b">
        <f t="shared" si="4916"/>
        <v>1</v>
      </c>
      <c r="AA2470">
        <f t="shared" ref="AA2470:AC2470" si="4917">IF(X2470=FALSE,1,0)</f>
        <v>0</v>
      </c>
      <c r="AB2470">
        <f t="shared" si="4917"/>
        <v>0</v>
      </c>
      <c r="AC2470">
        <f t="shared" si="4917"/>
        <v>0</v>
      </c>
      <c r="AD2470">
        <f t="shared" si="6"/>
        <v>0</v>
      </c>
      <c r="AE2470">
        <f t="shared" si="7"/>
        <v>0</v>
      </c>
    </row>
    <row r="2471">
      <c r="X2471" t="b">
        <f t="shared" ref="X2471:Z2471" si="4918">ISBLANK(K2471)</f>
        <v>1</v>
      </c>
      <c r="Y2471" t="b">
        <f t="shared" si="4918"/>
        <v>1</v>
      </c>
      <c r="Z2471" t="b">
        <f t="shared" si="4918"/>
        <v>1</v>
      </c>
      <c r="AA2471">
        <f t="shared" ref="AA2471:AC2471" si="4919">IF(X2471=FALSE,1,0)</f>
        <v>0</v>
      </c>
      <c r="AB2471">
        <f t="shared" si="4919"/>
        <v>0</v>
      </c>
      <c r="AC2471">
        <f t="shared" si="4919"/>
        <v>0</v>
      </c>
      <c r="AD2471">
        <f t="shared" si="6"/>
        <v>0</v>
      </c>
      <c r="AE2471">
        <f t="shared" si="7"/>
        <v>0</v>
      </c>
    </row>
    <row r="2472">
      <c r="X2472" t="b">
        <f t="shared" ref="X2472:Z2472" si="4920">ISBLANK(K2472)</f>
        <v>1</v>
      </c>
      <c r="Y2472" t="b">
        <f t="shared" si="4920"/>
        <v>1</v>
      </c>
      <c r="Z2472" t="b">
        <f t="shared" si="4920"/>
        <v>1</v>
      </c>
      <c r="AA2472">
        <f t="shared" ref="AA2472:AC2472" si="4921">IF(X2472=FALSE,1,0)</f>
        <v>0</v>
      </c>
      <c r="AB2472">
        <f t="shared" si="4921"/>
        <v>0</v>
      </c>
      <c r="AC2472">
        <f t="shared" si="4921"/>
        <v>0</v>
      </c>
      <c r="AD2472">
        <f t="shared" si="6"/>
        <v>0</v>
      </c>
      <c r="AE2472">
        <f t="shared" si="7"/>
        <v>0</v>
      </c>
    </row>
    <row r="2473">
      <c r="X2473" t="b">
        <f t="shared" ref="X2473:Z2473" si="4922">ISBLANK(K2473)</f>
        <v>1</v>
      </c>
      <c r="Y2473" t="b">
        <f t="shared" si="4922"/>
        <v>1</v>
      </c>
      <c r="Z2473" t="b">
        <f t="shared" si="4922"/>
        <v>1</v>
      </c>
      <c r="AA2473">
        <f t="shared" ref="AA2473:AC2473" si="4923">IF(X2473=FALSE,1,0)</f>
        <v>0</v>
      </c>
      <c r="AB2473">
        <f t="shared" si="4923"/>
        <v>0</v>
      </c>
      <c r="AC2473">
        <f t="shared" si="4923"/>
        <v>0</v>
      </c>
      <c r="AD2473">
        <f t="shared" si="6"/>
        <v>0</v>
      </c>
      <c r="AE2473">
        <f t="shared" si="7"/>
        <v>0</v>
      </c>
    </row>
    <row r="2474">
      <c r="X2474" t="b">
        <f t="shared" ref="X2474:Z2474" si="4924">ISBLANK(K2474)</f>
        <v>1</v>
      </c>
      <c r="Y2474" t="b">
        <f t="shared" si="4924"/>
        <v>1</v>
      </c>
      <c r="Z2474" t="b">
        <f t="shared" si="4924"/>
        <v>1</v>
      </c>
      <c r="AA2474">
        <f t="shared" ref="AA2474:AC2474" si="4925">IF(X2474=FALSE,1,0)</f>
        <v>0</v>
      </c>
      <c r="AB2474">
        <f t="shared" si="4925"/>
        <v>0</v>
      </c>
      <c r="AC2474">
        <f t="shared" si="4925"/>
        <v>0</v>
      </c>
      <c r="AD2474">
        <f t="shared" si="6"/>
        <v>0</v>
      </c>
      <c r="AE2474">
        <f t="shared" si="7"/>
        <v>0</v>
      </c>
    </row>
    <row r="2475">
      <c r="X2475" t="b">
        <f t="shared" ref="X2475:Z2475" si="4926">ISBLANK(K2475)</f>
        <v>1</v>
      </c>
      <c r="Y2475" t="b">
        <f t="shared" si="4926"/>
        <v>1</v>
      </c>
      <c r="Z2475" t="b">
        <f t="shared" si="4926"/>
        <v>1</v>
      </c>
      <c r="AA2475">
        <f t="shared" ref="AA2475:AC2475" si="4927">IF(X2475=FALSE,1,0)</f>
        <v>0</v>
      </c>
      <c r="AB2475">
        <f t="shared" si="4927"/>
        <v>0</v>
      </c>
      <c r="AC2475">
        <f t="shared" si="4927"/>
        <v>0</v>
      </c>
      <c r="AD2475">
        <f t="shared" si="6"/>
        <v>0</v>
      </c>
      <c r="AE2475">
        <f t="shared" si="7"/>
        <v>0</v>
      </c>
    </row>
    <row r="2476">
      <c r="X2476" t="b">
        <f t="shared" ref="X2476:Z2476" si="4928">ISBLANK(K2476)</f>
        <v>1</v>
      </c>
      <c r="Y2476" t="b">
        <f t="shared" si="4928"/>
        <v>1</v>
      </c>
      <c r="Z2476" t="b">
        <f t="shared" si="4928"/>
        <v>1</v>
      </c>
      <c r="AA2476">
        <f t="shared" ref="AA2476:AC2476" si="4929">IF(X2476=FALSE,1,0)</f>
        <v>0</v>
      </c>
      <c r="AB2476">
        <f t="shared" si="4929"/>
        <v>0</v>
      </c>
      <c r="AC2476">
        <f t="shared" si="4929"/>
        <v>0</v>
      </c>
      <c r="AD2476">
        <f t="shared" si="6"/>
        <v>0</v>
      </c>
      <c r="AE2476">
        <f t="shared" si="7"/>
        <v>0</v>
      </c>
    </row>
    <row r="2477">
      <c r="X2477" t="b">
        <f t="shared" ref="X2477:Z2477" si="4930">ISBLANK(K2477)</f>
        <v>1</v>
      </c>
      <c r="Y2477" t="b">
        <f t="shared" si="4930"/>
        <v>1</v>
      </c>
      <c r="Z2477" t="b">
        <f t="shared" si="4930"/>
        <v>1</v>
      </c>
      <c r="AA2477">
        <f t="shared" ref="AA2477:AC2477" si="4931">IF(X2477=FALSE,1,0)</f>
        <v>0</v>
      </c>
      <c r="AB2477">
        <f t="shared" si="4931"/>
        <v>0</v>
      </c>
      <c r="AC2477">
        <f t="shared" si="4931"/>
        <v>0</v>
      </c>
      <c r="AD2477">
        <f t="shared" si="6"/>
        <v>0</v>
      </c>
      <c r="AE2477">
        <f t="shared" si="7"/>
        <v>0</v>
      </c>
    </row>
    <row r="2478">
      <c r="X2478" t="b">
        <f t="shared" ref="X2478:Z2478" si="4932">ISBLANK(K2478)</f>
        <v>1</v>
      </c>
      <c r="Y2478" t="b">
        <f t="shared" si="4932"/>
        <v>1</v>
      </c>
      <c r="Z2478" t="b">
        <f t="shared" si="4932"/>
        <v>1</v>
      </c>
      <c r="AA2478">
        <f t="shared" ref="AA2478:AC2478" si="4933">IF(X2478=FALSE,1,0)</f>
        <v>0</v>
      </c>
      <c r="AB2478">
        <f t="shared" si="4933"/>
        <v>0</v>
      </c>
      <c r="AC2478">
        <f t="shared" si="4933"/>
        <v>0</v>
      </c>
      <c r="AD2478">
        <f t="shared" si="6"/>
        <v>0</v>
      </c>
      <c r="AE2478">
        <f t="shared" si="7"/>
        <v>0</v>
      </c>
    </row>
    <row r="2479">
      <c r="X2479" t="b">
        <f t="shared" ref="X2479:Z2479" si="4934">ISBLANK(K2479)</f>
        <v>1</v>
      </c>
      <c r="Y2479" t="b">
        <f t="shared" si="4934"/>
        <v>1</v>
      </c>
      <c r="Z2479" t="b">
        <f t="shared" si="4934"/>
        <v>1</v>
      </c>
      <c r="AA2479">
        <f t="shared" ref="AA2479:AC2479" si="4935">IF(X2479=FALSE,1,0)</f>
        <v>0</v>
      </c>
      <c r="AB2479">
        <f t="shared" si="4935"/>
        <v>0</v>
      </c>
      <c r="AC2479">
        <f t="shared" si="4935"/>
        <v>0</v>
      </c>
      <c r="AD2479">
        <f t="shared" si="6"/>
        <v>0</v>
      </c>
      <c r="AE2479">
        <f t="shared" si="7"/>
        <v>0</v>
      </c>
    </row>
    <row r="2480">
      <c r="X2480" t="b">
        <f t="shared" ref="X2480:Z2480" si="4936">ISBLANK(K2480)</f>
        <v>1</v>
      </c>
      <c r="Y2480" t="b">
        <f t="shared" si="4936"/>
        <v>1</v>
      </c>
      <c r="Z2480" t="b">
        <f t="shared" si="4936"/>
        <v>1</v>
      </c>
      <c r="AA2480">
        <f t="shared" ref="AA2480:AC2480" si="4937">IF(X2480=FALSE,1,0)</f>
        <v>0</v>
      </c>
      <c r="AB2480">
        <f t="shared" si="4937"/>
        <v>0</v>
      </c>
      <c r="AC2480">
        <f t="shared" si="4937"/>
        <v>0</v>
      </c>
      <c r="AD2480">
        <f t="shared" si="6"/>
        <v>0</v>
      </c>
      <c r="AE2480">
        <f t="shared" si="7"/>
        <v>0</v>
      </c>
    </row>
    <row r="2481">
      <c r="X2481" t="b">
        <f t="shared" ref="X2481:Z2481" si="4938">ISBLANK(K2481)</f>
        <v>1</v>
      </c>
      <c r="Y2481" t="b">
        <f t="shared" si="4938"/>
        <v>1</v>
      </c>
      <c r="Z2481" t="b">
        <f t="shared" si="4938"/>
        <v>1</v>
      </c>
      <c r="AA2481">
        <f t="shared" ref="AA2481:AC2481" si="4939">IF(X2481=FALSE,1,0)</f>
        <v>0</v>
      </c>
      <c r="AB2481">
        <f t="shared" si="4939"/>
        <v>0</v>
      </c>
      <c r="AC2481">
        <f t="shared" si="4939"/>
        <v>0</v>
      </c>
      <c r="AD2481">
        <f t="shared" si="6"/>
        <v>0</v>
      </c>
      <c r="AE2481">
        <f t="shared" si="7"/>
        <v>0</v>
      </c>
    </row>
    <row r="2482">
      <c r="X2482" t="b">
        <f t="shared" ref="X2482:Z2482" si="4940">ISBLANK(K2482)</f>
        <v>1</v>
      </c>
      <c r="Y2482" t="b">
        <f t="shared" si="4940"/>
        <v>1</v>
      </c>
      <c r="Z2482" t="b">
        <f t="shared" si="4940"/>
        <v>1</v>
      </c>
      <c r="AA2482">
        <f t="shared" ref="AA2482:AC2482" si="4941">IF(X2482=FALSE,1,0)</f>
        <v>0</v>
      </c>
      <c r="AB2482">
        <f t="shared" si="4941"/>
        <v>0</v>
      </c>
      <c r="AC2482">
        <f t="shared" si="4941"/>
        <v>0</v>
      </c>
      <c r="AD2482">
        <f t="shared" si="6"/>
        <v>0</v>
      </c>
      <c r="AE2482">
        <f t="shared" si="7"/>
        <v>0</v>
      </c>
    </row>
    <row r="2483">
      <c r="X2483" t="b">
        <f t="shared" ref="X2483:Z2483" si="4942">ISBLANK(K2483)</f>
        <v>1</v>
      </c>
      <c r="Y2483" t="b">
        <f t="shared" si="4942"/>
        <v>1</v>
      </c>
      <c r="Z2483" t="b">
        <f t="shared" si="4942"/>
        <v>1</v>
      </c>
      <c r="AA2483">
        <f t="shared" ref="AA2483:AC2483" si="4943">IF(X2483=FALSE,1,0)</f>
        <v>0</v>
      </c>
      <c r="AB2483">
        <f t="shared" si="4943"/>
        <v>0</v>
      </c>
      <c r="AC2483">
        <f t="shared" si="4943"/>
        <v>0</v>
      </c>
      <c r="AD2483">
        <f t="shared" si="6"/>
        <v>0</v>
      </c>
      <c r="AE2483">
        <f t="shared" si="7"/>
        <v>0</v>
      </c>
    </row>
    <row r="2484">
      <c r="X2484" t="b">
        <f t="shared" ref="X2484:Z2484" si="4944">ISBLANK(K2484)</f>
        <v>1</v>
      </c>
      <c r="Y2484" t="b">
        <f t="shared" si="4944"/>
        <v>1</v>
      </c>
      <c r="Z2484" t="b">
        <f t="shared" si="4944"/>
        <v>1</v>
      </c>
      <c r="AA2484">
        <f t="shared" ref="AA2484:AC2484" si="4945">IF(X2484=FALSE,1,0)</f>
        <v>0</v>
      </c>
      <c r="AB2484">
        <f t="shared" si="4945"/>
        <v>0</v>
      </c>
      <c r="AC2484">
        <f t="shared" si="4945"/>
        <v>0</v>
      </c>
      <c r="AD2484">
        <f t="shared" si="6"/>
        <v>0</v>
      </c>
      <c r="AE2484">
        <f t="shared" si="7"/>
        <v>0</v>
      </c>
    </row>
    <row r="2485">
      <c r="X2485" t="b">
        <f t="shared" ref="X2485:Z2485" si="4946">ISBLANK(K2485)</f>
        <v>1</v>
      </c>
      <c r="Y2485" t="b">
        <f t="shared" si="4946"/>
        <v>1</v>
      </c>
      <c r="Z2485" t="b">
        <f t="shared" si="4946"/>
        <v>1</v>
      </c>
      <c r="AA2485">
        <f t="shared" ref="AA2485:AC2485" si="4947">IF(X2485=FALSE,1,0)</f>
        <v>0</v>
      </c>
      <c r="AB2485">
        <f t="shared" si="4947"/>
        <v>0</v>
      </c>
      <c r="AC2485">
        <f t="shared" si="4947"/>
        <v>0</v>
      </c>
      <c r="AD2485">
        <f t="shared" si="6"/>
        <v>0</v>
      </c>
      <c r="AE2485">
        <f t="shared" si="7"/>
        <v>0</v>
      </c>
    </row>
    <row r="2486">
      <c r="X2486" t="b">
        <f t="shared" ref="X2486:Z2486" si="4948">ISBLANK(K2486)</f>
        <v>1</v>
      </c>
      <c r="Y2486" t="b">
        <f t="shared" si="4948"/>
        <v>1</v>
      </c>
      <c r="Z2486" t="b">
        <f t="shared" si="4948"/>
        <v>1</v>
      </c>
      <c r="AA2486">
        <f t="shared" ref="AA2486:AC2486" si="4949">IF(X2486=FALSE,1,0)</f>
        <v>0</v>
      </c>
      <c r="AB2486">
        <f t="shared" si="4949"/>
        <v>0</v>
      </c>
      <c r="AC2486">
        <f t="shared" si="4949"/>
        <v>0</v>
      </c>
      <c r="AD2486">
        <f t="shared" si="6"/>
        <v>0</v>
      </c>
      <c r="AE2486">
        <f t="shared" si="7"/>
        <v>0</v>
      </c>
    </row>
    <row r="2487">
      <c r="X2487" t="b">
        <f t="shared" ref="X2487:Z2487" si="4950">ISBLANK(K2487)</f>
        <v>1</v>
      </c>
      <c r="Y2487" t="b">
        <f t="shared" si="4950"/>
        <v>1</v>
      </c>
      <c r="Z2487" t="b">
        <f t="shared" si="4950"/>
        <v>1</v>
      </c>
      <c r="AA2487">
        <f t="shared" ref="AA2487:AC2487" si="4951">IF(X2487=FALSE,1,0)</f>
        <v>0</v>
      </c>
      <c r="AB2487">
        <f t="shared" si="4951"/>
        <v>0</v>
      </c>
      <c r="AC2487">
        <f t="shared" si="4951"/>
        <v>0</v>
      </c>
      <c r="AD2487">
        <f t="shared" si="6"/>
        <v>0</v>
      </c>
      <c r="AE2487">
        <f t="shared" si="7"/>
        <v>0</v>
      </c>
    </row>
    <row r="2488">
      <c r="X2488" t="b">
        <f t="shared" ref="X2488:Z2488" si="4952">ISBLANK(K2488)</f>
        <v>1</v>
      </c>
      <c r="Y2488" t="b">
        <f t="shared" si="4952"/>
        <v>1</v>
      </c>
      <c r="Z2488" t="b">
        <f t="shared" si="4952"/>
        <v>1</v>
      </c>
      <c r="AA2488">
        <f t="shared" ref="AA2488:AC2488" si="4953">IF(X2488=FALSE,1,0)</f>
        <v>0</v>
      </c>
      <c r="AB2488">
        <f t="shared" si="4953"/>
        <v>0</v>
      </c>
      <c r="AC2488">
        <f t="shared" si="4953"/>
        <v>0</v>
      </c>
      <c r="AD2488">
        <f t="shared" si="6"/>
        <v>0</v>
      </c>
      <c r="AE2488">
        <f t="shared" si="7"/>
        <v>0</v>
      </c>
    </row>
    <row r="2489">
      <c r="X2489" t="b">
        <f t="shared" ref="X2489:Z2489" si="4954">ISBLANK(K2489)</f>
        <v>1</v>
      </c>
      <c r="Y2489" t="b">
        <f t="shared" si="4954"/>
        <v>1</v>
      </c>
      <c r="Z2489" t="b">
        <f t="shared" si="4954"/>
        <v>1</v>
      </c>
      <c r="AA2489">
        <f t="shared" ref="AA2489:AC2489" si="4955">IF(X2489=FALSE,1,0)</f>
        <v>0</v>
      </c>
      <c r="AB2489">
        <f t="shared" si="4955"/>
        <v>0</v>
      </c>
      <c r="AC2489">
        <f t="shared" si="4955"/>
        <v>0</v>
      </c>
      <c r="AD2489">
        <f t="shared" si="6"/>
        <v>0</v>
      </c>
      <c r="AE2489">
        <f t="shared" si="7"/>
        <v>0</v>
      </c>
    </row>
    <row r="2490">
      <c r="X2490" t="b">
        <f t="shared" ref="X2490:Z2490" si="4956">ISBLANK(K2490)</f>
        <v>1</v>
      </c>
      <c r="Y2490" t="b">
        <f t="shared" si="4956"/>
        <v>1</v>
      </c>
      <c r="Z2490" t="b">
        <f t="shared" si="4956"/>
        <v>1</v>
      </c>
      <c r="AA2490">
        <f t="shared" ref="AA2490:AC2490" si="4957">IF(X2490=FALSE,1,0)</f>
        <v>0</v>
      </c>
      <c r="AB2490">
        <f t="shared" si="4957"/>
        <v>0</v>
      </c>
      <c r="AC2490">
        <f t="shared" si="4957"/>
        <v>0</v>
      </c>
      <c r="AD2490">
        <f t="shared" si="6"/>
        <v>0</v>
      </c>
      <c r="AE2490">
        <f t="shared" si="7"/>
        <v>0</v>
      </c>
    </row>
    <row r="2491">
      <c r="X2491" t="b">
        <f t="shared" ref="X2491:Z2491" si="4958">ISBLANK(K2491)</f>
        <v>1</v>
      </c>
      <c r="Y2491" t="b">
        <f t="shared" si="4958"/>
        <v>1</v>
      </c>
      <c r="Z2491" t="b">
        <f t="shared" si="4958"/>
        <v>1</v>
      </c>
      <c r="AA2491">
        <f t="shared" ref="AA2491:AC2491" si="4959">IF(X2491=FALSE,1,0)</f>
        <v>0</v>
      </c>
      <c r="AB2491">
        <f t="shared" si="4959"/>
        <v>0</v>
      </c>
      <c r="AC2491">
        <f t="shared" si="4959"/>
        <v>0</v>
      </c>
      <c r="AD2491">
        <f t="shared" si="6"/>
        <v>0</v>
      </c>
      <c r="AE2491">
        <f t="shared" si="7"/>
        <v>0</v>
      </c>
    </row>
    <row r="2492">
      <c r="X2492" t="b">
        <f t="shared" ref="X2492:Z2492" si="4960">ISBLANK(K2492)</f>
        <v>1</v>
      </c>
      <c r="Y2492" t="b">
        <f t="shared" si="4960"/>
        <v>1</v>
      </c>
      <c r="Z2492" t="b">
        <f t="shared" si="4960"/>
        <v>1</v>
      </c>
      <c r="AA2492">
        <f t="shared" ref="AA2492:AC2492" si="4961">IF(X2492=FALSE,1,0)</f>
        <v>0</v>
      </c>
      <c r="AB2492">
        <f t="shared" si="4961"/>
        <v>0</v>
      </c>
      <c r="AC2492">
        <f t="shared" si="4961"/>
        <v>0</v>
      </c>
      <c r="AD2492">
        <f t="shared" si="6"/>
        <v>0</v>
      </c>
      <c r="AE2492">
        <f t="shared" si="7"/>
        <v>0</v>
      </c>
    </row>
    <row r="2493">
      <c r="X2493" t="b">
        <f t="shared" ref="X2493:Z2493" si="4962">ISBLANK(K2493)</f>
        <v>1</v>
      </c>
      <c r="Y2493" t="b">
        <f t="shared" si="4962"/>
        <v>1</v>
      </c>
      <c r="Z2493" t="b">
        <f t="shared" si="4962"/>
        <v>1</v>
      </c>
      <c r="AA2493">
        <f t="shared" ref="AA2493:AC2493" si="4963">IF(X2493=FALSE,1,0)</f>
        <v>0</v>
      </c>
      <c r="AB2493">
        <f t="shared" si="4963"/>
        <v>0</v>
      </c>
      <c r="AC2493">
        <f t="shared" si="4963"/>
        <v>0</v>
      </c>
      <c r="AD2493">
        <f t="shared" si="6"/>
        <v>0</v>
      </c>
      <c r="AE2493">
        <f t="shared" si="7"/>
        <v>0</v>
      </c>
    </row>
    <row r="2494">
      <c r="X2494" t="b">
        <f t="shared" ref="X2494:Z2494" si="4964">ISBLANK(K2494)</f>
        <v>1</v>
      </c>
      <c r="Y2494" t="b">
        <f t="shared" si="4964"/>
        <v>1</v>
      </c>
      <c r="Z2494" t="b">
        <f t="shared" si="4964"/>
        <v>1</v>
      </c>
      <c r="AA2494">
        <f t="shared" ref="AA2494:AC2494" si="4965">IF(X2494=FALSE,1,0)</f>
        <v>0</v>
      </c>
      <c r="AB2494">
        <f t="shared" si="4965"/>
        <v>0</v>
      </c>
      <c r="AC2494">
        <f t="shared" si="4965"/>
        <v>0</v>
      </c>
      <c r="AD2494">
        <f t="shared" si="6"/>
        <v>0</v>
      </c>
      <c r="AE2494">
        <f t="shared" si="7"/>
        <v>0</v>
      </c>
    </row>
    <row r="2495">
      <c r="X2495" t="b">
        <f t="shared" ref="X2495:Z2495" si="4966">ISBLANK(K2495)</f>
        <v>1</v>
      </c>
      <c r="Y2495" t="b">
        <f t="shared" si="4966"/>
        <v>1</v>
      </c>
      <c r="Z2495" t="b">
        <f t="shared" si="4966"/>
        <v>1</v>
      </c>
      <c r="AA2495">
        <f t="shared" ref="AA2495:AC2495" si="4967">IF(X2495=FALSE,1,0)</f>
        <v>0</v>
      </c>
      <c r="AB2495">
        <f t="shared" si="4967"/>
        <v>0</v>
      </c>
      <c r="AC2495">
        <f t="shared" si="4967"/>
        <v>0</v>
      </c>
      <c r="AD2495">
        <f t="shared" si="6"/>
        <v>0</v>
      </c>
      <c r="AE2495">
        <f t="shared" si="7"/>
        <v>0</v>
      </c>
    </row>
    <row r="2496">
      <c r="X2496" t="b">
        <f t="shared" ref="X2496:Z2496" si="4968">ISBLANK(K2496)</f>
        <v>1</v>
      </c>
      <c r="Y2496" t="b">
        <f t="shared" si="4968"/>
        <v>1</v>
      </c>
      <c r="Z2496" t="b">
        <f t="shared" si="4968"/>
        <v>1</v>
      </c>
      <c r="AA2496">
        <f t="shared" ref="AA2496:AC2496" si="4969">IF(X2496=FALSE,1,0)</f>
        <v>0</v>
      </c>
      <c r="AB2496">
        <f t="shared" si="4969"/>
        <v>0</v>
      </c>
      <c r="AC2496">
        <f t="shared" si="4969"/>
        <v>0</v>
      </c>
      <c r="AD2496">
        <f t="shared" si="6"/>
        <v>0</v>
      </c>
      <c r="AE2496">
        <f t="shared" si="7"/>
        <v>0</v>
      </c>
    </row>
    <row r="2497">
      <c r="X2497" t="b">
        <f t="shared" ref="X2497:Z2497" si="4970">ISBLANK(K2497)</f>
        <v>1</v>
      </c>
      <c r="Y2497" t="b">
        <f t="shared" si="4970"/>
        <v>1</v>
      </c>
      <c r="Z2497" t="b">
        <f t="shared" si="4970"/>
        <v>1</v>
      </c>
      <c r="AA2497">
        <f t="shared" ref="AA2497:AC2497" si="4971">IF(X2497=FALSE,1,0)</f>
        <v>0</v>
      </c>
      <c r="AB2497">
        <f t="shared" si="4971"/>
        <v>0</v>
      </c>
      <c r="AC2497">
        <f t="shared" si="4971"/>
        <v>0</v>
      </c>
      <c r="AD2497">
        <f t="shared" si="6"/>
        <v>0</v>
      </c>
      <c r="AE2497">
        <f t="shared" si="7"/>
        <v>0</v>
      </c>
    </row>
    <row r="2498">
      <c r="X2498" t="b">
        <f t="shared" ref="X2498:Z2498" si="4972">ISBLANK(K2498)</f>
        <v>1</v>
      </c>
      <c r="Y2498" t="b">
        <f t="shared" si="4972"/>
        <v>1</v>
      </c>
      <c r="Z2498" t="b">
        <f t="shared" si="4972"/>
        <v>1</v>
      </c>
      <c r="AA2498">
        <f t="shared" ref="AA2498:AC2498" si="4973">IF(X2498=FALSE,1,0)</f>
        <v>0</v>
      </c>
      <c r="AB2498">
        <f t="shared" si="4973"/>
        <v>0</v>
      </c>
      <c r="AC2498">
        <f t="shared" si="4973"/>
        <v>0</v>
      </c>
      <c r="AD2498">
        <f t="shared" si="6"/>
        <v>0</v>
      </c>
      <c r="AE2498">
        <f t="shared" si="7"/>
        <v>0</v>
      </c>
    </row>
    <row r="2499">
      <c r="X2499" t="b">
        <f t="shared" ref="X2499:Z2499" si="4974">ISBLANK(K2499)</f>
        <v>1</v>
      </c>
      <c r="Y2499" t="b">
        <f t="shared" si="4974"/>
        <v>1</v>
      </c>
      <c r="Z2499" t="b">
        <f t="shared" si="4974"/>
        <v>1</v>
      </c>
      <c r="AA2499">
        <f t="shared" ref="AA2499:AC2499" si="4975">IF(X2499=FALSE,1,0)</f>
        <v>0</v>
      </c>
      <c r="AB2499">
        <f t="shared" si="4975"/>
        <v>0</v>
      </c>
      <c r="AC2499">
        <f t="shared" si="4975"/>
        <v>0</v>
      </c>
      <c r="AD2499">
        <f t="shared" si="6"/>
        <v>0</v>
      </c>
      <c r="AE2499">
        <f t="shared" si="7"/>
        <v>0</v>
      </c>
    </row>
    <row r="2500">
      <c r="X2500" t="b">
        <f t="shared" ref="X2500:Z2500" si="4976">ISBLANK(K2500)</f>
        <v>1</v>
      </c>
      <c r="Y2500" t="b">
        <f t="shared" si="4976"/>
        <v>1</v>
      </c>
      <c r="Z2500" t="b">
        <f t="shared" si="4976"/>
        <v>1</v>
      </c>
      <c r="AA2500">
        <f t="shared" ref="AA2500:AC2500" si="4977">IF(X2500=FALSE,1,0)</f>
        <v>0</v>
      </c>
      <c r="AB2500">
        <f t="shared" si="4977"/>
        <v>0</v>
      </c>
      <c r="AC2500">
        <f t="shared" si="4977"/>
        <v>0</v>
      </c>
      <c r="AD2500">
        <f t="shared" si="6"/>
        <v>0</v>
      </c>
      <c r="AE2500">
        <f t="shared" si="7"/>
        <v>0</v>
      </c>
    </row>
    <row r="2501">
      <c r="X2501" t="b">
        <f t="shared" ref="X2501:Z2501" si="4978">ISBLANK(K2501)</f>
        <v>1</v>
      </c>
      <c r="Y2501" t="b">
        <f t="shared" si="4978"/>
        <v>1</v>
      </c>
      <c r="Z2501" t="b">
        <f t="shared" si="4978"/>
        <v>1</v>
      </c>
      <c r="AA2501">
        <f t="shared" ref="AA2501:AC2501" si="4979">IF(X2501=FALSE,1,0)</f>
        <v>0</v>
      </c>
      <c r="AB2501">
        <f t="shared" si="4979"/>
        <v>0</v>
      </c>
      <c r="AC2501">
        <f t="shared" si="4979"/>
        <v>0</v>
      </c>
      <c r="AD2501">
        <f t="shared" si="6"/>
        <v>0</v>
      </c>
      <c r="AE2501">
        <f t="shared" si="7"/>
        <v>0</v>
      </c>
    </row>
    <row r="2502">
      <c r="X2502" t="b">
        <f t="shared" ref="X2502:Z2502" si="4980">ISBLANK(K2502)</f>
        <v>1</v>
      </c>
      <c r="Y2502" t="b">
        <f t="shared" si="4980"/>
        <v>1</v>
      </c>
      <c r="Z2502" t="b">
        <f t="shared" si="4980"/>
        <v>1</v>
      </c>
      <c r="AA2502">
        <f t="shared" ref="AA2502:AC2502" si="4981">IF(X2502=FALSE,1,0)</f>
        <v>0</v>
      </c>
      <c r="AB2502">
        <f t="shared" si="4981"/>
        <v>0</v>
      </c>
      <c r="AC2502">
        <f t="shared" si="4981"/>
        <v>0</v>
      </c>
      <c r="AD2502">
        <f t="shared" si="6"/>
        <v>0</v>
      </c>
      <c r="AE2502">
        <f t="shared" si="7"/>
        <v>0</v>
      </c>
    </row>
    <row r="2503">
      <c r="X2503" t="b">
        <f t="shared" ref="X2503:Z2503" si="4982">ISBLANK(K2503)</f>
        <v>1</v>
      </c>
      <c r="Y2503" t="b">
        <f t="shared" si="4982"/>
        <v>1</v>
      </c>
      <c r="Z2503" t="b">
        <f t="shared" si="4982"/>
        <v>1</v>
      </c>
      <c r="AA2503">
        <f t="shared" ref="AA2503:AC2503" si="4983">IF(X2503=FALSE,1,0)</f>
        <v>0</v>
      </c>
      <c r="AB2503">
        <f t="shared" si="4983"/>
        <v>0</v>
      </c>
      <c r="AC2503">
        <f t="shared" si="4983"/>
        <v>0</v>
      </c>
      <c r="AD2503">
        <f t="shared" si="6"/>
        <v>0</v>
      </c>
      <c r="AE2503">
        <f t="shared" si="7"/>
        <v>0</v>
      </c>
    </row>
    <row r="2504">
      <c r="X2504" t="b">
        <f t="shared" ref="X2504:Z2504" si="4984">ISBLANK(K2504)</f>
        <v>1</v>
      </c>
      <c r="Y2504" t="b">
        <f t="shared" si="4984"/>
        <v>1</v>
      </c>
      <c r="Z2504" t="b">
        <f t="shared" si="4984"/>
        <v>1</v>
      </c>
      <c r="AA2504">
        <f t="shared" ref="AA2504:AC2504" si="4985">IF(X2504=FALSE,1,0)</f>
        <v>0</v>
      </c>
      <c r="AB2504">
        <f t="shared" si="4985"/>
        <v>0</v>
      </c>
      <c r="AC2504">
        <f t="shared" si="4985"/>
        <v>0</v>
      </c>
      <c r="AD2504">
        <f t="shared" si="6"/>
        <v>0</v>
      </c>
      <c r="AE2504">
        <f t="shared" si="7"/>
        <v>0</v>
      </c>
    </row>
    <row r="2505">
      <c r="X2505" t="b">
        <f t="shared" ref="X2505:Z2505" si="4986">ISBLANK(K2505)</f>
        <v>1</v>
      </c>
      <c r="Y2505" t="b">
        <f t="shared" si="4986"/>
        <v>1</v>
      </c>
      <c r="Z2505" t="b">
        <f t="shared" si="4986"/>
        <v>1</v>
      </c>
      <c r="AA2505">
        <f t="shared" ref="AA2505:AC2505" si="4987">IF(X2505=FALSE,1,0)</f>
        <v>0</v>
      </c>
      <c r="AB2505">
        <f t="shared" si="4987"/>
        <v>0</v>
      </c>
      <c r="AC2505">
        <f t="shared" si="4987"/>
        <v>0</v>
      </c>
      <c r="AD2505">
        <f t="shared" si="6"/>
        <v>0</v>
      </c>
      <c r="AE2505">
        <f t="shared" si="7"/>
        <v>0</v>
      </c>
    </row>
    <row r="2506">
      <c r="X2506" t="b">
        <f t="shared" ref="X2506:Z2506" si="4988">ISBLANK(K2506)</f>
        <v>1</v>
      </c>
      <c r="Y2506" t="b">
        <f t="shared" si="4988"/>
        <v>1</v>
      </c>
      <c r="Z2506" t="b">
        <f t="shared" si="4988"/>
        <v>1</v>
      </c>
      <c r="AA2506">
        <f t="shared" ref="AA2506:AC2506" si="4989">IF(X2506=FALSE,1,0)</f>
        <v>0</v>
      </c>
      <c r="AB2506">
        <f t="shared" si="4989"/>
        <v>0</v>
      </c>
      <c r="AC2506">
        <f t="shared" si="4989"/>
        <v>0</v>
      </c>
      <c r="AD2506">
        <f t="shared" si="6"/>
        <v>0</v>
      </c>
      <c r="AE2506">
        <f t="shared" si="7"/>
        <v>0</v>
      </c>
    </row>
    <row r="2507">
      <c r="X2507" t="b">
        <f t="shared" ref="X2507:Z2507" si="4990">ISBLANK(K2507)</f>
        <v>1</v>
      </c>
      <c r="Y2507" t="b">
        <f t="shared" si="4990"/>
        <v>1</v>
      </c>
      <c r="Z2507" t="b">
        <f t="shared" si="4990"/>
        <v>1</v>
      </c>
      <c r="AA2507">
        <f t="shared" ref="AA2507:AC2507" si="4991">IF(X2507=FALSE,1,0)</f>
        <v>0</v>
      </c>
      <c r="AB2507">
        <f t="shared" si="4991"/>
        <v>0</v>
      </c>
      <c r="AC2507">
        <f t="shared" si="4991"/>
        <v>0</v>
      </c>
      <c r="AD2507">
        <f t="shared" si="6"/>
        <v>0</v>
      </c>
      <c r="AE2507">
        <f t="shared" si="7"/>
        <v>0</v>
      </c>
    </row>
    <row r="2508">
      <c r="X2508" t="b">
        <f t="shared" ref="X2508:Z2508" si="4992">ISBLANK(K2508)</f>
        <v>1</v>
      </c>
      <c r="Y2508" t="b">
        <f t="shared" si="4992"/>
        <v>1</v>
      </c>
      <c r="Z2508" t="b">
        <f t="shared" si="4992"/>
        <v>1</v>
      </c>
      <c r="AA2508">
        <f t="shared" ref="AA2508:AC2508" si="4993">IF(X2508=FALSE,1,0)</f>
        <v>0</v>
      </c>
      <c r="AB2508">
        <f t="shared" si="4993"/>
        <v>0</v>
      </c>
      <c r="AC2508">
        <f t="shared" si="4993"/>
        <v>0</v>
      </c>
      <c r="AD2508">
        <f t="shared" si="6"/>
        <v>0</v>
      </c>
      <c r="AE2508">
        <f t="shared" si="7"/>
        <v>0</v>
      </c>
    </row>
    <row r="2509">
      <c r="X2509" t="b">
        <f t="shared" ref="X2509:Z2509" si="4994">ISBLANK(K2509)</f>
        <v>1</v>
      </c>
      <c r="Y2509" t="b">
        <f t="shared" si="4994"/>
        <v>1</v>
      </c>
      <c r="Z2509" t="b">
        <f t="shared" si="4994"/>
        <v>1</v>
      </c>
      <c r="AA2509">
        <f t="shared" ref="AA2509:AC2509" si="4995">IF(X2509=FALSE,1,0)</f>
        <v>0</v>
      </c>
      <c r="AB2509">
        <f t="shared" si="4995"/>
        <v>0</v>
      </c>
      <c r="AC2509">
        <f t="shared" si="4995"/>
        <v>0</v>
      </c>
      <c r="AD2509">
        <f t="shared" si="6"/>
        <v>0</v>
      </c>
      <c r="AE2509">
        <f t="shared" si="7"/>
        <v>0</v>
      </c>
    </row>
    <row r="2510">
      <c r="X2510" t="b">
        <f t="shared" ref="X2510:Z2510" si="4996">ISBLANK(K2510)</f>
        <v>1</v>
      </c>
      <c r="Y2510" t="b">
        <f t="shared" si="4996"/>
        <v>1</v>
      </c>
      <c r="Z2510" t="b">
        <f t="shared" si="4996"/>
        <v>1</v>
      </c>
      <c r="AA2510">
        <f t="shared" ref="AA2510:AC2510" si="4997">IF(X2510=FALSE,1,0)</f>
        <v>0</v>
      </c>
      <c r="AB2510">
        <f t="shared" si="4997"/>
        <v>0</v>
      </c>
      <c r="AC2510">
        <f t="shared" si="4997"/>
        <v>0</v>
      </c>
      <c r="AD2510">
        <f t="shared" si="6"/>
        <v>0</v>
      </c>
      <c r="AE2510">
        <f t="shared" si="7"/>
        <v>0</v>
      </c>
    </row>
    <row r="2511">
      <c r="X2511" t="b">
        <f t="shared" ref="X2511:Z2511" si="4998">ISBLANK(K2511)</f>
        <v>1</v>
      </c>
      <c r="Y2511" t="b">
        <f t="shared" si="4998"/>
        <v>1</v>
      </c>
      <c r="Z2511" t="b">
        <f t="shared" si="4998"/>
        <v>1</v>
      </c>
      <c r="AA2511">
        <f t="shared" ref="AA2511:AC2511" si="4999">IF(X2511=FALSE,1,0)</f>
        <v>0</v>
      </c>
      <c r="AB2511">
        <f t="shared" si="4999"/>
        <v>0</v>
      </c>
      <c r="AC2511">
        <f t="shared" si="4999"/>
        <v>0</v>
      </c>
      <c r="AD2511">
        <f t="shared" si="6"/>
        <v>0</v>
      </c>
      <c r="AE2511">
        <f t="shared" si="7"/>
        <v>0</v>
      </c>
    </row>
  </sheetData>
  <mergeCells count="1">
    <mergeCell ref="AA11:AD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1" t="s">
        <v>1068</v>
      </c>
      <c r="B1" s="251" t="s">
        <v>44</v>
      </c>
      <c r="C1" s="251" t="s">
        <v>1069</v>
      </c>
      <c r="D1" s="251" t="s">
        <v>1070</v>
      </c>
      <c r="E1" s="251" t="s">
        <v>1071</v>
      </c>
      <c r="F1" s="251" t="s">
        <v>1072</v>
      </c>
      <c r="G1" s="251" t="s">
        <v>62</v>
      </c>
      <c r="H1" s="251" t="s">
        <v>1073</v>
      </c>
      <c r="I1" s="251" t="s">
        <v>1074</v>
      </c>
      <c r="J1" s="251" t="s">
        <v>1075</v>
      </c>
      <c r="K1" s="251" t="s">
        <v>1076</v>
      </c>
      <c r="L1" s="251" t="s">
        <v>1077</v>
      </c>
      <c r="M1" s="251" t="s">
        <v>1078</v>
      </c>
      <c r="N1" s="251" t="s">
        <v>1079</v>
      </c>
      <c r="O1" s="251" t="s">
        <v>1080</v>
      </c>
      <c r="P1" s="251" t="s">
        <v>1081</v>
      </c>
      <c r="Q1" s="251" t="s">
        <v>1082</v>
      </c>
      <c r="R1" s="251" t="s">
        <v>1083</v>
      </c>
      <c r="S1" s="251" t="s">
        <v>1084</v>
      </c>
      <c r="T1" s="251" t="s">
        <v>1085</v>
      </c>
      <c r="U1" s="251" t="s">
        <v>1086</v>
      </c>
      <c r="V1" s="251" t="s">
        <v>1087</v>
      </c>
      <c r="W1" s="251" t="s">
        <v>53</v>
      </c>
      <c r="X1" s="251" t="s">
        <v>1088</v>
      </c>
      <c r="Y1" s="251" t="s">
        <v>1089</v>
      </c>
      <c r="Z1" s="251" t="s">
        <v>1090</v>
      </c>
      <c r="AA1" s="251" t="s">
        <v>1091</v>
      </c>
      <c r="AB1" s="251" t="s">
        <v>1092</v>
      </c>
    </row>
    <row r="2">
      <c r="A2" s="252">
        <v>1.0</v>
      </c>
      <c r="B2" s="251" t="s">
        <v>1093</v>
      </c>
      <c r="C2" s="252">
        <v>1.0</v>
      </c>
      <c r="D2" s="251" t="s">
        <v>1094</v>
      </c>
      <c r="E2" s="251" t="s">
        <v>1095</v>
      </c>
      <c r="F2" s="251" t="s">
        <v>1096</v>
      </c>
      <c r="G2" s="253" t="s">
        <v>1097</v>
      </c>
      <c r="H2" s="252">
        <v>4.0</v>
      </c>
      <c r="I2" s="251" t="s">
        <v>1098</v>
      </c>
      <c r="J2" s="252">
        <v>100.0</v>
      </c>
      <c r="K2" s="252">
        <v>47.0</v>
      </c>
      <c r="L2" s="252">
        <v>120.0</v>
      </c>
      <c r="M2" s="252">
        <v>8647.0</v>
      </c>
      <c r="N2" s="252">
        <v>14354.0</v>
      </c>
      <c r="O2" s="252">
        <v>6.0</v>
      </c>
      <c r="P2" s="252">
        <v>16.0</v>
      </c>
      <c r="Q2" s="252">
        <v>2109.0</v>
      </c>
      <c r="R2" s="251" t="s">
        <v>1099</v>
      </c>
      <c r="S2" s="251" t="s">
        <v>1100</v>
      </c>
      <c r="T2" s="251" t="s">
        <v>1101</v>
      </c>
      <c r="U2" s="252">
        <v>32.0</v>
      </c>
      <c r="V2" s="252">
        <v>32.0</v>
      </c>
      <c r="W2" s="252">
        <v>6.0</v>
      </c>
      <c r="X2" s="251" t="s">
        <v>1102</v>
      </c>
      <c r="Y2" s="251" t="s">
        <v>1103</v>
      </c>
      <c r="Z2" s="251" t="s">
        <v>1104</v>
      </c>
      <c r="AA2" s="254" t="s">
        <v>1105</v>
      </c>
      <c r="AB2" s="254" t="s">
        <v>1105</v>
      </c>
    </row>
    <row r="3">
      <c r="A3" s="252">
        <v>2.0</v>
      </c>
      <c r="B3" s="251" t="s">
        <v>1106</v>
      </c>
      <c r="C3" s="252">
        <v>1.0</v>
      </c>
      <c r="D3" s="251" t="s">
        <v>1107</v>
      </c>
      <c r="E3" s="251" t="s">
        <v>1108</v>
      </c>
      <c r="F3" s="251" t="s">
        <v>1109</v>
      </c>
      <c r="G3" s="253" t="s">
        <v>1110</v>
      </c>
      <c r="H3" s="252">
        <v>4.0</v>
      </c>
      <c r="I3" s="251" t="s">
        <v>1111</v>
      </c>
      <c r="J3" s="252">
        <v>8.0</v>
      </c>
      <c r="K3" s="252">
        <v>631.0</v>
      </c>
      <c r="L3" s="252">
        <v>100.0</v>
      </c>
      <c r="M3" s="252">
        <v>19393.0</v>
      </c>
      <c r="N3" s="252">
        <v>28119.0</v>
      </c>
      <c r="O3" s="252">
        <v>2.0</v>
      </c>
      <c r="P3" s="252">
        <v>32.0</v>
      </c>
      <c r="Q3" s="252">
        <v>4745.0</v>
      </c>
      <c r="R3" s="251" t="s">
        <v>1112</v>
      </c>
      <c r="S3" s="251" t="s">
        <v>1100</v>
      </c>
      <c r="T3" s="251" t="s">
        <v>1021</v>
      </c>
      <c r="U3" s="252">
        <v>16.0</v>
      </c>
      <c r="V3" s="252">
        <v>12.0</v>
      </c>
      <c r="W3" s="252">
        <v>5.5</v>
      </c>
      <c r="X3" s="251" t="s">
        <v>1113</v>
      </c>
      <c r="Y3" s="251" t="s">
        <v>1114</v>
      </c>
      <c r="Z3" s="251" t="s">
        <v>1115</v>
      </c>
      <c r="AA3" s="254" t="s">
        <v>1105</v>
      </c>
      <c r="AB3" s="254" t="s">
        <v>1105</v>
      </c>
    </row>
    <row r="4">
      <c r="A4" s="252">
        <v>3.0</v>
      </c>
      <c r="B4" s="251" t="s">
        <v>1116</v>
      </c>
      <c r="C4" s="252">
        <v>1.0</v>
      </c>
      <c r="D4" s="251" t="s">
        <v>1117</v>
      </c>
      <c r="E4" s="251" t="s">
        <v>1118</v>
      </c>
      <c r="F4" s="251" t="s">
        <v>1119</v>
      </c>
      <c r="G4" s="253" t="s">
        <v>1120</v>
      </c>
      <c r="H4" s="252">
        <v>6.0</v>
      </c>
      <c r="I4" s="251" t="s">
        <v>1121</v>
      </c>
      <c r="J4" s="252">
        <v>8.0</v>
      </c>
      <c r="K4" s="252">
        <v>195.0</v>
      </c>
      <c r="L4" s="252">
        <v>80.0</v>
      </c>
      <c r="M4" s="252">
        <v>13457.0</v>
      </c>
      <c r="N4" s="252">
        <v>17494.0</v>
      </c>
      <c r="O4" s="252">
        <v>4.0</v>
      </c>
      <c r="P4" s="252">
        <v>128.0</v>
      </c>
      <c r="Q4" s="252">
        <v>1915.0</v>
      </c>
      <c r="R4" s="251" t="s">
        <v>1099</v>
      </c>
      <c r="S4" s="251" t="s">
        <v>1122</v>
      </c>
      <c r="T4" s="251" t="s">
        <v>1123</v>
      </c>
      <c r="U4" s="252">
        <v>14.0</v>
      </c>
      <c r="V4" s="252">
        <v>16.0</v>
      </c>
      <c r="W4" s="252">
        <v>6.3</v>
      </c>
      <c r="X4" s="251" t="s">
        <v>1102</v>
      </c>
      <c r="Y4" s="251" t="s">
        <v>1124</v>
      </c>
      <c r="Z4" s="251" t="s">
        <v>1125</v>
      </c>
      <c r="AA4" s="254" t="s">
        <v>1105</v>
      </c>
      <c r="AB4" s="254" t="s">
        <v>1105</v>
      </c>
    </row>
    <row r="5">
      <c r="A5" s="252">
        <v>4.0</v>
      </c>
      <c r="B5" s="251" t="s">
        <v>1126</v>
      </c>
      <c r="C5" s="252">
        <v>1.0</v>
      </c>
      <c r="D5" s="251" t="s">
        <v>1127</v>
      </c>
      <c r="E5" s="251" t="s">
        <v>1128</v>
      </c>
      <c r="F5" s="251" t="s">
        <v>1129</v>
      </c>
      <c r="G5" s="253" t="s">
        <v>1130</v>
      </c>
      <c r="H5" s="252">
        <v>2.0</v>
      </c>
      <c r="I5" s="251" t="s">
        <v>1131</v>
      </c>
      <c r="J5" s="252">
        <v>8.0</v>
      </c>
      <c r="K5" s="252">
        <v>293.0</v>
      </c>
      <c r="L5" s="252">
        <v>120.0</v>
      </c>
      <c r="M5" s="252">
        <v>16895.0</v>
      </c>
      <c r="N5" s="252">
        <v>29397.0</v>
      </c>
      <c r="O5" s="252">
        <v>8.0</v>
      </c>
      <c r="P5" s="252">
        <v>32.0</v>
      </c>
      <c r="Q5" s="252">
        <v>2911.0</v>
      </c>
      <c r="R5" s="251" t="s">
        <v>1099</v>
      </c>
      <c r="S5" s="251" t="s">
        <v>1100</v>
      </c>
      <c r="T5" s="251" t="s">
        <v>1021</v>
      </c>
      <c r="U5" s="252">
        <v>48.0</v>
      </c>
      <c r="V5" s="252">
        <v>16.0</v>
      </c>
      <c r="W5" s="252">
        <v>4.7</v>
      </c>
      <c r="X5" s="251" t="s">
        <v>1132</v>
      </c>
      <c r="Y5" s="251" t="s">
        <v>1133</v>
      </c>
      <c r="Z5" s="251" t="s">
        <v>1134</v>
      </c>
      <c r="AA5" s="254" t="s">
        <v>1105</v>
      </c>
      <c r="AB5" s="254" t="s">
        <v>1105</v>
      </c>
    </row>
    <row r="6">
      <c r="A6" s="252">
        <v>5.0</v>
      </c>
      <c r="B6" s="251" t="s">
        <v>1135</v>
      </c>
      <c r="C6" s="252">
        <v>1.0</v>
      </c>
      <c r="D6" s="251" t="s">
        <v>1136</v>
      </c>
      <c r="E6" s="251" t="s">
        <v>1137</v>
      </c>
      <c r="F6" s="251" t="s">
        <v>1138</v>
      </c>
      <c r="G6" s="253" t="s">
        <v>1139</v>
      </c>
      <c r="H6" s="252">
        <v>6.0</v>
      </c>
      <c r="I6" s="251" t="s">
        <v>1140</v>
      </c>
      <c r="J6" s="252">
        <v>8.0</v>
      </c>
      <c r="K6" s="252">
        <v>974.0</v>
      </c>
      <c r="L6" s="252">
        <v>120.0</v>
      </c>
      <c r="M6" s="252">
        <v>14270.0</v>
      </c>
      <c r="N6" s="252">
        <v>21405.0</v>
      </c>
      <c r="O6" s="252">
        <v>6.0</v>
      </c>
      <c r="P6" s="252">
        <v>64.0</v>
      </c>
      <c r="Q6" s="252">
        <v>4654.0</v>
      </c>
      <c r="R6" s="251" t="s">
        <v>1141</v>
      </c>
      <c r="S6" s="251" t="s">
        <v>1122</v>
      </c>
      <c r="T6" s="251" t="s">
        <v>1123</v>
      </c>
      <c r="U6" s="252">
        <v>32.0</v>
      </c>
      <c r="V6" s="252">
        <v>16.0</v>
      </c>
      <c r="W6" s="252">
        <v>4.7</v>
      </c>
      <c r="X6" s="251" t="s">
        <v>1113</v>
      </c>
      <c r="Y6" s="251" t="s">
        <v>1142</v>
      </c>
      <c r="Z6" s="251" t="s">
        <v>1143</v>
      </c>
      <c r="AA6" s="254" t="s">
        <v>1105</v>
      </c>
      <c r="AB6" s="254" t="s">
        <v>1105</v>
      </c>
    </row>
    <row r="7">
      <c r="A7" s="252">
        <v>6.0</v>
      </c>
      <c r="B7" s="251" t="s">
        <v>1144</v>
      </c>
      <c r="C7" s="252">
        <v>1.0</v>
      </c>
      <c r="D7" s="251" t="s">
        <v>1145</v>
      </c>
      <c r="E7" s="251" t="s">
        <v>1118</v>
      </c>
      <c r="F7" s="251" t="s">
        <v>1119</v>
      </c>
      <c r="G7" s="253" t="s">
        <v>1146</v>
      </c>
      <c r="H7" s="252">
        <v>4.0</v>
      </c>
      <c r="I7" s="251" t="s">
        <v>1121</v>
      </c>
      <c r="J7" s="252">
        <v>10.0</v>
      </c>
      <c r="K7" s="252">
        <v>132.0</v>
      </c>
      <c r="L7" s="252">
        <v>120.0</v>
      </c>
      <c r="M7" s="252">
        <v>21004.0</v>
      </c>
      <c r="N7" s="252">
        <v>33186.0</v>
      </c>
      <c r="O7" s="252">
        <v>4.0</v>
      </c>
      <c r="P7" s="252">
        <v>32.0</v>
      </c>
      <c r="Q7" s="252">
        <v>5748.0</v>
      </c>
      <c r="R7" s="251" t="s">
        <v>1099</v>
      </c>
      <c r="S7" s="251" t="s">
        <v>1100</v>
      </c>
      <c r="T7" s="251" t="s">
        <v>1021</v>
      </c>
      <c r="U7" s="252">
        <v>12.0</v>
      </c>
      <c r="V7" s="252">
        <v>32.0</v>
      </c>
      <c r="W7" s="252">
        <v>5.5</v>
      </c>
      <c r="X7" s="251" t="s">
        <v>1147</v>
      </c>
      <c r="Y7" s="251" t="s">
        <v>1148</v>
      </c>
      <c r="Z7" s="251" t="s">
        <v>1149</v>
      </c>
      <c r="AA7" s="254" t="s">
        <v>1105</v>
      </c>
      <c r="AB7" s="254" t="s">
        <v>1105</v>
      </c>
    </row>
    <row r="8">
      <c r="A8" s="252">
        <v>7.0</v>
      </c>
      <c r="B8" s="251" t="s">
        <v>1150</v>
      </c>
      <c r="C8" s="252">
        <v>1.0</v>
      </c>
      <c r="D8" s="251" t="s">
        <v>1151</v>
      </c>
      <c r="E8" s="251" t="s">
        <v>1152</v>
      </c>
      <c r="F8" s="251" t="s">
        <v>1153</v>
      </c>
      <c r="G8" s="253" t="s">
        <v>1154</v>
      </c>
      <c r="H8" s="252">
        <v>2.0</v>
      </c>
      <c r="I8" s="251" t="s">
        <v>1131</v>
      </c>
      <c r="J8" s="252">
        <v>8.0</v>
      </c>
      <c r="K8" s="252">
        <v>429.0</v>
      </c>
      <c r="L8" s="252">
        <v>120.0</v>
      </c>
      <c r="M8" s="252">
        <v>7272.0</v>
      </c>
      <c r="N8" s="252">
        <v>9962.0</v>
      </c>
      <c r="O8" s="252">
        <v>2.0</v>
      </c>
      <c r="P8" s="252">
        <v>64.0</v>
      </c>
      <c r="Q8" s="252">
        <v>4285.0</v>
      </c>
      <c r="R8" s="251" t="s">
        <v>1112</v>
      </c>
      <c r="S8" s="251" t="s">
        <v>1100</v>
      </c>
      <c r="T8" s="251" t="s">
        <v>1021</v>
      </c>
      <c r="U8" s="252">
        <v>48.0</v>
      </c>
      <c r="V8" s="252">
        <v>32.0</v>
      </c>
      <c r="W8" s="252">
        <v>5.0</v>
      </c>
      <c r="X8" s="251" t="s">
        <v>1102</v>
      </c>
      <c r="Y8" s="251" t="s">
        <v>1155</v>
      </c>
      <c r="Z8" s="251" t="s">
        <v>1156</v>
      </c>
      <c r="AA8" s="254" t="s">
        <v>1105</v>
      </c>
      <c r="AB8" s="254" t="s">
        <v>1105</v>
      </c>
    </row>
    <row r="9">
      <c r="A9" s="252">
        <v>8.0</v>
      </c>
      <c r="B9" s="251" t="s">
        <v>1157</v>
      </c>
      <c r="C9" s="252">
        <v>1.0</v>
      </c>
      <c r="D9" s="251" t="s">
        <v>1158</v>
      </c>
      <c r="E9" s="251" t="s">
        <v>1159</v>
      </c>
      <c r="F9" s="251" t="s">
        <v>1160</v>
      </c>
      <c r="G9" s="253" t="s">
        <v>1161</v>
      </c>
      <c r="H9" s="252">
        <v>5.0</v>
      </c>
      <c r="I9" s="251" t="s">
        <v>1098</v>
      </c>
      <c r="J9" s="252">
        <v>10.0</v>
      </c>
      <c r="K9" s="252">
        <v>23.0</v>
      </c>
      <c r="L9" s="252">
        <v>80.0</v>
      </c>
      <c r="M9" s="252">
        <v>13787.0</v>
      </c>
      <c r="N9" s="252">
        <v>22334.0</v>
      </c>
      <c r="O9" s="252">
        <v>4.0</v>
      </c>
      <c r="P9" s="252">
        <v>64.0</v>
      </c>
      <c r="Q9" s="252">
        <v>6429.0</v>
      </c>
      <c r="R9" s="251" t="s">
        <v>1141</v>
      </c>
      <c r="S9" s="251" t="s">
        <v>1122</v>
      </c>
      <c r="T9" s="251" t="s">
        <v>1123</v>
      </c>
      <c r="U9" s="252">
        <v>16.0</v>
      </c>
      <c r="V9" s="252">
        <v>32.0</v>
      </c>
      <c r="W9" s="252">
        <v>5.2</v>
      </c>
      <c r="X9" s="251" t="s">
        <v>1113</v>
      </c>
      <c r="Y9" s="251" t="s">
        <v>1162</v>
      </c>
      <c r="Z9" s="251" t="s">
        <v>1163</v>
      </c>
      <c r="AA9" s="254" t="s">
        <v>1105</v>
      </c>
      <c r="AB9" s="254" t="s">
        <v>1105</v>
      </c>
    </row>
    <row r="10">
      <c r="A10" s="252">
        <v>9.0</v>
      </c>
      <c r="B10" s="251" t="s">
        <v>1164</v>
      </c>
      <c r="C10" s="252">
        <v>1.0</v>
      </c>
      <c r="D10" s="251" t="s">
        <v>1165</v>
      </c>
      <c r="E10" s="251" t="s">
        <v>1166</v>
      </c>
      <c r="F10" s="251" t="s">
        <v>1119</v>
      </c>
      <c r="G10" s="253" t="s">
        <v>1167</v>
      </c>
      <c r="H10" s="252">
        <v>2.0</v>
      </c>
      <c r="I10" s="251" t="s">
        <v>1140</v>
      </c>
      <c r="J10" s="252">
        <v>10.0</v>
      </c>
      <c r="K10" s="252">
        <v>864.0</v>
      </c>
      <c r="L10" s="252">
        <v>80.0</v>
      </c>
      <c r="M10" s="252">
        <v>5307.0</v>
      </c>
      <c r="N10" s="252">
        <v>9393.0</v>
      </c>
      <c r="O10" s="252">
        <v>6.0</v>
      </c>
      <c r="P10" s="252">
        <v>8.0</v>
      </c>
      <c r="Q10" s="252">
        <v>6116.0</v>
      </c>
      <c r="R10" s="251" t="s">
        <v>1112</v>
      </c>
      <c r="S10" s="251" t="s">
        <v>1122</v>
      </c>
      <c r="T10" s="251" t="s">
        <v>1101</v>
      </c>
      <c r="U10" s="252">
        <v>16.0</v>
      </c>
      <c r="V10" s="252">
        <v>32.0</v>
      </c>
      <c r="W10" s="252">
        <v>6.0</v>
      </c>
      <c r="X10" s="251" t="s">
        <v>1132</v>
      </c>
      <c r="Y10" s="251" t="s">
        <v>1168</v>
      </c>
      <c r="Z10" s="251" t="s">
        <v>1169</v>
      </c>
      <c r="AA10" s="254" t="s">
        <v>1105</v>
      </c>
      <c r="AB10" s="254" t="s">
        <v>1105</v>
      </c>
    </row>
    <row r="11">
      <c r="A11" s="252">
        <v>10.0</v>
      </c>
      <c r="B11" s="251" t="s">
        <v>1170</v>
      </c>
      <c r="C11" s="252">
        <v>1.0</v>
      </c>
      <c r="D11" s="251" t="s">
        <v>1171</v>
      </c>
      <c r="E11" s="251" t="s">
        <v>1172</v>
      </c>
      <c r="F11" s="251" t="s">
        <v>1160</v>
      </c>
      <c r="G11" s="253" t="s">
        <v>1173</v>
      </c>
      <c r="H11" s="252">
        <v>2.0</v>
      </c>
      <c r="I11" s="251" t="s">
        <v>1140</v>
      </c>
      <c r="J11" s="252">
        <v>12.0</v>
      </c>
      <c r="K11" s="252">
        <v>282.0</v>
      </c>
      <c r="L11" s="252">
        <v>120.0</v>
      </c>
      <c r="M11" s="252">
        <v>6766.0</v>
      </c>
      <c r="N11" s="252">
        <v>10757.0</v>
      </c>
      <c r="O11" s="252">
        <v>12.0</v>
      </c>
      <c r="P11" s="252">
        <v>512.0</v>
      </c>
      <c r="Q11" s="252">
        <v>6180.0</v>
      </c>
      <c r="R11" s="251" t="s">
        <v>1141</v>
      </c>
      <c r="S11" s="251" t="s">
        <v>1122</v>
      </c>
      <c r="T11" s="251" t="s">
        <v>1101</v>
      </c>
      <c r="U11" s="252">
        <v>48.0</v>
      </c>
      <c r="V11" s="252">
        <v>14.0</v>
      </c>
      <c r="W11" s="252">
        <v>4.7</v>
      </c>
      <c r="X11" s="251" t="s">
        <v>1102</v>
      </c>
      <c r="Y11" s="251" t="s">
        <v>1174</v>
      </c>
      <c r="Z11" s="251" t="s">
        <v>1175</v>
      </c>
      <c r="AA11" s="254" t="s">
        <v>1105</v>
      </c>
      <c r="AB11" s="254" t="s">
        <v>1105</v>
      </c>
    </row>
    <row r="12">
      <c r="A12" s="252">
        <v>11.0</v>
      </c>
      <c r="B12" s="251" t="s">
        <v>1176</v>
      </c>
      <c r="C12" s="252">
        <v>1.0</v>
      </c>
      <c r="D12" s="251" t="s">
        <v>1177</v>
      </c>
      <c r="E12" s="251" t="s">
        <v>1178</v>
      </c>
      <c r="F12" s="251" t="s">
        <v>1119</v>
      </c>
      <c r="G12" s="253" t="s">
        <v>1179</v>
      </c>
      <c r="H12" s="252">
        <v>3.0</v>
      </c>
      <c r="I12" s="251" t="s">
        <v>1121</v>
      </c>
      <c r="J12" s="252">
        <v>10.0</v>
      </c>
      <c r="K12" s="252">
        <v>759.0</v>
      </c>
      <c r="L12" s="252">
        <v>80.0</v>
      </c>
      <c r="M12" s="252">
        <v>3314.0</v>
      </c>
      <c r="N12" s="252">
        <v>4739.0</v>
      </c>
      <c r="O12" s="252">
        <v>2.0</v>
      </c>
      <c r="P12" s="252">
        <v>8.0</v>
      </c>
      <c r="Q12" s="252">
        <v>4523.0</v>
      </c>
      <c r="R12" s="251" t="s">
        <v>1141</v>
      </c>
      <c r="S12" s="251" t="s">
        <v>1100</v>
      </c>
      <c r="T12" s="251" t="s">
        <v>1021</v>
      </c>
      <c r="U12" s="252">
        <v>16.0</v>
      </c>
      <c r="V12" s="252">
        <v>12.0</v>
      </c>
      <c r="W12" s="252">
        <v>6.0</v>
      </c>
      <c r="X12" s="251" t="s">
        <v>1102</v>
      </c>
      <c r="Y12" s="251" t="s">
        <v>1180</v>
      </c>
      <c r="Z12" s="251" t="s">
        <v>1181</v>
      </c>
      <c r="AA12" s="254" t="s">
        <v>1105</v>
      </c>
      <c r="AB12" s="254" t="s">
        <v>1105</v>
      </c>
    </row>
    <row r="13">
      <c r="A13" s="252">
        <v>12.0</v>
      </c>
      <c r="B13" s="251" t="s">
        <v>1182</v>
      </c>
      <c r="C13" s="252">
        <v>1.0</v>
      </c>
      <c r="D13" s="251" t="s">
        <v>1183</v>
      </c>
      <c r="E13" s="251" t="s">
        <v>1159</v>
      </c>
      <c r="F13" s="251" t="s">
        <v>1160</v>
      </c>
      <c r="G13" s="253" t="s">
        <v>1184</v>
      </c>
      <c r="H13" s="252">
        <v>2.0</v>
      </c>
      <c r="I13" s="251" t="s">
        <v>1121</v>
      </c>
      <c r="J13" s="252">
        <v>8.0</v>
      </c>
      <c r="K13" s="252">
        <v>128.0</v>
      </c>
      <c r="L13" s="252">
        <v>100.0</v>
      </c>
      <c r="M13" s="252">
        <v>15929.0</v>
      </c>
      <c r="N13" s="252">
        <v>21344.0</v>
      </c>
      <c r="O13" s="252">
        <v>12.0</v>
      </c>
      <c r="P13" s="252">
        <v>128.0</v>
      </c>
      <c r="Q13" s="252">
        <v>4168.0</v>
      </c>
      <c r="R13" s="251" t="s">
        <v>1141</v>
      </c>
      <c r="S13" s="251" t="s">
        <v>1122</v>
      </c>
      <c r="T13" s="251" t="s">
        <v>1123</v>
      </c>
      <c r="U13" s="252">
        <v>48.0</v>
      </c>
      <c r="V13" s="252">
        <v>48.0</v>
      </c>
      <c r="W13" s="252">
        <v>6.3</v>
      </c>
      <c r="X13" s="251" t="s">
        <v>1113</v>
      </c>
      <c r="Y13" s="251" t="s">
        <v>1185</v>
      </c>
      <c r="Z13" s="251" t="s">
        <v>1186</v>
      </c>
      <c r="AA13" s="254" t="s">
        <v>1105</v>
      </c>
      <c r="AB13" s="254" t="s">
        <v>1105</v>
      </c>
    </row>
    <row r="14">
      <c r="A14" s="252">
        <v>13.0</v>
      </c>
      <c r="B14" s="251" t="s">
        <v>1187</v>
      </c>
      <c r="C14" s="252">
        <v>1.0</v>
      </c>
      <c r="D14" s="251" t="s">
        <v>1188</v>
      </c>
      <c r="E14" s="251" t="s">
        <v>1189</v>
      </c>
      <c r="F14" s="251" t="s">
        <v>1096</v>
      </c>
      <c r="G14" s="253" t="s">
        <v>1190</v>
      </c>
      <c r="H14" s="252">
        <v>4.0</v>
      </c>
      <c r="I14" s="251" t="s">
        <v>1111</v>
      </c>
      <c r="J14" s="252">
        <v>12.0</v>
      </c>
      <c r="K14" s="252">
        <v>379.0</v>
      </c>
      <c r="L14" s="252">
        <v>100.0</v>
      </c>
      <c r="M14" s="252">
        <v>12650.0</v>
      </c>
      <c r="N14" s="252">
        <v>19987.0</v>
      </c>
      <c r="O14" s="252">
        <v>8.0</v>
      </c>
      <c r="P14" s="252">
        <v>512.0</v>
      </c>
      <c r="Q14" s="252">
        <v>3923.0</v>
      </c>
      <c r="R14" s="251" t="s">
        <v>1099</v>
      </c>
      <c r="S14" s="251" t="s">
        <v>1122</v>
      </c>
      <c r="T14" s="251" t="s">
        <v>1101</v>
      </c>
      <c r="U14" s="252">
        <v>32.0</v>
      </c>
      <c r="V14" s="252">
        <v>12.0</v>
      </c>
      <c r="W14" s="252">
        <v>6.3</v>
      </c>
      <c r="X14" s="251" t="s">
        <v>1147</v>
      </c>
      <c r="Y14" s="251" t="s">
        <v>1191</v>
      </c>
      <c r="Z14" s="251" t="s">
        <v>1192</v>
      </c>
      <c r="AA14" s="254" t="s">
        <v>1105</v>
      </c>
      <c r="AB14" s="254" t="s">
        <v>1105</v>
      </c>
    </row>
    <row r="15">
      <c r="A15" s="252">
        <v>14.0</v>
      </c>
      <c r="B15" s="251" t="s">
        <v>1193</v>
      </c>
      <c r="C15" s="252">
        <v>1.0</v>
      </c>
      <c r="D15" s="251" t="s">
        <v>1194</v>
      </c>
      <c r="E15" s="251" t="s">
        <v>1195</v>
      </c>
      <c r="F15" s="251" t="s">
        <v>1109</v>
      </c>
      <c r="G15" s="253" t="s">
        <v>1196</v>
      </c>
      <c r="H15" s="252">
        <v>2.0</v>
      </c>
      <c r="I15" s="251" t="s">
        <v>1111</v>
      </c>
      <c r="J15" s="252">
        <v>12.0</v>
      </c>
      <c r="K15" s="252">
        <v>889.0</v>
      </c>
      <c r="L15" s="252">
        <v>100.0</v>
      </c>
      <c r="M15" s="252">
        <v>20837.0</v>
      </c>
      <c r="N15" s="252">
        <v>37506.0</v>
      </c>
      <c r="O15" s="252">
        <v>6.0</v>
      </c>
      <c r="P15" s="252">
        <v>8.0</v>
      </c>
      <c r="Q15" s="252">
        <v>3557.0</v>
      </c>
      <c r="R15" s="251" t="s">
        <v>1099</v>
      </c>
      <c r="S15" s="251" t="s">
        <v>1100</v>
      </c>
      <c r="T15" s="251" t="s">
        <v>1021</v>
      </c>
      <c r="U15" s="252">
        <v>12.0</v>
      </c>
      <c r="V15" s="252">
        <v>32.0</v>
      </c>
      <c r="W15" s="252">
        <v>4.7</v>
      </c>
      <c r="X15" s="251" t="s">
        <v>1147</v>
      </c>
      <c r="Y15" s="251" t="s">
        <v>1197</v>
      </c>
      <c r="Z15" s="251" t="s">
        <v>1198</v>
      </c>
      <c r="AA15" s="254" t="s">
        <v>1105</v>
      </c>
      <c r="AB15" s="254" t="s">
        <v>1105</v>
      </c>
    </row>
    <row r="16">
      <c r="A16" s="252">
        <v>15.0</v>
      </c>
      <c r="B16" s="251" t="s">
        <v>1199</v>
      </c>
      <c r="C16" s="252">
        <v>1.0</v>
      </c>
      <c r="D16" s="251" t="s">
        <v>1200</v>
      </c>
      <c r="E16" s="251" t="s">
        <v>1201</v>
      </c>
      <c r="F16" s="251" t="s">
        <v>1202</v>
      </c>
      <c r="G16" s="253" t="s">
        <v>1203</v>
      </c>
      <c r="H16" s="252">
        <v>2.0</v>
      </c>
      <c r="I16" s="251" t="s">
        <v>1131</v>
      </c>
      <c r="J16" s="252">
        <v>8.0</v>
      </c>
      <c r="K16" s="252">
        <v>58.0</v>
      </c>
      <c r="L16" s="252">
        <v>100.0</v>
      </c>
      <c r="M16" s="252">
        <v>16146.0</v>
      </c>
      <c r="N16" s="252">
        <v>29385.0</v>
      </c>
      <c r="O16" s="252">
        <v>8.0</v>
      </c>
      <c r="P16" s="252">
        <v>128.0</v>
      </c>
      <c r="Q16" s="252">
        <v>3825.0</v>
      </c>
      <c r="R16" s="251" t="s">
        <v>1112</v>
      </c>
      <c r="S16" s="251" t="s">
        <v>1122</v>
      </c>
      <c r="T16" s="251" t="s">
        <v>1123</v>
      </c>
      <c r="U16" s="252">
        <v>14.0</v>
      </c>
      <c r="V16" s="252">
        <v>14.0</v>
      </c>
      <c r="W16" s="252">
        <v>4.7</v>
      </c>
      <c r="X16" s="251" t="s">
        <v>1102</v>
      </c>
      <c r="Y16" s="251" t="s">
        <v>1204</v>
      </c>
      <c r="Z16" s="251" t="s">
        <v>1205</v>
      </c>
      <c r="AA16" s="254" t="s">
        <v>1105</v>
      </c>
      <c r="AB16" s="254" t="s">
        <v>1105</v>
      </c>
    </row>
    <row r="17">
      <c r="A17" s="252">
        <v>16.0</v>
      </c>
      <c r="B17" s="251" t="s">
        <v>1206</v>
      </c>
      <c r="C17" s="252">
        <v>1.0</v>
      </c>
      <c r="D17" s="251" t="s">
        <v>1207</v>
      </c>
      <c r="E17" s="251" t="s">
        <v>1208</v>
      </c>
      <c r="F17" s="251" t="s">
        <v>1109</v>
      </c>
      <c r="G17" s="253" t="s">
        <v>1209</v>
      </c>
      <c r="H17" s="252">
        <v>3.0</v>
      </c>
      <c r="I17" s="251" t="s">
        <v>1098</v>
      </c>
      <c r="J17" s="252">
        <v>8.0</v>
      </c>
      <c r="K17" s="252">
        <v>241.0</v>
      </c>
      <c r="L17" s="252">
        <v>100.0</v>
      </c>
      <c r="M17" s="252">
        <v>16937.0</v>
      </c>
      <c r="N17" s="252">
        <v>29639.0</v>
      </c>
      <c r="O17" s="252">
        <v>8.0</v>
      </c>
      <c r="P17" s="252">
        <v>512.0</v>
      </c>
      <c r="Q17" s="252">
        <v>1810.0</v>
      </c>
      <c r="R17" s="251" t="s">
        <v>1099</v>
      </c>
      <c r="S17" s="251" t="s">
        <v>1122</v>
      </c>
      <c r="T17" s="251" t="s">
        <v>1123</v>
      </c>
      <c r="U17" s="252">
        <v>48.0</v>
      </c>
      <c r="V17" s="252">
        <v>14.0</v>
      </c>
      <c r="W17" s="252">
        <v>6.3</v>
      </c>
      <c r="X17" s="251" t="s">
        <v>1132</v>
      </c>
      <c r="Y17" s="251" t="s">
        <v>1210</v>
      </c>
      <c r="Z17" s="251" t="s">
        <v>1211</v>
      </c>
      <c r="AA17" s="254" t="s">
        <v>1105</v>
      </c>
      <c r="AB17" s="254" t="s">
        <v>1105</v>
      </c>
    </row>
    <row r="18">
      <c r="A18" s="252">
        <v>17.0</v>
      </c>
      <c r="B18" s="251" t="s">
        <v>1212</v>
      </c>
      <c r="C18" s="252">
        <v>1.0</v>
      </c>
      <c r="D18" s="251" t="s">
        <v>1213</v>
      </c>
      <c r="E18" s="251" t="s">
        <v>1214</v>
      </c>
      <c r="F18" s="251" t="s">
        <v>1215</v>
      </c>
      <c r="G18" s="253" t="s">
        <v>1216</v>
      </c>
      <c r="H18" s="252">
        <v>5.0</v>
      </c>
      <c r="I18" s="251" t="s">
        <v>1098</v>
      </c>
      <c r="J18" s="252">
        <v>8.0</v>
      </c>
      <c r="K18" s="252">
        <v>611.0</v>
      </c>
      <c r="L18" s="252">
        <v>80.0</v>
      </c>
      <c r="M18" s="252">
        <v>21491.0</v>
      </c>
      <c r="N18" s="252">
        <v>37179.0</v>
      </c>
      <c r="O18" s="252">
        <v>12.0</v>
      </c>
      <c r="P18" s="252">
        <v>512.0</v>
      </c>
      <c r="Q18" s="252">
        <v>4146.0</v>
      </c>
      <c r="R18" s="251" t="s">
        <v>1112</v>
      </c>
      <c r="S18" s="251" t="s">
        <v>1100</v>
      </c>
      <c r="T18" s="251" t="s">
        <v>1021</v>
      </c>
      <c r="U18" s="252">
        <v>12.0</v>
      </c>
      <c r="V18" s="252">
        <v>14.0</v>
      </c>
      <c r="W18" s="252">
        <v>5.5</v>
      </c>
      <c r="X18" s="251" t="s">
        <v>1147</v>
      </c>
      <c r="Y18" s="251" t="s">
        <v>1217</v>
      </c>
      <c r="Z18" s="251" t="s">
        <v>1218</v>
      </c>
      <c r="AA18" s="254" t="s">
        <v>1105</v>
      </c>
      <c r="AB18" s="254" t="s">
        <v>1105</v>
      </c>
    </row>
    <row r="19">
      <c r="A19" s="252">
        <v>18.0</v>
      </c>
      <c r="B19" s="251" t="s">
        <v>1219</v>
      </c>
      <c r="C19" s="252">
        <v>1.0</v>
      </c>
      <c r="D19" s="251" t="s">
        <v>1220</v>
      </c>
      <c r="E19" s="251" t="s">
        <v>1221</v>
      </c>
      <c r="F19" s="251" t="s">
        <v>1160</v>
      </c>
      <c r="G19" s="253" t="s">
        <v>1222</v>
      </c>
      <c r="H19" s="252">
        <v>4.0</v>
      </c>
      <c r="I19" s="251" t="s">
        <v>1131</v>
      </c>
      <c r="J19" s="252">
        <v>10.0</v>
      </c>
      <c r="K19" s="252">
        <v>787.0</v>
      </c>
      <c r="L19" s="252">
        <v>120.0</v>
      </c>
      <c r="M19" s="252">
        <v>5763.0</v>
      </c>
      <c r="N19" s="252">
        <v>8529.0</v>
      </c>
      <c r="O19" s="252">
        <v>8.0</v>
      </c>
      <c r="P19" s="252">
        <v>8.0</v>
      </c>
      <c r="Q19" s="252">
        <v>2872.0</v>
      </c>
      <c r="R19" s="251" t="s">
        <v>1099</v>
      </c>
      <c r="S19" s="251" t="s">
        <v>1100</v>
      </c>
      <c r="T19" s="251" t="s">
        <v>1123</v>
      </c>
      <c r="U19" s="252">
        <v>16.0</v>
      </c>
      <c r="V19" s="252">
        <v>14.0</v>
      </c>
      <c r="W19" s="252">
        <v>5.0</v>
      </c>
      <c r="X19" s="251" t="s">
        <v>1147</v>
      </c>
      <c r="Y19" s="251" t="s">
        <v>1223</v>
      </c>
      <c r="Z19" s="251" t="s">
        <v>1224</v>
      </c>
      <c r="AA19" s="254" t="s">
        <v>1105</v>
      </c>
      <c r="AB19" s="254" t="s">
        <v>1105</v>
      </c>
    </row>
    <row r="20">
      <c r="A20" s="252">
        <v>19.0</v>
      </c>
      <c r="B20" s="251" t="s">
        <v>1225</v>
      </c>
      <c r="C20" s="252">
        <v>1.0</v>
      </c>
      <c r="D20" s="251" t="s">
        <v>1226</v>
      </c>
      <c r="E20" s="251" t="s">
        <v>1208</v>
      </c>
      <c r="F20" s="251" t="s">
        <v>1109</v>
      </c>
      <c r="G20" s="253" t="s">
        <v>1227</v>
      </c>
      <c r="H20" s="252">
        <v>5.0</v>
      </c>
      <c r="I20" s="251" t="s">
        <v>1098</v>
      </c>
      <c r="J20" s="252">
        <v>10.0</v>
      </c>
      <c r="K20" s="252">
        <v>216.0</v>
      </c>
      <c r="L20" s="252">
        <v>80.0</v>
      </c>
      <c r="M20" s="252">
        <v>15755.0</v>
      </c>
      <c r="N20" s="252">
        <v>28043.0</v>
      </c>
      <c r="O20" s="252">
        <v>12.0</v>
      </c>
      <c r="P20" s="252">
        <v>128.0</v>
      </c>
      <c r="Q20" s="252">
        <v>6036.0</v>
      </c>
      <c r="R20" s="251" t="s">
        <v>1141</v>
      </c>
      <c r="S20" s="251" t="s">
        <v>1122</v>
      </c>
      <c r="T20" s="251" t="s">
        <v>1021</v>
      </c>
      <c r="U20" s="252">
        <v>14.0</v>
      </c>
      <c r="V20" s="252">
        <v>14.0</v>
      </c>
      <c r="W20" s="252">
        <v>5.5</v>
      </c>
      <c r="X20" s="251" t="s">
        <v>1113</v>
      </c>
      <c r="Y20" s="251" t="s">
        <v>1228</v>
      </c>
      <c r="Z20" s="251" t="s">
        <v>1229</v>
      </c>
      <c r="AA20" s="254" t="s">
        <v>1105</v>
      </c>
      <c r="AB20" s="254" t="s">
        <v>1105</v>
      </c>
    </row>
    <row r="21">
      <c r="A21" s="252">
        <v>20.0</v>
      </c>
      <c r="B21" s="251" t="s">
        <v>1230</v>
      </c>
      <c r="C21" s="252">
        <v>1.0</v>
      </c>
      <c r="D21" s="251" t="s">
        <v>1231</v>
      </c>
      <c r="E21" s="251" t="s">
        <v>1232</v>
      </c>
      <c r="F21" s="251" t="s">
        <v>1233</v>
      </c>
      <c r="G21" s="253" t="s">
        <v>1234</v>
      </c>
      <c r="H21" s="252">
        <v>5.0</v>
      </c>
      <c r="I21" s="251" t="s">
        <v>1098</v>
      </c>
      <c r="J21" s="252">
        <v>12.0</v>
      </c>
      <c r="K21" s="252">
        <v>470.0</v>
      </c>
      <c r="L21" s="252">
        <v>120.0</v>
      </c>
      <c r="M21" s="252">
        <v>14780.0</v>
      </c>
      <c r="N21" s="252">
        <v>20396.0</v>
      </c>
      <c r="O21" s="252">
        <v>4.0</v>
      </c>
      <c r="P21" s="252">
        <v>32.0</v>
      </c>
      <c r="Q21" s="252">
        <v>3327.0</v>
      </c>
      <c r="R21" s="251" t="s">
        <v>1099</v>
      </c>
      <c r="S21" s="251" t="s">
        <v>1122</v>
      </c>
      <c r="T21" s="251" t="s">
        <v>1021</v>
      </c>
      <c r="U21" s="252">
        <v>12.0</v>
      </c>
      <c r="V21" s="252">
        <v>32.0</v>
      </c>
      <c r="W21" s="252">
        <v>6.0</v>
      </c>
      <c r="X21" s="251" t="s">
        <v>1132</v>
      </c>
      <c r="Y21" s="251" t="s">
        <v>1235</v>
      </c>
      <c r="Z21" s="251" t="s">
        <v>1236</v>
      </c>
      <c r="AA21" s="254" t="s">
        <v>1105</v>
      </c>
      <c r="AB21" s="254" t="s">
        <v>1105</v>
      </c>
    </row>
    <row r="22">
      <c r="A22" s="252">
        <v>21.0</v>
      </c>
      <c r="B22" s="251" t="s">
        <v>1237</v>
      </c>
      <c r="C22" s="252">
        <v>1.0</v>
      </c>
      <c r="D22" s="251" t="s">
        <v>1238</v>
      </c>
      <c r="E22" s="251" t="s">
        <v>1239</v>
      </c>
      <c r="F22" s="251" t="s">
        <v>1119</v>
      </c>
      <c r="G22" s="253" t="s">
        <v>1240</v>
      </c>
      <c r="H22" s="252">
        <v>2.0</v>
      </c>
      <c r="I22" s="251" t="s">
        <v>1131</v>
      </c>
      <c r="J22" s="252">
        <v>10.0</v>
      </c>
      <c r="K22" s="252">
        <v>645.0</v>
      </c>
      <c r="L22" s="252">
        <v>100.0</v>
      </c>
      <c r="M22" s="252">
        <v>7109.0</v>
      </c>
      <c r="N22" s="252">
        <v>9170.0</v>
      </c>
      <c r="O22" s="252">
        <v>6.0</v>
      </c>
      <c r="P22" s="252">
        <v>128.0</v>
      </c>
      <c r="Q22" s="252">
        <v>5838.0</v>
      </c>
      <c r="R22" s="251" t="s">
        <v>1112</v>
      </c>
      <c r="S22" s="251" t="s">
        <v>1100</v>
      </c>
      <c r="T22" s="251" t="s">
        <v>1123</v>
      </c>
      <c r="U22" s="252">
        <v>12.0</v>
      </c>
      <c r="V22" s="252">
        <v>14.0</v>
      </c>
      <c r="W22" s="252">
        <v>5.0</v>
      </c>
      <c r="X22" s="251" t="s">
        <v>1102</v>
      </c>
      <c r="Y22" s="251" t="s">
        <v>1241</v>
      </c>
      <c r="Z22" s="251" t="s">
        <v>1242</v>
      </c>
      <c r="AA22" s="254" t="s">
        <v>1105</v>
      </c>
      <c r="AB22" s="254" t="s">
        <v>1105</v>
      </c>
    </row>
    <row r="23">
      <c r="A23" s="252">
        <v>22.0</v>
      </c>
      <c r="B23" s="251" t="s">
        <v>1243</v>
      </c>
      <c r="C23" s="252">
        <v>1.0</v>
      </c>
      <c r="D23" s="251" t="s">
        <v>1244</v>
      </c>
      <c r="E23" s="251" t="s">
        <v>1239</v>
      </c>
      <c r="F23" s="251" t="s">
        <v>1119</v>
      </c>
      <c r="G23" s="253" t="s">
        <v>1245</v>
      </c>
      <c r="H23" s="252">
        <v>3.0</v>
      </c>
      <c r="I23" s="251" t="s">
        <v>1140</v>
      </c>
      <c r="J23" s="252">
        <v>8.0</v>
      </c>
      <c r="K23" s="252">
        <v>525.0</v>
      </c>
      <c r="L23" s="252">
        <v>80.0</v>
      </c>
      <c r="M23" s="252">
        <v>12399.0</v>
      </c>
      <c r="N23" s="252">
        <v>18970.0</v>
      </c>
      <c r="O23" s="252">
        <v>8.0</v>
      </c>
      <c r="P23" s="252">
        <v>64.0</v>
      </c>
      <c r="Q23" s="252">
        <v>4892.0</v>
      </c>
      <c r="R23" s="251" t="s">
        <v>1141</v>
      </c>
      <c r="S23" s="251" t="s">
        <v>1122</v>
      </c>
      <c r="T23" s="251" t="s">
        <v>1123</v>
      </c>
      <c r="U23" s="252">
        <v>32.0</v>
      </c>
      <c r="V23" s="252">
        <v>12.0</v>
      </c>
      <c r="W23" s="252">
        <v>4.7</v>
      </c>
      <c r="X23" s="251" t="s">
        <v>1113</v>
      </c>
      <c r="Y23" s="251" t="s">
        <v>1246</v>
      </c>
      <c r="Z23" s="251" t="s">
        <v>1247</v>
      </c>
      <c r="AA23" s="254" t="s">
        <v>1105</v>
      </c>
      <c r="AB23" s="254" t="s">
        <v>1105</v>
      </c>
    </row>
    <row r="24">
      <c r="A24" s="252">
        <v>23.0</v>
      </c>
      <c r="B24" s="251" t="s">
        <v>1248</v>
      </c>
      <c r="C24" s="252">
        <v>1.0</v>
      </c>
      <c r="D24" s="251" t="s">
        <v>1249</v>
      </c>
      <c r="E24" s="251" t="s">
        <v>1250</v>
      </c>
      <c r="F24" s="251" t="s">
        <v>1153</v>
      </c>
      <c r="G24" s="253" t="s">
        <v>1251</v>
      </c>
      <c r="H24" s="252">
        <v>6.0</v>
      </c>
      <c r="I24" s="251" t="s">
        <v>1140</v>
      </c>
      <c r="J24" s="252">
        <v>8.0</v>
      </c>
      <c r="K24" s="252">
        <v>965.0</v>
      </c>
      <c r="L24" s="252">
        <v>100.0</v>
      </c>
      <c r="M24" s="252">
        <v>12143.0</v>
      </c>
      <c r="N24" s="252">
        <v>21007.0</v>
      </c>
      <c r="O24" s="252">
        <v>12.0</v>
      </c>
      <c r="P24" s="252">
        <v>512.0</v>
      </c>
      <c r="Q24" s="252">
        <v>5481.0</v>
      </c>
      <c r="R24" s="251" t="s">
        <v>1099</v>
      </c>
      <c r="S24" s="251" t="s">
        <v>1122</v>
      </c>
      <c r="T24" s="251" t="s">
        <v>1021</v>
      </c>
      <c r="U24" s="252">
        <v>32.0</v>
      </c>
      <c r="V24" s="252">
        <v>16.0</v>
      </c>
      <c r="W24" s="252">
        <v>5.5</v>
      </c>
      <c r="X24" s="251" t="s">
        <v>1132</v>
      </c>
      <c r="Y24" s="251" t="s">
        <v>1252</v>
      </c>
      <c r="Z24" s="251" t="s">
        <v>1253</v>
      </c>
      <c r="AA24" s="254" t="s">
        <v>1105</v>
      </c>
      <c r="AB24" s="254" t="s">
        <v>1105</v>
      </c>
    </row>
    <row r="25">
      <c r="A25" s="252">
        <v>24.0</v>
      </c>
      <c r="B25" s="251" t="s">
        <v>1254</v>
      </c>
      <c r="C25" s="252">
        <v>1.0</v>
      </c>
      <c r="D25" s="251" t="s">
        <v>1255</v>
      </c>
      <c r="E25" s="251" t="s">
        <v>1221</v>
      </c>
      <c r="F25" s="251" t="s">
        <v>1160</v>
      </c>
      <c r="G25" s="253" t="s">
        <v>1256</v>
      </c>
      <c r="H25" s="252">
        <v>6.0</v>
      </c>
      <c r="I25" s="251" t="s">
        <v>1121</v>
      </c>
      <c r="J25" s="252">
        <v>12.0</v>
      </c>
      <c r="K25" s="252">
        <v>395.0</v>
      </c>
      <c r="L25" s="252">
        <v>120.0</v>
      </c>
      <c r="M25" s="252">
        <v>14099.0</v>
      </c>
      <c r="N25" s="252">
        <v>19456.0</v>
      </c>
      <c r="O25" s="252">
        <v>2.0</v>
      </c>
      <c r="P25" s="252">
        <v>8.0</v>
      </c>
      <c r="Q25" s="252">
        <v>2291.0</v>
      </c>
      <c r="R25" s="251" t="s">
        <v>1099</v>
      </c>
      <c r="S25" s="251" t="s">
        <v>1122</v>
      </c>
      <c r="T25" s="251" t="s">
        <v>1021</v>
      </c>
      <c r="U25" s="252">
        <v>16.0</v>
      </c>
      <c r="V25" s="252">
        <v>16.0</v>
      </c>
      <c r="W25" s="252">
        <v>6.3</v>
      </c>
      <c r="X25" s="251" t="s">
        <v>1147</v>
      </c>
      <c r="Y25" s="251" t="s">
        <v>1257</v>
      </c>
      <c r="Z25" s="251" t="s">
        <v>1258</v>
      </c>
      <c r="AA25" s="254" t="s">
        <v>1105</v>
      </c>
      <c r="AB25" s="254" t="s">
        <v>1105</v>
      </c>
    </row>
    <row r="26">
      <c r="A26" s="252">
        <v>25.0</v>
      </c>
      <c r="B26" s="251" t="s">
        <v>1259</v>
      </c>
      <c r="C26" s="252">
        <v>1.0</v>
      </c>
      <c r="D26" s="251" t="s">
        <v>1260</v>
      </c>
      <c r="E26" s="251" t="s">
        <v>1178</v>
      </c>
      <c r="F26" s="251" t="s">
        <v>1119</v>
      </c>
      <c r="G26" s="253" t="s">
        <v>1261</v>
      </c>
      <c r="H26" s="252">
        <v>6.0</v>
      </c>
      <c r="I26" s="251" t="s">
        <v>1140</v>
      </c>
      <c r="J26" s="252">
        <v>10.0</v>
      </c>
      <c r="K26" s="252">
        <v>339.0</v>
      </c>
      <c r="L26" s="252">
        <v>80.0</v>
      </c>
      <c r="M26" s="252">
        <v>10165.0</v>
      </c>
      <c r="N26" s="252">
        <v>13112.0</v>
      </c>
      <c r="O26" s="252">
        <v>8.0</v>
      </c>
      <c r="P26" s="252">
        <v>64.0</v>
      </c>
      <c r="Q26" s="252">
        <v>5508.0</v>
      </c>
      <c r="R26" s="251" t="s">
        <v>1099</v>
      </c>
      <c r="S26" s="251" t="s">
        <v>1122</v>
      </c>
      <c r="T26" s="251" t="s">
        <v>1123</v>
      </c>
      <c r="U26" s="252">
        <v>16.0</v>
      </c>
      <c r="V26" s="252">
        <v>14.0</v>
      </c>
      <c r="W26" s="252">
        <v>5.5</v>
      </c>
      <c r="X26" s="251" t="s">
        <v>1113</v>
      </c>
      <c r="Y26" s="251" t="s">
        <v>1262</v>
      </c>
      <c r="Z26" s="251" t="s">
        <v>1263</v>
      </c>
      <c r="AA26" s="254" t="s">
        <v>1105</v>
      </c>
      <c r="AB26" s="254" t="s">
        <v>1105</v>
      </c>
    </row>
    <row r="27">
      <c r="A27" s="252">
        <v>26.0</v>
      </c>
      <c r="B27" s="251" t="s">
        <v>1264</v>
      </c>
      <c r="C27" s="252">
        <v>1.0</v>
      </c>
      <c r="D27" s="251" t="s">
        <v>1265</v>
      </c>
      <c r="E27" s="251" t="s">
        <v>1266</v>
      </c>
      <c r="F27" s="251" t="s">
        <v>1096</v>
      </c>
      <c r="G27" s="253" t="s">
        <v>1267</v>
      </c>
      <c r="H27" s="252">
        <v>3.0</v>
      </c>
      <c r="I27" s="251" t="s">
        <v>1140</v>
      </c>
      <c r="J27" s="252">
        <v>12.0</v>
      </c>
      <c r="K27" s="252">
        <v>17.0</v>
      </c>
      <c r="L27" s="252">
        <v>100.0</v>
      </c>
      <c r="M27" s="252">
        <v>8590.0</v>
      </c>
      <c r="N27" s="252">
        <v>10651.0</v>
      </c>
      <c r="O27" s="252">
        <v>12.0</v>
      </c>
      <c r="P27" s="252">
        <v>64.0</v>
      </c>
      <c r="Q27" s="252">
        <v>3084.0</v>
      </c>
      <c r="R27" s="251" t="s">
        <v>1112</v>
      </c>
      <c r="S27" s="251" t="s">
        <v>1100</v>
      </c>
      <c r="T27" s="251" t="s">
        <v>1021</v>
      </c>
      <c r="U27" s="252">
        <v>32.0</v>
      </c>
      <c r="V27" s="252">
        <v>12.0</v>
      </c>
      <c r="W27" s="252">
        <v>6.0</v>
      </c>
      <c r="X27" s="251" t="s">
        <v>1102</v>
      </c>
      <c r="Y27" s="251" t="s">
        <v>1268</v>
      </c>
      <c r="Z27" s="251" t="s">
        <v>1269</v>
      </c>
      <c r="AA27" s="254" t="s">
        <v>1105</v>
      </c>
      <c r="AB27" s="254" t="s">
        <v>1105</v>
      </c>
    </row>
    <row r="28">
      <c r="A28" s="252">
        <v>27.0</v>
      </c>
      <c r="B28" s="251" t="s">
        <v>1270</v>
      </c>
      <c r="C28" s="252">
        <v>1.0</v>
      </c>
      <c r="D28" s="251" t="s">
        <v>1271</v>
      </c>
      <c r="E28" s="251" t="s">
        <v>1272</v>
      </c>
      <c r="F28" s="251" t="s">
        <v>1233</v>
      </c>
      <c r="G28" s="253" t="s">
        <v>1273</v>
      </c>
      <c r="H28" s="252">
        <v>4.0</v>
      </c>
      <c r="I28" s="251" t="s">
        <v>1131</v>
      </c>
      <c r="J28" s="252">
        <v>10.0</v>
      </c>
      <c r="K28" s="252">
        <v>97.0</v>
      </c>
      <c r="L28" s="252">
        <v>80.0</v>
      </c>
      <c r="M28" s="252">
        <v>22628.0</v>
      </c>
      <c r="N28" s="252">
        <v>34168.0</v>
      </c>
      <c r="O28" s="252">
        <v>4.0</v>
      </c>
      <c r="P28" s="252">
        <v>512.0</v>
      </c>
      <c r="Q28" s="252">
        <v>5797.0</v>
      </c>
      <c r="R28" s="251" t="s">
        <v>1141</v>
      </c>
      <c r="S28" s="251" t="s">
        <v>1100</v>
      </c>
      <c r="T28" s="251" t="s">
        <v>1021</v>
      </c>
      <c r="U28" s="252">
        <v>48.0</v>
      </c>
      <c r="V28" s="252">
        <v>14.0</v>
      </c>
      <c r="W28" s="252">
        <v>6.0</v>
      </c>
      <c r="X28" s="251" t="s">
        <v>1132</v>
      </c>
      <c r="Y28" s="251" t="s">
        <v>1274</v>
      </c>
      <c r="Z28" s="251" t="s">
        <v>1275</v>
      </c>
      <c r="AA28" s="254" t="s">
        <v>1105</v>
      </c>
      <c r="AB28" s="254" t="s">
        <v>1105</v>
      </c>
    </row>
    <row r="29">
      <c r="A29" s="252">
        <v>28.0</v>
      </c>
      <c r="B29" s="251" t="s">
        <v>1276</v>
      </c>
      <c r="C29" s="252">
        <v>1.0</v>
      </c>
      <c r="D29" s="251" t="s">
        <v>1277</v>
      </c>
      <c r="E29" s="251" t="s">
        <v>1195</v>
      </c>
      <c r="F29" s="251" t="s">
        <v>1109</v>
      </c>
      <c r="G29" s="253" t="s">
        <v>1278</v>
      </c>
      <c r="H29" s="252">
        <v>5.0</v>
      </c>
      <c r="I29" s="251" t="s">
        <v>1140</v>
      </c>
      <c r="J29" s="252">
        <v>12.0</v>
      </c>
      <c r="K29" s="252">
        <v>95.0</v>
      </c>
      <c r="L29" s="252">
        <v>80.0</v>
      </c>
      <c r="M29" s="252">
        <v>10863.0</v>
      </c>
      <c r="N29" s="252">
        <v>14882.0</v>
      </c>
      <c r="O29" s="252">
        <v>8.0</v>
      </c>
      <c r="P29" s="252">
        <v>32.0</v>
      </c>
      <c r="Q29" s="252">
        <v>5332.0</v>
      </c>
      <c r="R29" s="251" t="s">
        <v>1141</v>
      </c>
      <c r="S29" s="251" t="s">
        <v>1100</v>
      </c>
      <c r="T29" s="251" t="s">
        <v>1123</v>
      </c>
      <c r="U29" s="252">
        <v>48.0</v>
      </c>
      <c r="V29" s="252">
        <v>12.0</v>
      </c>
      <c r="W29" s="252">
        <v>4.7</v>
      </c>
      <c r="X29" s="251" t="s">
        <v>1102</v>
      </c>
      <c r="Y29" s="251" t="s">
        <v>1279</v>
      </c>
      <c r="Z29" s="251" t="s">
        <v>1280</v>
      </c>
      <c r="AA29" s="254" t="s">
        <v>1105</v>
      </c>
      <c r="AB29" s="254" t="s">
        <v>1105</v>
      </c>
    </row>
    <row r="30">
      <c r="A30" s="252">
        <v>29.0</v>
      </c>
      <c r="B30" s="251" t="s">
        <v>1281</v>
      </c>
      <c r="C30" s="252">
        <v>1.0</v>
      </c>
      <c r="D30" s="251" t="s">
        <v>1282</v>
      </c>
      <c r="E30" s="251" t="s">
        <v>1283</v>
      </c>
      <c r="F30" s="251" t="s">
        <v>1096</v>
      </c>
      <c r="G30" s="253" t="s">
        <v>1284</v>
      </c>
      <c r="H30" s="252">
        <v>3.0</v>
      </c>
      <c r="I30" s="251" t="s">
        <v>1131</v>
      </c>
      <c r="J30" s="252">
        <v>10.0</v>
      </c>
      <c r="K30" s="252">
        <v>571.0</v>
      </c>
      <c r="L30" s="252">
        <v>120.0</v>
      </c>
      <c r="M30" s="252">
        <v>9286.0</v>
      </c>
      <c r="N30" s="252">
        <v>11236.0</v>
      </c>
      <c r="O30" s="252">
        <v>4.0</v>
      </c>
      <c r="P30" s="252">
        <v>8.0</v>
      </c>
      <c r="Q30" s="252">
        <v>3966.0</v>
      </c>
      <c r="R30" s="251" t="s">
        <v>1141</v>
      </c>
      <c r="S30" s="251" t="s">
        <v>1100</v>
      </c>
      <c r="T30" s="251" t="s">
        <v>1021</v>
      </c>
      <c r="U30" s="252">
        <v>32.0</v>
      </c>
      <c r="V30" s="252">
        <v>32.0</v>
      </c>
      <c r="W30" s="252">
        <v>5.5</v>
      </c>
      <c r="X30" s="251" t="s">
        <v>1113</v>
      </c>
      <c r="Y30" s="251" t="s">
        <v>1285</v>
      </c>
      <c r="Z30" s="251" t="s">
        <v>1286</v>
      </c>
      <c r="AA30" s="254" t="s">
        <v>1105</v>
      </c>
      <c r="AB30" s="254" t="s">
        <v>1105</v>
      </c>
    </row>
    <row r="31">
      <c r="A31" s="252">
        <v>30.0</v>
      </c>
      <c r="B31" s="251" t="s">
        <v>1287</v>
      </c>
      <c r="C31" s="252">
        <v>1.0</v>
      </c>
      <c r="D31" s="251" t="s">
        <v>1288</v>
      </c>
      <c r="E31" s="251" t="s">
        <v>1250</v>
      </c>
      <c r="F31" s="251" t="s">
        <v>1153</v>
      </c>
      <c r="G31" s="253" t="s">
        <v>1289</v>
      </c>
      <c r="H31" s="252">
        <v>4.0</v>
      </c>
      <c r="I31" s="251" t="s">
        <v>1131</v>
      </c>
      <c r="J31" s="252">
        <v>12.0</v>
      </c>
      <c r="K31" s="252">
        <v>353.0</v>
      </c>
      <c r="L31" s="252">
        <v>100.0</v>
      </c>
      <c r="M31" s="252">
        <v>20473.0</v>
      </c>
      <c r="N31" s="252">
        <v>31733.0</v>
      </c>
      <c r="O31" s="252">
        <v>4.0</v>
      </c>
      <c r="P31" s="252">
        <v>512.0</v>
      </c>
      <c r="Q31" s="252">
        <v>6229.0</v>
      </c>
      <c r="R31" s="251" t="s">
        <v>1141</v>
      </c>
      <c r="S31" s="251" t="s">
        <v>1122</v>
      </c>
      <c r="T31" s="251" t="s">
        <v>1021</v>
      </c>
      <c r="U31" s="252">
        <v>32.0</v>
      </c>
      <c r="V31" s="252">
        <v>12.0</v>
      </c>
      <c r="W31" s="252">
        <v>4.7</v>
      </c>
      <c r="X31" s="251" t="s">
        <v>1147</v>
      </c>
      <c r="Y31" s="251" t="s">
        <v>1290</v>
      </c>
      <c r="Z31" s="251" t="s">
        <v>1291</v>
      </c>
      <c r="AA31" s="254" t="s">
        <v>1105</v>
      </c>
      <c r="AB31" s="254" t="s">
        <v>1105</v>
      </c>
    </row>
    <row r="32">
      <c r="A32" s="252">
        <v>31.0</v>
      </c>
      <c r="B32" s="251" t="s">
        <v>1292</v>
      </c>
      <c r="C32" s="252">
        <v>1.0</v>
      </c>
      <c r="D32" s="251" t="s">
        <v>1293</v>
      </c>
      <c r="E32" s="251" t="s">
        <v>1294</v>
      </c>
      <c r="F32" s="251" t="s">
        <v>1119</v>
      </c>
      <c r="G32" s="253" t="s">
        <v>1295</v>
      </c>
      <c r="H32" s="252">
        <v>6.0</v>
      </c>
      <c r="I32" s="251" t="s">
        <v>1140</v>
      </c>
      <c r="J32" s="252">
        <v>12.0</v>
      </c>
      <c r="K32" s="252">
        <v>286.0</v>
      </c>
      <c r="L32" s="252">
        <v>100.0</v>
      </c>
      <c r="M32" s="252">
        <v>6607.0</v>
      </c>
      <c r="N32" s="252">
        <v>11430.0</v>
      </c>
      <c r="O32" s="252">
        <v>8.0</v>
      </c>
      <c r="P32" s="252">
        <v>64.0</v>
      </c>
      <c r="Q32" s="252">
        <v>6199.0</v>
      </c>
      <c r="R32" s="251" t="s">
        <v>1099</v>
      </c>
      <c r="S32" s="251" t="s">
        <v>1122</v>
      </c>
      <c r="T32" s="251" t="s">
        <v>1123</v>
      </c>
      <c r="U32" s="252">
        <v>48.0</v>
      </c>
      <c r="V32" s="252">
        <v>14.0</v>
      </c>
      <c r="W32" s="252">
        <v>6.0</v>
      </c>
      <c r="X32" s="251" t="s">
        <v>1132</v>
      </c>
      <c r="Y32" s="251" t="s">
        <v>1296</v>
      </c>
      <c r="Z32" s="251" t="s">
        <v>1297</v>
      </c>
      <c r="AA32" s="254" t="s">
        <v>1105</v>
      </c>
      <c r="AB32" s="254" t="s">
        <v>1105</v>
      </c>
    </row>
    <row r="33">
      <c r="A33" s="252">
        <v>32.0</v>
      </c>
      <c r="B33" s="251" t="s">
        <v>1298</v>
      </c>
      <c r="C33" s="252">
        <v>1.0</v>
      </c>
      <c r="D33" s="251" t="s">
        <v>1299</v>
      </c>
      <c r="E33" s="251" t="s">
        <v>1300</v>
      </c>
      <c r="F33" s="251" t="s">
        <v>1233</v>
      </c>
      <c r="G33" s="253" t="s">
        <v>1301</v>
      </c>
      <c r="H33" s="252">
        <v>6.0</v>
      </c>
      <c r="I33" s="251" t="s">
        <v>1140</v>
      </c>
      <c r="J33" s="252">
        <v>12.0</v>
      </c>
      <c r="K33" s="252">
        <v>20.0</v>
      </c>
      <c r="L33" s="252">
        <v>100.0</v>
      </c>
      <c r="M33" s="252">
        <v>21456.0</v>
      </c>
      <c r="N33" s="252">
        <v>37548.0</v>
      </c>
      <c r="O33" s="252">
        <v>2.0</v>
      </c>
      <c r="P33" s="252">
        <v>8.0</v>
      </c>
      <c r="Q33" s="252">
        <v>4341.0</v>
      </c>
      <c r="R33" s="251" t="s">
        <v>1141</v>
      </c>
      <c r="S33" s="251" t="s">
        <v>1100</v>
      </c>
      <c r="T33" s="251" t="s">
        <v>1021</v>
      </c>
      <c r="U33" s="252">
        <v>48.0</v>
      </c>
      <c r="V33" s="252">
        <v>48.0</v>
      </c>
      <c r="W33" s="252">
        <v>5.2</v>
      </c>
      <c r="X33" s="251" t="s">
        <v>1113</v>
      </c>
      <c r="Y33" s="251" t="s">
        <v>1302</v>
      </c>
      <c r="Z33" s="251" t="s">
        <v>1303</v>
      </c>
      <c r="AA33" s="254" t="s">
        <v>1105</v>
      </c>
      <c r="AB33" s="254" t="s">
        <v>1105</v>
      </c>
    </row>
    <row r="34">
      <c r="A34" s="252">
        <v>33.0</v>
      </c>
      <c r="B34" s="251" t="s">
        <v>1304</v>
      </c>
      <c r="C34" s="252">
        <v>1.0</v>
      </c>
      <c r="D34" s="251" t="s">
        <v>1305</v>
      </c>
      <c r="E34" s="251" t="s">
        <v>1306</v>
      </c>
      <c r="F34" s="251" t="s">
        <v>1129</v>
      </c>
      <c r="G34" s="253" t="s">
        <v>1307</v>
      </c>
      <c r="H34" s="252">
        <v>6.0</v>
      </c>
      <c r="I34" s="251" t="s">
        <v>1121</v>
      </c>
      <c r="J34" s="252">
        <v>10.0</v>
      </c>
      <c r="K34" s="252">
        <v>432.0</v>
      </c>
      <c r="L34" s="252">
        <v>80.0</v>
      </c>
      <c r="M34" s="252">
        <v>18511.0</v>
      </c>
      <c r="N34" s="252">
        <v>27581.0</v>
      </c>
      <c r="O34" s="252">
        <v>6.0</v>
      </c>
      <c r="P34" s="252">
        <v>128.0</v>
      </c>
      <c r="Q34" s="252">
        <v>2193.0</v>
      </c>
      <c r="R34" s="251" t="s">
        <v>1099</v>
      </c>
      <c r="S34" s="251" t="s">
        <v>1122</v>
      </c>
      <c r="T34" s="251" t="s">
        <v>1123</v>
      </c>
      <c r="U34" s="252">
        <v>48.0</v>
      </c>
      <c r="V34" s="252">
        <v>12.0</v>
      </c>
      <c r="W34" s="252">
        <v>4.7</v>
      </c>
      <c r="X34" s="251" t="s">
        <v>1113</v>
      </c>
      <c r="Y34" s="251" t="s">
        <v>1308</v>
      </c>
      <c r="Z34" s="251" t="s">
        <v>1309</v>
      </c>
      <c r="AA34" s="254" t="s">
        <v>1105</v>
      </c>
      <c r="AB34" s="254" t="s">
        <v>1105</v>
      </c>
    </row>
    <row r="35">
      <c r="A35" s="252">
        <v>34.0</v>
      </c>
      <c r="B35" s="251" t="s">
        <v>1310</v>
      </c>
      <c r="C35" s="252">
        <v>1.0</v>
      </c>
      <c r="D35" s="251" t="s">
        <v>1311</v>
      </c>
      <c r="E35" s="251" t="s">
        <v>1312</v>
      </c>
      <c r="F35" s="251" t="s">
        <v>1202</v>
      </c>
      <c r="G35" s="253" t="s">
        <v>1313</v>
      </c>
      <c r="H35" s="252">
        <v>6.0</v>
      </c>
      <c r="I35" s="251" t="s">
        <v>1098</v>
      </c>
      <c r="J35" s="252">
        <v>10.0</v>
      </c>
      <c r="K35" s="252">
        <v>720.0</v>
      </c>
      <c r="L35" s="252">
        <v>100.0</v>
      </c>
      <c r="M35" s="252">
        <v>10199.0</v>
      </c>
      <c r="N35" s="252">
        <v>13768.0</v>
      </c>
      <c r="O35" s="252">
        <v>6.0</v>
      </c>
      <c r="P35" s="252">
        <v>8.0</v>
      </c>
      <c r="Q35" s="252">
        <v>2559.0</v>
      </c>
      <c r="R35" s="251" t="s">
        <v>1141</v>
      </c>
      <c r="S35" s="251" t="s">
        <v>1122</v>
      </c>
      <c r="T35" s="251" t="s">
        <v>1021</v>
      </c>
      <c r="U35" s="252">
        <v>12.0</v>
      </c>
      <c r="V35" s="252">
        <v>12.0</v>
      </c>
      <c r="W35" s="252">
        <v>5.0</v>
      </c>
      <c r="X35" s="251" t="s">
        <v>1147</v>
      </c>
      <c r="Y35" s="251" t="s">
        <v>1314</v>
      </c>
      <c r="Z35" s="251" t="s">
        <v>1315</v>
      </c>
      <c r="AA35" s="254" t="s">
        <v>1105</v>
      </c>
      <c r="AB35" s="254" t="s">
        <v>1105</v>
      </c>
    </row>
    <row r="36">
      <c r="A36" s="252">
        <v>35.0</v>
      </c>
      <c r="B36" s="251" t="s">
        <v>1316</v>
      </c>
      <c r="C36" s="252">
        <v>1.0</v>
      </c>
      <c r="D36" s="251" t="s">
        <v>1317</v>
      </c>
      <c r="E36" s="251" t="s">
        <v>1178</v>
      </c>
      <c r="F36" s="251" t="s">
        <v>1119</v>
      </c>
      <c r="G36" s="253" t="s">
        <v>1318</v>
      </c>
      <c r="H36" s="252">
        <v>3.0</v>
      </c>
      <c r="I36" s="251" t="s">
        <v>1121</v>
      </c>
      <c r="J36" s="252">
        <v>12.0</v>
      </c>
      <c r="K36" s="252">
        <v>576.0</v>
      </c>
      <c r="L36" s="252">
        <v>80.0</v>
      </c>
      <c r="M36" s="252">
        <v>14954.0</v>
      </c>
      <c r="N36" s="252">
        <v>25122.0</v>
      </c>
      <c r="O36" s="252">
        <v>12.0</v>
      </c>
      <c r="P36" s="252">
        <v>128.0</v>
      </c>
      <c r="Q36" s="252">
        <v>3201.0</v>
      </c>
      <c r="R36" s="251" t="s">
        <v>1099</v>
      </c>
      <c r="S36" s="251" t="s">
        <v>1100</v>
      </c>
      <c r="T36" s="251" t="s">
        <v>1101</v>
      </c>
      <c r="U36" s="252">
        <v>48.0</v>
      </c>
      <c r="V36" s="252">
        <v>14.0</v>
      </c>
      <c r="W36" s="252">
        <v>5.5</v>
      </c>
      <c r="X36" s="251" t="s">
        <v>1132</v>
      </c>
      <c r="Y36" s="251" t="s">
        <v>1319</v>
      </c>
      <c r="Z36" s="251" t="s">
        <v>1320</v>
      </c>
      <c r="AA36" s="254" t="s">
        <v>1105</v>
      </c>
      <c r="AB36" s="254" t="s">
        <v>1105</v>
      </c>
    </row>
    <row r="37">
      <c r="A37" s="252">
        <v>36.0</v>
      </c>
      <c r="B37" s="251" t="s">
        <v>1321</v>
      </c>
      <c r="C37" s="252">
        <v>1.0</v>
      </c>
      <c r="D37" s="251" t="s">
        <v>1322</v>
      </c>
      <c r="E37" s="251" t="s">
        <v>1323</v>
      </c>
      <c r="F37" s="251" t="s">
        <v>1233</v>
      </c>
      <c r="G37" s="253" t="s">
        <v>1324</v>
      </c>
      <c r="H37" s="252">
        <v>4.0</v>
      </c>
      <c r="I37" s="251" t="s">
        <v>1131</v>
      </c>
      <c r="J37" s="252">
        <v>8.0</v>
      </c>
      <c r="K37" s="252">
        <v>556.0</v>
      </c>
      <c r="L37" s="252">
        <v>100.0</v>
      </c>
      <c r="M37" s="252">
        <v>20264.0</v>
      </c>
      <c r="N37" s="252">
        <v>30801.0</v>
      </c>
      <c r="O37" s="252">
        <v>4.0</v>
      </c>
      <c r="P37" s="252">
        <v>32.0</v>
      </c>
      <c r="Q37" s="252">
        <v>4663.0</v>
      </c>
      <c r="R37" s="251" t="s">
        <v>1112</v>
      </c>
      <c r="S37" s="251" t="s">
        <v>1100</v>
      </c>
      <c r="T37" s="251" t="s">
        <v>1021</v>
      </c>
      <c r="U37" s="252">
        <v>14.0</v>
      </c>
      <c r="V37" s="252">
        <v>14.0</v>
      </c>
      <c r="W37" s="252">
        <v>5.2</v>
      </c>
      <c r="X37" s="251" t="s">
        <v>1102</v>
      </c>
      <c r="Y37" s="251" t="s">
        <v>1325</v>
      </c>
      <c r="Z37" s="251" t="s">
        <v>1326</v>
      </c>
      <c r="AA37" s="254" t="s">
        <v>1105</v>
      </c>
      <c r="AB37" s="254" t="s">
        <v>1105</v>
      </c>
    </row>
    <row r="38">
      <c r="A38" s="252">
        <v>37.0</v>
      </c>
      <c r="B38" s="251" t="s">
        <v>1327</v>
      </c>
      <c r="C38" s="252">
        <v>1.0</v>
      </c>
      <c r="D38" s="251" t="s">
        <v>1328</v>
      </c>
      <c r="E38" s="251" t="s">
        <v>1329</v>
      </c>
      <c r="F38" s="251" t="s">
        <v>1109</v>
      </c>
      <c r="G38" s="253" t="s">
        <v>1330</v>
      </c>
      <c r="H38" s="252">
        <v>5.0</v>
      </c>
      <c r="I38" s="251" t="s">
        <v>1111</v>
      </c>
      <c r="J38" s="252">
        <v>10.0</v>
      </c>
      <c r="K38" s="252">
        <v>509.0</v>
      </c>
      <c r="L38" s="252">
        <v>120.0</v>
      </c>
      <c r="M38" s="252">
        <v>9085.0</v>
      </c>
      <c r="N38" s="252">
        <v>16716.0</v>
      </c>
      <c r="O38" s="252">
        <v>6.0</v>
      </c>
      <c r="P38" s="252">
        <v>128.0</v>
      </c>
      <c r="Q38" s="252">
        <v>5499.0</v>
      </c>
      <c r="R38" s="251" t="s">
        <v>1141</v>
      </c>
      <c r="S38" s="251" t="s">
        <v>1100</v>
      </c>
      <c r="T38" s="251" t="s">
        <v>1101</v>
      </c>
      <c r="U38" s="252">
        <v>48.0</v>
      </c>
      <c r="V38" s="252">
        <v>48.0</v>
      </c>
      <c r="W38" s="252">
        <v>5.0</v>
      </c>
      <c r="X38" s="251" t="s">
        <v>1132</v>
      </c>
      <c r="Y38" s="251" t="s">
        <v>1331</v>
      </c>
      <c r="Z38" s="251" t="s">
        <v>1332</v>
      </c>
      <c r="AA38" s="254" t="s">
        <v>1105</v>
      </c>
      <c r="AB38" s="254" t="s">
        <v>1105</v>
      </c>
    </row>
    <row r="39">
      <c r="A39" s="252">
        <v>38.0</v>
      </c>
      <c r="B39" s="251" t="s">
        <v>1333</v>
      </c>
      <c r="C39" s="252">
        <v>1.0</v>
      </c>
      <c r="D39" s="251" t="s">
        <v>1334</v>
      </c>
      <c r="E39" s="251" t="s">
        <v>1335</v>
      </c>
      <c r="F39" s="251" t="s">
        <v>1215</v>
      </c>
      <c r="G39" s="253" t="s">
        <v>1336</v>
      </c>
      <c r="H39" s="252">
        <v>2.0</v>
      </c>
      <c r="I39" s="251" t="s">
        <v>1121</v>
      </c>
      <c r="J39" s="252">
        <v>8.0</v>
      </c>
      <c r="K39" s="252">
        <v>670.0</v>
      </c>
      <c r="L39" s="252">
        <v>100.0</v>
      </c>
      <c r="M39" s="252">
        <v>7468.0</v>
      </c>
      <c r="N39" s="252">
        <v>11351.0</v>
      </c>
      <c r="O39" s="252">
        <v>6.0</v>
      </c>
      <c r="P39" s="252">
        <v>8.0</v>
      </c>
      <c r="Q39" s="252">
        <v>4722.0</v>
      </c>
      <c r="R39" s="251" t="s">
        <v>1141</v>
      </c>
      <c r="S39" s="251" t="s">
        <v>1122</v>
      </c>
      <c r="T39" s="251" t="s">
        <v>1101</v>
      </c>
      <c r="U39" s="252">
        <v>32.0</v>
      </c>
      <c r="V39" s="252">
        <v>16.0</v>
      </c>
      <c r="W39" s="252">
        <v>4.7</v>
      </c>
      <c r="X39" s="251" t="s">
        <v>1147</v>
      </c>
      <c r="Y39" s="251" t="s">
        <v>1337</v>
      </c>
      <c r="Z39" s="251" t="s">
        <v>1338</v>
      </c>
      <c r="AA39" s="254" t="s">
        <v>1105</v>
      </c>
      <c r="AB39" s="254" t="s">
        <v>1105</v>
      </c>
    </row>
    <row r="40">
      <c r="A40" s="252">
        <v>39.0</v>
      </c>
      <c r="B40" s="251" t="s">
        <v>1339</v>
      </c>
      <c r="C40" s="252">
        <v>1.0</v>
      </c>
      <c r="D40" s="251" t="s">
        <v>1340</v>
      </c>
      <c r="E40" s="251" t="s">
        <v>1341</v>
      </c>
      <c r="F40" s="251" t="s">
        <v>1215</v>
      </c>
      <c r="G40" s="253" t="s">
        <v>1342</v>
      </c>
      <c r="H40" s="252">
        <v>6.0</v>
      </c>
      <c r="I40" s="251" t="s">
        <v>1098</v>
      </c>
      <c r="J40" s="252">
        <v>10.0</v>
      </c>
      <c r="K40" s="252">
        <v>59.0</v>
      </c>
      <c r="L40" s="252">
        <v>100.0</v>
      </c>
      <c r="M40" s="252">
        <v>8581.0</v>
      </c>
      <c r="N40" s="252">
        <v>11755.0</v>
      </c>
      <c r="O40" s="252">
        <v>12.0</v>
      </c>
      <c r="P40" s="252">
        <v>32.0</v>
      </c>
      <c r="Q40" s="252">
        <v>6287.0</v>
      </c>
      <c r="R40" s="251" t="s">
        <v>1099</v>
      </c>
      <c r="S40" s="251" t="s">
        <v>1100</v>
      </c>
      <c r="T40" s="251" t="s">
        <v>1123</v>
      </c>
      <c r="U40" s="252">
        <v>12.0</v>
      </c>
      <c r="V40" s="252">
        <v>32.0</v>
      </c>
      <c r="W40" s="252">
        <v>5.2</v>
      </c>
      <c r="X40" s="251" t="s">
        <v>1147</v>
      </c>
      <c r="Y40" s="251" t="s">
        <v>1343</v>
      </c>
      <c r="Z40" s="251" t="s">
        <v>1344</v>
      </c>
      <c r="AA40" s="254" t="s">
        <v>1105</v>
      </c>
      <c r="AB40" s="254" t="s">
        <v>1105</v>
      </c>
    </row>
    <row r="41">
      <c r="A41" s="252">
        <v>40.0</v>
      </c>
      <c r="B41" s="251" t="s">
        <v>1345</v>
      </c>
      <c r="C41" s="252">
        <v>1.0</v>
      </c>
      <c r="D41" s="251" t="s">
        <v>1346</v>
      </c>
      <c r="E41" s="251" t="s">
        <v>1347</v>
      </c>
      <c r="F41" s="251" t="s">
        <v>1129</v>
      </c>
      <c r="G41" s="253" t="s">
        <v>1348</v>
      </c>
      <c r="H41" s="252">
        <v>6.0</v>
      </c>
      <c r="I41" s="251" t="s">
        <v>1111</v>
      </c>
      <c r="J41" s="252">
        <v>8.0</v>
      </c>
      <c r="K41" s="252">
        <v>478.0</v>
      </c>
      <c r="L41" s="252">
        <v>100.0</v>
      </c>
      <c r="M41" s="252">
        <v>5994.0</v>
      </c>
      <c r="N41" s="252">
        <v>8151.0</v>
      </c>
      <c r="O41" s="252">
        <v>12.0</v>
      </c>
      <c r="P41" s="252">
        <v>32.0</v>
      </c>
      <c r="Q41" s="252">
        <v>2564.0</v>
      </c>
      <c r="R41" s="251" t="s">
        <v>1099</v>
      </c>
      <c r="S41" s="251" t="s">
        <v>1100</v>
      </c>
      <c r="T41" s="251" t="s">
        <v>1101</v>
      </c>
      <c r="U41" s="252">
        <v>48.0</v>
      </c>
      <c r="V41" s="252">
        <v>12.0</v>
      </c>
      <c r="W41" s="252">
        <v>5.2</v>
      </c>
      <c r="X41" s="251" t="s">
        <v>1102</v>
      </c>
      <c r="Y41" s="251" t="s">
        <v>1349</v>
      </c>
      <c r="Z41" s="251" t="s">
        <v>1350</v>
      </c>
      <c r="AA41" s="254" t="s">
        <v>1105</v>
      </c>
      <c r="AB41" s="254" t="s">
        <v>1105</v>
      </c>
    </row>
    <row r="42">
      <c r="A42" s="252">
        <v>41.0</v>
      </c>
      <c r="B42" s="251" t="s">
        <v>1351</v>
      </c>
      <c r="C42" s="252">
        <v>1.0</v>
      </c>
      <c r="D42" s="251" t="s">
        <v>1352</v>
      </c>
      <c r="E42" s="251" t="s">
        <v>1353</v>
      </c>
      <c r="F42" s="251" t="s">
        <v>1109</v>
      </c>
      <c r="G42" s="253" t="s">
        <v>1354</v>
      </c>
      <c r="H42" s="252">
        <v>3.0</v>
      </c>
      <c r="I42" s="251" t="s">
        <v>1121</v>
      </c>
      <c r="J42" s="252">
        <v>12.0</v>
      </c>
      <c r="K42" s="252">
        <v>397.0</v>
      </c>
      <c r="L42" s="252">
        <v>120.0</v>
      </c>
      <c r="M42" s="252">
        <v>2876.0</v>
      </c>
      <c r="N42" s="252">
        <v>4256.0</v>
      </c>
      <c r="O42" s="252">
        <v>4.0</v>
      </c>
      <c r="P42" s="252">
        <v>512.0</v>
      </c>
      <c r="Q42" s="252">
        <v>4005.0</v>
      </c>
      <c r="R42" s="251" t="s">
        <v>1112</v>
      </c>
      <c r="S42" s="251" t="s">
        <v>1100</v>
      </c>
      <c r="T42" s="251" t="s">
        <v>1021</v>
      </c>
      <c r="U42" s="252">
        <v>32.0</v>
      </c>
      <c r="V42" s="252">
        <v>32.0</v>
      </c>
      <c r="W42" s="252">
        <v>4.7</v>
      </c>
      <c r="X42" s="251" t="s">
        <v>1147</v>
      </c>
      <c r="Y42" s="251" t="s">
        <v>1355</v>
      </c>
      <c r="Z42" s="251" t="s">
        <v>1356</v>
      </c>
      <c r="AA42" s="254" t="s">
        <v>1105</v>
      </c>
      <c r="AB42" s="254" t="s">
        <v>1105</v>
      </c>
    </row>
    <row r="43">
      <c r="A43" s="252">
        <v>42.0</v>
      </c>
      <c r="B43" s="251" t="s">
        <v>1357</v>
      </c>
      <c r="C43" s="252">
        <v>1.0</v>
      </c>
      <c r="D43" s="251" t="s">
        <v>1358</v>
      </c>
      <c r="E43" s="251" t="s">
        <v>1166</v>
      </c>
      <c r="F43" s="251" t="s">
        <v>1119</v>
      </c>
      <c r="G43" s="253" t="s">
        <v>1359</v>
      </c>
      <c r="H43" s="252">
        <v>6.0</v>
      </c>
      <c r="I43" s="251" t="s">
        <v>1140</v>
      </c>
      <c r="J43" s="252">
        <v>8.0</v>
      </c>
      <c r="K43" s="252">
        <v>24.0</v>
      </c>
      <c r="L43" s="252">
        <v>80.0</v>
      </c>
      <c r="M43" s="252">
        <v>2642.0</v>
      </c>
      <c r="N43" s="252">
        <v>4570.0</v>
      </c>
      <c r="O43" s="252">
        <v>2.0</v>
      </c>
      <c r="P43" s="252">
        <v>8.0</v>
      </c>
      <c r="Q43" s="252">
        <v>2984.0</v>
      </c>
      <c r="R43" s="251" t="s">
        <v>1141</v>
      </c>
      <c r="S43" s="251" t="s">
        <v>1122</v>
      </c>
      <c r="T43" s="251" t="s">
        <v>1101</v>
      </c>
      <c r="U43" s="252">
        <v>16.0</v>
      </c>
      <c r="V43" s="252">
        <v>14.0</v>
      </c>
      <c r="W43" s="252">
        <v>5.5</v>
      </c>
      <c r="X43" s="251" t="s">
        <v>1132</v>
      </c>
      <c r="Y43" s="251" t="s">
        <v>1360</v>
      </c>
      <c r="Z43" s="251" t="s">
        <v>1361</v>
      </c>
      <c r="AA43" s="254" t="s">
        <v>1105</v>
      </c>
      <c r="AB43" s="254" t="s">
        <v>1105</v>
      </c>
    </row>
    <row r="44">
      <c r="A44" s="252">
        <v>43.0</v>
      </c>
      <c r="B44" s="251" t="s">
        <v>1362</v>
      </c>
      <c r="C44" s="252">
        <v>1.0</v>
      </c>
      <c r="D44" s="251" t="s">
        <v>1363</v>
      </c>
      <c r="E44" s="251" t="s">
        <v>1108</v>
      </c>
      <c r="F44" s="251" t="s">
        <v>1109</v>
      </c>
      <c r="G44" s="253" t="s">
        <v>1364</v>
      </c>
      <c r="H44" s="252">
        <v>5.0</v>
      </c>
      <c r="I44" s="251" t="s">
        <v>1121</v>
      </c>
      <c r="J44" s="252">
        <v>10.0</v>
      </c>
      <c r="K44" s="252">
        <v>746.0</v>
      </c>
      <c r="L44" s="252">
        <v>80.0</v>
      </c>
      <c r="M44" s="252">
        <v>22009.0</v>
      </c>
      <c r="N44" s="252">
        <v>29271.0</v>
      </c>
      <c r="O44" s="252">
        <v>2.0</v>
      </c>
      <c r="P44" s="252">
        <v>64.0</v>
      </c>
      <c r="Q44" s="252">
        <v>6287.0</v>
      </c>
      <c r="R44" s="251" t="s">
        <v>1099</v>
      </c>
      <c r="S44" s="251" t="s">
        <v>1122</v>
      </c>
      <c r="T44" s="251" t="s">
        <v>1101</v>
      </c>
      <c r="U44" s="252">
        <v>16.0</v>
      </c>
      <c r="V44" s="252">
        <v>48.0</v>
      </c>
      <c r="W44" s="252">
        <v>4.7</v>
      </c>
      <c r="X44" s="251" t="s">
        <v>1147</v>
      </c>
      <c r="Y44" s="251" t="s">
        <v>1365</v>
      </c>
      <c r="Z44" s="251" t="s">
        <v>1366</v>
      </c>
      <c r="AA44" s="254" t="s">
        <v>1105</v>
      </c>
      <c r="AB44" s="254" t="s">
        <v>1105</v>
      </c>
    </row>
    <row r="45">
      <c r="A45" s="252">
        <v>44.0</v>
      </c>
      <c r="B45" s="251" t="s">
        <v>1367</v>
      </c>
      <c r="C45" s="252">
        <v>1.0</v>
      </c>
      <c r="D45" s="251" t="s">
        <v>1368</v>
      </c>
      <c r="E45" s="251" t="s">
        <v>1369</v>
      </c>
      <c r="F45" s="251" t="s">
        <v>1129</v>
      </c>
      <c r="G45" s="253" t="s">
        <v>1370</v>
      </c>
      <c r="H45" s="252">
        <v>6.0</v>
      </c>
      <c r="I45" s="251" t="s">
        <v>1140</v>
      </c>
      <c r="J45" s="252">
        <v>12.0</v>
      </c>
      <c r="K45" s="252">
        <v>112.0</v>
      </c>
      <c r="L45" s="252">
        <v>80.0</v>
      </c>
      <c r="M45" s="252">
        <v>21234.0</v>
      </c>
      <c r="N45" s="252">
        <v>33549.0</v>
      </c>
      <c r="O45" s="252">
        <v>8.0</v>
      </c>
      <c r="P45" s="252">
        <v>512.0</v>
      </c>
      <c r="Q45" s="252">
        <v>3610.0</v>
      </c>
      <c r="R45" s="251" t="s">
        <v>1099</v>
      </c>
      <c r="S45" s="251" t="s">
        <v>1122</v>
      </c>
      <c r="T45" s="251" t="s">
        <v>1101</v>
      </c>
      <c r="U45" s="252">
        <v>48.0</v>
      </c>
      <c r="V45" s="252">
        <v>16.0</v>
      </c>
      <c r="W45" s="252">
        <v>5.5</v>
      </c>
      <c r="X45" s="251" t="s">
        <v>1147</v>
      </c>
      <c r="Y45" s="251" t="s">
        <v>1371</v>
      </c>
      <c r="Z45" s="251" t="s">
        <v>1372</v>
      </c>
      <c r="AA45" s="254" t="s">
        <v>1105</v>
      </c>
      <c r="AB45" s="254" t="s">
        <v>1105</v>
      </c>
    </row>
    <row r="46">
      <c r="A46" s="252">
        <v>45.0</v>
      </c>
      <c r="B46" s="251" t="s">
        <v>1373</v>
      </c>
      <c r="C46" s="252">
        <v>1.0</v>
      </c>
      <c r="D46" s="251" t="s">
        <v>1374</v>
      </c>
      <c r="E46" s="251" t="s">
        <v>1375</v>
      </c>
      <c r="F46" s="251" t="s">
        <v>1160</v>
      </c>
      <c r="G46" s="253" t="s">
        <v>1376</v>
      </c>
      <c r="H46" s="252">
        <v>3.0</v>
      </c>
      <c r="I46" s="251" t="s">
        <v>1111</v>
      </c>
      <c r="J46" s="252">
        <v>8.0</v>
      </c>
      <c r="K46" s="252">
        <v>18.0</v>
      </c>
      <c r="L46" s="252">
        <v>100.0</v>
      </c>
      <c r="M46" s="252">
        <v>2831.0</v>
      </c>
      <c r="N46" s="252">
        <v>4501.0</v>
      </c>
      <c r="O46" s="252">
        <v>2.0</v>
      </c>
      <c r="P46" s="252">
        <v>512.0</v>
      </c>
      <c r="Q46" s="252">
        <v>4335.0</v>
      </c>
      <c r="R46" s="251" t="s">
        <v>1112</v>
      </c>
      <c r="S46" s="251" t="s">
        <v>1100</v>
      </c>
      <c r="T46" s="251" t="s">
        <v>1101</v>
      </c>
      <c r="U46" s="252">
        <v>12.0</v>
      </c>
      <c r="V46" s="252">
        <v>16.0</v>
      </c>
      <c r="W46" s="252">
        <v>5.2</v>
      </c>
      <c r="X46" s="251" t="s">
        <v>1147</v>
      </c>
      <c r="Y46" s="251" t="s">
        <v>1377</v>
      </c>
      <c r="Z46" s="251" t="s">
        <v>1378</v>
      </c>
      <c r="AA46" s="254" t="s">
        <v>1105</v>
      </c>
      <c r="AB46" s="254" t="s">
        <v>1105</v>
      </c>
    </row>
    <row r="47">
      <c r="A47" s="252">
        <v>46.0</v>
      </c>
      <c r="B47" s="251" t="s">
        <v>1379</v>
      </c>
      <c r="C47" s="252">
        <v>1.0</v>
      </c>
      <c r="D47" s="251" t="s">
        <v>1380</v>
      </c>
      <c r="E47" s="251" t="s">
        <v>1381</v>
      </c>
      <c r="F47" s="251" t="s">
        <v>1119</v>
      </c>
      <c r="G47" s="253" t="s">
        <v>1382</v>
      </c>
      <c r="H47" s="252">
        <v>6.0</v>
      </c>
      <c r="I47" s="251" t="s">
        <v>1098</v>
      </c>
      <c r="J47" s="252">
        <v>10.0</v>
      </c>
      <c r="K47" s="252">
        <v>173.0</v>
      </c>
      <c r="L47" s="252">
        <v>120.0</v>
      </c>
      <c r="M47" s="252">
        <v>4436.0</v>
      </c>
      <c r="N47" s="252">
        <v>7275.0</v>
      </c>
      <c r="O47" s="252">
        <v>8.0</v>
      </c>
      <c r="P47" s="252">
        <v>8.0</v>
      </c>
      <c r="Q47" s="252">
        <v>3988.0</v>
      </c>
      <c r="R47" s="251" t="s">
        <v>1099</v>
      </c>
      <c r="S47" s="251" t="s">
        <v>1100</v>
      </c>
      <c r="T47" s="251" t="s">
        <v>1123</v>
      </c>
      <c r="U47" s="252">
        <v>48.0</v>
      </c>
      <c r="V47" s="252">
        <v>16.0</v>
      </c>
      <c r="W47" s="252">
        <v>6.3</v>
      </c>
      <c r="X47" s="251" t="s">
        <v>1102</v>
      </c>
      <c r="Y47" s="251" t="s">
        <v>1383</v>
      </c>
      <c r="Z47" s="251" t="s">
        <v>1384</v>
      </c>
      <c r="AA47" s="254" t="s">
        <v>1105</v>
      </c>
      <c r="AB47" s="254" t="s">
        <v>1105</v>
      </c>
    </row>
    <row r="48">
      <c r="A48" s="252">
        <v>47.0</v>
      </c>
      <c r="B48" s="251" t="s">
        <v>1385</v>
      </c>
      <c r="C48" s="252">
        <v>1.0</v>
      </c>
      <c r="D48" s="251" t="s">
        <v>1386</v>
      </c>
      <c r="E48" s="251" t="s">
        <v>1387</v>
      </c>
      <c r="F48" s="251" t="s">
        <v>1160</v>
      </c>
      <c r="G48" s="253" t="s">
        <v>1388</v>
      </c>
      <c r="H48" s="252">
        <v>2.0</v>
      </c>
      <c r="I48" s="251" t="s">
        <v>1140</v>
      </c>
      <c r="J48" s="252">
        <v>10.0</v>
      </c>
      <c r="K48" s="252">
        <v>579.0</v>
      </c>
      <c r="L48" s="252">
        <v>100.0</v>
      </c>
      <c r="M48" s="252">
        <v>21786.0</v>
      </c>
      <c r="N48" s="252">
        <v>37689.0</v>
      </c>
      <c r="O48" s="252">
        <v>12.0</v>
      </c>
      <c r="P48" s="252">
        <v>64.0</v>
      </c>
      <c r="Q48" s="252">
        <v>2796.0</v>
      </c>
      <c r="R48" s="251" t="s">
        <v>1112</v>
      </c>
      <c r="S48" s="251" t="s">
        <v>1100</v>
      </c>
      <c r="T48" s="251" t="s">
        <v>1021</v>
      </c>
      <c r="U48" s="252">
        <v>14.0</v>
      </c>
      <c r="V48" s="252">
        <v>16.0</v>
      </c>
      <c r="W48" s="252">
        <v>5.0</v>
      </c>
      <c r="X48" s="251" t="s">
        <v>1132</v>
      </c>
      <c r="Y48" s="251" t="s">
        <v>1389</v>
      </c>
      <c r="Z48" s="251" t="s">
        <v>1390</v>
      </c>
      <c r="AA48" s="254" t="s">
        <v>1105</v>
      </c>
      <c r="AB48" s="254" t="s">
        <v>1105</v>
      </c>
    </row>
    <row r="49">
      <c r="A49" s="252">
        <v>48.0</v>
      </c>
      <c r="B49" s="251" t="s">
        <v>1391</v>
      </c>
      <c r="C49" s="252">
        <v>1.0</v>
      </c>
      <c r="D49" s="251" t="s">
        <v>1392</v>
      </c>
      <c r="E49" s="251" t="s">
        <v>1393</v>
      </c>
      <c r="F49" s="251" t="s">
        <v>1160</v>
      </c>
      <c r="G49" s="253" t="s">
        <v>1394</v>
      </c>
      <c r="H49" s="252">
        <v>4.0</v>
      </c>
      <c r="I49" s="251" t="s">
        <v>1111</v>
      </c>
      <c r="J49" s="252">
        <v>10.0</v>
      </c>
      <c r="K49" s="252">
        <v>259.0</v>
      </c>
      <c r="L49" s="252">
        <v>80.0</v>
      </c>
      <c r="M49" s="252">
        <v>20573.0</v>
      </c>
      <c r="N49" s="252">
        <v>31270.0</v>
      </c>
      <c r="O49" s="252">
        <v>12.0</v>
      </c>
      <c r="P49" s="252">
        <v>16.0</v>
      </c>
      <c r="Q49" s="252">
        <v>4945.0</v>
      </c>
      <c r="R49" s="251" t="s">
        <v>1099</v>
      </c>
      <c r="S49" s="251" t="s">
        <v>1122</v>
      </c>
      <c r="T49" s="251" t="s">
        <v>1123</v>
      </c>
      <c r="U49" s="252">
        <v>16.0</v>
      </c>
      <c r="V49" s="252">
        <v>32.0</v>
      </c>
      <c r="W49" s="252">
        <v>5.2</v>
      </c>
      <c r="X49" s="251" t="s">
        <v>1147</v>
      </c>
      <c r="Y49" s="251" t="s">
        <v>1395</v>
      </c>
      <c r="Z49" s="251" t="s">
        <v>1396</v>
      </c>
      <c r="AA49" s="254" t="s">
        <v>1105</v>
      </c>
      <c r="AB49" s="254" t="s">
        <v>1105</v>
      </c>
    </row>
    <row r="50">
      <c r="A50" s="252">
        <v>49.0</v>
      </c>
      <c r="B50" s="251" t="s">
        <v>1397</v>
      </c>
      <c r="C50" s="252">
        <v>1.0</v>
      </c>
      <c r="D50" s="251" t="s">
        <v>1398</v>
      </c>
      <c r="E50" s="251" t="s">
        <v>1399</v>
      </c>
      <c r="F50" s="251" t="s">
        <v>1138</v>
      </c>
      <c r="G50" s="253" t="s">
        <v>1400</v>
      </c>
      <c r="H50" s="252">
        <v>2.0</v>
      </c>
      <c r="I50" s="251" t="s">
        <v>1098</v>
      </c>
      <c r="J50" s="252">
        <v>10.0</v>
      </c>
      <c r="K50" s="252">
        <v>138.0</v>
      </c>
      <c r="L50" s="252">
        <v>120.0</v>
      </c>
      <c r="M50" s="252">
        <v>14424.0</v>
      </c>
      <c r="N50" s="252">
        <v>21347.0</v>
      </c>
      <c r="O50" s="252">
        <v>8.0</v>
      </c>
      <c r="P50" s="252">
        <v>64.0</v>
      </c>
      <c r="Q50" s="252">
        <v>4598.0</v>
      </c>
      <c r="R50" s="251" t="s">
        <v>1099</v>
      </c>
      <c r="S50" s="251" t="s">
        <v>1100</v>
      </c>
      <c r="T50" s="251" t="s">
        <v>1021</v>
      </c>
      <c r="U50" s="252">
        <v>14.0</v>
      </c>
      <c r="V50" s="252">
        <v>14.0</v>
      </c>
      <c r="W50" s="252">
        <v>4.7</v>
      </c>
      <c r="X50" s="251" t="s">
        <v>1147</v>
      </c>
      <c r="Y50" s="251" t="s">
        <v>1401</v>
      </c>
      <c r="Z50" s="251" t="s">
        <v>1402</v>
      </c>
      <c r="AA50" s="254" t="s">
        <v>1105</v>
      </c>
      <c r="AB50" s="254" t="s">
        <v>1105</v>
      </c>
    </row>
    <row r="51">
      <c r="A51" s="252">
        <v>50.0</v>
      </c>
      <c r="B51" s="251" t="s">
        <v>1403</v>
      </c>
      <c r="C51" s="252">
        <v>1.0</v>
      </c>
      <c r="D51" s="251" t="s">
        <v>1404</v>
      </c>
      <c r="E51" s="251" t="s">
        <v>1405</v>
      </c>
      <c r="F51" s="251" t="s">
        <v>1202</v>
      </c>
      <c r="G51" s="253" t="s">
        <v>1406</v>
      </c>
      <c r="H51" s="252">
        <v>6.0</v>
      </c>
      <c r="I51" s="251" t="s">
        <v>1098</v>
      </c>
      <c r="J51" s="252">
        <v>12.0</v>
      </c>
      <c r="K51" s="252">
        <v>112.0</v>
      </c>
      <c r="L51" s="252">
        <v>100.0</v>
      </c>
      <c r="M51" s="252">
        <v>17450.0</v>
      </c>
      <c r="N51" s="252">
        <v>30188.0</v>
      </c>
      <c r="O51" s="252">
        <v>2.0</v>
      </c>
      <c r="P51" s="252">
        <v>64.0</v>
      </c>
      <c r="Q51" s="252">
        <v>2571.0</v>
      </c>
      <c r="R51" s="251" t="s">
        <v>1112</v>
      </c>
      <c r="S51" s="251" t="s">
        <v>1122</v>
      </c>
      <c r="T51" s="251" t="s">
        <v>1101</v>
      </c>
      <c r="U51" s="252">
        <v>32.0</v>
      </c>
      <c r="V51" s="252">
        <v>14.0</v>
      </c>
      <c r="W51" s="252">
        <v>5.2</v>
      </c>
      <c r="X51" s="251" t="s">
        <v>1113</v>
      </c>
      <c r="Y51" s="251" t="s">
        <v>1407</v>
      </c>
      <c r="Z51" s="251" t="s">
        <v>1408</v>
      </c>
      <c r="AA51" s="254" t="s">
        <v>1105</v>
      </c>
      <c r="AB51" s="254" t="s">
        <v>1105</v>
      </c>
    </row>
    <row r="52">
      <c r="A52" s="252">
        <v>51.0</v>
      </c>
      <c r="B52" s="251" t="s">
        <v>1409</v>
      </c>
      <c r="C52" s="252">
        <v>1.0</v>
      </c>
      <c r="D52" s="251" t="s">
        <v>1410</v>
      </c>
      <c r="E52" s="251" t="s">
        <v>1411</v>
      </c>
      <c r="F52" s="251" t="s">
        <v>1119</v>
      </c>
      <c r="G52" s="253" t="s">
        <v>1412</v>
      </c>
      <c r="H52" s="252">
        <v>4.0</v>
      </c>
      <c r="I52" s="251" t="s">
        <v>1131</v>
      </c>
      <c r="J52" s="252">
        <v>10.0</v>
      </c>
      <c r="K52" s="252">
        <v>39.0</v>
      </c>
      <c r="L52" s="252">
        <v>120.0</v>
      </c>
      <c r="M52" s="252">
        <v>22606.0</v>
      </c>
      <c r="N52" s="252">
        <v>28257.0</v>
      </c>
      <c r="O52" s="252">
        <v>8.0</v>
      </c>
      <c r="P52" s="252">
        <v>512.0</v>
      </c>
      <c r="Q52" s="252">
        <v>2738.0</v>
      </c>
      <c r="R52" s="251" t="s">
        <v>1099</v>
      </c>
      <c r="S52" s="251" t="s">
        <v>1122</v>
      </c>
      <c r="T52" s="251" t="s">
        <v>1101</v>
      </c>
      <c r="U52" s="252">
        <v>32.0</v>
      </c>
      <c r="V52" s="252">
        <v>14.0</v>
      </c>
      <c r="W52" s="252">
        <v>5.0</v>
      </c>
      <c r="X52" s="251" t="s">
        <v>1147</v>
      </c>
      <c r="Y52" s="251" t="s">
        <v>1413</v>
      </c>
      <c r="Z52" s="251" t="s">
        <v>1414</v>
      </c>
      <c r="AA52" s="254" t="s">
        <v>1105</v>
      </c>
      <c r="AB52" s="254" t="s">
        <v>1105</v>
      </c>
    </row>
    <row r="53">
      <c r="A53" s="252">
        <v>52.0</v>
      </c>
      <c r="B53" s="251" t="s">
        <v>1415</v>
      </c>
      <c r="C53" s="252">
        <v>1.0</v>
      </c>
      <c r="D53" s="251" t="s">
        <v>1416</v>
      </c>
      <c r="E53" s="251" t="s">
        <v>1294</v>
      </c>
      <c r="F53" s="251" t="s">
        <v>1119</v>
      </c>
      <c r="G53" s="253" t="s">
        <v>1417</v>
      </c>
      <c r="H53" s="252">
        <v>3.0</v>
      </c>
      <c r="I53" s="251" t="s">
        <v>1111</v>
      </c>
      <c r="J53" s="252">
        <v>8.0</v>
      </c>
      <c r="K53" s="252">
        <v>686.0</v>
      </c>
      <c r="L53" s="252">
        <v>120.0</v>
      </c>
      <c r="M53" s="252">
        <v>13265.0</v>
      </c>
      <c r="N53" s="252">
        <v>16713.0</v>
      </c>
      <c r="O53" s="252">
        <v>8.0</v>
      </c>
      <c r="P53" s="252">
        <v>8.0</v>
      </c>
      <c r="Q53" s="252">
        <v>5198.0</v>
      </c>
      <c r="R53" s="251" t="s">
        <v>1141</v>
      </c>
      <c r="S53" s="251" t="s">
        <v>1122</v>
      </c>
      <c r="T53" s="251" t="s">
        <v>1123</v>
      </c>
      <c r="U53" s="252">
        <v>16.0</v>
      </c>
      <c r="V53" s="252">
        <v>12.0</v>
      </c>
      <c r="W53" s="252">
        <v>4.7</v>
      </c>
      <c r="X53" s="251" t="s">
        <v>1102</v>
      </c>
      <c r="Y53" s="251" t="s">
        <v>1418</v>
      </c>
      <c r="Z53" s="251" t="s">
        <v>1419</v>
      </c>
      <c r="AA53" s="254" t="s">
        <v>1105</v>
      </c>
      <c r="AB53" s="254" t="s">
        <v>1105</v>
      </c>
    </row>
    <row r="54">
      <c r="A54" s="252">
        <v>53.0</v>
      </c>
      <c r="B54" s="251" t="s">
        <v>1420</v>
      </c>
      <c r="C54" s="252">
        <v>1.0</v>
      </c>
      <c r="D54" s="251" t="s">
        <v>1421</v>
      </c>
      <c r="E54" s="251" t="s">
        <v>1422</v>
      </c>
      <c r="F54" s="251" t="s">
        <v>1138</v>
      </c>
      <c r="G54" s="253" t="s">
        <v>1423</v>
      </c>
      <c r="H54" s="252">
        <v>6.0</v>
      </c>
      <c r="I54" s="251" t="s">
        <v>1111</v>
      </c>
      <c r="J54" s="252">
        <v>10.0</v>
      </c>
      <c r="K54" s="252">
        <v>289.0</v>
      </c>
      <c r="L54" s="252">
        <v>120.0</v>
      </c>
      <c r="M54" s="252">
        <v>4481.0</v>
      </c>
      <c r="N54" s="252">
        <v>8110.0</v>
      </c>
      <c r="O54" s="252">
        <v>8.0</v>
      </c>
      <c r="P54" s="252">
        <v>16.0</v>
      </c>
      <c r="Q54" s="252">
        <v>3617.0</v>
      </c>
      <c r="R54" s="251" t="s">
        <v>1099</v>
      </c>
      <c r="S54" s="251" t="s">
        <v>1100</v>
      </c>
      <c r="T54" s="251" t="s">
        <v>1101</v>
      </c>
      <c r="U54" s="252">
        <v>32.0</v>
      </c>
      <c r="V54" s="252">
        <v>32.0</v>
      </c>
      <c r="W54" s="252">
        <v>5.0</v>
      </c>
      <c r="X54" s="251" t="s">
        <v>1102</v>
      </c>
      <c r="Y54" s="251" t="s">
        <v>1424</v>
      </c>
      <c r="Z54" s="251" t="s">
        <v>1425</v>
      </c>
      <c r="AA54" s="254" t="s">
        <v>1105</v>
      </c>
      <c r="AB54" s="254" t="s">
        <v>1105</v>
      </c>
    </row>
    <row r="55">
      <c r="A55" s="252">
        <v>54.0</v>
      </c>
      <c r="B55" s="251" t="s">
        <v>1426</v>
      </c>
      <c r="C55" s="252">
        <v>1.0</v>
      </c>
      <c r="D55" s="251" t="s">
        <v>1427</v>
      </c>
      <c r="E55" s="251" t="s">
        <v>1428</v>
      </c>
      <c r="F55" s="251" t="s">
        <v>1138</v>
      </c>
      <c r="G55" s="253" t="s">
        <v>1429</v>
      </c>
      <c r="H55" s="252">
        <v>4.0</v>
      </c>
      <c r="I55" s="251" t="s">
        <v>1131</v>
      </c>
      <c r="J55" s="252">
        <v>8.0</v>
      </c>
      <c r="K55" s="252">
        <v>642.0</v>
      </c>
      <c r="L55" s="252">
        <v>80.0</v>
      </c>
      <c r="M55" s="252">
        <v>3888.0</v>
      </c>
      <c r="N55" s="252">
        <v>5287.0</v>
      </c>
      <c r="O55" s="252">
        <v>4.0</v>
      </c>
      <c r="P55" s="252">
        <v>64.0</v>
      </c>
      <c r="Q55" s="252">
        <v>2870.0</v>
      </c>
      <c r="R55" s="251" t="s">
        <v>1141</v>
      </c>
      <c r="S55" s="251" t="s">
        <v>1122</v>
      </c>
      <c r="T55" s="251" t="s">
        <v>1101</v>
      </c>
      <c r="U55" s="252">
        <v>16.0</v>
      </c>
      <c r="V55" s="252">
        <v>12.0</v>
      </c>
      <c r="W55" s="252">
        <v>5.0</v>
      </c>
      <c r="X55" s="251" t="s">
        <v>1102</v>
      </c>
      <c r="Y55" s="251" t="s">
        <v>1430</v>
      </c>
      <c r="Z55" s="251" t="s">
        <v>1431</v>
      </c>
      <c r="AA55" s="254" t="s">
        <v>1105</v>
      </c>
      <c r="AB55" s="254" t="s">
        <v>1105</v>
      </c>
    </row>
    <row r="56">
      <c r="A56" s="252">
        <v>55.0</v>
      </c>
      <c r="B56" s="251" t="s">
        <v>1432</v>
      </c>
      <c r="C56" s="252">
        <v>1.0</v>
      </c>
      <c r="D56" s="251" t="s">
        <v>1433</v>
      </c>
      <c r="E56" s="251" t="s">
        <v>1434</v>
      </c>
      <c r="F56" s="251" t="s">
        <v>1096</v>
      </c>
      <c r="G56" s="253" t="s">
        <v>1435</v>
      </c>
      <c r="H56" s="252">
        <v>3.0</v>
      </c>
      <c r="I56" s="251" t="s">
        <v>1098</v>
      </c>
      <c r="J56" s="252">
        <v>10.0</v>
      </c>
      <c r="K56" s="252">
        <v>533.0</v>
      </c>
      <c r="L56" s="252">
        <v>120.0</v>
      </c>
      <c r="M56" s="252">
        <v>18197.0</v>
      </c>
      <c r="N56" s="252">
        <v>24383.0</v>
      </c>
      <c r="O56" s="252">
        <v>2.0</v>
      </c>
      <c r="P56" s="252">
        <v>128.0</v>
      </c>
      <c r="Q56" s="252">
        <v>5847.0</v>
      </c>
      <c r="R56" s="251" t="s">
        <v>1141</v>
      </c>
      <c r="S56" s="251" t="s">
        <v>1122</v>
      </c>
      <c r="T56" s="251" t="s">
        <v>1021</v>
      </c>
      <c r="U56" s="252">
        <v>12.0</v>
      </c>
      <c r="V56" s="252">
        <v>16.0</v>
      </c>
      <c r="W56" s="252">
        <v>4.7</v>
      </c>
      <c r="X56" s="251" t="s">
        <v>1132</v>
      </c>
      <c r="Y56" s="251" t="s">
        <v>1436</v>
      </c>
      <c r="Z56" s="251" t="s">
        <v>1437</v>
      </c>
      <c r="AA56" s="254" t="s">
        <v>1105</v>
      </c>
      <c r="AB56" s="254" t="s">
        <v>1105</v>
      </c>
    </row>
    <row r="57">
      <c r="A57" s="252">
        <v>56.0</v>
      </c>
      <c r="B57" s="251" t="s">
        <v>1438</v>
      </c>
      <c r="C57" s="252">
        <v>1.0</v>
      </c>
      <c r="D57" s="251" t="s">
        <v>1439</v>
      </c>
      <c r="E57" s="251" t="s">
        <v>1440</v>
      </c>
      <c r="F57" s="251" t="s">
        <v>1233</v>
      </c>
      <c r="G57" s="253" t="s">
        <v>1441</v>
      </c>
      <c r="H57" s="252">
        <v>4.0</v>
      </c>
      <c r="I57" s="251" t="s">
        <v>1140</v>
      </c>
      <c r="J57" s="252">
        <v>8.0</v>
      </c>
      <c r="K57" s="252">
        <v>52.0</v>
      </c>
      <c r="L57" s="252">
        <v>120.0</v>
      </c>
      <c r="M57" s="252">
        <v>3472.0</v>
      </c>
      <c r="N57" s="252">
        <v>6214.0</v>
      </c>
      <c r="O57" s="252">
        <v>4.0</v>
      </c>
      <c r="P57" s="252">
        <v>32.0</v>
      </c>
      <c r="Q57" s="252">
        <v>3823.0</v>
      </c>
      <c r="R57" s="251" t="s">
        <v>1141</v>
      </c>
      <c r="S57" s="251" t="s">
        <v>1100</v>
      </c>
      <c r="T57" s="251" t="s">
        <v>1101</v>
      </c>
      <c r="U57" s="252">
        <v>48.0</v>
      </c>
      <c r="V57" s="252">
        <v>48.0</v>
      </c>
      <c r="W57" s="252">
        <v>5.0</v>
      </c>
      <c r="X57" s="251" t="s">
        <v>1113</v>
      </c>
      <c r="Y57" s="251" t="s">
        <v>1442</v>
      </c>
      <c r="Z57" s="251" t="s">
        <v>1443</v>
      </c>
      <c r="AA57" s="254" t="s">
        <v>1105</v>
      </c>
      <c r="AB57" s="254" t="s">
        <v>1105</v>
      </c>
    </row>
    <row r="58">
      <c r="A58" s="252">
        <v>57.0</v>
      </c>
      <c r="B58" s="251" t="s">
        <v>1444</v>
      </c>
      <c r="C58" s="252">
        <v>1.0</v>
      </c>
      <c r="D58" s="251" t="s">
        <v>1445</v>
      </c>
      <c r="E58" s="251" t="s">
        <v>1446</v>
      </c>
      <c r="F58" s="251" t="s">
        <v>1160</v>
      </c>
      <c r="G58" s="253" t="s">
        <v>1447</v>
      </c>
      <c r="H58" s="252">
        <v>3.0</v>
      </c>
      <c r="I58" s="251" t="s">
        <v>1131</v>
      </c>
      <c r="J58" s="252">
        <v>10.0</v>
      </c>
      <c r="K58" s="252">
        <v>766.0</v>
      </c>
      <c r="L58" s="252">
        <v>100.0</v>
      </c>
      <c r="M58" s="252">
        <v>20891.0</v>
      </c>
      <c r="N58" s="252">
        <v>35305.0</v>
      </c>
      <c r="O58" s="252">
        <v>2.0</v>
      </c>
      <c r="P58" s="252">
        <v>128.0</v>
      </c>
      <c r="Q58" s="252">
        <v>4308.0</v>
      </c>
      <c r="R58" s="251" t="s">
        <v>1141</v>
      </c>
      <c r="S58" s="251" t="s">
        <v>1122</v>
      </c>
      <c r="T58" s="251" t="s">
        <v>1123</v>
      </c>
      <c r="U58" s="252">
        <v>14.0</v>
      </c>
      <c r="V58" s="252">
        <v>12.0</v>
      </c>
      <c r="W58" s="252">
        <v>5.5</v>
      </c>
      <c r="X58" s="251" t="s">
        <v>1132</v>
      </c>
      <c r="Y58" s="251" t="s">
        <v>1448</v>
      </c>
      <c r="Z58" s="251" t="s">
        <v>1449</v>
      </c>
      <c r="AA58" s="254" t="s">
        <v>1105</v>
      </c>
      <c r="AB58" s="254" t="s">
        <v>1105</v>
      </c>
    </row>
    <row r="59">
      <c r="A59" s="252">
        <v>58.0</v>
      </c>
      <c r="B59" s="251" t="s">
        <v>1450</v>
      </c>
      <c r="C59" s="252">
        <v>1.0</v>
      </c>
      <c r="D59" s="251" t="s">
        <v>1451</v>
      </c>
      <c r="E59" s="251" t="s">
        <v>1452</v>
      </c>
      <c r="F59" s="251" t="s">
        <v>1119</v>
      </c>
      <c r="G59" s="253" t="s">
        <v>1453</v>
      </c>
      <c r="H59" s="252">
        <v>4.0</v>
      </c>
      <c r="I59" s="251" t="s">
        <v>1121</v>
      </c>
      <c r="J59" s="252">
        <v>10.0</v>
      </c>
      <c r="K59" s="252">
        <v>648.0</v>
      </c>
      <c r="L59" s="252">
        <v>100.0</v>
      </c>
      <c r="M59" s="252">
        <v>10810.0</v>
      </c>
      <c r="N59" s="252">
        <v>15782.0</v>
      </c>
      <c r="O59" s="252">
        <v>12.0</v>
      </c>
      <c r="P59" s="252">
        <v>128.0</v>
      </c>
      <c r="Q59" s="252">
        <v>4136.0</v>
      </c>
      <c r="R59" s="251" t="s">
        <v>1141</v>
      </c>
      <c r="S59" s="251" t="s">
        <v>1100</v>
      </c>
      <c r="T59" s="251" t="s">
        <v>1101</v>
      </c>
      <c r="U59" s="252">
        <v>32.0</v>
      </c>
      <c r="V59" s="252">
        <v>14.0</v>
      </c>
      <c r="W59" s="252">
        <v>6.0</v>
      </c>
      <c r="X59" s="251" t="s">
        <v>1132</v>
      </c>
      <c r="Y59" s="251" t="s">
        <v>1454</v>
      </c>
      <c r="Z59" s="251" t="s">
        <v>1455</v>
      </c>
      <c r="AA59" s="254" t="s">
        <v>1105</v>
      </c>
      <c r="AB59" s="254" t="s">
        <v>1105</v>
      </c>
    </row>
    <row r="60">
      <c r="A60" s="252">
        <v>59.0</v>
      </c>
      <c r="B60" s="251" t="s">
        <v>1456</v>
      </c>
      <c r="C60" s="252">
        <v>1.0</v>
      </c>
      <c r="D60" s="251" t="s">
        <v>1457</v>
      </c>
      <c r="E60" s="251" t="s">
        <v>1458</v>
      </c>
      <c r="F60" s="251" t="s">
        <v>1109</v>
      </c>
      <c r="G60" s="253" t="s">
        <v>1459</v>
      </c>
      <c r="H60" s="252">
        <v>3.0</v>
      </c>
      <c r="I60" s="251" t="s">
        <v>1111</v>
      </c>
      <c r="J60" s="252">
        <v>8.0</v>
      </c>
      <c r="K60" s="252">
        <v>491.0</v>
      </c>
      <c r="L60" s="252">
        <v>100.0</v>
      </c>
      <c r="M60" s="252">
        <v>17109.0</v>
      </c>
      <c r="N60" s="252">
        <v>26518.0</v>
      </c>
      <c r="O60" s="252">
        <v>12.0</v>
      </c>
      <c r="P60" s="252">
        <v>64.0</v>
      </c>
      <c r="Q60" s="252">
        <v>2206.0</v>
      </c>
      <c r="R60" s="251" t="s">
        <v>1099</v>
      </c>
      <c r="S60" s="251" t="s">
        <v>1100</v>
      </c>
      <c r="T60" s="251" t="s">
        <v>1101</v>
      </c>
      <c r="U60" s="252">
        <v>48.0</v>
      </c>
      <c r="V60" s="252">
        <v>14.0</v>
      </c>
      <c r="W60" s="252">
        <v>5.5</v>
      </c>
      <c r="X60" s="251" t="s">
        <v>1132</v>
      </c>
      <c r="Y60" s="251" t="s">
        <v>1460</v>
      </c>
      <c r="Z60" s="251" t="s">
        <v>1461</v>
      </c>
      <c r="AA60" s="254" t="s">
        <v>1105</v>
      </c>
      <c r="AB60" s="254" t="s">
        <v>1105</v>
      </c>
    </row>
    <row r="61">
      <c r="A61" s="252">
        <v>60.0</v>
      </c>
      <c r="B61" s="251" t="s">
        <v>1462</v>
      </c>
      <c r="C61" s="252">
        <v>1.0</v>
      </c>
      <c r="D61" s="251" t="s">
        <v>1463</v>
      </c>
      <c r="E61" s="251" t="s">
        <v>1464</v>
      </c>
      <c r="F61" s="251" t="s">
        <v>1096</v>
      </c>
      <c r="G61" s="253" t="s">
        <v>1465</v>
      </c>
      <c r="H61" s="252">
        <v>3.0</v>
      </c>
      <c r="I61" s="251" t="s">
        <v>1140</v>
      </c>
      <c r="J61" s="252">
        <v>12.0</v>
      </c>
      <c r="K61" s="252">
        <v>589.0</v>
      </c>
      <c r="L61" s="252">
        <v>120.0</v>
      </c>
      <c r="M61" s="252">
        <v>13254.0</v>
      </c>
      <c r="N61" s="252">
        <v>16700.0</v>
      </c>
      <c r="O61" s="252">
        <v>4.0</v>
      </c>
      <c r="P61" s="252">
        <v>32.0</v>
      </c>
      <c r="Q61" s="252">
        <v>1837.0</v>
      </c>
      <c r="R61" s="251" t="s">
        <v>1141</v>
      </c>
      <c r="S61" s="251" t="s">
        <v>1122</v>
      </c>
      <c r="T61" s="251" t="s">
        <v>1123</v>
      </c>
      <c r="U61" s="252">
        <v>48.0</v>
      </c>
      <c r="V61" s="252">
        <v>16.0</v>
      </c>
      <c r="W61" s="252">
        <v>6.0</v>
      </c>
      <c r="X61" s="251" t="s">
        <v>1147</v>
      </c>
      <c r="Y61" s="251" t="s">
        <v>1466</v>
      </c>
      <c r="Z61" s="251" t="s">
        <v>1467</v>
      </c>
      <c r="AA61" s="254" t="s">
        <v>1105</v>
      </c>
      <c r="AB61" s="254" t="s">
        <v>1105</v>
      </c>
    </row>
    <row r="62">
      <c r="A62" s="252">
        <v>61.0</v>
      </c>
      <c r="B62" s="251" t="s">
        <v>1468</v>
      </c>
      <c r="C62" s="252">
        <v>1.0</v>
      </c>
      <c r="D62" s="251" t="s">
        <v>1469</v>
      </c>
      <c r="E62" s="251" t="s">
        <v>1470</v>
      </c>
      <c r="F62" s="251" t="s">
        <v>1215</v>
      </c>
      <c r="G62" s="253" t="s">
        <v>1471</v>
      </c>
      <c r="H62" s="252">
        <v>4.0</v>
      </c>
      <c r="I62" s="251" t="s">
        <v>1098</v>
      </c>
      <c r="J62" s="252">
        <v>8.0</v>
      </c>
      <c r="K62" s="252">
        <v>411.0</v>
      </c>
      <c r="L62" s="252">
        <v>120.0</v>
      </c>
      <c r="M62" s="252">
        <v>12724.0</v>
      </c>
      <c r="N62" s="252">
        <v>21376.0</v>
      </c>
      <c r="O62" s="252">
        <v>12.0</v>
      </c>
      <c r="P62" s="252">
        <v>32.0</v>
      </c>
      <c r="Q62" s="252">
        <v>4471.0</v>
      </c>
      <c r="R62" s="251" t="s">
        <v>1112</v>
      </c>
      <c r="S62" s="251" t="s">
        <v>1122</v>
      </c>
      <c r="T62" s="251" t="s">
        <v>1123</v>
      </c>
      <c r="U62" s="252">
        <v>48.0</v>
      </c>
      <c r="V62" s="252">
        <v>12.0</v>
      </c>
      <c r="W62" s="252">
        <v>6.3</v>
      </c>
      <c r="X62" s="251" t="s">
        <v>1147</v>
      </c>
      <c r="Y62" s="251" t="s">
        <v>1472</v>
      </c>
      <c r="Z62" s="251" t="s">
        <v>1473</v>
      </c>
      <c r="AA62" s="254" t="s">
        <v>1105</v>
      </c>
      <c r="AB62" s="254" t="s">
        <v>1105</v>
      </c>
    </row>
    <row r="63">
      <c r="A63" s="252">
        <v>62.0</v>
      </c>
      <c r="B63" s="251" t="s">
        <v>1474</v>
      </c>
      <c r="C63" s="252">
        <v>1.0</v>
      </c>
      <c r="D63" s="251" t="s">
        <v>1475</v>
      </c>
      <c r="E63" s="251" t="s">
        <v>1428</v>
      </c>
      <c r="F63" s="251" t="s">
        <v>1138</v>
      </c>
      <c r="G63" s="253" t="s">
        <v>1476</v>
      </c>
      <c r="H63" s="252">
        <v>5.0</v>
      </c>
      <c r="I63" s="251" t="s">
        <v>1140</v>
      </c>
      <c r="J63" s="252">
        <v>8.0</v>
      </c>
      <c r="K63" s="252">
        <v>398.0</v>
      </c>
      <c r="L63" s="252">
        <v>80.0</v>
      </c>
      <c r="M63" s="252">
        <v>16678.0</v>
      </c>
      <c r="N63" s="252">
        <v>25350.0</v>
      </c>
      <c r="O63" s="252">
        <v>2.0</v>
      </c>
      <c r="P63" s="252">
        <v>8.0</v>
      </c>
      <c r="Q63" s="252">
        <v>1905.0</v>
      </c>
      <c r="R63" s="251" t="s">
        <v>1141</v>
      </c>
      <c r="S63" s="251" t="s">
        <v>1122</v>
      </c>
      <c r="T63" s="251" t="s">
        <v>1021</v>
      </c>
      <c r="U63" s="252">
        <v>14.0</v>
      </c>
      <c r="V63" s="252">
        <v>48.0</v>
      </c>
      <c r="W63" s="252">
        <v>4.7</v>
      </c>
      <c r="X63" s="251" t="s">
        <v>1132</v>
      </c>
      <c r="Y63" s="251" t="s">
        <v>1477</v>
      </c>
      <c r="Z63" s="251" t="s">
        <v>1478</v>
      </c>
      <c r="AA63" s="254" t="s">
        <v>1105</v>
      </c>
      <c r="AB63" s="254" t="s">
        <v>1105</v>
      </c>
    </row>
    <row r="64">
      <c r="A64" s="252">
        <v>63.0</v>
      </c>
      <c r="B64" s="251" t="s">
        <v>1479</v>
      </c>
      <c r="C64" s="252">
        <v>1.0</v>
      </c>
      <c r="D64" s="251" t="s">
        <v>1480</v>
      </c>
      <c r="E64" s="251" t="s">
        <v>1341</v>
      </c>
      <c r="F64" s="251" t="s">
        <v>1215</v>
      </c>
      <c r="G64" s="253" t="s">
        <v>1481</v>
      </c>
      <c r="H64" s="252">
        <v>2.0</v>
      </c>
      <c r="I64" s="251" t="s">
        <v>1140</v>
      </c>
      <c r="J64" s="252">
        <v>12.0</v>
      </c>
      <c r="K64" s="252">
        <v>868.0</v>
      </c>
      <c r="L64" s="252">
        <v>120.0</v>
      </c>
      <c r="M64" s="252">
        <v>17972.0</v>
      </c>
      <c r="N64" s="252">
        <v>22105.0</v>
      </c>
      <c r="O64" s="252">
        <v>12.0</v>
      </c>
      <c r="P64" s="252">
        <v>8.0</v>
      </c>
      <c r="Q64" s="252">
        <v>6264.0</v>
      </c>
      <c r="R64" s="251" t="s">
        <v>1112</v>
      </c>
      <c r="S64" s="251" t="s">
        <v>1122</v>
      </c>
      <c r="T64" s="251" t="s">
        <v>1123</v>
      </c>
      <c r="U64" s="252">
        <v>12.0</v>
      </c>
      <c r="V64" s="252">
        <v>16.0</v>
      </c>
      <c r="W64" s="252">
        <v>4.7</v>
      </c>
      <c r="X64" s="251" t="s">
        <v>1132</v>
      </c>
      <c r="Y64" s="251" t="s">
        <v>1482</v>
      </c>
      <c r="Z64" s="251" t="s">
        <v>1483</v>
      </c>
      <c r="AA64" s="254" t="s">
        <v>1105</v>
      </c>
      <c r="AB64" s="254" t="s">
        <v>1105</v>
      </c>
    </row>
    <row r="65">
      <c r="A65" s="252">
        <v>64.0</v>
      </c>
      <c r="B65" s="251" t="s">
        <v>1484</v>
      </c>
      <c r="C65" s="252">
        <v>1.0</v>
      </c>
      <c r="D65" s="251" t="s">
        <v>1485</v>
      </c>
      <c r="E65" s="251" t="s">
        <v>1486</v>
      </c>
      <c r="F65" s="251" t="s">
        <v>1109</v>
      </c>
      <c r="G65" s="253" t="s">
        <v>1487</v>
      </c>
      <c r="H65" s="252">
        <v>6.0</v>
      </c>
      <c r="I65" s="251" t="s">
        <v>1121</v>
      </c>
      <c r="J65" s="252">
        <v>12.0</v>
      </c>
      <c r="K65" s="252">
        <v>647.0</v>
      </c>
      <c r="L65" s="252">
        <v>80.0</v>
      </c>
      <c r="M65" s="252">
        <v>21995.0</v>
      </c>
      <c r="N65" s="252">
        <v>31452.0</v>
      </c>
      <c r="O65" s="252">
        <v>4.0</v>
      </c>
      <c r="P65" s="252">
        <v>512.0</v>
      </c>
      <c r="Q65" s="252">
        <v>5154.0</v>
      </c>
      <c r="R65" s="251" t="s">
        <v>1141</v>
      </c>
      <c r="S65" s="251" t="s">
        <v>1122</v>
      </c>
      <c r="T65" s="251" t="s">
        <v>1101</v>
      </c>
      <c r="U65" s="252">
        <v>14.0</v>
      </c>
      <c r="V65" s="252">
        <v>32.0</v>
      </c>
      <c r="W65" s="252">
        <v>5.5</v>
      </c>
      <c r="X65" s="251" t="s">
        <v>1147</v>
      </c>
      <c r="Y65" s="251" t="s">
        <v>1488</v>
      </c>
      <c r="Z65" s="251" t="s">
        <v>1489</v>
      </c>
      <c r="AA65" s="254" t="s">
        <v>1105</v>
      </c>
      <c r="AB65" s="254" t="s">
        <v>1105</v>
      </c>
    </row>
    <row r="66">
      <c r="A66" s="252">
        <v>65.0</v>
      </c>
      <c r="B66" s="251" t="s">
        <v>1490</v>
      </c>
      <c r="C66" s="252">
        <v>1.0</v>
      </c>
      <c r="D66" s="251" t="s">
        <v>1491</v>
      </c>
      <c r="E66" s="251" t="s">
        <v>1201</v>
      </c>
      <c r="F66" s="251" t="s">
        <v>1202</v>
      </c>
      <c r="G66" s="253" t="s">
        <v>1492</v>
      </c>
      <c r="H66" s="252">
        <v>2.0</v>
      </c>
      <c r="I66" s="251" t="s">
        <v>1111</v>
      </c>
      <c r="J66" s="252">
        <v>10.0</v>
      </c>
      <c r="K66" s="252">
        <v>479.0</v>
      </c>
      <c r="L66" s="252">
        <v>80.0</v>
      </c>
      <c r="M66" s="252">
        <v>20650.0</v>
      </c>
      <c r="N66" s="252">
        <v>31388.0</v>
      </c>
      <c r="O66" s="252">
        <v>6.0</v>
      </c>
      <c r="P66" s="252">
        <v>16.0</v>
      </c>
      <c r="Q66" s="252">
        <v>1954.0</v>
      </c>
      <c r="R66" s="251" t="s">
        <v>1099</v>
      </c>
      <c r="S66" s="251" t="s">
        <v>1100</v>
      </c>
      <c r="T66" s="251" t="s">
        <v>1101</v>
      </c>
      <c r="U66" s="252">
        <v>48.0</v>
      </c>
      <c r="V66" s="252">
        <v>32.0</v>
      </c>
      <c r="W66" s="252">
        <v>6.3</v>
      </c>
      <c r="X66" s="251" t="s">
        <v>1132</v>
      </c>
      <c r="Y66" s="251" t="s">
        <v>1493</v>
      </c>
      <c r="Z66" s="251" t="s">
        <v>1494</v>
      </c>
      <c r="AA66" s="254" t="s">
        <v>1105</v>
      </c>
      <c r="AB66" s="254" t="s">
        <v>1105</v>
      </c>
    </row>
    <row r="67">
      <c r="A67" s="252">
        <v>66.0</v>
      </c>
      <c r="B67" s="251" t="s">
        <v>1495</v>
      </c>
      <c r="C67" s="252">
        <v>1.0</v>
      </c>
      <c r="D67" s="251" t="s">
        <v>1496</v>
      </c>
      <c r="E67" s="251" t="s">
        <v>1486</v>
      </c>
      <c r="F67" s="251" t="s">
        <v>1109</v>
      </c>
      <c r="G67" s="253" t="s">
        <v>1497</v>
      </c>
      <c r="H67" s="252">
        <v>6.0</v>
      </c>
      <c r="I67" s="251" t="s">
        <v>1131</v>
      </c>
      <c r="J67" s="252">
        <v>10.0</v>
      </c>
      <c r="K67" s="252">
        <v>598.0</v>
      </c>
      <c r="L67" s="252">
        <v>120.0</v>
      </c>
      <c r="M67" s="252">
        <v>20238.0</v>
      </c>
      <c r="N67" s="252">
        <v>35416.0</v>
      </c>
      <c r="O67" s="252">
        <v>12.0</v>
      </c>
      <c r="P67" s="252">
        <v>32.0</v>
      </c>
      <c r="Q67" s="252">
        <v>3914.0</v>
      </c>
      <c r="R67" s="251" t="s">
        <v>1141</v>
      </c>
      <c r="S67" s="251" t="s">
        <v>1122</v>
      </c>
      <c r="T67" s="251" t="s">
        <v>1123</v>
      </c>
      <c r="U67" s="252">
        <v>12.0</v>
      </c>
      <c r="V67" s="252">
        <v>32.0</v>
      </c>
      <c r="W67" s="252">
        <v>5.0</v>
      </c>
      <c r="X67" s="251" t="s">
        <v>1113</v>
      </c>
      <c r="Y67" s="251" t="s">
        <v>1498</v>
      </c>
      <c r="Z67" s="251" t="s">
        <v>1499</v>
      </c>
      <c r="AA67" s="254" t="s">
        <v>1105</v>
      </c>
      <c r="AB67" s="254" t="s">
        <v>1105</v>
      </c>
    </row>
    <row r="68">
      <c r="A68" s="252">
        <v>67.0</v>
      </c>
      <c r="B68" s="251" t="s">
        <v>1500</v>
      </c>
      <c r="C68" s="252">
        <v>1.0</v>
      </c>
      <c r="D68" s="251" t="s">
        <v>1501</v>
      </c>
      <c r="E68" s="251" t="s">
        <v>1502</v>
      </c>
      <c r="F68" s="251" t="s">
        <v>1153</v>
      </c>
      <c r="G68" s="253" t="s">
        <v>1503</v>
      </c>
      <c r="H68" s="252">
        <v>4.0</v>
      </c>
      <c r="I68" s="251" t="s">
        <v>1140</v>
      </c>
      <c r="J68" s="252">
        <v>12.0</v>
      </c>
      <c r="K68" s="252">
        <v>959.0</v>
      </c>
      <c r="L68" s="252">
        <v>80.0</v>
      </c>
      <c r="M68" s="252">
        <v>13766.0</v>
      </c>
      <c r="N68" s="252">
        <v>20511.0</v>
      </c>
      <c r="O68" s="252">
        <v>8.0</v>
      </c>
      <c r="P68" s="252">
        <v>64.0</v>
      </c>
      <c r="Q68" s="252">
        <v>2760.0</v>
      </c>
      <c r="R68" s="251" t="s">
        <v>1141</v>
      </c>
      <c r="S68" s="251" t="s">
        <v>1122</v>
      </c>
      <c r="T68" s="251" t="s">
        <v>1021</v>
      </c>
      <c r="U68" s="252">
        <v>32.0</v>
      </c>
      <c r="V68" s="252">
        <v>16.0</v>
      </c>
      <c r="W68" s="252">
        <v>5.0</v>
      </c>
      <c r="X68" s="251" t="s">
        <v>1147</v>
      </c>
      <c r="Y68" s="251" t="s">
        <v>1504</v>
      </c>
      <c r="Z68" s="251" t="s">
        <v>1505</v>
      </c>
      <c r="AA68" s="254" t="s">
        <v>1105</v>
      </c>
      <c r="AB68" s="254" t="s">
        <v>1105</v>
      </c>
    </row>
    <row r="69">
      <c r="A69" s="252">
        <v>68.0</v>
      </c>
      <c r="B69" s="251" t="s">
        <v>1506</v>
      </c>
      <c r="C69" s="252">
        <v>1.0</v>
      </c>
      <c r="D69" s="251" t="s">
        <v>1507</v>
      </c>
      <c r="E69" s="251" t="s">
        <v>1239</v>
      </c>
      <c r="F69" s="251" t="s">
        <v>1119</v>
      </c>
      <c r="G69" s="253" t="s">
        <v>1508</v>
      </c>
      <c r="H69" s="252">
        <v>3.0</v>
      </c>
      <c r="I69" s="251" t="s">
        <v>1140</v>
      </c>
      <c r="J69" s="252">
        <v>12.0</v>
      </c>
      <c r="K69" s="252">
        <v>928.0</v>
      </c>
      <c r="L69" s="252">
        <v>120.0</v>
      </c>
      <c r="M69" s="252">
        <v>13934.0</v>
      </c>
      <c r="N69" s="252">
        <v>20622.0</v>
      </c>
      <c r="O69" s="252">
        <v>8.0</v>
      </c>
      <c r="P69" s="252">
        <v>128.0</v>
      </c>
      <c r="Q69" s="252">
        <v>6162.0</v>
      </c>
      <c r="R69" s="251" t="s">
        <v>1099</v>
      </c>
      <c r="S69" s="251" t="s">
        <v>1100</v>
      </c>
      <c r="T69" s="251" t="s">
        <v>1021</v>
      </c>
      <c r="U69" s="252">
        <v>14.0</v>
      </c>
      <c r="V69" s="252">
        <v>16.0</v>
      </c>
      <c r="W69" s="252">
        <v>6.3</v>
      </c>
      <c r="X69" s="251" t="s">
        <v>1147</v>
      </c>
      <c r="Y69" s="251" t="s">
        <v>1509</v>
      </c>
      <c r="Z69" s="251" t="s">
        <v>1510</v>
      </c>
      <c r="AA69" s="254" t="s">
        <v>1105</v>
      </c>
      <c r="AB69" s="254" t="s">
        <v>1105</v>
      </c>
    </row>
    <row r="70">
      <c r="A70" s="252">
        <v>69.0</v>
      </c>
      <c r="B70" s="251" t="s">
        <v>1511</v>
      </c>
      <c r="C70" s="252">
        <v>1.0</v>
      </c>
      <c r="D70" s="251" t="s">
        <v>1512</v>
      </c>
      <c r="E70" s="251" t="s">
        <v>1353</v>
      </c>
      <c r="F70" s="251" t="s">
        <v>1109</v>
      </c>
      <c r="G70" s="253" t="s">
        <v>1513</v>
      </c>
      <c r="H70" s="252">
        <v>5.0</v>
      </c>
      <c r="I70" s="251" t="s">
        <v>1121</v>
      </c>
      <c r="J70" s="252">
        <v>10.0</v>
      </c>
      <c r="K70" s="252">
        <v>368.0</v>
      </c>
      <c r="L70" s="252">
        <v>100.0</v>
      </c>
      <c r="M70" s="252">
        <v>10201.0</v>
      </c>
      <c r="N70" s="252">
        <v>16219.0</v>
      </c>
      <c r="O70" s="252">
        <v>12.0</v>
      </c>
      <c r="P70" s="252">
        <v>64.0</v>
      </c>
      <c r="Q70" s="252">
        <v>6034.0</v>
      </c>
      <c r="R70" s="251" t="s">
        <v>1112</v>
      </c>
      <c r="S70" s="251" t="s">
        <v>1122</v>
      </c>
      <c r="T70" s="251" t="s">
        <v>1101</v>
      </c>
      <c r="U70" s="252">
        <v>32.0</v>
      </c>
      <c r="V70" s="252">
        <v>48.0</v>
      </c>
      <c r="W70" s="252">
        <v>5.5</v>
      </c>
      <c r="X70" s="251" t="s">
        <v>1132</v>
      </c>
      <c r="Y70" s="251" t="s">
        <v>1514</v>
      </c>
      <c r="Z70" s="251" t="s">
        <v>1515</v>
      </c>
      <c r="AA70" s="254" t="s">
        <v>1105</v>
      </c>
      <c r="AB70" s="254" t="s">
        <v>1105</v>
      </c>
    </row>
    <row r="71">
      <c r="A71" s="252">
        <v>70.0</v>
      </c>
      <c r="B71" s="251" t="s">
        <v>1516</v>
      </c>
      <c r="C71" s="252">
        <v>1.0</v>
      </c>
      <c r="D71" s="251" t="s">
        <v>1517</v>
      </c>
      <c r="E71" s="251" t="s">
        <v>1347</v>
      </c>
      <c r="F71" s="251" t="s">
        <v>1129</v>
      </c>
      <c r="G71" s="253" t="s">
        <v>1518</v>
      </c>
      <c r="H71" s="252">
        <v>5.0</v>
      </c>
      <c r="I71" s="251" t="s">
        <v>1121</v>
      </c>
      <c r="J71" s="252">
        <v>10.0</v>
      </c>
      <c r="K71" s="252">
        <v>735.0</v>
      </c>
      <c r="L71" s="252">
        <v>120.0</v>
      </c>
      <c r="M71" s="252">
        <v>7917.0</v>
      </c>
      <c r="N71" s="252">
        <v>9500.0</v>
      </c>
      <c r="O71" s="252">
        <v>2.0</v>
      </c>
      <c r="P71" s="252">
        <v>8.0</v>
      </c>
      <c r="Q71" s="252">
        <v>3254.0</v>
      </c>
      <c r="R71" s="251" t="s">
        <v>1112</v>
      </c>
      <c r="S71" s="251" t="s">
        <v>1100</v>
      </c>
      <c r="T71" s="251" t="s">
        <v>1021</v>
      </c>
      <c r="U71" s="252">
        <v>32.0</v>
      </c>
      <c r="V71" s="252">
        <v>12.0</v>
      </c>
      <c r="W71" s="252">
        <v>5.0</v>
      </c>
      <c r="X71" s="251" t="s">
        <v>1102</v>
      </c>
      <c r="Y71" s="251" t="s">
        <v>1519</v>
      </c>
      <c r="Z71" s="251" t="s">
        <v>1520</v>
      </c>
      <c r="AA71" s="254" t="s">
        <v>1105</v>
      </c>
      <c r="AB71" s="254" t="s">
        <v>1105</v>
      </c>
    </row>
    <row r="72">
      <c r="A72" s="252">
        <v>71.0</v>
      </c>
      <c r="B72" s="251" t="s">
        <v>1521</v>
      </c>
      <c r="C72" s="252">
        <v>1.0</v>
      </c>
      <c r="D72" s="251" t="s">
        <v>1522</v>
      </c>
      <c r="E72" s="251" t="s">
        <v>1523</v>
      </c>
      <c r="F72" s="251" t="s">
        <v>1215</v>
      </c>
      <c r="G72" s="253" t="s">
        <v>1524</v>
      </c>
      <c r="H72" s="252">
        <v>5.0</v>
      </c>
      <c r="I72" s="251" t="s">
        <v>1111</v>
      </c>
      <c r="J72" s="252">
        <v>12.0</v>
      </c>
      <c r="K72" s="252">
        <v>199.0</v>
      </c>
      <c r="L72" s="252">
        <v>120.0</v>
      </c>
      <c r="M72" s="252">
        <v>13492.0</v>
      </c>
      <c r="N72" s="252">
        <v>24825.0</v>
      </c>
      <c r="O72" s="252">
        <v>6.0</v>
      </c>
      <c r="P72" s="252">
        <v>64.0</v>
      </c>
      <c r="Q72" s="252">
        <v>1947.0</v>
      </c>
      <c r="R72" s="251" t="s">
        <v>1141</v>
      </c>
      <c r="S72" s="251" t="s">
        <v>1122</v>
      </c>
      <c r="T72" s="251" t="s">
        <v>1101</v>
      </c>
      <c r="U72" s="252">
        <v>12.0</v>
      </c>
      <c r="V72" s="252">
        <v>48.0</v>
      </c>
      <c r="W72" s="252">
        <v>6.3</v>
      </c>
      <c r="X72" s="251" t="s">
        <v>1113</v>
      </c>
      <c r="Y72" s="251" t="s">
        <v>1525</v>
      </c>
      <c r="Z72" s="251" t="s">
        <v>1526</v>
      </c>
      <c r="AA72" s="254" t="s">
        <v>1105</v>
      </c>
      <c r="AB72" s="254" t="s">
        <v>1105</v>
      </c>
    </row>
    <row r="73">
      <c r="A73" s="252">
        <v>72.0</v>
      </c>
      <c r="B73" s="251" t="s">
        <v>1527</v>
      </c>
      <c r="C73" s="252">
        <v>1.0</v>
      </c>
      <c r="D73" s="251" t="s">
        <v>1528</v>
      </c>
      <c r="E73" s="251" t="s">
        <v>1411</v>
      </c>
      <c r="F73" s="251" t="s">
        <v>1119</v>
      </c>
      <c r="G73" s="253" t="s">
        <v>1529</v>
      </c>
      <c r="H73" s="252">
        <v>3.0</v>
      </c>
      <c r="I73" s="251" t="s">
        <v>1121</v>
      </c>
      <c r="J73" s="252">
        <v>10.0</v>
      </c>
      <c r="K73" s="252">
        <v>757.0</v>
      </c>
      <c r="L73" s="252">
        <v>120.0</v>
      </c>
      <c r="M73" s="252">
        <v>17304.0</v>
      </c>
      <c r="N73" s="252">
        <v>30801.0</v>
      </c>
      <c r="O73" s="252">
        <v>8.0</v>
      </c>
      <c r="P73" s="252">
        <v>512.0</v>
      </c>
      <c r="Q73" s="252">
        <v>2680.0</v>
      </c>
      <c r="R73" s="251" t="s">
        <v>1112</v>
      </c>
      <c r="S73" s="251" t="s">
        <v>1100</v>
      </c>
      <c r="T73" s="251" t="s">
        <v>1123</v>
      </c>
      <c r="U73" s="252">
        <v>12.0</v>
      </c>
      <c r="V73" s="252">
        <v>12.0</v>
      </c>
      <c r="W73" s="252">
        <v>5.0</v>
      </c>
      <c r="X73" s="251" t="s">
        <v>1147</v>
      </c>
      <c r="Y73" s="251" t="s">
        <v>1530</v>
      </c>
      <c r="Z73" s="251" t="s">
        <v>1531</v>
      </c>
      <c r="AA73" s="254" t="s">
        <v>1105</v>
      </c>
      <c r="AB73" s="254" t="s">
        <v>1105</v>
      </c>
    </row>
    <row r="74">
      <c r="A74" s="252">
        <v>73.0</v>
      </c>
      <c r="B74" s="251" t="s">
        <v>1532</v>
      </c>
      <c r="C74" s="252">
        <v>1.0</v>
      </c>
      <c r="D74" s="251" t="s">
        <v>1533</v>
      </c>
      <c r="E74" s="251" t="s">
        <v>1534</v>
      </c>
      <c r="F74" s="251" t="s">
        <v>1119</v>
      </c>
      <c r="G74" s="253" t="s">
        <v>1535</v>
      </c>
      <c r="H74" s="252">
        <v>2.0</v>
      </c>
      <c r="I74" s="251" t="s">
        <v>1131</v>
      </c>
      <c r="J74" s="252">
        <v>8.0</v>
      </c>
      <c r="K74" s="252">
        <v>362.0</v>
      </c>
      <c r="L74" s="252">
        <v>120.0</v>
      </c>
      <c r="M74" s="252">
        <v>7136.0</v>
      </c>
      <c r="N74" s="252">
        <v>8705.0</v>
      </c>
      <c r="O74" s="252">
        <v>4.0</v>
      </c>
      <c r="P74" s="252">
        <v>32.0</v>
      </c>
      <c r="Q74" s="252">
        <v>2459.0</v>
      </c>
      <c r="R74" s="251" t="s">
        <v>1099</v>
      </c>
      <c r="S74" s="251" t="s">
        <v>1100</v>
      </c>
      <c r="T74" s="251" t="s">
        <v>1021</v>
      </c>
      <c r="U74" s="252">
        <v>48.0</v>
      </c>
      <c r="V74" s="252">
        <v>12.0</v>
      </c>
      <c r="W74" s="252">
        <v>6.3</v>
      </c>
      <c r="X74" s="251" t="s">
        <v>1113</v>
      </c>
      <c r="Y74" s="251" t="s">
        <v>1536</v>
      </c>
      <c r="Z74" s="251" t="s">
        <v>1537</v>
      </c>
      <c r="AA74" s="254" t="s">
        <v>1105</v>
      </c>
      <c r="AB74" s="254" t="s">
        <v>1105</v>
      </c>
    </row>
    <row r="75">
      <c r="A75" s="252">
        <v>74.0</v>
      </c>
      <c r="B75" s="251" t="s">
        <v>1538</v>
      </c>
      <c r="C75" s="252">
        <v>1.0</v>
      </c>
      <c r="D75" s="251" t="s">
        <v>1539</v>
      </c>
      <c r="E75" s="251" t="s">
        <v>1178</v>
      </c>
      <c r="F75" s="251" t="s">
        <v>1119</v>
      </c>
      <c r="G75" s="253" t="s">
        <v>1540</v>
      </c>
      <c r="H75" s="252">
        <v>5.0</v>
      </c>
      <c r="I75" s="251" t="s">
        <v>1098</v>
      </c>
      <c r="J75" s="252">
        <v>12.0</v>
      </c>
      <c r="K75" s="252">
        <v>555.0</v>
      </c>
      <c r="L75" s="252">
        <v>100.0</v>
      </c>
      <c r="M75" s="252">
        <v>2848.0</v>
      </c>
      <c r="N75" s="252">
        <v>5012.0</v>
      </c>
      <c r="O75" s="252">
        <v>4.0</v>
      </c>
      <c r="P75" s="252">
        <v>32.0</v>
      </c>
      <c r="Q75" s="252">
        <v>5096.0</v>
      </c>
      <c r="R75" s="251" t="s">
        <v>1141</v>
      </c>
      <c r="S75" s="251" t="s">
        <v>1122</v>
      </c>
      <c r="T75" s="251" t="s">
        <v>1123</v>
      </c>
      <c r="U75" s="252">
        <v>32.0</v>
      </c>
      <c r="V75" s="252">
        <v>14.0</v>
      </c>
      <c r="W75" s="252">
        <v>4.7</v>
      </c>
      <c r="X75" s="251" t="s">
        <v>1147</v>
      </c>
      <c r="Y75" s="251" t="s">
        <v>1541</v>
      </c>
      <c r="Z75" s="251" t="s">
        <v>1542</v>
      </c>
      <c r="AA75" s="254" t="s">
        <v>1105</v>
      </c>
      <c r="AB75" s="254" t="s">
        <v>1105</v>
      </c>
    </row>
    <row r="76">
      <c r="A76" s="252">
        <v>75.0</v>
      </c>
      <c r="B76" s="251" t="s">
        <v>1543</v>
      </c>
      <c r="C76" s="252">
        <v>1.0</v>
      </c>
      <c r="D76" s="251" t="s">
        <v>1544</v>
      </c>
      <c r="E76" s="251" t="s">
        <v>1178</v>
      </c>
      <c r="F76" s="251" t="s">
        <v>1119</v>
      </c>
      <c r="G76" s="253" t="s">
        <v>1545</v>
      </c>
      <c r="H76" s="252">
        <v>6.0</v>
      </c>
      <c r="I76" s="251" t="s">
        <v>1131</v>
      </c>
      <c r="J76" s="252">
        <v>10.0</v>
      </c>
      <c r="K76" s="252">
        <v>652.0</v>
      </c>
      <c r="L76" s="252">
        <v>80.0</v>
      </c>
      <c r="M76" s="252">
        <v>8883.0</v>
      </c>
      <c r="N76" s="252">
        <v>12258.0</v>
      </c>
      <c r="O76" s="252">
        <v>12.0</v>
      </c>
      <c r="P76" s="252">
        <v>16.0</v>
      </c>
      <c r="Q76" s="252">
        <v>2397.0</v>
      </c>
      <c r="R76" s="251" t="s">
        <v>1112</v>
      </c>
      <c r="S76" s="251" t="s">
        <v>1100</v>
      </c>
      <c r="T76" s="251" t="s">
        <v>1123</v>
      </c>
      <c r="U76" s="252">
        <v>16.0</v>
      </c>
      <c r="V76" s="252">
        <v>16.0</v>
      </c>
      <c r="W76" s="252">
        <v>5.5</v>
      </c>
      <c r="X76" s="251" t="s">
        <v>1132</v>
      </c>
      <c r="Y76" s="251" t="s">
        <v>1546</v>
      </c>
      <c r="Z76" s="251" t="s">
        <v>1547</v>
      </c>
      <c r="AA76" s="254" t="s">
        <v>1105</v>
      </c>
      <c r="AB76" s="254" t="s">
        <v>1105</v>
      </c>
    </row>
    <row r="77">
      <c r="A77" s="252">
        <v>76.0</v>
      </c>
      <c r="B77" s="251" t="s">
        <v>1548</v>
      </c>
      <c r="C77" s="252">
        <v>1.0</v>
      </c>
      <c r="D77" s="251" t="s">
        <v>1549</v>
      </c>
      <c r="E77" s="251" t="s">
        <v>1550</v>
      </c>
      <c r="F77" s="251" t="s">
        <v>1109</v>
      </c>
      <c r="G77" s="253" t="s">
        <v>1551</v>
      </c>
      <c r="H77" s="252">
        <v>4.0</v>
      </c>
      <c r="I77" s="251" t="s">
        <v>1111</v>
      </c>
      <c r="J77" s="252">
        <v>10.0</v>
      </c>
      <c r="K77" s="252">
        <v>567.0</v>
      </c>
      <c r="L77" s="252">
        <v>80.0</v>
      </c>
      <c r="M77" s="252">
        <v>20250.0</v>
      </c>
      <c r="N77" s="252">
        <v>30982.0</v>
      </c>
      <c r="O77" s="252">
        <v>6.0</v>
      </c>
      <c r="P77" s="252">
        <v>16.0</v>
      </c>
      <c r="Q77" s="252">
        <v>4842.0</v>
      </c>
      <c r="R77" s="251" t="s">
        <v>1112</v>
      </c>
      <c r="S77" s="251" t="s">
        <v>1122</v>
      </c>
      <c r="T77" s="251" t="s">
        <v>1101</v>
      </c>
      <c r="U77" s="252">
        <v>48.0</v>
      </c>
      <c r="V77" s="252">
        <v>14.0</v>
      </c>
      <c r="W77" s="252">
        <v>4.7</v>
      </c>
      <c r="X77" s="251" t="s">
        <v>1132</v>
      </c>
      <c r="Y77" s="251" t="s">
        <v>1552</v>
      </c>
      <c r="Z77" s="251" t="s">
        <v>1553</v>
      </c>
      <c r="AA77" s="254" t="s">
        <v>1105</v>
      </c>
      <c r="AB77" s="254" t="s">
        <v>1105</v>
      </c>
    </row>
    <row r="78">
      <c r="A78" s="252">
        <v>77.0</v>
      </c>
      <c r="B78" s="251" t="s">
        <v>1554</v>
      </c>
      <c r="C78" s="252">
        <v>1.0</v>
      </c>
      <c r="D78" s="251" t="s">
        <v>1555</v>
      </c>
      <c r="E78" s="251" t="s">
        <v>1300</v>
      </c>
      <c r="F78" s="251" t="s">
        <v>1233</v>
      </c>
      <c r="G78" s="253" t="s">
        <v>1556</v>
      </c>
      <c r="H78" s="252">
        <v>2.0</v>
      </c>
      <c r="I78" s="251" t="s">
        <v>1121</v>
      </c>
      <c r="J78" s="252">
        <v>10.0</v>
      </c>
      <c r="K78" s="252">
        <v>695.0</v>
      </c>
      <c r="L78" s="252">
        <v>120.0</v>
      </c>
      <c r="M78" s="252">
        <v>12387.0</v>
      </c>
      <c r="N78" s="252">
        <v>15359.0</v>
      </c>
      <c r="O78" s="252">
        <v>6.0</v>
      </c>
      <c r="P78" s="252">
        <v>512.0</v>
      </c>
      <c r="Q78" s="252">
        <v>4620.0</v>
      </c>
      <c r="R78" s="251" t="s">
        <v>1112</v>
      </c>
      <c r="S78" s="251" t="s">
        <v>1122</v>
      </c>
      <c r="T78" s="251" t="s">
        <v>1123</v>
      </c>
      <c r="U78" s="252">
        <v>14.0</v>
      </c>
      <c r="V78" s="252">
        <v>14.0</v>
      </c>
      <c r="W78" s="252">
        <v>6.3</v>
      </c>
      <c r="X78" s="251" t="s">
        <v>1113</v>
      </c>
      <c r="Y78" s="251" t="s">
        <v>1557</v>
      </c>
      <c r="Z78" s="251" t="s">
        <v>1558</v>
      </c>
      <c r="AA78" s="254" t="s">
        <v>1105</v>
      </c>
      <c r="AB78" s="254" t="s">
        <v>1105</v>
      </c>
    </row>
    <row r="79">
      <c r="A79" s="252">
        <v>78.0</v>
      </c>
      <c r="B79" s="251" t="s">
        <v>1559</v>
      </c>
      <c r="C79" s="252">
        <v>1.0</v>
      </c>
      <c r="D79" s="251" t="s">
        <v>1560</v>
      </c>
      <c r="E79" s="251" t="s">
        <v>1266</v>
      </c>
      <c r="F79" s="251" t="s">
        <v>1096</v>
      </c>
      <c r="G79" s="253" t="s">
        <v>1561</v>
      </c>
      <c r="H79" s="252">
        <v>3.0</v>
      </c>
      <c r="I79" s="251" t="s">
        <v>1098</v>
      </c>
      <c r="J79" s="252">
        <v>8.0</v>
      </c>
      <c r="K79" s="252">
        <v>15.0</v>
      </c>
      <c r="L79" s="252">
        <v>120.0</v>
      </c>
      <c r="M79" s="252">
        <v>4339.0</v>
      </c>
      <c r="N79" s="252">
        <v>6378.0</v>
      </c>
      <c r="O79" s="252">
        <v>6.0</v>
      </c>
      <c r="P79" s="252">
        <v>64.0</v>
      </c>
      <c r="Q79" s="252">
        <v>6265.0</v>
      </c>
      <c r="R79" s="251" t="s">
        <v>1099</v>
      </c>
      <c r="S79" s="251" t="s">
        <v>1122</v>
      </c>
      <c r="T79" s="251" t="s">
        <v>1021</v>
      </c>
      <c r="U79" s="252">
        <v>48.0</v>
      </c>
      <c r="V79" s="252">
        <v>48.0</v>
      </c>
      <c r="W79" s="252">
        <v>5.0</v>
      </c>
      <c r="X79" s="251" t="s">
        <v>1147</v>
      </c>
      <c r="Y79" s="251" t="s">
        <v>1562</v>
      </c>
      <c r="Z79" s="251" t="s">
        <v>1563</v>
      </c>
      <c r="AA79" s="254" t="s">
        <v>1105</v>
      </c>
      <c r="AB79" s="254" t="s">
        <v>1105</v>
      </c>
    </row>
    <row r="80">
      <c r="A80" s="252">
        <v>79.0</v>
      </c>
      <c r="B80" s="251" t="s">
        <v>1564</v>
      </c>
      <c r="C80" s="252">
        <v>1.0</v>
      </c>
      <c r="D80" s="251" t="s">
        <v>1565</v>
      </c>
      <c r="E80" s="251" t="s">
        <v>1369</v>
      </c>
      <c r="F80" s="251" t="s">
        <v>1129</v>
      </c>
      <c r="G80" s="253" t="s">
        <v>1566</v>
      </c>
      <c r="H80" s="252">
        <v>6.0</v>
      </c>
      <c r="I80" s="251" t="s">
        <v>1140</v>
      </c>
      <c r="J80" s="252">
        <v>8.0</v>
      </c>
      <c r="K80" s="252">
        <v>559.0</v>
      </c>
      <c r="L80" s="252">
        <v>100.0</v>
      </c>
      <c r="M80" s="252">
        <v>3975.0</v>
      </c>
      <c r="N80" s="252">
        <v>4889.0</v>
      </c>
      <c r="O80" s="252">
        <v>12.0</v>
      </c>
      <c r="P80" s="252">
        <v>512.0</v>
      </c>
      <c r="Q80" s="252">
        <v>2989.0</v>
      </c>
      <c r="R80" s="251" t="s">
        <v>1099</v>
      </c>
      <c r="S80" s="251" t="s">
        <v>1100</v>
      </c>
      <c r="T80" s="251" t="s">
        <v>1123</v>
      </c>
      <c r="U80" s="252">
        <v>32.0</v>
      </c>
      <c r="V80" s="252">
        <v>32.0</v>
      </c>
      <c r="W80" s="252">
        <v>5.5</v>
      </c>
      <c r="X80" s="251" t="s">
        <v>1132</v>
      </c>
      <c r="Y80" s="251" t="s">
        <v>1567</v>
      </c>
      <c r="Z80" s="251" t="s">
        <v>1568</v>
      </c>
      <c r="AA80" s="254" t="s">
        <v>1105</v>
      </c>
      <c r="AB80" s="254" t="s">
        <v>1105</v>
      </c>
    </row>
    <row r="81">
      <c r="A81" s="252">
        <v>80.0</v>
      </c>
      <c r="B81" s="251" t="s">
        <v>1569</v>
      </c>
      <c r="C81" s="252">
        <v>1.0</v>
      </c>
      <c r="D81" s="251" t="s">
        <v>1570</v>
      </c>
      <c r="E81" s="251" t="s">
        <v>1434</v>
      </c>
      <c r="F81" s="251" t="s">
        <v>1096</v>
      </c>
      <c r="G81" s="253" t="s">
        <v>1571</v>
      </c>
      <c r="H81" s="252">
        <v>2.0</v>
      </c>
      <c r="I81" s="251" t="s">
        <v>1131</v>
      </c>
      <c r="J81" s="252">
        <v>10.0</v>
      </c>
      <c r="K81" s="252">
        <v>723.0</v>
      </c>
      <c r="L81" s="252">
        <v>80.0</v>
      </c>
      <c r="M81" s="252">
        <v>8797.0</v>
      </c>
      <c r="N81" s="252">
        <v>12051.0</v>
      </c>
      <c r="O81" s="252">
        <v>12.0</v>
      </c>
      <c r="P81" s="252">
        <v>8.0</v>
      </c>
      <c r="Q81" s="252">
        <v>1944.0</v>
      </c>
      <c r="R81" s="251" t="s">
        <v>1099</v>
      </c>
      <c r="S81" s="251" t="s">
        <v>1122</v>
      </c>
      <c r="T81" s="251" t="s">
        <v>1021</v>
      </c>
      <c r="U81" s="252">
        <v>12.0</v>
      </c>
      <c r="V81" s="252">
        <v>16.0</v>
      </c>
      <c r="W81" s="252">
        <v>6.0</v>
      </c>
      <c r="X81" s="251" t="s">
        <v>1147</v>
      </c>
      <c r="Y81" s="251" t="s">
        <v>1572</v>
      </c>
      <c r="Z81" s="251" t="s">
        <v>1573</v>
      </c>
      <c r="AA81" s="254" t="s">
        <v>1105</v>
      </c>
      <c r="AB81" s="254" t="s">
        <v>1105</v>
      </c>
    </row>
    <row r="82">
      <c r="A82" s="252">
        <v>81.0</v>
      </c>
      <c r="B82" s="251" t="s">
        <v>1574</v>
      </c>
      <c r="C82" s="252">
        <v>1.0</v>
      </c>
      <c r="D82" s="251" t="s">
        <v>1575</v>
      </c>
      <c r="E82" s="251" t="s">
        <v>1118</v>
      </c>
      <c r="F82" s="251" t="s">
        <v>1119</v>
      </c>
      <c r="G82" s="253" t="s">
        <v>1576</v>
      </c>
      <c r="H82" s="252">
        <v>2.0</v>
      </c>
      <c r="I82" s="251" t="s">
        <v>1131</v>
      </c>
      <c r="J82" s="252">
        <v>8.0</v>
      </c>
      <c r="K82" s="252">
        <v>756.0</v>
      </c>
      <c r="L82" s="252">
        <v>120.0</v>
      </c>
      <c r="M82" s="252">
        <v>11818.0</v>
      </c>
      <c r="N82" s="252">
        <v>16781.0</v>
      </c>
      <c r="O82" s="252">
        <v>8.0</v>
      </c>
      <c r="P82" s="252">
        <v>128.0</v>
      </c>
      <c r="Q82" s="252">
        <v>5738.0</v>
      </c>
      <c r="R82" s="251" t="s">
        <v>1099</v>
      </c>
      <c r="S82" s="251" t="s">
        <v>1100</v>
      </c>
      <c r="T82" s="251" t="s">
        <v>1123</v>
      </c>
      <c r="U82" s="252">
        <v>32.0</v>
      </c>
      <c r="V82" s="252">
        <v>16.0</v>
      </c>
      <c r="W82" s="252">
        <v>5.0</v>
      </c>
      <c r="X82" s="251" t="s">
        <v>1132</v>
      </c>
      <c r="Y82" s="251" t="s">
        <v>1577</v>
      </c>
      <c r="Z82" s="251" t="s">
        <v>1578</v>
      </c>
      <c r="AA82" s="254" t="s">
        <v>1105</v>
      </c>
      <c r="AB82" s="254" t="s">
        <v>1105</v>
      </c>
    </row>
    <row r="83">
      <c r="A83" s="252">
        <v>82.0</v>
      </c>
      <c r="B83" s="251" t="s">
        <v>1579</v>
      </c>
      <c r="C83" s="252">
        <v>1.0</v>
      </c>
      <c r="D83" s="251" t="s">
        <v>1580</v>
      </c>
      <c r="E83" s="251" t="s">
        <v>1581</v>
      </c>
      <c r="F83" s="251" t="s">
        <v>1109</v>
      </c>
      <c r="G83" s="253" t="s">
        <v>1582</v>
      </c>
      <c r="H83" s="252">
        <v>4.0</v>
      </c>
      <c r="I83" s="251" t="s">
        <v>1131</v>
      </c>
      <c r="J83" s="252">
        <v>12.0</v>
      </c>
      <c r="K83" s="252">
        <v>889.0</v>
      </c>
      <c r="L83" s="252">
        <v>120.0</v>
      </c>
      <c r="M83" s="252">
        <v>4321.0</v>
      </c>
      <c r="N83" s="252">
        <v>5746.0</v>
      </c>
      <c r="O83" s="252">
        <v>12.0</v>
      </c>
      <c r="P83" s="252">
        <v>32.0</v>
      </c>
      <c r="Q83" s="252">
        <v>2938.0</v>
      </c>
      <c r="R83" s="251" t="s">
        <v>1112</v>
      </c>
      <c r="S83" s="251" t="s">
        <v>1122</v>
      </c>
      <c r="T83" s="251" t="s">
        <v>1021</v>
      </c>
      <c r="U83" s="252">
        <v>16.0</v>
      </c>
      <c r="V83" s="252">
        <v>14.0</v>
      </c>
      <c r="W83" s="252">
        <v>6.0</v>
      </c>
      <c r="X83" s="251" t="s">
        <v>1102</v>
      </c>
      <c r="Y83" s="251" t="s">
        <v>1583</v>
      </c>
      <c r="Z83" s="251" t="s">
        <v>1584</v>
      </c>
      <c r="AA83" s="254" t="s">
        <v>1105</v>
      </c>
      <c r="AB83" s="254" t="s">
        <v>1105</v>
      </c>
    </row>
    <row r="84">
      <c r="A84" s="252">
        <v>83.0</v>
      </c>
      <c r="B84" s="251" t="s">
        <v>1585</v>
      </c>
      <c r="C84" s="252">
        <v>1.0</v>
      </c>
      <c r="D84" s="251" t="s">
        <v>1586</v>
      </c>
      <c r="E84" s="251" t="s">
        <v>1587</v>
      </c>
      <c r="F84" s="251" t="s">
        <v>1119</v>
      </c>
      <c r="G84" s="253" t="s">
        <v>1588</v>
      </c>
      <c r="H84" s="252">
        <v>3.0</v>
      </c>
      <c r="I84" s="251" t="s">
        <v>1140</v>
      </c>
      <c r="J84" s="252">
        <v>8.0</v>
      </c>
      <c r="K84" s="252">
        <v>941.0</v>
      </c>
      <c r="L84" s="252">
        <v>80.0</v>
      </c>
      <c r="M84" s="252">
        <v>7807.0</v>
      </c>
      <c r="N84" s="252">
        <v>12335.0</v>
      </c>
      <c r="O84" s="252">
        <v>12.0</v>
      </c>
      <c r="P84" s="252">
        <v>128.0</v>
      </c>
      <c r="Q84" s="252">
        <v>2104.0</v>
      </c>
      <c r="R84" s="251" t="s">
        <v>1141</v>
      </c>
      <c r="S84" s="251" t="s">
        <v>1122</v>
      </c>
      <c r="T84" s="251" t="s">
        <v>1101</v>
      </c>
      <c r="U84" s="252">
        <v>48.0</v>
      </c>
      <c r="V84" s="252">
        <v>16.0</v>
      </c>
      <c r="W84" s="252">
        <v>6.0</v>
      </c>
      <c r="X84" s="251" t="s">
        <v>1113</v>
      </c>
      <c r="Y84" s="251" t="s">
        <v>1589</v>
      </c>
      <c r="Z84" s="251" t="s">
        <v>1590</v>
      </c>
      <c r="AA84" s="254" t="s">
        <v>1105</v>
      </c>
      <c r="AB84" s="254" t="s">
        <v>1105</v>
      </c>
    </row>
    <row r="85">
      <c r="A85" s="252">
        <v>84.0</v>
      </c>
      <c r="B85" s="251" t="s">
        <v>1591</v>
      </c>
      <c r="C85" s="252">
        <v>1.0</v>
      </c>
      <c r="D85" s="251" t="s">
        <v>1592</v>
      </c>
      <c r="E85" s="251" t="s">
        <v>1381</v>
      </c>
      <c r="F85" s="251" t="s">
        <v>1119</v>
      </c>
      <c r="G85" s="253" t="s">
        <v>1593</v>
      </c>
      <c r="H85" s="252">
        <v>6.0</v>
      </c>
      <c r="I85" s="251" t="s">
        <v>1131</v>
      </c>
      <c r="J85" s="252">
        <v>10.0</v>
      </c>
      <c r="K85" s="252">
        <v>263.0</v>
      </c>
      <c r="L85" s="252">
        <v>120.0</v>
      </c>
      <c r="M85" s="252">
        <v>21822.0</v>
      </c>
      <c r="N85" s="252">
        <v>32514.0</v>
      </c>
      <c r="O85" s="252">
        <v>2.0</v>
      </c>
      <c r="P85" s="252">
        <v>128.0</v>
      </c>
      <c r="Q85" s="252">
        <v>2706.0</v>
      </c>
      <c r="R85" s="251" t="s">
        <v>1141</v>
      </c>
      <c r="S85" s="251" t="s">
        <v>1100</v>
      </c>
      <c r="T85" s="251" t="s">
        <v>1123</v>
      </c>
      <c r="U85" s="252">
        <v>12.0</v>
      </c>
      <c r="V85" s="252">
        <v>12.0</v>
      </c>
      <c r="W85" s="252">
        <v>4.7</v>
      </c>
      <c r="X85" s="251" t="s">
        <v>1147</v>
      </c>
      <c r="Y85" s="251" t="s">
        <v>1594</v>
      </c>
      <c r="Z85" s="251" t="s">
        <v>1595</v>
      </c>
      <c r="AA85" s="254" t="s">
        <v>1105</v>
      </c>
      <c r="AB85" s="254" t="s">
        <v>1105</v>
      </c>
    </row>
    <row r="86">
      <c r="A86" s="252">
        <v>85.0</v>
      </c>
      <c r="B86" s="251" t="s">
        <v>1596</v>
      </c>
      <c r="C86" s="252">
        <v>1.0</v>
      </c>
      <c r="D86" s="251" t="s">
        <v>1597</v>
      </c>
      <c r="E86" s="251" t="s">
        <v>1598</v>
      </c>
      <c r="F86" s="251" t="s">
        <v>1153</v>
      </c>
      <c r="G86" s="253" t="s">
        <v>1599</v>
      </c>
      <c r="H86" s="252">
        <v>4.0</v>
      </c>
      <c r="I86" s="251" t="s">
        <v>1111</v>
      </c>
      <c r="J86" s="252">
        <v>8.0</v>
      </c>
      <c r="K86" s="252">
        <v>652.0</v>
      </c>
      <c r="L86" s="252">
        <v>80.0</v>
      </c>
      <c r="M86" s="252">
        <v>8092.0</v>
      </c>
      <c r="N86" s="252">
        <v>12785.0</v>
      </c>
      <c r="O86" s="252">
        <v>12.0</v>
      </c>
      <c r="P86" s="252">
        <v>128.0</v>
      </c>
      <c r="Q86" s="252">
        <v>4425.0</v>
      </c>
      <c r="R86" s="251" t="s">
        <v>1141</v>
      </c>
      <c r="S86" s="251" t="s">
        <v>1100</v>
      </c>
      <c r="T86" s="251" t="s">
        <v>1021</v>
      </c>
      <c r="U86" s="252">
        <v>48.0</v>
      </c>
      <c r="V86" s="252">
        <v>12.0</v>
      </c>
      <c r="W86" s="252">
        <v>6.3</v>
      </c>
      <c r="X86" s="251" t="s">
        <v>1147</v>
      </c>
      <c r="Y86" s="251" t="s">
        <v>1600</v>
      </c>
      <c r="Z86" s="251" t="s">
        <v>1601</v>
      </c>
      <c r="AA86" s="254" t="s">
        <v>1105</v>
      </c>
      <c r="AB86" s="254" t="s">
        <v>1105</v>
      </c>
    </row>
    <row r="87">
      <c r="A87" s="252">
        <v>86.0</v>
      </c>
      <c r="B87" s="251" t="s">
        <v>1602</v>
      </c>
      <c r="C87" s="252">
        <v>1.0</v>
      </c>
      <c r="D87" s="251" t="s">
        <v>1603</v>
      </c>
      <c r="E87" s="251" t="s">
        <v>1137</v>
      </c>
      <c r="F87" s="251" t="s">
        <v>1138</v>
      </c>
      <c r="G87" s="253" t="s">
        <v>1604</v>
      </c>
      <c r="H87" s="252">
        <v>3.0</v>
      </c>
      <c r="I87" s="251" t="s">
        <v>1098</v>
      </c>
      <c r="J87" s="252">
        <v>10.0</v>
      </c>
      <c r="K87" s="252">
        <v>93.0</v>
      </c>
      <c r="L87" s="252">
        <v>80.0</v>
      </c>
      <c r="M87" s="252">
        <v>13774.0</v>
      </c>
      <c r="N87" s="252">
        <v>20936.0</v>
      </c>
      <c r="O87" s="252">
        <v>6.0</v>
      </c>
      <c r="P87" s="252">
        <v>32.0</v>
      </c>
      <c r="Q87" s="252">
        <v>4150.0</v>
      </c>
      <c r="R87" s="251" t="s">
        <v>1141</v>
      </c>
      <c r="S87" s="251" t="s">
        <v>1122</v>
      </c>
      <c r="T87" s="251" t="s">
        <v>1021</v>
      </c>
      <c r="U87" s="252">
        <v>32.0</v>
      </c>
      <c r="V87" s="252">
        <v>48.0</v>
      </c>
      <c r="W87" s="252">
        <v>4.7</v>
      </c>
      <c r="X87" s="251" t="s">
        <v>1102</v>
      </c>
      <c r="Y87" s="251" t="s">
        <v>1605</v>
      </c>
      <c r="Z87" s="251" t="s">
        <v>1606</v>
      </c>
      <c r="AA87" s="254" t="s">
        <v>1105</v>
      </c>
      <c r="AB87" s="254" t="s">
        <v>1105</v>
      </c>
    </row>
    <row r="88">
      <c r="A88" s="252">
        <v>87.0</v>
      </c>
      <c r="B88" s="251" t="s">
        <v>1607</v>
      </c>
      <c r="C88" s="252">
        <v>1.0</v>
      </c>
      <c r="D88" s="251" t="s">
        <v>1608</v>
      </c>
      <c r="E88" s="251" t="s">
        <v>1609</v>
      </c>
      <c r="F88" s="251" t="s">
        <v>1109</v>
      </c>
      <c r="G88" s="253" t="s">
        <v>1610</v>
      </c>
      <c r="H88" s="252">
        <v>2.0</v>
      </c>
      <c r="I88" s="251" t="s">
        <v>1098</v>
      </c>
      <c r="J88" s="252">
        <v>8.0</v>
      </c>
      <c r="K88" s="252">
        <v>403.0</v>
      </c>
      <c r="L88" s="252">
        <v>80.0</v>
      </c>
      <c r="M88" s="252">
        <v>19397.0</v>
      </c>
      <c r="N88" s="252">
        <v>35496.0</v>
      </c>
      <c r="O88" s="252">
        <v>2.0</v>
      </c>
      <c r="P88" s="252">
        <v>16.0</v>
      </c>
      <c r="Q88" s="252">
        <v>2847.0</v>
      </c>
      <c r="R88" s="251" t="s">
        <v>1112</v>
      </c>
      <c r="S88" s="251" t="s">
        <v>1100</v>
      </c>
      <c r="T88" s="251" t="s">
        <v>1021</v>
      </c>
      <c r="U88" s="252">
        <v>32.0</v>
      </c>
      <c r="V88" s="252">
        <v>16.0</v>
      </c>
      <c r="W88" s="252">
        <v>6.0</v>
      </c>
      <c r="X88" s="251" t="s">
        <v>1113</v>
      </c>
      <c r="Y88" s="251" t="s">
        <v>1611</v>
      </c>
      <c r="Z88" s="251" t="s">
        <v>1612</v>
      </c>
      <c r="AA88" s="254" t="s">
        <v>1105</v>
      </c>
      <c r="AB88" s="254" t="s">
        <v>1105</v>
      </c>
    </row>
    <row r="89">
      <c r="A89" s="252">
        <v>88.0</v>
      </c>
      <c r="B89" s="251" t="s">
        <v>1613</v>
      </c>
      <c r="C89" s="252">
        <v>1.0</v>
      </c>
      <c r="D89" s="251" t="s">
        <v>1614</v>
      </c>
      <c r="E89" s="251" t="s">
        <v>1615</v>
      </c>
      <c r="F89" s="251" t="s">
        <v>1202</v>
      </c>
      <c r="G89" s="253" t="s">
        <v>1616</v>
      </c>
      <c r="H89" s="252">
        <v>3.0</v>
      </c>
      <c r="I89" s="251" t="s">
        <v>1121</v>
      </c>
      <c r="J89" s="252">
        <v>12.0</v>
      </c>
      <c r="K89" s="252">
        <v>264.0</v>
      </c>
      <c r="L89" s="252">
        <v>80.0</v>
      </c>
      <c r="M89" s="252">
        <v>15180.0</v>
      </c>
      <c r="N89" s="252">
        <v>23073.0</v>
      </c>
      <c r="O89" s="252">
        <v>4.0</v>
      </c>
      <c r="P89" s="252">
        <v>16.0</v>
      </c>
      <c r="Q89" s="252">
        <v>3654.0</v>
      </c>
      <c r="R89" s="251" t="s">
        <v>1141</v>
      </c>
      <c r="S89" s="251" t="s">
        <v>1100</v>
      </c>
      <c r="T89" s="251" t="s">
        <v>1101</v>
      </c>
      <c r="U89" s="252">
        <v>14.0</v>
      </c>
      <c r="V89" s="252">
        <v>32.0</v>
      </c>
      <c r="W89" s="252">
        <v>4.7</v>
      </c>
      <c r="X89" s="251" t="s">
        <v>1132</v>
      </c>
      <c r="Y89" s="251" t="s">
        <v>1617</v>
      </c>
      <c r="Z89" s="251" t="s">
        <v>1618</v>
      </c>
      <c r="AA89" s="254" t="s">
        <v>1105</v>
      </c>
      <c r="AB89" s="254" t="s">
        <v>1105</v>
      </c>
    </row>
    <row r="90">
      <c r="A90" s="252">
        <v>89.0</v>
      </c>
      <c r="B90" s="251" t="s">
        <v>1619</v>
      </c>
      <c r="C90" s="252">
        <v>1.0</v>
      </c>
      <c r="D90" s="251" t="s">
        <v>1620</v>
      </c>
      <c r="E90" s="251" t="s">
        <v>1621</v>
      </c>
      <c r="F90" s="251" t="s">
        <v>1138</v>
      </c>
      <c r="G90" s="253" t="s">
        <v>1622</v>
      </c>
      <c r="H90" s="252">
        <v>4.0</v>
      </c>
      <c r="I90" s="251" t="s">
        <v>1098</v>
      </c>
      <c r="J90" s="252">
        <v>10.0</v>
      </c>
      <c r="K90" s="252">
        <v>539.0</v>
      </c>
      <c r="L90" s="252">
        <v>100.0</v>
      </c>
      <c r="M90" s="252">
        <v>11153.0</v>
      </c>
      <c r="N90" s="252">
        <v>15725.0</v>
      </c>
      <c r="O90" s="252">
        <v>4.0</v>
      </c>
      <c r="P90" s="252">
        <v>512.0</v>
      </c>
      <c r="Q90" s="252">
        <v>2073.0</v>
      </c>
      <c r="R90" s="251" t="s">
        <v>1141</v>
      </c>
      <c r="S90" s="251" t="s">
        <v>1100</v>
      </c>
      <c r="T90" s="251" t="s">
        <v>1021</v>
      </c>
      <c r="U90" s="252">
        <v>12.0</v>
      </c>
      <c r="V90" s="252">
        <v>16.0</v>
      </c>
      <c r="W90" s="252">
        <v>5.2</v>
      </c>
      <c r="X90" s="251" t="s">
        <v>1102</v>
      </c>
      <c r="Y90" s="251" t="s">
        <v>1623</v>
      </c>
      <c r="Z90" s="251" t="s">
        <v>1624</v>
      </c>
      <c r="AA90" s="254" t="s">
        <v>1105</v>
      </c>
      <c r="AB90" s="254" t="s">
        <v>1105</v>
      </c>
    </row>
    <row r="91">
      <c r="A91" s="252">
        <v>90.0</v>
      </c>
      <c r="B91" s="251" t="s">
        <v>1625</v>
      </c>
      <c r="C91" s="252">
        <v>1.0</v>
      </c>
      <c r="D91" s="251" t="s">
        <v>1626</v>
      </c>
      <c r="E91" s="251" t="s">
        <v>1627</v>
      </c>
      <c r="F91" s="251" t="s">
        <v>1160</v>
      </c>
      <c r="G91" s="253" t="s">
        <v>1628</v>
      </c>
      <c r="H91" s="252">
        <v>5.0</v>
      </c>
      <c r="I91" s="251" t="s">
        <v>1111</v>
      </c>
      <c r="J91" s="252">
        <v>8.0</v>
      </c>
      <c r="K91" s="252">
        <v>311.0</v>
      </c>
      <c r="L91" s="252">
        <v>80.0</v>
      </c>
      <c r="M91" s="252">
        <v>17409.0</v>
      </c>
      <c r="N91" s="252">
        <v>32032.0</v>
      </c>
      <c r="O91" s="252">
        <v>12.0</v>
      </c>
      <c r="P91" s="252">
        <v>128.0</v>
      </c>
      <c r="Q91" s="252">
        <v>3363.0</v>
      </c>
      <c r="R91" s="251" t="s">
        <v>1099</v>
      </c>
      <c r="S91" s="251" t="s">
        <v>1100</v>
      </c>
      <c r="T91" s="251" t="s">
        <v>1123</v>
      </c>
      <c r="U91" s="252">
        <v>32.0</v>
      </c>
      <c r="V91" s="252">
        <v>32.0</v>
      </c>
      <c r="W91" s="252">
        <v>6.3</v>
      </c>
      <c r="X91" s="251" t="s">
        <v>1113</v>
      </c>
      <c r="Y91" s="251" t="s">
        <v>1629</v>
      </c>
      <c r="Z91" s="251" t="s">
        <v>1630</v>
      </c>
      <c r="AA91" s="254" t="s">
        <v>1105</v>
      </c>
      <c r="AB91" s="254" t="s">
        <v>1105</v>
      </c>
    </row>
    <row r="92">
      <c r="A92" s="252">
        <v>91.0</v>
      </c>
      <c r="B92" s="251" t="s">
        <v>1631</v>
      </c>
      <c r="C92" s="252">
        <v>1.0</v>
      </c>
      <c r="D92" s="251" t="s">
        <v>1632</v>
      </c>
      <c r="E92" s="251" t="s">
        <v>1633</v>
      </c>
      <c r="F92" s="251" t="s">
        <v>1160</v>
      </c>
      <c r="G92" s="253" t="s">
        <v>1634</v>
      </c>
      <c r="H92" s="252">
        <v>2.0</v>
      </c>
      <c r="I92" s="251" t="s">
        <v>1131</v>
      </c>
      <c r="J92" s="252">
        <v>10.0</v>
      </c>
      <c r="K92" s="252">
        <v>982.0</v>
      </c>
      <c r="L92" s="252">
        <v>120.0</v>
      </c>
      <c r="M92" s="252">
        <v>15181.0</v>
      </c>
      <c r="N92" s="252">
        <v>22923.0</v>
      </c>
      <c r="O92" s="252">
        <v>2.0</v>
      </c>
      <c r="P92" s="252">
        <v>512.0</v>
      </c>
      <c r="Q92" s="252">
        <v>4714.0</v>
      </c>
      <c r="R92" s="251" t="s">
        <v>1099</v>
      </c>
      <c r="S92" s="251" t="s">
        <v>1122</v>
      </c>
      <c r="T92" s="251" t="s">
        <v>1123</v>
      </c>
      <c r="U92" s="252">
        <v>48.0</v>
      </c>
      <c r="V92" s="252">
        <v>16.0</v>
      </c>
      <c r="W92" s="252">
        <v>5.2</v>
      </c>
      <c r="X92" s="251" t="s">
        <v>1113</v>
      </c>
      <c r="Y92" s="251" t="s">
        <v>1635</v>
      </c>
      <c r="Z92" s="251" t="s">
        <v>1636</v>
      </c>
      <c r="AA92" s="254" t="s">
        <v>1105</v>
      </c>
      <c r="AB92" s="254" t="s">
        <v>1105</v>
      </c>
    </row>
    <row r="93">
      <c r="A93" s="252">
        <v>92.0</v>
      </c>
      <c r="B93" s="251" t="s">
        <v>1637</v>
      </c>
      <c r="C93" s="252">
        <v>1.0</v>
      </c>
      <c r="D93" s="251" t="s">
        <v>1638</v>
      </c>
      <c r="E93" s="251" t="s">
        <v>1639</v>
      </c>
      <c r="F93" s="251" t="s">
        <v>1129</v>
      </c>
      <c r="G93" s="253" t="s">
        <v>1640</v>
      </c>
      <c r="H93" s="252">
        <v>5.0</v>
      </c>
      <c r="I93" s="251" t="s">
        <v>1111</v>
      </c>
      <c r="J93" s="252">
        <v>10.0</v>
      </c>
      <c r="K93" s="252">
        <v>274.0</v>
      </c>
      <c r="L93" s="252">
        <v>80.0</v>
      </c>
      <c r="M93" s="252">
        <v>4141.0</v>
      </c>
      <c r="N93" s="252">
        <v>7081.0</v>
      </c>
      <c r="O93" s="252">
        <v>8.0</v>
      </c>
      <c r="P93" s="252">
        <v>32.0</v>
      </c>
      <c r="Q93" s="252">
        <v>1939.0</v>
      </c>
      <c r="R93" s="251" t="s">
        <v>1141</v>
      </c>
      <c r="S93" s="251" t="s">
        <v>1100</v>
      </c>
      <c r="T93" s="251" t="s">
        <v>1021</v>
      </c>
      <c r="U93" s="252">
        <v>48.0</v>
      </c>
      <c r="V93" s="252">
        <v>12.0</v>
      </c>
      <c r="W93" s="252">
        <v>5.0</v>
      </c>
      <c r="X93" s="251" t="s">
        <v>1102</v>
      </c>
      <c r="Y93" s="251" t="s">
        <v>1641</v>
      </c>
      <c r="Z93" s="251" t="s">
        <v>1642</v>
      </c>
      <c r="AA93" s="254" t="s">
        <v>1105</v>
      </c>
      <c r="AB93" s="254" t="s">
        <v>1105</v>
      </c>
    </row>
    <row r="94">
      <c r="A94" s="252">
        <v>93.0</v>
      </c>
      <c r="B94" s="251" t="s">
        <v>1643</v>
      </c>
      <c r="C94" s="252">
        <v>1.0</v>
      </c>
      <c r="D94" s="251" t="s">
        <v>1644</v>
      </c>
      <c r="E94" s="251" t="s">
        <v>1587</v>
      </c>
      <c r="F94" s="251" t="s">
        <v>1119</v>
      </c>
      <c r="G94" s="253" t="s">
        <v>1645</v>
      </c>
      <c r="H94" s="252">
        <v>5.0</v>
      </c>
      <c r="I94" s="251" t="s">
        <v>1098</v>
      </c>
      <c r="J94" s="252">
        <v>10.0</v>
      </c>
      <c r="K94" s="252">
        <v>232.0</v>
      </c>
      <c r="L94" s="252">
        <v>80.0</v>
      </c>
      <c r="M94" s="252">
        <v>7693.0</v>
      </c>
      <c r="N94" s="252">
        <v>13308.0</v>
      </c>
      <c r="O94" s="252">
        <v>2.0</v>
      </c>
      <c r="P94" s="252">
        <v>32.0</v>
      </c>
      <c r="Q94" s="252">
        <v>5993.0</v>
      </c>
      <c r="R94" s="251" t="s">
        <v>1112</v>
      </c>
      <c r="S94" s="251" t="s">
        <v>1122</v>
      </c>
      <c r="T94" s="251" t="s">
        <v>1101</v>
      </c>
      <c r="U94" s="252">
        <v>12.0</v>
      </c>
      <c r="V94" s="252">
        <v>12.0</v>
      </c>
      <c r="W94" s="252">
        <v>6.0</v>
      </c>
      <c r="X94" s="251" t="s">
        <v>1102</v>
      </c>
      <c r="Y94" s="251" t="s">
        <v>1646</v>
      </c>
      <c r="Z94" s="251" t="s">
        <v>1647</v>
      </c>
      <c r="AA94" s="254" t="s">
        <v>1105</v>
      </c>
      <c r="AB94" s="254" t="s">
        <v>1105</v>
      </c>
    </row>
    <row r="95">
      <c r="A95" s="252">
        <v>94.0</v>
      </c>
      <c r="B95" s="251" t="s">
        <v>1648</v>
      </c>
      <c r="C95" s="252">
        <v>1.0</v>
      </c>
      <c r="D95" s="251" t="s">
        <v>1649</v>
      </c>
      <c r="E95" s="251" t="s">
        <v>1650</v>
      </c>
      <c r="F95" s="251" t="s">
        <v>1160</v>
      </c>
      <c r="G95" s="253" t="s">
        <v>1651</v>
      </c>
      <c r="H95" s="252">
        <v>5.0</v>
      </c>
      <c r="I95" s="251" t="s">
        <v>1121</v>
      </c>
      <c r="J95" s="252">
        <v>12.0</v>
      </c>
      <c r="K95" s="252">
        <v>529.0</v>
      </c>
      <c r="L95" s="252">
        <v>100.0</v>
      </c>
      <c r="M95" s="252">
        <v>20439.0</v>
      </c>
      <c r="N95" s="252">
        <v>33111.0</v>
      </c>
      <c r="O95" s="252">
        <v>12.0</v>
      </c>
      <c r="P95" s="252">
        <v>8.0</v>
      </c>
      <c r="Q95" s="252">
        <v>1844.0</v>
      </c>
      <c r="R95" s="251" t="s">
        <v>1112</v>
      </c>
      <c r="S95" s="251" t="s">
        <v>1122</v>
      </c>
      <c r="T95" s="251" t="s">
        <v>1021</v>
      </c>
      <c r="U95" s="252">
        <v>14.0</v>
      </c>
      <c r="V95" s="252">
        <v>16.0</v>
      </c>
      <c r="W95" s="252">
        <v>6.3</v>
      </c>
      <c r="X95" s="251" t="s">
        <v>1132</v>
      </c>
      <c r="Y95" s="251" t="s">
        <v>1652</v>
      </c>
      <c r="Z95" s="251" t="s">
        <v>1653</v>
      </c>
      <c r="AA95" s="254" t="s">
        <v>1105</v>
      </c>
      <c r="AB95" s="254" t="s">
        <v>1105</v>
      </c>
    </row>
    <row r="96">
      <c r="A96" s="252">
        <v>95.0</v>
      </c>
      <c r="B96" s="251" t="s">
        <v>1654</v>
      </c>
      <c r="C96" s="252">
        <v>1.0</v>
      </c>
      <c r="D96" s="251" t="s">
        <v>1655</v>
      </c>
      <c r="E96" s="251" t="s">
        <v>1458</v>
      </c>
      <c r="F96" s="251" t="s">
        <v>1109</v>
      </c>
      <c r="G96" s="253" t="s">
        <v>1656</v>
      </c>
      <c r="H96" s="252">
        <v>5.0</v>
      </c>
      <c r="I96" s="251" t="s">
        <v>1121</v>
      </c>
      <c r="J96" s="252">
        <v>8.0</v>
      </c>
      <c r="K96" s="252">
        <v>475.0</v>
      </c>
      <c r="L96" s="252">
        <v>80.0</v>
      </c>
      <c r="M96" s="252">
        <v>12049.0</v>
      </c>
      <c r="N96" s="252">
        <v>14699.0</v>
      </c>
      <c r="O96" s="252">
        <v>8.0</v>
      </c>
      <c r="P96" s="252">
        <v>64.0</v>
      </c>
      <c r="Q96" s="252">
        <v>2005.0</v>
      </c>
      <c r="R96" s="251" t="s">
        <v>1112</v>
      </c>
      <c r="S96" s="251" t="s">
        <v>1100</v>
      </c>
      <c r="T96" s="251" t="s">
        <v>1123</v>
      </c>
      <c r="U96" s="252">
        <v>12.0</v>
      </c>
      <c r="V96" s="252">
        <v>48.0</v>
      </c>
      <c r="W96" s="252">
        <v>6.0</v>
      </c>
      <c r="X96" s="251" t="s">
        <v>1113</v>
      </c>
      <c r="Y96" s="251" t="s">
        <v>1657</v>
      </c>
      <c r="Z96" s="251" t="s">
        <v>1658</v>
      </c>
      <c r="AA96" s="254" t="s">
        <v>1105</v>
      </c>
      <c r="AB96" s="254" t="s">
        <v>1105</v>
      </c>
    </row>
    <row r="97">
      <c r="A97" s="252">
        <v>96.0</v>
      </c>
      <c r="B97" s="251" t="s">
        <v>1659</v>
      </c>
      <c r="C97" s="252">
        <v>1.0</v>
      </c>
      <c r="D97" s="251" t="s">
        <v>1660</v>
      </c>
      <c r="E97" s="251" t="s">
        <v>1661</v>
      </c>
      <c r="F97" s="251" t="s">
        <v>1233</v>
      </c>
      <c r="G97" s="253" t="s">
        <v>1662</v>
      </c>
      <c r="H97" s="252">
        <v>5.0</v>
      </c>
      <c r="I97" s="251" t="s">
        <v>1098</v>
      </c>
      <c r="J97" s="252">
        <v>12.0</v>
      </c>
      <c r="K97" s="252">
        <v>954.0</v>
      </c>
      <c r="L97" s="252">
        <v>100.0</v>
      </c>
      <c r="M97" s="252">
        <v>2987.0</v>
      </c>
      <c r="N97" s="252">
        <v>3674.0</v>
      </c>
      <c r="O97" s="252">
        <v>6.0</v>
      </c>
      <c r="P97" s="252">
        <v>16.0</v>
      </c>
      <c r="Q97" s="252">
        <v>2779.0</v>
      </c>
      <c r="R97" s="251" t="s">
        <v>1141</v>
      </c>
      <c r="S97" s="251" t="s">
        <v>1122</v>
      </c>
      <c r="T97" s="251" t="s">
        <v>1123</v>
      </c>
      <c r="U97" s="252">
        <v>48.0</v>
      </c>
      <c r="V97" s="252">
        <v>48.0</v>
      </c>
      <c r="W97" s="252">
        <v>5.2</v>
      </c>
      <c r="X97" s="251" t="s">
        <v>1113</v>
      </c>
      <c r="Y97" s="251" t="s">
        <v>1663</v>
      </c>
      <c r="Z97" s="251" t="s">
        <v>1664</v>
      </c>
      <c r="AA97" s="254" t="s">
        <v>1105</v>
      </c>
      <c r="AB97" s="254" t="s">
        <v>1105</v>
      </c>
    </row>
    <row r="98">
      <c r="A98" s="252">
        <v>97.0</v>
      </c>
      <c r="B98" s="251" t="s">
        <v>1665</v>
      </c>
      <c r="C98" s="252">
        <v>1.0</v>
      </c>
      <c r="D98" s="251" t="s">
        <v>1666</v>
      </c>
      <c r="E98" s="251" t="s">
        <v>1667</v>
      </c>
      <c r="F98" s="251" t="s">
        <v>1129</v>
      </c>
      <c r="G98" s="253" t="s">
        <v>1668</v>
      </c>
      <c r="H98" s="252">
        <v>5.0</v>
      </c>
      <c r="I98" s="251" t="s">
        <v>1131</v>
      </c>
      <c r="J98" s="252">
        <v>12.0</v>
      </c>
      <c r="K98" s="252">
        <v>391.0</v>
      </c>
      <c r="L98" s="252">
        <v>120.0</v>
      </c>
      <c r="M98" s="252">
        <v>5945.0</v>
      </c>
      <c r="N98" s="252">
        <v>8382.0</v>
      </c>
      <c r="O98" s="252">
        <v>8.0</v>
      </c>
      <c r="P98" s="252">
        <v>8.0</v>
      </c>
      <c r="Q98" s="252">
        <v>4234.0</v>
      </c>
      <c r="R98" s="251" t="s">
        <v>1099</v>
      </c>
      <c r="S98" s="251" t="s">
        <v>1100</v>
      </c>
      <c r="T98" s="251" t="s">
        <v>1123</v>
      </c>
      <c r="U98" s="252">
        <v>14.0</v>
      </c>
      <c r="V98" s="252">
        <v>16.0</v>
      </c>
      <c r="W98" s="252">
        <v>5.2</v>
      </c>
      <c r="X98" s="251" t="s">
        <v>1113</v>
      </c>
      <c r="Y98" s="251" t="s">
        <v>1669</v>
      </c>
      <c r="Z98" s="251" t="s">
        <v>1670</v>
      </c>
      <c r="AA98" s="254" t="s">
        <v>1105</v>
      </c>
      <c r="AB98" s="254" t="s">
        <v>1105</v>
      </c>
    </row>
    <row r="99">
      <c r="A99" s="252">
        <v>98.0</v>
      </c>
      <c r="B99" s="251" t="s">
        <v>1671</v>
      </c>
      <c r="C99" s="252">
        <v>1.0</v>
      </c>
      <c r="D99" s="251" t="s">
        <v>1672</v>
      </c>
      <c r="E99" s="251" t="s">
        <v>1335</v>
      </c>
      <c r="F99" s="251" t="s">
        <v>1215</v>
      </c>
      <c r="G99" s="253" t="s">
        <v>1673</v>
      </c>
      <c r="H99" s="252">
        <v>6.0</v>
      </c>
      <c r="I99" s="251" t="s">
        <v>1111</v>
      </c>
      <c r="J99" s="252">
        <v>10.0</v>
      </c>
      <c r="K99" s="252">
        <v>520.0</v>
      </c>
      <c r="L99" s="252">
        <v>100.0</v>
      </c>
      <c r="M99" s="252">
        <v>15644.0</v>
      </c>
      <c r="N99" s="252">
        <v>18772.0</v>
      </c>
      <c r="O99" s="252">
        <v>4.0</v>
      </c>
      <c r="P99" s="252">
        <v>64.0</v>
      </c>
      <c r="Q99" s="252">
        <v>5850.0</v>
      </c>
      <c r="R99" s="251" t="s">
        <v>1112</v>
      </c>
      <c r="S99" s="251" t="s">
        <v>1122</v>
      </c>
      <c r="T99" s="251" t="s">
        <v>1101</v>
      </c>
      <c r="U99" s="252">
        <v>48.0</v>
      </c>
      <c r="V99" s="252">
        <v>48.0</v>
      </c>
      <c r="W99" s="252">
        <v>4.7</v>
      </c>
      <c r="X99" s="251" t="s">
        <v>1102</v>
      </c>
      <c r="Y99" s="251" t="s">
        <v>1674</v>
      </c>
      <c r="Z99" s="251" t="s">
        <v>1675</v>
      </c>
      <c r="AA99" s="254" t="s">
        <v>1105</v>
      </c>
      <c r="AB99" s="254" t="s">
        <v>1105</v>
      </c>
    </row>
    <row r="100">
      <c r="A100" s="252">
        <v>99.0</v>
      </c>
      <c r="B100" s="251" t="s">
        <v>1676</v>
      </c>
      <c r="C100" s="252">
        <v>1.0</v>
      </c>
      <c r="D100" s="251" t="s">
        <v>1677</v>
      </c>
      <c r="E100" s="251" t="s">
        <v>1678</v>
      </c>
      <c r="F100" s="251" t="s">
        <v>1138</v>
      </c>
      <c r="G100" s="253" t="s">
        <v>1679</v>
      </c>
      <c r="H100" s="252">
        <v>4.0</v>
      </c>
      <c r="I100" s="251" t="s">
        <v>1140</v>
      </c>
      <c r="J100" s="252">
        <v>8.0</v>
      </c>
      <c r="K100" s="252">
        <v>661.0</v>
      </c>
      <c r="L100" s="252">
        <v>100.0</v>
      </c>
      <c r="M100" s="252">
        <v>7949.0</v>
      </c>
      <c r="N100" s="252">
        <v>11844.0</v>
      </c>
      <c r="O100" s="252">
        <v>8.0</v>
      </c>
      <c r="P100" s="252">
        <v>512.0</v>
      </c>
      <c r="Q100" s="252">
        <v>2307.0</v>
      </c>
      <c r="R100" s="251" t="s">
        <v>1112</v>
      </c>
      <c r="S100" s="251" t="s">
        <v>1100</v>
      </c>
      <c r="T100" s="251" t="s">
        <v>1123</v>
      </c>
      <c r="U100" s="252">
        <v>32.0</v>
      </c>
      <c r="V100" s="252">
        <v>32.0</v>
      </c>
      <c r="W100" s="252">
        <v>4.7</v>
      </c>
      <c r="X100" s="251" t="s">
        <v>1132</v>
      </c>
      <c r="Y100" s="251" t="s">
        <v>1680</v>
      </c>
      <c r="Z100" s="251" t="s">
        <v>1681</v>
      </c>
      <c r="AA100" s="254" t="s">
        <v>1105</v>
      </c>
      <c r="AB100" s="254" t="s">
        <v>1105</v>
      </c>
    </row>
    <row r="101">
      <c r="A101" s="252">
        <v>100.0</v>
      </c>
      <c r="B101" s="251" t="s">
        <v>1682</v>
      </c>
      <c r="C101" s="252">
        <v>1.0</v>
      </c>
      <c r="D101" s="251" t="s">
        <v>1683</v>
      </c>
      <c r="E101" s="251" t="s">
        <v>1159</v>
      </c>
      <c r="F101" s="251" t="s">
        <v>1160</v>
      </c>
      <c r="G101" s="253" t="s">
        <v>1684</v>
      </c>
      <c r="H101" s="252">
        <v>6.0</v>
      </c>
      <c r="I101" s="251" t="s">
        <v>1111</v>
      </c>
      <c r="J101" s="252">
        <v>12.0</v>
      </c>
      <c r="K101" s="252">
        <v>95.0</v>
      </c>
      <c r="L101" s="252">
        <v>120.0</v>
      </c>
      <c r="M101" s="252">
        <v>3410.0</v>
      </c>
      <c r="N101" s="252">
        <v>5694.0</v>
      </c>
      <c r="O101" s="252">
        <v>8.0</v>
      </c>
      <c r="P101" s="252">
        <v>64.0</v>
      </c>
      <c r="Q101" s="252">
        <v>3684.0</v>
      </c>
      <c r="R101" s="251" t="s">
        <v>1099</v>
      </c>
      <c r="S101" s="251" t="s">
        <v>1122</v>
      </c>
      <c r="T101" s="251" t="s">
        <v>1123</v>
      </c>
      <c r="U101" s="252">
        <v>32.0</v>
      </c>
      <c r="V101" s="252">
        <v>12.0</v>
      </c>
      <c r="W101" s="252">
        <v>5.2</v>
      </c>
      <c r="X101" s="251" t="s">
        <v>1102</v>
      </c>
      <c r="Y101" s="251" t="s">
        <v>1685</v>
      </c>
      <c r="Z101" s="251" t="s">
        <v>1686</v>
      </c>
      <c r="AA101" s="254" t="s">
        <v>1105</v>
      </c>
      <c r="AB101" s="254" t="s">
        <v>1105</v>
      </c>
    </row>
    <row r="102">
      <c r="A102" s="252">
        <v>101.0</v>
      </c>
      <c r="B102" s="251" t="s">
        <v>1687</v>
      </c>
      <c r="C102" s="252">
        <v>1.0</v>
      </c>
      <c r="D102" s="251" t="s">
        <v>1688</v>
      </c>
      <c r="E102" s="251" t="s">
        <v>1689</v>
      </c>
      <c r="F102" s="251" t="s">
        <v>1109</v>
      </c>
      <c r="G102" s="253" t="s">
        <v>1690</v>
      </c>
      <c r="H102" s="252">
        <v>4.0</v>
      </c>
      <c r="I102" s="251" t="s">
        <v>1140</v>
      </c>
      <c r="J102" s="252">
        <v>12.0</v>
      </c>
      <c r="K102" s="252">
        <v>40.0</v>
      </c>
      <c r="L102" s="252">
        <v>100.0</v>
      </c>
      <c r="M102" s="252">
        <v>21570.0</v>
      </c>
      <c r="N102" s="252">
        <v>36453.0</v>
      </c>
      <c r="O102" s="252">
        <v>2.0</v>
      </c>
      <c r="P102" s="252">
        <v>512.0</v>
      </c>
      <c r="Q102" s="252">
        <v>2689.0</v>
      </c>
      <c r="R102" s="251" t="s">
        <v>1099</v>
      </c>
      <c r="S102" s="251" t="s">
        <v>1100</v>
      </c>
      <c r="T102" s="251" t="s">
        <v>1021</v>
      </c>
      <c r="U102" s="252">
        <v>48.0</v>
      </c>
      <c r="V102" s="252">
        <v>12.0</v>
      </c>
      <c r="W102" s="252">
        <v>5.2</v>
      </c>
      <c r="X102" s="251" t="s">
        <v>1113</v>
      </c>
      <c r="Y102" s="251" t="s">
        <v>1691</v>
      </c>
      <c r="Z102" s="251" t="s">
        <v>1692</v>
      </c>
      <c r="AA102" s="254" t="s">
        <v>1105</v>
      </c>
      <c r="AB102" s="254" t="s">
        <v>1105</v>
      </c>
    </row>
    <row r="103">
      <c r="A103" s="252">
        <v>102.0</v>
      </c>
      <c r="B103" s="251" t="s">
        <v>1693</v>
      </c>
      <c r="C103" s="252">
        <v>1.0</v>
      </c>
      <c r="D103" s="251" t="s">
        <v>1694</v>
      </c>
      <c r="E103" s="251" t="s">
        <v>1695</v>
      </c>
      <c r="F103" s="251" t="s">
        <v>1109</v>
      </c>
      <c r="G103" s="253" t="s">
        <v>1696</v>
      </c>
      <c r="H103" s="252">
        <v>3.0</v>
      </c>
      <c r="I103" s="251" t="s">
        <v>1121</v>
      </c>
      <c r="J103" s="252">
        <v>10.0</v>
      </c>
      <c r="K103" s="252">
        <v>757.0</v>
      </c>
      <c r="L103" s="252">
        <v>100.0</v>
      </c>
      <c r="M103" s="252">
        <v>18935.0</v>
      </c>
      <c r="N103" s="252">
        <v>24236.0</v>
      </c>
      <c r="O103" s="252">
        <v>6.0</v>
      </c>
      <c r="P103" s="252">
        <v>8.0</v>
      </c>
      <c r="Q103" s="252">
        <v>4583.0</v>
      </c>
      <c r="R103" s="251" t="s">
        <v>1099</v>
      </c>
      <c r="S103" s="251" t="s">
        <v>1122</v>
      </c>
      <c r="T103" s="251" t="s">
        <v>1101</v>
      </c>
      <c r="U103" s="252">
        <v>14.0</v>
      </c>
      <c r="V103" s="252">
        <v>14.0</v>
      </c>
      <c r="W103" s="252">
        <v>5.0</v>
      </c>
      <c r="X103" s="251" t="s">
        <v>1147</v>
      </c>
      <c r="Y103" s="251" t="s">
        <v>1697</v>
      </c>
      <c r="Z103" s="251" t="s">
        <v>1698</v>
      </c>
      <c r="AA103" s="254" t="s">
        <v>1105</v>
      </c>
      <c r="AB103" s="254" t="s">
        <v>1105</v>
      </c>
    </row>
    <row r="104">
      <c r="A104" s="252">
        <v>103.0</v>
      </c>
      <c r="B104" s="251" t="s">
        <v>1699</v>
      </c>
      <c r="C104" s="252">
        <v>1.0</v>
      </c>
      <c r="D104" s="251" t="s">
        <v>1700</v>
      </c>
      <c r="E104" s="251" t="s">
        <v>1701</v>
      </c>
      <c r="F104" s="251" t="s">
        <v>1119</v>
      </c>
      <c r="G104" s="253" t="s">
        <v>1702</v>
      </c>
      <c r="H104" s="252">
        <v>2.0</v>
      </c>
      <c r="I104" s="251" t="s">
        <v>1131</v>
      </c>
      <c r="J104" s="252">
        <v>12.0</v>
      </c>
      <c r="K104" s="252">
        <v>341.0</v>
      </c>
      <c r="L104" s="252">
        <v>120.0</v>
      </c>
      <c r="M104" s="252">
        <v>6551.0</v>
      </c>
      <c r="N104" s="252">
        <v>11791.0</v>
      </c>
      <c r="O104" s="252">
        <v>12.0</v>
      </c>
      <c r="P104" s="252">
        <v>512.0</v>
      </c>
      <c r="Q104" s="252">
        <v>4530.0</v>
      </c>
      <c r="R104" s="251" t="s">
        <v>1112</v>
      </c>
      <c r="S104" s="251" t="s">
        <v>1122</v>
      </c>
      <c r="T104" s="251" t="s">
        <v>1123</v>
      </c>
      <c r="U104" s="252">
        <v>32.0</v>
      </c>
      <c r="V104" s="252">
        <v>32.0</v>
      </c>
      <c r="W104" s="252">
        <v>4.7</v>
      </c>
      <c r="X104" s="251" t="s">
        <v>1113</v>
      </c>
      <c r="Y104" s="251" t="s">
        <v>1703</v>
      </c>
      <c r="Z104" s="251" t="s">
        <v>1704</v>
      </c>
      <c r="AA104" s="254" t="s">
        <v>1105</v>
      </c>
      <c r="AB104" s="254" t="s">
        <v>1105</v>
      </c>
    </row>
    <row r="105">
      <c r="A105" s="252">
        <v>104.0</v>
      </c>
      <c r="B105" s="251" t="s">
        <v>1705</v>
      </c>
      <c r="C105" s="252">
        <v>1.0</v>
      </c>
      <c r="D105" s="251" t="s">
        <v>1706</v>
      </c>
      <c r="E105" s="251" t="s">
        <v>1534</v>
      </c>
      <c r="F105" s="251" t="s">
        <v>1119</v>
      </c>
      <c r="G105" s="253" t="s">
        <v>1707</v>
      </c>
      <c r="H105" s="252">
        <v>6.0</v>
      </c>
      <c r="I105" s="251" t="s">
        <v>1131</v>
      </c>
      <c r="J105" s="252">
        <v>10.0</v>
      </c>
      <c r="K105" s="252">
        <v>746.0</v>
      </c>
      <c r="L105" s="252">
        <v>100.0</v>
      </c>
      <c r="M105" s="252">
        <v>21428.0</v>
      </c>
      <c r="N105" s="252">
        <v>38141.0</v>
      </c>
      <c r="O105" s="252">
        <v>4.0</v>
      </c>
      <c r="P105" s="252">
        <v>64.0</v>
      </c>
      <c r="Q105" s="252">
        <v>4663.0</v>
      </c>
      <c r="R105" s="251" t="s">
        <v>1141</v>
      </c>
      <c r="S105" s="251" t="s">
        <v>1100</v>
      </c>
      <c r="T105" s="251" t="s">
        <v>1101</v>
      </c>
      <c r="U105" s="252">
        <v>14.0</v>
      </c>
      <c r="V105" s="252">
        <v>12.0</v>
      </c>
      <c r="W105" s="252">
        <v>5.2</v>
      </c>
      <c r="X105" s="251" t="s">
        <v>1102</v>
      </c>
      <c r="Y105" s="251" t="s">
        <v>1708</v>
      </c>
      <c r="Z105" s="251" t="s">
        <v>1709</v>
      </c>
      <c r="AA105" s="254" t="s">
        <v>1105</v>
      </c>
      <c r="AB105" s="254" t="s">
        <v>1105</v>
      </c>
    </row>
    <row r="106">
      <c r="A106" s="252">
        <v>105.0</v>
      </c>
      <c r="B106" s="251" t="s">
        <v>1710</v>
      </c>
      <c r="C106" s="252">
        <v>1.0</v>
      </c>
      <c r="D106" s="251" t="s">
        <v>1711</v>
      </c>
      <c r="E106" s="251" t="s">
        <v>1712</v>
      </c>
      <c r="F106" s="251" t="s">
        <v>1109</v>
      </c>
      <c r="G106" s="253" t="s">
        <v>1713</v>
      </c>
      <c r="H106" s="252">
        <v>2.0</v>
      </c>
      <c r="I106" s="251" t="s">
        <v>1098</v>
      </c>
      <c r="J106" s="252">
        <v>10.0</v>
      </c>
      <c r="K106" s="252">
        <v>997.0</v>
      </c>
      <c r="L106" s="252">
        <v>80.0</v>
      </c>
      <c r="M106" s="252">
        <v>2689.0</v>
      </c>
      <c r="N106" s="252">
        <v>3495.0</v>
      </c>
      <c r="O106" s="252">
        <v>12.0</v>
      </c>
      <c r="P106" s="252">
        <v>512.0</v>
      </c>
      <c r="Q106" s="252">
        <v>1906.0</v>
      </c>
      <c r="R106" s="251" t="s">
        <v>1099</v>
      </c>
      <c r="S106" s="251" t="s">
        <v>1122</v>
      </c>
      <c r="T106" s="251" t="s">
        <v>1123</v>
      </c>
      <c r="U106" s="252">
        <v>12.0</v>
      </c>
      <c r="V106" s="252">
        <v>14.0</v>
      </c>
      <c r="W106" s="252">
        <v>5.2</v>
      </c>
      <c r="X106" s="251" t="s">
        <v>1102</v>
      </c>
      <c r="Y106" s="251" t="s">
        <v>1714</v>
      </c>
      <c r="Z106" s="251" t="s">
        <v>1715</v>
      </c>
      <c r="AA106" s="254" t="s">
        <v>1105</v>
      </c>
      <c r="AB106" s="254" t="s">
        <v>1105</v>
      </c>
    </row>
    <row r="107">
      <c r="A107" s="252">
        <v>106.0</v>
      </c>
      <c r="B107" s="251" t="s">
        <v>1716</v>
      </c>
      <c r="C107" s="252">
        <v>1.0</v>
      </c>
      <c r="D107" s="251" t="s">
        <v>1717</v>
      </c>
      <c r="E107" s="251" t="s">
        <v>1239</v>
      </c>
      <c r="F107" s="251" t="s">
        <v>1119</v>
      </c>
      <c r="G107" s="253" t="s">
        <v>1718</v>
      </c>
      <c r="H107" s="252">
        <v>5.0</v>
      </c>
      <c r="I107" s="251" t="s">
        <v>1121</v>
      </c>
      <c r="J107" s="252">
        <v>8.0</v>
      </c>
      <c r="K107" s="252">
        <v>777.0</v>
      </c>
      <c r="L107" s="252">
        <v>120.0</v>
      </c>
      <c r="M107" s="252">
        <v>19461.0</v>
      </c>
      <c r="N107" s="252">
        <v>24326.0</v>
      </c>
      <c r="O107" s="252">
        <v>8.0</v>
      </c>
      <c r="P107" s="252">
        <v>512.0</v>
      </c>
      <c r="Q107" s="252">
        <v>4955.0</v>
      </c>
      <c r="R107" s="251" t="s">
        <v>1141</v>
      </c>
      <c r="S107" s="251" t="s">
        <v>1122</v>
      </c>
      <c r="T107" s="251" t="s">
        <v>1101</v>
      </c>
      <c r="U107" s="252">
        <v>14.0</v>
      </c>
      <c r="V107" s="252">
        <v>16.0</v>
      </c>
      <c r="W107" s="252">
        <v>6.3</v>
      </c>
      <c r="X107" s="251" t="s">
        <v>1132</v>
      </c>
      <c r="Y107" s="251" t="s">
        <v>1719</v>
      </c>
      <c r="Z107" s="251" t="s">
        <v>1720</v>
      </c>
      <c r="AA107" s="254" t="s">
        <v>1105</v>
      </c>
      <c r="AB107" s="254" t="s">
        <v>1105</v>
      </c>
    </row>
    <row r="108">
      <c r="A108" s="252">
        <v>107.0</v>
      </c>
      <c r="B108" s="251" t="s">
        <v>1721</v>
      </c>
      <c r="C108" s="252">
        <v>1.0</v>
      </c>
      <c r="D108" s="251" t="s">
        <v>1722</v>
      </c>
      <c r="E108" s="251" t="s">
        <v>1422</v>
      </c>
      <c r="F108" s="251" t="s">
        <v>1138</v>
      </c>
      <c r="G108" s="253" t="s">
        <v>1723</v>
      </c>
      <c r="H108" s="252">
        <v>3.0</v>
      </c>
      <c r="I108" s="251" t="s">
        <v>1131</v>
      </c>
      <c r="J108" s="252">
        <v>12.0</v>
      </c>
      <c r="K108" s="252">
        <v>796.0</v>
      </c>
      <c r="L108" s="252">
        <v>80.0</v>
      </c>
      <c r="M108" s="252">
        <v>5932.0</v>
      </c>
      <c r="N108" s="252">
        <v>8482.0</v>
      </c>
      <c r="O108" s="252">
        <v>8.0</v>
      </c>
      <c r="P108" s="252">
        <v>64.0</v>
      </c>
      <c r="Q108" s="252">
        <v>2840.0</v>
      </c>
      <c r="R108" s="251" t="s">
        <v>1141</v>
      </c>
      <c r="S108" s="251" t="s">
        <v>1100</v>
      </c>
      <c r="T108" s="251" t="s">
        <v>1021</v>
      </c>
      <c r="U108" s="252">
        <v>32.0</v>
      </c>
      <c r="V108" s="252">
        <v>12.0</v>
      </c>
      <c r="W108" s="252">
        <v>6.0</v>
      </c>
      <c r="X108" s="251" t="s">
        <v>1113</v>
      </c>
      <c r="Y108" s="251" t="s">
        <v>1724</v>
      </c>
      <c r="Z108" s="251" t="s">
        <v>1725</v>
      </c>
      <c r="AA108" s="254" t="s">
        <v>1105</v>
      </c>
      <c r="AB108" s="254" t="s">
        <v>1105</v>
      </c>
    </row>
    <row r="109">
      <c r="A109" s="252">
        <v>108.0</v>
      </c>
      <c r="B109" s="251" t="s">
        <v>1726</v>
      </c>
      <c r="C109" s="252">
        <v>1.0</v>
      </c>
      <c r="D109" s="251" t="s">
        <v>1727</v>
      </c>
      <c r="E109" s="251" t="s">
        <v>1728</v>
      </c>
      <c r="F109" s="251" t="s">
        <v>1202</v>
      </c>
      <c r="G109" s="253" t="s">
        <v>1729</v>
      </c>
      <c r="H109" s="252">
        <v>2.0</v>
      </c>
      <c r="I109" s="251" t="s">
        <v>1098</v>
      </c>
      <c r="J109" s="252">
        <v>12.0</v>
      </c>
      <c r="K109" s="252">
        <v>995.0</v>
      </c>
      <c r="L109" s="252">
        <v>120.0</v>
      </c>
      <c r="M109" s="252">
        <v>9949.0</v>
      </c>
      <c r="N109" s="252">
        <v>14724.0</v>
      </c>
      <c r="O109" s="252">
        <v>2.0</v>
      </c>
      <c r="P109" s="252">
        <v>32.0</v>
      </c>
      <c r="Q109" s="252">
        <v>5730.0</v>
      </c>
      <c r="R109" s="251" t="s">
        <v>1112</v>
      </c>
      <c r="S109" s="251" t="s">
        <v>1122</v>
      </c>
      <c r="T109" s="251" t="s">
        <v>1021</v>
      </c>
      <c r="U109" s="252">
        <v>16.0</v>
      </c>
      <c r="V109" s="252">
        <v>16.0</v>
      </c>
      <c r="W109" s="252">
        <v>5.5</v>
      </c>
      <c r="X109" s="251" t="s">
        <v>1102</v>
      </c>
      <c r="Y109" s="251" t="s">
        <v>1730</v>
      </c>
      <c r="Z109" s="251" t="s">
        <v>1731</v>
      </c>
      <c r="AA109" s="254" t="s">
        <v>1105</v>
      </c>
      <c r="AB109" s="254" t="s">
        <v>1105</v>
      </c>
    </row>
    <row r="110">
      <c r="A110" s="252">
        <v>109.0</v>
      </c>
      <c r="B110" s="251" t="s">
        <v>1732</v>
      </c>
      <c r="C110" s="252">
        <v>1.0</v>
      </c>
      <c r="D110" s="251" t="s">
        <v>1733</v>
      </c>
      <c r="E110" s="251" t="s">
        <v>1393</v>
      </c>
      <c r="F110" s="251" t="s">
        <v>1160</v>
      </c>
      <c r="G110" s="253" t="s">
        <v>1734</v>
      </c>
      <c r="H110" s="252">
        <v>6.0</v>
      </c>
      <c r="I110" s="251" t="s">
        <v>1098</v>
      </c>
      <c r="J110" s="252">
        <v>10.0</v>
      </c>
      <c r="K110" s="252">
        <v>757.0</v>
      </c>
      <c r="L110" s="252">
        <v>100.0</v>
      </c>
      <c r="M110" s="252">
        <v>2620.0</v>
      </c>
      <c r="N110" s="252">
        <v>4663.0</v>
      </c>
      <c r="O110" s="252">
        <v>2.0</v>
      </c>
      <c r="P110" s="252">
        <v>128.0</v>
      </c>
      <c r="Q110" s="252">
        <v>1999.0</v>
      </c>
      <c r="R110" s="251" t="s">
        <v>1099</v>
      </c>
      <c r="S110" s="251" t="s">
        <v>1122</v>
      </c>
      <c r="T110" s="251" t="s">
        <v>1101</v>
      </c>
      <c r="U110" s="252">
        <v>12.0</v>
      </c>
      <c r="V110" s="252">
        <v>12.0</v>
      </c>
      <c r="W110" s="252">
        <v>6.3</v>
      </c>
      <c r="X110" s="251" t="s">
        <v>1102</v>
      </c>
      <c r="Y110" s="251" t="s">
        <v>1735</v>
      </c>
      <c r="Z110" s="251" t="s">
        <v>1736</v>
      </c>
      <c r="AA110" s="254" t="s">
        <v>1105</v>
      </c>
      <c r="AB110" s="254" t="s">
        <v>1105</v>
      </c>
    </row>
    <row r="111">
      <c r="A111" s="252">
        <v>110.0</v>
      </c>
      <c r="B111" s="251" t="s">
        <v>1737</v>
      </c>
      <c r="C111" s="252">
        <v>1.0</v>
      </c>
      <c r="D111" s="251" t="s">
        <v>1738</v>
      </c>
      <c r="E111" s="251" t="s">
        <v>1739</v>
      </c>
      <c r="F111" s="251" t="s">
        <v>1233</v>
      </c>
      <c r="G111" s="253" t="s">
        <v>1740</v>
      </c>
      <c r="H111" s="252">
        <v>4.0</v>
      </c>
      <c r="I111" s="251" t="s">
        <v>1131</v>
      </c>
      <c r="J111" s="252">
        <v>8.0</v>
      </c>
      <c r="K111" s="252">
        <v>14.0</v>
      </c>
      <c r="L111" s="252">
        <v>100.0</v>
      </c>
      <c r="M111" s="252">
        <v>8139.0</v>
      </c>
      <c r="N111" s="252">
        <v>14243.0</v>
      </c>
      <c r="O111" s="252">
        <v>12.0</v>
      </c>
      <c r="P111" s="252">
        <v>128.0</v>
      </c>
      <c r="Q111" s="252">
        <v>3321.0</v>
      </c>
      <c r="R111" s="251" t="s">
        <v>1112</v>
      </c>
      <c r="S111" s="251" t="s">
        <v>1100</v>
      </c>
      <c r="T111" s="251" t="s">
        <v>1021</v>
      </c>
      <c r="U111" s="252">
        <v>48.0</v>
      </c>
      <c r="V111" s="252">
        <v>32.0</v>
      </c>
      <c r="W111" s="252">
        <v>4.7</v>
      </c>
      <c r="X111" s="251" t="s">
        <v>1147</v>
      </c>
      <c r="Y111" s="251" t="s">
        <v>1741</v>
      </c>
      <c r="Z111" s="251" t="s">
        <v>1742</v>
      </c>
      <c r="AA111" s="254" t="s">
        <v>1105</v>
      </c>
      <c r="AB111" s="254" t="s">
        <v>1105</v>
      </c>
    </row>
    <row r="112">
      <c r="A112" s="252">
        <v>111.0</v>
      </c>
      <c r="B112" s="251" t="s">
        <v>1743</v>
      </c>
      <c r="C112" s="252">
        <v>1.0</v>
      </c>
      <c r="D112" s="251" t="s">
        <v>1744</v>
      </c>
      <c r="E112" s="251" t="s">
        <v>1306</v>
      </c>
      <c r="F112" s="251" t="s">
        <v>1129</v>
      </c>
      <c r="G112" s="253" t="s">
        <v>1745</v>
      </c>
      <c r="H112" s="252">
        <v>6.0</v>
      </c>
      <c r="I112" s="251" t="s">
        <v>1140</v>
      </c>
      <c r="J112" s="252">
        <v>8.0</v>
      </c>
      <c r="K112" s="252">
        <v>143.0</v>
      </c>
      <c r="L112" s="252">
        <v>120.0</v>
      </c>
      <c r="M112" s="252">
        <v>15837.0</v>
      </c>
      <c r="N112" s="252">
        <v>22805.0</v>
      </c>
      <c r="O112" s="252">
        <v>2.0</v>
      </c>
      <c r="P112" s="252">
        <v>128.0</v>
      </c>
      <c r="Q112" s="252">
        <v>3856.0</v>
      </c>
      <c r="R112" s="251" t="s">
        <v>1112</v>
      </c>
      <c r="S112" s="251" t="s">
        <v>1100</v>
      </c>
      <c r="T112" s="251" t="s">
        <v>1101</v>
      </c>
      <c r="U112" s="252">
        <v>32.0</v>
      </c>
      <c r="V112" s="252">
        <v>48.0</v>
      </c>
      <c r="W112" s="252">
        <v>6.3</v>
      </c>
      <c r="X112" s="251" t="s">
        <v>1113</v>
      </c>
      <c r="Y112" s="251" t="s">
        <v>1746</v>
      </c>
      <c r="Z112" s="251" t="s">
        <v>1747</v>
      </c>
      <c r="AA112" s="254" t="s">
        <v>1105</v>
      </c>
      <c r="AB112" s="254" t="s">
        <v>1105</v>
      </c>
    </row>
    <row r="113">
      <c r="A113" s="252">
        <v>112.0</v>
      </c>
      <c r="B113" s="251" t="s">
        <v>1748</v>
      </c>
      <c r="C113" s="252">
        <v>1.0</v>
      </c>
      <c r="D113" s="251" t="s">
        <v>1749</v>
      </c>
      <c r="E113" s="251" t="s">
        <v>1639</v>
      </c>
      <c r="F113" s="251" t="s">
        <v>1129</v>
      </c>
      <c r="G113" s="253" t="s">
        <v>1750</v>
      </c>
      <c r="H113" s="252">
        <v>6.0</v>
      </c>
      <c r="I113" s="251" t="s">
        <v>1140</v>
      </c>
      <c r="J113" s="252">
        <v>12.0</v>
      </c>
      <c r="K113" s="252">
        <v>452.0</v>
      </c>
      <c r="L113" s="252">
        <v>120.0</v>
      </c>
      <c r="M113" s="252">
        <v>19115.0</v>
      </c>
      <c r="N113" s="252">
        <v>25040.0</v>
      </c>
      <c r="O113" s="252">
        <v>2.0</v>
      </c>
      <c r="P113" s="252">
        <v>32.0</v>
      </c>
      <c r="Q113" s="252">
        <v>4870.0</v>
      </c>
      <c r="R113" s="251" t="s">
        <v>1099</v>
      </c>
      <c r="S113" s="251" t="s">
        <v>1122</v>
      </c>
      <c r="T113" s="251" t="s">
        <v>1021</v>
      </c>
      <c r="U113" s="252">
        <v>48.0</v>
      </c>
      <c r="V113" s="252">
        <v>32.0</v>
      </c>
      <c r="W113" s="252">
        <v>6.3</v>
      </c>
      <c r="X113" s="251" t="s">
        <v>1132</v>
      </c>
      <c r="Y113" s="251" t="s">
        <v>1751</v>
      </c>
      <c r="Z113" s="251" t="s">
        <v>1752</v>
      </c>
      <c r="AA113" s="254" t="s">
        <v>1105</v>
      </c>
      <c r="AB113" s="254" t="s">
        <v>1105</v>
      </c>
    </row>
    <row r="114">
      <c r="A114" s="252">
        <v>113.0</v>
      </c>
      <c r="B114" s="251" t="s">
        <v>1753</v>
      </c>
      <c r="C114" s="252">
        <v>1.0</v>
      </c>
      <c r="D114" s="251" t="s">
        <v>1754</v>
      </c>
      <c r="E114" s="251" t="s">
        <v>1440</v>
      </c>
      <c r="F114" s="251" t="s">
        <v>1233</v>
      </c>
      <c r="G114" s="253" t="s">
        <v>1755</v>
      </c>
      <c r="H114" s="252">
        <v>2.0</v>
      </c>
      <c r="I114" s="251" t="s">
        <v>1098</v>
      </c>
      <c r="J114" s="252">
        <v>12.0</v>
      </c>
      <c r="K114" s="252">
        <v>28.0</v>
      </c>
      <c r="L114" s="252">
        <v>100.0</v>
      </c>
      <c r="M114" s="252">
        <v>22671.0</v>
      </c>
      <c r="N114" s="252">
        <v>34459.0</v>
      </c>
      <c r="O114" s="252">
        <v>6.0</v>
      </c>
      <c r="P114" s="252">
        <v>128.0</v>
      </c>
      <c r="Q114" s="252">
        <v>3254.0</v>
      </c>
      <c r="R114" s="251" t="s">
        <v>1099</v>
      </c>
      <c r="S114" s="251" t="s">
        <v>1122</v>
      </c>
      <c r="T114" s="251" t="s">
        <v>1101</v>
      </c>
      <c r="U114" s="252">
        <v>16.0</v>
      </c>
      <c r="V114" s="252">
        <v>14.0</v>
      </c>
      <c r="W114" s="252">
        <v>4.7</v>
      </c>
      <c r="X114" s="251" t="s">
        <v>1147</v>
      </c>
      <c r="Y114" s="251" t="s">
        <v>1756</v>
      </c>
      <c r="Z114" s="251" t="s">
        <v>1757</v>
      </c>
      <c r="AA114" s="254" t="s">
        <v>1105</v>
      </c>
      <c r="AB114" s="254" t="s">
        <v>1105</v>
      </c>
    </row>
    <row r="115">
      <c r="A115" s="252">
        <v>114.0</v>
      </c>
      <c r="B115" s="251" t="s">
        <v>1758</v>
      </c>
      <c r="C115" s="252">
        <v>1.0</v>
      </c>
      <c r="D115" s="251" t="s">
        <v>1759</v>
      </c>
      <c r="E115" s="251" t="s">
        <v>1411</v>
      </c>
      <c r="F115" s="251" t="s">
        <v>1119</v>
      </c>
      <c r="G115" s="253" t="s">
        <v>1760</v>
      </c>
      <c r="H115" s="252">
        <v>6.0</v>
      </c>
      <c r="I115" s="251" t="s">
        <v>1111</v>
      </c>
      <c r="J115" s="252">
        <v>10.0</v>
      </c>
      <c r="K115" s="252">
        <v>502.0</v>
      </c>
      <c r="L115" s="252">
        <v>80.0</v>
      </c>
      <c r="M115" s="252">
        <v>5786.0</v>
      </c>
      <c r="N115" s="252">
        <v>10588.0</v>
      </c>
      <c r="O115" s="252">
        <v>6.0</v>
      </c>
      <c r="P115" s="252">
        <v>128.0</v>
      </c>
      <c r="Q115" s="252">
        <v>6241.0</v>
      </c>
      <c r="R115" s="251" t="s">
        <v>1112</v>
      </c>
      <c r="S115" s="251" t="s">
        <v>1100</v>
      </c>
      <c r="T115" s="251" t="s">
        <v>1021</v>
      </c>
      <c r="U115" s="252">
        <v>14.0</v>
      </c>
      <c r="V115" s="252">
        <v>14.0</v>
      </c>
      <c r="W115" s="252">
        <v>5.2</v>
      </c>
      <c r="X115" s="251" t="s">
        <v>1113</v>
      </c>
      <c r="Y115" s="251" t="s">
        <v>1761</v>
      </c>
      <c r="Z115" s="251" t="s">
        <v>1762</v>
      </c>
      <c r="AA115" s="254" t="s">
        <v>1105</v>
      </c>
      <c r="AB115" s="254" t="s">
        <v>1105</v>
      </c>
    </row>
    <row r="116">
      <c r="A116" s="252">
        <v>115.0</v>
      </c>
      <c r="B116" s="251" t="s">
        <v>1763</v>
      </c>
      <c r="C116" s="252">
        <v>1.0</v>
      </c>
      <c r="D116" s="251" t="s">
        <v>1764</v>
      </c>
      <c r="E116" s="251" t="s">
        <v>1369</v>
      </c>
      <c r="F116" s="251" t="s">
        <v>1129</v>
      </c>
      <c r="G116" s="253" t="s">
        <v>1765</v>
      </c>
      <c r="H116" s="252">
        <v>6.0</v>
      </c>
      <c r="I116" s="251" t="s">
        <v>1111</v>
      </c>
      <c r="J116" s="252">
        <v>12.0</v>
      </c>
      <c r="K116" s="252">
        <v>970.0</v>
      </c>
      <c r="L116" s="252">
        <v>100.0</v>
      </c>
      <c r="M116" s="252">
        <v>22022.0</v>
      </c>
      <c r="N116" s="252">
        <v>33033.0</v>
      </c>
      <c r="O116" s="252">
        <v>6.0</v>
      </c>
      <c r="P116" s="252">
        <v>128.0</v>
      </c>
      <c r="Q116" s="252">
        <v>6383.0</v>
      </c>
      <c r="R116" s="251" t="s">
        <v>1141</v>
      </c>
      <c r="S116" s="251" t="s">
        <v>1100</v>
      </c>
      <c r="T116" s="251" t="s">
        <v>1123</v>
      </c>
      <c r="U116" s="252">
        <v>16.0</v>
      </c>
      <c r="V116" s="252">
        <v>32.0</v>
      </c>
      <c r="W116" s="252">
        <v>4.7</v>
      </c>
      <c r="X116" s="251" t="s">
        <v>1132</v>
      </c>
      <c r="Y116" s="251" t="s">
        <v>1766</v>
      </c>
      <c r="Z116" s="251" t="s">
        <v>1767</v>
      </c>
      <c r="AA116" s="254" t="s">
        <v>1105</v>
      </c>
      <c r="AB116" s="254" t="s">
        <v>1105</v>
      </c>
    </row>
    <row r="117">
      <c r="A117" s="252">
        <v>116.0</v>
      </c>
      <c r="B117" s="251" t="s">
        <v>1768</v>
      </c>
      <c r="C117" s="252">
        <v>1.0</v>
      </c>
      <c r="D117" s="251" t="s">
        <v>1769</v>
      </c>
      <c r="E117" s="251" t="s">
        <v>1523</v>
      </c>
      <c r="F117" s="251" t="s">
        <v>1215</v>
      </c>
      <c r="G117" s="253" t="s">
        <v>1770</v>
      </c>
      <c r="H117" s="252">
        <v>6.0</v>
      </c>
      <c r="I117" s="251" t="s">
        <v>1111</v>
      </c>
      <c r="J117" s="252">
        <v>12.0</v>
      </c>
      <c r="K117" s="252">
        <v>106.0</v>
      </c>
      <c r="L117" s="252">
        <v>100.0</v>
      </c>
      <c r="M117" s="252">
        <v>14014.0</v>
      </c>
      <c r="N117" s="252">
        <v>20880.0</v>
      </c>
      <c r="O117" s="252">
        <v>8.0</v>
      </c>
      <c r="P117" s="252">
        <v>32.0</v>
      </c>
      <c r="Q117" s="252">
        <v>5267.0</v>
      </c>
      <c r="R117" s="251" t="s">
        <v>1099</v>
      </c>
      <c r="S117" s="251" t="s">
        <v>1122</v>
      </c>
      <c r="T117" s="251" t="s">
        <v>1021</v>
      </c>
      <c r="U117" s="252">
        <v>14.0</v>
      </c>
      <c r="V117" s="252">
        <v>48.0</v>
      </c>
      <c r="W117" s="252">
        <v>6.0</v>
      </c>
      <c r="X117" s="251" t="s">
        <v>1147</v>
      </c>
      <c r="Y117" s="251" t="s">
        <v>1771</v>
      </c>
      <c r="Z117" s="251" t="s">
        <v>1772</v>
      </c>
      <c r="AA117" s="254" t="s">
        <v>1105</v>
      </c>
      <c r="AB117" s="254" t="s">
        <v>1105</v>
      </c>
    </row>
    <row r="118">
      <c r="A118" s="252">
        <v>117.0</v>
      </c>
      <c r="B118" s="251" t="s">
        <v>1773</v>
      </c>
      <c r="C118" s="252">
        <v>1.0</v>
      </c>
      <c r="D118" s="251" t="s">
        <v>1774</v>
      </c>
      <c r="E118" s="251" t="s">
        <v>1214</v>
      </c>
      <c r="F118" s="251" t="s">
        <v>1215</v>
      </c>
      <c r="G118" s="253" t="s">
        <v>1775</v>
      </c>
      <c r="H118" s="252">
        <v>2.0</v>
      </c>
      <c r="I118" s="251" t="s">
        <v>1131</v>
      </c>
      <c r="J118" s="252">
        <v>12.0</v>
      </c>
      <c r="K118" s="252">
        <v>913.0</v>
      </c>
      <c r="L118" s="252">
        <v>100.0</v>
      </c>
      <c r="M118" s="252">
        <v>17830.0</v>
      </c>
      <c r="N118" s="252">
        <v>26566.0</v>
      </c>
      <c r="O118" s="252">
        <v>4.0</v>
      </c>
      <c r="P118" s="252">
        <v>512.0</v>
      </c>
      <c r="Q118" s="252">
        <v>5743.0</v>
      </c>
      <c r="R118" s="251" t="s">
        <v>1141</v>
      </c>
      <c r="S118" s="251" t="s">
        <v>1122</v>
      </c>
      <c r="T118" s="251" t="s">
        <v>1123</v>
      </c>
      <c r="U118" s="252">
        <v>14.0</v>
      </c>
      <c r="V118" s="252">
        <v>14.0</v>
      </c>
      <c r="W118" s="252">
        <v>5.0</v>
      </c>
      <c r="X118" s="251" t="s">
        <v>1113</v>
      </c>
      <c r="Y118" s="251" t="s">
        <v>1776</v>
      </c>
      <c r="Z118" s="251" t="s">
        <v>1777</v>
      </c>
      <c r="AA118" s="254" t="s">
        <v>1105</v>
      </c>
      <c r="AB118" s="254" t="s">
        <v>1105</v>
      </c>
    </row>
    <row r="119">
      <c r="A119" s="252">
        <v>118.0</v>
      </c>
      <c r="B119" s="251" t="s">
        <v>1778</v>
      </c>
      <c r="C119" s="252">
        <v>1.0</v>
      </c>
      <c r="D119" s="251" t="s">
        <v>1779</v>
      </c>
      <c r="E119" s="251" t="s">
        <v>1780</v>
      </c>
      <c r="F119" s="251" t="s">
        <v>1129</v>
      </c>
      <c r="G119" s="253" t="s">
        <v>1781</v>
      </c>
      <c r="H119" s="252">
        <v>2.0</v>
      </c>
      <c r="I119" s="251" t="s">
        <v>1098</v>
      </c>
      <c r="J119" s="252">
        <v>10.0</v>
      </c>
      <c r="K119" s="252">
        <v>396.0</v>
      </c>
      <c r="L119" s="252">
        <v>100.0</v>
      </c>
      <c r="M119" s="252">
        <v>22468.0</v>
      </c>
      <c r="N119" s="252">
        <v>30331.0</v>
      </c>
      <c r="O119" s="252">
        <v>8.0</v>
      </c>
      <c r="P119" s="252">
        <v>32.0</v>
      </c>
      <c r="Q119" s="252">
        <v>5924.0</v>
      </c>
      <c r="R119" s="251" t="s">
        <v>1141</v>
      </c>
      <c r="S119" s="251" t="s">
        <v>1122</v>
      </c>
      <c r="T119" s="251" t="s">
        <v>1123</v>
      </c>
      <c r="U119" s="252">
        <v>48.0</v>
      </c>
      <c r="V119" s="252">
        <v>16.0</v>
      </c>
      <c r="W119" s="252">
        <v>6.3</v>
      </c>
      <c r="X119" s="251" t="s">
        <v>1147</v>
      </c>
      <c r="Y119" s="251" t="s">
        <v>1782</v>
      </c>
      <c r="Z119" s="251" t="s">
        <v>1783</v>
      </c>
      <c r="AA119" s="254" t="s">
        <v>1105</v>
      </c>
      <c r="AB119" s="254" t="s">
        <v>1105</v>
      </c>
    </row>
    <row r="120">
      <c r="A120" s="252">
        <v>119.0</v>
      </c>
      <c r="B120" s="251" t="s">
        <v>1784</v>
      </c>
      <c r="C120" s="252">
        <v>1.0</v>
      </c>
      <c r="D120" s="251" t="s">
        <v>1785</v>
      </c>
      <c r="E120" s="251" t="s">
        <v>1609</v>
      </c>
      <c r="F120" s="251" t="s">
        <v>1109</v>
      </c>
      <c r="G120" s="253" t="s">
        <v>1786</v>
      </c>
      <c r="H120" s="252">
        <v>2.0</v>
      </c>
      <c r="I120" s="251" t="s">
        <v>1131</v>
      </c>
      <c r="J120" s="252">
        <v>12.0</v>
      </c>
      <c r="K120" s="252">
        <v>831.0</v>
      </c>
      <c r="L120" s="252">
        <v>120.0</v>
      </c>
      <c r="M120" s="252">
        <v>22644.0</v>
      </c>
      <c r="N120" s="252">
        <v>37136.0</v>
      </c>
      <c r="O120" s="252">
        <v>12.0</v>
      </c>
      <c r="P120" s="252">
        <v>128.0</v>
      </c>
      <c r="Q120" s="252">
        <v>4959.0</v>
      </c>
      <c r="R120" s="251" t="s">
        <v>1099</v>
      </c>
      <c r="S120" s="251" t="s">
        <v>1100</v>
      </c>
      <c r="T120" s="251" t="s">
        <v>1101</v>
      </c>
      <c r="U120" s="252">
        <v>32.0</v>
      </c>
      <c r="V120" s="252">
        <v>48.0</v>
      </c>
      <c r="W120" s="252">
        <v>4.7</v>
      </c>
      <c r="X120" s="251" t="s">
        <v>1147</v>
      </c>
      <c r="Y120" s="251" t="s">
        <v>1787</v>
      </c>
      <c r="Z120" s="251" t="s">
        <v>1788</v>
      </c>
      <c r="AA120" s="254" t="s">
        <v>1105</v>
      </c>
      <c r="AB120" s="254" t="s">
        <v>1105</v>
      </c>
    </row>
    <row r="121">
      <c r="A121" s="252">
        <v>120.0</v>
      </c>
      <c r="B121" s="251" t="s">
        <v>1789</v>
      </c>
      <c r="C121" s="252">
        <v>1.0</v>
      </c>
      <c r="D121" s="251" t="s">
        <v>1790</v>
      </c>
      <c r="E121" s="251" t="s">
        <v>1678</v>
      </c>
      <c r="F121" s="251" t="s">
        <v>1138</v>
      </c>
      <c r="G121" s="253" t="s">
        <v>1791</v>
      </c>
      <c r="H121" s="252">
        <v>6.0</v>
      </c>
      <c r="I121" s="251" t="s">
        <v>1111</v>
      </c>
      <c r="J121" s="252">
        <v>8.0</v>
      </c>
      <c r="K121" s="252">
        <v>998.0</v>
      </c>
      <c r="L121" s="252">
        <v>100.0</v>
      </c>
      <c r="M121" s="252">
        <v>15513.0</v>
      </c>
      <c r="N121" s="252">
        <v>26837.0</v>
      </c>
      <c r="O121" s="252">
        <v>6.0</v>
      </c>
      <c r="P121" s="252">
        <v>64.0</v>
      </c>
      <c r="Q121" s="252">
        <v>4953.0</v>
      </c>
      <c r="R121" s="251" t="s">
        <v>1141</v>
      </c>
      <c r="S121" s="251" t="s">
        <v>1122</v>
      </c>
      <c r="T121" s="251" t="s">
        <v>1021</v>
      </c>
      <c r="U121" s="252">
        <v>48.0</v>
      </c>
      <c r="V121" s="252">
        <v>12.0</v>
      </c>
      <c r="W121" s="252">
        <v>6.0</v>
      </c>
      <c r="X121" s="251" t="s">
        <v>1113</v>
      </c>
      <c r="Y121" s="251" t="s">
        <v>1792</v>
      </c>
      <c r="Z121" s="251" t="s">
        <v>1793</v>
      </c>
      <c r="AA121" s="254" t="s">
        <v>1105</v>
      </c>
      <c r="AB121" s="254" t="s">
        <v>1105</v>
      </c>
    </row>
    <row r="122">
      <c r="A122" s="252">
        <v>121.0</v>
      </c>
      <c r="B122" s="251" t="s">
        <v>1794</v>
      </c>
      <c r="C122" s="252">
        <v>1.0</v>
      </c>
      <c r="D122" s="251" t="s">
        <v>1795</v>
      </c>
      <c r="E122" s="251" t="s">
        <v>1159</v>
      </c>
      <c r="F122" s="251" t="s">
        <v>1160</v>
      </c>
      <c r="G122" s="253" t="s">
        <v>1796</v>
      </c>
      <c r="H122" s="252">
        <v>5.0</v>
      </c>
      <c r="I122" s="251" t="s">
        <v>1111</v>
      </c>
      <c r="J122" s="252">
        <v>10.0</v>
      </c>
      <c r="K122" s="252">
        <v>418.0</v>
      </c>
      <c r="L122" s="252">
        <v>80.0</v>
      </c>
      <c r="M122" s="252">
        <v>20149.0</v>
      </c>
      <c r="N122" s="252">
        <v>29417.0</v>
      </c>
      <c r="O122" s="252">
        <v>6.0</v>
      </c>
      <c r="P122" s="252">
        <v>64.0</v>
      </c>
      <c r="Q122" s="252">
        <v>3319.0</v>
      </c>
      <c r="R122" s="251" t="s">
        <v>1141</v>
      </c>
      <c r="S122" s="251" t="s">
        <v>1100</v>
      </c>
      <c r="T122" s="251" t="s">
        <v>1101</v>
      </c>
      <c r="U122" s="252">
        <v>16.0</v>
      </c>
      <c r="V122" s="252">
        <v>32.0</v>
      </c>
      <c r="W122" s="252">
        <v>4.7</v>
      </c>
      <c r="X122" s="251" t="s">
        <v>1132</v>
      </c>
      <c r="Y122" s="251" t="s">
        <v>1797</v>
      </c>
      <c r="Z122" s="251" t="s">
        <v>1798</v>
      </c>
      <c r="AA122" s="254" t="s">
        <v>1105</v>
      </c>
      <c r="AB122" s="254" t="s">
        <v>1105</v>
      </c>
    </row>
    <row r="123">
      <c r="A123" s="252">
        <v>122.0</v>
      </c>
      <c r="B123" s="251" t="s">
        <v>1799</v>
      </c>
      <c r="C123" s="252">
        <v>1.0</v>
      </c>
      <c r="D123" s="251" t="s">
        <v>1800</v>
      </c>
      <c r="E123" s="251" t="s">
        <v>1405</v>
      </c>
      <c r="F123" s="251" t="s">
        <v>1202</v>
      </c>
      <c r="G123" s="253" t="s">
        <v>1801</v>
      </c>
      <c r="H123" s="252">
        <v>3.0</v>
      </c>
      <c r="I123" s="251" t="s">
        <v>1121</v>
      </c>
      <c r="J123" s="252">
        <v>8.0</v>
      </c>
      <c r="K123" s="252">
        <v>98.0</v>
      </c>
      <c r="L123" s="252">
        <v>100.0</v>
      </c>
      <c r="M123" s="252">
        <v>11401.0</v>
      </c>
      <c r="N123" s="252">
        <v>15847.0</v>
      </c>
      <c r="O123" s="252">
        <v>6.0</v>
      </c>
      <c r="P123" s="252">
        <v>8.0</v>
      </c>
      <c r="Q123" s="252">
        <v>2558.0</v>
      </c>
      <c r="R123" s="251" t="s">
        <v>1112</v>
      </c>
      <c r="S123" s="251" t="s">
        <v>1122</v>
      </c>
      <c r="T123" s="251" t="s">
        <v>1101</v>
      </c>
      <c r="U123" s="252">
        <v>14.0</v>
      </c>
      <c r="V123" s="252">
        <v>14.0</v>
      </c>
      <c r="W123" s="252">
        <v>6.0</v>
      </c>
      <c r="X123" s="251" t="s">
        <v>1132</v>
      </c>
      <c r="Y123" s="251" t="s">
        <v>1802</v>
      </c>
      <c r="Z123" s="251" t="s">
        <v>1803</v>
      </c>
      <c r="AA123" s="254" t="s">
        <v>1105</v>
      </c>
      <c r="AB123" s="254" t="s">
        <v>1105</v>
      </c>
    </row>
    <row r="124">
      <c r="A124" s="252">
        <v>123.0</v>
      </c>
      <c r="B124" s="251" t="s">
        <v>1804</v>
      </c>
      <c r="C124" s="252">
        <v>1.0</v>
      </c>
      <c r="D124" s="251" t="s">
        <v>1805</v>
      </c>
      <c r="E124" s="251" t="s">
        <v>1458</v>
      </c>
      <c r="F124" s="251" t="s">
        <v>1109</v>
      </c>
      <c r="G124" s="253" t="s">
        <v>1806</v>
      </c>
      <c r="H124" s="252">
        <v>4.0</v>
      </c>
      <c r="I124" s="251" t="s">
        <v>1140</v>
      </c>
      <c r="J124" s="252">
        <v>12.0</v>
      </c>
      <c r="K124" s="252">
        <v>425.0</v>
      </c>
      <c r="L124" s="252">
        <v>100.0</v>
      </c>
      <c r="M124" s="252">
        <v>3530.0</v>
      </c>
      <c r="N124" s="252">
        <v>6212.0</v>
      </c>
      <c r="O124" s="252">
        <v>8.0</v>
      </c>
      <c r="P124" s="252">
        <v>16.0</v>
      </c>
      <c r="Q124" s="252">
        <v>4790.0</v>
      </c>
      <c r="R124" s="251" t="s">
        <v>1112</v>
      </c>
      <c r="S124" s="251" t="s">
        <v>1122</v>
      </c>
      <c r="T124" s="251" t="s">
        <v>1123</v>
      </c>
      <c r="U124" s="252">
        <v>12.0</v>
      </c>
      <c r="V124" s="252">
        <v>14.0</v>
      </c>
      <c r="W124" s="252">
        <v>6.0</v>
      </c>
      <c r="X124" s="251" t="s">
        <v>1132</v>
      </c>
      <c r="Y124" s="251" t="s">
        <v>1807</v>
      </c>
      <c r="Z124" s="251" t="s">
        <v>1808</v>
      </c>
      <c r="AA124" s="254" t="s">
        <v>1105</v>
      </c>
      <c r="AB124" s="254" t="s">
        <v>1105</v>
      </c>
    </row>
    <row r="125">
      <c r="A125" s="252">
        <v>124.0</v>
      </c>
      <c r="B125" s="251" t="s">
        <v>1809</v>
      </c>
      <c r="C125" s="252">
        <v>1.0</v>
      </c>
      <c r="D125" s="251" t="s">
        <v>1810</v>
      </c>
      <c r="E125" s="251" t="s">
        <v>1689</v>
      </c>
      <c r="F125" s="251" t="s">
        <v>1109</v>
      </c>
      <c r="G125" s="253" t="s">
        <v>1811</v>
      </c>
      <c r="H125" s="252">
        <v>2.0</v>
      </c>
      <c r="I125" s="251" t="s">
        <v>1111</v>
      </c>
      <c r="J125" s="252">
        <v>12.0</v>
      </c>
      <c r="K125" s="252">
        <v>883.0</v>
      </c>
      <c r="L125" s="252">
        <v>120.0</v>
      </c>
      <c r="M125" s="252">
        <v>19226.0</v>
      </c>
      <c r="N125" s="252">
        <v>25570.0</v>
      </c>
      <c r="O125" s="252">
        <v>12.0</v>
      </c>
      <c r="P125" s="252">
        <v>64.0</v>
      </c>
      <c r="Q125" s="252">
        <v>5890.0</v>
      </c>
      <c r="R125" s="251" t="s">
        <v>1141</v>
      </c>
      <c r="S125" s="251" t="s">
        <v>1122</v>
      </c>
      <c r="T125" s="251" t="s">
        <v>1101</v>
      </c>
      <c r="U125" s="252">
        <v>48.0</v>
      </c>
      <c r="V125" s="252">
        <v>48.0</v>
      </c>
      <c r="W125" s="252">
        <v>5.0</v>
      </c>
      <c r="X125" s="251" t="s">
        <v>1102</v>
      </c>
      <c r="Y125" s="251" t="s">
        <v>1812</v>
      </c>
      <c r="Z125" s="251" t="s">
        <v>1813</v>
      </c>
      <c r="AA125" s="254" t="s">
        <v>1105</v>
      </c>
      <c r="AB125" s="254" t="s">
        <v>1105</v>
      </c>
    </row>
    <row r="126">
      <c r="A126" s="252">
        <v>125.0</v>
      </c>
      <c r="B126" s="251" t="s">
        <v>1814</v>
      </c>
      <c r="C126" s="252">
        <v>1.0</v>
      </c>
      <c r="D126" s="251" t="s">
        <v>1815</v>
      </c>
      <c r="E126" s="251" t="s">
        <v>1381</v>
      </c>
      <c r="F126" s="251" t="s">
        <v>1119</v>
      </c>
      <c r="G126" s="253" t="s">
        <v>1816</v>
      </c>
      <c r="H126" s="252">
        <v>4.0</v>
      </c>
      <c r="I126" s="251" t="s">
        <v>1121</v>
      </c>
      <c r="J126" s="252">
        <v>12.0</v>
      </c>
      <c r="K126" s="252">
        <v>667.0</v>
      </c>
      <c r="L126" s="252">
        <v>120.0</v>
      </c>
      <c r="M126" s="252">
        <v>10462.0</v>
      </c>
      <c r="N126" s="252">
        <v>18831.0</v>
      </c>
      <c r="O126" s="252">
        <v>4.0</v>
      </c>
      <c r="P126" s="252">
        <v>32.0</v>
      </c>
      <c r="Q126" s="252">
        <v>5314.0</v>
      </c>
      <c r="R126" s="251" t="s">
        <v>1099</v>
      </c>
      <c r="S126" s="251" t="s">
        <v>1122</v>
      </c>
      <c r="T126" s="251" t="s">
        <v>1021</v>
      </c>
      <c r="U126" s="252">
        <v>12.0</v>
      </c>
      <c r="V126" s="252">
        <v>14.0</v>
      </c>
      <c r="W126" s="252">
        <v>5.5</v>
      </c>
      <c r="X126" s="251" t="s">
        <v>1147</v>
      </c>
      <c r="Y126" s="251" t="s">
        <v>1817</v>
      </c>
      <c r="Z126" s="251" t="s">
        <v>1818</v>
      </c>
      <c r="AA126" s="254" t="s">
        <v>1105</v>
      </c>
      <c r="AB126" s="254" t="s">
        <v>1105</v>
      </c>
    </row>
    <row r="127">
      <c r="A127" s="252">
        <v>126.0</v>
      </c>
      <c r="B127" s="251" t="s">
        <v>1819</v>
      </c>
      <c r="C127" s="252">
        <v>1.0</v>
      </c>
      <c r="D127" s="251" t="s">
        <v>1820</v>
      </c>
      <c r="E127" s="251" t="s">
        <v>1221</v>
      </c>
      <c r="F127" s="251" t="s">
        <v>1160</v>
      </c>
      <c r="G127" s="253" t="s">
        <v>1821</v>
      </c>
      <c r="H127" s="252">
        <v>2.0</v>
      </c>
      <c r="I127" s="251" t="s">
        <v>1140</v>
      </c>
      <c r="J127" s="252">
        <v>8.0</v>
      </c>
      <c r="K127" s="252">
        <v>269.0</v>
      </c>
      <c r="L127" s="252">
        <v>80.0</v>
      </c>
      <c r="M127" s="252">
        <v>15884.0</v>
      </c>
      <c r="N127" s="252">
        <v>27320.0</v>
      </c>
      <c r="O127" s="252">
        <v>4.0</v>
      </c>
      <c r="P127" s="252">
        <v>8.0</v>
      </c>
      <c r="Q127" s="252">
        <v>6377.0</v>
      </c>
      <c r="R127" s="251" t="s">
        <v>1099</v>
      </c>
      <c r="S127" s="251" t="s">
        <v>1100</v>
      </c>
      <c r="T127" s="251" t="s">
        <v>1101</v>
      </c>
      <c r="U127" s="252">
        <v>14.0</v>
      </c>
      <c r="V127" s="252">
        <v>32.0</v>
      </c>
      <c r="W127" s="252">
        <v>6.3</v>
      </c>
      <c r="X127" s="251" t="s">
        <v>1147</v>
      </c>
      <c r="Y127" s="251" t="s">
        <v>1822</v>
      </c>
      <c r="Z127" s="251" t="s">
        <v>1823</v>
      </c>
      <c r="AA127" s="254" t="s">
        <v>1105</v>
      </c>
      <c r="AB127" s="254" t="s">
        <v>1105</v>
      </c>
    </row>
    <row r="128">
      <c r="A128" s="252">
        <v>127.0</v>
      </c>
      <c r="B128" s="251" t="s">
        <v>1824</v>
      </c>
      <c r="C128" s="252">
        <v>1.0</v>
      </c>
      <c r="D128" s="251" t="s">
        <v>1825</v>
      </c>
      <c r="E128" s="251" t="s">
        <v>1523</v>
      </c>
      <c r="F128" s="251" t="s">
        <v>1215</v>
      </c>
      <c r="G128" s="253" t="s">
        <v>1826</v>
      </c>
      <c r="H128" s="252">
        <v>3.0</v>
      </c>
      <c r="I128" s="251" t="s">
        <v>1098</v>
      </c>
      <c r="J128" s="252">
        <v>10.0</v>
      </c>
      <c r="K128" s="252">
        <v>880.0</v>
      </c>
      <c r="L128" s="252">
        <v>80.0</v>
      </c>
      <c r="M128" s="252">
        <v>4080.0</v>
      </c>
      <c r="N128" s="252">
        <v>5548.0</v>
      </c>
      <c r="O128" s="252">
        <v>2.0</v>
      </c>
      <c r="P128" s="252">
        <v>64.0</v>
      </c>
      <c r="Q128" s="252">
        <v>1878.0</v>
      </c>
      <c r="R128" s="251" t="s">
        <v>1112</v>
      </c>
      <c r="S128" s="251" t="s">
        <v>1100</v>
      </c>
      <c r="T128" s="251" t="s">
        <v>1123</v>
      </c>
      <c r="U128" s="252">
        <v>12.0</v>
      </c>
      <c r="V128" s="252">
        <v>12.0</v>
      </c>
      <c r="W128" s="252">
        <v>6.3</v>
      </c>
      <c r="X128" s="251" t="s">
        <v>1102</v>
      </c>
      <c r="Y128" s="251" t="s">
        <v>1827</v>
      </c>
      <c r="Z128" s="251" t="s">
        <v>1828</v>
      </c>
      <c r="AA128" s="254" t="s">
        <v>1105</v>
      </c>
      <c r="AB128" s="254" t="s">
        <v>1105</v>
      </c>
    </row>
    <row r="129">
      <c r="A129" s="252">
        <v>128.0</v>
      </c>
      <c r="B129" s="251" t="s">
        <v>1829</v>
      </c>
      <c r="C129" s="252">
        <v>1.0</v>
      </c>
      <c r="D129" s="251" t="s">
        <v>1830</v>
      </c>
      <c r="E129" s="251" t="s">
        <v>1108</v>
      </c>
      <c r="F129" s="251" t="s">
        <v>1109</v>
      </c>
      <c r="G129" s="253" t="s">
        <v>1831</v>
      </c>
      <c r="H129" s="252">
        <v>3.0</v>
      </c>
      <c r="I129" s="251" t="s">
        <v>1111</v>
      </c>
      <c r="J129" s="252">
        <v>12.0</v>
      </c>
      <c r="K129" s="252">
        <v>403.0</v>
      </c>
      <c r="L129" s="252">
        <v>120.0</v>
      </c>
      <c r="M129" s="252">
        <v>15688.0</v>
      </c>
      <c r="N129" s="252">
        <v>20394.0</v>
      </c>
      <c r="O129" s="252">
        <v>12.0</v>
      </c>
      <c r="P129" s="252">
        <v>128.0</v>
      </c>
      <c r="Q129" s="252">
        <v>4926.0</v>
      </c>
      <c r="R129" s="251" t="s">
        <v>1099</v>
      </c>
      <c r="S129" s="251" t="s">
        <v>1122</v>
      </c>
      <c r="T129" s="251" t="s">
        <v>1123</v>
      </c>
      <c r="U129" s="252">
        <v>14.0</v>
      </c>
      <c r="V129" s="252">
        <v>32.0</v>
      </c>
      <c r="W129" s="252">
        <v>5.0</v>
      </c>
      <c r="X129" s="251" t="s">
        <v>1102</v>
      </c>
      <c r="Y129" s="251" t="s">
        <v>1832</v>
      </c>
      <c r="Z129" s="251" t="s">
        <v>1833</v>
      </c>
      <c r="AA129" s="254" t="s">
        <v>1105</v>
      </c>
      <c r="AB129" s="254" t="s">
        <v>1105</v>
      </c>
    </row>
    <row r="130">
      <c r="A130" s="252">
        <v>129.0</v>
      </c>
      <c r="B130" s="251" t="s">
        <v>1834</v>
      </c>
      <c r="C130" s="252">
        <v>1.0</v>
      </c>
      <c r="D130" s="251" t="s">
        <v>1835</v>
      </c>
      <c r="E130" s="251" t="s">
        <v>1836</v>
      </c>
      <c r="F130" s="251" t="s">
        <v>1233</v>
      </c>
      <c r="G130" s="253" t="s">
        <v>1837</v>
      </c>
      <c r="H130" s="252">
        <v>3.0</v>
      </c>
      <c r="I130" s="251" t="s">
        <v>1140</v>
      </c>
      <c r="J130" s="252">
        <v>12.0</v>
      </c>
      <c r="K130" s="252">
        <v>931.0</v>
      </c>
      <c r="L130" s="252">
        <v>100.0</v>
      </c>
      <c r="M130" s="252">
        <v>12002.0</v>
      </c>
      <c r="N130" s="252">
        <v>19683.0</v>
      </c>
      <c r="O130" s="252">
        <v>2.0</v>
      </c>
      <c r="P130" s="252">
        <v>8.0</v>
      </c>
      <c r="Q130" s="252">
        <v>5386.0</v>
      </c>
      <c r="R130" s="251" t="s">
        <v>1112</v>
      </c>
      <c r="S130" s="251" t="s">
        <v>1100</v>
      </c>
      <c r="T130" s="251" t="s">
        <v>1101</v>
      </c>
      <c r="U130" s="252">
        <v>48.0</v>
      </c>
      <c r="V130" s="252">
        <v>14.0</v>
      </c>
      <c r="W130" s="252">
        <v>5.2</v>
      </c>
      <c r="X130" s="251" t="s">
        <v>1132</v>
      </c>
      <c r="Y130" s="251" t="s">
        <v>1838</v>
      </c>
      <c r="Z130" s="251" t="s">
        <v>1839</v>
      </c>
      <c r="AA130" s="254" t="s">
        <v>1105</v>
      </c>
      <c r="AB130" s="254" t="s">
        <v>1105</v>
      </c>
    </row>
    <row r="131">
      <c r="A131" s="252">
        <v>130.0</v>
      </c>
      <c r="B131" s="251" t="s">
        <v>1840</v>
      </c>
      <c r="C131" s="252">
        <v>1.0</v>
      </c>
      <c r="D131" s="251" t="s">
        <v>1841</v>
      </c>
      <c r="E131" s="251" t="s">
        <v>1842</v>
      </c>
      <c r="F131" s="251" t="s">
        <v>1160</v>
      </c>
      <c r="G131" s="253" t="s">
        <v>1843</v>
      </c>
      <c r="H131" s="252">
        <v>5.0</v>
      </c>
      <c r="I131" s="251" t="s">
        <v>1098</v>
      </c>
      <c r="J131" s="252">
        <v>10.0</v>
      </c>
      <c r="K131" s="252">
        <v>390.0</v>
      </c>
      <c r="L131" s="252">
        <v>80.0</v>
      </c>
      <c r="M131" s="252">
        <v>18468.0</v>
      </c>
      <c r="N131" s="252">
        <v>31764.0</v>
      </c>
      <c r="O131" s="252">
        <v>6.0</v>
      </c>
      <c r="P131" s="252">
        <v>16.0</v>
      </c>
      <c r="Q131" s="252">
        <v>4797.0</v>
      </c>
      <c r="R131" s="251" t="s">
        <v>1112</v>
      </c>
      <c r="S131" s="251" t="s">
        <v>1122</v>
      </c>
      <c r="T131" s="251" t="s">
        <v>1123</v>
      </c>
      <c r="U131" s="252">
        <v>14.0</v>
      </c>
      <c r="V131" s="252">
        <v>48.0</v>
      </c>
      <c r="W131" s="252">
        <v>5.2</v>
      </c>
      <c r="X131" s="251" t="s">
        <v>1102</v>
      </c>
      <c r="Y131" s="251" t="s">
        <v>1844</v>
      </c>
      <c r="Z131" s="251" t="s">
        <v>1845</v>
      </c>
      <c r="AA131" s="254" t="s">
        <v>1105</v>
      </c>
      <c r="AB131" s="254" t="s">
        <v>1105</v>
      </c>
    </row>
    <row r="132">
      <c r="A132" s="252">
        <v>131.0</v>
      </c>
      <c r="B132" s="251" t="s">
        <v>1846</v>
      </c>
      <c r="C132" s="252">
        <v>1.0</v>
      </c>
      <c r="D132" s="251" t="s">
        <v>1847</v>
      </c>
      <c r="E132" s="251" t="s">
        <v>1848</v>
      </c>
      <c r="F132" s="251" t="s">
        <v>1233</v>
      </c>
      <c r="G132" s="253" t="s">
        <v>1849</v>
      </c>
      <c r="H132" s="252">
        <v>6.0</v>
      </c>
      <c r="I132" s="251" t="s">
        <v>1131</v>
      </c>
      <c r="J132" s="252">
        <v>8.0</v>
      </c>
      <c r="K132" s="252">
        <v>320.0</v>
      </c>
      <c r="L132" s="252">
        <v>100.0</v>
      </c>
      <c r="M132" s="252">
        <v>21215.0</v>
      </c>
      <c r="N132" s="252">
        <v>35216.0</v>
      </c>
      <c r="O132" s="252">
        <v>8.0</v>
      </c>
      <c r="P132" s="252">
        <v>64.0</v>
      </c>
      <c r="Q132" s="252">
        <v>4345.0</v>
      </c>
      <c r="R132" s="251" t="s">
        <v>1141</v>
      </c>
      <c r="S132" s="251" t="s">
        <v>1100</v>
      </c>
      <c r="T132" s="251" t="s">
        <v>1021</v>
      </c>
      <c r="U132" s="252">
        <v>16.0</v>
      </c>
      <c r="V132" s="252">
        <v>12.0</v>
      </c>
      <c r="W132" s="252">
        <v>5.0</v>
      </c>
      <c r="X132" s="251" t="s">
        <v>1147</v>
      </c>
      <c r="Y132" s="251" t="s">
        <v>1850</v>
      </c>
      <c r="Z132" s="251" t="s">
        <v>1851</v>
      </c>
      <c r="AA132" s="254" t="s">
        <v>1105</v>
      </c>
      <c r="AB132" s="254" t="s">
        <v>1105</v>
      </c>
    </row>
    <row r="133">
      <c r="A133" s="252">
        <v>132.0</v>
      </c>
      <c r="B133" s="251" t="s">
        <v>1852</v>
      </c>
      <c r="C133" s="252">
        <v>1.0</v>
      </c>
      <c r="D133" s="251" t="s">
        <v>1853</v>
      </c>
      <c r="E133" s="251" t="s">
        <v>1422</v>
      </c>
      <c r="F133" s="251" t="s">
        <v>1138</v>
      </c>
      <c r="G133" s="253" t="s">
        <v>1854</v>
      </c>
      <c r="H133" s="252">
        <v>6.0</v>
      </c>
      <c r="I133" s="251" t="s">
        <v>1140</v>
      </c>
      <c r="J133" s="252">
        <v>8.0</v>
      </c>
      <c r="K133" s="252">
        <v>110.0</v>
      </c>
      <c r="L133" s="252">
        <v>100.0</v>
      </c>
      <c r="M133" s="252">
        <v>5967.0</v>
      </c>
      <c r="N133" s="252">
        <v>9427.0</v>
      </c>
      <c r="O133" s="252">
        <v>4.0</v>
      </c>
      <c r="P133" s="252">
        <v>64.0</v>
      </c>
      <c r="Q133" s="252">
        <v>4541.0</v>
      </c>
      <c r="R133" s="251" t="s">
        <v>1141</v>
      </c>
      <c r="S133" s="251" t="s">
        <v>1122</v>
      </c>
      <c r="T133" s="251" t="s">
        <v>1101</v>
      </c>
      <c r="U133" s="252">
        <v>48.0</v>
      </c>
      <c r="V133" s="252">
        <v>32.0</v>
      </c>
      <c r="W133" s="252">
        <v>5.2</v>
      </c>
      <c r="X133" s="251" t="s">
        <v>1132</v>
      </c>
      <c r="Y133" s="251" t="s">
        <v>1855</v>
      </c>
      <c r="Z133" s="251" t="s">
        <v>1856</v>
      </c>
      <c r="AA133" s="254" t="s">
        <v>1105</v>
      </c>
      <c r="AB133" s="254" t="s">
        <v>1105</v>
      </c>
    </row>
    <row r="134">
      <c r="A134" s="252">
        <v>133.0</v>
      </c>
      <c r="B134" s="251" t="s">
        <v>1857</v>
      </c>
      <c r="C134" s="252">
        <v>1.0</v>
      </c>
      <c r="D134" s="251" t="s">
        <v>1858</v>
      </c>
      <c r="E134" s="251" t="s">
        <v>1201</v>
      </c>
      <c r="F134" s="251" t="s">
        <v>1202</v>
      </c>
      <c r="G134" s="253" t="s">
        <v>1859</v>
      </c>
      <c r="H134" s="252">
        <v>6.0</v>
      </c>
      <c r="I134" s="251" t="s">
        <v>1131</v>
      </c>
      <c r="J134" s="252">
        <v>10.0</v>
      </c>
      <c r="K134" s="252">
        <v>154.0</v>
      </c>
      <c r="L134" s="252">
        <v>100.0</v>
      </c>
      <c r="M134" s="252">
        <v>8379.0</v>
      </c>
      <c r="N134" s="252">
        <v>10222.0</v>
      </c>
      <c r="O134" s="252">
        <v>2.0</v>
      </c>
      <c r="P134" s="252">
        <v>32.0</v>
      </c>
      <c r="Q134" s="252">
        <v>3881.0</v>
      </c>
      <c r="R134" s="251" t="s">
        <v>1112</v>
      </c>
      <c r="S134" s="251" t="s">
        <v>1122</v>
      </c>
      <c r="T134" s="251" t="s">
        <v>1021</v>
      </c>
      <c r="U134" s="252">
        <v>32.0</v>
      </c>
      <c r="V134" s="252">
        <v>48.0</v>
      </c>
      <c r="W134" s="252">
        <v>5.2</v>
      </c>
      <c r="X134" s="251" t="s">
        <v>1147</v>
      </c>
      <c r="Y134" s="251" t="s">
        <v>1860</v>
      </c>
      <c r="Z134" s="251" t="s">
        <v>1861</v>
      </c>
      <c r="AA134" s="254" t="s">
        <v>1105</v>
      </c>
      <c r="AB134" s="254" t="s">
        <v>1105</v>
      </c>
    </row>
    <row r="135">
      <c r="A135" s="252">
        <v>134.0</v>
      </c>
      <c r="B135" s="251" t="s">
        <v>1862</v>
      </c>
      <c r="C135" s="252">
        <v>1.0</v>
      </c>
      <c r="D135" s="251" t="s">
        <v>1863</v>
      </c>
      <c r="E135" s="251" t="s">
        <v>1399</v>
      </c>
      <c r="F135" s="251" t="s">
        <v>1138</v>
      </c>
      <c r="G135" s="253" t="s">
        <v>1864</v>
      </c>
      <c r="H135" s="252">
        <v>5.0</v>
      </c>
      <c r="I135" s="251" t="s">
        <v>1111</v>
      </c>
      <c r="J135" s="252">
        <v>12.0</v>
      </c>
      <c r="K135" s="252">
        <v>672.0</v>
      </c>
      <c r="L135" s="252">
        <v>100.0</v>
      </c>
      <c r="M135" s="252">
        <v>19431.0</v>
      </c>
      <c r="N135" s="252">
        <v>23317.0</v>
      </c>
      <c r="O135" s="252">
        <v>4.0</v>
      </c>
      <c r="P135" s="252">
        <v>16.0</v>
      </c>
      <c r="Q135" s="252">
        <v>5921.0</v>
      </c>
      <c r="R135" s="251" t="s">
        <v>1099</v>
      </c>
      <c r="S135" s="251" t="s">
        <v>1100</v>
      </c>
      <c r="T135" s="251" t="s">
        <v>1101</v>
      </c>
      <c r="U135" s="252">
        <v>16.0</v>
      </c>
      <c r="V135" s="252">
        <v>14.0</v>
      </c>
      <c r="W135" s="252">
        <v>6.0</v>
      </c>
      <c r="X135" s="251" t="s">
        <v>1132</v>
      </c>
      <c r="Y135" s="251" t="s">
        <v>1865</v>
      </c>
      <c r="Z135" s="251" t="s">
        <v>1866</v>
      </c>
      <c r="AA135" s="254" t="s">
        <v>1105</v>
      </c>
      <c r="AB135" s="254" t="s">
        <v>1105</v>
      </c>
    </row>
    <row r="136">
      <c r="A136" s="252">
        <v>135.0</v>
      </c>
      <c r="B136" s="251" t="s">
        <v>1867</v>
      </c>
      <c r="C136" s="252">
        <v>1.0</v>
      </c>
      <c r="D136" s="251" t="s">
        <v>1868</v>
      </c>
      <c r="E136" s="251" t="s">
        <v>1534</v>
      </c>
      <c r="F136" s="251" t="s">
        <v>1119</v>
      </c>
      <c r="G136" s="253" t="s">
        <v>1869</v>
      </c>
      <c r="H136" s="252">
        <v>5.0</v>
      </c>
      <c r="I136" s="251" t="s">
        <v>1140</v>
      </c>
      <c r="J136" s="252">
        <v>10.0</v>
      </c>
      <c r="K136" s="252">
        <v>381.0</v>
      </c>
      <c r="L136" s="252">
        <v>100.0</v>
      </c>
      <c r="M136" s="252">
        <v>20669.0</v>
      </c>
      <c r="N136" s="252">
        <v>27903.0</v>
      </c>
      <c r="O136" s="252">
        <v>6.0</v>
      </c>
      <c r="P136" s="252">
        <v>32.0</v>
      </c>
      <c r="Q136" s="252">
        <v>5062.0</v>
      </c>
      <c r="R136" s="251" t="s">
        <v>1141</v>
      </c>
      <c r="S136" s="251" t="s">
        <v>1100</v>
      </c>
      <c r="T136" s="251" t="s">
        <v>1021</v>
      </c>
      <c r="U136" s="252">
        <v>14.0</v>
      </c>
      <c r="V136" s="252">
        <v>14.0</v>
      </c>
      <c r="W136" s="252">
        <v>6.0</v>
      </c>
      <c r="X136" s="251" t="s">
        <v>1147</v>
      </c>
      <c r="Y136" s="251" t="s">
        <v>1870</v>
      </c>
      <c r="Z136" s="251" t="s">
        <v>1871</v>
      </c>
      <c r="AA136" s="254" t="s">
        <v>1105</v>
      </c>
      <c r="AB136" s="254" t="s">
        <v>1105</v>
      </c>
    </row>
    <row r="137">
      <c r="A137" s="252">
        <v>136.0</v>
      </c>
      <c r="B137" s="251" t="s">
        <v>1872</v>
      </c>
      <c r="C137" s="252">
        <v>1.0</v>
      </c>
      <c r="D137" s="251" t="s">
        <v>1873</v>
      </c>
      <c r="E137" s="251" t="s">
        <v>1874</v>
      </c>
      <c r="F137" s="251" t="s">
        <v>1202</v>
      </c>
      <c r="G137" s="253" t="s">
        <v>1875</v>
      </c>
      <c r="H137" s="252">
        <v>5.0</v>
      </c>
      <c r="I137" s="251" t="s">
        <v>1140</v>
      </c>
      <c r="J137" s="252">
        <v>10.0</v>
      </c>
      <c r="K137" s="252">
        <v>487.0</v>
      </c>
      <c r="L137" s="252">
        <v>80.0</v>
      </c>
      <c r="M137" s="252">
        <v>15673.0</v>
      </c>
      <c r="N137" s="252">
        <v>23039.0</v>
      </c>
      <c r="O137" s="252">
        <v>8.0</v>
      </c>
      <c r="P137" s="252">
        <v>64.0</v>
      </c>
      <c r="Q137" s="252">
        <v>5671.0</v>
      </c>
      <c r="R137" s="251" t="s">
        <v>1099</v>
      </c>
      <c r="S137" s="251" t="s">
        <v>1100</v>
      </c>
      <c r="T137" s="251" t="s">
        <v>1101</v>
      </c>
      <c r="U137" s="252">
        <v>48.0</v>
      </c>
      <c r="V137" s="252">
        <v>14.0</v>
      </c>
      <c r="W137" s="252">
        <v>6.3</v>
      </c>
      <c r="X137" s="251" t="s">
        <v>1147</v>
      </c>
      <c r="Y137" s="251" t="s">
        <v>1876</v>
      </c>
      <c r="Z137" s="251" t="s">
        <v>1877</v>
      </c>
      <c r="AA137" s="254" t="s">
        <v>1105</v>
      </c>
      <c r="AB137" s="254" t="s">
        <v>1105</v>
      </c>
    </row>
    <row r="138">
      <c r="A138" s="252">
        <v>137.0</v>
      </c>
      <c r="B138" s="251" t="s">
        <v>1878</v>
      </c>
      <c r="C138" s="252">
        <v>1.0</v>
      </c>
      <c r="D138" s="251" t="s">
        <v>1879</v>
      </c>
      <c r="E138" s="251" t="s">
        <v>1201</v>
      </c>
      <c r="F138" s="251" t="s">
        <v>1202</v>
      </c>
      <c r="G138" s="253" t="s">
        <v>1880</v>
      </c>
      <c r="H138" s="252">
        <v>4.0</v>
      </c>
      <c r="I138" s="251" t="s">
        <v>1111</v>
      </c>
      <c r="J138" s="252">
        <v>12.0</v>
      </c>
      <c r="K138" s="252">
        <v>174.0</v>
      </c>
      <c r="L138" s="252">
        <v>80.0</v>
      </c>
      <c r="M138" s="252">
        <v>5368.0</v>
      </c>
      <c r="N138" s="252">
        <v>8857.0</v>
      </c>
      <c r="O138" s="252">
        <v>2.0</v>
      </c>
      <c r="P138" s="252">
        <v>64.0</v>
      </c>
      <c r="Q138" s="252">
        <v>4233.0</v>
      </c>
      <c r="R138" s="251" t="s">
        <v>1112</v>
      </c>
      <c r="S138" s="251" t="s">
        <v>1122</v>
      </c>
      <c r="T138" s="251" t="s">
        <v>1101</v>
      </c>
      <c r="U138" s="252">
        <v>32.0</v>
      </c>
      <c r="V138" s="252">
        <v>16.0</v>
      </c>
      <c r="W138" s="252">
        <v>6.0</v>
      </c>
      <c r="X138" s="251" t="s">
        <v>1147</v>
      </c>
      <c r="Y138" s="251" t="s">
        <v>1881</v>
      </c>
      <c r="Z138" s="251" t="s">
        <v>1882</v>
      </c>
      <c r="AA138" s="254" t="s">
        <v>1105</v>
      </c>
      <c r="AB138" s="254" t="s">
        <v>1105</v>
      </c>
    </row>
    <row r="139">
      <c r="A139" s="252">
        <v>138.0</v>
      </c>
      <c r="B139" s="251" t="s">
        <v>1883</v>
      </c>
      <c r="C139" s="252">
        <v>1.0</v>
      </c>
      <c r="D139" s="251" t="s">
        <v>1884</v>
      </c>
      <c r="E139" s="251" t="s">
        <v>1300</v>
      </c>
      <c r="F139" s="251" t="s">
        <v>1233</v>
      </c>
      <c r="G139" s="253" t="s">
        <v>1885</v>
      </c>
      <c r="H139" s="252">
        <v>4.0</v>
      </c>
      <c r="I139" s="251" t="s">
        <v>1111</v>
      </c>
      <c r="J139" s="252">
        <v>10.0</v>
      </c>
      <c r="K139" s="252">
        <v>285.0</v>
      </c>
      <c r="L139" s="252">
        <v>120.0</v>
      </c>
      <c r="M139" s="252">
        <v>4332.0</v>
      </c>
      <c r="N139" s="252">
        <v>6324.0</v>
      </c>
      <c r="O139" s="252">
        <v>8.0</v>
      </c>
      <c r="P139" s="252">
        <v>32.0</v>
      </c>
      <c r="Q139" s="252">
        <v>3814.0</v>
      </c>
      <c r="R139" s="251" t="s">
        <v>1112</v>
      </c>
      <c r="S139" s="251" t="s">
        <v>1122</v>
      </c>
      <c r="T139" s="251" t="s">
        <v>1101</v>
      </c>
      <c r="U139" s="252">
        <v>48.0</v>
      </c>
      <c r="V139" s="252">
        <v>48.0</v>
      </c>
      <c r="W139" s="252">
        <v>6.3</v>
      </c>
      <c r="X139" s="251" t="s">
        <v>1102</v>
      </c>
      <c r="Y139" s="251" t="s">
        <v>1886</v>
      </c>
      <c r="Z139" s="251" t="s">
        <v>1887</v>
      </c>
      <c r="AA139" s="254" t="s">
        <v>1105</v>
      </c>
      <c r="AB139" s="254" t="s">
        <v>1105</v>
      </c>
    </row>
    <row r="140">
      <c r="A140" s="252">
        <v>139.0</v>
      </c>
      <c r="B140" s="251" t="s">
        <v>1888</v>
      </c>
      <c r="C140" s="252">
        <v>1.0</v>
      </c>
      <c r="D140" s="251" t="s">
        <v>1889</v>
      </c>
      <c r="E140" s="251" t="s">
        <v>1836</v>
      </c>
      <c r="F140" s="251" t="s">
        <v>1233</v>
      </c>
      <c r="G140" s="253" t="s">
        <v>1890</v>
      </c>
      <c r="H140" s="252">
        <v>3.0</v>
      </c>
      <c r="I140" s="251" t="s">
        <v>1121</v>
      </c>
      <c r="J140" s="252">
        <v>12.0</v>
      </c>
      <c r="K140" s="252">
        <v>690.0</v>
      </c>
      <c r="L140" s="252">
        <v>80.0</v>
      </c>
      <c r="M140" s="252">
        <v>4923.0</v>
      </c>
      <c r="N140" s="252">
        <v>6449.0</v>
      </c>
      <c r="O140" s="252">
        <v>8.0</v>
      </c>
      <c r="P140" s="252">
        <v>16.0</v>
      </c>
      <c r="Q140" s="252">
        <v>2337.0</v>
      </c>
      <c r="R140" s="251" t="s">
        <v>1141</v>
      </c>
      <c r="S140" s="251" t="s">
        <v>1122</v>
      </c>
      <c r="T140" s="251" t="s">
        <v>1123</v>
      </c>
      <c r="U140" s="252">
        <v>14.0</v>
      </c>
      <c r="V140" s="252">
        <v>14.0</v>
      </c>
      <c r="W140" s="252">
        <v>5.2</v>
      </c>
      <c r="X140" s="251" t="s">
        <v>1132</v>
      </c>
      <c r="Y140" s="251" t="s">
        <v>1891</v>
      </c>
      <c r="Z140" s="251" t="s">
        <v>1892</v>
      </c>
      <c r="AA140" s="254" t="s">
        <v>1105</v>
      </c>
      <c r="AB140" s="254" t="s">
        <v>1105</v>
      </c>
    </row>
    <row r="141">
      <c r="A141" s="252">
        <v>140.0</v>
      </c>
      <c r="B141" s="251" t="s">
        <v>1893</v>
      </c>
      <c r="C141" s="252">
        <v>1.0</v>
      </c>
      <c r="D141" s="251" t="s">
        <v>1894</v>
      </c>
      <c r="E141" s="251" t="s">
        <v>1667</v>
      </c>
      <c r="F141" s="251" t="s">
        <v>1129</v>
      </c>
      <c r="G141" s="253" t="s">
        <v>1895</v>
      </c>
      <c r="H141" s="252">
        <v>3.0</v>
      </c>
      <c r="I141" s="251" t="s">
        <v>1140</v>
      </c>
      <c r="J141" s="252">
        <v>10.0</v>
      </c>
      <c r="K141" s="252">
        <v>892.0</v>
      </c>
      <c r="L141" s="252">
        <v>100.0</v>
      </c>
      <c r="M141" s="252">
        <v>4225.0</v>
      </c>
      <c r="N141" s="252">
        <v>7055.0</v>
      </c>
      <c r="O141" s="252">
        <v>4.0</v>
      </c>
      <c r="P141" s="252">
        <v>128.0</v>
      </c>
      <c r="Q141" s="252">
        <v>2667.0</v>
      </c>
      <c r="R141" s="251" t="s">
        <v>1112</v>
      </c>
      <c r="S141" s="251" t="s">
        <v>1122</v>
      </c>
      <c r="T141" s="251" t="s">
        <v>1123</v>
      </c>
      <c r="U141" s="252">
        <v>16.0</v>
      </c>
      <c r="V141" s="252">
        <v>14.0</v>
      </c>
      <c r="W141" s="252">
        <v>5.2</v>
      </c>
      <c r="X141" s="251" t="s">
        <v>1147</v>
      </c>
      <c r="Y141" s="251" t="s">
        <v>1896</v>
      </c>
      <c r="Z141" s="251" t="s">
        <v>1897</v>
      </c>
      <c r="AA141" s="254" t="s">
        <v>1105</v>
      </c>
      <c r="AB141" s="254" t="s">
        <v>1105</v>
      </c>
    </row>
    <row r="142">
      <c r="A142" s="252">
        <v>141.0</v>
      </c>
      <c r="B142" s="251" t="s">
        <v>1898</v>
      </c>
      <c r="C142" s="252">
        <v>1.0</v>
      </c>
      <c r="D142" s="251" t="s">
        <v>1899</v>
      </c>
      <c r="E142" s="251" t="s">
        <v>1353</v>
      </c>
      <c r="F142" s="251" t="s">
        <v>1109</v>
      </c>
      <c r="G142" s="253" t="s">
        <v>1900</v>
      </c>
      <c r="H142" s="252">
        <v>2.0</v>
      </c>
      <c r="I142" s="251" t="s">
        <v>1121</v>
      </c>
      <c r="J142" s="252">
        <v>10.0</v>
      </c>
      <c r="K142" s="252">
        <v>703.0</v>
      </c>
      <c r="L142" s="252">
        <v>120.0</v>
      </c>
      <c r="M142" s="252">
        <v>14309.0</v>
      </c>
      <c r="N142" s="252">
        <v>17600.0</v>
      </c>
      <c r="O142" s="252">
        <v>4.0</v>
      </c>
      <c r="P142" s="252">
        <v>128.0</v>
      </c>
      <c r="Q142" s="252">
        <v>5859.0</v>
      </c>
      <c r="R142" s="251" t="s">
        <v>1112</v>
      </c>
      <c r="S142" s="251" t="s">
        <v>1122</v>
      </c>
      <c r="T142" s="251" t="s">
        <v>1123</v>
      </c>
      <c r="U142" s="252">
        <v>14.0</v>
      </c>
      <c r="V142" s="252">
        <v>16.0</v>
      </c>
      <c r="W142" s="252">
        <v>6.0</v>
      </c>
      <c r="X142" s="251" t="s">
        <v>1147</v>
      </c>
      <c r="Y142" s="251" t="s">
        <v>1901</v>
      </c>
      <c r="Z142" s="251" t="s">
        <v>1902</v>
      </c>
      <c r="AA142" s="254" t="s">
        <v>1105</v>
      </c>
      <c r="AB142" s="254" t="s">
        <v>1105</v>
      </c>
    </row>
    <row r="143">
      <c r="A143" s="252">
        <v>142.0</v>
      </c>
      <c r="B143" s="251" t="s">
        <v>1903</v>
      </c>
      <c r="C143" s="252">
        <v>1.0</v>
      </c>
      <c r="D143" s="251" t="s">
        <v>1904</v>
      </c>
      <c r="E143" s="251" t="s">
        <v>1905</v>
      </c>
      <c r="F143" s="251" t="s">
        <v>1096</v>
      </c>
      <c r="G143" s="253" t="s">
        <v>1906</v>
      </c>
      <c r="H143" s="252">
        <v>6.0</v>
      </c>
      <c r="I143" s="251" t="s">
        <v>1111</v>
      </c>
      <c r="J143" s="252">
        <v>8.0</v>
      </c>
      <c r="K143" s="252">
        <v>936.0</v>
      </c>
      <c r="L143" s="252">
        <v>100.0</v>
      </c>
      <c r="M143" s="252">
        <v>17302.0</v>
      </c>
      <c r="N143" s="252">
        <v>29240.0</v>
      </c>
      <c r="O143" s="252">
        <v>2.0</v>
      </c>
      <c r="P143" s="252">
        <v>128.0</v>
      </c>
      <c r="Q143" s="252">
        <v>4535.0</v>
      </c>
      <c r="R143" s="251" t="s">
        <v>1141</v>
      </c>
      <c r="S143" s="251" t="s">
        <v>1100</v>
      </c>
      <c r="T143" s="251" t="s">
        <v>1123</v>
      </c>
      <c r="U143" s="252">
        <v>12.0</v>
      </c>
      <c r="V143" s="252">
        <v>48.0</v>
      </c>
      <c r="W143" s="252">
        <v>6.0</v>
      </c>
      <c r="X143" s="251" t="s">
        <v>1132</v>
      </c>
      <c r="Y143" s="251" t="s">
        <v>1907</v>
      </c>
      <c r="Z143" s="251" t="s">
        <v>1908</v>
      </c>
      <c r="AA143" s="254" t="s">
        <v>1105</v>
      </c>
      <c r="AB143" s="254" t="s">
        <v>1105</v>
      </c>
    </row>
    <row r="144">
      <c r="A144" s="252">
        <v>143.0</v>
      </c>
      <c r="B144" s="251" t="s">
        <v>1909</v>
      </c>
      <c r="C144" s="252">
        <v>1.0</v>
      </c>
      <c r="D144" s="251" t="s">
        <v>1910</v>
      </c>
      <c r="E144" s="251" t="s">
        <v>1347</v>
      </c>
      <c r="F144" s="251" t="s">
        <v>1129</v>
      </c>
      <c r="G144" s="253" t="s">
        <v>1911</v>
      </c>
      <c r="H144" s="252">
        <v>2.0</v>
      </c>
      <c r="I144" s="251" t="s">
        <v>1140</v>
      </c>
      <c r="J144" s="252">
        <v>8.0</v>
      </c>
      <c r="K144" s="252">
        <v>103.0</v>
      </c>
      <c r="L144" s="252">
        <v>80.0</v>
      </c>
      <c r="M144" s="252">
        <v>8071.0</v>
      </c>
      <c r="N144" s="252">
        <v>11299.0</v>
      </c>
      <c r="O144" s="252">
        <v>12.0</v>
      </c>
      <c r="P144" s="252">
        <v>16.0</v>
      </c>
      <c r="Q144" s="252">
        <v>2858.0</v>
      </c>
      <c r="R144" s="251" t="s">
        <v>1141</v>
      </c>
      <c r="S144" s="251" t="s">
        <v>1100</v>
      </c>
      <c r="T144" s="251" t="s">
        <v>1123</v>
      </c>
      <c r="U144" s="252">
        <v>12.0</v>
      </c>
      <c r="V144" s="252">
        <v>16.0</v>
      </c>
      <c r="W144" s="252">
        <v>6.0</v>
      </c>
      <c r="X144" s="251" t="s">
        <v>1132</v>
      </c>
      <c r="Y144" s="251" t="s">
        <v>1912</v>
      </c>
      <c r="Z144" s="251" t="s">
        <v>1913</v>
      </c>
      <c r="AA144" s="254" t="s">
        <v>1105</v>
      </c>
      <c r="AB144" s="254" t="s">
        <v>1105</v>
      </c>
    </row>
    <row r="145">
      <c r="A145" s="252">
        <v>144.0</v>
      </c>
      <c r="B145" s="251" t="s">
        <v>1914</v>
      </c>
      <c r="C145" s="252">
        <v>1.0</v>
      </c>
      <c r="D145" s="251" t="s">
        <v>1915</v>
      </c>
      <c r="E145" s="251" t="s">
        <v>1189</v>
      </c>
      <c r="F145" s="251" t="s">
        <v>1096</v>
      </c>
      <c r="G145" s="253" t="s">
        <v>1916</v>
      </c>
      <c r="H145" s="252">
        <v>2.0</v>
      </c>
      <c r="I145" s="251" t="s">
        <v>1098</v>
      </c>
      <c r="J145" s="252">
        <v>12.0</v>
      </c>
      <c r="K145" s="252">
        <v>62.0</v>
      </c>
      <c r="L145" s="252">
        <v>80.0</v>
      </c>
      <c r="M145" s="252">
        <v>12441.0</v>
      </c>
      <c r="N145" s="252">
        <v>19905.0</v>
      </c>
      <c r="O145" s="252">
        <v>8.0</v>
      </c>
      <c r="P145" s="252">
        <v>16.0</v>
      </c>
      <c r="Q145" s="252">
        <v>3924.0</v>
      </c>
      <c r="R145" s="251" t="s">
        <v>1141</v>
      </c>
      <c r="S145" s="251" t="s">
        <v>1100</v>
      </c>
      <c r="T145" s="251" t="s">
        <v>1123</v>
      </c>
      <c r="U145" s="252">
        <v>48.0</v>
      </c>
      <c r="V145" s="252">
        <v>12.0</v>
      </c>
      <c r="W145" s="252">
        <v>4.7</v>
      </c>
      <c r="X145" s="251" t="s">
        <v>1147</v>
      </c>
      <c r="Y145" s="251" t="s">
        <v>1917</v>
      </c>
      <c r="Z145" s="251" t="s">
        <v>1918</v>
      </c>
      <c r="AA145" s="254" t="s">
        <v>1105</v>
      </c>
      <c r="AB145" s="254" t="s">
        <v>1105</v>
      </c>
    </row>
    <row r="146">
      <c r="A146" s="252">
        <v>145.0</v>
      </c>
      <c r="B146" s="251" t="s">
        <v>1919</v>
      </c>
      <c r="C146" s="252">
        <v>1.0</v>
      </c>
      <c r="D146" s="251" t="s">
        <v>1920</v>
      </c>
      <c r="E146" s="251" t="s">
        <v>1728</v>
      </c>
      <c r="F146" s="251" t="s">
        <v>1202</v>
      </c>
      <c r="G146" s="253" t="s">
        <v>1921</v>
      </c>
      <c r="H146" s="252">
        <v>3.0</v>
      </c>
      <c r="I146" s="251" t="s">
        <v>1098</v>
      </c>
      <c r="J146" s="252">
        <v>10.0</v>
      </c>
      <c r="K146" s="252">
        <v>504.0</v>
      </c>
      <c r="L146" s="252">
        <v>80.0</v>
      </c>
      <c r="M146" s="252">
        <v>11050.0</v>
      </c>
      <c r="N146" s="252">
        <v>13702.0</v>
      </c>
      <c r="O146" s="252">
        <v>4.0</v>
      </c>
      <c r="P146" s="252">
        <v>128.0</v>
      </c>
      <c r="Q146" s="252">
        <v>1921.0</v>
      </c>
      <c r="R146" s="251" t="s">
        <v>1099</v>
      </c>
      <c r="S146" s="251" t="s">
        <v>1100</v>
      </c>
      <c r="T146" s="251" t="s">
        <v>1101</v>
      </c>
      <c r="U146" s="252">
        <v>12.0</v>
      </c>
      <c r="V146" s="252">
        <v>48.0</v>
      </c>
      <c r="W146" s="252">
        <v>4.7</v>
      </c>
      <c r="X146" s="251" t="s">
        <v>1102</v>
      </c>
      <c r="Y146" s="251" t="s">
        <v>1922</v>
      </c>
      <c r="Z146" s="251" t="s">
        <v>1923</v>
      </c>
      <c r="AA146" s="254" t="s">
        <v>1105</v>
      </c>
      <c r="AB146" s="254" t="s">
        <v>1105</v>
      </c>
    </row>
    <row r="147">
      <c r="A147" s="252">
        <v>146.0</v>
      </c>
      <c r="B147" s="251" t="s">
        <v>1924</v>
      </c>
      <c r="C147" s="252">
        <v>1.0</v>
      </c>
      <c r="D147" s="251" t="s">
        <v>1925</v>
      </c>
      <c r="E147" s="251" t="s">
        <v>1650</v>
      </c>
      <c r="F147" s="251" t="s">
        <v>1160</v>
      </c>
      <c r="G147" s="253" t="s">
        <v>1926</v>
      </c>
      <c r="H147" s="252">
        <v>5.0</v>
      </c>
      <c r="I147" s="251" t="s">
        <v>1140</v>
      </c>
      <c r="J147" s="252">
        <v>8.0</v>
      </c>
      <c r="K147" s="252">
        <v>622.0</v>
      </c>
      <c r="L147" s="252">
        <v>120.0</v>
      </c>
      <c r="M147" s="252">
        <v>3198.0</v>
      </c>
      <c r="N147" s="252">
        <v>3837.0</v>
      </c>
      <c r="O147" s="252">
        <v>8.0</v>
      </c>
      <c r="P147" s="252">
        <v>512.0</v>
      </c>
      <c r="Q147" s="252">
        <v>5945.0</v>
      </c>
      <c r="R147" s="251" t="s">
        <v>1141</v>
      </c>
      <c r="S147" s="251" t="s">
        <v>1100</v>
      </c>
      <c r="T147" s="251" t="s">
        <v>1123</v>
      </c>
      <c r="U147" s="252">
        <v>16.0</v>
      </c>
      <c r="V147" s="252">
        <v>48.0</v>
      </c>
      <c r="W147" s="252">
        <v>6.3</v>
      </c>
      <c r="X147" s="251" t="s">
        <v>1147</v>
      </c>
      <c r="Y147" s="251" t="s">
        <v>1927</v>
      </c>
      <c r="Z147" s="251" t="s">
        <v>1928</v>
      </c>
      <c r="AA147" s="254" t="s">
        <v>1105</v>
      </c>
      <c r="AB147" s="254" t="s">
        <v>1105</v>
      </c>
    </row>
    <row r="148">
      <c r="A148" s="252">
        <v>147.0</v>
      </c>
      <c r="B148" s="251" t="s">
        <v>1929</v>
      </c>
      <c r="C148" s="252">
        <v>1.0</v>
      </c>
      <c r="D148" s="251" t="s">
        <v>1930</v>
      </c>
      <c r="E148" s="251" t="s">
        <v>1137</v>
      </c>
      <c r="F148" s="251" t="s">
        <v>1138</v>
      </c>
      <c r="G148" s="253" t="s">
        <v>1931</v>
      </c>
      <c r="H148" s="252">
        <v>2.0</v>
      </c>
      <c r="I148" s="251" t="s">
        <v>1121</v>
      </c>
      <c r="J148" s="252">
        <v>12.0</v>
      </c>
      <c r="K148" s="252">
        <v>95.0</v>
      </c>
      <c r="L148" s="252">
        <v>80.0</v>
      </c>
      <c r="M148" s="252">
        <v>8863.0</v>
      </c>
      <c r="N148" s="252">
        <v>13294.0</v>
      </c>
      <c r="O148" s="252">
        <v>2.0</v>
      </c>
      <c r="P148" s="252">
        <v>128.0</v>
      </c>
      <c r="Q148" s="252">
        <v>4234.0</v>
      </c>
      <c r="R148" s="251" t="s">
        <v>1112</v>
      </c>
      <c r="S148" s="251" t="s">
        <v>1122</v>
      </c>
      <c r="T148" s="251" t="s">
        <v>1123</v>
      </c>
      <c r="U148" s="252">
        <v>48.0</v>
      </c>
      <c r="V148" s="252">
        <v>14.0</v>
      </c>
      <c r="W148" s="252">
        <v>5.5</v>
      </c>
      <c r="X148" s="251" t="s">
        <v>1132</v>
      </c>
      <c r="Y148" s="251" t="s">
        <v>1932</v>
      </c>
      <c r="Z148" s="251" t="s">
        <v>1933</v>
      </c>
      <c r="AA148" s="254" t="s">
        <v>1105</v>
      </c>
      <c r="AB148" s="254" t="s">
        <v>1105</v>
      </c>
    </row>
    <row r="149">
      <c r="A149" s="252">
        <v>148.0</v>
      </c>
      <c r="B149" s="251" t="s">
        <v>1934</v>
      </c>
      <c r="C149" s="252">
        <v>1.0</v>
      </c>
      <c r="D149" s="251" t="s">
        <v>1935</v>
      </c>
      <c r="E149" s="251" t="s">
        <v>1936</v>
      </c>
      <c r="F149" s="251" t="s">
        <v>1129</v>
      </c>
      <c r="G149" s="253" t="s">
        <v>1937</v>
      </c>
      <c r="H149" s="252">
        <v>2.0</v>
      </c>
      <c r="I149" s="251" t="s">
        <v>1121</v>
      </c>
      <c r="J149" s="252">
        <v>8.0</v>
      </c>
      <c r="K149" s="252">
        <v>609.0</v>
      </c>
      <c r="L149" s="252">
        <v>80.0</v>
      </c>
      <c r="M149" s="252">
        <v>4533.0</v>
      </c>
      <c r="N149" s="252">
        <v>5802.0</v>
      </c>
      <c r="O149" s="252">
        <v>8.0</v>
      </c>
      <c r="P149" s="252">
        <v>32.0</v>
      </c>
      <c r="Q149" s="252">
        <v>2417.0</v>
      </c>
      <c r="R149" s="251" t="s">
        <v>1099</v>
      </c>
      <c r="S149" s="251" t="s">
        <v>1100</v>
      </c>
      <c r="T149" s="251" t="s">
        <v>1021</v>
      </c>
      <c r="U149" s="252">
        <v>16.0</v>
      </c>
      <c r="V149" s="252">
        <v>14.0</v>
      </c>
      <c r="W149" s="252">
        <v>5.5</v>
      </c>
      <c r="X149" s="251" t="s">
        <v>1102</v>
      </c>
      <c r="Y149" s="251" t="s">
        <v>1938</v>
      </c>
      <c r="Z149" s="251" t="s">
        <v>1939</v>
      </c>
      <c r="AA149" s="254" t="s">
        <v>1105</v>
      </c>
      <c r="AB149" s="254" t="s">
        <v>1105</v>
      </c>
    </row>
    <row r="150">
      <c r="A150" s="252">
        <v>149.0</v>
      </c>
      <c r="B150" s="251" t="s">
        <v>1940</v>
      </c>
      <c r="C150" s="252">
        <v>1.0</v>
      </c>
      <c r="D150" s="251" t="s">
        <v>1941</v>
      </c>
      <c r="E150" s="251" t="s">
        <v>1942</v>
      </c>
      <c r="F150" s="251" t="s">
        <v>1233</v>
      </c>
      <c r="G150" s="253" t="s">
        <v>1943</v>
      </c>
      <c r="H150" s="252">
        <v>2.0</v>
      </c>
      <c r="I150" s="251" t="s">
        <v>1111</v>
      </c>
      <c r="J150" s="252">
        <v>10.0</v>
      </c>
      <c r="K150" s="252">
        <v>483.0</v>
      </c>
      <c r="L150" s="252">
        <v>100.0</v>
      </c>
      <c r="M150" s="252">
        <v>7357.0</v>
      </c>
      <c r="N150" s="252">
        <v>13463.0</v>
      </c>
      <c r="O150" s="252">
        <v>8.0</v>
      </c>
      <c r="P150" s="252">
        <v>8.0</v>
      </c>
      <c r="Q150" s="252">
        <v>5392.0</v>
      </c>
      <c r="R150" s="251" t="s">
        <v>1141</v>
      </c>
      <c r="S150" s="251" t="s">
        <v>1122</v>
      </c>
      <c r="T150" s="251" t="s">
        <v>1101</v>
      </c>
      <c r="U150" s="252">
        <v>16.0</v>
      </c>
      <c r="V150" s="252">
        <v>32.0</v>
      </c>
      <c r="W150" s="252">
        <v>6.0</v>
      </c>
      <c r="X150" s="251" t="s">
        <v>1147</v>
      </c>
      <c r="Y150" s="251" t="s">
        <v>1944</v>
      </c>
      <c r="Z150" s="251" t="s">
        <v>1945</v>
      </c>
      <c r="AA150" s="254" t="s">
        <v>1105</v>
      </c>
      <c r="AB150" s="254" t="s">
        <v>1105</v>
      </c>
    </row>
    <row r="151">
      <c r="A151" s="252">
        <v>150.0</v>
      </c>
      <c r="B151" s="251" t="s">
        <v>1946</v>
      </c>
      <c r="C151" s="252">
        <v>1.0</v>
      </c>
      <c r="D151" s="251" t="s">
        <v>1947</v>
      </c>
      <c r="E151" s="251" t="s">
        <v>1695</v>
      </c>
      <c r="F151" s="251" t="s">
        <v>1109</v>
      </c>
      <c r="G151" s="253" t="s">
        <v>1948</v>
      </c>
      <c r="H151" s="252">
        <v>3.0</v>
      </c>
      <c r="I151" s="251" t="s">
        <v>1131</v>
      </c>
      <c r="J151" s="252">
        <v>10.0</v>
      </c>
      <c r="K151" s="252">
        <v>545.0</v>
      </c>
      <c r="L151" s="252">
        <v>100.0</v>
      </c>
      <c r="M151" s="252">
        <v>14531.0</v>
      </c>
      <c r="N151" s="252">
        <v>23685.0</v>
      </c>
      <c r="O151" s="252">
        <v>4.0</v>
      </c>
      <c r="P151" s="252">
        <v>512.0</v>
      </c>
      <c r="Q151" s="252">
        <v>5104.0</v>
      </c>
      <c r="R151" s="251" t="s">
        <v>1141</v>
      </c>
      <c r="S151" s="251" t="s">
        <v>1100</v>
      </c>
      <c r="T151" s="251" t="s">
        <v>1123</v>
      </c>
      <c r="U151" s="252">
        <v>32.0</v>
      </c>
      <c r="V151" s="252">
        <v>48.0</v>
      </c>
      <c r="W151" s="252">
        <v>5.5</v>
      </c>
      <c r="X151" s="251" t="s">
        <v>1113</v>
      </c>
      <c r="Y151" s="251" t="s">
        <v>1949</v>
      </c>
      <c r="Z151" s="251" t="s">
        <v>1950</v>
      </c>
      <c r="AA151" s="254" t="s">
        <v>1105</v>
      </c>
      <c r="AB151" s="254" t="s">
        <v>1105</v>
      </c>
    </row>
    <row r="152">
      <c r="A152" s="252">
        <v>151.0</v>
      </c>
      <c r="B152" s="251" t="s">
        <v>1951</v>
      </c>
      <c r="C152" s="252">
        <v>1.0</v>
      </c>
      <c r="D152" s="251" t="s">
        <v>1952</v>
      </c>
      <c r="E152" s="251" t="s">
        <v>1369</v>
      </c>
      <c r="F152" s="251" t="s">
        <v>1129</v>
      </c>
      <c r="G152" s="253" t="s">
        <v>1953</v>
      </c>
      <c r="H152" s="252">
        <v>2.0</v>
      </c>
      <c r="I152" s="251" t="s">
        <v>1140</v>
      </c>
      <c r="J152" s="252">
        <v>12.0</v>
      </c>
      <c r="K152" s="252">
        <v>129.0</v>
      </c>
      <c r="L152" s="252">
        <v>120.0</v>
      </c>
      <c r="M152" s="252">
        <v>11880.0</v>
      </c>
      <c r="N152" s="252">
        <v>17107.0</v>
      </c>
      <c r="O152" s="252">
        <v>6.0</v>
      </c>
      <c r="P152" s="252">
        <v>16.0</v>
      </c>
      <c r="Q152" s="252">
        <v>3412.0</v>
      </c>
      <c r="R152" s="251" t="s">
        <v>1112</v>
      </c>
      <c r="S152" s="251" t="s">
        <v>1100</v>
      </c>
      <c r="T152" s="251" t="s">
        <v>1123</v>
      </c>
      <c r="U152" s="252">
        <v>16.0</v>
      </c>
      <c r="V152" s="252">
        <v>14.0</v>
      </c>
      <c r="W152" s="252">
        <v>5.2</v>
      </c>
      <c r="X152" s="251" t="s">
        <v>1132</v>
      </c>
      <c r="Y152" s="251" t="s">
        <v>1954</v>
      </c>
      <c r="Z152" s="251" t="s">
        <v>1955</v>
      </c>
      <c r="AA152" s="254" t="s">
        <v>1105</v>
      </c>
      <c r="AB152" s="254" t="s">
        <v>1105</v>
      </c>
    </row>
    <row r="153">
      <c r="A153" s="252">
        <v>152.0</v>
      </c>
      <c r="B153" s="251" t="s">
        <v>1956</v>
      </c>
      <c r="C153" s="252">
        <v>1.0</v>
      </c>
      <c r="D153" s="251" t="s">
        <v>1957</v>
      </c>
      <c r="E153" s="251" t="s">
        <v>1958</v>
      </c>
      <c r="F153" s="251" t="s">
        <v>1215</v>
      </c>
      <c r="G153" s="253" t="s">
        <v>1959</v>
      </c>
      <c r="H153" s="252">
        <v>3.0</v>
      </c>
      <c r="I153" s="251" t="s">
        <v>1131</v>
      </c>
      <c r="J153" s="252">
        <v>10.0</v>
      </c>
      <c r="K153" s="252">
        <v>448.0</v>
      </c>
      <c r="L153" s="252">
        <v>80.0</v>
      </c>
      <c r="M153" s="252">
        <v>15410.0</v>
      </c>
      <c r="N153" s="252">
        <v>24193.0</v>
      </c>
      <c r="O153" s="252">
        <v>12.0</v>
      </c>
      <c r="P153" s="252">
        <v>16.0</v>
      </c>
      <c r="Q153" s="252">
        <v>5516.0</v>
      </c>
      <c r="R153" s="251" t="s">
        <v>1112</v>
      </c>
      <c r="S153" s="251" t="s">
        <v>1100</v>
      </c>
      <c r="T153" s="251" t="s">
        <v>1101</v>
      </c>
      <c r="U153" s="252">
        <v>48.0</v>
      </c>
      <c r="V153" s="252">
        <v>12.0</v>
      </c>
      <c r="W153" s="252">
        <v>5.5</v>
      </c>
      <c r="X153" s="251" t="s">
        <v>1113</v>
      </c>
      <c r="Y153" s="251" t="s">
        <v>1960</v>
      </c>
      <c r="Z153" s="251" t="s">
        <v>1961</v>
      </c>
      <c r="AA153" s="254" t="s">
        <v>1105</v>
      </c>
      <c r="AB153" s="254" t="s">
        <v>1105</v>
      </c>
    </row>
    <row r="154">
      <c r="A154" s="252">
        <v>153.0</v>
      </c>
      <c r="B154" s="251" t="s">
        <v>1962</v>
      </c>
      <c r="C154" s="252">
        <v>1.0</v>
      </c>
      <c r="D154" s="251" t="s">
        <v>1963</v>
      </c>
      <c r="E154" s="251" t="s">
        <v>1964</v>
      </c>
      <c r="F154" s="251" t="s">
        <v>1129</v>
      </c>
      <c r="G154" s="253" t="s">
        <v>1965</v>
      </c>
      <c r="H154" s="252">
        <v>3.0</v>
      </c>
      <c r="I154" s="251" t="s">
        <v>1111</v>
      </c>
      <c r="J154" s="252">
        <v>10.0</v>
      </c>
      <c r="K154" s="252">
        <v>687.0</v>
      </c>
      <c r="L154" s="252">
        <v>80.0</v>
      </c>
      <c r="M154" s="252">
        <v>15178.0</v>
      </c>
      <c r="N154" s="252">
        <v>24891.0</v>
      </c>
      <c r="O154" s="252">
        <v>8.0</v>
      </c>
      <c r="P154" s="252">
        <v>64.0</v>
      </c>
      <c r="Q154" s="252">
        <v>1946.0</v>
      </c>
      <c r="R154" s="251" t="s">
        <v>1141</v>
      </c>
      <c r="S154" s="251" t="s">
        <v>1122</v>
      </c>
      <c r="T154" s="251" t="s">
        <v>1101</v>
      </c>
      <c r="U154" s="252">
        <v>14.0</v>
      </c>
      <c r="V154" s="252">
        <v>32.0</v>
      </c>
      <c r="W154" s="252">
        <v>5.5</v>
      </c>
      <c r="X154" s="251" t="s">
        <v>1102</v>
      </c>
      <c r="Y154" s="251" t="s">
        <v>1966</v>
      </c>
      <c r="Z154" s="251" t="s">
        <v>1967</v>
      </c>
      <c r="AA154" s="254" t="s">
        <v>1105</v>
      </c>
      <c r="AB154" s="254" t="s">
        <v>1105</v>
      </c>
    </row>
    <row r="155">
      <c r="A155" s="252">
        <v>154.0</v>
      </c>
      <c r="B155" s="251" t="s">
        <v>1968</v>
      </c>
      <c r="C155" s="252">
        <v>1.0</v>
      </c>
      <c r="D155" s="251" t="s">
        <v>1969</v>
      </c>
      <c r="E155" s="251" t="s">
        <v>1970</v>
      </c>
      <c r="F155" s="251" t="s">
        <v>1129</v>
      </c>
      <c r="G155" s="253" t="s">
        <v>1971</v>
      </c>
      <c r="H155" s="252">
        <v>5.0</v>
      </c>
      <c r="I155" s="251" t="s">
        <v>1131</v>
      </c>
      <c r="J155" s="252">
        <v>8.0</v>
      </c>
      <c r="K155" s="252">
        <v>637.0</v>
      </c>
      <c r="L155" s="252">
        <v>80.0</v>
      </c>
      <c r="M155" s="252">
        <v>14632.0</v>
      </c>
      <c r="N155" s="252">
        <v>27069.0</v>
      </c>
      <c r="O155" s="252">
        <v>8.0</v>
      </c>
      <c r="P155" s="252">
        <v>64.0</v>
      </c>
      <c r="Q155" s="252">
        <v>3964.0</v>
      </c>
      <c r="R155" s="251" t="s">
        <v>1112</v>
      </c>
      <c r="S155" s="251" t="s">
        <v>1122</v>
      </c>
      <c r="T155" s="251" t="s">
        <v>1123</v>
      </c>
      <c r="U155" s="252">
        <v>16.0</v>
      </c>
      <c r="V155" s="252">
        <v>12.0</v>
      </c>
      <c r="W155" s="252">
        <v>5.0</v>
      </c>
      <c r="X155" s="251" t="s">
        <v>1147</v>
      </c>
      <c r="Y155" s="251" t="s">
        <v>1972</v>
      </c>
      <c r="Z155" s="251" t="s">
        <v>1973</v>
      </c>
      <c r="AA155" s="254" t="s">
        <v>1105</v>
      </c>
      <c r="AB155" s="254" t="s">
        <v>1105</v>
      </c>
    </row>
    <row r="156">
      <c r="A156" s="252">
        <v>155.0</v>
      </c>
      <c r="B156" s="251" t="s">
        <v>1974</v>
      </c>
      <c r="C156" s="252">
        <v>1.0</v>
      </c>
      <c r="D156" s="251" t="s">
        <v>1975</v>
      </c>
      <c r="E156" s="251" t="s">
        <v>1534</v>
      </c>
      <c r="F156" s="251" t="s">
        <v>1119</v>
      </c>
      <c r="G156" s="253" t="s">
        <v>1976</v>
      </c>
      <c r="H156" s="252">
        <v>4.0</v>
      </c>
      <c r="I156" s="251" t="s">
        <v>1131</v>
      </c>
      <c r="J156" s="252">
        <v>12.0</v>
      </c>
      <c r="K156" s="252">
        <v>265.0</v>
      </c>
      <c r="L156" s="252">
        <v>120.0</v>
      </c>
      <c r="M156" s="252">
        <v>10126.0</v>
      </c>
      <c r="N156" s="252">
        <v>12151.0</v>
      </c>
      <c r="O156" s="252">
        <v>8.0</v>
      </c>
      <c r="P156" s="252">
        <v>64.0</v>
      </c>
      <c r="Q156" s="252">
        <v>2176.0</v>
      </c>
      <c r="R156" s="251" t="s">
        <v>1141</v>
      </c>
      <c r="S156" s="251" t="s">
        <v>1122</v>
      </c>
      <c r="T156" s="251" t="s">
        <v>1101</v>
      </c>
      <c r="U156" s="252">
        <v>14.0</v>
      </c>
      <c r="V156" s="252">
        <v>14.0</v>
      </c>
      <c r="W156" s="252">
        <v>6.0</v>
      </c>
      <c r="X156" s="251" t="s">
        <v>1102</v>
      </c>
      <c r="Y156" s="251" t="s">
        <v>1977</v>
      </c>
      <c r="Z156" s="251" t="s">
        <v>1978</v>
      </c>
      <c r="AA156" s="254" t="s">
        <v>1105</v>
      </c>
      <c r="AB156" s="254" t="s">
        <v>1105</v>
      </c>
    </row>
    <row r="157">
      <c r="A157" s="252">
        <v>156.0</v>
      </c>
      <c r="B157" s="251" t="s">
        <v>1979</v>
      </c>
      <c r="C157" s="252">
        <v>1.0</v>
      </c>
      <c r="D157" s="251" t="s">
        <v>1980</v>
      </c>
      <c r="E157" s="251" t="s">
        <v>1639</v>
      </c>
      <c r="F157" s="251" t="s">
        <v>1129</v>
      </c>
      <c r="G157" s="253" t="s">
        <v>1981</v>
      </c>
      <c r="H157" s="252">
        <v>2.0</v>
      </c>
      <c r="I157" s="251" t="s">
        <v>1140</v>
      </c>
      <c r="J157" s="252">
        <v>10.0</v>
      </c>
      <c r="K157" s="252">
        <v>760.0</v>
      </c>
      <c r="L157" s="252">
        <v>80.0</v>
      </c>
      <c r="M157" s="252">
        <v>6170.0</v>
      </c>
      <c r="N157" s="252">
        <v>8761.0</v>
      </c>
      <c r="O157" s="252">
        <v>12.0</v>
      </c>
      <c r="P157" s="252">
        <v>16.0</v>
      </c>
      <c r="Q157" s="252">
        <v>5065.0</v>
      </c>
      <c r="R157" s="251" t="s">
        <v>1141</v>
      </c>
      <c r="S157" s="251" t="s">
        <v>1122</v>
      </c>
      <c r="T157" s="251" t="s">
        <v>1123</v>
      </c>
      <c r="U157" s="252">
        <v>12.0</v>
      </c>
      <c r="V157" s="252">
        <v>48.0</v>
      </c>
      <c r="W157" s="252">
        <v>6.0</v>
      </c>
      <c r="X157" s="251" t="s">
        <v>1147</v>
      </c>
      <c r="Y157" s="251" t="s">
        <v>1982</v>
      </c>
      <c r="Z157" s="251" t="s">
        <v>1983</v>
      </c>
      <c r="AA157" s="254" t="s">
        <v>1105</v>
      </c>
      <c r="AB157" s="254" t="s">
        <v>1105</v>
      </c>
    </row>
    <row r="158">
      <c r="A158" s="252">
        <v>157.0</v>
      </c>
      <c r="B158" s="251" t="s">
        <v>1984</v>
      </c>
      <c r="C158" s="252">
        <v>1.0</v>
      </c>
      <c r="D158" s="251" t="s">
        <v>1985</v>
      </c>
      <c r="E158" s="251" t="s">
        <v>1458</v>
      </c>
      <c r="F158" s="251" t="s">
        <v>1109</v>
      </c>
      <c r="G158" s="253" t="s">
        <v>1986</v>
      </c>
      <c r="H158" s="252">
        <v>4.0</v>
      </c>
      <c r="I158" s="251" t="s">
        <v>1098</v>
      </c>
      <c r="J158" s="252">
        <v>8.0</v>
      </c>
      <c r="K158" s="252">
        <v>828.0</v>
      </c>
      <c r="L158" s="252">
        <v>100.0</v>
      </c>
      <c r="M158" s="252">
        <v>21924.0</v>
      </c>
      <c r="N158" s="252">
        <v>32886.0</v>
      </c>
      <c r="O158" s="252">
        <v>2.0</v>
      </c>
      <c r="P158" s="252">
        <v>16.0</v>
      </c>
      <c r="Q158" s="252">
        <v>1842.0</v>
      </c>
      <c r="R158" s="251" t="s">
        <v>1099</v>
      </c>
      <c r="S158" s="251" t="s">
        <v>1100</v>
      </c>
      <c r="T158" s="251" t="s">
        <v>1101</v>
      </c>
      <c r="U158" s="252">
        <v>32.0</v>
      </c>
      <c r="V158" s="252">
        <v>16.0</v>
      </c>
      <c r="W158" s="252">
        <v>6.0</v>
      </c>
      <c r="X158" s="251" t="s">
        <v>1113</v>
      </c>
      <c r="Y158" s="251" t="s">
        <v>1987</v>
      </c>
      <c r="Z158" s="251" t="s">
        <v>1988</v>
      </c>
      <c r="AA158" s="254" t="s">
        <v>1105</v>
      </c>
      <c r="AB158" s="254" t="s">
        <v>1105</v>
      </c>
    </row>
    <row r="159">
      <c r="A159" s="252">
        <v>158.0</v>
      </c>
      <c r="B159" s="251" t="s">
        <v>1989</v>
      </c>
      <c r="C159" s="252">
        <v>1.0</v>
      </c>
      <c r="D159" s="251" t="s">
        <v>1990</v>
      </c>
      <c r="E159" s="251" t="s">
        <v>1991</v>
      </c>
      <c r="F159" s="251" t="s">
        <v>1233</v>
      </c>
      <c r="G159" s="253" t="s">
        <v>1992</v>
      </c>
      <c r="H159" s="252">
        <v>5.0</v>
      </c>
      <c r="I159" s="251" t="s">
        <v>1111</v>
      </c>
      <c r="J159" s="252">
        <v>8.0</v>
      </c>
      <c r="K159" s="252">
        <v>338.0</v>
      </c>
      <c r="L159" s="252">
        <v>100.0</v>
      </c>
      <c r="M159" s="252">
        <v>6328.0</v>
      </c>
      <c r="N159" s="252">
        <v>8606.0</v>
      </c>
      <c r="O159" s="252">
        <v>6.0</v>
      </c>
      <c r="P159" s="252">
        <v>128.0</v>
      </c>
      <c r="Q159" s="252">
        <v>2085.0</v>
      </c>
      <c r="R159" s="251" t="s">
        <v>1141</v>
      </c>
      <c r="S159" s="251" t="s">
        <v>1122</v>
      </c>
      <c r="T159" s="251" t="s">
        <v>1101</v>
      </c>
      <c r="U159" s="252">
        <v>14.0</v>
      </c>
      <c r="V159" s="252">
        <v>16.0</v>
      </c>
      <c r="W159" s="252">
        <v>6.0</v>
      </c>
      <c r="X159" s="251" t="s">
        <v>1132</v>
      </c>
      <c r="Y159" s="251" t="s">
        <v>1993</v>
      </c>
      <c r="Z159" s="251" t="s">
        <v>1994</v>
      </c>
      <c r="AA159" s="254" t="s">
        <v>1105</v>
      </c>
      <c r="AB159" s="254" t="s">
        <v>1105</v>
      </c>
    </row>
    <row r="160">
      <c r="A160" s="252">
        <v>159.0</v>
      </c>
      <c r="B160" s="251" t="s">
        <v>1995</v>
      </c>
      <c r="C160" s="252">
        <v>1.0</v>
      </c>
      <c r="D160" s="251" t="s">
        <v>1996</v>
      </c>
      <c r="E160" s="251" t="s">
        <v>1166</v>
      </c>
      <c r="F160" s="251" t="s">
        <v>1119</v>
      </c>
      <c r="G160" s="253" t="s">
        <v>1997</v>
      </c>
      <c r="H160" s="252">
        <v>2.0</v>
      </c>
      <c r="I160" s="251" t="s">
        <v>1131</v>
      </c>
      <c r="J160" s="252">
        <v>8.0</v>
      </c>
      <c r="K160" s="252">
        <v>169.0</v>
      </c>
      <c r="L160" s="252">
        <v>100.0</v>
      </c>
      <c r="M160" s="252">
        <v>18090.0</v>
      </c>
      <c r="N160" s="252">
        <v>26230.0</v>
      </c>
      <c r="O160" s="252">
        <v>2.0</v>
      </c>
      <c r="P160" s="252">
        <v>16.0</v>
      </c>
      <c r="Q160" s="252">
        <v>3502.0</v>
      </c>
      <c r="R160" s="251" t="s">
        <v>1141</v>
      </c>
      <c r="S160" s="251" t="s">
        <v>1122</v>
      </c>
      <c r="T160" s="251" t="s">
        <v>1101</v>
      </c>
      <c r="U160" s="252">
        <v>14.0</v>
      </c>
      <c r="V160" s="252">
        <v>14.0</v>
      </c>
      <c r="W160" s="252">
        <v>4.7</v>
      </c>
      <c r="X160" s="251" t="s">
        <v>1147</v>
      </c>
      <c r="Y160" s="251" t="s">
        <v>1998</v>
      </c>
      <c r="Z160" s="251" t="s">
        <v>1999</v>
      </c>
      <c r="AA160" s="254" t="s">
        <v>1105</v>
      </c>
      <c r="AB160" s="254" t="s">
        <v>1105</v>
      </c>
    </row>
    <row r="161">
      <c r="A161" s="252">
        <v>160.0</v>
      </c>
      <c r="B161" s="251" t="s">
        <v>2000</v>
      </c>
      <c r="C161" s="252">
        <v>1.0</v>
      </c>
      <c r="D161" s="251" t="s">
        <v>2001</v>
      </c>
      <c r="E161" s="251" t="s">
        <v>1422</v>
      </c>
      <c r="F161" s="251" t="s">
        <v>1138</v>
      </c>
      <c r="G161" s="253" t="s">
        <v>2002</v>
      </c>
      <c r="H161" s="252">
        <v>3.0</v>
      </c>
      <c r="I161" s="251" t="s">
        <v>1098</v>
      </c>
      <c r="J161" s="252">
        <v>12.0</v>
      </c>
      <c r="K161" s="252">
        <v>36.0</v>
      </c>
      <c r="L161" s="252">
        <v>80.0</v>
      </c>
      <c r="M161" s="252">
        <v>4069.0</v>
      </c>
      <c r="N161" s="252">
        <v>5615.0</v>
      </c>
      <c r="O161" s="252">
        <v>2.0</v>
      </c>
      <c r="P161" s="252">
        <v>128.0</v>
      </c>
      <c r="Q161" s="252">
        <v>2661.0</v>
      </c>
      <c r="R161" s="251" t="s">
        <v>1112</v>
      </c>
      <c r="S161" s="251" t="s">
        <v>1122</v>
      </c>
      <c r="T161" s="251" t="s">
        <v>1123</v>
      </c>
      <c r="U161" s="252">
        <v>48.0</v>
      </c>
      <c r="V161" s="252">
        <v>14.0</v>
      </c>
      <c r="W161" s="252">
        <v>6.3</v>
      </c>
      <c r="X161" s="251" t="s">
        <v>1102</v>
      </c>
      <c r="Y161" s="251" t="s">
        <v>2003</v>
      </c>
      <c r="Z161" s="251" t="s">
        <v>2004</v>
      </c>
      <c r="AA161" s="254" t="s">
        <v>1105</v>
      </c>
      <c r="AB161" s="254" t="s">
        <v>1105</v>
      </c>
    </row>
    <row r="162">
      <c r="A162" s="252">
        <v>161.0</v>
      </c>
      <c r="B162" s="251" t="s">
        <v>2005</v>
      </c>
      <c r="C162" s="252">
        <v>1.0</v>
      </c>
      <c r="D162" s="251" t="s">
        <v>2006</v>
      </c>
      <c r="E162" s="251" t="s">
        <v>1178</v>
      </c>
      <c r="F162" s="251" t="s">
        <v>1119</v>
      </c>
      <c r="G162" s="253" t="s">
        <v>2007</v>
      </c>
      <c r="H162" s="252">
        <v>3.0</v>
      </c>
      <c r="I162" s="251" t="s">
        <v>1111</v>
      </c>
      <c r="J162" s="252">
        <v>10.0</v>
      </c>
      <c r="K162" s="252">
        <v>813.0</v>
      </c>
      <c r="L162" s="252">
        <v>100.0</v>
      </c>
      <c r="M162" s="252">
        <v>8365.0</v>
      </c>
      <c r="N162" s="252">
        <v>12212.0</v>
      </c>
      <c r="O162" s="252">
        <v>6.0</v>
      </c>
      <c r="P162" s="252">
        <v>32.0</v>
      </c>
      <c r="Q162" s="252">
        <v>5384.0</v>
      </c>
      <c r="R162" s="251" t="s">
        <v>1141</v>
      </c>
      <c r="S162" s="251" t="s">
        <v>1122</v>
      </c>
      <c r="T162" s="251" t="s">
        <v>1021</v>
      </c>
      <c r="U162" s="252">
        <v>14.0</v>
      </c>
      <c r="V162" s="252">
        <v>32.0</v>
      </c>
      <c r="W162" s="252">
        <v>4.7</v>
      </c>
      <c r="X162" s="251" t="s">
        <v>1132</v>
      </c>
      <c r="Y162" s="251" t="s">
        <v>2008</v>
      </c>
      <c r="Z162" s="251" t="s">
        <v>2009</v>
      </c>
      <c r="AA162" s="254" t="s">
        <v>1105</v>
      </c>
      <c r="AB162" s="254" t="s">
        <v>1105</v>
      </c>
    </row>
    <row r="163">
      <c r="A163" s="252">
        <v>162.0</v>
      </c>
      <c r="B163" s="251" t="s">
        <v>2010</v>
      </c>
      <c r="C163" s="252">
        <v>1.0</v>
      </c>
      <c r="D163" s="251" t="s">
        <v>2011</v>
      </c>
      <c r="E163" s="251" t="s">
        <v>1128</v>
      </c>
      <c r="F163" s="251" t="s">
        <v>1129</v>
      </c>
      <c r="G163" s="253" t="s">
        <v>2012</v>
      </c>
      <c r="H163" s="252">
        <v>4.0</v>
      </c>
      <c r="I163" s="251" t="s">
        <v>1098</v>
      </c>
      <c r="J163" s="252">
        <v>8.0</v>
      </c>
      <c r="K163" s="252">
        <v>760.0</v>
      </c>
      <c r="L163" s="252">
        <v>100.0</v>
      </c>
      <c r="M163" s="252">
        <v>20343.0</v>
      </c>
      <c r="N163" s="252">
        <v>33565.0</v>
      </c>
      <c r="O163" s="252">
        <v>6.0</v>
      </c>
      <c r="P163" s="252">
        <v>128.0</v>
      </c>
      <c r="Q163" s="252">
        <v>2681.0</v>
      </c>
      <c r="R163" s="251" t="s">
        <v>1141</v>
      </c>
      <c r="S163" s="251" t="s">
        <v>1100</v>
      </c>
      <c r="T163" s="251" t="s">
        <v>1123</v>
      </c>
      <c r="U163" s="252">
        <v>14.0</v>
      </c>
      <c r="V163" s="252">
        <v>14.0</v>
      </c>
      <c r="W163" s="252">
        <v>5.5</v>
      </c>
      <c r="X163" s="251" t="s">
        <v>1113</v>
      </c>
      <c r="Y163" s="251" t="s">
        <v>2013</v>
      </c>
      <c r="Z163" s="251" t="s">
        <v>2014</v>
      </c>
      <c r="AA163" s="254" t="s">
        <v>1105</v>
      </c>
      <c r="AB163" s="254" t="s">
        <v>1105</v>
      </c>
    </row>
    <row r="164">
      <c r="A164" s="252">
        <v>163.0</v>
      </c>
      <c r="B164" s="251" t="s">
        <v>2015</v>
      </c>
      <c r="C164" s="252">
        <v>1.0</v>
      </c>
      <c r="D164" s="251" t="s">
        <v>2016</v>
      </c>
      <c r="E164" s="251" t="s">
        <v>2017</v>
      </c>
      <c r="F164" s="251" t="s">
        <v>1215</v>
      </c>
      <c r="G164" s="253" t="s">
        <v>2018</v>
      </c>
      <c r="H164" s="252">
        <v>3.0</v>
      </c>
      <c r="I164" s="251" t="s">
        <v>1121</v>
      </c>
      <c r="J164" s="252">
        <v>8.0</v>
      </c>
      <c r="K164" s="252">
        <v>665.0</v>
      </c>
      <c r="L164" s="252">
        <v>100.0</v>
      </c>
      <c r="M164" s="252">
        <v>19272.0</v>
      </c>
      <c r="N164" s="252">
        <v>35075.0</v>
      </c>
      <c r="O164" s="252">
        <v>2.0</v>
      </c>
      <c r="P164" s="252">
        <v>512.0</v>
      </c>
      <c r="Q164" s="252">
        <v>1820.0</v>
      </c>
      <c r="R164" s="251" t="s">
        <v>1112</v>
      </c>
      <c r="S164" s="251" t="s">
        <v>1122</v>
      </c>
      <c r="T164" s="251" t="s">
        <v>1123</v>
      </c>
      <c r="U164" s="252">
        <v>12.0</v>
      </c>
      <c r="V164" s="252">
        <v>16.0</v>
      </c>
      <c r="W164" s="252">
        <v>6.0</v>
      </c>
      <c r="X164" s="251" t="s">
        <v>1102</v>
      </c>
      <c r="Y164" s="251" t="s">
        <v>2019</v>
      </c>
      <c r="Z164" s="251" t="s">
        <v>2020</v>
      </c>
      <c r="AA164" s="254" t="s">
        <v>1105</v>
      </c>
      <c r="AB164" s="254" t="s">
        <v>1105</v>
      </c>
    </row>
    <row r="165">
      <c r="A165" s="252">
        <v>164.0</v>
      </c>
      <c r="B165" s="251" t="s">
        <v>2021</v>
      </c>
      <c r="C165" s="252">
        <v>1.0</v>
      </c>
      <c r="D165" s="251" t="s">
        <v>2022</v>
      </c>
      <c r="E165" s="251" t="s">
        <v>2023</v>
      </c>
      <c r="F165" s="251" t="s">
        <v>1109</v>
      </c>
      <c r="G165" s="253" t="s">
        <v>2024</v>
      </c>
      <c r="H165" s="252">
        <v>6.0</v>
      </c>
      <c r="I165" s="251" t="s">
        <v>1111</v>
      </c>
      <c r="J165" s="252">
        <v>12.0</v>
      </c>
      <c r="K165" s="252">
        <v>316.0</v>
      </c>
      <c r="L165" s="252">
        <v>100.0</v>
      </c>
      <c r="M165" s="252">
        <v>16700.0</v>
      </c>
      <c r="N165" s="252">
        <v>23046.0</v>
      </c>
      <c r="O165" s="252">
        <v>2.0</v>
      </c>
      <c r="P165" s="252">
        <v>8.0</v>
      </c>
      <c r="Q165" s="252">
        <v>3205.0</v>
      </c>
      <c r="R165" s="251" t="s">
        <v>1099</v>
      </c>
      <c r="S165" s="251" t="s">
        <v>1100</v>
      </c>
      <c r="T165" s="251" t="s">
        <v>1123</v>
      </c>
      <c r="U165" s="252">
        <v>14.0</v>
      </c>
      <c r="V165" s="252">
        <v>32.0</v>
      </c>
      <c r="W165" s="252">
        <v>5.0</v>
      </c>
      <c r="X165" s="251" t="s">
        <v>1113</v>
      </c>
      <c r="Y165" s="251" t="s">
        <v>2025</v>
      </c>
      <c r="Z165" s="251" t="s">
        <v>2026</v>
      </c>
      <c r="AA165" s="254" t="s">
        <v>1105</v>
      </c>
      <c r="AB165" s="254" t="s">
        <v>1105</v>
      </c>
    </row>
    <row r="166">
      <c r="A166" s="252">
        <v>165.0</v>
      </c>
      <c r="B166" s="251" t="s">
        <v>2027</v>
      </c>
      <c r="C166" s="252">
        <v>1.0</v>
      </c>
      <c r="D166" s="251" t="s">
        <v>2028</v>
      </c>
      <c r="E166" s="251" t="s">
        <v>1440</v>
      </c>
      <c r="F166" s="251" t="s">
        <v>1233</v>
      </c>
      <c r="G166" s="253" t="s">
        <v>2029</v>
      </c>
      <c r="H166" s="252">
        <v>3.0</v>
      </c>
      <c r="I166" s="251" t="s">
        <v>1098</v>
      </c>
      <c r="J166" s="252">
        <v>12.0</v>
      </c>
      <c r="K166" s="252">
        <v>248.0</v>
      </c>
      <c r="L166" s="252">
        <v>80.0</v>
      </c>
      <c r="M166" s="252">
        <v>7754.0</v>
      </c>
      <c r="N166" s="252">
        <v>12018.0</v>
      </c>
      <c r="O166" s="252">
        <v>2.0</v>
      </c>
      <c r="P166" s="252">
        <v>64.0</v>
      </c>
      <c r="Q166" s="252">
        <v>3422.0</v>
      </c>
      <c r="R166" s="251" t="s">
        <v>1112</v>
      </c>
      <c r="S166" s="251" t="s">
        <v>1122</v>
      </c>
      <c r="T166" s="251" t="s">
        <v>1123</v>
      </c>
      <c r="U166" s="252">
        <v>14.0</v>
      </c>
      <c r="V166" s="252">
        <v>32.0</v>
      </c>
      <c r="W166" s="252">
        <v>5.5</v>
      </c>
      <c r="X166" s="251" t="s">
        <v>1113</v>
      </c>
      <c r="Y166" s="251" t="s">
        <v>2030</v>
      </c>
      <c r="Z166" s="251" t="s">
        <v>2031</v>
      </c>
      <c r="AA166" s="254" t="s">
        <v>1105</v>
      </c>
      <c r="AB166" s="254" t="s">
        <v>1105</v>
      </c>
    </row>
    <row r="167">
      <c r="A167" s="252">
        <v>166.0</v>
      </c>
      <c r="B167" s="251" t="s">
        <v>2032</v>
      </c>
      <c r="C167" s="252">
        <v>1.0</v>
      </c>
      <c r="D167" s="251" t="s">
        <v>2033</v>
      </c>
      <c r="E167" s="251" t="s">
        <v>1422</v>
      </c>
      <c r="F167" s="251" t="s">
        <v>1138</v>
      </c>
      <c r="G167" s="253" t="s">
        <v>2034</v>
      </c>
      <c r="H167" s="252">
        <v>5.0</v>
      </c>
      <c r="I167" s="251" t="s">
        <v>1140</v>
      </c>
      <c r="J167" s="252">
        <v>12.0</v>
      </c>
      <c r="K167" s="252">
        <v>961.0</v>
      </c>
      <c r="L167" s="252">
        <v>80.0</v>
      </c>
      <c r="M167" s="252">
        <v>13306.0</v>
      </c>
      <c r="N167" s="252">
        <v>17031.0</v>
      </c>
      <c r="O167" s="252">
        <v>12.0</v>
      </c>
      <c r="P167" s="252">
        <v>64.0</v>
      </c>
      <c r="Q167" s="252">
        <v>5924.0</v>
      </c>
      <c r="R167" s="251" t="s">
        <v>1099</v>
      </c>
      <c r="S167" s="251" t="s">
        <v>1100</v>
      </c>
      <c r="T167" s="251" t="s">
        <v>1123</v>
      </c>
      <c r="U167" s="252">
        <v>14.0</v>
      </c>
      <c r="V167" s="252">
        <v>16.0</v>
      </c>
      <c r="W167" s="252">
        <v>5.0</v>
      </c>
      <c r="X167" s="251" t="s">
        <v>1102</v>
      </c>
      <c r="Y167" s="251" t="s">
        <v>2035</v>
      </c>
      <c r="Z167" s="251" t="s">
        <v>2036</v>
      </c>
      <c r="AA167" s="254" t="s">
        <v>1105</v>
      </c>
      <c r="AB167" s="254" t="s">
        <v>1105</v>
      </c>
    </row>
    <row r="168">
      <c r="A168" s="252">
        <v>167.0</v>
      </c>
      <c r="B168" s="251" t="s">
        <v>2037</v>
      </c>
      <c r="C168" s="252">
        <v>1.0</v>
      </c>
      <c r="D168" s="251" t="s">
        <v>2038</v>
      </c>
      <c r="E168" s="251" t="s">
        <v>1411</v>
      </c>
      <c r="F168" s="251" t="s">
        <v>1119</v>
      </c>
      <c r="G168" s="253" t="s">
        <v>2039</v>
      </c>
      <c r="H168" s="252">
        <v>2.0</v>
      </c>
      <c r="I168" s="251" t="s">
        <v>1111</v>
      </c>
      <c r="J168" s="252">
        <v>8.0</v>
      </c>
      <c r="K168" s="252">
        <v>626.0</v>
      </c>
      <c r="L168" s="252">
        <v>120.0</v>
      </c>
      <c r="M168" s="252">
        <v>6105.0</v>
      </c>
      <c r="N168" s="252">
        <v>8424.0</v>
      </c>
      <c r="O168" s="252">
        <v>4.0</v>
      </c>
      <c r="P168" s="252">
        <v>512.0</v>
      </c>
      <c r="Q168" s="252">
        <v>4281.0</v>
      </c>
      <c r="R168" s="251" t="s">
        <v>1141</v>
      </c>
      <c r="S168" s="251" t="s">
        <v>1122</v>
      </c>
      <c r="T168" s="251" t="s">
        <v>1021</v>
      </c>
      <c r="U168" s="252">
        <v>16.0</v>
      </c>
      <c r="V168" s="252">
        <v>12.0</v>
      </c>
      <c r="W168" s="252">
        <v>6.3</v>
      </c>
      <c r="X168" s="251" t="s">
        <v>1113</v>
      </c>
      <c r="Y168" s="251" t="s">
        <v>2040</v>
      </c>
      <c r="Z168" s="251" t="s">
        <v>2041</v>
      </c>
      <c r="AA168" s="254" t="s">
        <v>1105</v>
      </c>
      <c r="AB168" s="254" t="s">
        <v>1105</v>
      </c>
    </row>
    <row r="169">
      <c r="A169" s="252">
        <v>168.0</v>
      </c>
      <c r="B169" s="251" t="s">
        <v>2042</v>
      </c>
      <c r="C169" s="252">
        <v>1.0</v>
      </c>
      <c r="D169" s="251" t="s">
        <v>2043</v>
      </c>
      <c r="E169" s="251" t="s">
        <v>1452</v>
      </c>
      <c r="F169" s="251" t="s">
        <v>1119</v>
      </c>
      <c r="G169" s="253" t="s">
        <v>2044</v>
      </c>
      <c r="H169" s="252">
        <v>5.0</v>
      </c>
      <c r="I169" s="251" t="s">
        <v>1111</v>
      </c>
      <c r="J169" s="252">
        <v>12.0</v>
      </c>
      <c r="K169" s="252">
        <v>246.0</v>
      </c>
      <c r="L169" s="252">
        <v>100.0</v>
      </c>
      <c r="M169" s="252">
        <v>10403.0</v>
      </c>
      <c r="N169" s="252">
        <v>15188.0</v>
      </c>
      <c r="O169" s="252">
        <v>4.0</v>
      </c>
      <c r="P169" s="252">
        <v>128.0</v>
      </c>
      <c r="Q169" s="252">
        <v>1841.0</v>
      </c>
      <c r="R169" s="251" t="s">
        <v>1141</v>
      </c>
      <c r="S169" s="251" t="s">
        <v>1100</v>
      </c>
      <c r="T169" s="251" t="s">
        <v>1123</v>
      </c>
      <c r="U169" s="252">
        <v>16.0</v>
      </c>
      <c r="V169" s="252">
        <v>16.0</v>
      </c>
      <c r="W169" s="252">
        <v>6.0</v>
      </c>
      <c r="X169" s="251" t="s">
        <v>1113</v>
      </c>
      <c r="Y169" s="251" t="s">
        <v>2045</v>
      </c>
      <c r="Z169" s="251" t="s">
        <v>2046</v>
      </c>
      <c r="AA169" s="254" t="s">
        <v>1105</v>
      </c>
      <c r="AB169" s="254" t="s">
        <v>1105</v>
      </c>
    </row>
    <row r="170">
      <c r="A170" s="252">
        <v>169.0</v>
      </c>
      <c r="B170" s="251" t="s">
        <v>2047</v>
      </c>
      <c r="C170" s="252">
        <v>1.0</v>
      </c>
      <c r="D170" s="251" t="s">
        <v>2048</v>
      </c>
      <c r="E170" s="251" t="s">
        <v>1272</v>
      </c>
      <c r="F170" s="251" t="s">
        <v>1233</v>
      </c>
      <c r="G170" s="253" t="s">
        <v>2049</v>
      </c>
      <c r="H170" s="252">
        <v>2.0</v>
      </c>
      <c r="I170" s="251" t="s">
        <v>1111</v>
      </c>
      <c r="J170" s="252">
        <v>10.0</v>
      </c>
      <c r="K170" s="252">
        <v>490.0</v>
      </c>
      <c r="L170" s="252">
        <v>100.0</v>
      </c>
      <c r="M170" s="252">
        <v>9112.0</v>
      </c>
      <c r="N170" s="252">
        <v>16583.0</v>
      </c>
      <c r="O170" s="252">
        <v>12.0</v>
      </c>
      <c r="P170" s="252">
        <v>128.0</v>
      </c>
      <c r="Q170" s="252">
        <v>5354.0</v>
      </c>
      <c r="R170" s="251" t="s">
        <v>1112</v>
      </c>
      <c r="S170" s="251" t="s">
        <v>1100</v>
      </c>
      <c r="T170" s="251" t="s">
        <v>1101</v>
      </c>
      <c r="U170" s="252">
        <v>16.0</v>
      </c>
      <c r="V170" s="252">
        <v>14.0</v>
      </c>
      <c r="W170" s="252">
        <v>4.7</v>
      </c>
      <c r="X170" s="251" t="s">
        <v>1113</v>
      </c>
      <c r="Y170" s="251" t="s">
        <v>2050</v>
      </c>
      <c r="Z170" s="251" t="s">
        <v>2051</v>
      </c>
      <c r="AA170" s="254" t="s">
        <v>1105</v>
      </c>
      <c r="AB170" s="254" t="s">
        <v>1105</v>
      </c>
    </row>
    <row r="171">
      <c r="A171" s="252">
        <v>170.0</v>
      </c>
      <c r="B171" s="251" t="s">
        <v>2052</v>
      </c>
      <c r="C171" s="252">
        <v>1.0</v>
      </c>
      <c r="D171" s="251" t="s">
        <v>2053</v>
      </c>
      <c r="E171" s="251" t="s">
        <v>1550</v>
      </c>
      <c r="F171" s="251" t="s">
        <v>1109</v>
      </c>
      <c r="G171" s="253" t="s">
        <v>2054</v>
      </c>
      <c r="H171" s="252">
        <v>5.0</v>
      </c>
      <c r="I171" s="251" t="s">
        <v>1131</v>
      </c>
      <c r="J171" s="252">
        <v>10.0</v>
      </c>
      <c r="K171" s="252">
        <v>204.0</v>
      </c>
      <c r="L171" s="252">
        <v>120.0</v>
      </c>
      <c r="M171" s="252">
        <v>8291.0</v>
      </c>
      <c r="N171" s="252">
        <v>13763.0</v>
      </c>
      <c r="O171" s="252">
        <v>2.0</v>
      </c>
      <c r="P171" s="252">
        <v>16.0</v>
      </c>
      <c r="Q171" s="252">
        <v>1949.0</v>
      </c>
      <c r="R171" s="251" t="s">
        <v>1141</v>
      </c>
      <c r="S171" s="251" t="s">
        <v>1122</v>
      </c>
      <c r="T171" s="251" t="s">
        <v>1101</v>
      </c>
      <c r="U171" s="252">
        <v>48.0</v>
      </c>
      <c r="V171" s="252">
        <v>14.0</v>
      </c>
      <c r="W171" s="252">
        <v>6.3</v>
      </c>
      <c r="X171" s="251" t="s">
        <v>1132</v>
      </c>
      <c r="Y171" s="251" t="s">
        <v>2055</v>
      </c>
      <c r="Z171" s="251" t="s">
        <v>2056</v>
      </c>
      <c r="AA171" s="254" t="s">
        <v>1105</v>
      </c>
      <c r="AB171" s="254" t="s">
        <v>1105</v>
      </c>
    </row>
    <row r="172">
      <c r="A172" s="252">
        <v>171.0</v>
      </c>
      <c r="B172" s="251" t="s">
        <v>2057</v>
      </c>
      <c r="C172" s="252">
        <v>1.0</v>
      </c>
      <c r="D172" s="251" t="s">
        <v>2058</v>
      </c>
      <c r="E172" s="251" t="s">
        <v>1232</v>
      </c>
      <c r="F172" s="251" t="s">
        <v>1233</v>
      </c>
      <c r="G172" s="253" t="s">
        <v>2059</v>
      </c>
      <c r="H172" s="252">
        <v>3.0</v>
      </c>
      <c r="I172" s="251" t="s">
        <v>1121</v>
      </c>
      <c r="J172" s="252">
        <v>12.0</v>
      </c>
      <c r="K172" s="252">
        <v>401.0</v>
      </c>
      <c r="L172" s="252">
        <v>100.0</v>
      </c>
      <c r="M172" s="252">
        <v>9006.0</v>
      </c>
      <c r="N172" s="252">
        <v>16030.0</v>
      </c>
      <c r="O172" s="252">
        <v>8.0</v>
      </c>
      <c r="P172" s="252">
        <v>8.0</v>
      </c>
      <c r="Q172" s="252">
        <v>3824.0</v>
      </c>
      <c r="R172" s="251" t="s">
        <v>1112</v>
      </c>
      <c r="S172" s="251" t="s">
        <v>1122</v>
      </c>
      <c r="T172" s="251" t="s">
        <v>1123</v>
      </c>
      <c r="U172" s="252">
        <v>16.0</v>
      </c>
      <c r="V172" s="252">
        <v>32.0</v>
      </c>
      <c r="W172" s="252">
        <v>6.3</v>
      </c>
      <c r="X172" s="251" t="s">
        <v>1147</v>
      </c>
      <c r="Y172" s="251" t="s">
        <v>2060</v>
      </c>
      <c r="Z172" s="251" t="s">
        <v>2061</v>
      </c>
      <c r="AA172" s="254" t="s">
        <v>1105</v>
      </c>
      <c r="AB172" s="254" t="s">
        <v>1105</v>
      </c>
    </row>
    <row r="173">
      <c r="A173" s="252">
        <v>172.0</v>
      </c>
      <c r="B173" s="251" t="s">
        <v>2062</v>
      </c>
      <c r="C173" s="252">
        <v>1.0</v>
      </c>
      <c r="D173" s="251" t="s">
        <v>2063</v>
      </c>
      <c r="E173" s="251" t="s">
        <v>1411</v>
      </c>
      <c r="F173" s="251" t="s">
        <v>1119</v>
      </c>
      <c r="G173" s="253" t="s">
        <v>2064</v>
      </c>
      <c r="H173" s="252">
        <v>3.0</v>
      </c>
      <c r="I173" s="251" t="s">
        <v>1121</v>
      </c>
      <c r="J173" s="252">
        <v>10.0</v>
      </c>
      <c r="K173" s="252">
        <v>735.0</v>
      </c>
      <c r="L173" s="252">
        <v>120.0</v>
      </c>
      <c r="M173" s="252">
        <v>9329.0</v>
      </c>
      <c r="N173" s="252">
        <v>16325.0</v>
      </c>
      <c r="O173" s="252">
        <v>8.0</v>
      </c>
      <c r="P173" s="252">
        <v>32.0</v>
      </c>
      <c r="Q173" s="252">
        <v>5775.0</v>
      </c>
      <c r="R173" s="251" t="s">
        <v>1099</v>
      </c>
      <c r="S173" s="251" t="s">
        <v>1100</v>
      </c>
      <c r="T173" s="251" t="s">
        <v>1123</v>
      </c>
      <c r="U173" s="252">
        <v>48.0</v>
      </c>
      <c r="V173" s="252">
        <v>12.0</v>
      </c>
      <c r="W173" s="252">
        <v>5.5</v>
      </c>
      <c r="X173" s="251" t="s">
        <v>1102</v>
      </c>
      <c r="Y173" s="251" t="s">
        <v>2065</v>
      </c>
      <c r="Z173" s="251" t="s">
        <v>2066</v>
      </c>
      <c r="AA173" s="254" t="s">
        <v>1105</v>
      </c>
      <c r="AB173" s="254" t="s">
        <v>1105</v>
      </c>
    </row>
    <row r="174">
      <c r="A174" s="252">
        <v>173.0</v>
      </c>
      <c r="B174" s="251" t="s">
        <v>2067</v>
      </c>
      <c r="C174" s="252">
        <v>1.0</v>
      </c>
      <c r="D174" s="251" t="s">
        <v>2068</v>
      </c>
      <c r="E174" s="251" t="s">
        <v>1550</v>
      </c>
      <c r="F174" s="251" t="s">
        <v>1109</v>
      </c>
      <c r="G174" s="253" t="s">
        <v>2069</v>
      </c>
      <c r="H174" s="252">
        <v>2.0</v>
      </c>
      <c r="I174" s="251" t="s">
        <v>1111</v>
      </c>
      <c r="J174" s="252">
        <v>12.0</v>
      </c>
      <c r="K174" s="252">
        <v>566.0</v>
      </c>
      <c r="L174" s="252">
        <v>100.0</v>
      </c>
      <c r="M174" s="252">
        <v>19240.0</v>
      </c>
      <c r="N174" s="252">
        <v>26936.0</v>
      </c>
      <c r="O174" s="252">
        <v>8.0</v>
      </c>
      <c r="P174" s="252">
        <v>16.0</v>
      </c>
      <c r="Q174" s="252">
        <v>5170.0</v>
      </c>
      <c r="R174" s="251" t="s">
        <v>1099</v>
      </c>
      <c r="S174" s="251" t="s">
        <v>1100</v>
      </c>
      <c r="T174" s="251" t="s">
        <v>1021</v>
      </c>
      <c r="U174" s="252">
        <v>32.0</v>
      </c>
      <c r="V174" s="252">
        <v>48.0</v>
      </c>
      <c r="W174" s="252">
        <v>6.3</v>
      </c>
      <c r="X174" s="251" t="s">
        <v>1147</v>
      </c>
      <c r="Y174" s="251" t="s">
        <v>2070</v>
      </c>
      <c r="Z174" s="251" t="s">
        <v>2071</v>
      </c>
      <c r="AA174" s="254" t="s">
        <v>1105</v>
      </c>
      <c r="AB174" s="254" t="s">
        <v>1105</v>
      </c>
    </row>
    <row r="175">
      <c r="A175" s="252">
        <v>174.0</v>
      </c>
      <c r="B175" s="251" t="s">
        <v>2072</v>
      </c>
      <c r="C175" s="252">
        <v>1.0</v>
      </c>
      <c r="D175" s="251" t="s">
        <v>2073</v>
      </c>
      <c r="E175" s="251" t="s">
        <v>1836</v>
      </c>
      <c r="F175" s="251" t="s">
        <v>1233</v>
      </c>
      <c r="G175" s="253" t="s">
        <v>2074</v>
      </c>
      <c r="H175" s="252">
        <v>2.0</v>
      </c>
      <c r="I175" s="251" t="s">
        <v>1098</v>
      </c>
      <c r="J175" s="252">
        <v>12.0</v>
      </c>
      <c r="K175" s="252">
        <v>581.0</v>
      </c>
      <c r="L175" s="252">
        <v>80.0</v>
      </c>
      <c r="M175" s="252">
        <v>17678.0</v>
      </c>
      <c r="N175" s="252">
        <v>26693.0</v>
      </c>
      <c r="O175" s="252">
        <v>6.0</v>
      </c>
      <c r="P175" s="252">
        <v>8.0</v>
      </c>
      <c r="Q175" s="252">
        <v>2835.0</v>
      </c>
      <c r="R175" s="251" t="s">
        <v>1112</v>
      </c>
      <c r="S175" s="251" t="s">
        <v>1122</v>
      </c>
      <c r="T175" s="251" t="s">
        <v>1021</v>
      </c>
      <c r="U175" s="252">
        <v>16.0</v>
      </c>
      <c r="V175" s="252">
        <v>12.0</v>
      </c>
      <c r="W175" s="252">
        <v>6.0</v>
      </c>
      <c r="X175" s="251" t="s">
        <v>1147</v>
      </c>
      <c r="Y175" s="251" t="s">
        <v>2075</v>
      </c>
      <c r="Z175" s="251" t="s">
        <v>2076</v>
      </c>
      <c r="AA175" s="254" t="s">
        <v>1105</v>
      </c>
      <c r="AB175" s="254" t="s">
        <v>1105</v>
      </c>
    </row>
    <row r="176">
      <c r="A176" s="252">
        <v>175.0</v>
      </c>
      <c r="B176" s="251" t="s">
        <v>2077</v>
      </c>
      <c r="C176" s="252">
        <v>1.0</v>
      </c>
      <c r="D176" s="251" t="s">
        <v>2078</v>
      </c>
      <c r="E176" s="251" t="s">
        <v>1341</v>
      </c>
      <c r="F176" s="251" t="s">
        <v>1215</v>
      </c>
      <c r="G176" s="253" t="s">
        <v>2079</v>
      </c>
      <c r="H176" s="252">
        <v>3.0</v>
      </c>
      <c r="I176" s="251" t="s">
        <v>1098</v>
      </c>
      <c r="J176" s="252">
        <v>10.0</v>
      </c>
      <c r="K176" s="252">
        <v>485.0</v>
      </c>
      <c r="L176" s="252">
        <v>120.0</v>
      </c>
      <c r="M176" s="252">
        <v>13123.0</v>
      </c>
      <c r="N176" s="252">
        <v>20078.0</v>
      </c>
      <c r="O176" s="252">
        <v>2.0</v>
      </c>
      <c r="P176" s="252">
        <v>512.0</v>
      </c>
      <c r="Q176" s="252">
        <v>5210.0</v>
      </c>
      <c r="R176" s="251" t="s">
        <v>1099</v>
      </c>
      <c r="S176" s="251" t="s">
        <v>1122</v>
      </c>
      <c r="T176" s="251" t="s">
        <v>1123</v>
      </c>
      <c r="U176" s="252">
        <v>48.0</v>
      </c>
      <c r="V176" s="252">
        <v>14.0</v>
      </c>
      <c r="W176" s="252">
        <v>6.3</v>
      </c>
      <c r="X176" s="251" t="s">
        <v>1132</v>
      </c>
      <c r="Y176" s="251" t="s">
        <v>2080</v>
      </c>
      <c r="Z176" s="251" t="s">
        <v>2081</v>
      </c>
      <c r="AA176" s="254" t="s">
        <v>1105</v>
      </c>
      <c r="AB176" s="254" t="s">
        <v>1105</v>
      </c>
    </row>
    <row r="177">
      <c r="A177" s="252">
        <v>176.0</v>
      </c>
      <c r="B177" s="251" t="s">
        <v>2082</v>
      </c>
      <c r="C177" s="252">
        <v>1.0</v>
      </c>
      <c r="D177" s="251" t="s">
        <v>2083</v>
      </c>
      <c r="E177" s="251" t="s">
        <v>1942</v>
      </c>
      <c r="F177" s="251" t="s">
        <v>1233</v>
      </c>
      <c r="G177" s="253" t="s">
        <v>2084</v>
      </c>
      <c r="H177" s="252">
        <v>3.0</v>
      </c>
      <c r="I177" s="251" t="s">
        <v>1140</v>
      </c>
      <c r="J177" s="252">
        <v>8.0</v>
      </c>
      <c r="K177" s="252">
        <v>291.0</v>
      </c>
      <c r="L177" s="252">
        <v>120.0</v>
      </c>
      <c r="M177" s="252">
        <v>14254.0</v>
      </c>
      <c r="N177" s="252">
        <v>22378.0</v>
      </c>
      <c r="O177" s="252">
        <v>4.0</v>
      </c>
      <c r="P177" s="252">
        <v>8.0</v>
      </c>
      <c r="Q177" s="252">
        <v>5610.0</v>
      </c>
      <c r="R177" s="251" t="s">
        <v>1099</v>
      </c>
      <c r="S177" s="251" t="s">
        <v>1122</v>
      </c>
      <c r="T177" s="251" t="s">
        <v>1101</v>
      </c>
      <c r="U177" s="252">
        <v>12.0</v>
      </c>
      <c r="V177" s="252">
        <v>14.0</v>
      </c>
      <c r="W177" s="252">
        <v>5.2</v>
      </c>
      <c r="X177" s="251" t="s">
        <v>1147</v>
      </c>
      <c r="Y177" s="251" t="s">
        <v>2085</v>
      </c>
      <c r="Z177" s="251" t="s">
        <v>2086</v>
      </c>
      <c r="AA177" s="254" t="s">
        <v>1105</v>
      </c>
      <c r="AB177" s="254" t="s">
        <v>1105</v>
      </c>
    </row>
    <row r="178">
      <c r="A178" s="252">
        <v>177.0</v>
      </c>
      <c r="B178" s="251" t="s">
        <v>2087</v>
      </c>
      <c r="C178" s="252">
        <v>1.0</v>
      </c>
      <c r="D178" s="251" t="s">
        <v>2088</v>
      </c>
      <c r="E178" s="251" t="s">
        <v>1964</v>
      </c>
      <c r="F178" s="251" t="s">
        <v>1129</v>
      </c>
      <c r="G178" s="253" t="s">
        <v>2089</v>
      </c>
      <c r="H178" s="252">
        <v>5.0</v>
      </c>
      <c r="I178" s="251" t="s">
        <v>1121</v>
      </c>
      <c r="J178" s="252">
        <v>10.0</v>
      </c>
      <c r="K178" s="252">
        <v>260.0</v>
      </c>
      <c r="L178" s="252">
        <v>120.0</v>
      </c>
      <c r="M178" s="252">
        <v>10113.0</v>
      </c>
      <c r="N178" s="252">
        <v>16383.0</v>
      </c>
      <c r="O178" s="252">
        <v>2.0</v>
      </c>
      <c r="P178" s="252">
        <v>16.0</v>
      </c>
      <c r="Q178" s="252">
        <v>5974.0</v>
      </c>
      <c r="R178" s="251" t="s">
        <v>1099</v>
      </c>
      <c r="S178" s="251" t="s">
        <v>1100</v>
      </c>
      <c r="T178" s="251" t="s">
        <v>1123</v>
      </c>
      <c r="U178" s="252">
        <v>48.0</v>
      </c>
      <c r="V178" s="252">
        <v>48.0</v>
      </c>
      <c r="W178" s="252">
        <v>6.3</v>
      </c>
      <c r="X178" s="251" t="s">
        <v>1147</v>
      </c>
      <c r="Y178" s="251" t="s">
        <v>2090</v>
      </c>
      <c r="Z178" s="251" t="s">
        <v>2091</v>
      </c>
      <c r="AA178" s="254" t="s">
        <v>1105</v>
      </c>
      <c r="AB178" s="254" t="s">
        <v>1105</v>
      </c>
    </row>
    <row r="179">
      <c r="A179" s="252">
        <v>178.0</v>
      </c>
      <c r="B179" s="251" t="s">
        <v>2092</v>
      </c>
      <c r="C179" s="252">
        <v>1.0</v>
      </c>
      <c r="D179" s="251" t="s">
        <v>2093</v>
      </c>
      <c r="E179" s="251" t="s">
        <v>1329</v>
      </c>
      <c r="F179" s="251" t="s">
        <v>1109</v>
      </c>
      <c r="G179" s="253" t="s">
        <v>2094</v>
      </c>
      <c r="H179" s="252">
        <v>3.0</v>
      </c>
      <c r="I179" s="251" t="s">
        <v>1140</v>
      </c>
      <c r="J179" s="252">
        <v>8.0</v>
      </c>
      <c r="K179" s="252">
        <v>752.0</v>
      </c>
      <c r="L179" s="252">
        <v>120.0</v>
      </c>
      <c r="M179" s="252">
        <v>18316.0</v>
      </c>
      <c r="N179" s="252">
        <v>25276.0</v>
      </c>
      <c r="O179" s="252">
        <v>8.0</v>
      </c>
      <c r="P179" s="252">
        <v>8.0</v>
      </c>
      <c r="Q179" s="252">
        <v>4533.0</v>
      </c>
      <c r="R179" s="251" t="s">
        <v>1112</v>
      </c>
      <c r="S179" s="251" t="s">
        <v>1100</v>
      </c>
      <c r="T179" s="251" t="s">
        <v>1123</v>
      </c>
      <c r="U179" s="252">
        <v>14.0</v>
      </c>
      <c r="V179" s="252">
        <v>12.0</v>
      </c>
      <c r="W179" s="252">
        <v>6.3</v>
      </c>
      <c r="X179" s="251" t="s">
        <v>1113</v>
      </c>
      <c r="Y179" s="251" t="s">
        <v>2095</v>
      </c>
      <c r="Z179" s="251" t="s">
        <v>2096</v>
      </c>
      <c r="AA179" s="254" t="s">
        <v>1105</v>
      </c>
      <c r="AB179" s="254" t="s">
        <v>1105</v>
      </c>
    </row>
    <row r="180">
      <c r="A180" s="252">
        <v>179.0</v>
      </c>
      <c r="B180" s="251" t="s">
        <v>2097</v>
      </c>
      <c r="C180" s="252">
        <v>1.0</v>
      </c>
      <c r="D180" s="251" t="s">
        <v>2098</v>
      </c>
      <c r="E180" s="251" t="s">
        <v>1250</v>
      </c>
      <c r="F180" s="251" t="s">
        <v>1153</v>
      </c>
      <c r="G180" s="253" t="s">
        <v>2099</v>
      </c>
      <c r="H180" s="252">
        <v>2.0</v>
      </c>
      <c r="I180" s="251" t="s">
        <v>1140</v>
      </c>
      <c r="J180" s="252">
        <v>12.0</v>
      </c>
      <c r="K180" s="252">
        <v>424.0</v>
      </c>
      <c r="L180" s="252">
        <v>100.0</v>
      </c>
      <c r="M180" s="252">
        <v>2371.0</v>
      </c>
      <c r="N180" s="252">
        <v>4244.0</v>
      </c>
      <c r="O180" s="252">
        <v>8.0</v>
      </c>
      <c r="P180" s="252">
        <v>64.0</v>
      </c>
      <c r="Q180" s="252">
        <v>2362.0</v>
      </c>
      <c r="R180" s="251" t="s">
        <v>1112</v>
      </c>
      <c r="S180" s="251" t="s">
        <v>1100</v>
      </c>
      <c r="T180" s="251" t="s">
        <v>1021</v>
      </c>
      <c r="U180" s="252">
        <v>48.0</v>
      </c>
      <c r="V180" s="252">
        <v>48.0</v>
      </c>
      <c r="W180" s="252">
        <v>5.0</v>
      </c>
      <c r="X180" s="251" t="s">
        <v>1147</v>
      </c>
      <c r="Y180" s="251" t="s">
        <v>2100</v>
      </c>
      <c r="Z180" s="251" t="s">
        <v>2101</v>
      </c>
      <c r="AA180" s="254" t="s">
        <v>1105</v>
      </c>
      <c r="AB180" s="254" t="s">
        <v>1105</v>
      </c>
    </row>
    <row r="181">
      <c r="A181" s="252">
        <v>180.0</v>
      </c>
      <c r="B181" s="251" t="s">
        <v>2102</v>
      </c>
      <c r="C181" s="252">
        <v>1.0</v>
      </c>
      <c r="D181" s="251" t="s">
        <v>2103</v>
      </c>
      <c r="E181" s="251" t="s">
        <v>1452</v>
      </c>
      <c r="F181" s="251" t="s">
        <v>1119</v>
      </c>
      <c r="G181" s="253" t="s">
        <v>2104</v>
      </c>
      <c r="H181" s="252">
        <v>2.0</v>
      </c>
      <c r="I181" s="251" t="s">
        <v>1098</v>
      </c>
      <c r="J181" s="252">
        <v>12.0</v>
      </c>
      <c r="K181" s="252">
        <v>210.0</v>
      </c>
      <c r="L181" s="252">
        <v>100.0</v>
      </c>
      <c r="M181" s="252">
        <v>12822.0</v>
      </c>
      <c r="N181" s="252">
        <v>17437.0</v>
      </c>
      <c r="O181" s="252">
        <v>2.0</v>
      </c>
      <c r="P181" s="252">
        <v>128.0</v>
      </c>
      <c r="Q181" s="252">
        <v>4631.0</v>
      </c>
      <c r="R181" s="251" t="s">
        <v>1141</v>
      </c>
      <c r="S181" s="251" t="s">
        <v>1100</v>
      </c>
      <c r="T181" s="251" t="s">
        <v>1101</v>
      </c>
      <c r="U181" s="252">
        <v>32.0</v>
      </c>
      <c r="V181" s="252">
        <v>12.0</v>
      </c>
      <c r="W181" s="252">
        <v>5.2</v>
      </c>
      <c r="X181" s="251" t="s">
        <v>1147</v>
      </c>
      <c r="Y181" s="251" t="s">
        <v>2105</v>
      </c>
      <c r="Z181" s="251" t="s">
        <v>2106</v>
      </c>
      <c r="AA181" s="254" t="s">
        <v>1105</v>
      </c>
      <c r="AB181" s="254" t="s">
        <v>1105</v>
      </c>
    </row>
    <row r="182">
      <c r="A182" s="252">
        <v>181.0</v>
      </c>
      <c r="B182" s="251" t="s">
        <v>2107</v>
      </c>
      <c r="C182" s="252">
        <v>1.0</v>
      </c>
      <c r="D182" s="251" t="s">
        <v>2108</v>
      </c>
      <c r="E182" s="251" t="s">
        <v>1650</v>
      </c>
      <c r="F182" s="251" t="s">
        <v>1160</v>
      </c>
      <c r="G182" s="253" t="s">
        <v>2109</v>
      </c>
      <c r="H182" s="252">
        <v>5.0</v>
      </c>
      <c r="I182" s="251" t="s">
        <v>1140</v>
      </c>
      <c r="J182" s="252">
        <v>12.0</v>
      </c>
      <c r="K182" s="252">
        <v>401.0</v>
      </c>
      <c r="L182" s="252">
        <v>100.0</v>
      </c>
      <c r="M182" s="252">
        <v>20069.0</v>
      </c>
      <c r="N182" s="252">
        <v>29501.0</v>
      </c>
      <c r="O182" s="252">
        <v>12.0</v>
      </c>
      <c r="P182" s="252">
        <v>128.0</v>
      </c>
      <c r="Q182" s="252">
        <v>2146.0</v>
      </c>
      <c r="R182" s="251" t="s">
        <v>1141</v>
      </c>
      <c r="S182" s="251" t="s">
        <v>1122</v>
      </c>
      <c r="T182" s="251" t="s">
        <v>1123</v>
      </c>
      <c r="U182" s="252">
        <v>12.0</v>
      </c>
      <c r="V182" s="252">
        <v>48.0</v>
      </c>
      <c r="W182" s="252">
        <v>5.5</v>
      </c>
      <c r="X182" s="251" t="s">
        <v>1113</v>
      </c>
      <c r="Y182" s="251" t="s">
        <v>2110</v>
      </c>
      <c r="Z182" s="251" t="s">
        <v>2111</v>
      </c>
      <c r="AA182" s="254" t="s">
        <v>1105</v>
      </c>
      <c r="AB182" s="254" t="s">
        <v>1105</v>
      </c>
    </row>
    <row r="183">
      <c r="A183" s="252">
        <v>182.0</v>
      </c>
      <c r="B183" s="251" t="s">
        <v>2112</v>
      </c>
      <c r="C183" s="252">
        <v>1.0</v>
      </c>
      <c r="D183" s="251" t="s">
        <v>2113</v>
      </c>
      <c r="E183" s="251" t="s">
        <v>2114</v>
      </c>
      <c r="F183" s="251" t="s">
        <v>1138</v>
      </c>
      <c r="G183" s="253" t="s">
        <v>2115</v>
      </c>
      <c r="H183" s="252">
        <v>3.0</v>
      </c>
      <c r="I183" s="251" t="s">
        <v>1121</v>
      </c>
      <c r="J183" s="252">
        <v>8.0</v>
      </c>
      <c r="K183" s="252">
        <v>315.0</v>
      </c>
      <c r="L183" s="252">
        <v>80.0</v>
      </c>
      <c r="M183" s="252">
        <v>5279.0</v>
      </c>
      <c r="N183" s="252">
        <v>9554.0</v>
      </c>
      <c r="O183" s="252">
        <v>6.0</v>
      </c>
      <c r="P183" s="252">
        <v>512.0</v>
      </c>
      <c r="Q183" s="252">
        <v>4641.0</v>
      </c>
      <c r="R183" s="251" t="s">
        <v>1099</v>
      </c>
      <c r="S183" s="251" t="s">
        <v>1100</v>
      </c>
      <c r="T183" s="251" t="s">
        <v>1021</v>
      </c>
      <c r="U183" s="252">
        <v>16.0</v>
      </c>
      <c r="V183" s="252">
        <v>32.0</v>
      </c>
      <c r="W183" s="252">
        <v>6.3</v>
      </c>
      <c r="X183" s="251" t="s">
        <v>1147</v>
      </c>
      <c r="Y183" s="251" t="s">
        <v>2116</v>
      </c>
      <c r="Z183" s="251" t="s">
        <v>2117</v>
      </c>
      <c r="AA183" s="254" t="s">
        <v>1105</v>
      </c>
      <c r="AB183" s="254" t="s">
        <v>1105</v>
      </c>
    </row>
    <row r="184">
      <c r="A184" s="252">
        <v>183.0</v>
      </c>
      <c r="B184" s="251" t="s">
        <v>2118</v>
      </c>
      <c r="C184" s="252">
        <v>1.0</v>
      </c>
      <c r="D184" s="251" t="s">
        <v>2119</v>
      </c>
      <c r="E184" s="251" t="s">
        <v>1381</v>
      </c>
      <c r="F184" s="251" t="s">
        <v>1119</v>
      </c>
      <c r="G184" s="253" t="s">
        <v>2120</v>
      </c>
      <c r="H184" s="252">
        <v>5.0</v>
      </c>
      <c r="I184" s="251" t="s">
        <v>1121</v>
      </c>
      <c r="J184" s="252">
        <v>10.0</v>
      </c>
      <c r="K184" s="252">
        <v>953.0</v>
      </c>
      <c r="L184" s="252">
        <v>120.0</v>
      </c>
      <c r="M184" s="252">
        <v>5948.0</v>
      </c>
      <c r="N184" s="252">
        <v>7851.0</v>
      </c>
      <c r="O184" s="252">
        <v>12.0</v>
      </c>
      <c r="P184" s="252">
        <v>128.0</v>
      </c>
      <c r="Q184" s="252">
        <v>6253.0</v>
      </c>
      <c r="R184" s="251" t="s">
        <v>1099</v>
      </c>
      <c r="S184" s="251" t="s">
        <v>1122</v>
      </c>
      <c r="T184" s="251" t="s">
        <v>1123</v>
      </c>
      <c r="U184" s="252">
        <v>48.0</v>
      </c>
      <c r="V184" s="252">
        <v>14.0</v>
      </c>
      <c r="W184" s="252">
        <v>6.3</v>
      </c>
      <c r="X184" s="251" t="s">
        <v>1113</v>
      </c>
      <c r="Y184" s="251" t="s">
        <v>2121</v>
      </c>
      <c r="Z184" s="251" t="s">
        <v>2122</v>
      </c>
      <c r="AA184" s="254" t="s">
        <v>1105</v>
      </c>
      <c r="AB184" s="254" t="s">
        <v>1105</v>
      </c>
    </row>
    <row r="185">
      <c r="A185" s="252">
        <v>184.0</v>
      </c>
      <c r="B185" s="251" t="s">
        <v>2123</v>
      </c>
      <c r="C185" s="252">
        <v>1.0</v>
      </c>
      <c r="D185" s="251" t="s">
        <v>2124</v>
      </c>
      <c r="E185" s="251" t="s">
        <v>2125</v>
      </c>
      <c r="F185" s="251" t="s">
        <v>1202</v>
      </c>
      <c r="G185" s="253" t="s">
        <v>2126</v>
      </c>
      <c r="H185" s="252">
        <v>5.0</v>
      </c>
      <c r="I185" s="251" t="s">
        <v>1140</v>
      </c>
      <c r="J185" s="252">
        <v>12.0</v>
      </c>
      <c r="K185" s="252">
        <v>401.0</v>
      </c>
      <c r="L185" s="252">
        <v>100.0</v>
      </c>
      <c r="M185" s="252">
        <v>9378.0</v>
      </c>
      <c r="N185" s="252">
        <v>11441.0</v>
      </c>
      <c r="O185" s="252">
        <v>12.0</v>
      </c>
      <c r="P185" s="252">
        <v>8.0</v>
      </c>
      <c r="Q185" s="252">
        <v>4866.0</v>
      </c>
      <c r="R185" s="251" t="s">
        <v>1099</v>
      </c>
      <c r="S185" s="251" t="s">
        <v>1100</v>
      </c>
      <c r="T185" s="251" t="s">
        <v>1021</v>
      </c>
      <c r="U185" s="252">
        <v>12.0</v>
      </c>
      <c r="V185" s="252">
        <v>32.0</v>
      </c>
      <c r="W185" s="252">
        <v>6.0</v>
      </c>
      <c r="X185" s="251" t="s">
        <v>1147</v>
      </c>
      <c r="Y185" s="251" t="s">
        <v>2127</v>
      </c>
      <c r="Z185" s="251" t="s">
        <v>2128</v>
      </c>
      <c r="AA185" s="254" t="s">
        <v>1105</v>
      </c>
      <c r="AB185" s="254" t="s">
        <v>1105</v>
      </c>
    </row>
    <row r="186">
      <c r="A186" s="252">
        <v>185.0</v>
      </c>
      <c r="B186" s="251" t="s">
        <v>2129</v>
      </c>
      <c r="C186" s="252">
        <v>1.0</v>
      </c>
      <c r="D186" s="251" t="s">
        <v>2130</v>
      </c>
      <c r="E186" s="251" t="s">
        <v>1195</v>
      </c>
      <c r="F186" s="251" t="s">
        <v>1109</v>
      </c>
      <c r="G186" s="253" t="s">
        <v>2131</v>
      </c>
      <c r="H186" s="252">
        <v>5.0</v>
      </c>
      <c r="I186" s="251" t="s">
        <v>1111</v>
      </c>
      <c r="J186" s="252">
        <v>12.0</v>
      </c>
      <c r="K186" s="252">
        <v>505.0</v>
      </c>
      <c r="L186" s="252">
        <v>80.0</v>
      </c>
      <c r="M186" s="252">
        <v>17013.0</v>
      </c>
      <c r="N186" s="252">
        <v>24498.0</v>
      </c>
      <c r="O186" s="252">
        <v>6.0</v>
      </c>
      <c r="P186" s="252">
        <v>16.0</v>
      </c>
      <c r="Q186" s="252">
        <v>6239.0</v>
      </c>
      <c r="R186" s="251" t="s">
        <v>1141</v>
      </c>
      <c r="S186" s="251" t="s">
        <v>1100</v>
      </c>
      <c r="T186" s="251" t="s">
        <v>1123</v>
      </c>
      <c r="U186" s="252">
        <v>16.0</v>
      </c>
      <c r="V186" s="252">
        <v>12.0</v>
      </c>
      <c r="W186" s="252">
        <v>4.7</v>
      </c>
      <c r="X186" s="251" t="s">
        <v>1132</v>
      </c>
      <c r="Y186" s="251" t="s">
        <v>2132</v>
      </c>
      <c r="Z186" s="251" t="s">
        <v>2133</v>
      </c>
      <c r="AA186" s="254" t="s">
        <v>1105</v>
      </c>
      <c r="AB186" s="254" t="s">
        <v>1105</v>
      </c>
    </row>
    <row r="187">
      <c r="A187" s="252">
        <v>186.0</v>
      </c>
      <c r="B187" s="251" t="s">
        <v>2134</v>
      </c>
      <c r="C187" s="252">
        <v>1.0</v>
      </c>
      <c r="D187" s="251" t="s">
        <v>2135</v>
      </c>
      <c r="E187" s="251" t="s">
        <v>1440</v>
      </c>
      <c r="F187" s="251" t="s">
        <v>1233</v>
      </c>
      <c r="G187" s="253" t="s">
        <v>2136</v>
      </c>
      <c r="H187" s="252">
        <v>5.0</v>
      </c>
      <c r="I187" s="251" t="s">
        <v>1140</v>
      </c>
      <c r="J187" s="252">
        <v>10.0</v>
      </c>
      <c r="K187" s="252">
        <v>688.0</v>
      </c>
      <c r="L187" s="252">
        <v>120.0</v>
      </c>
      <c r="M187" s="252">
        <v>20794.0</v>
      </c>
      <c r="N187" s="252">
        <v>32230.0</v>
      </c>
      <c r="O187" s="252">
        <v>2.0</v>
      </c>
      <c r="P187" s="252">
        <v>512.0</v>
      </c>
      <c r="Q187" s="252">
        <v>5197.0</v>
      </c>
      <c r="R187" s="251" t="s">
        <v>1112</v>
      </c>
      <c r="S187" s="251" t="s">
        <v>1122</v>
      </c>
      <c r="T187" s="251" t="s">
        <v>1123</v>
      </c>
      <c r="U187" s="252">
        <v>14.0</v>
      </c>
      <c r="V187" s="252">
        <v>12.0</v>
      </c>
      <c r="W187" s="252">
        <v>5.0</v>
      </c>
      <c r="X187" s="251" t="s">
        <v>1113</v>
      </c>
      <c r="Y187" s="251" t="s">
        <v>2137</v>
      </c>
      <c r="Z187" s="251" t="s">
        <v>2138</v>
      </c>
      <c r="AA187" s="254" t="s">
        <v>1105</v>
      </c>
      <c r="AB187" s="254" t="s">
        <v>1105</v>
      </c>
    </row>
    <row r="188">
      <c r="A188" s="252">
        <v>187.0</v>
      </c>
      <c r="B188" s="251" t="s">
        <v>2139</v>
      </c>
      <c r="C188" s="252">
        <v>1.0</v>
      </c>
      <c r="D188" s="251" t="s">
        <v>2140</v>
      </c>
      <c r="E188" s="251" t="s">
        <v>1440</v>
      </c>
      <c r="F188" s="251" t="s">
        <v>1233</v>
      </c>
      <c r="G188" s="253" t="s">
        <v>2141</v>
      </c>
      <c r="H188" s="252">
        <v>4.0</v>
      </c>
      <c r="I188" s="251" t="s">
        <v>1131</v>
      </c>
      <c r="J188" s="252">
        <v>8.0</v>
      </c>
      <c r="K188" s="252">
        <v>602.0</v>
      </c>
      <c r="L188" s="252">
        <v>100.0</v>
      </c>
      <c r="M188" s="252">
        <v>19737.0</v>
      </c>
      <c r="N188" s="252">
        <v>26842.0</v>
      </c>
      <c r="O188" s="252">
        <v>6.0</v>
      </c>
      <c r="P188" s="252">
        <v>32.0</v>
      </c>
      <c r="Q188" s="252">
        <v>1812.0</v>
      </c>
      <c r="R188" s="251" t="s">
        <v>1141</v>
      </c>
      <c r="S188" s="251" t="s">
        <v>1122</v>
      </c>
      <c r="T188" s="251" t="s">
        <v>1123</v>
      </c>
      <c r="U188" s="252">
        <v>32.0</v>
      </c>
      <c r="V188" s="252">
        <v>48.0</v>
      </c>
      <c r="W188" s="252">
        <v>5.0</v>
      </c>
      <c r="X188" s="251" t="s">
        <v>1132</v>
      </c>
      <c r="Y188" s="251" t="s">
        <v>2142</v>
      </c>
      <c r="Z188" s="251" t="s">
        <v>2143</v>
      </c>
      <c r="AA188" s="254" t="s">
        <v>1105</v>
      </c>
      <c r="AB188" s="254" t="s">
        <v>1105</v>
      </c>
    </row>
    <row r="189">
      <c r="A189" s="252">
        <v>188.0</v>
      </c>
      <c r="B189" s="251" t="s">
        <v>2144</v>
      </c>
      <c r="C189" s="252">
        <v>1.0</v>
      </c>
      <c r="D189" s="251" t="s">
        <v>2145</v>
      </c>
      <c r="E189" s="251" t="s">
        <v>1678</v>
      </c>
      <c r="F189" s="251" t="s">
        <v>1138</v>
      </c>
      <c r="G189" s="253" t="s">
        <v>2146</v>
      </c>
      <c r="H189" s="252">
        <v>4.0</v>
      </c>
      <c r="I189" s="251" t="s">
        <v>1111</v>
      </c>
      <c r="J189" s="252">
        <v>8.0</v>
      </c>
      <c r="K189" s="252">
        <v>624.0</v>
      </c>
      <c r="L189" s="252">
        <v>120.0</v>
      </c>
      <c r="M189" s="252">
        <v>10242.0</v>
      </c>
      <c r="N189" s="252">
        <v>12802.0</v>
      </c>
      <c r="O189" s="252">
        <v>2.0</v>
      </c>
      <c r="P189" s="252">
        <v>16.0</v>
      </c>
      <c r="Q189" s="252">
        <v>4987.0</v>
      </c>
      <c r="R189" s="251" t="s">
        <v>1099</v>
      </c>
      <c r="S189" s="251" t="s">
        <v>1122</v>
      </c>
      <c r="T189" s="251" t="s">
        <v>1123</v>
      </c>
      <c r="U189" s="252">
        <v>14.0</v>
      </c>
      <c r="V189" s="252">
        <v>32.0</v>
      </c>
      <c r="W189" s="252">
        <v>4.7</v>
      </c>
      <c r="X189" s="251" t="s">
        <v>1113</v>
      </c>
      <c r="Y189" s="251" t="s">
        <v>2147</v>
      </c>
      <c r="Z189" s="251" t="s">
        <v>2148</v>
      </c>
      <c r="AA189" s="254" t="s">
        <v>1105</v>
      </c>
      <c r="AB189" s="254" t="s">
        <v>1105</v>
      </c>
    </row>
    <row r="190">
      <c r="A190" s="252">
        <v>189.0</v>
      </c>
      <c r="B190" s="251" t="s">
        <v>2149</v>
      </c>
      <c r="C190" s="252">
        <v>1.0</v>
      </c>
      <c r="D190" s="251" t="s">
        <v>2150</v>
      </c>
      <c r="E190" s="251" t="s">
        <v>1323</v>
      </c>
      <c r="F190" s="251" t="s">
        <v>1233</v>
      </c>
      <c r="G190" s="253" t="s">
        <v>2151</v>
      </c>
      <c r="H190" s="252">
        <v>3.0</v>
      </c>
      <c r="I190" s="251" t="s">
        <v>1098</v>
      </c>
      <c r="J190" s="252">
        <v>10.0</v>
      </c>
      <c r="K190" s="252">
        <v>714.0</v>
      </c>
      <c r="L190" s="252">
        <v>80.0</v>
      </c>
      <c r="M190" s="252">
        <v>19818.0</v>
      </c>
      <c r="N190" s="252">
        <v>33492.0</v>
      </c>
      <c r="O190" s="252">
        <v>4.0</v>
      </c>
      <c r="P190" s="252">
        <v>16.0</v>
      </c>
      <c r="Q190" s="252">
        <v>2544.0</v>
      </c>
      <c r="R190" s="251" t="s">
        <v>1112</v>
      </c>
      <c r="S190" s="251" t="s">
        <v>1122</v>
      </c>
      <c r="T190" s="251" t="s">
        <v>1021</v>
      </c>
      <c r="U190" s="252">
        <v>12.0</v>
      </c>
      <c r="V190" s="252">
        <v>16.0</v>
      </c>
      <c r="W190" s="252">
        <v>4.7</v>
      </c>
      <c r="X190" s="251" t="s">
        <v>1113</v>
      </c>
      <c r="Y190" s="251" t="s">
        <v>2152</v>
      </c>
      <c r="Z190" s="251" t="s">
        <v>2153</v>
      </c>
      <c r="AA190" s="254" t="s">
        <v>1105</v>
      </c>
      <c r="AB190" s="254" t="s">
        <v>1105</v>
      </c>
    </row>
    <row r="191">
      <c r="A191" s="252">
        <v>190.0</v>
      </c>
      <c r="B191" s="251" t="s">
        <v>2154</v>
      </c>
      <c r="C191" s="252">
        <v>1.0</v>
      </c>
      <c r="D191" s="251" t="s">
        <v>2155</v>
      </c>
      <c r="E191" s="251" t="s">
        <v>1422</v>
      </c>
      <c r="F191" s="251" t="s">
        <v>1138</v>
      </c>
      <c r="G191" s="253" t="s">
        <v>2156</v>
      </c>
      <c r="H191" s="252">
        <v>3.0</v>
      </c>
      <c r="I191" s="251" t="s">
        <v>1140</v>
      </c>
      <c r="J191" s="252">
        <v>8.0</v>
      </c>
      <c r="K191" s="252">
        <v>688.0</v>
      </c>
      <c r="L191" s="252">
        <v>120.0</v>
      </c>
      <c r="M191" s="252">
        <v>8408.0</v>
      </c>
      <c r="N191" s="252">
        <v>13873.0</v>
      </c>
      <c r="O191" s="252">
        <v>4.0</v>
      </c>
      <c r="P191" s="252">
        <v>8.0</v>
      </c>
      <c r="Q191" s="252">
        <v>6372.0</v>
      </c>
      <c r="R191" s="251" t="s">
        <v>1099</v>
      </c>
      <c r="S191" s="251" t="s">
        <v>1122</v>
      </c>
      <c r="T191" s="251" t="s">
        <v>1101</v>
      </c>
      <c r="U191" s="252">
        <v>32.0</v>
      </c>
      <c r="V191" s="252">
        <v>16.0</v>
      </c>
      <c r="W191" s="252">
        <v>6.3</v>
      </c>
      <c r="X191" s="251" t="s">
        <v>1132</v>
      </c>
      <c r="Y191" s="251" t="s">
        <v>2157</v>
      </c>
      <c r="Z191" s="251" t="s">
        <v>2158</v>
      </c>
      <c r="AA191" s="254" t="s">
        <v>1105</v>
      </c>
      <c r="AB191" s="254" t="s">
        <v>1105</v>
      </c>
    </row>
    <row r="192">
      <c r="A192" s="252">
        <v>191.0</v>
      </c>
      <c r="B192" s="251" t="s">
        <v>2159</v>
      </c>
      <c r="C192" s="252">
        <v>1.0</v>
      </c>
      <c r="D192" s="251" t="s">
        <v>2160</v>
      </c>
      <c r="E192" s="251" t="s">
        <v>2161</v>
      </c>
      <c r="F192" s="251" t="s">
        <v>1202</v>
      </c>
      <c r="G192" s="253" t="s">
        <v>2162</v>
      </c>
      <c r="H192" s="252">
        <v>4.0</v>
      </c>
      <c r="I192" s="251" t="s">
        <v>1111</v>
      </c>
      <c r="J192" s="252">
        <v>12.0</v>
      </c>
      <c r="K192" s="252">
        <v>104.0</v>
      </c>
      <c r="L192" s="252">
        <v>80.0</v>
      </c>
      <c r="M192" s="252">
        <v>19791.0</v>
      </c>
      <c r="N192" s="252">
        <v>25926.0</v>
      </c>
      <c r="O192" s="252">
        <v>2.0</v>
      </c>
      <c r="P192" s="252">
        <v>8.0</v>
      </c>
      <c r="Q192" s="252">
        <v>5019.0</v>
      </c>
      <c r="R192" s="251" t="s">
        <v>1099</v>
      </c>
      <c r="S192" s="251" t="s">
        <v>1100</v>
      </c>
      <c r="T192" s="251" t="s">
        <v>1101</v>
      </c>
      <c r="U192" s="252">
        <v>16.0</v>
      </c>
      <c r="V192" s="252">
        <v>14.0</v>
      </c>
      <c r="W192" s="252">
        <v>4.7</v>
      </c>
      <c r="X192" s="251" t="s">
        <v>1113</v>
      </c>
      <c r="Y192" s="251" t="s">
        <v>2163</v>
      </c>
      <c r="Z192" s="251" t="s">
        <v>2164</v>
      </c>
      <c r="AA192" s="254" t="s">
        <v>1105</v>
      </c>
      <c r="AB192" s="254" t="s">
        <v>1105</v>
      </c>
    </row>
    <row r="193">
      <c r="A193" s="252">
        <v>192.0</v>
      </c>
      <c r="B193" s="251" t="s">
        <v>2165</v>
      </c>
      <c r="C193" s="252">
        <v>1.0</v>
      </c>
      <c r="D193" s="251" t="s">
        <v>2166</v>
      </c>
      <c r="E193" s="251" t="s">
        <v>1609</v>
      </c>
      <c r="F193" s="251" t="s">
        <v>1109</v>
      </c>
      <c r="G193" s="253" t="s">
        <v>2167</v>
      </c>
      <c r="H193" s="252">
        <v>3.0</v>
      </c>
      <c r="I193" s="251" t="s">
        <v>1111</v>
      </c>
      <c r="J193" s="252">
        <v>8.0</v>
      </c>
      <c r="K193" s="252">
        <v>283.0</v>
      </c>
      <c r="L193" s="252">
        <v>80.0</v>
      </c>
      <c r="M193" s="252">
        <v>8852.0</v>
      </c>
      <c r="N193" s="252">
        <v>12569.0</v>
      </c>
      <c r="O193" s="252">
        <v>6.0</v>
      </c>
      <c r="P193" s="252">
        <v>8.0</v>
      </c>
      <c r="Q193" s="252">
        <v>1962.0</v>
      </c>
      <c r="R193" s="251" t="s">
        <v>1099</v>
      </c>
      <c r="S193" s="251" t="s">
        <v>1100</v>
      </c>
      <c r="T193" s="251" t="s">
        <v>1021</v>
      </c>
      <c r="U193" s="252">
        <v>12.0</v>
      </c>
      <c r="V193" s="252">
        <v>14.0</v>
      </c>
      <c r="W193" s="252">
        <v>5.5</v>
      </c>
      <c r="X193" s="251" t="s">
        <v>1102</v>
      </c>
      <c r="Y193" s="251" t="s">
        <v>2168</v>
      </c>
      <c r="Z193" s="251" t="s">
        <v>2169</v>
      </c>
      <c r="AA193" s="254" t="s">
        <v>1105</v>
      </c>
      <c r="AB193" s="254" t="s">
        <v>1105</v>
      </c>
    </row>
    <row r="194">
      <c r="A194" s="252">
        <v>193.0</v>
      </c>
      <c r="B194" s="251" t="s">
        <v>2170</v>
      </c>
      <c r="C194" s="252">
        <v>1.0</v>
      </c>
      <c r="D194" s="251" t="s">
        <v>2171</v>
      </c>
      <c r="E194" s="251" t="s">
        <v>1639</v>
      </c>
      <c r="F194" s="251" t="s">
        <v>1129</v>
      </c>
      <c r="G194" s="253" t="s">
        <v>2172</v>
      </c>
      <c r="H194" s="252">
        <v>3.0</v>
      </c>
      <c r="I194" s="251" t="s">
        <v>1121</v>
      </c>
      <c r="J194" s="252">
        <v>12.0</v>
      </c>
      <c r="K194" s="252">
        <v>236.0</v>
      </c>
      <c r="L194" s="252">
        <v>80.0</v>
      </c>
      <c r="M194" s="252">
        <v>2478.0</v>
      </c>
      <c r="N194" s="252">
        <v>4237.0</v>
      </c>
      <c r="O194" s="252">
        <v>6.0</v>
      </c>
      <c r="P194" s="252">
        <v>64.0</v>
      </c>
      <c r="Q194" s="252">
        <v>5324.0</v>
      </c>
      <c r="R194" s="251" t="s">
        <v>1099</v>
      </c>
      <c r="S194" s="251" t="s">
        <v>1100</v>
      </c>
      <c r="T194" s="251" t="s">
        <v>1021</v>
      </c>
      <c r="U194" s="252">
        <v>12.0</v>
      </c>
      <c r="V194" s="252">
        <v>32.0</v>
      </c>
      <c r="W194" s="252">
        <v>6.0</v>
      </c>
      <c r="X194" s="251" t="s">
        <v>1113</v>
      </c>
      <c r="Y194" s="251" t="s">
        <v>2173</v>
      </c>
      <c r="Z194" s="251" t="s">
        <v>2174</v>
      </c>
      <c r="AA194" s="254" t="s">
        <v>1105</v>
      </c>
      <c r="AB194" s="254" t="s">
        <v>1105</v>
      </c>
    </row>
    <row r="195">
      <c r="A195" s="252">
        <v>194.0</v>
      </c>
      <c r="B195" s="251" t="s">
        <v>2175</v>
      </c>
      <c r="C195" s="252">
        <v>1.0</v>
      </c>
      <c r="D195" s="251" t="s">
        <v>2176</v>
      </c>
      <c r="E195" s="251" t="s">
        <v>2177</v>
      </c>
      <c r="F195" s="251" t="s">
        <v>1129</v>
      </c>
      <c r="G195" s="253" t="s">
        <v>2178</v>
      </c>
      <c r="H195" s="252">
        <v>5.0</v>
      </c>
      <c r="I195" s="251" t="s">
        <v>1098</v>
      </c>
      <c r="J195" s="252">
        <v>10.0</v>
      </c>
      <c r="K195" s="252">
        <v>724.0</v>
      </c>
      <c r="L195" s="252">
        <v>120.0</v>
      </c>
      <c r="M195" s="252">
        <v>20972.0</v>
      </c>
      <c r="N195" s="252">
        <v>36910.0</v>
      </c>
      <c r="O195" s="252">
        <v>6.0</v>
      </c>
      <c r="P195" s="252">
        <v>64.0</v>
      </c>
      <c r="Q195" s="252">
        <v>4327.0</v>
      </c>
      <c r="R195" s="251" t="s">
        <v>1099</v>
      </c>
      <c r="S195" s="251" t="s">
        <v>1100</v>
      </c>
      <c r="T195" s="251" t="s">
        <v>1021</v>
      </c>
      <c r="U195" s="252">
        <v>48.0</v>
      </c>
      <c r="V195" s="252">
        <v>48.0</v>
      </c>
      <c r="W195" s="252">
        <v>5.0</v>
      </c>
      <c r="X195" s="251" t="s">
        <v>1102</v>
      </c>
      <c r="Y195" s="251" t="s">
        <v>2179</v>
      </c>
      <c r="Z195" s="251" t="s">
        <v>2180</v>
      </c>
      <c r="AA195" s="254" t="s">
        <v>1105</v>
      </c>
      <c r="AB195" s="254" t="s">
        <v>1105</v>
      </c>
    </row>
    <row r="196">
      <c r="A196" s="252">
        <v>195.0</v>
      </c>
      <c r="B196" s="251" t="s">
        <v>2181</v>
      </c>
      <c r="C196" s="252">
        <v>1.0</v>
      </c>
      <c r="D196" s="251" t="s">
        <v>2182</v>
      </c>
      <c r="E196" s="251" t="s">
        <v>1581</v>
      </c>
      <c r="F196" s="251" t="s">
        <v>1109</v>
      </c>
      <c r="G196" s="253" t="s">
        <v>2183</v>
      </c>
      <c r="H196" s="252">
        <v>3.0</v>
      </c>
      <c r="I196" s="251" t="s">
        <v>1111</v>
      </c>
      <c r="J196" s="252">
        <v>12.0</v>
      </c>
      <c r="K196" s="252">
        <v>30.0</v>
      </c>
      <c r="L196" s="252">
        <v>100.0</v>
      </c>
      <c r="M196" s="252">
        <v>5405.0</v>
      </c>
      <c r="N196" s="252">
        <v>7945.0</v>
      </c>
      <c r="O196" s="252">
        <v>4.0</v>
      </c>
      <c r="P196" s="252">
        <v>512.0</v>
      </c>
      <c r="Q196" s="252">
        <v>5708.0</v>
      </c>
      <c r="R196" s="251" t="s">
        <v>1112</v>
      </c>
      <c r="S196" s="251" t="s">
        <v>1122</v>
      </c>
      <c r="T196" s="251" t="s">
        <v>1101</v>
      </c>
      <c r="U196" s="252">
        <v>48.0</v>
      </c>
      <c r="V196" s="252">
        <v>14.0</v>
      </c>
      <c r="W196" s="252">
        <v>5.0</v>
      </c>
      <c r="X196" s="251" t="s">
        <v>1132</v>
      </c>
      <c r="Y196" s="251" t="s">
        <v>2184</v>
      </c>
      <c r="Z196" s="251" t="s">
        <v>2185</v>
      </c>
      <c r="AA196" s="254" t="s">
        <v>1105</v>
      </c>
      <c r="AB196" s="254" t="s">
        <v>1105</v>
      </c>
    </row>
    <row r="197">
      <c r="A197" s="252">
        <v>196.0</v>
      </c>
      <c r="B197" s="251" t="s">
        <v>2186</v>
      </c>
      <c r="C197" s="252">
        <v>1.0</v>
      </c>
      <c r="D197" s="251" t="s">
        <v>2187</v>
      </c>
      <c r="E197" s="251" t="s">
        <v>1152</v>
      </c>
      <c r="F197" s="251" t="s">
        <v>1153</v>
      </c>
      <c r="G197" s="253" t="s">
        <v>2188</v>
      </c>
      <c r="H197" s="252">
        <v>4.0</v>
      </c>
      <c r="I197" s="251" t="s">
        <v>1098</v>
      </c>
      <c r="J197" s="252">
        <v>8.0</v>
      </c>
      <c r="K197" s="252">
        <v>786.0</v>
      </c>
      <c r="L197" s="252">
        <v>100.0</v>
      </c>
      <c r="M197" s="252">
        <v>13855.0</v>
      </c>
      <c r="N197" s="252">
        <v>18288.0</v>
      </c>
      <c r="O197" s="252">
        <v>8.0</v>
      </c>
      <c r="P197" s="252">
        <v>8.0</v>
      </c>
      <c r="Q197" s="252">
        <v>3588.0</v>
      </c>
      <c r="R197" s="251" t="s">
        <v>1141</v>
      </c>
      <c r="S197" s="251" t="s">
        <v>1122</v>
      </c>
      <c r="T197" s="251" t="s">
        <v>1021</v>
      </c>
      <c r="U197" s="252">
        <v>48.0</v>
      </c>
      <c r="V197" s="252">
        <v>12.0</v>
      </c>
      <c r="W197" s="252">
        <v>6.0</v>
      </c>
      <c r="X197" s="251" t="s">
        <v>1113</v>
      </c>
      <c r="Y197" s="251" t="s">
        <v>2189</v>
      </c>
      <c r="Z197" s="251" t="s">
        <v>2190</v>
      </c>
      <c r="AA197" s="254" t="s">
        <v>1105</v>
      </c>
      <c r="AB197" s="254" t="s">
        <v>1105</v>
      </c>
    </row>
    <row r="198">
      <c r="A198" s="252">
        <v>197.0</v>
      </c>
      <c r="B198" s="251" t="s">
        <v>2191</v>
      </c>
      <c r="C198" s="252">
        <v>1.0</v>
      </c>
      <c r="D198" s="251" t="s">
        <v>2192</v>
      </c>
      <c r="E198" s="251" t="s">
        <v>1780</v>
      </c>
      <c r="F198" s="251" t="s">
        <v>1129</v>
      </c>
      <c r="G198" s="253" t="s">
        <v>2193</v>
      </c>
      <c r="H198" s="252">
        <v>2.0</v>
      </c>
      <c r="I198" s="251" t="s">
        <v>1111</v>
      </c>
      <c r="J198" s="252">
        <v>8.0</v>
      </c>
      <c r="K198" s="252">
        <v>476.0</v>
      </c>
      <c r="L198" s="252">
        <v>120.0</v>
      </c>
      <c r="M198" s="252">
        <v>11108.0</v>
      </c>
      <c r="N198" s="252">
        <v>14551.0</v>
      </c>
      <c r="O198" s="252">
        <v>6.0</v>
      </c>
      <c r="P198" s="252">
        <v>512.0</v>
      </c>
      <c r="Q198" s="252">
        <v>5727.0</v>
      </c>
      <c r="R198" s="251" t="s">
        <v>1141</v>
      </c>
      <c r="S198" s="251" t="s">
        <v>1122</v>
      </c>
      <c r="T198" s="251" t="s">
        <v>1021</v>
      </c>
      <c r="U198" s="252">
        <v>14.0</v>
      </c>
      <c r="V198" s="252">
        <v>12.0</v>
      </c>
      <c r="W198" s="252">
        <v>6.0</v>
      </c>
      <c r="X198" s="251" t="s">
        <v>1102</v>
      </c>
      <c r="Y198" s="251" t="s">
        <v>2194</v>
      </c>
      <c r="Z198" s="251" t="s">
        <v>2195</v>
      </c>
      <c r="AA198" s="254" t="s">
        <v>1105</v>
      </c>
      <c r="AB198" s="254" t="s">
        <v>1105</v>
      </c>
    </row>
    <row r="199">
      <c r="A199" s="252">
        <v>198.0</v>
      </c>
      <c r="B199" s="251" t="s">
        <v>2196</v>
      </c>
      <c r="C199" s="252">
        <v>1.0</v>
      </c>
      <c r="D199" s="251" t="s">
        <v>2197</v>
      </c>
      <c r="E199" s="251" t="s">
        <v>1312</v>
      </c>
      <c r="F199" s="251" t="s">
        <v>1202</v>
      </c>
      <c r="G199" s="253" t="s">
        <v>2198</v>
      </c>
      <c r="H199" s="252">
        <v>6.0</v>
      </c>
      <c r="I199" s="251" t="s">
        <v>1121</v>
      </c>
      <c r="J199" s="252">
        <v>8.0</v>
      </c>
      <c r="K199" s="252">
        <v>427.0</v>
      </c>
      <c r="L199" s="252">
        <v>120.0</v>
      </c>
      <c r="M199" s="252">
        <v>5675.0</v>
      </c>
      <c r="N199" s="252">
        <v>9590.0</v>
      </c>
      <c r="O199" s="252">
        <v>12.0</v>
      </c>
      <c r="P199" s="252">
        <v>512.0</v>
      </c>
      <c r="Q199" s="252">
        <v>4567.0</v>
      </c>
      <c r="R199" s="251" t="s">
        <v>1112</v>
      </c>
      <c r="S199" s="251" t="s">
        <v>1122</v>
      </c>
      <c r="T199" s="251" t="s">
        <v>1101</v>
      </c>
      <c r="U199" s="252">
        <v>12.0</v>
      </c>
      <c r="V199" s="252">
        <v>32.0</v>
      </c>
      <c r="W199" s="252">
        <v>4.7</v>
      </c>
      <c r="X199" s="251" t="s">
        <v>1147</v>
      </c>
      <c r="Y199" s="251" t="s">
        <v>2199</v>
      </c>
      <c r="Z199" s="251" t="s">
        <v>2200</v>
      </c>
      <c r="AA199" s="254" t="s">
        <v>1105</v>
      </c>
      <c r="AB199" s="254" t="s">
        <v>1105</v>
      </c>
    </row>
    <row r="200">
      <c r="A200" s="252">
        <v>199.0</v>
      </c>
      <c r="B200" s="251" t="s">
        <v>2201</v>
      </c>
      <c r="C200" s="252">
        <v>1.0</v>
      </c>
      <c r="D200" s="251" t="s">
        <v>2202</v>
      </c>
      <c r="E200" s="251" t="s">
        <v>2203</v>
      </c>
      <c r="F200" s="251" t="s">
        <v>1233</v>
      </c>
      <c r="G200" s="253" t="s">
        <v>2204</v>
      </c>
      <c r="H200" s="252">
        <v>4.0</v>
      </c>
      <c r="I200" s="251" t="s">
        <v>1111</v>
      </c>
      <c r="J200" s="252">
        <v>10.0</v>
      </c>
      <c r="K200" s="252">
        <v>551.0</v>
      </c>
      <c r="L200" s="252">
        <v>80.0</v>
      </c>
      <c r="M200" s="252">
        <v>19342.0</v>
      </c>
      <c r="N200" s="252">
        <v>35395.0</v>
      </c>
      <c r="O200" s="252">
        <v>12.0</v>
      </c>
      <c r="P200" s="252">
        <v>16.0</v>
      </c>
      <c r="Q200" s="252">
        <v>3103.0</v>
      </c>
      <c r="R200" s="251" t="s">
        <v>1141</v>
      </c>
      <c r="S200" s="251" t="s">
        <v>1122</v>
      </c>
      <c r="T200" s="251" t="s">
        <v>1021</v>
      </c>
      <c r="U200" s="252">
        <v>16.0</v>
      </c>
      <c r="V200" s="252">
        <v>16.0</v>
      </c>
      <c r="W200" s="252">
        <v>6.0</v>
      </c>
      <c r="X200" s="251" t="s">
        <v>1113</v>
      </c>
      <c r="Y200" s="251" t="s">
        <v>2205</v>
      </c>
      <c r="Z200" s="251" t="s">
        <v>2206</v>
      </c>
      <c r="AA200" s="254" t="s">
        <v>1105</v>
      </c>
      <c r="AB200" s="254" t="s">
        <v>1105</v>
      </c>
    </row>
    <row r="201">
      <c r="A201" s="252">
        <v>200.0</v>
      </c>
      <c r="B201" s="251" t="s">
        <v>2207</v>
      </c>
      <c r="C201" s="252">
        <v>1.0</v>
      </c>
      <c r="D201" s="251" t="s">
        <v>2208</v>
      </c>
      <c r="E201" s="251" t="s">
        <v>2209</v>
      </c>
      <c r="F201" s="251" t="s">
        <v>1096</v>
      </c>
      <c r="G201" s="253" t="s">
        <v>2210</v>
      </c>
      <c r="H201" s="252">
        <v>6.0</v>
      </c>
      <c r="I201" s="251" t="s">
        <v>1121</v>
      </c>
      <c r="J201" s="252">
        <v>8.0</v>
      </c>
      <c r="K201" s="252">
        <v>153.0</v>
      </c>
      <c r="L201" s="252">
        <v>80.0</v>
      </c>
      <c r="M201" s="252">
        <v>3186.0</v>
      </c>
      <c r="N201" s="252">
        <v>5511.0</v>
      </c>
      <c r="O201" s="252">
        <v>8.0</v>
      </c>
      <c r="P201" s="252">
        <v>64.0</v>
      </c>
      <c r="Q201" s="252">
        <v>4241.0</v>
      </c>
      <c r="R201" s="251" t="s">
        <v>1099</v>
      </c>
      <c r="S201" s="251" t="s">
        <v>1100</v>
      </c>
      <c r="T201" s="251" t="s">
        <v>1101</v>
      </c>
      <c r="U201" s="252">
        <v>48.0</v>
      </c>
      <c r="V201" s="252">
        <v>16.0</v>
      </c>
      <c r="W201" s="252">
        <v>6.0</v>
      </c>
      <c r="X201" s="251" t="s">
        <v>1102</v>
      </c>
      <c r="Y201" s="251" t="s">
        <v>2211</v>
      </c>
      <c r="Z201" s="251" t="s">
        <v>2212</v>
      </c>
      <c r="AA201" s="254" t="s">
        <v>1105</v>
      </c>
      <c r="AB201" s="254" t="s">
        <v>1105</v>
      </c>
    </row>
    <row r="202">
      <c r="A202" s="252">
        <v>201.0</v>
      </c>
      <c r="B202" s="251" t="s">
        <v>2213</v>
      </c>
      <c r="C202" s="252">
        <v>1.0</v>
      </c>
      <c r="D202" s="251" t="s">
        <v>2214</v>
      </c>
      <c r="E202" s="251" t="s">
        <v>2215</v>
      </c>
      <c r="F202" s="251" t="s">
        <v>1119</v>
      </c>
      <c r="G202" s="253" t="s">
        <v>2216</v>
      </c>
      <c r="H202" s="252">
        <v>2.0</v>
      </c>
      <c r="I202" s="251" t="s">
        <v>1098</v>
      </c>
      <c r="J202" s="252">
        <v>10.0</v>
      </c>
      <c r="K202" s="252">
        <v>457.0</v>
      </c>
      <c r="L202" s="252">
        <v>80.0</v>
      </c>
      <c r="M202" s="252">
        <v>8735.0</v>
      </c>
      <c r="N202" s="252">
        <v>15111.0</v>
      </c>
      <c r="O202" s="252">
        <v>2.0</v>
      </c>
      <c r="P202" s="252">
        <v>512.0</v>
      </c>
      <c r="Q202" s="252">
        <v>2705.0</v>
      </c>
      <c r="R202" s="251" t="s">
        <v>1099</v>
      </c>
      <c r="S202" s="251" t="s">
        <v>1100</v>
      </c>
      <c r="T202" s="251" t="s">
        <v>1123</v>
      </c>
      <c r="U202" s="252">
        <v>32.0</v>
      </c>
      <c r="V202" s="252">
        <v>48.0</v>
      </c>
      <c r="W202" s="252">
        <v>6.3</v>
      </c>
      <c r="X202" s="251" t="s">
        <v>1147</v>
      </c>
      <c r="Y202" s="251" t="s">
        <v>2217</v>
      </c>
      <c r="Z202" s="251" t="s">
        <v>2218</v>
      </c>
      <c r="AA202" s="254" t="s">
        <v>1105</v>
      </c>
      <c r="AB202" s="254" t="s">
        <v>1105</v>
      </c>
    </row>
    <row r="203">
      <c r="A203" s="252">
        <v>202.0</v>
      </c>
      <c r="B203" s="251" t="s">
        <v>2219</v>
      </c>
      <c r="C203" s="252">
        <v>1.0</v>
      </c>
      <c r="D203" s="251" t="s">
        <v>2220</v>
      </c>
      <c r="E203" s="251" t="s">
        <v>1958</v>
      </c>
      <c r="F203" s="251" t="s">
        <v>1215</v>
      </c>
      <c r="G203" s="253" t="s">
        <v>2221</v>
      </c>
      <c r="H203" s="252">
        <v>3.0</v>
      </c>
      <c r="I203" s="251" t="s">
        <v>1098</v>
      </c>
      <c r="J203" s="252">
        <v>12.0</v>
      </c>
      <c r="K203" s="252">
        <v>381.0</v>
      </c>
      <c r="L203" s="252">
        <v>120.0</v>
      </c>
      <c r="M203" s="252">
        <v>11061.0</v>
      </c>
      <c r="N203" s="252">
        <v>19688.0</v>
      </c>
      <c r="O203" s="252">
        <v>6.0</v>
      </c>
      <c r="P203" s="252">
        <v>128.0</v>
      </c>
      <c r="Q203" s="252">
        <v>4275.0</v>
      </c>
      <c r="R203" s="251" t="s">
        <v>1099</v>
      </c>
      <c r="S203" s="251" t="s">
        <v>1100</v>
      </c>
      <c r="T203" s="251" t="s">
        <v>1021</v>
      </c>
      <c r="U203" s="252">
        <v>48.0</v>
      </c>
      <c r="V203" s="252">
        <v>12.0</v>
      </c>
      <c r="W203" s="252">
        <v>6.0</v>
      </c>
      <c r="X203" s="251" t="s">
        <v>1102</v>
      </c>
      <c r="Y203" s="251" t="s">
        <v>2222</v>
      </c>
      <c r="Z203" s="251" t="s">
        <v>2223</v>
      </c>
      <c r="AA203" s="254" t="s">
        <v>1105</v>
      </c>
      <c r="AB203" s="254" t="s">
        <v>1105</v>
      </c>
    </row>
    <row r="204">
      <c r="A204" s="252">
        <v>203.0</v>
      </c>
      <c r="B204" s="251" t="s">
        <v>2224</v>
      </c>
      <c r="C204" s="252">
        <v>1.0</v>
      </c>
      <c r="D204" s="251" t="s">
        <v>2225</v>
      </c>
      <c r="E204" s="251" t="s">
        <v>1399</v>
      </c>
      <c r="F204" s="251" t="s">
        <v>1138</v>
      </c>
      <c r="G204" s="253" t="s">
        <v>2226</v>
      </c>
      <c r="H204" s="252">
        <v>2.0</v>
      </c>
      <c r="I204" s="251" t="s">
        <v>1111</v>
      </c>
      <c r="J204" s="252">
        <v>10.0</v>
      </c>
      <c r="K204" s="252">
        <v>870.0</v>
      </c>
      <c r="L204" s="252">
        <v>120.0</v>
      </c>
      <c r="M204" s="252">
        <v>7149.0</v>
      </c>
      <c r="N204" s="252">
        <v>9365.0</v>
      </c>
      <c r="O204" s="252">
        <v>6.0</v>
      </c>
      <c r="P204" s="252">
        <v>64.0</v>
      </c>
      <c r="Q204" s="252">
        <v>4205.0</v>
      </c>
      <c r="R204" s="251" t="s">
        <v>1141</v>
      </c>
      <c r="S204" s="251" t="s">
        <v>1100</v>
      </c>
      <c r="T204" s="251" t="s">
        <v>1123</v>
      </c>
      <c r="U204" s="252">
        <v>12.0</v>
      </c>
      <c r="V204" s="252">
        <v>48.0</v>
      </c>
      <c r="W204" s="252">
        <v>5.5</v>
      </c>
      <c r="X204" s="251" t="s">
        <v>1147</v>
      </c>
      <c r="Y204" s="251" t="s">
        <v>2227</v>
      </c>
      <c r="Z204" s="251" t="s">
        <v>2228</v>
      </c>
      <c r="AA204" s="254" t="s">
        <v>1105</v>
      </c>
      <c r="AB204" s="254" t="s">
        <v>1105</v>
      </c>
    </row>
    <row r="205">
      <c r="A205" s="252">
        <v>204.0</v>
      </c>
      <c r="B205" s="251" t="s">
        <v>2229</v>
      </c>
      <c r="C205" s="252">
        <v>1.0</v>
      </c>
      <c r="D205" s="251" t="s">
        <v>2230</v>
      </c>
      <c r="E205" s="251" t="s">
        <v>1232</v>
      </c>
      <c r="F205" s="251" t="s">
        <v>1233</v>
      </c>
      <c r="G205" s="253" t="s">
        <v>2231</v>
      </c>
      <c r="H205" s="252">
        <v>6.0</v>
      </c>
      <c r="I205" s="251" t="s">
        <v>1140</v>
      </c>
      <c r="J205" s="252">
        <v>8.0</v>
      </c>
      <c r="K205" s="252">
        <v>455.0</v>
      </c>
      <c r="L205" s="252">
        <v>120.0</v>
      </c>
      <c r="M205" s="252">
        <v>10575.0</v>
      </c>
      <c r="N205" s="252">
        <v>18083.0</v>
      </c>
      <c r="O205" s="252">
        <v>8.0</v>
      </c>
      <c r="P205" s="252">
        <v>64.0</v>
      </c>
      <c r="Q205" s="252">
        <v>5538.0</v>
      </c>
      <c r="R205" s="251" t="s">
        <v>1141</v>
      </c>
      <c r="S205" s="251" t="s">
        <v>1122</v>
      </c>
      <c r="T205" s="251" t="s">
        <v>1021</v>
      </c>
      <c r="U205" s="252">
        <v>12.0</v>
      </c>
      <c r="V205" s="252">
        <v>32.0</v>
      </c>
      <c r="W205" s="252">
        <v>5.0</v>
      </c>
      <c r="X205" s="251" t="s">
        <v>1132</v>
      </c>
      <c r="Y205" s="251" t="s">
        <v>2232</v>
      </c>
      <c r="Z205" s="251" t="s">
        <v>2233</v>
      </c>
      <c r="AA205" s="254" t="s">
        <v>1105</v>
      </c>
      <c r="AB205" s="254" t="s">
        <v>1105</v>
      </c>
    </row>
    <row r="206">
      <c r="A206" s="252">
        <v>205.0</v>
      </c>
      <c r="B206" s="251" t="s">
        <v>2234</v>
      </c>
      <c r="C206" s="252">
        <v>1.0</v>
      </c>
      <c r="D206" s="251" t="s">
        <v>2235</v>
      </c>
      <c r="E206" s="251" t="s">
        <v>1739</v>
      </c>
      <c r="F206" s="251" t="s">
        <v>1233</v>
      </c>
      <c r="G206" s="253" t="s">
        <v>2236</v>
      </c>
      <c r="H206" s="252">
        <v>5.0</v>
      </c>
      <c r="I206" s="251" t="s">
        <v>1131</v>
      </c>
      <c r="J206" s="252">
        <v>10.0</v>
      </c>
      <c r="K206" s="252">
        <v>984.0</v>
      </c>
      <c r="L206" s="252">
        <v>100.0</v>
      </c>
      <c r="M206" s="252">
        <v>13708.0</v>
      </c>
      <c r="N206" s="252">
        <v>20424.0</v>
      </c>
      <c r="O206" s="252">
        <v>12.0</v>
      </c>
      <c r="P206" s="252">
        <v>64.0</v>
      </c>
      <c r="Q206" s="252">
        <v>4781.0</v>
      </c>
      <c r="R206" s="251" t="s">
        <v>1099</v>
      </c>
      <c r="S206" s="251" t="s">
        <v>1100</v>
      </c>
      <c r="T206" s="251" t="s">
        <v>1021</v>
      </c>
      <c r="U206" s="252">
        <v>48.0</v>
      </c>
      <c r="V206" s="252">
        <v>48.0</v>
      </c>
      <c r="W206" s="252">
        <v>5.5</v>
      </c>
      <c r="X206" s="251" t="s">
        <v>1113</v>
      </c>
      <c r="Y206" s="251" t="s">
        <v>2237</v>
      </c>
      <c r="Z206" s="251" t="s">
        <v>2238</v>
      </c>
      <c r="AA206" s="254" t="s">
        <v>1105</v>
      </c>
      <c r="AB206" s="254" t="s">
        <v>1105</v>
      </c>
    </row>
    <row r="207">
      <c r="A207" s="252">
        <v>206.0</v>
      </c>
      <c r="B207" s="251" t="s">
        <v>2239</v>
      </c>
      <c r="C207" s="252">
        <v>1.0</v>
      </c>
      <c r="D207" s="251" t="s">
        <v>2240</v>
      </c>
      <c r="E207" s="251" t="s">
        <v>2209</v>
      </c>
      <c r="F207" s="251" t="s">
        <v>1096</v>
      </c>
      <c r="G207" s="253" t="s">
        <v>2241</v>
      </c>
      <c r="H207" s="252">
        <v>6.0</v>
      </c>
      <c r="I207" s="251" t="s">
        <v>1111</v>
      </c>
      <c r="J207" s="252">
        <v>10.0</v>
      </c>
      <c r="K207" s="252">
        <v>919.0</v>
      </c>
      <c r="L207" s="252">
        <v>100.0</v>
      </c>
      <c r="M207" s="252">
        <v>21468.0</v>
      </c>
      <c r="N207" s="252">
        <v>27049.0</v>
      </c>
      <c r="O207" s="252">
        <v>12.0</v>
      </c>
      <c r="P207" s="252">
        <v>16.0</v>
      </c>
      <c r="Q207" s="252">
        <v>2839.0</v>
      </c>
      <c r="R207" s="251" t="s">
        <v>1112</v>
      </c>
      <c r="S207" s="251" t="s">
        <v>1122</v>
      </c>
      <c r="T207" s="251" t="s">
        <v>1021</v>
      </c>
      <c r="U207" s="252">
        <v>14.0</v>
      </c>
      <c r="V207" s="252">
        <v>32.0</v>
      </c>
      <c r="W207" s="252">
        <v>5.2</v>
      </c>
      <c r="X207" s="251" t="s">
        <v>1102</v>
      </c>
      <c r="Y207" s="251" t="s">
        <v>2242</v>
      </c>
      <c r="Z207" s="251" t="s">
        <v>2243</v>
      </c>
      <c r="AA207" s="254" t="s">
        <v>1105</v>
      </c>
      <c r="AB207" s="254" t="s">
        <v>1105</v>
      </c>
    </row>
    <row r="208">
      <c r="A208" s="252">
        <v>207.0</v>
      </c>
      <c r="B208" s="251" t="s">
        <v>2244</v>
      </c>
      <c r="C208" s="252">
        <v>1.0</v>
      </c>
      <c r="D208" s="251" t="s">
        <v>2245</v>
      </c>
      <c r="E208" s="251" t="s">
        <v>1650</v>
      </c>
      <c r="F208" s="251" t="s">
        <v>1160</v>
      </c>
      <c r="G208" s="253" t="s">
        <v>2246</v>
      </c>
      <c r="H208" s="252">
        <v>5.0</v>
      </c>
      <c r="I208" s="251" t="s">
        <v>1111</v>
      </c>
      <c r="J208" s="252">
        <v>12.0</v>
      </c>
      <c r="K208" s="252">
        <v>380.0</v>
      </c>
      <c r="L208" s="252">
        <v>80.0</v>
      </c>
      <c r="M208" s="252">
        <v>11341.0</v>
      </c>
      <c r="N208" s="252">
        <v>18259.0</v>
      </c>
      <c r="O208" s="252">
        <v>2.0</v>
      </c>
      <c r="P208" s="252">
        <v>64.0</v>
      </c>
      <c r="Q208" s="252">
        <v>3436.0</v>
      </c>
      <c r="R208" s="251" t="s">
        <v>1112</v>
      </c>
      <c r="S208" s="251" t="s">
        <v>1122</v>
      </c>
      <c r="T208" s="251" t="s">
        <v>1101</v>
      </c>
      <c r="U208" s="252">
        <v>16.0</v>
      </c>
      <c r="V208" s="252">
        <v>48.0</v>
      </c>
      <c r="W208" s="252">
        <v>4.7</v>
      </c>
      <c r="X208" s="251" t="s">
        <v>1147</v>
      </c>
      <c r="Y208" s="251" t="s">
        <v>2247</v>
      </c>
      <c r="Z208" s="251" t="s">
        <v>2248</v>
      </c>
      <c r="AA208" s="254" t="s">
        <v>1105</v>
      </c>
      <c r="AB208" s="254" t="s">
        <v>1105</v>
      </c>
    </row>
    <row r="209">
      <c r="A209" s="252">
        <v>208.0</v>
      </c>
      <c r="B209" s="251" t="s">
        <v>2249</v>
      </c>
      <c r="C209" s="252">
        <v>1.0</v>
      </c>
      <c r="D209" s="251" t="s">
        <v>2250</v>
      </c>
      <c r="E209" s="251" t="s">
        <v>2215</v>
      </c>
      <c r="F209" s="251" t="s">
        <v>1119</v>
      </c>
      <c r="G209" s="253" t="s">
        <v>2251</v>
      </c>
      <c r="H209" s="252">
        <v>5.0</v>
      </c>
      <c r="I209" s="251" t="s">
        <v>1121</v>
      </c>
      <c r="J209" s="252">
        <v>10.0</v>
      </c>
      <c r="K209" s="252">
        <v>163.0</v>
      </c>
      <c r="L209" s="252">
        <v>120.0</v>
      </c>
      <c r="M209" s="252">
        <v>9271.0</v>
      </c>
      <c r="N209" s="252">
        <v>14462.0</v>
      </c>
      <c r="O209" s="252">
        <v>12.0</v>
      </c>
      <c r="P209" s="252">
        <v>128.0</v>
      </c>
      <c r="Q209" s="252">
        <v>4464.0</v>
      </c>
      <c r="R209" s="251" t="s">
        <v>1099</v>
      </c>
      <c r="S209" s="251" t="s">
        <v>1122</v>
      </c>
      <c r="T209" s="251" t="s">
        <v>1101</v>
      </c>
      <c r="U209" s="252">
        <v>12.0</v>
      </c>
      <c r="V209" s="252">
        <v>16.0</v>
      </c>
      <c r="W209" s="252">
        <v>5.5</v>
      </c>
      <c r="X209" s="251" t="s">
        <v>1113</v>
      </c>
      <c r="Y209" s="251" t="s">
        <v>2252</v>
      </c>
      <c r="Z209" s="251" t="s">
        <v>2253</v>
      </c>
      <c r="AA209" s="254" t="s">
        <v>1105</v>
      </c>
      <c r="AB209" s="254" t="s">
        <v>1105</v>
      </c>
    </row>
    <row r="210">
      <c r="A210" s="252">
        <v>209.0</v>
      </c>
      <c r="B210" s="251" t="s">
        <v>2254</v>
      </c>
      <c r="C210" s="252">
        <v>1.0</v>
      </c>
      <c r="D210" s="251" t="s">
        <v>2255</v>
      </c>
      <c r="E210" s="251" t="s">
        <v>1118</v>
      </c>
      <c r="F210" s="251" t="s">
        <v>1119</v>
      </c>
      <c r="G210" s="253" t="s">
        <v>2256</v>
      </c>
      <c r="H210" s="252">
        <v>4.0</v>
      </c>
      <c r="I210" s="251" t="s">
        <v>1111</v>
      </c>
      <c r="J210" s="252">
        <v>10.0</v>
      </c>
      <c r="K210" s="252">
        <v>648.0</v>
      </c>
      <c r="L210" s="252">
        <v>120.0</v>
      </c>
      <c r="M210" s="252">
        <v>15705.0</v>
      </c>
      <c r="N210" s="252">
        <v>21672.0</v>
      </c>
      <c r="O210" s="252">
        <v>8.0</v>
      </c>
      <c r="P210" s="252">
        <v>32.0</v>
      </c>
      <c r="Q210" s="252">
        <v>5116.0</v>
      </c>
      <c r="R210" s="251" t="s">
        <v>1099</v>
      </c>
      <c r="S210" s="251" t="s">
        <v>1100</v>
      </c>
      <c r="T210" s="251" t="s">
        <v>1123</v>
      </c>
      <c r="U210" s="252">
        <v>48.0</v>
      </c>
      <c r="V210" s="252">
        <v>12.0</v>
      </c>
      <c r="W210" s="252">
        <v>5.5</v>
      </c>
      <c r="X210" s="251" t="s">
        <v>1147</v>
      </c>
      <c r="Y210" s="251" t="s">
        <v>2257</v>
      </c>
      <c r="Z210" s="251" t="s">
        <v>2258</v>
      </c>
      <c r="AA210" s="254" t="s">
        <v>1105</v>
      </c>
      <c r="AB210" s="254" t="s">
        <v>1105</v>
      </c>
    </row>
    <row r="211">
      <c r="A211" s="252">
        <v>210.0</v>
      </c>
      <c r="B211" s="251" t="s">
        <v>2259</v>
      </c>
      <c r="C211" s="252">
        <v>1.0</v>
      </c>
      <c r="D211" s="251" t="s">
        <v>2260</v>
      </c>
      <c r="E211" s="251" t="s">
        <v>1369</v>
      </c>
      <c r="F211" s="251" t="s">
        <v>1129</v>
      </c>
      <c r="G211" s="253" t="s">
        <v>2261</v>
      </c>
      <c r="H211" s="252">
        <v>3.0</v>
      </c>
      <c r="I211" s="251" t="s">
        <v>1131</v>
      </c>
      <c r="J211" s="252">
        <v>8.0</v>
      </c>
      <c r="K211" s="252">
        <v>273.0</v>
      </c>
      <c r="L211" s="252">
        <v>100.0</v>
      </c>
      <c r="M211" s="252">
        <v>12265.0</v>
      </c>
      <c r="N211" s="252">
        <v>16435.0</v>
      </c>
      <c r="O211" s="252">
        <v>6.0</v>
      </c>
      <c r="P211" s="252">
        <v>16.0</v>
      </c>
      <c r="Q211" s="252">
        <v>1917.0</v>
      </c>
      <c r="R211" s="251" t="s">
        <v>1112</v>
      </c>
      <c r="S211" s="251" t="s">
        <v>1122</v>
      </c>
      <c r="T211" s="251" t="s">
        <v>1021</v>
      </c>
      <c r="U211" s="252">
        <v>14.0</v>
      </c>
      <c r="V211" s="252">
        <v>16.0</v>
      </c>
      <c r="W211" s="252">
        <v>4.7</v>
      </c>
      <c r="X211" s="251" t="s">
        <v>1147</v>
      </c>
      <c r="Y211" s="251" t="s">
        <v>2262</v>
      </c>
      <c r="Z211" s="251" t="s">
        <v>2263</v>
      </c>
      <c r="AA211" s="254" t="s">
        <v>1105</v>
      </c>
      <c r="AB211" s="254" t="s">
        <v>1105</v>
      </c>
    </row>
    <row r="212">
      <c r="A212" s="252">
        <v>211.0</v>
      </c>
      <c r="B212" s="251" t="s">
        <v>2264</v>
      </c>
      <c r="C212" s="252">
        <v>1.0</v>
      </c>
      <c r="D212" s="251" t="s">
        <v>2265</v>
      </c>
      <c r="E212" s="251" t="s">
        <v>1598</v>
      </c>
      <c r="F212" s="251" t="s">
        <v>1153</v>
      </c>
      <c r="G212" s="253" t="s">
        <v>2266</v>
      </c>
      <c r="H212" s="252">
        <v>4.0</v>
      </c>
      <c r="I212" s="251" t="s">
        <v>1140</v>
      </c>
      <c r="J212" s="252">
        <v>12.0</v>
      </c>
      <c r="K212" s="252">
        <v>515.0</v>
      </c>
      <c r="L212" s="252">
        <v>80.0</v>
      </c>
      <c r="M212" s="252">
        <v>13240.0</v>
      </c>
      <c r="N212" s="252">
        <v>21713.0</v>
      </c>
      <c r="O212" s="252">
        <v>4.0</v>
      </c>
      <c r="P212" s="252">
        <v>32.0</v>
      </c>
      <c r="Q212" s="252">
        <v>5682.0</v>
      </c>
      <c r="R212" s="251" t="s">
        <v>1141</v>
      </c>
      <c r="S212" s="251" t="s">
        <v>1122</v>
      </c>
      <c r="T212" s="251" t="s">
        <v>1123</v>
      </c>
      <c r="U212" s="252">
        <v>48.0</v>
      </c>
      <c r="V212" s="252">
        <v>48.0</v>
      </c>
      <c r="W212" s="252">
        <v>6.3</v>
      </c>
      <c r="X212" s="251" t="s">
        <v>1147</v>
      </c>
      <c r="Y212" s="251" t="s">
        <v>2267</v>
      </c>
      <c r="Z212" s="251" t="s">
        <v>2268</v>
      </c>
      <c r="AA212" s="254" t="s">
        <v>1105</v>
      </c>
      <c r="AB212" s="254" t="s">
        <v>1105</v>
      </c>
    </row>
    <row r="213">
      <c r="A213" s="252">
        <v>212.0</v>
      </c>
      <c r="B213" s="251" t="s">
        <v>2269</v>
      </c>
      <c r="C213" s="252">
        <v>1.0</v>
      </c>
      <c r="D213" s="251" t="s">
        <v>2270</v>
      </c>
      <c r="E213" s="251" t="s">
        <v>1294</v>
      </c>
      <c r="F213" s="251" t="s">
        <v>1119</v>
      </c>
      <c r="G213" s="253" t="s">
        <v>2271</v>
      </c>
      <c r="H213" s="252">
        <v>6.0</v>
      </c>
      <c r="I213" s="251" t="s">
        <v>1111</v>
      </c>
      <c r="J213" s="252">
        <v>8.0</v>
      </c>
      <c r="K213" s="252">
        <v>766.0</v>
      </c>
      <c r="L213" s="252">
        <v>80.0</v>
      </c>
      <c r="M213" s="252">
        <v>14122.0</v>
      </c>
      <c r="N213" s="252">
        <v>18923.0</v>
      </c>
      <c r="O213" s="252">
        <v>4.0</v>
      </c>
      <c r="P213" s="252">
        <v>128.0</v>
      </c>
      <c r="Q213" s="252">
        <v>6237.0</v>
      </c>
      <c r="R213" s="251" t="s">
        <v>1141</v>
      </c>
      <c r="S213" s="251" t="s">
        <v>1122</v>
      </c>
      <c r="T213" s="251" t="s">
        <v>1021</v>
      </c>
      <c r="U213" s="252">
        <v>16.0</v>
      </c>
      <c r="V213" s="252">
        <v>16.0</v>
      </c>
      <c r="W213" s="252">
        <v>4.7</v>
      </c>
      <c r="X213" s="251" t="s">
        <v>1113</v>
      </c>
      <c r="Y213" s="251" t="s">
        <v>2272</v>
      </c>
      <c r="Z213" s="251" t="s">
        <v>2273</v>
      </c>
      <c r="AA213" s="254" t="s">
        <v>1105</v>
      </c>
      <c r="AB213" s="254" t="s">
        <v>1105</v>
      </c>
    </row>
    <row r="214">
      <c r="A214" s="252">
        <v>213.0</v>
      </c>
      <c r="B214" s="251" t="s">
        <v>2274</v>
      </c>
      <c r="C214" s="252">
        <v>1.0</v>
      </c>
      <c r="D214" s="251" t="s">
        <v>2275</v>
      </c>
      <c r="E214" s="251" t="s">
        <v>2276</v>
      </c>
      <c r="F214" s="251" t="s">
        <v>1215</v>
      </c>
      <c r="G214" s="253" t="s">
        <v>2277</v>
      </c>
      <c r="H214" s="252">
        <v>5.0</v>
      </c>
      <c r="I214" s="251" t="s">
        <v>1111</v>
      </c>
      <c r="J214" s="252">
        <v>8.0</v>
      </c>
      <c r="K214" s="252">
        <v>730.0</v>
      </c>
      <c r="L214" s="252">
        <v>100.0</v>
      </c>
      <c r="M214" s="252">
        <v>15054.0</v>
      </c>
      <c r="N214" s="252">
        <v>20774.0</v>
      </c>
      <c r="O214" s="252">
        <v>6.0</v>
      </c>
      <c r="P214" s="252">
        <v>32.0</v>
      </c>
      <c r="Q214" s="252">
        <v>3065.0</v>
      </c>
      <c r="R214" s="251" t="s">
        <v>1141</v>
      </c>
      <c r="S214" s="251" t="s">
        <v>1122</v>
      </c>
      <c r="T214" s="251" t="s">
        <v>1021</v>
      </c>
      <c r="U214" s="252">
        <v>32.0</v>
      </c>
      <c r="V214" s="252">
        <v>32.0</v>
      </c>
      <c r="W214" s="252">
        <v>6.3</v>
      </c>
      <c r="X214" s="251" t="s">
        <v>1147</v>
      </c>
      <c r="Y214" s="251" t="s">
        <v>2278</v>
      </c>
      <c r="Z214" s="251" t="s">
        <v>2279</v>
      </c>
      <c r="AA214" s="254" t="s">
        <v>1105</v>
      </c>
      <c r="AB214" s="254" t="s">
        <v>1105</v>
      </c>
    </row>
    <row r="215">
      <c r="A215" s="252">
        <v>214.0</v>
      </c>
      <c r="B215" s="251" t="s">
        <v>2280</v>
      </c>
      <c r="C215" s="252">
        <v>1.0</v>
      </c>
      <c r="D215" s="251" t="s">
        <v>2281</v>
      </c>
      <c r="E215" s="251" t="s">
        <v>2276</v>
      </c>
      <c r="F215" s="251" t="s">
        <v>1215</v>
      </c>
      <c r="G215" s="253" t="s">
        <v>2282</v>
      </c>
      <c r="H215" s="252">
        <v>6.0</v>
      </c>
      <c r="I215" s="251" t="s">
        <v>1111</v>
      </c>
      <c r="J215" s="252">
        <v>8.0</v>
      </c>
      <c r="K215" s="252">
        <v>558.0</v>
      </c>
      <c r="L215" s="252">
        <v>120.0</v>
      </c>
      <c r="M215" s="252">
        <v>19830.0</v>
      </c>
      <c r="N215" s="252">
        <v>32322.0</v>
      </c>
      <c r="O215" s="252">
        <v>8.0</v>
      </c>
      <c r="P215" s="252">
        <v>512.0</v>
      </c>
      <c r="Q215" s="252">
        <v>4958.0</v>
      </c>
      <c r="R215" s="251" t="s">
        <v>1112</v>
      </c>
      <c r="S215" s="251" t="s">
        <v>1122</v>
      </c>
      <c r="T215" s="251" t="s">
        <v>1101</v>
      </c>
      <c r="U215" s="252">
        <v>48.0</v>
      </c>
      <c r="V215" s="252">
        <v>14.0</v>
      </c>
      <c r="W215" s="252">
        <v>5.5</v>
      </c>
      <c r="X215" s="251" t="s">
        <v>1132</v>
      </c>
      <c r="Y215" s="251" t="s">
        <v>2283</v>
      </c>
      <c r="Z215" s="251" t="s">
        <v>2284</v>
      </c>
      <c r="AA215" s="254" t="s">
        <v>1105</v>
      </c>
      <c r="AB215" s="254" t="s">
        <v>1105</v>
      </c>
    </row>
    <row r="216">
      <c r="A216" s="252">
        <v>215.0</v>
      </c>
      <c r="B216" s="251" t="s">
        <v>2285</v>
      </c>
      <c r="C216" s="252">
        <v>1.0</v>
      </c>
      <c r="D216" s="251" t="s">
        <v>2286</v>
      </c>
      <c r="E216" s="251" t="s">
        <v>1300</v>
      </c>
      <c r="F216" s="251" t="s">
        <v>1233</v>
      </c>
      <c r="G216" s="253" t="s">
        <v>2287</v>
      </c>
      <c r="H216" s="252">
        <v>2.0</v>
      </c>
      <c r="I216" s="251" t="s">
        <v>1111</v>
      </c>
      <c r="J216" s="252">
        <v>10.0</v>
      </c>
      <c r="K216" s="252">
        <v>646.0</v>
      </c>
      <c r="L216" s="252">
        <v>100.0</v>
      </c>
      <c r="M216" s="252">
        <v>3766.0</v>
      </c>
      <c r="N216" s="252">
        <v>5874.0</v>
      </c>
      <c r="O216" s="252">
        <v>2.0</v>
      </c>
      <c r="P216" s="252">
        <v>16.0</v>
      </c>
      <c r="Q216" s="252">
        <v>4591.0</v>
      </c>
      <c r="R216" s="251" t="s">
        <v>1099</v>
      </c>
      <c r="S216" s="251" t="s">
        <v>1122</v>
      </c>
      <c r="T216" s="251" t="s">
        <v>1021</v>
      </c>
      <c r="U216" s="252">
        <v>48.0</v>
      </c>
      <c r="V216" s="252">
        <v>14.0</v>
      </c>
      <c r="W216" s="252">
        <v>5.2</v>
      </c>
      <c r="X216" s="251" t="s">
        <v>1113</v>
      </c>
      <c r="Y216" s="251" t="s">
        <v>2288</v>
      </c>
      <c r="Z216" s="251" t="s">
        <v>2289</v>
      </c>
      <c r="AA216" s="254" t="s">
        <v>1105</v>
      </c>
      <c r="AB216" s="254" t="s">
        <v>1105</v>
      </c>
    </row>
    <row r="217">
      <c r="A217" s="252">
        <v>216.0</v>
      </c>
      <c r="B217" s="251" t="s">
        <v>2290</v>
      </c>
      <c r="C217" s="252">
        <v>1.0</v>
      </c>
      <c r="D217" s="251" t="s">
        <v>2291</v>
      </c>
      <c r="E217" s="251" t="s">
        <v>1689</v>
      </c>
      <c r="F217" s="251" t="s">
        <v>1109</v>
      </c>
      <c r="G217" s="253" t="s">
        <v>2292</v>
      </c>
      <c r="H217" s="252">
        <v>4.0</v>
      </c>
      <c r="I217" s="251" t="s">
        <v>1140</v>
      </c>
      <c r="J217" s="252">
        <v>12.0</v>
      </c>
      <c r="K217" s="252">
        <v>939.0</v>
      </c>
      <c r="L217" s="252">
        <v>120.0</v>
      </c>
      <c r="M217" s="252">
        <v>5578.0</v>
      </c>
      <c r="N217" s="252">
        <v>6972.0</v>
      </c>
      <c r="O217" s="252">
        <v>6.0</v>
      </c>
      <c r="P217" s="252">
        <v>32.0</v>
      </c>
      <c r="Q217" s="252">
        <v>2116.0</v>
      </c>
      <c r="R217" s="251" t="s">
        <v>1112</v>
      </c>
      <c r="S217" s="251" t="s">
        <v>1122</v>
      </c>
      <c r="T217" s="251" t="s">
        <v>1101</v>
      </c>
      <c r="U217" s="252">
        <v>16.0</v>
      </c>
      <c r="V217" s="252">
        <v>12.0</v>
      </c>
      <c r="W217" s="252">
        <v>5.0</v>
      </c>
      <c r="X217" s="251" t="s">
        <v>1113</v>
      </c>
      <c r="Y217" s="251" t="s">
        <v>2293</v>
      </c>
      <c r="Z217" s="251" t="s">
        <v>2294</v>
      </c>
      <c r="AA217" s="254" t="s">
        <v>1105</v>
      </c>
      <c r="AB217" s="254" t="s">
        <v>1105</v>
      </c>
    </row>
    <row r="218">
      <c r="A218" s="252">
        <v>217.0</v>
      </c>
      <c r="B218" s="251" t="s">
        <v>2295</v>
      </c>
      <c r="C218" s="252">
        <v>1.0</v>
      </c>
      <c r="D218" s="251" t="s">
        <v>2296</v>
      </c>
      <c r="E218" s="251" t="s">
        <v>1387</v>
      </c>
      <c r="F218" s="251" t="s">
        <v>1160</v>
      </c>
      <c r="G218" s="253" t="s">
        <v>2297</v>
      </c>
      <c r="H218" s="252">
        <v>6.0</v>
      </c>
      <c r="I218" s="251" t="s">
        <v>1121</v>
      </c>
      <c r="J218" s="252">
        <v>10.0</v>
      </c>
      <c r="K218" s="252">
        <v>603.0</v>
      </c>
      <c r="L218" s="252">
        <v>120.0</v>
      </c>
      <c r="M218" s="252">
        <v>17712.0</v>
      </c>
      <c r="N218" s="252">
        <v>25859.0</v>
      </c>
      <c r="O218" s="252">
        <v>12.0</v>
      </c>
      <c r="P218" s="252">
        <v>8.0</v>
      </c>
      <c r="Q218" s="252">
        <v>4896.0</v>
      </c>
      <c r="R218" s="251" t="s">
        <v>1141</v>
      </c>
      <c r="S218" s="251" t="s">
        <v>1122</v>
      </c>
      <c r="T218" s="251" t="s">
        <v>1021</v>
      </c>
      <c r="U218" s="252">
        <v>14.0</v>
      </c>
      <c r="V218" s="252">
        <v>48.0</v>
      </c>
      <c r="W218" s="252">
        <v>5.0</v>
      </c>
      <c r="X218" s="251" t="s">
        <v>1147</v>
      </c>
      <c r="Y218" s="251" t="s">
        <v>2298</v>
      </c>
      <c r="Z218" s="251" t="s">
        <v>2299</v>
      </c>
      <c r="AA218" s="254" t="s">
        <v>1105</v>
      </c>
      <c r="AB218" s="254" t="s">
        <v>1105</v>
      </c>
    </row>
    <row r="219">
      <c r="A219" s="252">
        <v>218.0</v>
      </c>
      <c r="B219" s="251" t="s">
        <v>2300</v>
      </c>
      <c r="C219" s="252">
        <v>1.0</v>
      </c>
      <c r="D219" s="251" t="s">
        <v>2301</v>
      </c>
      <c r="E219" s="251" t="s">
        <v>2177</v>
      </c>
      <c r="F219" s="251" t="s">
        <v>1129</v>
      </c>
      <c r="G219" s="253" t="s">
        <v>2302</v>
      </c>
      <c r="H219" s="252">
        <v>5.0</v>
      </c>
      <c r="I219" s="251" t="s">
        <v>1111</v>
      </c>
      <c r="J219" s="252">
        <v>8.0</v>
      </c>
      <c r="K219" s="252">
        <v>649.0</v>
      </c>
      <c r="L219" s="252">
        <v>100.0</v>
      </c>
      <c r="M219" s="252">
        <v>19869.0</v>
      </c>
      <c r="N219" s="252">
        <v>29803.0</v>
      </c>
      <c r="O219" s="252">
        <v>2.0</v>
      </c>
      <c r="P219" s="252">
        <v>512.0</v>
      </c>
      <c r="Q219" s="252">
        <v>3213.0</v>
      </c>
      <c r="R219" s="251" t="s">
        <v>1112</v>
      </c>
      <c r="S219" s="251" t="s">
        <v>1100</v>
      </c>
      <c r="T219" s="251" t="s">
        <v>1021</v>
      </c>
      <c r="U219" s="252">
        <v>12.0</v>
      </c>
      <c r="V219" s="252">
        <v>32.0</v>
      </c>
      <c r="W219" s="252">
        <v>6.0</v>
      </c>
      <c r="X219" s="251" t="s">
        <v>1113</v>
      </c>
      <c r="Y219" s="251" t="s">
        <v>2303</v>
      </c>
      <c r="Z219" s="251" t="s">
        <v>2304</v>
      </c>
      <c r="AA219" s="254" t="s">
        <v>1105</v>
      </c>
      <c r="AB219" s="254" t="s">
        <v>1105</v>
      </c>
    </row>
    <row r="220">
      <c r="A220" s="252">
        <v>219.0</v>
      </c>
      <c r="B220" s="251" t="s">
        <v>2305</v>
      </c>
      <c r="C220" s="252">
        <v>1.0</v>
      </c>
      <c r="D220" s="251" t="s">
        <v>2306</v>
      </c>
      <c r="E220" s="251" t="s">
        <v>1159</v>
      </c>
      <c r="F220" s="251" t="s">
        <v>1160</v>
      </c>
      <c r="G220" s="253" t="s">
        <v>2307</v>
      </c>
      <c r="H220" s="252">
        <v>4.0</v>
      </c>
      <c r="I220" s="251" t="s">
        <v>1140</v>
      </c>
      <c r="J220" s="252">
        <v>12.0</v>
      </c>
      <c r="K220" s="252">
        <v>636.0</v>
      </c>
      <c r="L220" s="252">
        <v>120.0</v>
      </c>
      <c r="M220" s="252">
        <v>13741.0</v>
      </c>
      <c r="N220" s="252">
        <v>17038.0</v>
      </c>
      <c r="O220" s="252">
        <v>12.0</v>
      </c>
      <c r="P220" s="252">
        <v>8.0</v>
      </c>
      <c r="Q220" s="252">
        <v>2914.0</v>
      </c>
      <c r="R220" s="251" t="s">
        <v>1099</v>
      </c>
      <c r="S220" s="251" t="s">
        <v>1100</v>
      </c>
      <c r="T220" s="251" t="s">
        <v>1021</v>
      </c>
      <c r="U220" s="252">
        <v>16.0</v>
      </c>
      <c r="V220" s="252">
        <v>16.0</v>
      </c>
      <c r="W220" s="252">
        <v>5.2</v>
      </c>
      <c r="X220" s="251" t="s">
        <v>1102</v>
      </c>
      <c r="Y220" s="251" t="s">
        <v>2308</v>
      </c>
      <c r="Z220" s="251" t="s">
        <v>2309</v>
      </c>
      <c r="AA220" s="254" t="s">
        <v>1105</v>
      </c>
      <c r="AB220" s="254" t="s">
        <v>1105</v>
      </c>
    </row>
    <row r="221">
      <c r="A221" s="252">
        <v>220.0</v>
      </c>
      <c r="B221" s="251" t="s">
        <v>2310</v>
      </c>
      <c r="C221" s="252">
        <v>1.0</v>
      </c>
      <c r="D221" s="251" t="s">
        <v>2311</v>
      </c>
      <c r="E221" s="251" t="s">
        <v>1118</v>
      </c>
      <c r="F221" s="251" t="s">
        <v>1119</v>
      </c>
      <c r="G221" s="253" t="s">
        <v>2312</v>
      </c>
      <c r="H221" s="252">
        <v>3.0</v>
      </c>
      <c r="I221" s="251" t="s">
        <v>1140</v>
      </c>
      <c r="J221" s="252">
        <v>10.0</v>
      </c>
      <c r="K221" s="252">
        <v>245.0</v>
      </c>
      <c r="L221" s="252">
        <v>80.0</v>
      </c>
      <c r="M221" s="252">
        <v>12181.0</v>
      </c>
      <c r="N221" s="252">
        <v>20951.0</v>
      </c>
      <c r="O221" s="252">
        <v>12.0</v>
      </c>
      <c r="P221" s="252">
        <v>32.0</v>
      </c>
      <c r="Q221" s="252">
        <v>1832.0</v>
      </c>
      <c r="R221" s="251" t="s">
        <v>1099</v>
      </c>
      <c r="S221" s="251" t="s">
        <v>1122</v>
      </c>
      <c r="T221" s="251" t="s">
        <v>1021</v>
      </c>
      <c r="U221" s="252">
        <v>14.0</v>
      </c>
      <c r="V221" s="252">
        <v>12.0</v>
      </c>
      <c r="W221" s="252">
        <v>5.0</v>
      </c>
      <c r="X221" s="251" t="s">
        <v>1132</v>
      </c>
      <c r="Y221" s="251" t="s">
        <v>2313</v>
      </c>
      <c r="Z221" s="251" t="s">
        <v>2314</v>
      </c>
      <c r="AA221" s="254" t="s">
        <v>1105</v>
      </c>
      <c r="AB221" s="254" t="s">
        <v>1105</v>
      </c>
    </row>
    <row r="222">
      <c r="A222" s="252">
        <v>221.0</v>
      </c>
      <c r="B222" s="251" t="s">
        <v>2315</v>
      </c>
      <c r="C222" s="252">
        <v>1.0</v>
      </c>
      <c r="D222" s="251" t="s">
        <v>2316</v>
      </c>
      <c r="E222" s="251" t="s">
        <v>2276</v>
      </c>
      <c r="F222" s="251" t="s">
        <v>1215</v>
      </c>
      <c r="G222" s="253" t="s">
        <v>2317</v>
      </c>
      <c r="H222" s="252">
        <v>4.0</v>
      </c>
      <c r="I222" s="251" t="s">
        <v>1131</v>
      </c>
      <c r="J222" s="252">
        <v>12.0</v>
      </c>
      <c r="K222" s="252">
        <v>479.0</v>
      </c>
      <c r="L222" s="252">
        <v>120.0</v>
      </c>
      <c r="M222" s="252">
        <v>22527.0</v>
      </c>
      <c r="N222" s="252">
        <v>35817.0</v>
      </c>
      <c r="O222" s="252">
        <v>8.0</v>
      </c>
      <c r="P222" s="252">
        <v>128.0</v>
      </c>
      <c r="Q222" s="252">
        <v>3009.0</v>
      </c>
      <c r="R222" s="251" t="s">
        <v>1099</v>
      </c>
      <c r="S222" s="251" t="s">
        <v>1122</v>
      </c>
      <c r="T222" s="251" t="s">
        <v>1021</v>
      </c>
      <c r="U222" s="252">
        <v>32.0</v>
      </c>
      <c r="V222" s="252">
        <v>12.0</v>
      </c>
      <c r="W222" s="252">
        <v>6.3</v>
      </c>
      <c r="X222" s="251" t="s">
        <v>1132</v>
      </c>
      <c r="Y222" s="251" t="s">
        <v>2318</v>
      </c>
      <c r="Z222" s="251" t="s">
        <v>2319</v>
      </c>
      <c r="AA222" s="254" t="s">
        <v>1105</v>
      </c>
      <c r="AB222" s="254" t="s">
        <v>1105</v>
      </c>
    </row>
    <row r="223">
      <c r="A223" s="252">
        <v>222.0</v>
      </c>
      <c r="B223" s="251" t="s">
        <v>2320</v>
      </c>
      <c r="C223" s="252">
        <v>1.0</v>
      </c>
      <c r="D223" s="251" t="s">
        <v>2321</v>
      </c>
      <c r="E223" s="251" t="s">
        <v>1434</v>
      </c>
      <c r="F223" s="251" t="s">
        <v>1096</v>
      </c>
      <c r="G223" s="253" t="s">
        <v>2322</v>
      </c>
      <c r="H223" s="252">
        <v>3.0</v>
      </c>
      <c r="I223" s="251" t="s">
        <v>1121</v>
      </c>
      <c r="J223" s="252">
        <v>12.0</v>
      </c>
      <c r="K223" s="252">
        <v>251.0</v>
      </c>
      <c r="L223" s="252">
        <v>100.0</v>
      </c>
      <c r="M223" s="252">
        <v>9047.0</v>
      </c>
      <c r="N223" s="252">
        <v>11308.0</v>
      </c>
      <c r="O223" s="252">
        <v>2.0</v>
      </c>
      <c r="P223" s="252">
        <v>64.0</v>
      </c>
      <c r="Q223" s="252">
        <v>3410.0</v>
      </c>
      <c r="R223" s="251" t="s">
        <v>1099</v>
      </c>
      <c r="S223" s="251" t="s">
        <v>1100</v>
      </c>
      <c r="T223" s="251" t="s">
        <v>1123</v>
      </c>
      <c r="U223" s="252">
        <v>48.0</v>
      </c>
      <c r="V223" s="252">
        <v>48.0</v>
      </c>
      <c r="W223" s="252">
        <v>5.2</v>
      </c>
      <c r="X223" s="251" t="s">
        <v>1147</v>
      </c>
      <c r="Y223" s="251" t="s">
        <v>2323</v>
      </c>
      <c r="Z223" s="251" t="s">
        <v>2324</v>
      </c>
      <c r="AA223" s="254" t="s">
        <v>1105</v>
      </c>
      <c r="AB223" s="254" t="s">
        <v>1105</v>
      </c>
    </row>
    <row r="224">
      <c r="A224" s="252">
        <v>223.0</v>
      </c>
      <c r="B224" s="251" t="s">
        <v>2325</v>
      </c>
      <c r="C224" s="252">
        <v>1.0</v>
      </c>
      <c r="D224" s="251" t="s">
        <v>2326</v>
      </c>
      <c r="E224" s="251" t="s">
        <v>2327</v>
      </c>
      <c r="F224" s="251" t="s">
        <v>1215</v>
      </c>
      <c r="G224" s="253" t="s">
        <v>2328</v>
      </c>
      <c r="H224" s="252">
        <v>4.0</v>
      </c>
      <c r="I224" s="251" t="s">
        <v>1140</v>
      </c>
      <c r="J224" s="252">
        <v>10.0</v>
      </c>
      <c r="K224" s="252">
        <v>630.0</v>
      </c>
      <c r="L224" s="252">
        <v>100.0</v>
      </c>
      <c r="M224" s="252">
        <v>19690.0</v>
      </c>
      <c r="N224" s="252">
        <v>24415.0</v>
      </c>
      <c r="O224" s="252">
        <v>6.0</v>
      </c>
      <c r="P224" s="252">
        <v>64.0</v>
      </c>
      <c r="Q224" s="252">
        <v>1955.0</v>
      </c>
      <c r="R224" s="251" t="s">
        <v>1112</v>
      </c>
      <c r="S224" s="251" t="s">
        <v>1122</v>
      </c>
      <c r="T224" s="251" t="s">
        <v>1021</v>
      </c>
      <c r="U224" s="252">
        <v>16.0</v>
      </c>
      <c r="V224" s="252">
        <v>16.0</v>
      </c>
      <c r="W224" s="252">
        <v>6.3</v>
      </c>
      <c r="X224" s="251" t="s">
        <v>1113</v>
      </c>
      <c r="Y224" s="251" t="s">
        <v>2329</v>
      </c>
      <c r="Z224" s="251" t="s">
        <v>2330</v>
      </c>
      <c r="AA224" s="254" t="s">
        <v>1105</v>
      </c>
      <c r="AB224" s="254" t="s">
        <v>1105</v>
      </c>
    </row>
    <row r="225">
      <c r="A225" s="252">
        <v>224.0</v>
      </c>
      <c r="B225" s="251" t="s">
        <v>2331</v>
      </c>
      <c r="C225" s="252">
        <v>1.0</v>
      </c>
      <c r="D225" s="251" t="s">
        <v>2332</v>
      </c>
      <c r="E225" s="251" t="s">
        <v>1195</v>
      </c>
      <c r="F225" s="251" t="s">
        <v>1109</v>
      </c>
      <c r="G225" s="253" t="s">
        <v>2333</v>
      </c>
      <c r="H225" s="252">
        <v>3.0</v>
      </c>
      <c r="I225" s="251" t="s">
        <v>1111</v>
      </c>
      <c r="J225" s="252">
        <v>10.0</v>
      </c>
      <c r="K225" s="252">
        <v>240.0</v>
      </c>
      <c r="L225" s="252">
        <v>80.0</v>
      </c>
      <c r="M225" s="252">
        <v>11043.0</v>
      </c>
      <c r="N225" s="252">
        <v>19214.0</v>
      </c>
      <c r="O225" s="252">
        <v>12.0</v>
      </c>
      <c r="P225" s="252">
        <v>512.0</v>
      </c>
      <c r="Q225" s="252">
        <v>3825.0</v>
      </c>
      <c r="R225" s="251" t="s">
        <v>1112</v>
      </c>
      <c r="S225" s="251" t="s">
        <v>1100</v>
      </c>
      <c r="T225" s="251" t="s">
        <v>1123</v>
      </c>
      <c r="U225" s="252">
        <v>48.0</v>
      </c>
      <c r="V225" s="252">
        <v>32.0</v>
      </c>
      <c r="W225" s="252">
        <v>6.3</v>
      </c>
      <c r="X225" s="251" t="s">
        <v>1132</v>
      </c>
      <c r="Y225" s="251" t="s">
        <v>2334</v>
      </c>
      <c r="Z225" s="251" t="s">
        <v>2335</v>
      </c>
      <c r="AA225" s="254" t="s">
        <v>1105</v>
      </c>
      <c r="AB225" s="254" t="s">
        <v>1105</v>
      </c>
    </row>
    <row r="226">
      <c r="A226" s="252">
        <v>225.0</v>
      </c>
      <c r="B226" s="251" t="s">
        <v>2336</v>
      </c>
      <c r="C226" s="252">
        <v>1.0</v>
      </c>
      <c r="D226" s="251" t="s">
        <v>2337</v>
      </c>
      <c r="E226" s="251" t="s">
        <v>1411</v>
      </c>
      <c r="F226" s="251" t="s">
        <v>1119</v>
      </c>
      <c r="G226" s="253" t="s">
        <v>2338</v>
      </c>
      <c r="H226" s="252">
        <v>5.0</v>
      </c>
      <c r="I226" s="251" t="s">
        <v>1111</v>
      </c>
      <c r="J226" s="252">
        <v>8.0</v>
      </c>
      <c r="K226" s="252">
        <v>149.0</v>
      </c>
      <c r="L226" s="252">
        <v>120.0</v>
      </c>
      <c r="M226" s="252">
        <v>7064.0</v>
      </c>
      <c r="N226" s="252">
        <v>10596.0</v>
      </c>
      <c r="O226" s="252">
        <v>8.0</v>
      </c>
      <c r="P226" s="252">
        <v>8.0</v>
      </c>
      <c r="Q226" s="252">
        <v>3684.0</v>
      </c>
      <c r="R226" s="251" t="s">
        <v>1112</v>
      </c>
      <c r="S226" s="251" t="s">
        <v>1100</v>
      </c>
      <c r="T226" s="251" t="s">
        <v>1123</v>
      </c>
      <c r="U226" s="252">
        <v>16.0</v>
      </c>
      <c r="V226" s="252">
        <v>16.0</v>
      </c>
      <c r="W226" s="252">
        <v>6.3</v>
      </c>
      <c r="X226" s="251" t="s">
        <v>1132</v>
      </c>
      <c r="Y226" s="251" t="s">
        <v>2339</v>
      </c>
      <c r="Z226" s="251" t="s">
        <v>2340</v>
      </c>
      <c r="AA226" s="254" t="s">
        <v>1105</v>
      </c>
      <c r="AB226" s="254" t="s">
        <v>1105</v>
      </c>
    </row>
    <row r="227">
      <c r="A227" s="252">
        <v>226.0</v>
      </c>
      <c r="B227" s="251" t="s">
        <v>2341</v>
      </c>
      <c r="C227" s="252">
        <v>1.0</v>
      </c>
      <c r="D227" s="251" t="s">
        <v>2342</v>
      </c>
      <c r="E227" s="251" t="s">
        <v>1405</v>
      </c>
      <c r="F227" s="251" t="s">
        <v>1202</v>
      </c>
      <c r="G227" s="253" t="s">
        <v>2343</v>
      </c>
      <c r="H227" s="252">
        <v>5.0</v>
      </c>
      <c r="I227" s="251" t="s">
        <v>1121</v>
      </c>
      <c r="J227" s="252">
        <v>12.0</v>
      </c>
      <c r="K227" s="252">
        <v>541.0</v>
      </c>
      <c r="L227" s="252">
        <v>80.0</v>
      </c>
      <c r="M227" s="252">
        <v>12043.0</v>
      </c>
      <c r="N227" s="252">
        <v>21797.0</v>
      </c>
      <c r="O227" s="252">
        <v>6.0</v>
      </c>
      <c r="P227" s="252">
        <v>32.0</v>
      </c>
      <c r="Q227" s="252">
        <v>6428.0</v>
      </c>
      <c r="R227" s="251" t="s">
        <v>1112</v>
      </c>
      <c r="S227" s="251" t="s">
        <v>1122</v>
      </c>
      <c r="T227" s="251" t="s">
        <v>1021</v>
      </c>
      <c r="U227" s="252">
        <v>32.0</v>
      </c>
      <c r="V227" s="252">
        <v>32.0</v>
      </c>
      <c r="W227" s="252">
        <v>6.0</v>
      </c>
      <c r="X227" s="251" t="s">
        <v>1113</v>
      </c>
      <c r="Y227" s="251" t="s">
        <v>2344</v>
      </c>
      <c r="Z227" s="251" t="s">
        <v>2345</v>
      </c>
      <c r="AA227" s="254" t="s">
        <v>1105</v>
      </c>
      <c r="AB227" s="254" t="s">
        <v>1105</v>
      </c>
    </row>
    <row r="228">
      <c r="A228" s="252">
        <v>227.0</v>
      </c>
      <c r="B228" s="251" t="s">
        <v>2346</v>
      </c>
      <c r="C228" s="252">
        <v>1.0</v>
      </c>
      <c r="D228" s="251" t="s">
        <v>2347</v>
      </c>
      <c r="E228" s="251" t="s">
        <v>1695</v>
      </c>
      <c r="F228" s="251" t="s">
        <v>1109</v>
      </c>
      <c r="G228" s="253" t="s">
        <v>2348</v>
      </c>
      <c r="H228" s="252">
        <v>2.0</v>
      </c>
      <c r="I228" s="251" t="s">
        <v>1111</v>
      </c>
      <c r="J228" s="252">
        <v>12.0</v>
      </c>
      <c r="K228" s="252">
        <v>964.0</v>
      </c>
      <c r="L228" s="252">
        <v>100.0</v>
      </c>
      <c r="M228" s="252">
        <v>21736.0</v>
      </c>
      <c r="N228" s="252">
        <v>38907.0</v>
      </c>
      <c r="O228" s="252">
        <v>12.0</v>
      </c>
      <c r="P228" s="252">
        <v>8.0</v>
      </c>
      <c r="Q228" s="252">
        <v>5337.0</v>
      </c>
      <c r="R228" s="251" t="s">
        <v>1141</v>
      </c>
      <c r="S228" s="251" t="s">
        <v>1100</v>
      </c>
      <c r="T228" s="251" t="s">
        <v>1101</v>
      </c>
      <c r="U228" s="252">
        <v>32.0</v>
      </c>
      <c r="V228" s="252">
        <v>32.0</v>
      </c>
      <c r="W228" s="252">
        <v>5.0</v>
      </c>
      <c r="X228" s="251" t="s">
        <v>1132</v>
      </c>
      <c r="Y228" s="251" t="s">
        <v>2349</v>
      </c>
      <c r="Z228" s="251" t="s">
        <v>2350</v>
      </c>
      <c r="AA228" s="254" t="s">
        <v>1105</v>
      </c>
      <c r="AB228" s="254" t="s">
        <v>1105</v>
      </c>
    </row>
    <row r="229">
      <c r="A229" s="252">
        <v>228.0</v>
      </c>
      <c r="B229" s="251" t="s">
        <v>2351</v>
      </c>
      <c r="C229" s="252">
        <v>1.0</v>
      </c>
      <c r="D229" s="251" t="s">
        <v>2352</v>
      </c>
      <c r="E229" s="251" t="s">
        <v>1312</v>
      </c>
      <c r="F229" s="251" t="s">
        <v>1202</v>
      </c>
      <c r="G229" s="253" t="s">
        <v>2353</v>
      </c>
      <c r="H229" s="252">
        <v>2.0</v>
      </c>
      <c r="I229" s="251" t="s">
        <v>1131</v>
      </c>
      <c r="J229" s="252">
        <v>12.0</v>
      </c>
      <c r="K229" s="252">
        <v>74.0</v>
      </c>
      <c r="L229" s="252">
        <v>100.0</v>
      </c>
      <c r="M229" s="252">
        <v>8277.0</v>
      </c>
      <c r="N229" s="252">
        <v>10677.0</v>
      </c>
      <c r="O229" s="252">
        <v>8.0</v>
      </c>
      <c r="P229" s="252">
        <v>32.0</v>
      </c>
      <c r="Q229" s="252">
        <v>5804.0</v>
      </c>
      <c r="R229" s="251" t="s">
        <v>1112</v>
      </c>
      <c r="S229" s="251" t="s">
        <v>1100</v>
      </c>
      <c r="T229" s="251" t="s">
        <v>1123</v>
      </c>
      <c r="U229" s="252">
        <v>32.0</v>
      </c>
      <c r="V229" s="252">
        <v>12.0</v>
      </c>
      <c r="W229" s="252">
        <v>4.7</v>
      </c>
      <c r="X229" s="251" t="s">
        <v>1147</v>
      </c>
      <c r="Y229" s="251" t="s">
        <v>2354</v>
      </c>
      <c r="Z229" s="251" t="s">
        <v>2355</v>
      </c>
      <c r="AA229" s="254" t="s">
        <v>1105</v>
      </c>
      <c r="AB229" s="254" t="s">
        <v>1105</v>
      </c>
    </row>
    <row r="230">
      <c r="A230" s="252">
        <v>229.0</v>
      </c>
      <c r="B230" s="251" t="s">
        <v>2356</v>
      </c>
      <c r="C230" s="252">
        <v>1.0</v>
      </c>
      <c r="D230" s="251" t="s">
        <v>2357</v>
      </c>
      <c r="E230" s="251" t="s">
        <v>1159</v>
      </c>
      <c r="F230" s="251" t="s">
        <v>1160</v>
      </c>
      <c r="G230" s="253" t="s">
        <v>2358</v>
      </c>
      <c r="H230" s="252">
        <v>2.0</v>
      </c>
      <c r="I230" s="251" t="s">
        <v>1140</v>
      </c>
      <c r="J230" s="252">
        <v>10.0</v>
      </c>
      <c r="K230" s="252">
        <v>196.0</v>
      </c>
      <c r="L230" s="252">
        <v>80.0</v>
      </c>
      <c r="M230" s="252">
        <v>2795.0</v>
      </c>
      <c r="N230" s="252">
        <v>3633.0</v>
      </c>
      <c r="O230" s="252">
        <v>4.0</v>
      </c>
      <c r="P230" s="252">
        <v>8.0</v>
      </c>
      <c r="Q230" s="252">
        <v>2248.0</v>
      </c>
      <c r="R230" s="251" t="s">
        <v>1112</v>
      </c>
      <c r="S230" s="251" t="s">
        <v>1122</v>
      </c>
      <c r="T230" s="251" t="s">
        <v>1123</v>
      </c>
      <c r="U230" s="252">
        <v>32.0</v>
      </c>
      <c r="V230" s="252">
        <v>14.0</v>
      </c>
      <c r="W230" s="252">
        <v>4.7</v>
      </c>
      <c r="X230" s="251" t="s">
        <v>1132</v>
      </c>
      <c r="Y230" s="251" t="s">
        <v>2359</v>
      </c>
      <c r="Z230" s="251" t="s">
        <v>2360</v>
      </c>
      <c r="AA230" s="254" t="s">
        <v>1105</v>
      </c>
      <c r="AB230" s="254" t="s">
        <v>1105</v>
      </c>
    </row>
    <row r="231">
      <c r="A231" s="252">
        <v>230.0</v>
      </c>
      <c r="B231" s="251" t="s">
        <v>2361</v>
      </c>
      <c r="C231" s="252">
        <v>1.0</v>
      </c>
      <c r="D231" s="251" t="s">
        <v>2362</v>
      </c>
      <c r="E231" s="251" t="s">
        <v>1905</v>
      </c>
      <c r="F231" s="251" t="s">
        <v>1096</v>
      </c>
      <c r="G231" s="253" t="s">
        <v>2363</v>
      </c>
      <c r="H231" s="252">
        <v>3.0</v>
      </c>
      <c r="I231" s="251" t="s">
        <v>1131</v>
      </c>
      <c r="J231" s="252">
        <v>10.0</v>
      </c>
      <c r="K231" s="252">
        <v>850.0</v>
      </c>
      <c r="L231" s="252">
        <v>100.0</v>
      </c>
      <c r="M231" s="252">
        <v>10271.0</v>
      </c>
      <c r="N231" s="252">
        <v>13455.0</v>
      </c>
      <c r="O231" s="252">
        <v>8.0</v>
      </c>
      <c r="P231" s="252">
        <v>16.0</v>
      </c>
      <c r="Q231" s="252">
        <v>5793.0</v>
      </c>
      <c r="R231" s="251" t="s">
        <v>1112</v>
      </c>
      <c r="S231" s="251" t="s">
        <v>1122</v>
      </c>
      <c r="T231" s="251" t="s">
        <v>1101</v>
      </c>
      <c r="U231" s="252">
        <v>12.0</v>
      </c>
      <c r="V231" s="252">
        <v>14.0</v>
      </c>
      <c r="W231" s="252">
        <v>5.2</v>
      </c>
      <c r="X231" s="251" t="s">
        <v>1147</v>
      </c>
      <c r="Y231" s="251" t="s">
        <v>2364</v>
      </c>
      <c r="Z231" s="251" t="s">
        <v>2365</v>
      </c>
      <c r="AA231" s="254" t="s">
        <v>1105</v>
      </c>
      <c r="AB231" s="254" t="s">
        <v>1105</v>
      </c>
    </row>
    <row r="232">
      <c r="A232" s="252">
        <v>231.0</v>
      </c>
      <c r="B232" s="251" t="s">
        <v>2366</v>
      </c>
      <c r="C232" s="252">
        <v>1.0</v>
      </c>
      <c r="D232" s="251" t="s">
        <v>2367</v>
      </c>
      <c r="E232" s="251" t="s">
        <v>1428</v>
      </c>
      <c r="F232" s="251" t="s">
        <v>1138</v>
      </c>
      <c r="G232" s="253" t="s">
        <v>2368</v>
      </c>
      <c r="H232" s="252">
        <v>4.0</v>
      </c>
      <c r="I232" s="251" t="s">
        <v>1111</v>
      </c>
      <c r="J232" s="252">
        <v>10.0</v>
      </c>
      <c r="K232" s="252">
        <v>811.0</v>
      </c>
      <c r="L232" s="252">
        <v>120.0</v>
      </c>
      <c r="M232" s="252">
        <v>3778.0</v>
      </c>
      <c r="N232" s="252">
        <v>5969.0</v>
      </c>
      <c r="O232" s="252">
        <v>12.0</v>
      </c>
      <c r="P232" s="252">
        <v>16.0</v>
      </c>
      <c r="Q232" s="252">
        <v>3750.0</v>
      </c>
      <c r="R232" s="251" t="s">
        <v>1141</v>
      </c>
      <c r="S232" s="251" t="s">
        <v>1122</v>
      </c>
      <c r="T232" s="251" t="s">
        <v>1021</v>
      </c>
      <c r="U232" s="252">
        <v>48.0</v>
      </c>
      <c r="V232" s="252">
        <v>48.0</v>
      </c>
      <c r="W232" s="252">
        <v>4.7</v>
      </c>
      <c r="X232" s="251" t="s">
        <v>1147</v>
      </c>
      <c r="Y232" s="251" t="s">
        <v>2369</v>
      </c>
      <c r="Z232" s="251" t="s">
        <v>2370</v>
      </c>
      <c r="AA232" s="254" t="s">
        <v>1105</v>
      </c>
      <c r="AB232" s="254" t="s">
        <v>1105</v>
      </c>
    </row>
    <row r="233">
      <c r="A233" s="252">
        <v>232.0</v>
      </c>
      <c r="B233" s="251" t="s">
        <v>2371</v>
      </c>
      <c r="C233" s="252">
        <v>1.0</v>
      </c>
      <c r="D233" s="251" t="s">
        <v>2372</v>
      </c>
      <c r="E233" s="251" t="s">
        <v>1958</v>
      </c>
      <c r="F233" s="251" t="s">
        <v>1215</v>
      </c>
      <c r="G233" s="253" t="s">
        <v>2373</v>
      </c>
      <c r="H233" s="252">
        <v>4.0</v>
      </c>
      <c r="I233" s="251" t="s">
        <v>1111</v>
      </c>
      <c r="J233" s="252">
        <v>12.0</v>
      </c>
      <c r="K233" s="252">
        <v>863.0</v>
      </c>
      <c r="L233" s="252">
        <v>120.0</v>
      </c>
      <c r="M233" s="252">
        <v>8817.0</v>
      </c>
      <c r="N233" s="252">
        <v>13666.0</v>
      </c>
      <c r="O233" s="252">
        <v>2.0</v>
      </c>
      <c r="P233" s="252">
        <v>32.0</v>
      </c>
      <c r="Q233" s="252">
        <v>2640.0</v>
      </c>
      <c r="R233" s="251" t="s">
        <v>1141</v>
      </c>
      <c r="S233" s="251" t="s">
        <v>1122</v>
      </c>
      <c r="T233" s="251" t="s">
        <v>1123</v>
      </c>
      <c r="U233" s="252">
        <v>48.0</v>
      </c>
      <c r="V233" s="252">
        <v>12.0</v>
      </c>
      <c r="W233" s="252">
        <v>4.7</v>
      </c>
      <c r="X233" s="251" t="s">
        <v>1147</v>
      </c>
      <c r="Y233" s="251" t="s">
        <v>2374</v>
      </c>
      <c r="Z233" s="251" t="s">
        <v>2375</v>
      </c>
      <c r="AA233" s="254" t="s">
        <v>1105</v>
      </c>
      <c r="AB233" s="254" t="s">
        <v>1105</v>
      </c>
    </row>
    <row r="234">
      <c r="A234" s="252">
        <v>233.0</v>
      </c>
      <c r="B234" s="251" t="s">
        <v>2376</v>
      </c>
      <c r="C234" s="252">
        <v>1.0</v>
      </c>
      <c r="D234" s="251" t="s">
        <v>2377</v>
      </c>
      <c r="E234" s="251" t="s">
        <v>2378</v>
      </c>
      <c r="F234" s="251" t="s">
        <v>1233</v>
      </c>
      <c r="G234" s="253" t="s">
        <v>2379</v>
      </c>
      <c r="H234" s="252">
        <v>5.0</v>
      </c>
      <c r="I234" s="251" t="s">
        <v>1098</v>
      </c>
      <c r="J234" s="252">
        <v>8.0</v>
      </c>
      <c r="K234" s="252">
        <v>277.0</v>
      </c>
      <c r="L234" s="252">
        <v>100.0</v>
      </c>
      <c r="M234" s="252">
        <v>16249.0</v>
      </c>
      <c r="N234" s="252">
        <v>28110.0</v>
      </c>
      <c r="O234" s="252">
        <v>12.0</v>
      </c>
      <c r="P234" s="252">
        <v>32.0</v>
      </c>
      <c r="Q234" s="252">
        <v>4093.0</v>
      </c>
      <c r="R234" s="251" t="s">
        <v>1099</v>
      </c>
      <c r="S234" s="251" t="s">
        <v>1100</v>
      </c>
      <c r="T234" s="251" t="s">
        <v>1101</v>
      </c>
      <c r="U234" s="252">
        <v>16.0</v>
      </c>
      <c r="V234" s="252">
        <v>32.0</v>
      </c>
      <c r="W234" s="252">
        <v>5.5</v>
      </c>
      <c r="X234" s="251" t="s">
        <v>1132</v>
      </c>
      <c r="Y234" s="251" t="s">
        <v>2380</v>
      </c>
      <c r="Z234" s="251" t="s">
        <v>2381</v>
      </c>
      <c r="AA234" s="254" t="s">
        <v>1105</v>
      </c>
      <c r="AB234" s="254" t="s">
        <v>1105</v>
      </c>
    </row>
    <row r="235">
      <c r="A235" s="252">
        <v>234.0</v>
      </c>
      <c r="B235" s="251" t="s">
        <v>2382</v>
      </c>
      <c r="C235" s="252">
        <v>1.0</v>
      </c>
      <c r="D235" s="251" t="s">
        <v>2383</v>
      </c>
      <c r="E235" s="251" t="s">
        <v>1300</v>
      </c>
      <c r="F235" s="251" t="s">
        <v>1233</v>
      </c>
      <c r="G235" s="253" t="s">
        <v>2384</v>
      </c>
      <c r="H235" s="252">
        <v>6.0</v>
      </c>
      <c r="I235" s="251" t="s">
        <v>1121</v>
      </c>
      <c r="J235" s="252">
        <v>10.0</v>
      </c>
      <c r="K235" s="252">
        <v>172.0</v>
      </c>
      <c r="L235" s="252">
        <v>100.0</v>
      </c>
      <c r="M235" s="252">
        <v>16094.0</v>
      </c>
      <c r="N235" s="252">
        <v>20600.0</v>
      </c>
      <c r="O235" s="252">
        <v>2.0</v>
      </c>
      <c r="P235" s="252">
        <v>16.0</v>
      </c>
      <c r="Q235" s="252">
        <v>2084.0</v>
      </c>
      <c r="R235" s="251" t="s">
        <v>1141</v>
      </c>
      <c r="S235" s="251" t="s">
        <v>1122</v>
      </c>
      <c r="T235" s="251" t="s">
        <v>1101</v>
      </c>
      <c r="U235" s="252">
        <v>14.0</v>
      </c>
      <c r="V235" s="252">
        <v>32.0</v>
      </c>
      <c r="W235" s="252">
        <v>6.0</v>
      </c>
      <c r="X235" s="251" t="s">
        <v>1102</v>
      </c>
      <c r="Y235" s="251" t="s">
        <v>2385</v>
      </c>
      <c r="Z235" s="251" t="s">
        <v>2386</v>
      </c>
      <c r="AA235" s="254" t="s">
        <v>1105</v>
      </c>
      <c r="AB235" s="254" t="s">
        <v>1105</v>
      </c>
    </row>
    <row r="236">
      <c r="A236" s="252">
        <v>235.0</v>
      </c>
      <c r="B236" s="251" t="s">
        <v>2387</v>
      </c>
      <c r="C236" s="252">
        <v>1.0</v>
      </c>
      <c r="D236" s="251" t="s">
        <v>2388</v>
      </c>
      <c r="E236" s="251" t="s">
        <v>1387</v>
      </c>
      <c r="F236" s="251" t="s">
        <v>1160</v>
      </c>
      <c r="G236" s="253" t="s">
        <v>2389</v>
      </c>
      <c r="H236" s="252">
        <v>6.0</v>
      </c>
      <c r="I236" s="251" t="s">
        <v>1098</v>
      </c>
      <c r="J236" s="252">
        <v>12.0</v>
      </c>
      <c r="K236" s="252">
        <v>230.0</v>
      </c>
      <c r="L236" s="252">
        <v>100.0</v>
      </c>
      <c r="M236" s="252">
        <v>12704.0</v>
      </c>
      <c r="N236" s="252">
        <v>16134.0</v>
      </c>
      <c r="O236" s="252">
        <v>12.0</v>
      </c>
      <c r="P236" s="252">
        <v>128.0</v>
      </c>
      <c r="Q236" s="252">
        <v>5661.0</v>
      </c>
      <c r="R236" s="251" t="s">
        <v>1141</v>
      </c>
      <c r="S236" s="251" t="s">
        <v>1100</v>
      </c>
      <c r="T236" s="251" t="s">
        <v>1021</v>
      </c>
      <c r="U236" s="252">
        <v>16.0</v>
      </c>
      <c r="V236" s="252">
        <v>14.0</v>
      </c>
      <c r="W236" s="252">
        <v>5.2</v>
      </c>
      <c r="X236" s="251" t="s">
        <v>1113</v>
      </c>
      <c r="Y236" s="251" t="s">
        <v>2390</v>
      </c>
      <c r="Z236" s="251" t="s">
        <v>2391</v>
      </c>
      <c r="AA236" s="254" t="s">
        <v>1105</v>
      </c>
      <c r="AB236" s="254" t="s">
        <v>1105</v>
      </c>
    </row>
    <row r="237">
      <c r="A237" s="252">
        <v>236.0</v>
      </c>
      <c r="B237" s="251" t="s">
        <v>2392</v>
      </c>
      <c r="C237" s="252">
        <v>1.0</v>
      </c>
      <c r="D237" s="251" t="s">
        <v>2393</v>
      </c>
      <c r="E237" s="251" t="s">
        <v>1581</v>
      </c>
      <c r="F237" s="251" t="s">
        <v>1109</v>
      </c>
      <c r="G237" s="253" t="s">
        <v>2394</v>
      </c>
      <c r="H237" s="252">
        <v>6.0</v>
      </c>
      <c r="I237" s="251" t="s">
        <v>1111</v>
      </c>
      <c r="J237" s="252">
        <v>12.0</v>
      </c>
      <c r="K237" s="252">
        <v>374.0</v>
      </c>
      <c r="L237" s="252">
        <v>80.0</v>
      </c>
      <c r="M237" s="252">
        <v>22016.0</v>
      </c>
      <c r="N237" s="252">
        <v>37427.0</v>
      </c>
      <c r="O237" s="252">
        <v>6.0</v>
      </c>
      <c r="P237" s="252">
        <v>32.0</v>
      </c>
      <c r="Q237" s="252">
        <v>3320.0</v>
      </c>
      <c r="R237" s="251" t="s">
        <v>1141</v>
      </c>
      <c r="S237" s="251" t="s">
        <v>1122</v>
      </c>
      <c r="T237" s="251" t="s">
        <v>1021</v>
      </c>
      <c r="U237" s="252">
        <v>16.0</v>
      </c>
      <c r="V237" s="252">
        <v>12.0</v>
      </c>
      <c r="W237" s="252">
        <v>5.0</v>
      </c>
      <c r="X237" s="251" t="s">
        <v>1102</v>
      </c>
      <c r="Y237" s="251" t="s">
        <v>2395</v>
      </c>
      <c r="Z237" s="251" t="s">
        <v>2396</v>
      </c>
      <c r="AA237" s="254" t="s">
        <v>1105</v>
      </c>
      <c r="AB237" s="254" t="s">
        <v>1105</v>
      </c>
    </row>
    <row r="238">
      <c r="A238" s="252">
        <v>237.0</v>
      </c>
      <c r="B238" s="251" t="s">
        <v>2397</v>
      </c>
      <c r="C238" s="252">
        <v>1.0</v>
      </c>
      <c r="D238" s="251" t="s">
        <v>2398</v>
      </c>
      <c r="E238" s="251" t="s">
        <v>2399</v>
      </c>
      <c r="F238" s="251" t="s">
        <v>1215</v>
      </c>
      <c r="G238" s="253" t="s">
        <v>2400</v>
      </c>
      <c r="H238" s="252">
        <v>4.0</v>
      </c>
      <c r="I238" s="251" t="s">
        <v>1121</v>
      </c>
      <c r="J238" s="252">
        <v>8.0</v>
      </c>
      <c r="K238" s="252">
        <v>567.0</v>
      </c>
      <c r="L238" s="252">
        <v>80.0</v>
      </c>
      <c r="M238" s="252">
        <v>12245.0</v>
      </c>
      <c r="N238" s="252">
        <v>22530.0</v>
      </c>
      <c r="O238" s="252">
        <v>2.0</v>
      </c>
      <c r="P238" s="252">
        <v>512.0</v>
      </c>
      <c r="Q238" s="252">
        <v>6249.0</v>
      </c>
      <c r="R238" s="251" t="s">
        <v>1112</v>
      </c>
      <c r="S238" s="251" t="s">
        <v>1100</v>
      </c>
      <c r="T238" s="251" t="s">
        <v>1101</v>
      </c>
      <c r="U238" s="252">
        <v>14.0</v>
      </c>
      <c r="V238" s="252">
        <v>12.0</v>
      </c>
      <c r="W238" s="252">
        <v>4.7</v>
      </c>
      <c r="X238" s="251" t="s">
        <v>1132</v>
      </c>
      <c r="Y238" s="251" t="s">
        <v>2401</v>
      </c>
      <c r="Z238" s="251" t="s">
        <v>2402</v>
      </c>
      <c r="AA238" s="254" t="s">
        <v>1105</v>
      </c>
      <c r="AB238" s="254" t="s">
        <v>1105</v>
      </c>
    </row>
    <row r="239">
      <c r="A239" s="252">
        <v>238.0</v>
      </c>
      <c r="B239" s="251" t="s">
        <v>2403</v>
      </c>
      <c r="C239" s="252">
        <v>1.0</v>
      </c>
      <c r="D239" s="251" t="s">
        <v>2404</v>
      </c>
      <c r="E239" s="251" t="s">
        <v>2327</v>
      </c>
      <c r="F239" s="251" t="s">
        <v>1215</v>
      </c>
      <c r="G239" s="253" t="s">
        <v>2405</v>
      </c>
      <c r="H239" s="252">
        <v>6.0</v>
      </c>
      <c r="I239" s="251" t="s">
        <v>1131</v>
      </c>
      <c r="J239" s="252">
        <v>8.0</v>
      </c>
      <c r="K239" s="252">
        <v>392.0</v>
      </c>
      <c r="L239" s="252">
        <v>80.0</v>
      </c>
      <c r="M239" s="252">
        <v>22279.0</v>
      </c>
      <c r="N239" s="252">
        <v>35869.0</v>
      </c>
      <c r="O239" s="252">
        <v>12.0</v>
      </c>
      <c r="P239" s="252">
        <v>512.0</v>
      </c>
      <c r="Q239" s="252">
        <v>4920.0</v>
      </c>
      <c r="R239" s="251" t="s">
        <v>1112</v>
      </c>
      <c r="S239" s="251" t="s">
        <v>1122</v>
      </c>
      <c r="T239" s="251" t="s">
        <v>1101</v>
      </c>
      <c r="U239" s="252">
        <v>48.0</v>
      </c>
      <c r="V239" s="252">
        <v>12.0</v>
      </c>
      <c r="W239" s="252">
        <v>6.3</v>
      </c>
      <c r="X239" s="251" t="s">
        <v>1147</v>
      </c>
      <c r="Y239" s="251" t="s">
        <v>2406</v>
      </c>
      <c r="Z239" s="251" t="s">
        <v>2407</v>
      </c>
      <c r="AA239" s="254" t="s">
        <v>1105</v>
      </c>
      <c r="AB239" s="254" t="s">
        <v>1105</v>
      </c>
    </row>
    <row r="240">
      <c r="A240" s="252">
        <v>239.0</v>
      </c>
      <c r="B240" s="251" t="s">
        <v>2408</v>
      </c>
      <c r="C240" s="252">
        <v>1.0</v>
      </c>
      <c r="D240" s="251" t="s">
        <v>2409</v>
      </c>
      <c r="E240" s="251" t="s">
        <v>1189</v>
      </c>
      <c r="F240" s="251" t="s">
        <v>1096</v>
      </c>
      <c r="G240" s="253" t="s">
        <v>2410</v>
      </c>
      <c r="H240" s="252">
        <v>2.0</v>
      </c>
      <c r="I240" s="251" t="s">
        <v>1121</v>
      </c>
      <c r="J240" s="252">
        <v>12.0</v>
      </c>
      <c r="K240" s="252">
        <v>712.0</v>
      </c>
      <c r="L240" s="252">
        <v>80.0</v>
      </c>
      <c r="M240" s="252">
        <v>3838.0</v>
      </c>
      <c r="N240" s="252">
        <v>6025.0</v>
      </c>
      <c r="O240" s="252">
        <v>6.0</v>
      </c>
      <c r="P240" s="252">
        <v>64.0</v>
      </c>
      <c r="Q240" s="252">
        <v>1888.0</v>
      </c>
      <c r="R240" s="251" t="s">
        <v>1141</v>
      </c>
      <c r="S240" s="251" t="s">
        <v>1100</v>
      </c>
      <c r="T240" s="251" t="s">
        <v>1101</v>
      </c>
      <c r="U240" s="252">
        <v>48.0</v>
      </c>
      <c r="V240" s="252">
        <v>16.0</v>
      </c>
      <c r="W240" s="252">
        <v>5.2</v>
      </c>
      <c r="X240" s="251" t="s">
        <v>1102</v>
      </c>
      <c r="Y240" s="251" t="s">
        <v>2411</v>
      </c>
      <c r="Z240" s="251" t="s">
        <v>2412</v>
      </c>
      <c r="AA240" s="254" t="s">
        <v>1105</v>
      </c>
      <c r="AB240" s="254" t="s">
        <v>1105</v>
      </c>
    </row>
    <row r="241">
      <c r="A241" s="252">
        <v>240.0</v>
      </c>
      <c r="B241" s="251" t="s">
        <v>2413</v>
      </c>
      <c r="C241" s="252">
        <v>1.0</v>
      </c>
      <c r="D241" s="251" t="s">
        <v>2414</v>
      </c>
      <c r="E241" s="251" t="s">
        <v>1942</v>
      </c>
      <c r="F241" s="251" t="s">
        <v>1233</v>
      </c>
      <c r="G241" s="253" t="s">
        <v>2415</v>
      </c>
      <c r="H241" s="252">
        <v>2.0</v>
      </c>
      <c r="I241" s="251" t="s">
        <v>1140</v>
      </c>
      <c r="J241" s="252">
        <v>8.0</v>
      </c>
      <c r="K241" s="252">
        <v>954.0</v>
      </c>
      <c r="L241" s="252">
        <v>100.0</v>
      </c>
      <c r="M241" s="252">
        <v>10814.0</v>
      </c>
      <c r="N241" s="252">
        <v>17302.0</v>
      </c>
      <c r="O241" s="252">
        <v>4.0</v>
      </c>
      <c r="P241" s="252">
        <v>512.0</v>
      </c>
      <c r="Q241" s="252">
        <v>5534.0</v>
      </c>
      <c r="R241" s="251" t="s">
        <v>1112</v>
      </c>
      <c r="S241" s="251" t="s">
        <v>1100</v>
      </c>
      <c r="T241" s="251" t="s">
        <v>1101</v>
      </c>
      <c r="U241" s="252">
        <v>14.0</v>
      </c>
      <c r="V241" s="252">
        <v>32.0</v>
      </c>
      <c r="W241" s="252">
        <v>4.7</v>
      </c>
      <c r="X241" s="251" t="s">
        <v>1102</v>
      </c>
      <c r="Y241" s="251" t="s">
        <v>2416</v>
      </c>
      <c r="Z241" s="251" t="s">
        <v>2417</v>
      </c>
      <c r="AA241" s="254" t="s">
        <v>1105</v>
      </c>
      <c r="AB241" s="254" t="s">
        <v>1105</v>
      </c>
    </row>
    <row r="242">
      <c r="A242" s="252">
        <v>241.0</v>
      </c>
      <c r="B242" s="251" t="s">
        <v>2418</v>
      </c>
      <c r="C242" s="252">
        <v>1.0</v>
      </c>
      <c r="D242" s="251" t="s">
        <v>2419</v>
      </c>
      <c r="E242" s="251" t="s">
        <v>1523</v>
      </c>
      <c r="F242" s="251" t="s">
        <v>1215</v>
      </c>
      <c r="G242" s="253" t="s">
        <v>2420</v>
      </c>
      <c r="H242" s="252">
        <v>2.0</v>
      </c>
      <c r="I242" s="251" t="s">
        <v>1131</v>
      </c>
      <c r="J242" s="252">
        <v>8.0</v>
      </c>
      <c r="K242" s="252">
        <v>259.0</v>
      </c>
      <c r="L242" s="252">
        <v>80.0</v>
      </c>
      <c r="M242" s="252">
        <v>2873.0</v>
      </c>
      <c r="N242" s="252">
        <v>4453.0</v>
      </c>
      <c r="O242" s="252">
        <v>6.0</v>
      </c>
      <c r="P242" s="252">
        <v>64.0</v>
      </c>
      <c r="Q242" s="252">
        <v>2470.0</v>
      </c>
      <c r="R242" s="251" t="s">
        <v>1141</v>
      </c>
      <c r="S242" s="251" t="s">
        <v>1122</v>
      </c>
      <c r="T242" s="251" t="s">
        <v>1101</v>
      </c>
      <c r="U242" s="252">
        <v>32.0</v>
      </c>
      <c r="V242" s="252">
        <v>16.0</v>
      </c>
      <c r="W242" s="252">
        <v>6.3</v>
      </c>
      <c r="X242" s="251" t="s">
        <v>1102</v>
      </c>
      <c r="Y242" s="251" t="s">
        <v>2421</v>
      </c>
      <c r="Z242" s="251" t="s">
        <v>2422</v>
      </c>
      <c r="AA242" s="254" t="s">
        <v>1105</v>
      </c>
      <c r="AB242" s="254" t="s">
        <v>1105</v>
      </c>
    </row>
    <row r="243">
      <c r="A243" s="252">
        <v>242.0</v>
      </c>
      <c r="B243" s="251" t="s">
        <v>2423</v>
      </c>
      <c r="C243" s="252">
        <v>1.0</v>
      </c>
      <c r="D243" s="251" t="s">
        <v>2424</v>
      </c>
      <c r="E243" s="251" t="s">
        <v>1942</v>
      </c>
      <c r="F243" s="251" t="s">
        <v>1233</v>
      </c>
      <c r="G243" s="253" t="s">
        <v>2425</v>
      </c>
      <c r="H243" s="252">
        <v>6.0</v>
      </c>
      <c r="I243" s="251" t="s">
        <v>1131</v>
      </c>
      <c r="J243" s="252">
        <v>10.0</v>
      </c>
      <c r="K243" s="252">
        <v>974.0</v>
      </c>
      <c r="L243" s="252">
        <v>100.0</v>
      </c>
      <c r="M243" s="252">
        <v>8455.0</v>
      </c>
      <c r="N243" s="252">
        <v>14458.0</v>
      </c>
      <c r="O243" s="252">
        <v>6.0</v>
      </c>
      <c r="P243" s="252">
        <v>16.0</v>
      </c>
      <c r="Q243" s="252">
        <v>4005.0</v>
      </c>
      <c r="R243" s="251" t="s">
        <v>1099</v>
      </c>
      <c r="S243" s="251" t="s">
        <v>1122</v>
      </c>
      <c r="T243" s="251" t="s">
        <v>1101</v>
      </c>
      <c r="U243" s="252">
        <v>48.0</v>
      </c>
      <c r="V243" s="252">
        <v>14.0</v>
      </c>
      <c r="W243" s="252">
        <v>6.3</v>
      </c>
      <c r="X243" s="251" t="s">
        <v>1102</v>
      </c>
      <c r="Y243" s="251" t="s">
        <v>2426</v>
      </c>
      <c r="Z243" s="251" t="s">
        <v>2427</v>
      </c>
      <c r="AA243" s="254" t="s">
        <v>1105</v>
      </c>
      <c r="AB243" s="254" t="s">
        <v>1105</v>
      </c>
    </row>
    <row r="244">
      <c r="A244" s="252">
        <v>243.0</v>
      </c>
      <c r="B244" s="251" t="s">
        <v>2428</v>
      </c>
      <c r="C244" s="252">
        <v>1.0</v>
      </c>
      <c r="D244" s="251" t="s">
        <v>2429</v>
      </c>
      <c r="E244" s="251" t="s">
        <v>2017</v>
      </c>
      <c r="F244" s="251" t="s">
        <v>1215</v>
      </c>
      <c r="G244" s="253" t="s">
        <v>2430</v>
      </c>
      <c r="H244" s="252">
        <v>4.0</v>
      </c>
      <c r="I244" s="251" t="s">
        <v>1121</v>
      </c>
      <c r="J244" s="252">
        <v>10.0</v>
      </c>
      <c r="K244" s="252">
        <v>404.0</v>
      </c>
      <c r="L244" s="252">
        <v>80.0</v>
      </c>
      <c r="M244" s="252">
        <v>22960.0</v>
      </c>
      <c r="N244" s="252">
        <v>39950.0</v>
      </c>
      <c r="O244" s="252">
        <v>12.0</v>
      </c>
      <c r="P244" s="252">
        <v>128.0</v>
      </c>
      <c r="Q244" s="252">
        <v>4381.0</v>
      </c>
      <c r="R244" s="251" t="s">
        <v>1141</v>
      </c>
      <c r="S244" s="251" t="s">
        <v>1100</v>
      </c>
      <c r="T244" s="251" t="s">
        <v>1101</v>
      </c>
      <c r="U244" s="252">
        <v>16.0</v>
      </c>
      <c r="V244" s="252">
        <v>12.0</v>
      </c>
      <c r="W244" s="252">
        <v>4.7</v>
      </c>
      <c r="X244" s="251" t="s">
        <v>1102</v>
      </c>
      <c r="Y244" s="251" t="s">
        <v>2431</v>
      </c>
      <c r="Z244" s="251" t="s">
        <v>2432</v>
      </c>
      <c r="AA244" s="254" t="s">
        <v>1105</v>
      </c>
      <c r="AB244" s="254" t="s">
        <v>1105</v>
      </c>
    </row>
    <row r="245">
      <c r="A245" s="252">
        <v>244.0</v>
      </c>
      <c r="B245" s="251" t="s">
        <v>2433</v>
      </c>
      <c r="C245" s="252">
        <v>1.0</v>
      </c>
      <c r="D245" s="251" t="s">
        <v>2434</v>
      </c>
      <c r="E245" s="251" t="s">
        <v>1323</v>
      </c>
      <c r="F245" s="251" t="s">
        <v>1233</v>
      </c>
      <c r="G245" s="253" t="s">
        <v>2435</v>
      </c>
      <c r="H245" s="252">
        <v>6.0</v>
      </c>
      <c r="I245" s="251" t="s">
        <v>1131</v>
      </c>
      <c r="J245" s="252">
        <v>8.0</v>
      </c>
      <c r="K245" s="252">
        <v>531.0</v>
      </c>
      <c r="L245" s="252">
        <v>120.0</v>
      </c>
      <c r="M245" s="252">
        <v>22271.0</v>
      </c>
      <c r="N245" s="252">
        <v>30065.0</v>
      </c>
      <c r="O245" s="252">
        <v>8.0</v>
      </c>
      <c r="P245" s="252">
        <v>128.0</v>
      </c>
      <c r="Q245" s="252">
        <v>5961.0</v>
      </c>
      <c r="R245" s="251" t="s">
        <v>1112</v>
      </c>
      <c r="S245" s="251" t="s">
        <v>1122</v>
      </c>
      <c r="T245" s="251" t="s">
        <v>1101</v>
      </c>
      <c r="U245" s="252">
        <v>16.0</v>
      </c>
      <c r="V245" s="252">
        <v>32.0</v>
      </c>
      <c r="W245" s="252">
        <v>5.0</v>
      </c>
      <c r="X245" s="251" t="s">
        <v>1147</v>
      </c>
      <c r="Y245" s="251" t="s">
        <v>2436</v>
      </c>
      <c r="Z245" s="251" t="s">
        <v>2437</v>
      </c>
      <c r="AA245" s="254" t="s">
        <v>1105</v>
      </c>
      <c r="AB245" s="254" t="s">
        <v>1105</v>
      </c>
    </row>
    <row r="246">
      <c r="A246" s="252">
        <v>245.0</v>
      </c>
      <c r="B246" s="251" t="s">
        <v>2438</v>
      </c>
      <c r="C246" s="252">
        <v>1.0</v>
      </c>
      <c r="D246" s="251" t="s">
        <v>2439</v>
      </c>
      <c r="E246" s="251" t="s">
        <v>1347</v>
      </c>
      <c r="F246" s="251" t="s">
        <v>1129</v>
      </c>
      <c r="G246" s="253" t="s">
        <v>2440</v>
      </c>
      <c r="H246" s="252">
        <v>6.0</v>
      </c>
      <c r="I246" s="251" t="s">
        <v>1121</v>
      </c>
      <c r="J246" s="252">
        <v>10.0</v>
      </c>
      <c r="K246" s="252">
        <v>681.0</v>
      </c>
      <c r="L246" s="252">
        <v>100.0</v>
      </c>
      <c r="M246" s="252">
        <v>13247.0</v>
      </c>
      <c r="N246" s="252">
        <v>22387.0</v>
      </c>
      <c r="O246" s="252">
        <v>8.0</v>
      </c>
      <c r="P246" s="252">
        <v>128.0</v>
      </c>
      <c r="Q246" s="252">
        <v>3800.0</v>
      </c>
      <c r="R246" s="251" t="s">
        <v>1141</v>
      </c>
      <c r="S246" s="251" t="s">
        <v>1122</v>
      </c>
      <c r="T246" s="251" t="s">
        <v>1101</v>
      </c>
      <c r="U246" s="252">
        <v>14.0</v>
      </c>
      <c r="V246" s="252">
        <v>12.0</v>
      </c>
      <c r="W246" s="252">
        <v>6.0</v>
      </c>
      <c r="X246" s="251" t="s">
        <v>1132</v>
      </c>
      <c r="Y246" s="251" t="s">
        <v>2441</v>
      </c>
      <c r="Z246" s="251" t="s">
        <v>2442</v>
      </c>
      <c r="AA246" s="254" t="s">
        <v>1105</v>
      </c>
      <c r="AB246" s="254" t="s">
        <v>1105</v>
      </c>
    </row>
    <row r="247">
      <c r="A247" s="252">
        <v>246.0</v>
      </c>
      <c r="B247" s="251" t="s">
        <v>2443</v>
      </c>
      <c r="C247" s="252">
        <v>1.0</v>
      </c>
      <c r="D247" s="251" t="s">
        <v>2444</v>
      </c>
      <c r="E247" s="251" t="s">
        <v>2023</v>
      </c>
      <c r="F247" s="251" t="s">
        <v>1109</v>
      </c>
      <c r="G247" s="253" t="s">
        <v>2445</v>
      </c>
      <c r="H247" s="252">
        <v>2.0</v>
      </c>
      <c r="I247" s="251" t="s">
        <v>1098</v>
      </c>
      <c r="J247" s="252">
        <v>12.0</v>
      </c>
      <c r="K247" s="252">
        <v>63.0</v>
      </c>
      <c r="L247" s="252">
        <v>100.0</v>
      </c>
      <c r="M247" s="252">
        <v>18233.0</v>
      </c>
      <c r="N247" s="252">
        <v>32819.0</v>
      </c>
      <c r="O247" s="252">
        <v>4.0</v>
      </c>
      <c r="P247" s="252">
        <v>64.0</v>
      </c>
      <c r="Q247" s="252">
        <v>5559.0</v>
      </c>
      <c r="R247" s="251" t="s">
        <v>1112</v>
      </c>
      <c r="S247" s="251" t="s">
        <v>1100</v>
      </c>
      <c r="T247" s="251" t="s">
        <v>1123</v>
      </c>
      <c r="U247" s="252">
        <v>12.0</v>
      </c>
      <c r="V247" s="252">
        <v>16.0</v>
      </c>
      <c r="W247" s="252">
        <v>4.7</v>
      </c>
      <c r="X247" s="251" t="s">
        <v>1147</v>
      </c>
      <c r="Y247" s="251" t="s">
        <v>2446</v>
      </c>
      <c r="Z247" s="251" t="s">
        <v>2447</v>
      </c>
      <c r="AA247" s="254" t="s">
        <v>1105</v>
      </c>
      <c r="AB247" s="254" t="s">
        <v>1105</v>
      </c>
    </row>
    <row r="248">
      <c r="A248" s="252">
        <v>247.0</v>
      </c>
      <c r="B248" s="251" t="s">
        <v>2448</v>
      </c>
      <c r="C248" s="252">
        <v>1.0</v>
      </c>
      <c r="D248" s="251" t="s">
        <v>2449</v>
      </c>
      <c r="E248" s="251" t="s">
        <v>2450</v>
      </c>
      <c r="F248" s="251" t="s">
        <v>1129</v>
      </c>
      <c r="G248" s="253" t="s">
        <v>2451</v>
      </c>
      <c r="H248" s="252">
        <v>6.0</v>
      </c>
      <c r="I248" s="251" t="s">
        <v>1111</v>
      </c>
      <c r="J248" s="252">
        <v>10.0</v>
      </c>
      <c r="K248" s="252">
        <v>741.0</v>
      </c>
      <c r="L248" s="252">
        <v>80.0</v>
      </c>
      <c r="M248" s="252">
        <v>12063.0</v>
      </c>
      <c r="N248" s="252">
        <v>16646.0</v>
      </c>
      <c r="O248" s="252">
        <v>6.0</v>
      </c>
      <c r="P248" s="252">
        <v>128.0</v>
      </c>
      <c r="Q248" s="252">
        <v>2876.0</v>
      </c>
      <c r="R248" s="251" t="s">
        <v>1112</v>
      </c>
      <c r="S248" s="251" t="s">
        <v>1122</v>
      </c>
      <c r="T248" s="251" t="s">
        <v>1101</v>
      </c>
      <c r="U248" s="252">
        <v>12.0</v>
      </c>
      <c r="V248" s="252">
        <v>48.0</v>
      </c>
      <c r="W248" s="252">
        <v>5.5</v>
      </c>
      <c r="X248" s="251" t="s">
        <v>1102</v>
      </c>
      <c r="Y248" s="251" t="s">
        <v>2452</v>
      </c>
      <c r="Z248" s="251" t="s">
        <v>2453</v>
      </c>
      <c r="AA248" s="254" t="s">
        <v>1105</v>
      </c>
      <c r="AB248" s="254" t="s">
        <v>1105</v>
      </c>
    </row>
    <row r="249">
      <c r="A249" s="252">
        <v>248.0</v>
      </c>
      <c r="B249" s="251" t="s">
        <v>2454</v>
      </c>
      <c r="C249" s="252">
        <v>1.0</v>
      </c>
      <c r="D249" s="251" t="s">
        <v>2455</v>
      </c>
      <c r="E249" s="251" t="s">
        <v>2399</v>
      </c>
      <c r="F249" s="251" t="s">
        <v>1215</v>
      </c>
      <c r="G249" s="253" t="s">
        <v>2456</v>
      </c>
      <c r="H249" s="252">
        <v>2.0</v>
      </c>
      <c r="I249" s="251" t="s">
        <v>1098</v>
      </c>
      <c r="J249" s="252">
        <v>8.0</v>
      </c>
      <c r="K249" s="252">
        <v>390.0</v>
      </c>
      <c r="L249" s="252">
        <v>80.0</v>
      </c>
      <c r="M249" s="252">
        <v>4136.0</v>
      </c>
      <c r="N249" s="252">
        <v>7196.0</v>
      </c>
      <c r="O249" s="252">
        <v>6.0</v>
      </c>
      <c r="P249" s="252">
        <v>128.0</v>
      </c>
      <c r="Q249" s="252">
        <v>5192.0</v>
      </c>
      <c r="R249" s="251" t="s">
        <v>1099</v>
      </c>
      <c r="S249" s="251" t="s">
        <v>1100</v>
      </c>
      <c r="T249" s="251" t="s">
        <v>1123</v>
      </c>
      <c r="U249" s="252">
        <v>12.0</v>
      </c>
      <c r="V249" s="252">
        <v>16.0</v>
      </c>
      <c r="W249" s="252">
        <v>6.3</v>
      </c>
      <c r="X249" s="251" t="s">
        <v>1147</v>
      </c>
      <c r="Y249" s="251" t="s">
        <v>2457</v>
      </c>
      <c r="Z249" s="251" t="s">
        <v>2458</v>
      </c>
      <c r="AA249" s="254" t="s">
        <v>1105</v>
      </c>
      <c r="AB249" s="254" t="s">
        <v>1105</v>
      </c>
    </row>
    <row r="250">
      <c r="A250" s="252">
        <v>249.0</v>
      </c>
      <c r="B250" s="251" t="s">
        <v>2459</v>
      </c>
      <c r="C250" s="252">
        <v>1.0</v>
      </c>
      <c r="D250" s="251" t="s">
        <v>2460</v>
      </c>
      <c r="E250" s="251" t="s">
        <v>1958</v>
      </c>
      <c r="F250" s="251" t="s">
        <v>1215</v>
      </c>
      <c r="G250" s="253" t="s">
        <v>2461</v>
      </c>
      <c r="H250" s="252">
        <v>5.0</v>
      </c>
      <c r="I250" s="251" t="s">
        <v>1098</v>
      </c>
      <c r="J250" s="252">
        <v>12.0</v>
      </c>
      <c r="K250" s="252">
        <v>222.0</v>
      </c>
      <c r="L250" s="252">
        <v>100.0</v>
      </c>
      <c r="M250" s="252">
        <v>10957.0</v>
      </c>
      <c r="N250" s="252">
        <v>15558.0</v>
      </c>
      <c r="O250" s="252">
        <v>2.0</v>
      </c>
      <c r="P250" s="252">
        <v>512.0</v>
      </c>
      <c r="Q250" s="252">
        <v>3604.0</v>
      </c>
      <c r="R250" s="251" t="s">
        <v>1141</v>
      </c>
      <c r="S250" s="251" t="s">
        <v>1122</v>
      </c>
      <c r="T250" s="251" t="s">
        <v>1101</v>
      </c>
      <c r="U250" s="252">
        <v>48.0</v>
      </c>
      <c r="V250" s="252">
        <v>12.0</v>
      </c>
      <c r="W250" s="252">
        <v>6.3</v>
      </c>
      <c r="X250" s="251" t="s">
        <v>1113</v>
      </c>
      <c r="Y250" s="251" t="s">
        <v>2462</v>
      </c>
      <c r="Z250" s="251" t="s">
        <v>2463</v>
      </c>
      <c r="AA250" s="254" t="s">
        <v>1105</v>
      </c>
      <c r="AB250" s="254" t="s">
        <v>1105</v>
      </c>
    </row>
    <row r="251">
      <c r="A251" s="252">
        <v>250.0</v>
      </c>
      <c r="B251" s="251" t="s">
        <v>2464</v>
      </c>
      <c r="C251" s="252">
        <v>1.0</v>
      </c>
      <c r="D251" s="251" t="s">
        <v>2465</v>
      </c>
      <c r="E251" s="251" t="s">
        <v>1502</v>
      </c>
      <c r="F251" s="251" t="s">
        <v>1153</v>
      </c>
      <c r="G251" s="253" t="s">
        <v>2466</v>
      </c>
      <c r="H251" s="252">
        <v>4.0</v>
      </c>
      <c r="I251" s="251" t="s">
        <v>1140</v>
      </c>
      <c r="J251" s="252">
        <v>10.0</v>
      </c>
      <c r="K251" s="252">
        <v>433.0</v>
      </c>
      <c r="L251" s="252">
        <v>120.0</v>
      </c>
      <c r="M251" s="252">
        <v>9469.0</v>
      </c>
      <c r="N251" s="252">
        <v>15907.0</v>
      </c>
      <c r="O251" s="252">
        <v>4.0</v>
      </c>
      <c r="P251" s="252">
        <v>512.0</v>
      </c>
      <c r="Q251" s="252">
        <v>4850.0</v>
      </c>
      <c r="R251" s="251" t="s">
        <v>1141</v>
      </c>
      <c r="S251" s="251" t="s">
        <v>1122</v>
      </c>
      <c r="T251" s="251" t="s">
        <v>1101</v>
      </c>
      <c r="U251" s="252">
        <v>32.0</v>
      </c>
      <c r="V251" s="252">
        <v>32.0</v>
      </c>
      <c r="W251" s="252">
        <v>6.0</v>
      </c>
      <c r="X251" s="251" t="s">
        <v>1147</v>
      </c>
      <c r="Y251" s="251" t="s">
        <v>2467</v>
      </c>
      <c r="Z251" s="251" t="s">
        <v>2468</v>
      </c>
      <c r="AA251" s="254" t="s">
        <v>1105</v>
      </c>
      <c r="AB251" s="254" t="s">
        <v>1105</v>
      </c>
    </row>
    <row r="252">
      <c r="A252" s="252">
        <v>251.0</v>
      </c>
      <c r="B252" s="251" t="s">
        <v>2469</v>
      </c>
      <c r="C252" s="252">
        <v>1.0</v>
      </c>
      <c r="D252" s="251" t="s">
        <v>2470</v>
      </c>
      <c r="E252" s="251" t="s">
        <v>1728</v>
      </c>
      <c r="F252" s="251" t="s">
        <v>1202</v>
      </c>
      <c r="G252" s="253" t="s">
        <v>2471</v>
      </c>
      <c r="H252" s="252">
        <v>4.0</v>
      </c>
      <c r="I252" s="251" t="s">
        <v>1121</v>
      </c>
      <c r="J252" s="252">
        <v>12.0</v>
      </c>
      <c r="K252" s="252">
        <v>102.0</v>
      </c>
      <c r="L252" s="252">
        <v>100.0</v>
      </c>
      <c r="M252" s="252">
        <v>13114.0</v>
      </c>
      <c r="N252" s="252">
        <v>17572.0</v>
      </c>
      <c r="O252" s="252">
        <v>12.0</v>
      </c>
      <c r="P252" s="252">
        <v>32.0</v>
      </c>
      <c r="Q252" s="252">
        <v>5479.0</v>
      </c>
      <c r="R252" s="251" t="s">
        <v>1141</v>
      </c>
      <c r="S252" s="251" t="s">
        <v>1100</v>
      </c>
      <c r="T252" s="251" t="s">
        <v>1021</v>
      </c>
      <c r="U252" s="252">
        <v>12.0</v>
      </c>
      <c r="V252" s="252">
        <v>16.0</v>
      </c>
      <c r="W252" s="252">
        <v>4.7</v>
      </c>
      <c r="X252" s="251" t="s">
        <v>1147</v>
      </c>
      <c r="Y252" s="251" t="s">
        <v>2472</v>
      </c>
      <c r="Z252" s="251" t="s">
        <v>2473</v>
      </c>
      <c r="AA252" s="254" t="s">
        <v>1105</v>
      </c>
      <c r="AB252" s="254" t="s">
        <v>1105</v>
      </c>
    </row>
    <row r="253">
      <c r="A253" s="252">
        <v>252.0</v>
      </c>
      <c r="B253" s="251" t="s">
        <v>2474</v>
      </c>
      <c r="C253" s="252">
        <v>1.0</v>
      </c>
      <c r="D253" s="251" t="s">
        <v>2475</v>
      </c>
      <c r="E253" s="251" t="s">
        <v>1905</v>
      </c>
      <c r="F253" s="251" t="s">
        <v>1096</v>
      </c>
      <c r="G253" s="253" t="s">
        <v>2476</v>
      </c>
      <c r="H253" s="252">
        <v>2.0</v>
      </c>
      <c r="I253" s="251" t="s">
        <v>1121</v>
      </c>
      <c r="J253" s="252">
        <v>10.0</v>
      </c>
      <c r="K253" s="252">
        <v>331.0</v>
      </c>
      <c r="L253" s="252">
        <v>80.0</v>
      </c>
      <c r="M253" s="252">
        <v>6962.0</v>
      </c>
      <c r="N253" s="252">
        <v>11835.0</v>
      </c>
      <c r="O253" s="252">
        <v>2.0</v>
      </c>
      <c r="P253" s="252">
        <v>128.0</v>
      </c>
      <c r="Q253" s="252">
        <v>6310.0</v>
      </c>
      <c r="R253" s="251" t="s">
        <v>1141</v>
      </c>
      <c r="S253" s="251" t="s">
        <v>1100</v>
      </c>
      <c r="T253" s="251" t="s">
        <v>1101</v>
      </c>
      <c r="U253" s="252">
        <v>14.0</v>
      </c>
      <c r="V253" s="252">
        <v>32.0</v>
      </c>
      <c r="W253" s="252">
        <v>4.7</v>
      </c>
      <c r="X253" s="251" t="s">
        <v>1102</v>
      </c>
      <c r="Y253" s="251" t="s">
        <v>2477</v>
      </c>
      <c r="Z253" s="251" t="s">
        <v>2478</v>
      </c>
      <c r="AA253" s="254" t="s">
        <v>1105</v>
      </c>
      <c r="AB253" s="254" t="s">
        <v>1105</v>
      </c>
    </row>
    <row r="254">
      <c r="A254" s="252">
        <v>253.0</v>
      </c>
      <c r="B254" s="251" t="s">
        <v>2479</v>
      </c>
      <c r="C254" s="252">
        <v>1.0</v>
      </c>
      <c r="D254" s="251" t="s">
        <v>2480</v>
      </c>
      <c r="E254" s="251" t="s">
        <v>1428</v>
      </c>
      <c r="F254" s="251" t="s">
        <v>1138</v>
      </c>
      <c r="G254" s="253" t="s">
        <v>2481</v>
      </c>
      <c r="H254" s="252">
        <v>2.0</v>
      </c>
      <c r="I254" s="251" t="s">
        <v>1131</v>
      </c>
      <c r="J254" s="252">
        <v>10.0</v>
      </c>
      <c r="K254" s="252">
        <v>798.0</v>
      </c>
      <c r="L254" s="252">
        <v>100.0</v>
      </c>
      <c r="M254" s="252">
        <v>5285.0</v>
      </c>
      <c r="N254" s="252">
        <v>9565.0</v>
      </c>
      <c r="O254" s="252">
        <v>4.0</v>
      </c>
      <c r="P254" s="252">
        <v>64.0</v>
      </c>
      <c r="Q254" s="252">
        <v>6492.0</v>
      </c>
      <c r="R254" s="251" t="s">
        <v>1112</v>
      </c>
      <c r="S254" s="251" t="s">
        <v>1122</v>
      </c>
      <c r="T254" s="251" t="s">
        <v>1101</v>
      </c>
      <c r="U254" s="252">
        <v>14.0</v>
      </c>
      <c r="V254" s="252">
        <v>16.0</v>
      </c>
      <c r="W254" s="252">
        <v>5.2</v>
      </c>
      <c r="X254" s="251" t="s">
        <v>1113</v>
      </c>
      <c r="Y254" s="251" t="s">
        <v>2482</v>
      </c>
      <c r="Z254" s="251" t="s">
        <v>2483</v>
      </c>
      <c r="AA254" s="254" t="s">
        <v>1105</v>
      </c>
      <c r="AB254" s="254" t="s">
        <v>1105</v>
      </c>
    </row>
    <row r="255">
      <c r="A255" s="252">
        <v>254.0</v>
      </c>
      <c r="B255" s="251" t="s">
        <v>2484</v>
      </c>
      <c r="C255" s="252">
        <v>1.0</v>
      </c>
      <c r="D255" s="251" t="s">
        <v>2485</v>
      </c>
      <c r="E255" s="251" t="s">
        <v>1118</v>
      </c>
      <c r="F255" s="251" t="s">
        <v>1119</v>
      </c>
      <c r="G255" s="253" t="s">
        <v>2486</v>
      </c>
      <c r="H255" s="252">
        <v>2.0</v>
      </c>
      <c r="I255" s="251" t="s">
        <v>1121</v>
      </c>
      <c r="J255" s="252">
        <v>8.0</v>
      </c>
      <c r="K255" s="252">
        <v>817.0</v>
      </c>
      <c r="L255" s="252">
        <v>120.0</v>
      </c>
      <c r="M255" s="252">
        <v>22896.0</v>
      </c>
      <c r="N255" s="252">
        <v>28848.0</v>
      </c>
      <c r="O255" s="252">
        <v>4.0</v>
      </c>
      <c r="P255" s="252">
        <v>64.0</v>
      </c>
      <c r="Q255" s="252">
        <v>2130.0</v>
      </c>
      <c r="R255" s="251" t="s">
        <v>1141</v>
      </c>
      <c r="S255" s="251" t="s">
        <v>1100</v>
      </c>
      <c r="T255" s="251" t="s">
        <v>1123</v>
      </c>
      <c r="U255" s="252">
        <v>14.0</v>
      </c>
      <c r="V255" s="252">
        <v>14.0</v>
      </c>
      <c r="W255" s="252">
        <v>6.3</v>
      </c>
      <c r="X255" s="251" t="s">
        <v>1113</v>
      </c>
      <c r="Y255" s="251" t="s">
        <v>2487</v>
      </c>
      <c r="Z255" s="251" t="s">
        <v>2488</v>
      </c>
      <c r="AA255" s="254" t="s">
        <v>1105</v>
      </c>
      <c r="AB255" s="254" t="s">
        <v>1105</v>
      </c>
    </row>
    <row r="256">
      <c r="A256" s="252">
        <v>255.0</v>
      </c>
      <c r="B256" s="251" t="s">
        <v>2489</v>
      </c>
      <c r="C256" s="252">
        <v>1.0</v>
      </c>
      <c r="D256" s="251" t="s">
        <v>2490</v>
      </c>
      <c r="E256" s="251" t="s">
        <v>1312</v>
      </c>
      <c r="F256" s="251" t="s">
        <v>1202</v>
      </c>
      <c r="G256" s="253" t="s">
        <v>2491</v>
      </c>
      <c r="H256" s="252">
        <v>5.0</v>
      </c>
      <c r="I256" s="251" t="s">
        <v>1140</v>
      </c>
      <c r="J256" s="252">
        <v>8.0</v>
      </c>
      <c r="K256" s="252">
        <v>529.0</v>
      </c>
      <c r="L256" s="252">
        <v>100.0</v>
      </c>
      <c r="M256" s="252">
        <v>6456.0</v>
      </c>
      <c r="N256" s="252">
        <v>7747.0</v>
      </c>
      <c r="O256" s="252">
        <v>4.0</v>
      </c>
      <c r="P256" s="252">
        <v>512.0</v>
      </c>
      <c r="Q256" s="252">
        <v>5641.0</v>
      </c>
      <c r="R256" s="251" t="s">
        <v>1141</v>
      </c>
      <c r="S256" s="251" t="s">
        <v>1122</v>
      </c>
      <c r="T256" s="251" t="s">
        <v>1101</v>
      </c>
      <c r="U256" s="252">
        <v>16.0</v>
      </c>
      <c r="V256" s="252">
        <v>48.0</v>
      </c>
      <c r="W256" s="252">
        <v>5.0</v>
      </c>
      <c r="X256" s="251" t="s">
        <v>1132</v>
      </c>
      <c r="Y256" s="251" t="s">
        <v>2492</v>
      </c>
      <c r="Z256" s="251" t="s">
        <v>2493</v>
      </c>
      <c r="AA256" s="254" t="s">
        <v>1105</v>
      </c>
      <c r="AB256" s="254" t="s">
        <v>1105</v>
      </c>
    </row>
    <row r="257">
      <c r="A257" s="252">
        <v>256.0</v>
      </c>
      <c r="B257" s="251" t="s">
        <v>2494</v>
      </c>
      <c r="C257" s="252">
        <v>1.0</v>
      </c>
      <c r="D257" s="251" t="s">
        <v>2495</v>
      </c>
      <c r="E257" s="251" t="s">
        <v>1581</v>
      </c>
      <c r="F257" s="251" t="s">
        <v>1109</v>
      </c>
      <c r="G257" s="253" t="s">
        <v>2496</v>
      </c>
      <c r="H257" s="252">
        <v>4.0</v>
      </c>
      <c r="I257" s="251" t="s">
        <v>1111</v>
      </c>
      <c r="J257" s="252">
        <v>10.0</v>
      </c>
      <c r="K257" s="252">
        <v>596.0</v>
      </c>
      <c r="L257" s="252">
        <v>100.0</v>
      </c>
      <c r="M257" s="252">
        <v>19678.0</v>
      </c>
      <c r="N257" s="252">
        <v>30500.0</v>
      </c>
      <c r="O257" s="252">
        <v>6.0</v>
      </c>
      <c r="P257" s="252">
        <v>16.0</v>
      </c>
      <c r="Q257" s="252">
        <v>3185.0</v>
      </c>
      <c r="R257" s="251" t="s">
        <v>1099</v>
      </c>
      <c r="S257" s="251" t="s">
        <v>1100</v>
      </c>
      <c r="T257" s="251" t="s">
        <v>1101</v>
      </c>
      <c r="U257" s="252">
        <v>32.0</v>
      </c>
      <c r="V257" s="252">
        <v>48.0</v>
      </c>
      <c r="W257" s="252">
        <v>5.2</v>
      </c>
      <c r="X257" s="251" t="s">
        <v>1147</v>
      </c>
      <c r="Y257" s="251" t="s">
        <v>2497</v>
      </c>
      <c r="Z257" s="251" t="s">
        <v>2498</v>
      </c>
      <c r="AA257" s="254" t="s">
        <v>1105</v>
      </c>
      <c r="AB257" s="254" t="s">
        <v>1105</v>
      </c>
    </row>
    <row r="258">
      <c r="A258" s="252">
        <v>257.0</v>
      </c>
      <c r="B258" s="251" t="s">
        <v>2499</v>
      </c>
      <c r="C258" s="252">
        <v>1.0</v>
      </c>
      <c r="D258" s="251" t="s">
        <v>2500</v>
      </c>
      <c r="E258" s="251" t="s">
        <v>1905</v>
      </c>
      <c r="F258" s="251" t="s">
        <v>1096</v>
      </c>
      <c r="G258" s="253" t="s">
        <v>2501</v>
      </c>
      <c r="H258" s="252">
        <v>2.0</v>
      </c>
      <c r="I258" s="251" t="s">
        <v>1121</v>
      </c>
      <c r="J258" s="252">
        <v>12.0</v>
      </c>
      <c r="K258" s="252">
        <v>28.0</v>
      </c>
      <c r="L258" s="252">
        <v>100.0</v>
      </c>
      <c r="M258" s="252">
        <v>8908.0</v>
      </c>
      <c r="N258" s="252">
        <v>11135.0</v>
      </c>
      <c r="O258" s="252">
        <v>2.0</v>
      </c>
      <c r="P258" s="252">
        <v>512.0</v>
      </c>
      <c r="Q258" s="252">
        <v>2012.0</v>
      </c>
      <c r="R258" s="251" t="s">
        <v>1141</v>
      </c>
      <c r="S258" s="251" t="s">
        <v>1122</v>
      </c>
      <c r="T258" s="251" t="s">
        <v>1101</v>
      </c>
      <c r="U258" s="252">
        <v>48.0</v>
      </c>
      <c r="V258" s="252">
        <v>14.0</v>
      </c>
      <c r="W258" s="252">
        <v>5.2</v>
      </c>
      <c r="X258" s="251" t="s">
        <v>1132</v>
      </c>
      <c r="Y258" s="251" t="s">
        <v>2502</v>
      </c>
      <c r="Z258" s="251" t="s">
        <v>2503</v>
      </c>
      <c r="AA258" s="254" t="s">
        <v>1105</v>
      </c>
      <c r="AB258" s="254" t="s">
        <v>1105</v>
      </c>
    </row>
    <row r="259">
      <c r="A259" s="252">
        <v>258.0</v>
      </c>
      <c r="B259" s="251" t="s">
        <v>2504</v>
      </c>
      <c r="C259" s="252">
        <v>1.0</v>
      </c>
      <c r="D259" s="251" t="s">
        <v>2505</v>
      </c>
      <c r="E259" s="251" t="s">
        <v>1486</v>
      </c>
      <c r="F259" s="251" t="s">
        <v>1109</v>
      </c>
      <c r="G259" s="253" t="s">
        <v>2506</v>
      </c>
      <c r="H259" s="252">
        <v>2.0</v>
      </c>
      <c r="I259" s="251" t="s">
        <v>1131</v>
      </c>
      <c r="J259" s="252">
        <v>12.0</v>
      </c>
      <c r="K259" s="252">
        <v>506.0</v>
      </c>
      <c r="L259" s="252">
        <v>80.0</v>
      </c>
      <c r="M259" s="252">
        <v>22296.0</v>
      </c>
      <c r="N259" s="252">
        <v>35896.0</v>
      </c>
      <c r="O259" s="252">
        <v>12.0</v>
      </c>
      <c r="P259" s="252">
        <v>64.0</v>
      </c>
      <c r="Q259" s="252">
        <v>3270.0</v>
      </c>
      <c r="R259" s="251" t="s">
        <v>1112</v>
      </c>
      <c r="S259" s="251" t="s">
        <v>1122</v>
      </c>
      <c r="T259" s="251" t="s">
        <v>1123</v>
      </c>
      <c r="U259" s="252">
        <v>48.0</v>
      </c>
      <c r="V259" s="252">
        <v>48.0</v>
      </c>
      <c r="W259" s="252">
        <v>5.2</v>
      </c>
      <c r="X259" s="251" t="s">
        <v>1113</v>
      </c>
      <c r="Y259" s="251" t="s">
        <v>2507</v>
      </c>
      <c r="Z259" s="251" t="s">
        <v>2508</v>
      </c>
      <c r="AA259" s="254" t="s">
        <v>1105</v>
      </c>
      <c r="AB259" s="254" t="s">
        <v>1105</v>
      </c>
    </row>
    <row r="260">
      <c r="A260" s="252">
        <v>259.0</v>
      </c>
      <c r="B260" s="251" t="s">
        <v>2509</v>
      </c>
      <c r="C260" s="252">
        <v>1.0</v>
      </c>
      <c r="D260" s="251" t="s">
        <v>2510</v>
      </c>
      <c r="E260" s="251" t="s">
        <v>2511</v>
      </c>
      <c r="F260" s="251" t="s">
        <v>1202</v>
      </c>
      <c r="G260" s="253" t="s">
        <v>2512</v>
      </c>
      <c r="H260" s="252">
        <v>3.0</v>
      </c>
      <c r="I260" s="251" t="s">
        <v>1111</v>
      </c>
      <c r="J260" s="252">
        <v>10.0</v>
      </c>
      <c r="K260" s="252">
        <v>486.0</v>
      </c>
      <c r="L260" s="252">
        <v>120.0</v>
      </c>
      <c r="M260" s="252">
        <v>21503.0</v>
      </c>
      <c r="N260" s="252">
        <v>26018.0</v>
      </c>
      <c r="O260" s="252">
        <v>4.0</v>
      </c>
      <c r="P260" s="252">
        <v>8.0</v>
      </c>
      <c r="Q260" s="252">
        <v>4729.0</v>
      </c>
      <c r="R260" s="251" t="s">
        <v>1141</v>
      </c>
      <c r="S260" s="251" t="s">
        <v>1122</v>
      </c>
      <c r="T260" s="251" t="s">
        <v>1021</v>
      </c>
      <c r="U260" s="252">
        <v>32.0</v>
      </c>
      <c r="V260" s="252">
        <v>32.0</v>
      </c>
      <c r="W260" s="252">
        <v>4.7</v>
      </c>
      <c r="X260" s="251" t="s">
        <v>1102</v>
      </c>
      <c r="Y260" s="251" t="s">
        <v>2513</v>
      </c>
      <c r="Z260" s="251" t="s">
        <v>2514</v>
      </c>
      <c r="AA260" s="254" t="s">
        <v>1105</v>
      </c>
      <c r="AB260" s="254" t="s">
        <v>1105</v>
      </c>
    </row>
    <row r="261">
      <c r="A261" s="252">
        <v>260.0</v>
      </c>
      <c r="B261" s="251" t="s">
        <v>2515</v>
      </c>
      <c r="C261" s="252">
        <v>1.0</v>
      </c>
      <c r="D261" s="251" t="s">
        <v>2516</v>
      </c>
      <c r="E261" s="251" t="s">
        <v>1306</v>
      </c>
      <c r="F261" s="251" t="s">
        <v>1129</v>
      </c>
      <c r="G261" s="253" t="s">
        <v>2517</v>
      </c>
      <c r="H261" s="252">
        <v>6.0</v>
      </c>
      <c r="I261" s="251" t="s">
        <v>1121</v>
      </c>
      <c r="J261" s="252">
        <v>8.0</v>
      </c>
      <c r="K261" s="252">
        <v>333.0</v>
      </c>
      <c r="L261" s="252">
        <v>120.0</v>
      </c>
      <c r="M261" s="252">
        <v>12221.0</v>
      </c>
      <c r="N261" s="252">
        <v>16864.0</v>
      </c>
      <c r="O261" s="252">
        <v>8.0</v>
      </c>
      <c r="P261" s="252">
        <v>32.0</v>
      </c>
      <c r="Q261" s="252">
        <v>5850.0</v>
      </c>
      <c r="R261" s="251" t="s">
        <v>1099</v>
      </c>
      <c r="S261" s="251" t="s">
        <v>1122</v>
      </c>
      <c r="T261" s="251" t="s">
        <v>1123</v>
      </c>
      <c r="U261" s="252">
        <v>48.0</v>
      </c>
      <c r="V261" s="252">
        <v>48.0</v>
      </c>
      <c r="W261" s="252">
        <v>5.5</v>
      </c>
      <c r="X261" s="251" t="s">
        <v>1132</v>
      </c>
      <c r="Y261" s="251" t="s">
        <v>2518</v>
      </c>
      <c r="Z261" s="251" t="s">
        <v>2519</v>
      </c>
      <c r="AA261" s="254" t="s">
        <v>1105</v>
      </c>
      <c r="AB261" s="254" t="s">
        <v>1105</v>
      </c>
    </row>
    <row r="262">
      <c r="A262" s="252">
        <v>261.0</v>
      </c>
      <c r="B262" s="251" t="s">
        <v>2520</v>
      </c>
      <c r="C262" s="252">
        <v>1.0</v>
      </c>
      <c r="D262" s="251" t="s">
        <v>2521</v>
      </c>
      <c r="E262" s="251" t="s">
        <v>1842</v>
      </c>
      <c r="F262" s="251" t="s">
        <v>1160</v>
      </c>
      <c r="G262" s="253" t="s">
        <v>2522</v>
      </c>
      <c r="H262" s="252">
        <v>4.0</v>
      </c>
      <c r="I262" s="251" t="s">
        <v>1121</v>
      </c>
      <c r="J262" s="252">
        <v>8.0</v>
      </c>
      <c r="K262" s="252">
        <v>624.0</v>
      </c>
      <c r="L262" s="252">
        <v>120.0</v>
      </c>
      <c r="M262" s="252">
        <v>8954.0</v>
      </c>
      <c r="N262" s="252">
        <v>14147.0</v>
      </c>
      <c r="O262" s="252">
        <v>8.0</v>
      </c>
      <c r="P262" s="252">
        <v>16.0</v>
      </c>
      <c r="Q262" s="252">
        <v>4869.0</v>
      </c>
      <c r="R262" s="251" t="s">
        <v>1099</v>
      </c>
      <c r="S262" s="251" t="s">
        <v>1100</v>
      </c>
      <c r="T262" s="251" t="s">
        <v>1021</v>
      </c>
      <c r="U262" s="252">
        <v>14.0</v>
      </c>
      <c r="V262" s="252">
        <v>14.0</v>
      </c>
      <c r="W262" s="252">
        <v>5.0</v>
      </c>
      <c r="X262" s="251" t="s">
        <v>1147</v>
      </c>
      <c r="Y262" s="251" t="s">
        <v>2523</v>
      </c>
      <c r="Z262" s="251" t="s">
        <v>2524</v>
      </c>
      <c r="AA262" s="254" t="s">
        <v>1105</v>
      </c>
      <c r="AB262" s="254" t="s">
        <v>1105</v>
      </c>
    </row>
    <row r="263">
      <c r="A263" s="252">
        <v>262.0</v>
      </c>
      <c r="B263" s="251" t="s">
        <v>2525</v>
      </c>
      <c r="C263" s="252">
        <v>1.0</v>
      </c>
      <c r="D263" s="251" t="s">
        <v>2526</v>
      </c>
      <c r="E263" s="251" t="s">
        <v>1250</v>
      </c>
      <c r="F263" s="251" t="s">
        <v>1153</v>
      </c>
      <c r="G263" s="253" t="s">
        <v>2527</v>
      </c>
      <c r="H263" s="252">
        <v>4.0</v>
      </c>
      <c r="I263" s="251" t="s">
        <v>1140</v>
      </c>
      <c r="J263" s="252">
        <v>10.0</v>
      </c>
      <c r="K263" s="252">
        <v>842.0</v>
      </c>
      <c r="L263" s="252">
        <v>80.0</v>
      </c>
      <c r="M263" s="252">
        <v>4159.0</v>
      </c>
      <c r="N263" s="252">
        <v>5198.0</v>
      </c>
      <c r="O263" s="252">
        <v>2.0</v>
      </c>
      <c r="P263" s="252">
        <v>8.0</v>
      </c>
      <c r="Q263" s="252">
        <v>3679.0</v>
      </c>
      <c r="R263" s="251" t="s">
        <v>1099</v>
      </c>
      <c r="S263" s="251" t="s">
        <v>1122</v>
      </c>
      <c r="T263" s="251" t="s">
        <v>1021</v>
      </c>
      <c r="U263" s="252">
        <v>12.0</v>
      </c>
      <c r="V263" s="252">
        <v>32.0</v>
      </c>
      <c r="W263" s="252">
        <v>5.0</v>
      </c>
      <c r="X263" s="251" t="s">
        <v>1113</v>
      </c>
      <c r="Y263" s="251" t="s">
        <v>2528</v>
      </c>
      <c r="Z263" s="251" t="s">
        <v>2529</v>
      </c>
      <c r="AA263" s="254" t="s">
        <v>1105</v>
      </c>
      <c r="AB263" s="254" t="s">
        <v>1105</v>
      </c>
    </row>
    <row r="264">
      <c r="A264" s="252">
        <v>263.0</v>
      </c>
      <c r="B264" s="251" t="s">
        <v>2530</v>
      </c>
      <c r="C264" s="252">
        <v>1.0</v>
      </c>
      <c r="D264" s="251" t="s">
        <v>2531</v>
      </c>
      <c r="E264" s="251" t="s">
        <v>1452</v>
      </c>
      <c r="F264" s="251" t="s">
        <v>1119</v>
      </c>
      <c r="G264" s="253" t="s">
        <v>2532</v>
      </c>
      <c r="H264" s="252">
        <v>4.0</v>
      </c>
      <c r="I264" s="251" t="s">
        <v>1131</v>
      </c>
      <c r="J264" s="252">
        <v>10.0</v>
      </c>
      <c r="K264" s="252">
        <v>58.0</v>
      </c>
      <c r="L264" s="252">
        <v>80.0</v>
      </c>
      <c r="M264" s="252">
        <v>12438.0</v>
      </c>
      <c r="N264" s="252">
        <v>17413.0</v>
      </c>
      <c r="O264" s="252">
        <v>2.0</v>
      </c>
      <c r="P264" s="252">
        <v>64.0</v>
      </c>
      <c r="Q264" s="252">
        <v>4683.0</v>
      </c>
      <c r="R264" s="251" t="s">
        <v>1112</v>
      </c>
      <c r="S264" s="251" t="s">
        <v>1100</v>
      </c>
      <c r="T264" s="251" t="s">
        <v>1021</v>
      </c>
      <c r="U264" s="252">
        <v>12.0</v>
      </c>
      <c r="V264" s="252">
        <v>48.0</v>
      </c>
      <c r="W264" s="252">
        <v>5.2</v>
      </c>
      <c r="X264" s="251" t="s">
        <v>1113</v>
      </c>
      <c r="Y264" s="251" t="s">
        <v>2533</v>
      </c>
      <c r="Z264" s="251" t="s">
        <v>2534</v>
      </c>
      <c r="AA264" s="254" t="s">
        <v>1105</v>
      </c>
      <c r="AB264" s="254" t="s">
        <v>1105</v>
      </c>
    </row>
    <row r="265">
      <c r="A265" s="252">
        <v>264.0</v>
      </c>
      <c r="B265" s="251" t="s">
        <v>2535</v>
      </c>
      <c r="C265" s="252">
        <v>1.0</v>
      </c>
      <c r="D265" s="251" t="s">
        <v>2536</v>
      </c>
      <c r="E265" s="251" t="s">
        <v>1848</v>
      </c>
      <c r="F265" s="251" t="s">
        <v>1233</v>
      </c>
      <c r="G265" s="253" t="s">
        <v>2537</v>
      </c>
      <c r="H265" s="252">
        <v>6.0</v>
      </c>
      <c r="I265" s="251" t="s">
        <v>1098</v>
      </c>
      <c r="J265" s="252">
        <v>12.0</v>
      </c>
      <c r="K265" s="252">
        <v>171.0</v>
      </c>
      <c r="L265" s="252">
        <v>120.0</v>
      </c>
      <c r="M265" s="252">
        <v>18422.0</v>
      </c>
      <c r="N265" s="252">
        <v>27817.0</v>
      </c>
      <c r="O265" s="252">
        <v>12.0</v>
      </c>
      <c r="P265" s="252">
        <v>128.0</v>
      </c>
      <c r="Q265" s="252">
        <v>3492.0</v>
      </c>
      <c r="R265" s="251" t="s">
        <v>1112</v>
      </c>
      <c r="S265" s="251" t="s">
        <v>1100</v>
      </c>
      <c r="T265" s="251" t="s">
        <v>1021</v>
      </c>
      <c r="U265" s="252">
        <v>32.0</v>
      </c>
      <c r="V265" s="252">
        <v>32.0</v>
      </c>
      <c r="W265" s="252">
        <v>5.2</v>
      </c>
      <c r="X265" s="251" t="s">
        <v>1113</v>
      </c>
      <c r="Y265" s="251" t="s">
        <v>2538</v>
      </c>
      <c r="Z265" s="251" t="s">
        <v>2539</v>
      </c>
      <c r="AA265" s="254" t="s">
        <v>1105</v>
      </c>
      <c r="AB265" s="254" t="s">
        <v>1105</v>
      </c>
    </row>
    <row r="266">
      <c r="A266" s="252">
        <v>265.0</v>
      </c>
      <c r="B266" s="251" t="s">
        <v>2540</v>
      </c>
      <c r="C266" s="252">
        <v>1.0</v>
      </c>
      <c r="D266" s="251" t="s">
        <v>2541</v>
      </c>
      <c r="E266" s="251" t="s">
        <v>1667</v>
      </c>
      <c r="F266" s="251" t="s">
        <v>1129</v>
      </c>
      <c r="G266" s="253" t="s">
        <v>2542</v>
      </c>
      <c r="H266" s="252">
        <v>2.0</v>
      </c>
      <c r="I266" s="251" t="s">
        <v>1098</v>
      </c>
      <c r="J266" s="252">
        <v>8.0</v>
      </c>
      <c r="K266" s="252">
        <v>915.0</v>
      </c>
      <c r="L266" s="252">
        <v>120.0</v>
      </c>
      <c r="M266" s="252">
        <v>4921.0</v>
      </c>
      <c r="N266" s="252">
        <v>7824.0</v>
      </c>
      <c r="O266" s="252">
        <v>2.0</v>
      </c>
      <c r="P266" s="252">
        <v>512.0</v>
      </c>
      <c r="Q266" s="252">
        <v>2801.0</v>
      </c>
      <c r="R266" s="251" t="s">
        <v>1112</v>
      </c>
      <c r="S266" s="251" t="s">
        <v>1122</v>
      </c>
      <c r="T266" s="251" t="s">
        <v>1101</v>
      </c>
      <c r="U266" s="252">
        <v>14.0</v>
      </c>
      <c r="V266" s="252">
        <v>16.0</v>
      </c>
      <c r="W266" s="252">
        <v>6.0</v>
      </c>
      <c r="X266" s="251" t="s">
        <v>1113</v>
      </c>
      <c r="Y266" s="251" t="s">
        <v>2543</v>
      </c>
      <c r="Z266" s="251" t="s">
        <v>2544</v>
      </c>
      <c r="AA266" s="254" t="s">
        <v>1105</v>
      </c>
      <c r="AB266" s="254" t="s">
        <v>1105</v>
      </c>
    </row>
    <row r="267">
      <c r="A267" s="252">
        <v>266.0</v>
      </c>
      <c r="B267" s="251" t="s">
        <v>2545</v>
      </c>
      <c r="C267" s="252">
        <v>1.0</v>
      </c>
      <c r="D267" s="251" t="s">
        <v>2546</v>
      </c>
      <c r="E267" s="251" t="s">
        <v>1780</v>
      </c>
      <c r="F267" s="251" t="s">
        <v>1129</v>
      </c>
      <c r="G267" s="253" t="s">
        <v>2547</v>
      </c>
      <c r="H267" s="252">
        <v>6.0</v>
      </c>
      <c r="I267" s="251" t="s">
        <v>1121</v>
      </c>
      <c r="J267" s="252">
        <v>8.0</v>
      </c>
      <c r="K267" s="252">
        <v>227.0</v>
      </c>
      <c r="L267" s="252">
        <v>100.0</v>
      </c>
      <c r="M267" s="252">
        <v>16226.0</v>
      </c>
      <c r="N267" s="252">
        <v>19957.0</v>
      </c>
      <c r="O267" s="252">
        <v>8.0</v>
      </c>
      <c r="P267" s="252">
        <v>64.0</v>
      </c>
      <c r="Q267" s="252">
        <v>6288.0</v>
      </c>
      <c r="R267" s="251" t="s">
        <v>1141</v>
      </c>
      <c r="S267" s="251" t="s">
        <v>1100</v>
      </c>
      <c r="T267" s="251" t="s">
        <v>1101</v>
      </c>
      <c r="U267" s="252">
        <v>12.0</v>
      </c>
      <c r="V267" s="252">
        <v>14.0</v>
      </c>
      <c r="W267" s="252">
        <v>4.7</v>
      </c>
      <c r="X267" s="251" t="s">
        <v>1102</v>
      </c>
      <c r="Y267" s="251" t="s">
        <v>2548</v>
      </c>
      <c r="Z267" s="251" t="s">
        <v>2549</v>
      </c>
      <c r="AA267" s="254" t="s">
        <v>1105</v>
      </c>
      <c r="AB267" s="254" t="s">
        <v>1105</v>
      </c>
    </row>
    <row r="268">
      <c r="A268" s="252">
        <v>267.0</v>
      </c>
      <c r="B268" s="251" t="s">
        <v>2550</v>
      </c>
      <c r="C268" s="252">
        <v>1.0</v>
      </c>
      <c r="D268" s="251" t="s">
        <v>2551</v>
      </c>
      <c r="E268" s="251" t="s">
        <v>2023</v>
      </c>
      <c r="F268" s="251" t="s">
        <v>1109</v>
      </c>
      <c r="G268" s="253" t="s">
        <v>2552</v>
      </c>
      <c r="H268" s="252">
        <v>4.0</v>
      </c>
      <c r="I268" s="251" t="s">
        <v>1111</v>
      </c>
      <c r="J268" s="252">
        <v>12.0</v>
      </c>
      <c r="K268" s="252">
        <v>876.0</v>
      </c>
      <c r="L268" s="252">
        <v>100.0</v>
      </c>
      <c r="M268" s="252">
        <v>6110.0</v>
      </c>
      <c r="N268" s="252">
        <v>10998.0</v>
      </c>
      <c r="O268" s="252">
        <v>6.0</v>
      </c>
      <c r="P268" s="252">
        <v>128.0</v>
      </c>
      <c r="Q268" s="252">
        <v>3197.0</v>
      </c>
      <c r="R268" s="251" t="s">
        <v>1112</v>
      </c>
      <c r="S268" s="251" t="s">
        <v>1100</v>
      </c>
      <c r="T268" s="251" t="s">
        <v>1021</v>
      </c>
      <c r="U268" s="252">
        <v>14.0</v>
      </c>
      <c r="V268" s="252">
        <v>48.0</v>
      </c>
      <c r="W268" s="252">
        <v>5.5</v>
      </c>
      <c r="X268" s="251" t="s">
        <v>1102</v>
      </c>
      <c r="Y268" s="251" t="s">
        <v>2553</v>
      </c>
      <c r="Z268" s="251" t="s">
        <v>2554</v>
      </c>
      <c r="AA268" s="254" t="s">
        <v>1105</v>
      </c>
      <c r="AB268" s="254" t="s">
        <v>1105</v>
      </c>
    </row>
    <row r="269">
      <c r="A269" s="252">
        <v>268.0</v>
      </c>
      <c r="B269" s="251" t="s">
        <v>2555</v>
      </c>
      <c r="C269" s="252">
        <v>1.0</v>
      </c>
      <c r="D269" s="251" t="s">
        <v>2556</v>
      </c>
      <c r="E269" s="251" t="s">
        <v>2023</v>
      </c>
      <c r="F269" s="251" t="s">
        <v>1109</v>
      </c>
      <c r="G269" s="253" t="s">
        <v>2557</v>
      </c>
      <c r="H269" s="252">
        <v>2.0</v>
      </c>
      <c r="I269" s="251" t="s">
        <v>1111</v>
      </c>
      <c r="J269" s="252">
        <v>8.0</v>
      </c>
      <c r="K269" s="252">
        <v>665.0</v>
      </c>
      <c r="L269" s="252">
        <v>100.0</v>
      </c>
      <c r="M269" s="252">
        <v>8118.0</v>
      </c>
      <c r="N269" s="252">
        <v>15018.0</v>
      </c>
      <c r="O269" s="252">
        <v>4.0</v>
      </c>
      <c r="P269" s="252">
        <v>128.0</v>
      </c>
      <c r="Q269" s="252">
        <v>4922.0</v>
      </c>
      <c r="R269" s="251" t="s">
        <v>1141</v>
      </c>
      <c r="S269" s="251" t="s">
        <v>1100</v>
      </c>
      <c r="T269" s="251" t="s">
        <v>1101</v>
      </c>
      <c r="U269" s="252">
        <v>14.0</v>
      </c>
      <c r="V269" s="252">
        <v>14.0</v>
      </c>
      <c r="W269" s="252">
        <v>5.2</v>
      </c>
      <c r="X269" s="251" t="s">
        <v>1147</v>
      </c>
      <c r="Y269" s="251" t="s">
        <v>2558</v>
      </c>
      <c r="Z269" s="251" t="s">
        <v>2559</v>
      </c>
      <c r="AA269" s="254" t="s">
        <v>1105</v>
      </c>
      <c r="AB269" s="254" t="s">
        <v>1105</v>
      </c>
    </row>
    <row r="270">
      <c r="A270" s="252">
        <v>269.0</v>
      </c>
      <c r="B270" s="251" t="s">
        <v>2560</v>
      </c>
      <c r="C270" s="252">
        <v>1.0</v>
      </c>
      <c r="D270" s="251" t="s">
        <v>2561</v>
      </c>
      <c r="E270" s="251" t="s">
        <v>1874</v>
      </c>
      <c r="F270" s="251" t="s">
        <v>1202</v>
      </c>
      <c r="G270" s="253" t="s">
        <v>2562</v>
      </c>
      <c r="H270" s="252">
        <v>2.0</v>
      </c>
      <c r="I270" s="251" t="s">
        <v>1121</v>
      </c>
      <c r="J270" s="252">
        <v>8.0</v>
      </c>
      <c r="K270" s="252">
        <v>420.0</v>
      </c>
      <c r="L270" s="252">
        <v>80.0</v>
      </c>
      <c r="M270" s="252">
        <v>11372.0</v>
      </c>
      <c r="N270" s="252">
        <v>15693.0</v>
      </c>
      <c r="O270" s="252">
        <v>8.0</v>
      </c>
      <c r="P270" s="252">
        <v>32.0</v>
      </c>
      <c r="Q270" s="252">
        <v>6380.0</v>
      </c>
      <c r="R270" s="251" t="s">
        <v>1141</v>
      </c>
      <c r="S270" s="251" t="s">
        <v>1122</v>
      </c>
      <c r="T270" s="251" t="s">
        <v>1101</v>
      </c>
      <c r="U270" s="252">
        <v>14.0</v>
      </c>
      <c r="V270" s="252">
        <v>12.0</v>
      </c>
      <c r="W270" s="252">
        <v>5.5</v>
      </c>
      <c r="X270" s="251" t="s">
        <v>1113</v>
      </c>
      <c r="Y270" s="251" t="s">
        <v>2563</v>
      </c>
      <c r="Z270" s="251" t="s">
        <v>2564</v>
      </c>
      <c r="AA270" s="254" t="s">
        <v>1105</v>
      </c>
      <c r="AB270" s="254" t="s">
        <v>1105</v>
      </c>
    </row>
    <row r="271">
      <c r="A271" s="252">
        <v>270.0</v>
      </c>
      <c r="B271" s="251" t="s">
        <v>2565</v>
      </c>
      <c r="C271" s="252">
        <v>1.0</v>
      </c>
      <c r="D271" s="251" t="s">
        <v>2566</v>
      </c>
      <c r="E271" s="251" t="s">
        <v>1312</v>
      </c>
      <c r="F271" s="251" t="s">
        <v>1202</v>
      </c>
      <c r="G271" s="253" t="s">
        <v>2567</v>
      </c>
      <c r="H271" s="252">
        <v>2.0</v>
      </c>
      <c r="I271" s="251" t="s">
        <v>1111</v>
      </c>
      <c r="J271" s="252">
        <v>12.0</v>
      </c>
      <c r="K271" s="252">
        <v>955.0</v>
      </c>
      <c r="L271" s="252">
        <v>100.0</v>
      </c>
      <c r="M271" s="252">
        <v>16333.0</v>
      </c>
      <c r="N271" s="252">
        <v>22212.0</v>
      </c>
      <c r="O271" s="252">
        <v>2.0</v>
      </c>
      <c r="P271" s="252">
        <v>32.0</v>
      </c>
      <c r="Q271" s="252">
        <v>3943.0</v>
      </c>
      <c r="R271" s="251" t="s">
        <v>1141</v>
      </c>
      <c r="S271" s="251" t="s">
        <v>1100</v>
      </c>
      <c r="T271" s="251" t="s">
        <v>1101</v>
      </c>
      <c r="U271" s="252">
        <v>48.0</v>
      </c>
      <c r="V271" s="252">
        <v>12.0</v>
      </c>
      <c r="W271" s="252">
        <v>6.0</v>
      </c>
      <c r="X271" s="251" t="s">
        <v>1132</v>
      </c>
      <c r="Y271" s="251" t="s">
        <v>2568</v>
      </c>
      <c r="Z271" s="251" t="s">
        <v>2569</v>
      </c>
      <c r="AA271" s="254" t="s">
        <v>1105</v>
      </c>
      <c r="AB271" s="254" t="s">
        <v>1105</v>
      </c>
    </row>
    <row r="272">
      <c r="A272" s="252">
        <v>271.0</v>
      </c>
      <c r="B272" s="251" t="s">
        <v>2570</v>
      </c>
      <c r="C272" s="252">
        <v>1.0</v>
      </c>
      <c r="D272" s="251" t="s">
        <v>2571</v>
      </c>
      <c r="E272" s="251" t="s">
        <v>1214</v>
      </c>
      <c r="F272" s="251" t="s">
        <v>1215</v>
      </c>
      <c r="G272" s="253" t="s">
        <v>2572</v>
      </c>
      <c r="H272" s="252">
        <v>4.0</v>
      </c>
      <c r="I272" s="251" t="s">
        <v>1111</v>
      </c>
      <c r="J272" s="252">
        <v>10.0</v>
      </c>
      <c r="K272" s="252">
        <v>23.0</v>
      </c>
      <c r="L272" s="252">
        <v>120.0</v>
      </c>
      <c r="M272" s="252">
        <v>3263.0</v>
      </c>
      <c r="N272" s="252">
        <v>5416.0</v>
      </c>
      <c r="O272" s="252">
        <v>4.0</v>
      </c>
      <c r="P272" s="252">
        <v>512.0</v>
      </c>
      <c r="Q272" s="252">
        <v>4817.0</v>
      </c>
      <c r="R272" s="251" t="s">
        <v>1141</v>
      </c>
      <c r="S272" s="251" t="s">
        <v>1100</v>
      </c>
      <c r="T272" s="251" t="s">
        <v>1101</v>
      </c>
      <c r="U272" s="252">
        <v>12.0</v>
      </c>
      <c r="V272" s="252">
        <v>48.0</v>
      </c>
      <c r="W272" s="252">
        <v>6.0</v>
      </c>
      <c r="X272" s="251" t="s">
        <v>1102</v>
      </c>
      <c r="Y272" s="251" t="s">
        <v>2573</v>
      </c>
      <c r="Z272" s="251" t="s">
        <v>2574</v>
      </c>
      <c r="AA272" s="254" t="s">
        <v>1105</v>
      </c>
      <c r="AB272" s="254" t="s">
        <v>1105</v>
      </c>
    </row>
    <row r="273">
      <c r="A273" s="252">
        <v>272.0</v>
      </c>
      <c r="B273" s="251" t="s">
        <v>2575</v>
      </c>
      <c r="C273" s="252">
        <v>1.0</v>
      </c>
      <c r="D273" s="251" t="s">
        <v>2576</v>
      </c>
      <c r="E273" s="251" t="s">
        <v>1422</v>
      </c>
      <c r="F273" s="251" t="s">
        <v>1138</v>
      </c>
      <c r="G273" s="253" t="s">
        <v>2577</v>
      </c>
      <c r="H273" s="252">
        <v>4.0</v>
      </c>
      <c r="I273" s="251" t="s">
        <v>1121</v>
      </c>
      <c r="J273" s="252">
        <v>8.0</v>
      </c>
      <c r="K273" s="252">
        <v>364.0</v>
      </c>
      <c r="L273" s="252">
        <v>80.0</v>
      </c>
      <c r="M273" s="252">
        <v>17204.0</v>
      </c>
      <c r="N273" s="252">
        <v>31827.0</v>
      </c>
      <c r="O273" s="252">
        <v>2.0</v>
      </c>
      <c r="P273" s="252">
        <v>128.0</v>
      </c>
      <c r="Q273" s="252">
        <v>6314.0</v>
      </c>
      <c r="R273" s="251" t="s">
        <v>1141</v>
      </c>
      <c r="S273" s="251" t="s">
        <v>1122</v>
      </c>
      <c r="T273" s="251" t="s">
        <v>1123</v>
      </c>
      <c r="U273" s="252">
        <v>48.0</v>
      </c>
      <c r="V273" s="252">
        <v>32.0</v>
      </c>
      <c r="W273" s="252">
        <v>5.0</v>
      </c>
      <c r="X273" s="251" t="s">
        <v>1147</v>
      </c>
      <c r="Y273" s="251" t="s">
        <v>2578</v>
      </c>
      <c r="Z273" s="251" t="s">
        <v>2579</v>
      </c>
      <c r="AA273" s="254" t="s">
        <v>1105</v>
      </c>
      <c r="AB273" s="254" t="s">
        <v>1105</v>
      </c>
    </row>
    <row r="274">
      <c r="A274" s="252">
        <v>273.0</v>
      </c>
      <c r="B274" s="251" t="s">
        <v>2580</v>
      </c>
      <c r="C274" s="252">
        <v>1.0</v>
      </c>
      <c r="D274" s="251" t="s">
        <v>2581</v>
      </c>
      <c r="E274" s="251" t="s">
        <v>1411</v>
      </c>
      <c r="F274" s="251" t="s">
        <v>1119</v>
      </c>
      <c r="G274" s="253" t="s">
        <v>2582</v>
      </c>
      <c r="H274" s="252">
        <v>4.0</v>
      </c>
      <c r="I274" s="251" t="s">
        <v>1140</v>
      </c>
      <c r="J274" s="252">
        <v>8.0</v>
      </c>
      <c r="K274" s="252">
        <v>250.0</v>
      </c>
      <c r="L274" s="252">
        <v>80.0</v>
      </c>
      <c r="M274" s="252">
        <v>2647.0</v>
      </c>
      <c r="N274" s="252">
        <v>4817.0</v>
      </c>
      <c r="O274" s="252">
        <v>4.0</v>
      </c>
      <c r="P274" s="252">
        <v>16.0</v>
      </c>
      <c r="Q274" s="252">
        <v>4544.0</v>
      </c>
      <c r="R274" s="251" t="s">
        <v>1112</v>
      </c>
      <c r="S274" s="251" t="s">
        <v>1122</v>
      </c>
      <c r="T274" s="251" t="s">
        <v>1123</v>
      </c>
      <c r="U274" s="252">
        <v>32.0</v>
      </c>
      <c r="V274" s="252">
        <v>16.0</v>
      </c>
      <c r="W274" s="252">
        <v>6.3</v>
      </c>
      <c r="X274" s="251" t="s">
        <v>1113</v>
      </c>
      <c r="Y274" s="251" t="s">
        <v>2583</v>
      </c>
      <c r="Z274" s="251" t="s">
        <v>2584</v>
      </c>
      <c r="AA274" s="254" t="s">
        <v>1105</v>
      </c>
      <c r="AB274" s="254" t="s">
        <v>1105</v>
      </c>
    </row>
    <row r="275">
      <c r="A275" s="252">
        <v>274.0</v>
      </c>
      <c r="B275" s="251" t="s">
        <v>2585</v>
      </c>
      <c r="C275" s="252">
        <v>1.0</v>
      </c>
      <c r="D275" s="251" t="s">
        <v>2586</v>
      </c>
      <c r="E275" s="251" t="s">
        <v>1615</v>
      </c>
      <c r="F275" s="251" t="s">
        <v>1202</v>
      </c>
      <c r="G275" s="253" t="s">
        <v>2587</v>
      </c>
      <c r="H275" s="252">
        <v>6.0</v>
      </c>
      <c r="I275" s="251" t="s">
        <v>1121</v>
      </c>
      <c r="J275" s="252">
        <v>12.0</v>
      </c>
      <c r="K275" s="252">
        <v>308.0</v>
      </c>
      <c r="L275" s="252">
        <v>100.0</v>
      </c>
      <c r="M275" s="252">
        <v>16245.0</v>
      </c>
      <c r="N275" s="252">
        <v>26154.0</v>
      </c>
      <c r="O275" s="252">
        <v>8.0</v>
      </c>
      <c r="P275" s="252">
        <v>16.0</v>
      </c>
      <c r="Q275" s="252">
        <v>5971.0</v>
      </c>
      <c r="R275" s="251" t="s">
        <v>1141</v>
      </c>
      <c r="S275" s="251" t="s">
        <v>1100</v>
      </c>
      <c r="T275" s="251" t="s">
        <v>1123</v>
      </c>
      <c r="U275" s="252">
        <v>16.0</v>
      </c>
      <c r="V275" s="252">
        <v>14.0</v>
      </c>
      <c r="W275" s="252">
        <v>5.0</v>
      </c>
      <c r="X275" s="251" t="s">
        <v>1102</v>
      </c>
      <c r="Y275" s="251" t="s">
        <v>2588</v>
      </c>
      <c r="Z275" s="251" t="s">
        <v>2589</v>
      </c>
      <c r="AA275" s="254" t="s">
        <v>1105</v>
      </c>
      <c r="AB275" s="254" t="s">
        <v>1105</v>
      </c>
    </row>
    <row r="276">
      <c r="A276" s="252">
        <v>275.0</v>
      </c>
      <c r="B276" s="251" t="s">
        <v>2590</v>
      </c>
      <c r="C276" s="252">
        <v>1.0</v>
      </c>
      <c r="D276" s="251" t="s">
        <v>2591</v>
      </c>
      <c r="E276" s="251" t="s">
        <v>2017</v>
      </c>
      <c r="F276" s="251" t="s">
        <v>1215</v>
      </c>
      <c r="G276" s="253" t="s">
        <v>2592</v>
      </c>
      <c r="H276" s="252">
        <v>2.0</v>
      </c>
      <c r="I276" s="251" t="s">
        <v>1121</v>
      </c>
      <c r="J276" s="252">
        <v>10.0</v>
      </c>
      <c r="K276" s="252">
        <v>200.0</v>
      </c>
      <c r="L276" s="252">
        <v>100.0</v>
      </c>
      <c r="M276" s="252">
        <v>6761.0</v>
      </c>
      <c r="N276" s="252">
        <v>12102.0</v>
      </c>
      <c r="O276" s="252">
        <v>12.0</v>
      </c>
      <c r="P276" s="252">
        <v>8.0</v>
      </c>
      <c r="Q276" s="252">
        <v>5809.0</v>
      </c>
      <c r="R276" s="251" t="s">
        <v>1141</v>
      </c>
      <c r="S276" s="251" t="s">
        <v>1100</v>
      </c>
      <c r="T276" s="251" t="s">
        <v>1101</v>
      </c>
      <c r="U276" s="252">
        <v>16.0</v>
      </c>
      <c r="V276" s="252">
        <v>48.0</v>
      </c>
      <c r="W276" s="252">
        <v>6.3</v>
      </c>
      <c r="X276" s="251" t="s">
        <v>1113</v>
      </c>
      <c r="Y276" s="251" t="s">
        <v>2593</v>
      </c>
      <c r="Z276" s="251" t="s">
        <v>2594</v>
      </c>
      <c r="AA276" s="254" t="s">
        <v>1105</v>
      </c>
      <c r="AB276" s="254" t="s">
        <v>1105</v>
      </c>
    </row>
    <row r="277">
      <c r="A277" s="252">
        <v>276.0</v>
      </c>
      <c r="B277" s="251" t="s">
        <v>2595</v>
      </c>
      <c r="C277" s="252">
        <v>1.0</v>
      </c>
      <c r="D277" s="251" t="s">
        <v>2596</v>
      </c>
      <c r="E277" s="251" t="s">
        <v>1283</v>
      </c>
      <c r="F277" s="251" t="s">
        <v>1096</v>
      </c>
      <c r="G277" s="253" t="s">
        <v>2597</v>
      </c>
      <c r="H277" s="252">
        <v>3.0</v>
      </c>
      <c r="I277" s="251" t="s">
        <v>1140</v>
      </c>
      <c r="J277" s="252">
        <v>12.0</v>
      </c>
      <c r="K277" s="252">
        <v>147.0</v>
      </c>
      <c r="L277" s="252">
        <v>80.0</v>
      </c>
      <c r="M277" s="252">
        <v>19568.0</v>
      </c>
      <c r="N277" s="252">
        <v>33656.0</v>
      </c>
      <c r="O277" s="252">
        <v>2.0</v>
      </c>
      <c r="P277" s="252">
        <v>64.0</v>
      </c>
      <c r="Q277" s="252">
        <v>3783.0</v>
      </c>
      <c r="R277" s="251" t="s">
        <v>1141</v>
      </c>
      <c r="S277" s="251" t="s">
        <v>1122</v>
      </c>
      <c r="T277" s="251" t="s">
        <v>1021</v>
      </c>
      <c r="U277" s="252">
        <v>14.0</v>
      </c>
      <c r="V277" s="252">
        <v>16.0</v>
      </c>
      <c r="W277" s="252">
        <v>5.2</v>
      </c>
      <c r="X277" s="251" t="s">
        <v>1102</v>
      </c>
      <c r="Y277" s="251" t="s">
        <v>2598</v>
      </c>
      <c r="Z277" s="251" t="s">
        <v>2599</v>
      </c>
      <c r="AA277" s="254" t="s">
        <v>1105</v>
      </c>
      <c r="AB277" s="254" t="s">
        <v>1105</v>
      </c>
    </row>
    <row r="278">
      <c r="A278" s="252">
        <v>277.0</v>
      </c>
      <c r="B278" s="251" t="s">
        <v>2600</v>
      </c>
      <c r="C278" s="252">
        <v>1.0</v>
      </c>
      <c r="D278" s="251" t="s">
        <v>2601</v>
      </c>
      <c r="E278" s="251" t="s">
        <v>1842</v>
      </c>
      <c r="F278" s="251" t="s">
        <v>1160</v>
      </c>
      <c r="G278" s="253" t="s">
        <v>2602</v>
      </c>
      <c r="H278" s="252">
        <v>4.0</v>
      </c>
      <c r="I278" s="251" t="s">
        <v>1131</v>
      </c>
      <c r="J278" s="252">
        <v>8.0</v>
      </c>
      <c r="K278" s="252">
        <v>955.0</v>
      </c>
      <c r="L278" s="252">
        <v>100.0</v>
      </c>
      <c r="M278" s="252">
        <v>11232.0</v>
      </c>
      <c r="N278" s="252">
        <v>20666.0</v>
      </c>
      <c r="O278" s="252">
        <v>8.0</v>
      </c>
      <c r="P278" s="252">
        <v>64.0</v>
      </c>
      <c r="Q278" s="252">
        <v>6353.0</v>
      </c>
      <c r="R278" s="251" t="s">
        <v>1112</v>
      </c>
      <c r="S278" s="251" t="s">
        <v>1122</v>
      </c>
      <c r="T278" s="251" t="s">
        <v>1021</v>
      </c>
      <c r="U278" s="252">
        <v>48.0</v>
      </c>
      <c r="V278" s="252">
        <v>16.0</v>
      </c>
      <c r="W278" s="252">
        <v>5.0</v>
      </c>
      <c r="X278" s="251" t="s">
        <v>1113</v>
      </c>
      <c r="Y278" s="251" t="s">
        <v>2603</v>
      </c>
      <c r="Z278" s="251" t="s">
        <v>2604</v>
      </c>
      <c r="AA278" s="254" t="s">
        <v>1105</v>
      </c>
      <c r="AB278" s="254" t="s">
        <v>1105</v>
      </c>
    </row>
    <row r="279">
      <c r="A279" s="252">
        <v>278.0</v>
      </c>
      <c r="B279" s="251" t="s">
        <v>2605</v>
      </c>
      <c r="C279" s="252">
        <v>1.0</v>
      </c>
      <c r="D279" s="251" t="s">
        <v>2606</v>
      </c>
      <c r="E279" s="251" t="s">
        <v>1428</v>
      </c>
      <c r="F279" s="251" t="s">
        <v>1138</v>
      </c>
      <c r="G279" s="253" t="s">
        <v>2607</v>
      </c>
      <c r="H279" s="252">
        <v>5.0</v>
      </c>
      <c r="I279" s="251" t="s">
        <v>1111</v>
      </c>
      <c r="J279" s="252">
        <v>10.0</v>
      </c>
      <c r="K279" s="252">
        <v>606.0</v>
      </c>
      <c r="L279" s="252">
        <v>120.0</v>
      </c>
      <c r="M279" s="252">
        <v>10484.0</v>
      </c>
      <c r="N279" s="252">
        <v>14258.0</v>
      </c>
      <c r="O279" s="252">
        <v>4.0</v>
      </c>
      <c r="P279" s="252">
        <v>64.0</v>
      </c>
      <c r="Q279" s="252">
        <v>5444.0</v>
      </c>
      <c r="R279" s="251" t="s">
        <v>1141</v>
      </c>
      <c r="S279" s="251" t="s">
        <v>1100</v>
      </c>
      <c r="T279" s="251" t="s">
        <v>1101</v>
      </c>
      <c r="U279" s="252">
        <v>14.0</v>
      </c>
      <c r="V279" s="252">
        <v>48.0</v>
      </c>
      <c r="W279" s="252">
        <v>5.5</v>
      </c>
      <c r="X279" s="251" t="s">
        <v>1102</v>
      </c>
      <c r="Y279" s="251" t="s">
        <v>2608</v>
      </c>
      <c r="Z279" s="251" t="s">
        <v>2609</v>
      </c>
      <c r="AA279" s="254" t="s">
        <v>1105</v>
      </c>
      <c r="AB279" s="254" t="s">
        <v>1105</v>
      </c>
    </row>
    <row r="280">
      <c r="A280" s="252">
        <v>279.0</v>
      </c>
      <c r="B280" s="251" t="s">
        <v>2610</v>
      </c>
      <c r="C280" s="252">
        <v>1.0</v>
      </c>
      <c r="D280" s="251" t="s">
        <v>2611</v>
      </c>
      <c r="E280" s="251" t="s">
        <v>1739</v>
      </c>
      <c r="F280" s="251" t="s">
        <v>1233</v>
      </c>
      <c r="G280" s="253" t="s">
        <v>2612</v>
      </c>
      <c r="H280" s="252">
        <v>2.0</v>
      </c>
      <c r="I280" s="251" t="s">
        <v>1111</v>
      </c>
      <c r="J280" s="252">
        <v>8.0</v>
      </c>
      <c r="K280" s="252">
        <v>920.0</v>
      </c>
      <c r="L280" s="252">
        <v>100.0</v>
      </c>
      <c r="M280" s="252">
        <v>20555.0</v>
      </c>
      <c r="N280" s="252">
        <v>36999.0</v>
      </c>
      <c r="O280" s="252">
        <v>6.0</v>
      </c>
      <c r="P280" s="252">
        <v>32.0</v>
      </c>
      <c r="Q280" s="252">
        <v>3308.0</v>
      </c>
      <c r="R280" s="251" t="s">
        <v>1112</v>
      </c>
      <c r="S280" s="251" t="s">
        <v>1122</v>
      </c>
      <c r="T280" s="251" t="s">
        <v>1021</v>
      </c>
      <c r="U280" s="252">
        <v>14.0</v>
      </c>
      <c r="V280" s="252">
        <v>48.0</v>
      </c>
      <c r="W280" s="252">
        <v>4.7</v>
      </c>
      <c r="X280" s="251" t="s">
        <v>1132</v>
      </c>
      <c r="Y280" s="251" t="s">
        <v>2613</v>
      </c>
      <c r="Z280" s="251" t="s">
        <v>2614</v>
      </c>
      <c r="AA280" s="254" t="s">
        <v>1105</v>
      </c>
      <c r="AB280" s="254" t="s">
        <v>1105</v>
      </c>
    </row>
    <row r="281">
      <c r="A281" s="252">
        <v>280.0</v>
      </c>
      <c r="B281" s="251" t="s">
        <v>2615</v>
      </c>
      <c r="C281" s="252">
        <v>1.0</v>
      </c>
      <c r="D281" s="251" t="s">
        <v>2616</v>
      </c>
      <c r="E281" s="251" t="s">
        <v>1581</v>
      </c>
      <c r="F281" s="251" t="s">
        <v>1109</v>
      </c>
      <c r="G281" s="253" t="s">
        <v>2617</v>
      </c>
      <c r="H281" s="252">
        <v>2.0</v>
      </c>
      <c r="I281" s="251" t="s">
        <v>1098</v>
      </c>
      <c r="J281" s="252">
        <v>12.0</v>
      </c>
      <c r="K281" s="252">
        <v>236.0</v>
      </c>
      <c r="L281" s="252">
        <v>100.0</v>
      </c>
      <c r="M281" s="252">
        <v>8075.0</v>
      </c>
      <c r="N281" s="252">
        <v>10255.0</v>
      </c>
      <c r="O281" s="252">
        <v>6.0</v>
      </c>
      <c r="P281" s="252">
        <v>64.0</v>
      </c>
      <c r="Q281" s="252">
        <v>2965.0</v>
      </c>
      <c r="R281" s="251" t="s">
        <v>1141</v>
      </c>
      <c r="S281" s="251" t="s">
        <v>1122</v>
      </c>
      <c r="T281" s="251" t="s">
        <v>1101</v>
      </c>
      <c r="U281" s="252">
        <v>12.0</v>
      </c>
      <c r="V281" s="252">
        <v>16.0</v>
      </c>
      <c r="W281" s="252">
        <v>5.2</v>
      </c>
      <c r="X281" s="251" t="s">
        <v>1102</v>
      </c>
      <c r="Y281" s="251" t="s">
        <v>2618</v>
      </c>
      <c r="Z281" s="251" t="s">
        <v>2619</v>
      </c>
      <c r="AA281" s="254" t="s">
        <v>1105</v>
      </c>
      <c r="AB281" s="254" t="s">
        <v>1105</v>
      </c>
    </row>
    <row r="282">
      <c r="A282" s="252">
        <v>281.0</v>
      </c>
      <c r="B282" s="251" t="s">
        <v>2620</v>
      </c>
      <c r="C282" s="252">
        <v>1.0</v>
      </c>
      <c r="D282" s="251" t="s">
        <v>2621</v>
      </c>
      <c r="E282" s="251" t="s">
        <v>2209</v>
      </c>
      <c r="F282" s="251" t="s">
        <v>1096</v>
      </c>
      <c r="G282" s="253" t="s">
        <v>2622</v>
      </c>
      <c r="H282" s="252">
        <v>5.0</v>
      </c>
      <c r="I282" s="251" t="s">
        <v>1131</v>
      </c>
      <c r="J282" s="252">
        <v>8.0</v>
      </c>
      <c r="K282" s="252">
        <v>705.0</v>
      </c>
      <c r="L282" s="252">
        <v>100.0</v>
      </c>
      <c r="M282" s="252">
        <v>21950.0</v>
      </c>
      <c r="N282" s="252">
        <v>37534.0</v>
      </c>
      <c r="O282" s="252">
        <v>12.0</v>
      </c>
      <c r="P282" s="252">
        <v>16.0</v>
      </c>
      <c r="Q282" s="252">
        <v>2687.0</v>
      </c>
      <c r="R282" s="251" t="s">
        <v>1141</v>
      </c>
      <c r="S282" s="251" t="s">
        <v>1122</v>
      </c>
      <c r="T282" s="251" t="s">
        <v>1021</v>
      </c>
      <c r="U282" s="252">
        <v>32.0</v>
      </c>
      <c r="V282" s="252">
        <v>32.0</v>
      </c>
      <c r="W282" s="252">
        <v>5.5</v>
      </c>
      <c r="X282" s="251" t="s">
        <v>1147</v>
      </c>
      <c r="Y282" s="251" t="s">
        <v>2623</v>
      </c>
      <c r="Z282" s="251" t="s">
        <v>2624</v>
      </c>
      <c r="AA282" s="254" t="s">
        <v>1105</v>
      </c>
      <c r="AB282" s="254" t="s">
        <v>1105</v>
      </c>
    </row>
    <row r="283">
      <c r="A283" s="252">
        <v>282.0</v>
      </c>
      <c r="B283" s="251" t="s">
        <v>2625</v>
      </c>
      <c r="C283" s="252">
        <v>1.0</v>
      </c>
      <c r="D283" s="251" t="s">
        <v>2626</v>
      </c>
      <c r="E283" s="251" t="s">
        <v>2161</v>
      </c>
      <c r="F283" s="251" t="s">
        <v>1202</v>
      </c>
      <c r="G283" s="253" t="s">
        <v>2627</v>
      </c>
      <c r="H283" s="252">
        <v>2.0</v>
      </c>
      <c r="I283" s="251" t="s">
        <v>1098</v>
      </c>
      <c r="J283" s="252">
        <v>12.0</v>
      </c>
      <c r="K283" s="252">
        <v>347.0</v>
      </c>
      <c r="L283" s="252">
        <v>80.0</v>
      </c>
      <c r="M283" s="252">
        <v>12164.0</v>
      </c>
      <c r="N283" s="252">
        <v>18854.0</v>
      </c>
      <c r="O283" s="252">
        <v>12.0</v>
      </c>
      <c r="P283" s="252">
        <v>8.0</v>
      </c>
      <c r="Q283" s="252">
        <v>5018.0</v>
      </c>
      <c r="R283" s="251" t="s">
        <v>1141</v>
      </c>
      <c r="S283" s="251" t="s">
        <v>1100</v>
      </c>
      <c r="T283" s="251" t="s">
        <v>1101</v>
      </c>
      <c r="U283" s="252">
        <v>48.0</v>
      </c>
      <c r="V283" s="252">
        <v>16.0</v>
      </c>
      <c r="W283" s="252">
        <v>5.5</v>
      </c>
      <c r="X283" s="251" t="s">
        <v>1147</v>
      </c>
      <c r="Y283" s="251" t="s">
        <v>2628</v>
      </c>
      <c r="Z283" s="251" t="s">
        <v>2629</v>
      </c>
      <c r="AA283" s="254" t="s">
        <v>1105</v>
      </c>
      <c r="AB283" s="254" t="s">
        <v>1105</v>
      </c>
    </row>
    <row r="284">
      <c r="A284" s="252">
        <v>283.0</v>
      </c>
      <c r="B284" s="251" t="s">
        <v>2630</v>
      </c>
      <c r="C284" s="252">
        <v>1.0</v>
      </c>
      <c r="D284" s="251" t="s">
        <v>2631</v>
      </c>
      <c r="E284" s="251" t="s">
        <v>2209</v>
      </c>
      <c r="F284" s="251" t="s">
        <v>1096</v>
      </c>
      <c r="G284" s="253" t="s">
        <v>2632</v>
      </c>
      <c r="H284" s="252">
        <v>4.0</v>
      </c>
      <c r="I284" s="251" t="s">
        <v>1131</v>
      </c>
      <c r="J284" s="252">
        <v>12.0</v>
      </c>
      <c r="K284" s="252">
        <v>679.0</v>
      </c>
      <c r="L284" s="252">
        <v>100.0</v>
      </c>
      <c r="M284" s="252">
        <v>10990.0</v>
      </c>
      <c r="N284" s="252">
        <v>19672.0</v>
      </c>
      <c r="O284" s="252">
        <v>4.0</v>
      </c>
      <c r="P284" s="252">
        <v>64.0</v>
      </c>
      <c r="Q284" s="252">
        <v>2043.0</v>
      </c>
      <c r="R284" s="251" t="s">
        <v>1099</v>
      </c>
      <c r="S284" s="251" t="s">
        <v>1100</v>
      </c>
      <c r="T284" s="251" t="s">
        <v>1101</v>
      </c>
      <c r="U284" s="252">
        <v>48.0</v>
      </c>
      <c r="V284" s="252">
        <v>48.0</v>
      </c>
      <c r="W284" s="252">
        <v>5.5</v>
      </c>
      <c r="X284" s="251" t="s">
        <v>1102</v>
      </c>
      <c r="Y284" s="251" t="s">
        <v>2633</v>
      </c>
      <c r="Z284" s="251" t="s">
        <v>2634</v>
      </c>
      <c r="AA284" s="254" t="s">
        <v>1105</v>
      </c>
      <c r="AB284" s="254" t="s">
        <v>1105</v>
      </c>
    </row>
    <row r="285">
      <c r="A285" s="252">
        <v>284.0</v>
      </c>
      <c r="B285" s="251" t="s">
        <v>2635</v>
      </c>
      <c r="C285" s="252">
        <v>1.0</v>
      </c>
      <c r="D285" s="251" t="s">
        <v>2636</v>
      </c>
      <c r="E285" s="251" t="s">
        <v>1137</v>
      </c>
      <c r="F285" s="251" t="s">
        <v>1138</v>
      </c>
      <c r="G285" s="253" t="s">
        <v>2637</v>
      </c>
      <c r="H285" s="252">
        <v>2.0</v>
      </c>
      <c r="I285" s="251" t="s">
        <v>1111</v>
      </c>
      <c r="J285" s="252">
        <v>8.0</v>
      </c>
      <c r="K285" s="252">
        <v>100.0</v>
      </c>
      <c r="L285" s="252">
        <v>80.0</v>
      </c>
      <c r="M285" s="252">
        <v>10405.0</v>
      </c>
      <c r="N285" s="252">
        <v>14254.0</v>
      </c>
      <c r="O285" s="252">
        <v>8.0</v>
      </c>
      <c r="P285" s="252">
        <v>64.0</v>
      </c>
      <c r="Q285" s="252">
        <v>3745.0</v>
      </c>
      <c r="R285" s="251" t="s">
        <v>1141</v>
      </c>
      <c r="S285" s="251" t="s">
        <v>1122</v>
      </c>
      <c r="T285" s="251" t="s">
        <v>1021</v>
      </c>
      <c r="U285" s="252">
        <v>16.0</v>
      </c>
      <c r="V285" s="252">
        <v>48.0</v>
      </c>
      <c r="W285" s="252">
        <v>5.2</v>
      </c>
      <c r="X285" s="251" t="s">
        <v>1147</v>
      </c>
      <c r="Y285" s="251" t="s">
        <v>2638</v>
      </c>
      <c r="Z285" s="251" t="s">
        <v>2639</v>
      </c>
      <c r="AA285" s="254" t="s">
        <v>1105</v>
      </c>
      <c r="AB285" s="254" t="s">
        <v>1105</v>
      </c>
    </row>
    <row r="286">
      <c r="A286" s="252">
        <v>285.0</v>
      </c>
      <c r="B286" s="251" t="s">
        <v>2640</v>
      </c>
      <c r="C286" s="252">
        <v>1.0</v>
      </c>
      <c r="D286" s="251" t="s">
        <v>2641</v>
      </c>
      <c r="E286" s="251" t="s">
        <v>1650</v>
      </c>
      <c r="F286" s="251" t="s">
        <v>1160</v>
      </c>
      <c r="G286" s="253" t="s">
        <v>2642</v>
      </c>
      <c r="H286" s="252">
        <v>3.0</v>
      </c>
      <c r="I286" s="251" t="s">
        <v>1121</v>
      </c>
      <c r="J286" s="252">
        <v>12.0</v>
      </c>
      <c r="K286" s="252">
        <v>577.0</v>
      </c>
      <c r="L286" s="252">
        <v>80.0</v>
      </c>
      <c r="M286" s="252">
        <v>15718.0</v>
      </c>
      <c r="N286" s="252">
        <v>24205.0</v>
      </c>
      <c r="O286" s="252">
        <v>6.0</v>
      </c>
      <c r="P286" s="252">
        <v>16.0</v>
      </c>
      <c r="Q286" s="252">
        <v>2364.0</v>
      </c>
      <c r="R286" s="251" t="s">
        <v>1099</v>
      </c>
      <c r="S286" s="251" t="s">
        <v>1122</v>
      </c>
      <c r="T286" s="251" t="s">
        <v>1123</v>
      </c>
      <c r="U286" s="252">
        <v>48.0</v>
      </c>
      <c r="V286" s="252">
        <v>48.0</v>
      </c>
      <c r="W286" s="252">
        <v>6.0</v>
      </c>
      <c r="X286" s="251" t="s">
        <v>1102</v>
      </c>
      <c r="Y286" s="251" t="s">
        <v>2643</v>
      </c>
      <c r="Z286" s="251" t="s">
        <v>2644</v>
      </c>
      <c r="AA286" s="254" t="s">
        <v>1105</v>
      </c>
      <c r="AB286" s="254" t="s">
        <v>1105</v>
      </c>
    </row>
    <row r="287">
      <c r="A287" s="252">
        <v>286.0</v>
      </c>
      <c r="B287" s="251" t="s">
        <v>2645</v>
      </c>
      <c r="C287" s="252">
        <v>1.0</v>
      </c>
      <c r="D287" s="251" t="s">
        <v>2646</v>
      </c>
      <c r="E287" s="251" t="s">
        <v>1172</v>
      </c>
      <c r="F287" s="251" t="s">
        <v>1160</v>
      </c>
      <c r="G287" s="253" t="s">
        <v>2647</v>
      </c>
      <c r="H287" s="252">
        <v>3.0</v>
      </c>
      <c r="I287" s="251" t="s">
        <v>1121</v>
      </c>
      <c r="J287" s="252">
        <v>10.0</v>
      </c>
      <c r="K287" s="252">
        <v>908.0</v>
      </c>
      <c r="L287" s="252">
        <v>80.0</v>
      </c>
      <c r="M287" s="252">
        <v>17856.0</v>
      </c>
      <c r="N287" s="252">
        <v>24998.0</v>
      </c>
      <c r="O287" s="252">
        <v>2.0</v>
      </c>
      <c r="P287" s="252">
        <v>512.0</v>
      </c>
      <c r="Q287" s="252">
        <v>2572.0</v>
      </c>
      <c r="R287" s="251" t="s">
        <v>1141</v>
      </c>
      <c r="S287" s="251" t="s">
        <v>1100</v>
      </c>
      <c r="T287" s="251" t="s">
        <v>1021</v>
      </c>
      <c r="U287" s="252">
        <v>48.0</v>
      </c>
      <c r="V287" s="252">
        <v>16.0</v>
      </c>
      <c r="W287" s="252">
        <v>4.7</v>
      </c>
      <c r="X287" s="251" t="s">
        <v>1147</v>
      </c>
      <c r="Y287" s="251" t="s">
        <v>2648</v>
      </c>
      <c r="Z287" s="251" t="s">
        <v>2649</v>
      </c>
      <c r="AA287" s="254" t="s">
        <v>1105</v>
      </c>
      <c r="AB287" s="254" t="s">
        <v>1105</v>
      </c>
    </row>
    <row r="288">
      <c r="A288" s="252">
        <v>287.0</v>
      </c>
      <c r="B288" s="251" t="s">
        <v>2650</v>
      </c>
      <c r="C288" s="252">
        <v>1.0</v>
      </c>
      <c r="D288" s="251" t="s">
        <v>2651</v>
      </c>
      <c r="E288" s="251" t="s">
        <v>2177</v>
      </c>
      <c r="F288" s="251" t="s">
        <v>1129</v>
      </c>
      <c r="G288" s="253" t="s">
        <v>2652</v>
      </c>
      <c r="H288" s="252">
        <v>3.0</v>
      </c>
      <c r="I288" s="251" t="s">
        <v>1131</v>
      </c>
      <c r="J288" s="252">
        <v>8.0</v>
      </c>
      <c r="K288" s="252">
        <v>222.0</v>
      </c>
      <c r="L288" s="252">
        <v>120.0</v>
      </c>
      <c r="M288" s="252">
        <v>4672.0</v>
      </c>
      <c r="N288" s="252">
        <v>5746.0</v>
      </c>
      <c r="O288" s="252">
        <v>8.0</v>
      </c>
      <c r="P288" s="252">
        <v>16.0</v>
      </c>
      <c r="Q288" s="252">
        <v>6261.0</v>
      </c>
      <c r="R288" s="251" t="s">
        <v>1099</v>
      </c>
      <c r="S288" s="251" t="s">
        <v>1100</v>
      </c>
      <c r="T288" s="251" t="s">
        <v>1101</v>
      </c>
      <c r="U288" s="252">
        <v>32.0</v>
      </c>
      <c r="V288" s="252">
        <v>32.0</v>
      </c>
      <c r="W288" s="252">
        <v>4.7</v>
      </c>
      <c r="X288" s="251" t="s">
        <v>1102</v>
      </c>
      <c r="Y288" s="251" t="s">
        <v>2653</v>
      </c>
      <c r="Z288" s="251" t="s">
        <v>2654</v>
      </c>
      <c r="AA288" s="254" t="s">
        <v>1105</v>
      </c>
      <c r="AB288" s="254" t="s">
        <v>1105</v>
      </c>
    </row>
    <row r="289">
      <c r="A289" s="252">
        <v>288.0</v>
      </c>
      <c r="B289" s="251" t="s">
        <v>2655</v>
      </c>
      <c r="C289" s="252">
        <v>1.0</v>
      </c>
      <c r="D289" s="251" t="s">
        <v>2656</v>
      </c>
      <c r="E289" s="251" t="s">
        <v>1335</v>
      </c>
      <c r="F289" s="251" t="s">
        <v>1215</v>
      </c>
      <c r="G289" s="253" t="s">
        <v>2657</v>
      </c>
      <c r="H289" s="252">
        <v>3.0</v>
      </c>
      <c r="I289" s="251" t="s">
        <v>1098</v>
      </c>
      <c r="J289" s="252">
        <v>10.0</v>
      </c>
      <c r="K289" s="252">
        <v>340.0</v>
      </c>
      <c r="L289" s="252">
        <v>80.0</v>
      </c>
      <c r="M289" s="252">
        <v>20483.0</v>
      </c>
      <c r="N289" s="252">
        <v>25603.0</v>
      </c>
      <c r="O289" s="252">
        <v>8.0</v>
      </c>
      <c r="P289" s="252">
        <v>512.0</v>
      </c>
      <c r="Q289" s="252">
        <v>4740.0</v>
      </c>
      <c r="R289" s="251" t="s">
        <v>1112</v>
      </c>
      <c r="S289" s="251" t="s">
        <v>1100</v>
      </c>
      <c r="T289" s="251" t="s">
        <v>1123</v>
      </c>
      <c r="U289" s="252">
        <v>12.0</v>
      </c>
      <c r="V289" s="252">
        <v>16.0</v>
      </c>
      <c r="W289" s="252">
        <v>6.0</v>
      </c>
      <c r="X289" s="251" t="s">
        <v>1102</v>
      </c>
      <c r="Y289" s="251" t="s">
        <v>2658</v>
      </c>
      <c r="Z289" s="251" t="s">
        <v>2659</v>
      </c>
      <c r="AA289" s="254" t="s">
        <v>1105</v>
      </c>
      <c r="AB289" s="254" t="s">
        <v>1105</v>
      </c>
    </row>
    <row r="290">
      <c r="A290" s="252">
        <v>289.0</v>
      </c>
      <c r="B290" s="251" t="s">
        <v>2660</v>
      </c>
      <c r="C290" s="252">
        <v>1.0</v>
      </c>
      <c r="D290" s="251" t="s">
        <v>2661</v>
      </c>
      <c r="E290" s="251" t="s">
        <v>1598</v>
      </c>
      <c r="F290" s="251" t="s">
        <v>1153</v>
      </c>
      <c r="G290" s="253" t="s">
        <v>2662</v>
      </c>
      <c r="H290" s="252">
        <v>6.0</v>
      </c>
      <c r="I290" s="251" t="s">
        <v>1098</v>
      </c>
      <c r="J290" s="252">
        <v>12.0</v>
      </c>
      <c r="K290" s="252">
        <v>984.0</v>
      </c>
      <c r="L290" s="252">
        <v>80.0</v>
      </c>
      <c r="M290" s="252">
        <v>16279.0</v>
      </c>
      <c r="N290" s="252">
        <v>20674.0</v>
      </c>
      <c r="O290" s="252">
        <v>6.0</v>
      </c>
      <c r="P290" s="252">
        <v>512.0</v>
      </c>
      <c r="Q290" s="252">
        <v>3495.0</v>
      </c>
      <c r="R290" s="251" t="s">
        <v>1099</v>
      </c>
      <c r="S290" s="251" t="s">
        <v>1100</v>
      </c>
      <c r="T290" s="251" t="s">
        <v>1101</v>
      </c>
      <c r="U290" s="252">
        <v>32.0</v>
      </c>
      <c r="V290" s="252">
        <v>16.0</v>
      </c>
      <c r="W290" s="252">
        <v>6.3</v>
      </c>
      <c r="X290" s="251" t="s">
        <v>1147</v>
      </c>
      <c r="Y290" s="251" t="s">
        <v>2663</v>
      </c>
      <c r="Z290" s="251" t="s">
        <v>2664</v>
      </c>
      <c r="AA290" s="254" t="s">
        <v>1105</v>
      </c>
      <c r="AB290" s="254" t="s">
        <v>1105</v>
      </c>
    </row>
    <row r="291">
      <c r="A291" s="252">
        <v>290.0</v>
      </c>
      <c r="B291" s="251" t="s">
        <v>2665</v>
      </c>
      <c r="C291" s="252">
        <v>1.0</v>
      </c>
      <c r="D291" s="251" t="s">
        <v>2666</v>
      </c>
      <c r="E291" s="251" t="s">
        <v>1874</v>
      </c>
      <c r="F291" s="251" t="s">
        <v>1202</v>
      </c>
      <c r="G291" s="253" t="s">
        <v>2667</v>
      </c>
      <c r="H291" s="252">
        <v>4.0</v>
      </c>
      <c r="I291" s="251" t="s">
        <v>1098</v>
      </c>
      <c r="J291" s="252">
        <v>10.0</v>
      </c>
      <c r="K291" s="252">
        <v>886.0</v>
      </c>
      <c r="L291" s="252">
        <v>120.0</v>
      </c>
      <c r="M291" s="252">
        <v>11676.0</v>
      </c>
      <c r="N291" s="252">
        <v>21133.0</v>
      </c>
      <c r="O291" s="252">
        <v>4.0</v>
      </c>
      <c r="P291" s="252">
        <v>16.0</v>
      </c>
      <c r="Q291" s="252">
        <v>4898.0</v>
      </c>
      <c r="R291" s="251" t="s">
        <v>1112</v>
      </c>
      <c r="S291" s="251" t="s">
        <v>1122</v>
      </c>
      <c r="T291" s="251" t="s">
        <v>1021</v>
      </c>
      <c r="U291" s="252">
        <v>48.0</v>
      </c>
      <c r="V291" s="252">
        <v>14.0</v>
      </c>
      <c r="W291" s="252">
        <v>6.3</v>
      </c>
      <c r="X291" s="251" t="s">
        <v>1147</v>
      </c>
      <c r="Y291" s="251" t="s">
        <v>2668</v>
      </c>
      <c r="Z291" s="251" t="s">
        <v>2669</v>
      </c>
      <c r="AA291" s="254" t="s">
        <v>1105</v>
      </c>
      <c r="AB291" s="254" t="s">
        <v>1105</v>
      </c>
    </row>
    <row r="292">
      <c r="A292" s="252">
        <v>291.0</v>
      </c>
      <c r="B292" s="251" t="s">
        <v>2670</v>
      </c>
      <c r="C292" s="252">
        <v>1.0</v>
      </c>
      <c r="D292" s="251" t="s">
        <v>2671</v>
      </c>
      <c r="E292" s="251" t="s">
        <v>1152</v>
      </c>
      <c r="F292" s="251" t="s">
        <v>1153</v>
      </c>
      <c r="G292" s="253" t="s">
        <v>2672</v>
      </c>
      <c r="H292" s="252">
        <v>6.0</v>
      </c>
      <c r="I292" s="251" t="s">
        <v>1111</v>
      </c>
      <c r="J292" s="252">
        <v>8.0</v>
      </c>
      <c r="K292" s="252">
        <v>287.0</v>
      </c>
      <c r="L292" s="252">
        <v>100.0</v>
      </c>
      <c r="M292" s="252">
        <v>13800.0</v>
      </c>
      <c r="N292" s="252">
        <v>21528.0</v>
      </c>
      <c r="O292" s="252">
        <v>6.0</v>
      </c>
      <c r="P292" s="252">
        <v>32.0</v>
      </c>
      <c r="Q292" s="252">
        <v>2621.0</v>
      </c>
      <c r="R292" s="251" t="s">
        <v>1141</v>
      </c>
      <c r="S292" s="251" t="s">
        <v>1122</v>
      </c>
      <c r="T292" s="251" t="s">
        <v>1021</v>
      </c>
      <c r="U292" s="252">
        <v>14.0</v>
      </c>
      <c r="V292" s="252">
        <v>32.0</v>
      </c>
      <c r="W292" s="252">
        <v>4.7</v>
      </c>
      <c r="X292" s="251" t="s">
        <v>1132</v>
      </c>
      <c r="Y292" s="251" t="s">
        <v>2673</v>
      </c>
      <c r="Z292" s="251" t="s">
        <v>2674</v>
      </c>
      <c r="AA292" s="254" t="s">
        <v>1105</v>
      </c>
      <c r="AB292" s="254" t="s">
        <v>1105</v>
      </c>
    </row>
    <row r="293">
      <c r="A293" s="252">
        <v>292.0</v>
      </c>
      <c r="B293" s="251" t="s">
        <v>2675</v>
      </c>
      <c r="C293" s="252">
        <v>1.0</v>
      </c>
      <c r="D293" s="251" t="s">
        <v>2676</v>
      </c>
      <c r="E293" s="251" t="s">
        <v>2276</v>
      </c>
      <c r="F293" s="251" t="s">
        <v>1215</v>
      </c>
      <c r="G293" s="253" t="s">
        <v>2677</v>
      </c>
      <c r="H293" s="252">
        <v>3.0</v>
      </c>
      <c r="I293" s="251" t="s">
        <v>1121</v>
      </c>
      <c r="J293" s="252">
        <v>10.0</v>
      </c>
      <c r="K293" s="252">
        <v>702.0</v>
      </c>
      <c r="L293" s="252">
        <v>120.0</v>
      </c>
      <c r="M293" s="252">
        <v>14972.0</v>
      </c>
      <c r="N293" s="252">
        <v>26799.0</v>
      </c>
      <c r="O293" s="252">
        <v>8.0</v>
      </c>
      <c r="P293" s="252">
        <v>64.0</v>
      </c>
      <c r="Q293" s="252">
        <v>5631.0</v>
      </c>
      <c r="R293" s="251" t="s">
        <v>1112</v>
      </c>
      <c r="S293" s="251" t="s">
        <v>1100</v>
      </c>
      <c r="T293" s="251" t="s">
        <v>1021</v>
      </c>
      <c r="U293" s="252">
        <v>14.0</v>
      </c>
      <c r="V293" s="252">
        <v>16.0</v>
      </c>
      <c r="W293" s="252">
        <v>4.7</v>
      </c>
      <c r="X293" s="251" t="s">
        <v>1102</v>
      </c>
      <c r="Y293" s="251" t="s">
        <v>2678</v>
      </c>
      <c r="Z293" s="251" t="s">
        <v>2679</v>
      </c>
      <c r="AA293" s="254" t="s">
        <v>1105</v>
      </c>
      <c r="AB293" s="254" t="s">
        <v>1105</v>
      </c>
    </row>
    <row r="294">
      <c r="A294" s="252">
        <v>293.0</v>
      </c>
      <c r="B294" s="251" t="s">
        <v>2680</v>
      </c>
      <c r="C294" s="252">
        <v>1.0</v>
      </c>
      <c r="D294" s="251" t="s">
        <v>2681</v>
      </c>
      <c r="E294" s="251" t="s">
        <v>2114</v>
      </c>
      <c r="F294" s="251" t="s">
        <v>1138</v>
      </c>
      <c r="G294" s="253" t="s">
        <v>2682</v>
      </c>
      <c r="H294" s="252">
        <v>4.0</v>
      </c>
      <c r="I294" s="251" t="s">
        <v>1121</v>
      </c>
      <c r="J294" s="252">
        <v>10.0</v>
      </c>
      <c r="K294" s="252">
        <v>198.0</v>
      </c>
      <c r="L294" s="252">
        <v>80.0</v>
      </c>
      <c r="M294" s="252">
        <v>22404.0</v>
      </c>
      <c r="N294" s="252">
        <v>32933.0</v>
      </c>
      <c r="O294" s="252">
        <v>6.0</v>
      </c>
      <c r="P294" s="252">
        <v>512.0</v>
      </c>
      <c r="Q294" s="252">
        <v>4270.0</v>
      </c>
      <c r="R294" s="251" t="s">
        <v>1112</v>
      </c>
      <c r="S294" s="251" t="s">
        <v>1100</v>
      </c>
      <c r="T294" s="251" t="s">
        <v>1101</v>
      </c>
      <c r="U294" s="252">
        <v>14.0</v>
      </c>
      <c r="V294" s="252">
        <v>32.0</v>
      </c>
      <c r="W294" s="252">
        <v>5.5</v>
      </c>
      <c r="X294" s="251" t="s">
        <v>1102</v>
      </c>
      <c r="Y294" s="251" t="s">
        <v>2683</v>
      </c>
      <c r="Z294" s="251" t="s">
        <v>2684</v>
      </c>
      <c r="AA294" s="254" t="s">
        <v>1105</v>
      </c>
      <c r="AB294" s="254" t="s">
        <v>1105</v>
      </c>
    </row>
    <row r="295">
      <c r="A295" s="252">
        <v>294.0</v>
      </c>
      <c r="B295" s="251" t="s">
        <v>2685</v>
      </c>
      <c r="C295" s="252">
        <v>1.0</v>
      </c>
      <c r="D295" s="251" t="s">
        <v>2686</v>
      </c>
      <c r="E295" s="251" t="s">
        <v>2177</v>
      </c>
      <c r="F295" s="251" t="s">
        <v>1129</v>
      </c>
      <c r="G295" s="253" t="s">
        <v>2687</v>
      </c>
      <c r="H295" s="252">
        <v>2.0</v>
      </c>
      <c r="I295" s="251" t="s">
        <v>1131</v>
      </c>
      <c r="J295" s="252">
        <v>12.0</v>
      </c>
      <c r="K295" s="252">
        <v>963.0</v>
      </c>
      <c r="L295" s="252">
        <v>80.0</v>
      </c>
      <c r="M295" s="252">
        <v>12623.0</v>
      </c>
      <c r="N295" s="252">
        <v>22342.0</v>
      </c>
      <c r="O295" s="252">
        <v>4.0</v>
      </c>
      <c r="P295" s="252">
        <v>128.0</v>
      </c>
      <c r="Q295" s="252">
        <v>3399.0</v>
      </c>
      <c r="R295" s="251" t="s">
        <v>1112</v>
      </c>
      <c r="S295" s="251" t="s">
        <v>1122</v>
      </c>
      <c r="T295" s="251" t="s">
        <v>1123</v>
      </c>
      <c r="U295" s="252">
        <v>16.0</v>
      </c>
      <c r="V295" s="252">
        <v>16.0</v>
      </c>
      <c r="W295" s="252">
        <v>5.0</v>
      </c>
      <c r="X295" s="251" t="s">
        <v>1132</v>
      </c>
      <c r="Y295" s="251" t="s">
        <v>2688</v>
      </c>
      <c r="Z295" s="251" t="s">
        <v>2689</v>
      </c>
      <c r="AA295" s="254" t="s">
        <v>1105</v>
      </c>
      <c r="AB295" s="254" t="s">
        <v>1105</v>
      </c>
    </row>
    <row r="296">
      <c r="A296" s="252">
        <v>295.0</v>
      </c>
      <c r="B296" s="251" t="s">
        <v>2690</v>
      </c>
      <c r="C296" s="252">
        <v>1.0</v>
      </c>
      <c r="D296" s="251" t="s">
        <v>2691</v>
      </c>
      <c r="E296" s="251" t="s">
        <v>1405</v>
      </c>
      <c r="F296" s="251" t="s">
        <v>1202</v>
      </c>
      <c r="G296" s="253" t="s">
        <v>2692</v>
      </c>
      <c r="H296" s="252">
        <v>2.0</v>
      </c>
      <c r="I296" s="251" t="s">
        <v>1111</v>
      </c>
      <c r="J296" s="252">
        <v>12.0</v>
      </c>
      <c r="K296" s="252">
        <v>177.0</v>
      </c>
      <c r="L296" s="252">
        <v>80.0</v>
      </c>
      <c r="M296" s="252">
        <v>6208.0</v>
      </c>
      <c r="N296" s="252">
        <v>8380.0</v>
      </c>
      <c r="O296" s="252">
        <v>4.0</v>
      </c>
      <c r="P296" s="252">
        <v>8.0</v>
      </c>
      <c r="Q296" s="252">
        <v>2292.0</v>
      </c>
      <c r="R296" s="251" t="s">
        <v>1099</v>
      </c>
      <c r="S296" s="251" t="s">
        <v>1122</v>
      </c>
      <c r="T296" s="251" t="s">
        <v>1123</v>
      </c>
      <c r="U296" s="252">
        <v>16.0</v>
      </c>
      <c r="V296" s="252">
        <v>32.0</v>
      </c>
      <c r="W296" s="252">
        <v>5.5</v>
      </c>
      <c r="X296" s="251" t="s">
        <v>1113</v>
      </c>
      <c r="Y296" s="251" t="s">
        <v>2693</v>
      </c>
      <c r="Z296" s="251" t="s">
        <v>2694</v>
      </c>
      <c r="AA296" s="254" t="s">
        <v>1105</v>
      </c>
      <c r="AB296" s="254" t="s">
        <v>1105</v>
      </c>
    </row>
    <row r="297">
      <c r="A297" s="252">
        <v>296.0</v>
      </c>
      <c r="B297" s="251" t="s">
        <v>2695</v>
      </c>
      <c r="C297" s="252">
        <v>1.0</v>
      </c>
      <c r="D297" s="251" t="s">
        <v>2696</v>
      </c>
      <c r="E297" s="251" t="s">
        <v>2177</v>
      </c>
      <c r="F297" s="251" t="s">
        <v>1129</v>
      </c>
      <c r="G297" s="253" t="s">
        <v>2697</v>
      </c>
      <c r="H297" s="252">
        <v>3.0</v>
      </c>
      <c r="I297" s="251" t="s">
        <v>1098</v>
      </c>
      <c r="J297" s="252">
        <v>12.0</v>
      </c>
      <c r="K297" s="252">
        <v>76.0</v>
      </c>
      <c r="L297" s="252">
        <v>80.0</v>
      </c>
      <c r="M297" s="252">
        <v>7392.0</v>
      </c>
      <c r="N297" s="252">
        <v>8944.0</v>
      </c>
      <c r="O297" s="252">
        <v>8.0</v>
      </c>
      <c r="P297" s="252">
        <v>16.0</v>
      </c>
      <c r="Q297" s="252">
        <v>2786.0</v>
      </c>
      <c r="R297" s="251" t="s">
        <v>1112</v>
      </c>
      <c r="S297" s="251" t="s">
        <v>1100</v>
      </c>
      <c r="T297" s="251" t="s">
        <v>1123</v>
      </c>
      <c r="U297" s="252">
        <v>32.0</v>
      </c>
      <c r="V297" s="252">
        <v>48.0</v>
      </c>
      <c r="W297" s="252">
        <v>5.0</v>
      </c>
      <c r="X297" s="251" t="s">
        <v>1102</v>
      </c>
      <c r="Y297" s="251" t="s">
        <v>2698</v>
      </c>
      <c r="Z297" s="251" t="s">
        <v>2699</v>
      </c>
      <c r="AA297" s="254" t="s">
        <v>1105</v>
      </c>
      <c r="AB297" s="254" t="s">
        <v>1105</v>
      </c>
    </row>
    <row r="298">
      <c r="A298" s="252">
        <v>297.0</v>
      </c>
      <c r="B298" s="251" t="s">
        <v>2700</v>
      </c>
      <c r="C298" s="252">
        <v>1.0</v>
      </c>
      <c r="D298" s="251" t="s">
        <v>2701</v>
      </c>
      <c r="E298" s="251" t="s">
        <v>1128</v>
      </c>
      <c r="F298" s="251" t="s">
        <v>1129</v>
      </c>
      <c r="G298" s="253" t="s">
        <v>2702</v>
      </c>
      <c r="H298" s="252">
        <v>4.0</v>
      </c>
      <c r="I298" s="251" t="s">
        <v>1140</v>
      </c>
      <c r="J298" s="252">
        <v>12.0</v>
      </c>
      <c r="K298" s="252">
        <v>841.0</v>
      </c>
      <c r="L298" s="252">
        <v>120.0</v>
      </c>
      <c r="M298" s="252">
        <v>12764.0</v>
      </c>
      <c r="N298" s="252">
        <v>19528.0</v>
      </c>
      <c r="O298" s="252">
        <v>2.0</v>
      </c>
      <c r="P298" s="252">
        <v>32.0</v>
      </c>
      <c r="Q298" s="252">
        <v>3333.0</v>
      </c>
      <c r="R298" s="251" t="s">
        <v>1112</v>
      </c>
      <c r="S298" s="251" t="s">
        <v>1100</v>
      </c>
      <c r="T298" s="251" t="s">
        <v>1021</v>
      </c>
      <c r="U298" s="252">
        <v>48.0</v>
      </c>
      <c r="V298" s="252">
        <v>14.0</v>
      </c>
      <c r="W298" s="252">
        <v>4.7</v>
      </c>
      <c r="X298" s="251" t="s">
        <v>1102</v>
      </c>
      <c r="Y298" s="251" t="s">
        <v>2703</v>
      </c>
      <c r="Z298" s="251" t="s">
        <v>2704</v>
      </c>
      <c r="AA298" s="254" t="s">
        <v>1105</v>
      </c>
      <c r="AB298" s="254" t="s">
        <v>1105</v>
      </c>
    </row>
    <row r="299">
      <c r="A299" s="252">
        <v>298.0</v>
      </c>
      <c r="B299" s="251" t="s">
        <v>2705</v>
      </c>
      <c r="C299" s="252">
        <v>1.0</v>
      </c>
      <c r="D299" s="251" t="s">
        <v>2706</v>
      </c>
      <c r="E299" s="251" t="s">
        <v>1440</v>
      </c>
      <c r="F299" s="251" t="s">
        <v>1233</v>
      </c>
      <c r="G299" s="253" t="s">
        <v>2707</v>
      </c>
      <c r="H299" s="252">
        <v>2.0</v>
      </c>
      <c r="I299" s="251" t="s">
        <v>1098</v>
      </c>
      <c r="J299" s="252">
        <v>8.0</v>
      </c>
      <c r="K299" s="252">
        <v>58.0</v>
      </c>
      <c r="L299" s="252">
        <v>100.0</v>
      </c>
      <c r="M299" s="252">
        <v>5991.0</v>
      </c>
      <c r="N299" s="252">
        <v>10544.0</v>
      </c>
      <c r="O299" s="252">
        <v>6.0</v>
      </c>
      <c r="P299" s="252">
        <v>128.0</v>
      </c>
      <c r="Q299" s="252">
        <v>5656.0</v>
      </c>
      <c r="R299" s="251" t="s">
        <v>1112</v>
      </c>
      <c r="S299" s="251" t="s">
        <v>1122</v>
      </c>
      <c r="T299" s="251" t="s">
        <v>1021</v>
      </c>
      <c r="U299" s="252">
        <v>16.0</v>
      </c>
      <c r="V299" s="252">
        <v>48.0</v>
      </c>
      <c r="W299" s="252">
        <v>6.3</v>
      </c>
      <c r="X299" s="251" t="s">
        <v>1113</v>
      </c>
      <c r="Y299" s="251" t="s">
        <v>2708</v>
      </c>
      <c r="Z299" s="251" t="s">
        <v>2709</v>
      </c>
      <c r="AA299" s="254" t="s">
        <v>1105</v>
      </c>
      <c r="AB299" s="254" t="s">
        <v>1105</v>
      </c>
    </row>
    <row r="300">
      <c r="A300" s="252">
        <v>299.0</v>
      </c>
      <c r="B300" s="251" t="s">
        <v>2710</v>
      </c>
      <c r="C300" s="252">
        <v>1.0</v>
      </c>
      <c r="D300" s="251" t="s">
        <v>2711</v>
      </c>
      <c r="E300" s="251" t="s">
        <v>1272</v>
      </c>
      <c r="F300" s="251" t="s">
        <v>1233</v>
      </c>
      <c r="G300" s="253" t="s">
        <v>2712</v>
      </c>
      <c r="H300" s="252">
        <v>6.0</v>
      </c>
      <c r="I300" s="251" t="s">
        <v>1140</v>
      </c>
      <c r="J300" s="252">
        <v>12.0</v>
      </c>
      <c r="K300" s="252">
        <v>704.0</v>
      </c>
      <c r="L300" s="252">
        <v>80.0</v>
      </c>
      <c r="M300" s="252">
        <v>6949.0</v>
      </c>
      <c r="N300" s="252">
        <v>10840.0</v>
      </c>
      <c r="O300" s="252">
        <v>4.0</v>
      </c>
      <c r="P300" s="252">
        <v>128.0</v>
      </c>
      <c r="Q300" s="252">
        <v>2313.0</v>
      </c>
      <c r="R300" s="251" t="s">
        <v>1141</v>
      </c>
      <c r="S300" s="251" t="s">
        <v>1122</v>
      </c>
      <c r="T300" s="251" t="s">
        <v>1123</v>
      </c>
      <c r="U300" s="252">
        <v>48.0</v>
      </c>
      <c r="V300" s="252">
        <v>12.0</v>
      </c>
      <c r="W300" s="252">
        <v>6.3</v>
      </c>
      <c r="X300" s="251" t="s">
        <v>1147</v>
      </c>
      <c r="Y300" s="251" t="s">
        <v>2713</v>
      </c>
      <c r="Z300" s="251" t="s">
        <v>2714</v>
      </c>
      <c r="AA300" s="254" t="s">
        <v>1105</v>
      </c>
      <c r="AB300" s="254" t="s">
        <v>1105</v>
      </c>
    </row>
    <row r="301">
      <c r="A301" s="252">
        <v>300.0</v>
      </c>
      <c r="B301" s="251" t="s">
        <v>2715</v>
      </c>
      <c r="C301" s="252">
        <v>1.0</v>
      </c>
      <c r="D301" s="251" t="s">
        <v>2716</v>
      </c>
      <c r="E301" s="251" t="s">
        <v>1970</v>
      </c>
      <c r="F301" s="251" t="s">
        <v>1129</v>
      </c>
      <c r="G301" s="253" t="s">
        <v>2717</v>
      </c>
      <c r="H301" s="252">
        <v>4.0</v>
      </c>
      <c r="I301" s="251" t="s">
        <v>1111</v>
      </c>
      <c r="J301" s="252">
        <v>10.0</v>
      </c>
      <c r="K301" s="252">
        <v>35.0</v>
      </c>
      <c r="L301" s="252">
        <v>120.0</v>
      </c>
      <c r="M301" s="252">
        <v>9260.0</v>
      </c>
      <c r="N301" s="252">
        <v>16112.0</v>
      </c>
      <c r="O301" s="252">
        <v>8.0</v>
      </c>
      <c r="P301" s="252">
        <v>128.0</v>
      </c>
      <c r="Q301" s="252">
        <v>6136.0</v>
      </c>
      <c r="R301" s="251" t="s">
        <v>1099</v>
      </c>
      <c r="S301" s="251" t="s">
        <v>1100</v>
      </c>
      <c r="T301" s="251" t="s">
        <v>1101</v>
      </c>
      <c r="U301" s="252">
        <v>16.0</v>
      </c>
      <c r="V301" s="252">
        <v>48.0</v>
      </c>
      <c r="W301" s="252">
        <v>4.7</v>
      </c>
      <c r="X301" s="251" t="s">
        <v>1147</v>
      </c>
      <c r="Y301" s="251" t="s">
        <v>2718</v>
      </c>
      <c r="Z301" s="251" t="s">
        <v>2719</v>
      </c>
      <c r="AA301" s="254" t="s">
        <v>1105</v>
      </c>
      <c r="AB301" s="254" t="s">
        <v>1105</v>
      </c>
    </row>
    <row r="302">
      <c r="A302" s="252">
        <v>301.0</v>
      </c>
      <c r="B302" s="251" t="s">
        <v>2720</v>
      </c>
      <c r="C302" s="252">
        <v>1.0</v>
      </c>
      <c r="D302" s="251" t="s">
        <v>2721</v>
      </c>
      <c r="E302" s="251" t="s">
        <v>1375</v>
      </c>
      <c r="F302" s="251" t="s">
        <v>1160</v>
      </c>
      <c r="G302" s="253" t="s">
        <v>2722</v>
      </c>
      <c r="H302" s="252">
        <v>5.0</v>
      </c>
      <c r="I302" s="251" t="s">
        <v>1131</v>
      </c>
      <c r="J302" s="252">
        <v>12.0</v>
      </c>
      <c r="K302" s="252">
        <v>330.0</v>
      </c>
      <c r="L302" s="252">
        <v>80.0</v>
      </c>
      <c r="M302" s="252">
        <v>5181.0</v>
      </c>
      <c r="N302" s="252">
        <v>8548.0</v>
      </c>
      <c r="O302" s="252">
        <v>4.0</v>
      </c>
      <c r="P302" s="252">
        <v>64.0</v>
      </c>
      <c r="Q302" s="252">
        <v>3040.0</v>
      </c>
      <c r="R302" s="251" t="s">
        <v>1099</v>
      </c>
      <c r="S302" s="251" t="s">
        <v>1122</v>
      </c>
      <c r="T302" s="251" t="s">
        <v>1021</v>
      </c>
      <c r="U302" s="252">
        <v>48.0</v>
      </c>
      <c r="V302" s="252">
        <v>14.0</v>
      </c>
      <c r="W302" s="252">
        <v>6.0</v>
      </c>
      <c r="X302" s="251" t="s">
        <v>1147</v>
      </c>
      <c r="Y302" s="251" t="s">
        <v>2723</v>
      </c>
      <c r="Z302" s="251" t="s">
        <v>2724</v>
      </c>
      <c r="AA302" s="254" t="s">
        <v>1105</v>
      </c>
      <c r="AB302" s="254" t="s">
        <v>1105</v>
      </c>
    </row>
    <row r="303">
      <c r="A303" s="252">
        <v>302.0</v>
      </c>
      <c r="B303" s="251" t="s">
        <v>2725</v>
      </c>
      <c r="C303" s="252">
        <v>1.0</v>
      </c>
      <c r="D303" s="251" t="s">
        <v>2726</v>
      </c>
      <c r="E303" s="251" t="s">
        <v>1633</v>
      </c>
      <c r="F303" s="251" t="s">
        <v>1160</v>
      </c>
      <c r="G303" s="253" t="s">
        <v>2727</v>
      </c>
      <c r="H303" s="252">
        <v>6.0</v>
      </c>
      <c r="I303" s="251" t="s">
        <v>1131</v>
      </c>
      <c r="J303" s="252">
        <v>10.0</v>
      </c>
      <c r="K303" s="252">
        <v>755.0</v>
      </c>
      <c r="L303" s="252">
        <v>120.0</v>
      </c>
      <c r="M303" s="252">
        <v>5509.0</v>
      </c>
      <c r="N303" s="252">
        <v>9585.0</v>
      </c>
      <c r="O303" s="252">
        <v>2.0</v>
      </c>
      <c r="P303" s="252">
        <v>64.0</v>
      </c>
      <c r="Q303" s="252">
        <v>4678.0</v>
      </c>
      <c r="R303" s="251" t="s">
        <v>1112</v>
      </c>
      <c r="S303" s="251" t="s">
        <v>1100</v>
      </c>
      <c r="T303" s="251" t="s">
        <v>1101</v>
      </c>
      <c r="U303" s="252">
        <v>14.0</v>
      </c>
      <c r="V303" s="252">
        <v>14.0</v>
      </c>
      <c r="W303" s="252">
        <v>4.7</v>
      </c>
      <c r="X303" s="251" t="s">
        <v>1102</v>
      </c>
      <c r="Y303" s="251" t="s">
        <v>2728</v>
      </c>
      <c r="Z303" s="251" t="s">
        <v>2729</v>
      </c>
      <c r="AA303" s="254" t="s">
        <v>1105</v>
      </c>
      <c r="AB303" s="254" t="s">
        <v>1105</v>
      </c>
    </row>
    <row r="304">
      <c r="A304" s="252">
        <v>303.0</v>
      </c>
      <c r="B304" s="251" t="s">
        <v>2730</v>
      </c>
      <c r="C304" s="252">
        <v>1.0</v>
      </c>
      <c r="D304" s="251" t="s">
        <v>2731</v>
      </c>
      <c r="E304" s="251" t="s">
        <v>2161</v>
      </c>
      <c r="F304" s="251" t="s">
        <v>1202</v>
      </c>
      <c r="G304" s="253" t="s">
        <v>2732</v>
      </c>
      <c r="H304" s="252">
        <v>4.0</v>
      </c>
      <c r="I304" s="251" t="s">
        <v>1121</v>
      </c>
      <c r="J304" s="252">
        <v>8.0</v>
      </c>
      <c r="K304" s="252">
        <v>319.0</v>
      </c>
      <c r="L304" s="252">
        <v>120.0</v>
      </c>
      <c r="M304" s="252">
        <v>13538.0</v>
      </c>
      <c r="N304" s="252">
        <v>22473.0</v>
      </c>
      <c r="O304" s="252">
        <v>4.0</v>
      </c>
      <c r="P304" s="252">
        <v>512.0</v>
      </c>
      <c r="Q304" s="252">
        <v>3938.0</v>
      </c>
      <c r="R304" s="251" t="s">
        <v>1099</v>
      </c>
      <c r="S304" s="251" t="s">
        <v>1122</v>
      </c>
      <c r="T304" s="251" t="s">
        <v>1021</v>
      </c>
      <c r="U304" s="252">
        <v>16.0</v>
      </c>
      <c r="V304" s="252">
        <v>16.0</v>
      </c>
      <c r="W304" s="252">
        <v>5.0</v>
      </c>
      <c r="X304" s="251" t="s">
        <v>1132</v>
      </c>
      <c r="Y304" s="251" t="s">
        <v>2733</v>
      </c>
      <c r="Z304" s="251" t="s">
        <v>2734</v>
      </c>
      <c r="AA304" s="254" t="s">
        <v>1105</v>
      </c>
      <c r="AB304" s="254" t="s">
        <v>1105</v>
      </c>
    </row>
    <row r="305">
      <c r="A305" s="252">
        <v>304.0</v>
      </c>
      <c r="B305" s="251" t="s">
        <v>2735</v>
      </c>
      <c r="C305" s="252">
        <v>1.0</v>
      </c>
      <c r="D305" s="251" t="s">
        <v>2736</v>
      </c>
      <c r="E305" s="251" t="s">
        <v>1534</v>
      </c>
      <c r="F305" s="251" t="s">
        <v>1119</v>
      </c>
      <c r="G305" s="253" t="s">
        <v>2737</v>
      </c>
      <c r="H305" s="252">
        <v>2.0</v>
      </c>
      <c r="I305" s="251" t="s">
        <v>1111</v>
      </c>
      <c r="J305" s="252">
        <v>10.0</v>
      </c>
      <c r="K305" s="252">
        <v>740.0</v>
      </c>
      <c r="L305" s="252">
        <v>100.0</v>
      </c>
      <c r="M305" s="252">
        <v>8668.0</v>
      </c>
      <c r="N305" s="252">
        <v>13868.0</v>
      </c>
      <c r="O305" s="252">
        <v>2.0</v>
      </c>
      <c r="P305" s="252">
        <v>8.0</v>
      </c>
      <c r="Q305" s="252">
        <v>3971.0</v>
      </c>
      <c r="R305" s="251" t="s">
        <v>1112</v>
      </c>
      <c r="S305" s="251" t="s">
        <v>1122</v>
      </c>
      <c r="T305" s="251" t="s">
        <v>1021</v>
      </c>
      <c r="U305" s="252">
        <v>16.0</v>
      </c>
      <c r="V305" s="252">
        <v>32.0</v>
      </c>
      <c r="W305" s="252">
        <v>6.0</v>
      </c>
      <c r="X305" s="251" t="s">
        <v>1113</v>
      </c>
      <c r="Y305" s="251" t="s">
        <v>2738</v>
      </c>
      <c r="Z305" s="251" t="s">
        <v>2739</v>
      </c>
      <c r="AA305" s="254" t="s">
        <v>1105</v>
      </c>
      <c r="AB305" s="254" t="s">
        <v>1105</v>
      </c>
    </row>
    <row r="306">
      <c r="A306" s="252">
        <v>305.0</v>
      </c>
      <c r="B306" s="251" t="s">
        <v>2740</v>
      </c>
      <c r="C306" s="252">
        <v>1.0</v>
      </c>
      <c r="D306" s="251" t="s">
        <v>2741</v>
      </c>
      <c r="E306" s="251" t="s">
        <v>1523</v>
      </c>
      <c r="F306" s="251" t="s">
        <v>1215</v>
      </c>
      <c r="G306" s="253" t="s">
        <v>2742</v>
      </c>
      <c r="H306" s="252">
        <v>5.0</v>
      </c>
      <c r="I306" s="251" t="s">
        <v>1140</v>
      </c>
      <c r="J306" s="252">
        <v>8.0</v>
      </c>
      <c r="K306" s="252">
        <v>116.0</v>
      </c>
      <c r="L306" s="252">
        <v>120.0</v>
      </c>
      <c r="M306" s="252">
        <v>5737.0</v>
      </c>
      <c r="N306" s="252">
        <v>7113.0</v>
      </c>
      <c r="O306" s="252">
        <v>2.0</v>
      </c>
      <c r="P306" s="252">
        <v>64.0</v>
      </c>
      <c r="Q306" s="252">
        <v>4028.0</v>
      </c>
      <c r="R306" s="251" t="s">
        <v>1141</v>
      </c>
      <c r="S306" s="251" t="s">
        <v>1100</v>
      </c>
      <c r="T306" s="251" t="s">
        <v>1021</v>
      </c>
      <c r="U306" s="252">
        <v>14.0</v>
      </c>
      <c r="V306" s="252">
        <v>32.0</v>
      </c>
      <c r="W306" s="252">
        <v>5.0</v>
      </c>
      <c r="X306" s="251" t="s">
        <v>1132</v>
      </c>
      <c r="Y306" s="251" t="s">
        <v>2743</v>
      </c>
      <c r="Z306" s="251" t="s">
        <v>2744</v>
      </c>
      <c r="AA306" s="254" t="s">
        <v>1105</v>
      </c>
      <c r="AB306" s="254" t="s">
        <v>1105</v>
      </c>
    </row>
    <row r="307">
      <c r="A307" s="252">
        <v>306.0</v>
      </c>
      <c r="B307" s="251" t="s">
        <v>2745</v>
      </c>
      <c r="C307" s="252">
        <v>1.0</v>
      </c>
      <c r="D307" s="251" t="s">
        <v>2746</v>
      </c>
      <c r="E307" s="251" t="s">
        <v>1347</v>
      </c>
      <c r="F307" s="251" t="s">
        <v>1129</v>
      </c>
      <c r="G307" s="253" t="s">
        <v>2747</v>
      </c>
      <c r="H307" s="252">
        <v>4.0</v>
      </c>
      <c r="I307" s="251" t="s">
        <v>1121</v>
      </c>
      <c r="J307" s="252">
        <v>8.0</v>
      </c>
      <c r="K307" s="252">
        <v>332.0</v>
      </c>
      <c r="L307" s="252">
        <v>80.0</v>
      </c>
      <c r="M307" s="252">
        <v>5269.0</v>
      </c>
      <c r="N307" s="252">
        <v>8325.0</v>
      </c>
      <c r="O307" s="252">
        <v>8.0</v>
      </c>
      <c r="P307" s="252">
        <v>8.0</v>
      </c>
      <c r="Q307" s="252">
        <v>4000.0</v>
      </c>
      <c r="R307" s="251" t="s">
        <v>1112</v>
      </c>
      <c r="S307" s="251" t="s">
        <v>1122</v>
      </c>
      <c r="T307" s="251" t="s">
        <v>1123</v>
      </c>
      <c r="U307" s="252">
        <v>48.0</v>
      </c>
      <c r="V307" s="252">
        <v>16.0</v>
      </c>
      <c r="W307" s="252">
        <v>6.3</v>
      </c>
      <c r="X307" s="251" t="s">
        <v>1147</v>
      </c>
      <c r="Y307" s="251" t="s">
        <v>2748</v>
      </c>
      <c r="Z307" s="251" t="s">
        <v>2749</v>
      </c>
      <c r="AA307" s="254" t="s">
        <v>1105</v>
      </c>
      <c r="AB307" s="254" t="s">
        <v>1105</v>
      </c>
    </row>
    <row r="308">
      <c r="A308" s="252">
        <v>307.0</v>
      </c>
      <c r="B308" s="251" t="s">
        <v>2750</v>
      </c>
      <c r="C308" s="252">
        <v>1.0</v>
      </c>
      <c r="D308" s="251" t="s">
        <v>2751</v>
      </c>
      <c r="E308" s="251" t="s">
        <v>1936</v>
      </c>
      <c r="F308" s="251" t="s">
        <v>1129</v>
      </c>
      <c r="G308" s="253" t="s">
        <v>2752</v>
      </c>
      <c r="H308" s="252">
        <v>4.0</v>
      </c>
      <c r="I308" s="251" t="s">
        <v>1131</v>
      </c>
      <c r="J308" s="252">
        <v>8.0</v>
      </c>
      <c r="K308" s="252">
        <v>858.0</v>
      </c>
      <c r="L308" s="252">
        <v>80.0</v>
      </c>
      <c r="M308" s="252">
        <v>22780.0</v>
      </c>
      <c r="N308" s="252">
        <v>31208.0</v>
      </c>
      <c r="O308" s="252">
        <v>8.0</v>
      </c>
      <c r="P308" s="252">
        <v>8.0</v>
      </c>
      <c r="Q308" s="252">
        <v>2131.0</v>
      </c>
      <c r="R308" s="251" t="s">
        <v>1141</v>
      </c>
      <c r="S308" s="251" t="s">
        <v>1100</v>
      </c>
      <c r="T308" s="251" t="s">
        <v>1021</v>
      </c>
      <c r="U308" s="252">
        <v>14.0</v>
      </c>
      <c r="V308" s="252">
        <v>12.0</v>
      </c>
      <c r="W308" s="252">
        <v>6.3</v>
      </c>
      <c r="X308" s="251" t="s">
        <v>1132</v>
      </c>
      <c r="Y308" s="251" t="s">
        <v>2753</v>
      </c>
      <c r="Z308" s="251" t="s">
        <v>2754</v>
      </c>
      <c r="AA308" s="254" t="s">
        <v>1105</v>
      </c>
      <c r="AB308" s="254" t="s">
        <v>1105</v>
      </c>
    </row>
    <row r="309">
      <c r="A309" s="252">
        <v>308.0</v>
      </c>
      <c r="B309" s="251" t="s">
        <v>2755</v>
      </c>
      <c r="C309" s="252">
        <v>1.0</v>
      </c>
      <c r="D309" s="251" t="s">
        <v>2756</v>
      </c>
      <c r="E309" s="251" t="s">
        <v>1353</v>
      </c>
      <c r="F309" s="251" t="s">
        <v>1109</v>
      </c>
      <c r="G309" s="253" t="s">
        <v>2757</v>
      </c>
      <c r="H309" s="252">
        <v>4.0</v>
      </c>
      <c r="I309" s="251" t="s">
        <v>1098</v>
      </c>
      <c r="J309" s="252">
        <v>8.0</v>
      </c>
      <c r="K309" s="252">
        <v>247.0</v>
      </c>
      <c r="L309" s="252">
        <v>120.0</v>
      </c>
      <c r="M309" s="252">
        <v>9160.0</v>
      </c>
      <c r="N309" s="252">
        <v>15297.0</v>
      </c>
      <c r="O309" s="252">
        <v>4.0</v>
      </c>
      <c r="P309" s="252">
        <v>16.0</v>
      </c>
      <c r="Q309" s="252">
        <v>2897.0</v>
      </c>
      <c r="R309" s="251" t="s">
        <v>1112</v>
      </c>
      <c r="S309" s="251" t="s">
        <v>1122</v>
      </c>
      <c r="T309" s="251" t="s">
        <v>1101</v>
      </c>
      <c r="U309" s="252">
        <v>12.0</v>
      </c>
      <c r="V309" s="252">
        <v>14.0</v>
      </c>
      <c r="W309" s="252">
        <v>4.7</v>
      </c>
      <c r="X309" s="251" t="s">
        <v>1147</v>
      </c>
      <c r="Y309" s="251" t="s">
        <v>2758</v>
      </c>
      <c r="Z309" s="251" t="s">
        <v>2759</v>
      </c>
      <c r="AA309" s="254" t="s">
        <v>1105</v>
      </c>
      <c r="AB309" s="254" t="s">
        <v>1105</v>
      </c>
    </row>
    <row r="310">
      <c r="A310" s="252">
        <v>309.0</v>
      </c>
      <c r="B310" s="251" t="s">
        <v>2760</v>
      </c>
      <c r="C310" s="252">
        <v>1.0</v>
      </c>
      <c r="D310" s="251" t="s">
        <v>2761</v>
      </c>
      <c r="E310" s="251" t="s">
        <v>1464</v>
      </c>
      <c r="F310" s="251" t="s">
        <v>1096</v>
      </c>
      <c r="G310" s="253" t="s">
        <v>2762</v>
      </c>
      <c r="H310" s="252">
        <v>4.0</v>
      </c>
      <c r="I310" s="251" t="s">
        <v>1131</v>
      </c>
      <c r="J310" s="252">
        <v>10.0</v>
      </c>
      <c r="K310" s="252">
        <v>846.0</v>
      </c>
      <c r="L310" s="252">
        <v>100.0</v>
      </c>
      <c r="M310" s="252">
        <v>20574.0</v>
      </c>
      <c r="N310" s="252">
        <v>26951.0</v>
      </c>
      <c r="O310" s="252">
        <v>8.0</v>
      </c>
      <c r="P310" s="252">
        <v>32.0</v>
      </c>
      <c r="Q310" s="252">
        <v>3436.0</v>
      </c>
      <c r="R310" s="251" t="s">
        <v>1099</v>
      </c>
      <c r="S310" s="251" t="s">
        <v>1100</v>
      </c>
      <c r="T310" s="251" t="s">
        <v>1021</v>
      </c>
      <c r="U310" s="252">
        <v>12.0</v>
      </c>
      <c r="V310" s="252">
        <v>14.0</v>
      </c>
      <c r="W310" s="252">
        <v>6.0</v>
      </c>
      <c r="X310" s="251" t="s">
        <v>1147</v>
      </c>
      <c r="Y310" s="251" t="s">
        <v>2763</v>
      </c>
      <c r="Z310" s="251" t="s">
        <v>2764</v>
      </c>
      <c r="AA310" s="254" t="s">
        <v>1105</v>
      </c>
      <c r="AB310" s="254" t="s">
        <v>1105</v>
      </c>
    </row>
    <row r="311">
      <c r="A311" s="252">
        <v>310.0</v>
      </c>
      <c r="B311" s="251" t="s">
        <v>2765</v>
      </c>
      <c r="C311" s="252">
        <v>1.0</v>
      </c>
      <c r="D311" s="251" t="s">
        <v>2766</v>
      </c>
      <c r="E311" s="251" t="s">
        <v>1189</v>
      </c>
      <c r="F311" s="251" t="s">
        <v>1096</v>
      </c>
      <c r="G311" s="253" t="s">
        <v>2767</v>
      </c>
      <c r="H311" s="252">
        <v>2.0</v>
      </c>
      <c r="I311" s="251" t="s">
        <v>1131</v>
      </c>
      <c r="J311" s="252">
        <v>10.0</v>
      </c>
      <c r="K311" s="252">
        <v>11.0</v>
      </c>
      <c r="L311" s="252">
        <v>100.0</v>
      </c>
      <c r="M311" s="252">
        <v>9500.0</v>
      </c>
      <c r="N311" s="252">
        <v>11400.0</v>
      </c>
      <c r="O311" s="252">
        <v>4.0</v>
      </c>
      <c r="P311" s="252">
        <v>16.0</v>
      </c>
      <c r="Q311" s="252">
        <v>4123.0</v>
      </c>
      <c r="R311" s="251" t="s">
        <v>1141</v>
      </c>
      <c r="S311" s="251" t="s">
        <v>1122</v>
      </c>
      <c r="T311" s="251" t="s">
        <v>1123</v>
      </c>
      <c r="U311" s="252">
        <v>48.0</v>
      </c>
      <c r="V311" s="252">
        <v>32.0</v>
      </c>
      <c r="W311" s="252">
        <v>4.7</v>
      </c>
      <c r="X311" s="251" t="s">
        <v>1102</v>
      </c>
      <c r="Y311" s="251" t="s">
        <v>2768</v>
      </c>
      <c r="Z311" s="251" t="s">
        <v>2769</v>
      </c>
      <c r="AA311" s="254" t="s">
        <v>1105</v>
      </c>
      <c r="AB311" s="254" t="s">
        <v>1105</v>
      </c>
    </row>
    <row r="312">
      <c r="A312" s="252">
        <v>311.0</v>
      </c>
      <c r="B312" s="251" t="s">
        <v>2770</v>
      </c>
      <c r="C312" s="252">
        <v>1.0</v>
      </c>
      <c r="D312" s="251" t="s">
        <v>2771</v>
      </c>
      <c r="E312" s="251" t="s">
        <v>1166</v>
      </c>
      <c r="F312" s="251" t="s">
        <v>1119</v>
      </c>
      <c r="G312" s="253" t="s">
        <v>2772</v>
      </c>
      <c r="H312" s="252">
        <v>5.0</v>
      </c>
      <c r="I312" s="251" t="s">
        <v>1121</v>
      </c>
      <c r="J312" s="252">
        <v>12.0</v>
      </c>
      <c r="K312" s="252">
        <v>815.0</v>
      </c>
      <c r="L312" s="252">
        <v>120.0</v>
      </c>
      <c r="M312" s="252">
        <v>6614.0</v>
      </c>
      <c r="N312" s="252">
        <v>8664.0</v>
      </c>
      <c r="O312" s="252">
        <v>12.0</v>
      </c>
      <c r="P312" s="252">
        <v>32.0</v>
      </c>
      <c r="Q312" s="252">
        <v>3205.0</v>
      </c>
      <c r="R312" s="251" t="s">
        <v>1099</v>
      </c>
      <c r="S312" s="251" t="s">
        <v>1100</v>
      </c>
      <c r="T312" s="251" t="s">
        <v>1123</v>
      </c>
      <c r="U312" s="252">
        <v>12.0</v>
      </c>
      <c r="V312" s="252">
        <v>16.0</v>
      </c>
      <c r="W312" s="252">
        <v>5.5</v>
      </c>
      <c r="X312" s="251" t="s">
        <v>1147</v>
      </c>
      <c r="Y312" s="251" t="s">
        <v>2773</v>
      </c>
      <c r="Z312" s="251" t="s">
        <v>2774</v>
      </c>
      <c r="AA312" s="254" t="s">
        <v>1105</v>
      </c>
      <c r="AB312" s="254" t="s">
        <v>1105</v>
      </c>
    </row>
    <row r="313">
      <c r="A313" s="252">
        <v>312.0</v>
      </c>
      <c r="B313" s="251" t="s">
        <v>2775</v>
      </c>
      <c r="C313" s="252">
        <v>1.0</v>
      </c>
      <c r="D313" s="251" t="s">
        <v>2776</v>
      </c>
      <c r="E313" s="251" t="s">
        <v>2161</v>
      </c>
      <c r="F313" s="251" t="s">
        <v>1202</v>
      </c>
      <c r="G313" s="253" t="s">
        <v>2777</v>
      </c>
      <c r="H313" s="252">
        <v>5.0</v>
      </c>
      <c r="I313" s="251" t="s">
        <v>1098</v>
      </c>
      <c r="J313" s="252">
        <v>12.0</v>
      </c>
      <c r="K313" s="252">
        <v>831.0</v>
      </c>
      <c r="L313" s="252">
        <v>80.0</v>
      </c>
      <c r="M313" s="252">
        <v>4890.0</v>
      </c>
      <c r="N313" s="252">
        <v>6846.0</v>
      </c>
      <c r="O313" s="252">
        <v>6.0</v>
      </c>
      <c r="P313" s="252">
        <v>32.0</v>
      </c>
      <c r="Q313" s="252">
        <v>2725.0</v>
      </c>
      <c r="R313" s="251" t="s">
        <v>1112</v>
      </c>
      <c r="S313" s="251" t="s">
        <v>1122</v>
      </c>
      <c r="T313" s="251" t="s">
        <v>1101</v>
      </c>
      <c r="U313" s="252">
        <v>14.0</v>
      </c>
      <c r="V313" s="252">
        <v>14.0</v>
      </c>
      <c r="W313" s="252">
        <v>5.2</v>
      </c>
      <c r="X313" s="251" t="s">
        <v>1113</v>
      </c>
      <c r="Y313" s="251" t="s">
        <v>2778</v>
      </c>
      <c r="Z313" s="251" t="s">
        <v>2779</v>
      </c>
      <c r="AA313" s="254" t="s">
        <v>1105</v>
      </c>
      <c r="AB313" s="254" t="s">
        <v>1105</v>
      </c>
    </row>
    <row r="314">
      <c r="A314" s="252">
        <v>313.0</v>
      </c>
      <c r="B314" s="251" t="s">
        <v>2780</v>
      </c>
      <c r="C314" s="252">
        <v>1.0</v>
      </c>
      <c r="D314" s="251" t="s">
        <v>2781</v>
      </c>
      <c r="E314" s="251" t="s">
        <v>1534</v>
      </c>
      <c r="F314" s="251" t="s">
        <v>1119</v>
      </c>
      <c r="G314" s="253" t="s">
        <v>2782</v>
      </c>
      <c r="H314" s="252">
        <v>2.0</v>
      </c>
      <c r="I314" s="251" t="s">
        <v>1098</v>
      </c>
      <c r="J314" s="252">
        <v>12.0</v>
      </c>
      <c r="K314" s="252">
        <v>779.0</v>
      </c>
      <c r="L314" s="252">
        <v>100.0</v>
      </c>
      <c r="M314" s="252">
        <v>5030.0</v>
      </c>
      <c r="N314" s="252">
        <v>6287.0</v>
      </c>
      <c r="O314" s="252">
        <v>6.0</v>
      </c>
      <c r="P314" s="252">
        <v>32.0</v>
      </c>
      <c r="Q314" s="252">
        <v>3275.0</v>
      </c>
      <c r="R314" s="251" t="s">
        <v>1141</v>
      </c>
      <c r="S314" s="251" t="s">
        <v>1122</v>
      </c>
      <c r="T314" s="251" t="s">
        <v>1123</v>
      </c>
      <c r="U314" s="252">
        <v>14.0</v>
      </c>
      <c r="V314" s="252">
        <v>12.0</v>
      </c>
      <c r="W314" s="252">
        <v>5.2</v>
      </c>
      <c r="X314" s="251" t="s">
        <v>1147</v>
      </c>
      <c r="Y314" s="251" t="s">
        <v>2783</v>
      </c>
      <c r="Z314" s="251" t="s">
        <v>2784</v>
      </c>
      <c r="AA314" s="254" t="s">
        <v>1105</v>
      </c>
      <c r="AB314" s="254" t="s">
        <v>1105</v>
      </c>
    </row>
    <row r="315">
      <c r="A315" s="252">
        <v>314.0</v>
      </c>
      <c r="B315" s="251" t="s">
        <v>2785</v>
      </c>
      <c r="C315" s="252">
        <v>1.0</v>
      </c>
      <c r="D315" s="251" t="s">
        <v>2786</v>
      </c>
      <c r="E315" s="251" t="s">
        <v>1387</v>
      </c>
      <c r="F315" s="251" t="s">
        <v>1160</v>
      </c>
      <c r="G315" s="253" t="s">
        <v>1497</v>
      </c>
      <c r="H315" s="252">
        <v>3.0</v>
      </c>
      <c r="I315" s="251" t="s">
        <v>1121</v>
      </c>
      <c r="J315" s="252">
        <v>8.0</v>
      </c>
      <c r="K315" s="252">
        <v>581.0</v>
      </c>
      <c r="L315" s="252">
        <v>100.0</v>
      </c>
      <c r="M315" s="252">
        <v>15867.0</v>
      </c>
      <c r="N315" s="252">
        <v>21103.0</v>
      </c>
      <c r="O315" s="252">
        <v>2.0</v>
      </c>
      <c r="P315" s="252">
        <v>16.0</v>
      </c>
      <c r="Q315" s="252">
        <v>4177.0</v>
      </c>
      <c r="R315" s="251" t="s">
        <v>1141</v>
      </c>
      <c r="S315" s="251" t="s">
        <v>1122</v>
      </c>
      <c r="T315" s="251" t="s">
        <v>1021</v>
      </c>
      <c r="U315" s="252">
        <v>16.0</v>
      </c>
      <c r="V315" s="252">
        <v>12.0</v>
      </c>
      <c r="W315" s="252">
        <v>5.5</v>
      </c>
      <c r="X315" s="251" t="s">
        <v>1102</v>
      </c>
      <c r="Y315" s="251" t="s">
        <v>2787</v>
      </c>
      <c r="Z315" s="251" t="s">
        <v>2788</v>
      </c>
      <c r="AA315" s="254" t="s">
        <v>1105</v>
      </c>
      <c r="AB315" s="254" t="s">
        <v>1105</v>
      </c>
    </row>
    <row r="316">
      <c r="A316" s="252">
        <v>315.0</v>
      </c>
      <c r="B316" s="251" t="s">
        <v>2789</v>
      </c>
      <c r="C316" s="252">
        <v>1.0</v>
      </c>
      <c r="D316" s="251" t="s">
        <v>2790</v>
      </c>
      <c r="E316" s="251" t="s">
        <v>1550</v>
      </c>
      <c r="F316" s="251" t="s">
        <v>1109</v>
      </c>
      <c r="G316" s="253" t="s">
        <v>2791</v>
      </c>
      <c r="H316" s="252">
        <v>4.0</v>
      </c>
      <c r="I316" s="251" t="s">
        <v>1140</v>
      </c>
      <c r="J316" s="252">
        <v>12.0</v>
      </c>
      <c r="K316" s="252">
        <v>204.0</v>
      </c>
      <c r="L316" s="252">
        <v>120.0</v>
      </c>
      <c r="M316" s="252">
        <v>20287.0</v>
      </c>
      <c r="N316" s="252">
        <v>24547.0</v>
      </c>
      <c r="O316" s="252">
        <v>6.0</v>
      </c>
      <c r="P316" s="252">
        <v>16.0</v>
      </c>
      <c r="Q316" s="252">
        <v>5636.0</v>
      </c>
      <c r="R316" s="251" t="s">
        <v>1141</v>
      </c>
      <c r="S316" s="251" t="s">
        <v>1122</v>
      </c>
      <c r="T316" s="251" t="s">
        <v>1101</v>
      </c>
      <c r="U316" s="252">
        <v>14.0</v>
      </c>
      <c r="V316" s="252">
        <v>14.0</v>
      </c>
      <c r="W316" s="252">
        <v>5.0</v>
      </c>
      <c r="X316" s="251" t="s">
        <v>1113</v>
      </c>
      <c r="Y316" s="251" t="s">
        <v>2792</v>
      </c>
      <c r="Z316" s="251" t="s">
        <v>2793</v>
      </c>
      <c r="AA316" s="254" t="s">
        <v>1105</v>
      </c>
      <c r="AB316" s="254" t="s">
        <v>1105</v>
      </c>
    </row>
    <row r="317">
      <c r="A317" s="252">
        <v>316.0</v>
      </c>
      <c r="B317" s="251" t="s">
        <v>2794</v>
      </c>
      <c r="C317" s="252">
        <v>1.0</v>
      </c>
      <c r="D317" s="251" t="s">
        <v>2795</v>
      </c>
      <c r="E317" s="251" t="s">
        <v>1341</v>
      </c>
      <c r="F317" s="251" t="s">
        <v>1215</v>
      </c>
      <c r="G317" s="253" t="s">
        <v>2796</v>
      </c>
      <c r="H317" s="252">
        <v>4.0</v>
      </c>
      <c r="I317" s="251" t="s">
        <v>1131</v>
      </c>
      <c r="J317" s="252">
        <v>12.0</v>
      </c>
      <c r="K317" s="252">
        <v>468.0</v>
      </c>
      <c r="L317" s="252">
        <v>120.0</v>
      </c>
      <c r="M317" s="252">
        <v>12491.0</v>
      </c>
      <c r="N317" s="252">
        <v>16238.0</v>
      </c>
      <c r="O317" s="252">
        <v>6.0</v>
      </c>
      <c r="P317" s="252">
        <v>16.0</v>
      </c>
      <c r="Q317" s="252">
        <v>5495.0</v>
      </c>
      <c r="R317" s="251" t="s">
        <v>1099</v>
      </c>
      <c r="S317" s="251" t="s">
        <v>1100</v>
      </c>
      <c r="T317" s="251" t="s">
        <v>1101</v>
      </c>
      <c r="U317" s="252">
        <v>16.0</v>
      </c>
      <c r="V317" s="252">
        <v>12.0</v>
      </c>
      <c r="W317" s="252">
        <v>6.3</v>
      </c>
      <c r="X317" s="251" t="s">
        <v>1147</v>
      </c>
      <c r="Y317" s="251" t="s">
        <v>2797</v>
      </c>
      <c r="Z317" s="251" t="s">
        <v>2798</v>
      </c>
      <c r="AA317" s="254" t="s">
        <v>1105</v>
      </c>
      <c r="AB317" s="254" t="s">
        <v>1105</v>
      </c>
    </row>
    <row r="318">
      <c r="A318" s="252">
        <v>317.0</v>
      </c>
      <c r="B318" s="251" t="s">
        <v>2799</v>
      </c>
      <c r="C318" s="252">
        <v>1.0</v>
      </c>
      <c r="D318" s="251" t="s">
        <v>2800</v>
      </c>
      <c r="E318" s="251" t="s">
        <v>1353</v>
      </c>
      <c r="F318" s="251" t="s">
        <v>1109</v>
      </c>
      <c r="G318" s="253" t="s">
        <v>2801</v>
      </c>
      <c r="H318" s="252">
        <v>4.0</v>
      </c>
      <c r="I318" s="251" t="s">
        <v>1140</v>
      </c>
      <c r="J318" s="252">
        <v>8.0</v>
      </c>
      <c r="K318" s="252">
        <v>515.0</v>
      </c>
      <c r="L318" s="252">
        <v>100.0</v>
      </c>
      <c r="M318" s="252">
        <v>20855.0</v>
      </c>
      <c r="N318" s="252">
        <v>28154.0</v>
      </c>
      <c r="O318" s="252">
        <v>4.0</v>
      </c>
      <c r="P318" s="252">
        <v>512.0</v>
      </c>
      <c r="Q318" s="252">
        <v>1964.0</v>
      </c>
      <c r="R318" s="251" t="s">
        <v>1141</v>
      </c>
      <c r="S318" s="251" t="s">
        <v>1100</v>
      </c>
      <c r="T318" s="251" t="s">
        <v>1021</v>
      </c>
      <c r="U318" s="252">
        <v>14.0</v>
      </c>
      <c r="V318" s="252">
        <v>32.0</v>
      </c>
      <c r="W318" s="252">
        <v>5.2</v>
      </c>
      <c r="X318" s="251" t="s">
        <v>1132</v>
      </c>
      <c r="Y318" s="251" t="s">
        <v>2802</v>
      </c>
      <c r="Z318" s="251" t="s">
        <v>2803</v>
      </c>
      <c r="AA318" s="254" t="s">
        <v>1105</v>
      </c>
      <c r="AB318" s="254" t="s">
        <v>1105</v>
      </c>
    </row>
    <row r="319">
      <c r="A319" s="252">
        <v>318.0</v>
      </c>
      <c r="B319" s="251" t="s">
        <v>2804</v>
      </c>
      <c r="C319" s="252">
        <v>1.0</v>
      </c>
      <c r="D319" s="251" t="s">
        <v>2805</v>
      </c>
      <c r="E319" s="251" t="s">
        <v>1440</v>
      </c>
      <c r="F319" s="251" t="s">
        <v>1233</v>
      </c>
      <c r="G319" s="253" t="s">
        <v>2806</v>
      </c>
      <c r="H319" s="252">
        <v>6.0</v>
      </c>
      <c r="I319" s="251" t="s">
        <v>1111</v>
      </c>
      <c r="J319" s="252">
        <v>12.0</v>
      </c>
      <c r="K319" s="252">
        <v>893.0</v>
      </c>
      <c r="L319" s="252">
        <v>120.0</v>
      </c>
      <c r="M319" s="252">
        <v>20134.0</v>
      </c>
      <c r="N319" s="252">
        <v>32415.0</v>
      </c>
      <c r="O319" s="252">
        <v>6.0</v>
      </c>
      <c r="P319" s="252">
        <v>64.0</v>
      </c>
      <c r="Q319" s="252">
        <v>4081.0</v>
      </c>
      <c r="R319" s="251" t="s">
        <v>1112</v>
      </c>
      <c r="S319" s="251" t="s">
        <v>1100</v>
      </c>
      <c r="T319" s="251" t="s">
        <v>1021</v>
      </c>
      <c r="U319" s="252">
        <v>16.0</v>
      </c>
      <c r="V319" s="252">
        <v>14.0</v>
      </c>
      <c r="W319" s="252">
        <v>6.3</v>
      </c>
      <c r="X319" s="251" t="s">
        <v>1147</v>
      </c>
      <c r="Y319" s="251" t="s">
        <v>2807</v>
      </c>
      <c r="Z319" s="251" t="s">
        <v>2808</v>
      </c>
      <c r="AA319" s="254" t="s">
        <v>1105</v>
      </c>
      <c r="AB319" s="254" t="s">
        <v>1105</v>
      </c>
    </row>
    <row r="320">
      <c r="A320" s="252">
        <v>319.0</v>
      </c>
      <c r="B320" s="251" t="s">
        <v>2809</v>
      </c>
      <c r="C320" s="252">
        <v>1.0</v>
      </c>
      <c r="D320" s="251" t="s">
        <v>2810</v>
      </c>
      <c r="E320" s="251" t="s">
        <v>2125</v>
      </c>
      <c r="F320" s="251" t="s">
        <v>1202</v>
      </c>
      <c r="G320" s="253" t="s">
        <v>2811</v>
      </c>
      <c r="H320" s="252">
        <v>3.0</v>
      </c>
      <c r="I320" s="251" t="s">
        <v>1131</v>
      </c>
      <c r="J320" s="252">
        <v>10.0</v>
      </c>
      <c r="K320" s="252">
        <v>262.0</v>
      </c>
      <c r="L320" s="252">
        <v>80.0</v>
      </c>
      <c r="M320" s="252">
        <v>4817.0</v>
      </c>
      <c r="N320" s="252">
        <v>5780.0</v>
      </c>
      <c r="O320" s="252">
        <v>2.0</v>
      </c>
      <c r="P320" s="252">
        <v>128.0</v>
      </c>
      <c r="Q320" s="252">
        <v>5578.0</v>
      </c>
      <c r="R320" s="251" t="s">
        <v>1141</v>
      </c>
      <c r="S320" s="251" t="s">
        <v>1100</v>
      </c>
      <c r="T320" s="251" t="s">
        <v>1123</v>
      </c>
      <c r="U320" s="252">
        <v>16.0</v>
      </c>
      <c r="V320" s="252">
        <v>16.0</v>
      </c>
      <c r="W320" s="252">
        <v>5.0</v>
      </c>
      <c r="X320" s="251" t="s">
        <v>1102</v>
      </c>
      <c r="Y320" s="251" t="s">
        <v>2812</v>
      </c>
      <c r="Z320" s="251" t="s">
        <v>2813</v>
      </c>
      <c r="AA320" s="254" t="s">
        <v>1105</v>
      </c>
      <c r="AB320" s="254" t="s">
        <v>1105</v>
      </c>
    </row>
    <row r="321">
      <c r="A321" s="252">
        <v>320.0</v>
      </c>
      <c r="B321" s="251" t="s">
        <v>2814</v>
      </c>
      <c r="C321" s="252">
        <v>1.0</v>
      </c>
      <c r="D321" s="251" t="s">
        <v>2815</v>
      </c>
      <c r="E321" s="251" t="s">
        <v>1137</v>
      </c>
      <c r="F321" s="251" t="s">
        <v>1138</v>
      </c>
      <c r="G321" s="253" t="s">
        <v>2816</v>
      </c>
      <c r="H321" s="252">
        <v>3.0</v>
      </c>
      <c r="I321" s="251" t="s">
        <v>1140</v>
      </c>
      <c r="J321" s="252">
        <v>12.0</v>
      </c>
      <c r="K321" s="252">
        <v>34.0</v>
      </c>
      <c r="L321" s="252">
        <v>120.0</v>
      </c>
      <c r="M321" s="252">
        <v>12909.0</v>
      </c>
      <c r="N321" s="252">
        <v>19750.0</v>
      </c>
      <c r="O321" s="252">
        <v>4.0</v>
      </c>
      <c r="P321" s="252">
        <v>16.0</v>
      </c>
      <c r="Q321" s="252">
        <v>5061.0</v>
      </c>
      <c r="R321" s="251" t="s">
        <v>1112</v>
      </c>
      <c r="S321" s="251" t="s">
        <v>1122</v>
      </c>
      <c r="T321" s="251" t="s">
        <v>1101</v>
      </c>
      <c r="U321" s="252">
        <v>14.0</v>
      </c>
      <c r="V321" s="252">
        <v>12.0</v>
      </c>
      <c r="W321" s="252">
        <v>6.0</v>
      </c>
      <c r="X321" s="251" t="s">
        <v>1147</v>
      </c>
      <c r="Y321" s="251" t="s">
        <v>2817</v>
      </c>
      <c r="Z321" s="251" t="s">
        <v>2818</v>
      </c>
      <c r="AA321" s="254" t="s">
        <v>1105</v>
      </c>
      <c r="AB321" s="254" t="s">
        <v>1105</v>
      </c>
    </row>
    <row r="322">
      <c r="A322" s="252">
        <v>321.0</v>
      </c>
      <c r="B322" s="251" t="s">
        <v>2819</v>
      </c>
      <c r="C322" s="252">
        <v>1.0</v>
      </c>
      <c r="D322" s="251" t="s">
        <v>2820</v>
      </c>
      <c r="E322" s="251" t="s">
        <v>1434</v>
      </c>
      <c r="F322" s="251" t="s">
        <v>1096</v>
      </c>
      <c r="G322" s="253" t="s">
        <v>2821</v>
      </c>
      <c r="H322" s="252">
        <v>4.0</v>
      </c>
      <c r="I322" s="251" t="s">
        <v>1098</v>
      </c>
      <c r="J322" s="252">
        <v>12.0</v>
      </c>
      <c r="K322" s="252">
        <v>938.0</v>
      </c>
      <c r="L322" s="252">
        <v>100.0</v>
      </c>
      <c r="M322" s="252">
        <v>22994.0</v>
      </c>
      <c r="N322" s="252">
        <v>30352.0</v>
      </c>
      <c r="O322" s="252">
        <v>12.0</v>
      </c>
      <c r="P322" s="252">
        <v>64.0</v>
      </c>
      <c r="Q322" s="252">
        <v>6365.0</v>
      </c>
      <c r="R322" s="251" t="s">
        <v>1099</v>
      </c>
      <c r="S322" s="251" t="s">
        <v>1122</v>
      </c>
      <c r="T322" s="251" t="s">
        <v>1101</v>
      </c>
      <c r="U322" s="252">
        <v>16.0</v>
      </c>
      <c r="V322" s="252">
        <v>14.0</v>
      </c>
      <c r="W322" s="252">
        <v>6.0</v>
      </c>
      <c r="X322" s="251" t="s">
        <v>1102</v>
      </c>
      <c r="Y322" s="251" t="s">
        <v>2822</v>
      </c>
      <c r="Z322" s="251" t="s">
        <v>2823</v>
      </c>
      <c r="AA322" s="254" t="s">
        <v>1105</v>
      </c>
      <c r="AB322" s="254" t="s">
        <v>1105</v>
      </c>
    </row>
    <row r="323">
      <c r="A323" s="252">
        <v>322.0</v>
      </c>
      <c r="B323" s="251" t="s">
        <v>2824</v>
      </c>
      <c r="C323" s="252">
        <v>1.0</v>
      </c>
      <c r="D323" s="251" t="s">
        <v>2825</v>
      </c>
      <c r="E323" s="251" t="s">
        <v>2177</v>
      </c>
      <c r="F323" s="251" t="s">
        <v>1129</v>
      </c>
      <c r="G323" s="253" t="s">
        <v>2826</v>
      </c>
      <c r="H323" s="252">
        <v>6.0</v>
      </c>
      <c r="I323" s="251" t="s">
        <v>1140</v>
      </c>
      <c r="J323" s="252">
        <v>10.0</v>
      </c>
      <c r="K323" s="252">
        <v>560.0</v>
      </c>
      <c r="L323" s="252">
        <v>100.0</v>
      </c>
      <c r="M323" s="252">
        <v>14354.0</v>
      </c>
      <c r="N323" s="252">
        <v>23253.0</v>
      </c>
      <c r="O323" s="252">
        <v>4.0</v>
      </c>
      <c r="P323" s="252">
        <v>8.0</v>
      </c>
      <c r="Q323" s="252">
        <v>2414.0</v>
      </c>
      <c r="R323" s="251" t="s">
        <v>1099</v>
      </c>
      <c r="S323" s="251" t="s">
        <v>1122</v>
      </c>
      <c r="T323" s="251" t="s">
        <v>1123</v>
      </c>
      <c r="U323" s="252">
        <v>16.0</v>
      </c>
      <c r="V323" s="252">
        <v>48.0</v>
      </c>
      <c r="W323" s="252">
        <v>5.5</v>
      </c>
      <c r="X323" s="251" t="s">
        <v>1132</v>
      </c>
      <c r="Y323" s="251" t="s">
        <v>2827</v>
      </c>
      <c r="Z323" s="251" t="s">
        <v>2828</v>
      </c>
      <c r="AA323" s="254" t="s">
        <v>1105</v>
      </c>
      <c r="AB323" s="254" t="s">
        <v>1105</v>
      </c>
    </row>
    <row r="324">
      <c r="A324" s="252">
        <v>323.0</v>
      </c>
      <c r="B324" s="251" t="s">
        <v>2829</v>
      </c>
      <c r="C324" s="252">
        <v>1.0</v>
      </c>
      <c r="D324" s="251" t="s">
        <v>2830</v>
      </c>
      <c r="E324" s="251" t="s">
        <v>1598</v>
      </c>
      <c r="F324" s="251" t="s">
        <v>1153</v>
      </c>
      <c r="G324" s="253" t="s">
        <v>2831</v>
      </c>
      <c r="H324" s="252">
        <v>5.0</v>
      </c>
      <c r="I324" s="251" t="s">
        <v>1111</v>
      </c>
      <c r="J324" s="252">
        <v>8.0</v>
      </c>
      <c r="K324" s="252">
        <v>372.0</v>
      </c>
      <c r="L324" s="252">
        <v>80.0</v>
      </c>
      <c r="M324" s="252">
        <v>21421.0</v>
      </c>
      <c r="N324" s="252">
        <v>31703.0</v>
      </c>
      <c r="O324" s="252">
        <v>12.0</v>
      </c>
      <c r="P324" s="252">
        <v>32.0</v>
      </c>
      <c r="Q324" s="252">
        <v>2994.0</v>
      </c>
      <c r="R324" s="251" t="s">
        <v>1099</v>
      </c>
      <c r="S324" s="251" t="s">
        <v>1100</v>
      </c>
      <c r="T324" s="251" t="s">
        <v>1123</v>
      </c>
      <c r="U324" s="252">
        <v>32.0</v>
      </c>
      <c r="V324" s="252">
        <v>32.0</v>
      </c>
      <c r="W324" s="252">
        <v>6.3</v>
      </c>
      <c r="X324" s="251" t="s">
        <v>1113</v>
      </c>
      <c r="Y324" s="251" t="s">
        <v>2832</v>
      </c>
      <c r="Z324" s="251" t="s">
        <v>2833</v>
      </c>
      <c r="AA324" s="254" t="s">
        <v>1105</v>
      </c>
      <c r="AB324" s="254" t="s">
        <v>1105</v>
      </c>
    </row>
    <row r="325">
      <c r="A325" s="252">
        <v>324.0</v>
      </c>
      <c r="B325" s="251" t="s">
        <v>2834</v>
      </c>
      <c r="C325" s="252">
        <v>1.0</v>
      </c>
      <c r="D325" s="251" t="s">
        <v>2835</v>
      </c>
      <c r="E325" s="251" t="s">
        <v>1991</v>
      </c>
      <c r="F325" s="251" t="s">
        <v>1233</v>
      </c>
      <c r="G325" s="253" t="s">
        <v>2836</v>
      </c>
      <c r="H325" s="252">
        <v>3.0</v>
      </c>
      <c r="I325" s="251" t="s">
        <v>1121</v>
      </c>
      <c r="J325" s="252">
        <v>10.0</v>
      </c>
      <c r="K325" s="252">
        <v>354.0</v>
      </c>
      <c r="L325" s="252">
        <v>120.0</v>
      </c>
      <c r="M325" s="252">
        <v>6329.0</v>
      </c>
      <c r="N325" s="252">
        <v>8923.0</v>
      </c>
      <c r="O325" s="252">
        <v>2.0</v>
      </c>
      <c r="P325" s="252">
        <v>128.0</v>
      </c>
      <c r="Q325" s="252">
        <v>3145.0</v>
      </c>
      <c r="R325" s="251" t="s">
        <v>1112</v>
      </c>
      <c r="S325" s="251" t="s">
        <v>1122</v>
      </c>
      <c r="T325" s="251" t="s">
        <v>1021</v>
      </c>
      <c r="U325" s="252">
        <v>32.0</v>
      </c>
      <c r="V325" s="252">
        <v>12.0</v>
      </c>
      <c r="W325" s="252">
        <v>5.5</v>
      </c>
      <c r="X325" s="251" t="s">
        <v>1147</v>
      </c>
      <c r="Y325" s="251" t="s">
        <v>2837</v>
      </c>
      <c r="Z325" s="251" t="s">
        <v>2838</v>
      </c>
      <c r="AA325" s="254" t="s">
        <v>1105</v>
      </c>
      <c r="AB325" s="254" t="s">
        <v>1105</v>
      </c>
    </row>
    <row r="326">
      <c r="A326" s="252">
        <v>325.0</v>
      </c>
      <c r="B326" s="251" t="s">
        <v>2839</v>
      </c>
      <c r="C326" s="252">
        <v>1.0</v>
      </c>
      <c r="D326" s="251" t="s">
        <v>2840</v>
      </c>
      <c r="E326" s="251" t="s">
        <v>1266</v>
      </c>
      <c r="F326" s="251" t="s">
        <v>1096</v>
      </c>
      <c r="G326" s="253" t="s">
        <v>2841</v>
      </c>
      <c r="H326" s="252">
        <v>2.0</v>
      </c>
      <c r="I326" s="251" t="s">
        <v>1121</v>
      </c>
      <c r="J326" s="252">
        <v>10.0</v>
      </c>
      <c r="K326" s="252">
        <v>337.0</v>
      </c>
      <c r="L326" s="252">
        <v>120.0</v>
      </c>
      <c r="M326" s="252">
        <v>18910.0</v>
      </c>
      <c r="N326" s="252">
        <v>32525.0</v>
      </c>
      <c r="O326" s="252">
        <v>2.0</v>
      </c>
      <c r="P326" s="252">
        <v>16.0</v>
      </c>
      <c r="Q326" s="252">
        <v>4657.0</v>
      </c>
      <c r="R326" s="251" t="s">
        <v>1112</v>
      </c>
      <c r="S326" s="251" t="s">
        <v>1122</v>
      </c>
      <c r="T326" s="251" t="s">
        <v>1101</v>
      </c>
      <c r="U326" s="252">
        <v>16.0</v>
      </c>
      <c r="V326" s="252">
        <v>48.0</v>
      </c>
      <c r="W326" s="252">
        <v>5.0</v>
      </c>
      <c r="X326" s="251" t="s">
        <v>1102</v>
      </c>
      <c r="Y326" s="251" t="s">
        <v>2842</v>
      </c>
      <c r="Z326" s="251" t="s">
        <v>2843</v>
      </c>
      <c r="AA326" s="254" t="s">
        <v>1105</v>
      </c>
      <c r="AB326" s="254" t="s">
        <v>1105</v>
      </c>
    </row>
    <row r="327">
      <c r="A327" s="252">
        <v>326.0</v>
      </c>
      <c r="B327" s="251" t="s">
        <v>2844</v>
      </c>
      <c r="C327" s="252">
        <v>1.0</v>
      </c>
      <c r="D327" s="251" t="s">
        <v>2845</v>
      </c>
      <c r="E327" s="251" t="s">
        <v>2450</v>
      </c>
      <c r="F327" s="251" t="s">
        <v>1129</v>
      </c>
      <c r="G327" s="253" t="s">
        <v>1745</v>
      </c>
      <c r="H327" s="252">
        <v>2.0</v>
      </c>
      <c r="I327" s="251" t="s">
        <v>1111</v>
      </c>
      <c r="J327" s="252">
        <v>8.0</v>
      </c>
      <c r="K327" s="252">
        <v>908.0</v>
      </c>
      <c r="L327" s="252">
        <v>100.0</v>
      </c>
      <c r="M327" s="252">
        <v>19256.0</v>
      </c>
      <c r="N327" s="252">
        <v>28113.0</v>
      </c>
      <c r="O327" s="252">
        <v>6.0</v>
      </c>
      <c r="P327" s="252">
        <v>128.0</v>
      </c>
      <c r="Q327" s="252">
        <v>4645.0</v>
      </c>
      <c r="R327" s="251" t="s">
        <v>1141</v>
      </c>
      <c r="S327" s="251" t="s">
        <v>1122</v>
      </c>
      <c r="T327" s="251" t="s">
        <v>1123</v>
      </c>
      <c r="U327" s="252">
        <v>16.0</v>
      </c>
      <c r="V327" s="252">
        <v>12.0</v>
      </c>
      <c r="W327" s="252">
        <v>5.0</v>
      </c>
      <c r="X327" s="251" t="s">
        <v>1102</v>
      </c>
      <c r="Y327" s="251" t="s">
        <v>2846</v>
      </c>
      <c r="Z327" s="251" t="s">
        <v>2847</v>
      </c>
      <c r="AA327" s="254" t="s">
        <v>1105</v>
      </c>
      <c r="AB327" s="254" t="s">
        <v>1105</v>
      </c>
    </row>
    <row r="328">
      <c r="A328" s="252">
        <v>327.0</v>
      </c>
      <c r="B328" s="251" t="s">
        <v>2848</v>
      </c>
      <c r="C328" s="252">
        <v>1.0</v>
      </c>
      <c r="D328" s="251" t="s">
        <v>2849</v>
      </c>
      <c r="E328" s="251" t="s">
        <v>1836</v>
      </c>
      <c r="F328" s="251" t="s">
        <v>1233</v>
      </c>
      <c r="G328" s="253" t="s">
        <v>2850</v>
      </c>
      <c r="H328" s="252">
        <v>2.0</v>
      </c>
      <c r="I328" s="251" t="s">
        <v>1131</v>
      </c>
      <c r="J328" s="252">
        <v>8.0</v>
      </c>
      <c r="K328" s="252">
        <v>633.0</v>
      </c>
      <c r="L328" s="252">
        <v>100.0</v>
      </c>
      <c r="M328" s="252">
        <v>19384.0</v>
      </c>
      <c r="N328" s="252">
        <v>26362.0</v>
      </c>
      <c r="O328" s="252">
        <v>6.0</v>
      </c>
      <c r="P328" s="252">
        <v>512.0</v>
      </c>
      <c r="Q328" s="252">
        <v>3372.0</v>
      </c>
      <c r="R328" s="251" t="s">
        <v>1099</v>
      </c>
      <c r="S328" s="251" t="s">
        <v>1122</v>
      </c>
      <c r="T328" s="251" t="s">
        <v>1021</v>
      </c>
      <c r="U328" s="252">
        <v>14.0</v>
      </c>
      <c r="V328" s="252">
        <v>32.0</v>
      </c>
      <c r="W328" s="252">
        <v>5.5</v>
      </c>
      <c r="X328" s="251" t="s">
        <v>1102</v>
      </c>
      <c r="Y328" s="251" t="s">
        <v>2851</v>
      </c>
      <c r="Z328" s="251" t="s">
        <v>2852</v>
      </c>
      <c r="AA328" s="254" t="s">
        <v>1105</v>
      </c>
      <c r="AB328" s="254" t="s">
        <v>1105</v>
      </c>
    </row>
    <row r="329">
      <c r="A329" s="252">
        <v>328.0</v>
      </c>
      <c r="B329" s="251" t="s">
        <v>2853</v>
      </c>
      <c r="C329" s="252">
        <v>1.0</v>
      </c>
      <c r="D329" s="251" t="s">
        <v>2854</v>
      </c>
      <c r="E329" s="251" t="s">
        <v>1272</v>
      </c>
      <c r="F329" s="251" t="s">
        <v>1233</v>
      </c>
      <c r="G329" s="253" t="s">
        <v>2855</v>
      </c>
      <c r="H329" s="252">
        <v>6.0</v>
      </c>
      <c r="I329" s="251" t="s">
        <v>1111</v>
      </c>
      <c r="J329" s="252">
        <v>8.0</v>
      </c>
      <c r="K329" s="252">
        <v>911.0</v>
      </c>
      <c r="L329" s="252">
        <v>80.0</v>
      </c>
      <c r="M329" s="252">
        <v>18905.0</v>
      </c>
      <c r="N329" s="252">
        <v>24576.0</v>
      </c>
      <c r="O329" s="252">
        <v>12.0</v>
      </c>
      <c r="P329" s="252">
        <v>16.0</v>
      </c>
      <c r="Q329" s="252">
        <v>4682.0</v>
      </c>
      <c r="R329" s="251" t="s">
        <v>1112</v>
      </c>
      <c r="S329" s="251" t="s">
        <v>1100</v>
      </c>
      <c r="T329" s="251" t="s">
        <v>1123</v>
      </c>
      <c r="U329" s="252">
        <v>16.0</v>
      </c>
      <c r="V329" s="252">
        <v>32.0</v>
      </c>
      <c r="W329" s="252">
        <v>6.0</v>
      </c>
      <c r="X329" s="251" t="s">
        <v>1113</v>
      </c>
      <c r="Y329" s="251" t="s">
        <v>2856</v>
      </c>
      <c r="Z329" s="251" t="s">
        <v>2857</v>
      </c>
      <c r="AA329" s="254" t="s">
        <v>1105</v>
      </c>
      <c r="AB329" s="254" t="s">
        <v>1105</v>
      </c>
    </row>
    <row r="330">
      <c r="A330" s="252">
        <v>329.0</v>
      </c>
      <c r="B330" s="251" t="s">
        <v>2858</v>
      </c>
      <c r="C330" s="252">
        <v>1.0</v>
      </c>
      <c r="D330" s="251" t="s">
        <v>2859</v>
      </c>
      <c r="E330" s="251" t="s">
        <v>1701</v>
      </c>
      <c r="F330" s="251" t="s">
        <v>1119</v>
      </c>
      <c r="G330" s="253" t="s">
        <v>2860</v>
      </c>
      <c r="H330" s="252">
        <v>5.0</v>
      </c>
      <c r="I330" s="251" t="s">
        <v>1131</v>
      </c>
      <c r="J330" s="252">
        <v>8.0</v>
      </c>
      <c r="K330" s="252">
        <v>862.0</v>
      </c>
      <c r="L330" s="252">
        <v>120.0</v>
      </c>
      <c r="M330" s="252">
        <v>10729.0</v>
      </c>
      <c r="N330" s="252">
        <v>15449.0</v>
      </c>
      <c r="O330" s="252">
        <v>8.0</v>
      </c>
      <c r="P330" s="252">
        <v>128.0</v>
      </c>
      <c r="Q330" s="252">
        <v>6436.0</v>
      </c>
      <c r="R330" s="251" t="s">
        <v>1112</v>
      </c>
      <c r="S330" s="251" t="s">
        <v>1100</v>
      </c>
      <c r="T330" s="251" t="s">
        <v>1021</v>
      </c>
      <c r="U330" s="252">
        <v>12.0</v>
      </c>
      <c r="V330" s="252">
        <v>16.0</v>
      </c>
      <c r="W330" s="252">
        <v>6.0</v>
      </c>
      <c r="X330" s="251" t="s">
        <v>1147</v>
      </c>
      <c r="Y330" s="251" t="s">
        <v>2861</v>
      </c>
      <c r="Z330" s="251" t="s">
        <v>2862</v>
      </c>
      <c r="AA330" s="254" t="s">
        <v>1105</v>
      </c>
      <c r="AB330" s="254" t="s">
        <v>1105</v>
      </c>
    </row>
    <row r="331">
      <c r="A331" s="252">
        <v>330.0</v>
      </c>
      <c r="B331" s="251" t="s">
        <v>2863</v>
      </c>
      <c r="C331" s="252">
        <v>1.0</v>
      </c>
      <c r="D331" s="251" t="s">
        <v>2864</v>
      </c>
      <c r="E331" s="251" t="s">
        <v>1874</v>
      </c>
      <c r="F331" s="251" t="s">
        <v>1202</v>
      </c>
      <c r="G331" s="253" t="s">
        <v>2865</v>
      </c>
      <c r="H331" s="252">
        <v>3.0</v>
      </c>
      <c r="I331" s="251" t="s">
        <v>1111</v>
      </c>
      <c r="J331" s="252">
        <v>8.0</v>
      </c>
      <c r="K331" s="252">
        <v>598.0</v>
      </c>
      <c r="L331" s="252">
        <v>100.0</v>
      </c>
      <c r="M331" s="252">
        <v>7155.0</v>
      </c>
      <c r="N331" s="252">
        <v>10088.0</v>
      </c>
      <c r="O331" s="252">
        <v>4.0</v>
      </c>
      <c r="P331" s="252">
        <v>128.0</v>
      </c>
      <c r="Q331" s="252">
        <v>4576.0</v>
      </c>
      <c r="R331" s="251" t="s">
        <v>1112</v>
      </c>
      <c r="S331" s="251" t="s">
        <v>1100</v>
      </c>
      <c r="T331" s="251" t="s">
        <v>1101</v>
      </c>
      <c r="U331" s="252">
        <v>16.0</v>
      </c>
      <c r="V331" s="252">
        <v>14.0</v>
      </c>
      <c r="W331" s="252">
        <v>5.2</v>
      </c>
      <c r="X331" s="251" t="s">
        <v>1102</v>
      </c>
      <c r="Y331" s="251" t="s">
        <v>2866</v>
      </c>
      <c r="Z331" s="251" t="s">
        <v>2867</v>
      </c>
      <c r="AA331" s="254" t="s">
        <v>1105</v>
      </c>
      <c r="AB331" s="254" t="s">
        <v>1105</v>
      </c>
    </row>
    <row r="332">
      <c r="A332" s="252">
        <v>331.0</v>
      </c>
      <c r="B332" s="251" t="s">
        <v>2868</v>
      </c>
      <c r="C332" s="252">
        <v>1.0</v>
      </c>
      <c r="D332" s="251" t="s">
        <v>2869</v>
      </c>
      <c r="E332" s="251" t="s">
        <v>1874</v>
      </c>
      <c r="F332" s="251" t="s">
        <v>1202</v>
      </c>
      <c r="G332" s="253" t="s">
        <v>2870</v>
      </c>
      <c r="H332" s="252">
        <v>2.0</v>
      </c>
      <c r="I332" s="251" t="s">
        <v>1111</v>
      </c>
      <c r="J332" s="252">
        <v>12.0</v>
      </c>
      <c r="K332" s="252">
        <v>81.0</v>
      </c>
      <c r="L332" s="252">
        <v>120.0</v>
      </c>
      <c r="M332" s="252">
        <v>22386.0</v>
      </c>
      <c r="N332" s="252">
        <v>39399.0</v>
      </c>
      <c r="O332" s="252">
        <v>8.0</v>
      </c>
      <c r="P332" s="252">
        <v>8.0</v>
      </c>
      <c r="Q332" s="252">
        <v>5055.0</v>
      </c>
      <c r="R332" s="251" t="s">
        <v>1112</v>
      </c>
      <c r="S332" s="251" t="s">
        <v>1122</v>
      </c>
      <c r="T332" s="251" t="s">
        <v>1123</v>
      </c>
      <c r="U332" s="252">
        <v>32.0</v>
      </c>
      <c r="V332" s="252">
        <v>12.0</v>
      </c>
      <c r="W332" s="252">
        <v>6.0</v>
      </c>
      <c r="X332" s="251" t="s">
        <v>1132</v>
      </c>
      <c r="Y332" s="251" t="s">
        <v>2871</v>
      </c>
      <c r="Z332" s="251" t="s">
        <v>2872</v>
      </c>
      <c r="AA332" s="254" t="s">
        <v>1105</v>
      </c>
      <c r="AB332" s="254" t="s">
        <v>1105</v>
      </c>
    </row>
    <row r="333">
      <c r="A333" s="252">
        <v>332.0</v>
      </c>
      <c r="B333" s="251" t="s">
        <v>2873</v>
      </c>
      <c r="C333" s="252">
        <v>1.0</v>
      </c>
      <c r="D333" s="251" t="s">
        <v>2874</v>
      </c>
      <c r="E333" s="251" t="s">
        <v>1627</v>
      </c>
      <c r="F333" s="251" t="s">
        <v>1160</v>
      </c>
      <c r="G333" s="253" t="s">
        <v>2875</v>
      </c>
      <c r="H333" s="252">
        <v>4.0</v>
      </c>
      <c r="I333" s="251" t="s">
        <v>1111</v>
      </c>
      <c r="J333" s="252">
        <v>12.0</v>
      </c>
      <c r="K333" s="252">
        <v>905.0</v>
      </c>
      <c r="L333" s="252">
        <v>120.0</v>
      </c>
      <c r="M333" s="252">
        <v>10465.0</v>
      </c>
      <c r="N333" s="252">
        <v>19046.0</v>
      </c>
      <c r="O333" s="252">
        <v>4.0</v>
      </c>
      <c r="P333" s="252">
        <v>64.0</v>
      </c>
      <c r="Q333" s="252">
        <v>2786.0</v>
      </c>
      <c r="R333" s="251" t="s">
        <v>1099</v>
      </c>
      <c r="S333" s="251" t="s">
        <v>1122</v>
      </c>
      <c r="T333" s="251" t="s">
        <v>1021</v>
      </c>
      <c r="U333" s="252">
        <v>14.0</v>
      </c>
      <c r="V333" s="252">
        <v>16.0</v>
      </c>
      <c r="W333" s="252">
        <v>6.0</v>
      </c>
      <c r="X333" s="251" t="s">
        <v>1113</v>
      </c>
      <c r="Y333" s="251" t="s">
        <v>2876</v>
      </c>
      <c r="Z333" s="251" t="s">
        <v>2877</v>
      </c>
      <c r="AA333" s="254" t="s">
        <v>1105</v>
      </c>
      <c r="AB333" s="254" t="s">
        <v>1105</v>
      </c>
    </row>
    <row r="334">
      <c r="A334" s="252">
        <v>333.0</v>
      </c>
      <c r="B334" s="251" t="s">
        <v>2878</v>
      </c>
      <c r="C334" s="252">
        <v>1.0</v>
      </c>
      <c r="D334" s="251" t="s">
        <v>2879</v>
      </c>
      <c r="E334" s="251" t="s">
        <v>1452</v>
      </c>
      <c r="F334" s="251" t="s">
        <v>1119</v>
      </c>
      <c r="G334" s="253" t="s">
        <v>2880</v>
      </c>
      <c r="H334" s="252">
        <v>4.0</v>
      </c>
      <c r="I334" s="251" t="s">
        <v>1098</v>
      </c>
      <c r="J334" s="252">
        <v>8.0</v>
      </c>
      <c r="K334" s="252">
        <v>911.0</v>
      </c>
      <c r="L334" s="252">
        <v>120.0</v>
      </c>
      <c r="M334" s="252">
        <v>18073.0</v>
      </c>
      <c r="N334" s="252">
        <v>27832.0</v>
      </c>
      <c r="O334" s="252">
        <v>2.0</v>
      </c>
      <c r="P334" s="252">
        <v>8.0</v>
      </c>
      <c r="Q334" s="252">
        <v>2188.0</v>
      </c>
      <c r="R334" s="251" t="s">
        <v>1112</v>
      </c>
      <c r="S334" s="251" t="s">
        <v>1122</v>
      </c>
      <c r="T334" s="251" t="s">
        <v>1021</v>
      </c>
      <c r="U334" s="252">
        <v>12.0</v>
      </c>
      <c r="V334" s="252">
        <v>12.0</v>
      </c>
      <c r="W334" s="252">
        <v>6.0</v>
      </c>
      <c r="X334" s="251" t="s">
        <v>1147</v>
      </c>
      <c r="Y334" s="251" t="s">
        <v>2881</v>
      </c>
      <c r="Z334" s="251" t="s">
        <v>2882</v>
      </c>
      <c r="AA334" s="254" t="s">
        <v>1105</v>
      </c>
      <c r="AB334" s="254" t="s">
        <v>1105</v>
      </c>
    </row>
    <row r="335">
      <c r="A335" s="252">
        <v>334.0</v>
      </c>
      <c r="B335" s="251" t="s">
        <v>2883</v>
      </c>
      <c r="C335" s="252">
        <v>1.0</v>
      </c>
      <c r="D335" s="251" t="s">
        <v>2884</v>
      </c>
      <c r="E335" s="251" t="s">
        <v>2209</v>
      </c>
      <c r="F335" s="251" t="s">
        <v>1096</v>
      </c>
      <c r="G335" s="253" t="s">
        <v>2885</v>
      </c>
      <c r="H335" s="252">
        <v>2.0</v>
      </c>
      <c r="I335" s="251" t="s">
        <v>1111</v>
      </c>
      <c r="J335" s="252">
        <v>10.0</v>
      </c>
      <c r="K335" s="252">
        <v>105.0</v>
      </c>
      <c r="L335" s="252">
        <v>120.0</v>
      </c>
      <c r="M335" s="252">
        <v>3419.0</v>
      </c>
      <c r="N335" s="252">
        <v>4307.0</v>
      </c>
      <c r="O335" s="252">
        <v>8.0</v>
      </c>
      <c r="P335" s="252">
        <v>512.0</v>
      </c>
      <c r="Q335" s="252">
        <v>3063.0</v>
      </c>
      <c r="R335" s="251" t="s">
        <v>1112</v>
      </c>
      <c r="S335" s="251" t="s">
        <v>1122</v>
      </c>
      <c r="T335" s="251" t="s">
        <v>1021</v>
      </c>
      <c r="U335" s="252">
        <v>32.0</v>
      </c>
      <c r="V335" s="252">
        <v>32.0</v>
      </c>
      <c r="W335" s="252">
        <v>5.5</v>
      </c>
      <c r="X335" s="251" t="s">
        <v>1132</v>
      </c>
      <c r="Y335" s="251" t="s">
        <v>2886</v>
      </c>
      <c r="Z335" s="251" t="s">
        <v>2887</v>
      </c>
      <c r="AA335" s="254" t="s">
        <v>1105</v>
      </c>
      <c r="AB335" s="254" t="s">
        <v>1105</v>
      </c>
    </row>
    <row r="336">
      <c r="A336" s="252">
        <v>335.0</v>
      </c>
      <c r="B336" s="251" t="s">
        <v>2888</v>
      </c>
      <c r="C336" s="252">
        <v>1.0</v>
      </c>
      <c r="D336" s="251" t="s">
        <v>2889</v>
      </c>
      <c r="E336" s="251" t="s">
        <v>1458</v>
      </c>
      <c r="F336" s="251" t="s">
        <v>1109</v>
      </c>
      <c r="G336" s="253" t="s">
        <v>2890</v>
      </c>
      <c r="H336" s="252">
        <v>5.0</v>
      </c>
      <c r="I336" s="251" t="s">
        <v>1098</v>
      </c>
      <c r="J336" s="252">
        <v>10.0</v>
      </c>
      <c r="K336" s="252">
        <v>644.0</v>
      </c>
      <c r="L336" s="252">
        <v>80.0</v>
      </c>
      <c r="M336" s="252">
        <v>11800.0</v>
      </c>
      <c r="N336" s="252">
        <v>19706.0</v>
      </c>
      <c r="O336" s="252">
        <v>8.0</v>
      </c>
      <c r="P336" s="252">
        <v>8.0</v>
      </c>
      <c r="Q336" s="252">
        <v>2277.0</v>
      </c>
      <c r="R336" s="251" t="s">
        <v>1099</v>
      </c>
      <c r="S336" s="251" t="s">
        <v>1100</v>
      </c>
      <c r="T336" s="251" t="s">
        <v>1123</v>
      </c>
      <c r="U336" s="252">
        <v>12.0</v>
      </c>
      <c r="V336" s="252">
        <v>16.0</v>
      </c>
      <c r="W336" s="252">
        <v>6.3</v>
      </c>
      <c r="X336" s="251" t="s">
        <v>1147</v>
      </c>
      <c r="Y336" s="251" t="s">
        <v>2891</v>
      </c>
      <c r="Z336" s="251" t="s">
        <v>2892</v>
      </c>
      <c r="AA336" s="254" t="s">
        <v>1105</v>
      </c>
      <c r="AB336" s="254" t="s">
        <v>1105</v>
      </c>
    </row>
    <row r="337">
      <c r="A337" s="252">
        <v>336.0</v>
      </c>
      <c r="B337" s="251" t="s">
        <v>2893</v>
      </c>
      <c r="C337" s="252">
        <v>1.0</v>
      </c>
      <c r="D337" s="251" t="s">
        <v>2894</v>
      </c>
      <c r="E337" s="251" t="s">
        <v>1502</v>
      </c>
      <c r="F337" s="251" t="s">
        <v>1153</v>
      </c>
      <c r="G337" s="253" t="s">
        <v>2895</v>
      </c>
      <c r="H337" s="252">
        <v>4.0</v>
      </c>
      <c r="I337" s="251" t="s">
        <v>1098</v>
      </c>
      <c r="J337" s="252">
        <v>12.0</v>
      </c>
      <c r="K337" s="252">
        <v>467.0</v>
      </c>
      <c r="L337" s="252">
        <v>120.0</v>
      </c>
      <c r="M337" s="252">
        <v>20380.0</v>
      </c>
      <c r="N337" s="252">
        <v>36480.0</v>
      </c>
      <c r="O337" s="252">
        <v>2.0</v>
      </c>
      <c r="P337" s="252">
        <v>128.0</v>
      </c>
      <c r="Q337" s="252">
        <v>3025.0</v>
      </c>
      <c r="R337" s="251" t="s">
        <v>1099</v>
      </c>
      <c r="S337" s="251" t="s">
        <v>1100</v>
      </c>
      <c r="T337" s="251" t="s">
        <v>1101</v>
      </c>
      <c r="U337" s="252">
        <v>16.0</v>
      </c>
      <c r="V337" s="252">
        <v>12.0</v>
      </c>
      <c r="W337" s="252">
        <v>5.0</v>
      </c>
      <c r="X337" s="251" t="s">
        <v>1113</v>
      </c>
      <c r="Y337" s="251" t="s">
        <v>2896</v>
      </c>
      <c r="Z337" s="251" t="s">
        <v>2897</v>
      </c>
      <c r="AA337" s="254" t="s">
        <v>1105</v>
      </c>
      <c r="AB337" s="254" t="s">
        <v>1105</v>
      </c>
    </row>
    <row r="338">
      <c r="A338" s="252">
        <v>337.0</v>
      </c>
      <c r="B338" s="251" t="s">
        <v>2898</v>
      </c>
      <c r="C338" s="252">
        <v>1.0</v>
      </c>
      <c r="D338" s="251" t="s">
        <v>2899</v>
      </c>
      <c r="E338" s="251" t="s">
        <v>1639</v>
      </c>
      <c r="F338" s="251" t="s">
        <v>1129</v>
      </c>
      <c r="G338" s="253" t="s">
        <v>2900</v>
      </c>
      <c r="H338" s="252">
        <v>6.0</v>
      </c>
      <c r="I338" s="251" t="s">
        <v>1131</v>
      </c>
      <c r="J338" s="252">
        <v>8.0</v>
      </c>
      <c r="K338" s="252">
        <v>348.0</v>
      </c>
      <c r="L338" s="252">
        <v>100.0</v>
      </c>
      <c r="M338" s="252">
        <v>5839.0</v>
      </c>
      <c r="N338" s="252">
        <v>10276.0</v>
      </c>
      <c r="O338" s="252">
        <v>8.0</v>
      </c>
      <c r="P338" s="252">
        <v>16.0</v>
      </c>
      <c r="Q338" s="252">
        <v>6304.0</v>
      </c>
      <c r="R338" s="251" t="s">
        <v>1112</v>
      </c>
      <c r="S338" s="251" t="s">
        <v>1100</v>
      </c>
      <c r="T338" s="251" t="s">
        <v>1101</v>
      </c>
      <c r="U338" s="252">
        <v>14.0</v>
      </c>
      <c r="V338" s="252">
        <v>16.0</v>
      </c>
      <c r="W338" s="252">
        <v>5.5</v>
      </c>
      <c r="X338" s="251" t="s">
        <v>1132</v>
      </c>
      <c r="Y338" s="251" t="s">
        <v>2901</v>
      </c>
      <c r="Z338" s="251" t="s">
        <v>2902</v>
      </c>
      <c r="AA338" s="254" t="s">
        <v>1105</v>
      </c>
      <c r="AB338" s="254" t="s">
        <v>1105</v>
      </c>
    </row>
    <row r="339">
      <c r="A339" s="252">
        <v>338.0</v>
      </c>
      <c r="B339" s="251" t="s">
        <v>2903</v>
      </c>
      <c r="C339" s="252">
        <v>1.0</v>
      </c>
      <c r="D339" s="251" t="s">
        <v>2904</v>
      </c>
      <c r="E339" s="251" t="s">
        <v>1470</v>
      </c>
      <c r="F339" s="251" t="s">
        <v>1215</v>
      </c>
      <c r="G339" s="253" t="s">
        <v>2905</v>
      </c>
      <c r="H339" s="252">
        <v>4.0</v>
      </c>
      <c r="I339" s="251" t="s">
        <v>1121</v>
      </c>
      <c r="J339" s="252">
        <v>12.0</v>
      </c>
      <c r="K339" s="252">
        <v>629.0</v>
      </c>
      <c r="L339" s="252">
        <v>120.0</v>
      </c>
      <c r="M339" s="252">
        <v>14523.0</v>
      </c>
      <c r="N339" s="252">
        <v>20332.0</v>
      </c>
      <c r="O339" s="252">
        <v>8.0</v>
      </c>
      <c r="P339" s="252">
        <v>128.0</v>
      </c>
      <c r="Q339" s="252">
        <v>2768.0</v>
      </c>
      <c r="R339" s="251" t="s">
        <v>1141</v>
      </c>
      <c r="S339" s="251" t="s">
        <v>1122</v>
      </c>
      <c r="T339" s="251" t="s">
        <v>1123</v>
      </c>
      <c r="U339" s="252">
        <v>14.0</v>
      </c>
      <c r="V339" s="252">
        <v>32.0</v>
      </c>
      <c r="W339" s="252">
        <v>5.2</v>
      </c>
      <c r="X339" s="251" t="s">
        <v>1102</v>
      </c>
      <c r="Y339" s="251" t="s">
        <v>2906</v>
      </c>
      <c r="Z339" s="251" t="s">
        <v>2907</v>
      </c>
      <c r="AA339" s="254" t="s">
        <v>1105</v>
      </c>
      <c r="AB339" s="254" t="s">
        <v>1105</v>
      </c>
    </row>
    <row r="340">
      <c r="A340" s="252">
        <v>339.0</v>
      </c>
      <c r="B340" s="251" t="s">
        <v>2908</v>
      </c>
      <c r="C340" s="252">
        <v>1.0</v>
      </c>
      <c r="D340" s="251" t="s">
        <v>2909</v>
      </c>
      <c r="E340" s="251" t="s">
        <v>1523</v>
      </c>
      <c r="F340" s="251" t="s">
        <v>1215</v>
      </c>
      <c r="G340" s="253" t="s">
        <v>2910</v>
      </c>
      <c r="H340" s="252">
        <v>5.0</v>
      </c>
      <c r="I340" s="251" t="s">
        <v>1111</v>
      </c>
      <c r="J340" s="252">
        <v>10.0</v>
      </c>
      <c r="K340" s="252">
        <v>508.0</v>
      </c>
      <c r="L340" s="252">
        <v>80.0</v>
      </c>
      <c r="M340" s="252">
        <v>5559.0</v>
      </c>
      <c r="N340" s="252">
        <v>9005.0</v>
      </c>
      <c r="O340" s="252">
        <v>8.0</v>
      </c>
      <c r="P340" s="252">
        <v>64.0</v>
      </c>
      <c r="Q340" s="252">
        <v>2490.0</v>
      </c>
      <c r="R340" s="251" t="s">
        <v>1099</v>
      </c>
      <c r="S340" s="251" t="s">
        <v>1122</v>
      </c>
      <c r="T340" s="251" t="s">
        <v>1123</v>
      </c>
      <c r="U340" s="252">
        <v>16.0</v>
      </c>
      <c r="V340" s="252">
        <v>32.0</v>
      </c>
      <c r="W340" s="252">
        <v>4.7</v>
      </c>
      <c r="X340" s="251" t="s">
        <v>1102</v>
      </c>
      <c r="Y340" s="251" t="s">
        <v>2911</v>
      </c>
      <c r="Z340" s="251" t="s">
        <v>2912</v>
      </c>
      <c r="AA340" s="254" t="s">
        <v>1105</v>
      </c>
      <c r="AB340" s="254" t="s">
        <v>1105</v>
      </c>
    </row>
    <row r="341">
      <c r="A341" s="252">
        <v>340.0</v>
      </c>
      <c r="B341" s="251" t="s">
        <v>2913</v>
      </c>
      <c r="C341" s="252">
        <v>1.0</v>
      </c>
      <c r="D341" s="251" t="s">
        <v>2914</v>
      </c>
      <c r="E341" s="251" t="s">
        <v>1970</v>
      </c>
      <c r="F341" s="251" t="s">
        <v>1129</v>
      </c>
      <c r="G341" s="253" t="s">
        <v>2915</v>
      </c>
      <c r="H341" s="252">
        <v>2.0</v>
      </c>
      <c r="I341" s="251" t="s">
        <v>1140</v>
      </c>
      <c r="J341" s="252">
        <v>8.0</v>
      </c>
      <c r="K341" s="252">
        <v>678.0</v>
      </c>
      <c r="L341" s="252">
        <v>80.0</v>
      </c>
      <c r="M341" s="252">
        <v>22870.0</v>
      </c>
      <c r="N341" s="252">
        <v>40708.0</v>
      </c>
      <c r="O341" s="252">
        <v>6.0</v>
      </c>
      <c r="P341" s="252">
        <v>32.0</v>
      </c>
      <c r="Q341" s="252">
        <v>5871.0</v>
      </c>
      <c r="R341" s="251" t="s">
        <v>1112</v>
      </c>
      <c r="S341" s="251" t="s">
        <v>1100</v>
      </c>
      <c r="T341" s="251" t="s">
        <v>1101</v>
      </c>
      <c r="U341" s="252">
        <v>12.0</v>
      </c>
      <c r="V341" s="252">
        <v>48.0</v>
      </c>
      <c r="W341" s="252">
        <v>6.3</v>
      </c>
      <c r="X341" s="251" t="s">
        <v>1113</v>
      </c>
      <c r="Y341" s="251" t="s">
        <v>2916</v>
      </c>
      <c r="Z341" s="251" t="s">
        <v>2917</v>
      </c>
      <c r="AA341" s="254" t="s">
        <v>1105</v>
      </c>
      <c r="AB341" s="254" t="s">
        <v>1105</v>
      </c>
    </row>
    <row r="342">
      <c r="A342" s="252">
        <v>341.0</v>
      </c>
      <c r="B342" s="251" t="s">
        <v>2918</v>
      </c>
      <c r="C342" s="252">
        <v>1.0</v>
      </c>
      <c r="D342" s="251" t="s">
        <v>2919</v>
      </c>
      <c r="E342" s="251" t="s">
        <v>1201</v>
      </c>
      <c r="F342" s="251" t="s">
        <v>1202</v>
      </c>
      <c r="G342" s="253" t="s">
        <v>2920</v>
      </c>
      <c r="H342" s="252">
        <v>5.0</v>
      </c>
      <c r="I342" s="251" t="s">
        <v>1098</v>
      </c>
      <c r="J342" s="252">
        <v>12.0</v>
      </c>
      <c r="K342" s="252">
        <v>218.0</v>
      </c>
      <c r="L342" s="252">
        <v>80.0</v>
      </c>
      <c r="M342" s="252">
        <v>22684.0</v>
      </c>
      <c r="N342" s="252">
        <v>29942.0</v>
      </c>
      <c r="O342" s="252">
        <v>2.0</v>
      </c>
      <c r="P342" s="252">
        <v>16.0</v>
      </c>
      <c r="Q342" s="252">
        <v>2909.0</v>
      </c>
      <c r="R342" s="251" t="s">
        <v>1099</v>
      </c>
      <c r="S342" s="251" t="s">
        <v>1100</v>
      </c>
      <c r="T342" s="251" t="s">
        <v>1021</v>
      </c>
      <c r="U342" s="252">
        <v>32.0</v>
      </c>
      <c r="V342" s="252">
        <v>12.0</v>
      </c>
      <c r="W342" s="252">
        <v>4.7</v>
      </c>
      <c r="X342" s="251" t="s">
        <v>1147</v>
      </c>
      <c r="Y342" s="251" t="s">
        <v>2921</v>
      </c>
      <c r="Z342" s="251" t="s">
        <v>2922</v>
      </c>
      <c r="AA342" s="254" t="s">
        <v>1105</v>
      </c>
      <c r="AB342" s="254" t="s">
        <v>1105</v>
      </c>
    </row>
    <row r="343">
      <c r="A343" s="252">
        <v>342.0</v>
      </c>
      <c r="B343" s="251" t="s">
        <v>2923</v>
      </c>
      <c r="C343" s="252">
        <v>1.0</v>
      </c>
      <c r="D343" s="251" t="s">
        <v>2924</v>
      </c>
      <c r="E343" s="251" t="s">
        <v>1239</v>
      </c>
      <c r="F343" s="251" t="s">
        <v>1119</v>
      </c>
      <c r="G343" s="253" t="s">
        <v>2925</v>
      </c>
      <c r="H343" s="252">
        <v>5.0</v>
      </c>
      <c r="I343" s="251" t="s">
        <v>1098</v>
      </c>
      <c r="J343" s="252">
        <v>8.0</v>
      </c>
      <c r="K343" s="252">
        <v>636.0</v>
      </c>
      <c r="L343" s="252">
        <v>80.0</v>
      </c>
      <c r="M343" s="252">
        <v>10285.0</v>
      </c>
      <c r="N343" s="252">
        <v>16661.0</v>
      </c>
      <c r="O343" s="252">
        <v>4.0</v>
      </c>
      <c r="P343" s="252">
        <v>512.0</v>
      </c>
      <c r="Q343" s="252">
        <v>5758.0</v>
      </c>
      <c r="R343" s="251" t="s">
        <v>1099</v>
      </c>
      <c r="S343" s="251" t="s">
        <v>1100</v>
      </c>
      <c r="T343" s="251" t="s">
        <v>1021</v>
      </c>
      <c r="U343" s="252">
        <v>32.0</v>
      </c>
      <c r="V343" s="252">
        <v>12.0</v>
      </c>
      <c r="W343" s="252">
        <v>5.2</v>
      </c>
      <c r="X343" s="251" t="s">
        <v>1147</v>
      </c>
      <c r="Y343" s="251" t="s">
        <v>2926</v>
      </c>
      <c r="Z343" s="251" t="s">
        <v>2927</v>
      </c>
      <c r="AA343" s="254" t="s">
        <v>1105</v>
      </c>
      <c r="AB343" s="254" t="s">
        <v>1105</v>
      </c>
    </row>
    <row r="344">
      <c r="A344" s="252">
        <v>343.0</v>
      </c>
      <c r="B344" s="251" t="s">
        <v>2928</v>
      </c>
      <c r="C344" s="252">
        <v>1.0</v>
      </c>
      <c r="D344" s="251" t="s">
        <v>2929</v>
      </c>
      <c r="E344" s="251" t="s">
        <v>1411</v>
      </c>
      <c r="F344" s="251" t="s">
        <v>1119</v>
      </c>
      <c r="G344" s="253" t="s">
        <v>2930</v>
      </c>
      <c r="H344" s="252">
        <v>3.0</v>
      </c>
      <c r="I344" s="251" t="s">
        <v>1098</v>
      </c>
      <c r="J344" s="252">
        <v>12.0</v>
      </c>
      <c r="K344" s="252">
        <v>815.0</v>
      </c>
      <c r="L344" s="252">
        <v>120.0</v>
      </c>
      <c r="M344" s="252">
        <v>11445.0</v>
      </c>
      <c r="N344" s="252">
        <v>17968.0</v>
      </c>
      <c r="O344" s="252">
        <v>8.0</v>
      </c>
      <c r="P344" s="252">
        <v>32.0</v>
      </c>
      <c r="Q344" s="252">
        <v>6184.0</v>
      </c>
      <c r="R344" s="251" t="s">
        <v>1141</v>
      </c>
      <c r="S344" s="251" t="s">
        <v>1100</v>
      </c>
      <c r="T344" s="251" t="s">
        <v>1021</v>
      </c>
      <c r="U344" s="252">
        <v>32.0</v>
      </c>
      <c r="V344" s="252">
        <v>16.0</v>
      </c>
      <c r="W344" s="252">
        <v>4.7</v>
      </c>
      <c r="X344" s="251" t="s">
        <v>1102</v>
      </c>
      <c r="Y344" s="251" t="s">
        <v>2931</v>
      </c>
      <c r="Z344" s="251" t="s">
        <v>2932</v>
      </c>
      <c r="AA344" s="254" t="s">
        <v>1105</v>
      </c>
      <c r="AB344" s="254" t="s">
        <v>1105</v>
      </c>
    </row>
    <row r="345">
      <c r="A345" s="252">
        <v>344.0</v>
      </c>
      <c r="B345" s="251" t="s">
        <v>2933</v>
      </c>
      <c r="C345" s="252">
        <v>1.0</v>
      </c>
      <c r="D345" s="251" t="s">
        <v>2934</v>
      </c>
      <c r="E345" s="251" t="s">
        <v>1581</v>
      </c>
      <c r="F345" s="251" t="s">
        <v>1109</v>
      </c>
      <c r="G345" s="253" t="s">
        <v>2935</v>
      </c>
      <c r="H345" s="252">
        <v>2.0</v>
      </c>
      <c r="I345" s="251" t="s">
        <v>1121</v>
      </c>
      <c r="J345" s="252">
        <v>10.0</v>
      </c>
      <c r="K345" s="252">
        <v>96.0</v>
      </c>
      <c r="L345" s="252">
        <v>120.0</v>
      </c>
      <c r="M345" s="252">
        <v>22845.0</v>
      </c>
      <c r="N345" s="252">
        <v>40892.0</v>
      </c>
      <c r="O345" s="252">
        <v>2.0</v>
      </c>
      <c r="P345" s="252">
        <v>64.0</v>
      </c>
      <c r="Q345" s="252">
        <v>4888.0</v>
      </c>
      <c r="R345" s="251" t="s">
        <v>1112</v>
      </c>
      <c r="S345" s="251" t="s">
        <v>1100</v>
      </c>
      <c r="T345" s="251" t="s">
        <v>1021</v>
      </c>
      <c r="U345" s="252">
        <v>12.0</v>
      </c>
      <c r="V345" s="252">
        <v>14.0</v>
      </c>
      <c r="W345" s="252">
        <v>6.3</v>
      </c>
      <c r="X345" s="251" t="s">
        <v>1147</v>
      </c>
      <c r="Y345" s="251" t="s">
        <v>2936</v>
      </c>
      <c r="Z345" s="251" t="s">
        <v>2937</v>
      </c>
      <c r="AA345" s="254" t="s">
        <v>1105</v>
      </c>
      <c r="AB345" s="254" t="s">
        <v>1105</v>
      </c>
    </row>
    <row r="346">
      <c r="A346" s="252">
        <v>345.0</v>
      </c>
      <c r="B346" s="251" t="s">
        <v>2938</v>
      </c>
      <c r="C346" s="252">
        <v>1.0</v>
      </c>
      <c r="D346" s="251" t="s">
        <v>2939</v>
      </c>
      <c r="E346" s="251" t="s">
        <v>1405</v>
      </c>
      <c r="F346" s="251" t="s">
        <v>1202</v>
      </c>
      <c r="G346" s="253" t="s">
        <v>2940</v>
      </c>
      <c r="H346" s="252">
        <v>2.0</v>
      </c>
      <c r="I346" s="251" t="s">
        <v>1121</v>
      </c>
      <c r="J346" s="252">
        <v>10.0</v>
      </c>
      <c r="K346" s="252">
        <v>719.0</v>
      </c>
      <c r="L346" s="252">
        <v>100.0</v>
      </c>
      <c r="M346" s="252">
        <v>3402.0</v>
      </c>
      <c r="N346" s="252">
        <v>5239.0</v>
      </c>
      <c r="O346" s="252">
        <v>8.0</v>
      </c>
      <c r="P346" s="252">
        <v>512.0</v>
      </c>
      <c r="Q346" s="252">
        <v>5298.0</v>
      </c>
      <c r="R346" s="251" t="s">
        <v>1141</v>
      </c>
      <c r="S346" s="251" t="s">
        <v>1122</v>
      </c>
      <c r="T346" s="251" t="s">
        <v>1101</v>
      </c>
      <c r="U346" s="252">
        <v>12.0</v>
      </c>
      <c r="V346" s="252">
        <v>32.0</v>
      </c>
      <c r="W346" s="252">
        <v>6.3</v>
      </c>
      <c r="X346" s="251" t="s">
        <v>1102</v>
      </c>
      <c r="Y346" s="251" t="s">
        <v>2941</v>
      </c>
      <c r="Z346" s="251" t="s">
        <v>2942</v>
      </c>
      <c r="AA346" s="254" t="s">
        <v>1105</v>
      </c>
      <c r="AB346" s="254" t="s">
        <v>1105</v>
      </c>
    </row>
    <row r="347">
      <c r="A347" s="252">
        <v>346.0</v>
      </c>
      <c r="B347" s="251" t="s">
        <v>2943</v>
      </c>
      <c r="C347" s="252">
        <v>1.0</v>
      </c>
      <c r="D347" s="251" t="s">
        <v>2944</v>
      </c>
      <c r="E347" s="251" t="s">
        <v>1393</v>
      </c>
      <c r="F347" s="251" t="s">
        <v>1160</v>
      </c>
      <c r="G347" s="253" t="s">
        <v>2945</v>
      </c>
      <c r="H347" s="252">
        <v>2.0</v>
      </c>
      <c r="I347" s="251" t="s">
        <v>1111</v>
      </c>
      <c r="J347" s="252">
        <v>8.0</v>
      </c>
      <c r="K347" s="252">
        <v>573.0</v>
      </c>
      <c r="L347" s="252">
        <v>80.0</v>
      </c>
      <c r="M347" s="252">
        <v>16787.0</v>
      </c>
      <c r="N347" s="252">
        <v>25684.0</v>
      </c>
      <c r="O347" s="252">
        <v>6.0</v>
      </c>
      <c r="P347" s="252">
        <v>16.0</v>
      </c>
      <c r="Q347" s="252">
        <v>5781.0</v>
      </c>
      <c r="R347" s="251" t="s">
        <v>1099</v>
      </c>
      <c r="S347" s="251" t="s">
        <v>1122</v>
      </c>
      <c r="T347" s="251" t="s">
        <v>1021</v>
      </c>
      <c r="U347" s="252">
        <v>16.0</v>
      </c>
      <c r="V347" s="252">
        <v>48.0</v>
      </c>
      <c r="W347" s="252">
        <v>6.0</v>
      </c>
      <c r="X347" s="251" t="s">
        <v>1132</v>
      </c>
      <c r="Y347" s="251" t="s">
        <v>2946</v>
      </c>
      <c r="Z347" s="251" t="s">
        <v>2947</v>
      </c>
      <c r="AA347" s="254" t="s">
        <v>1105</v>
      </c>
      <c r="AB347" s="254" t="s">
        <v>1105</v>
      </c>
    </row>
    <row r="348">
      <c r="A348" s="252">
        <v>347.0</v>
      </c>
      <c r="B348" s="251" t="s">
        <v>2948</v>
      </c>
      <c r="C348" s="252">
        <v>1.0</v>
      </c>
      <c r="D348" s="251" t="s">
        <v>2949</v>
      </c>
      <c r="E348" s="251" t="s">
        <v>1936</v>
      </c>
      <c r="F348" s="251" t="s">
        <v>1129</v>
      </c>
      <c r="G348" s="253" t="s">
        <v>2950</v>
      </c>
      <c r="H348" s="252">
        <v>2.0</v>
      </c>
      <c r="I348" s="251" t="s">
        <v>1121</v>
      </c>
      <c r="J348" s="252">
        <v>12.0</v>
      </c>
      <c r="K348" s="252">
        <v>972.0</v>
      </c>
      <c r="L348" s="252">
        <v>120.0</v>
      </c>
      <c r="M348" s="252">
        <v>6404.0</v>
      </c>
      <c r="N348" s="252">
        <v>7812.0</v>
      </c>
      <c r="O348" s="252">
        <v>6.0</v>
      </c>
      <c r="P348" s="252">
        <v>16.0</v>
      </c>
      <c r="Q348" s="252">
        <v>2227.0</v>
      </c>
      <c r="R348" s="251" t="s">
        <v>1112</v>
      </c>
      <c r="S348" s="251" t="s">
        <v>1122</v>
      </c>
      <c r="T348" s="251" t="s">
        <v>1101</v>
      </c>
      <c r="U348" s="252">
        <v>12.0</v>
      </c>
      <c r="V348" s="252">
        <v>48.0</v>
      </c>
      <c r="W348" s="252">
        <v>4.7</v>
      </c>
      <c r="X348" s="251" t="s">
        <v>1113</v>
      </c>
      <c r="Y348" s="251" t="s">
        <v>2951</v>
      </c>
      <c r="Z348" s="251" t="s">
        <v>2952</v>
      </c>
      <c r="AA348" s="254" t="s">
        <v>1105</v>
      </c>
      <c r="AB348" s="254" t="s">
        <v>1105</v>
      </c>
    </row>
    <row r="349">
      <c r="A349" s="252">
        <v>348.0</v>
      </c>
      <c r="B349" s="251" t="s">
        <v>2953</v>
      </c>
      <c r="C349" s="252">
        <v>1.0</v>
      </c>
      <c r="D349" s="251" t="s">
        <v>2954</v>
      </c>
      <c r="E349" s="251" t="s">
        <v>1387</v>
      </c>
      <c r="F349" s="251" t="s">
        <v>1160</v>
      </c>
      <c r="G349" s="253" t="s">
        <v>2955</v>
      </c>
      <c r="H349" s="252">
        <v>6.0</v>
      </c>
      <c r="I349" s="251" t="s">
        <v>1111</v>
      </c>
      <c r="J349" s="252">
        <v>8.0</v>
      </c>
      <c r="K349" s="252">
        <v>226.0</v>
      </c>
      <c r="L349" s="252">
        <v>100.0</v>
      </c>
      <c r="M349" s="252">
        <v>15336.0</v>
      </c>
      <c r="N349" s="252">
        <v>25151.0</v>
      </c>
      <c r="O349" s="252">
        <v>8.0</v>
      </c>
      <c r="P349" s="252">
        <v>64.0</v>
      </c>
      <c r="Q349" s="252">
        <v>1812.0</v>
      </c>
      <c r="R349" s="251" t="s">
        <v>1112</v>
      </c>
      <c r="S349" s="251" t="s">
        <v>1100</v>
      </c>
      <c r="T349" s="251" t="s">
        <v>1101</v>
      </c>
      <c r="U349" s="252">
        <v>48.0</v>
      </c>
      <c r="V349" s="252">
        <v>12.0</v>
      </c>
      <c r="W349" s="252">
        <v>5.2</v>
      </c>
      <c r="X349" s="251" t="s">
        <v>1113</v>
      </c>
      <c r="Y349" s="251" t="s">
        <v>2956</v>
      </c>
      <c r="Z349" s="251" t="s">
        <v>2957</v>
      </c>
      <c r="AA349" s="254" t="s">
        <v>1105</v>
      </c>
      <c r="AB349" s="254" t="s">
        <v>1105</v>
      </c>
    </row>
    <row r="350">
      <c r="A350" s="252">
        <v>349.0</v>
      </c>
      <c r="B350" s="251" t="s">
        <v>2958</v>
      </c>
      <c r="C350" s="252">
        <v>1.0</v>
      </c>
      <c r="D350" s="251" t="s">
        <v>2959</v>
      </c>
      <c r="E350" s="251" t="s">
        <v>2327</v>
      </c>
      <c r="F350" s="251" t="s">
        <v>1215</v>
      </c>
      <c r="G350" s="253" t="s">
        <v>2960</v>
      </c>
      <c r="H350" s="252">
        <v>2.0</v>
      </c>
      <c r="I350" s="251" t="s">
        <v>1098</v>
      </c>
      <c r="J350" s="252">
        <v>10.0</v>
      </c>
      <c r="K350" s="252">
        <v>187.0</v>
      </c>
      <c r="L350" s="252">
        <v>120.0</v>
      </c>
      <c r="M350" s="252">
        <v>8759.0</v>
      </c>
      <c r="N350" s="252">
        <v>10685.0</v>
      </c>
      <c r="O350" s="252">
        <v>12.0</v>
      </c>
      <c r="P350" s="252">
        <v>64.0</v>
      </c>
      <c r="Q350" s="252">
        <v>2326.0</v>
      </c>
      <c r="R350" s="251" t="s">
        <v>1112</v>
      </c>
      <c r="S350" s="251" t="s">
        <v>1100</v>
      </c>
      <c r="T350" s="251" t="s">
        <v>1021</v>
      </c>
      <c r="U350" s="252">
        <v>12.0</v>
      </c>
      <c r="V350" s="252">
        <v>32.0</v>
      </c>
      <c r="W350" s="252">
        <v>4.7</v>
      </c>
      <c r="X350" s="251" t="s">
        <v>1147</v>
      </c>
      <c r="Y350" s="251" t="s">
        <v>2961</v>
      </c>
      <c r="Z350" s="251" t="s">
        <v>2962</v>
      </c>
      <c r="AA350" s="254" t="s">
        <v>1105</v>
      </c>
      <c r="AB350" s="254" t="s">
        <v>1105</v>
      </c>
    </row>
    <row r="351">
      <c r="A351" s="252">
        <v>350.0</v>
      </c>
      <c r="B351" s="251" t="s">
        <v>2963</v>
      </c>
      <c r="C351" s="252">
        <v>1.0</v>
      </c>
      <c r="D351" s="251" t="s">
        <v>2964</v>
      </c>
      <c r="E351" s="251" t="s">
        <v>1375</v>
      </c>
      <c r="F351" s="251" t="s">
        <v>1160</v>
      </c>
      <c r="G351" s="253" t="s">
        <v>2965</v>
      </c>
      <c r="H351" s="252">
        <v>4.0</v>
      </c>
      <c r="I351" s="251" t="s">
        <v>1131</v>
      </c>
      <c r="J351" s="252">
        <v>8.0</v>
      </c>
      <c r="K351" s="252">
        <v>724.0</v>
      </c>
      <c r="L351" s="252">
        <v>120.0</v>
      </c>
      <c r="M351" s="252">
        <v>20294.0</v>
      </c>
      <c r="N351" s="252">
        <v>35514.0</v>
      </c>
      <c r="O351" s="252">
        <v>8.0</v>
      </c>
      <c r="P351" s="252">
        <v>16.0</v>
      </c>
      <c r="Q351" s="252">
        <v>5759.0</v>
      </c>
      <c r="R351" s="251" t="s">
        <v>1141</v>
      </c>
      <c r="S351" s="251" t="s">
        <v>1100</v>
      </c>
      <c r="T351" s="251" t="s">
        <v>1021</v>
      </c>
      <c r="U351" s="252">
        <v>14.0</v>
      </c>
      <c r="V351" s="252">
        <v>12.0</v>
      </c>
      <c r="W351" s="252">
        <v>6.0</v>
      </c>
      <c r="X351" s="251" t="s">
        <v>1113</v>
      </c>
      <c r="Y351" s="251" t="s">
        <v>2966</v>
      </c>
      <c r="Z351" s="251" t="s">
        <v>2967</v>
      </c>
      <c r="AA351" s="254" t="s">
        <v>1105</v>
      </c>
      <c r="AB351" s="254" t="s">
        <v>1105</v>
      </c>
    </row>
    <row r="352">
      <c r="A352" s="252">
        <v>351.0</v>
      </c>
      <c r="B352" s="251" t="s">
        <v>2968</v>
      </c>
      <c r="C352" s="252">
        <v>1.0</v>
      </c>
      <c r="D352" s="251" t="s">
        <v>2969</v>
      </c>
      <c r="E352" s="251" t="s">
        <v>1486</v>
      </c>
      <c r="F352" s="251" t="s">
        <v>1109</v>
      </c>
      <c r="G352" s="253" t="s">
        <v>2970</v>
      </c>
      <c r="H352" s="252">
        <v>5.0</v>
      </c>
      <c r="I352" s="251" t="s">
        <v>1131</v>
      </c>
      <c r="J352" s="252">
        <v>8.0</v>
      </c>
      <c r="K352" s="252">
        <v>774.0</v>
      </c>
      <c r="L352" s="252">
        <v>120.0</v>
      </c>
      <c r="M352" s="252">
        <v>2984.0</v>
      </c>
      <c r="N352" s="252">
        <v>3670.0</v>
      </c>
      <c r="O352" s="252">
        <v>2.0</v>
      </c>
      <c r="P352" s="252">
        <v>8.0</v>
      </c>
      <c r="Q352" s="252">
        <v>4350.0</v>
      </c>
      <c r="R352" s="251" t="s">
        <v>1141</v>
      </c>
      <c r="S352" s="251" t="s">
        <v>1100</v>
      </c>
      <c r="T352" s="251" t="s">
        <v>1123</v>
      </c>
      <c r="U352" s="252">
        <v>48.0</v>
      </c>
      <c r="V352" s="252">
        <v>12.0</v>
      </c>
      <c r="W352" s="252">
        <v>5.5</v>
      </c>
      <c r="X352" s="251" t="s">
        <v>1113</v>
      </c>
      <c r="Y352" s="251" t="s">
        <v>2971</v>
      </c>
      <c r="Z352" s="251" t="s">
        <v>2972</v>
      </c>
      <c r="AA352" s="254" t="s">
        <v>1105</v>
      </c>
      <c r="AB352" s="254" t="s">
        <v>1105</v>
      </c>
    </row>
    <row r="353">
      <c r="A353" s="252">
        <v>352.0</v>
      </c>
      <c r="B353" s="251" t="s">
        <v>2973</v>
      </c>
      <c r="C353" s="252">
        <v>1.0</v>
      </c>
      <c r="D353" s="251" t="s">
        <v>2974</v>
      </c>
      <c r="E353" s="251" t="s">
        <v>2161</v>
      </c>
      <c r="F353" s="251" t="s">
        <v>1202</v>
      </c>
      <c r="G353" s="253" t="s">
        <v>2975</v>
      </c>
      <c r="H353" s="252">
        <v>3.0</v>
      </c>
      <c r="I353" s="251" t="s">
        <v>1098</v>
      </c>
      <c r="J353" s="252">
        <v>8.0</v>
      </c>
      <c r="K353" s="252">
        <v>230.0</v>
      </c>
      <c r="L353" s="252">
        <v>80.0</v>
      </c>
      <c r="M353" s="252">
        <v>13686.0</v>
      </c>
      <c r="N353" s="252">
        <v>22855.0</v>
      </c>
      <c r="O353" s="252">
        <v>2.0</v>
      </c>
      <c r="P353" s="252">
        <v>512.0</v>
      </c>
      <c r="Q353" s="252">
        <v>4669.0</v>
      </c>
      <c r="R353" s="251" t="s">
        <v>1112</v>
      </c>
      <c r="S353" s="251" t="s">
        <v>1122</v>
      </c>
      <c r="T353" s="251" t="s">
        <v>1123</v>
      </c>
      <c r="U353" s="252">
        <v>48.0</v>
      </c>
      <c r="V353" s="252">
        <v>32.0</v>
      </c>
      <c r="W353" s="252">
        <v>6.0</v>
      </c>
      <c r="X353" s="251" t="s">
        <v>1147</v>
      </c>
      <c r="Y353" s="251" t="s">
        <v>2976</v>
      </c>
      <c r="Z353" s="251" t="s">
        <v>2977</v>
      </c>
      <c r="AA353" s="254" t="s">
        <v>1105</v>
      </c>
      <c r="AB353" s="254" t="s">
        <v>1105</v>
      </c>
    </row>
    <row r="354">
      <c r="A354" s="252">
        <v>353.0</v>
      </c>
      <c r="B354" s="251" t="s">
        <v>2978</v>
      </c>
      <c r="C354" s="252">
        <v>1.0</v>
      </c>
      <c r="D354" s="251" t="s">
        <v>2979</v>
      </c>
      <c r="E354" s="251" t="s">
        <v>2276</v>
      </c>
      <c r="F354" s="251" t="s">
        <v>1215</v>
      </c>
      <c r="G354" s="253" t="s">
        <v>2980</v>
      </c>
      <c r="H354" s="252">
        <v>6.0</v>
      </c>
      <c r="I354" s="251" t="s">
        <v>1131</v>
      </c>
      <c r="J354" s="252">
        <v>12.0</v>
      </c>
      <c r="K354" s="252">
        <v>288.0</v>
      </c>
      <c r="L354" s="252">
        <v>120.0</v>
      </c>
      <c r="M354" s="252">
        <v>16798.0</v>
      </c>
      <c r="N354" s="252">
        <v>22173.0</v>
      </c>
      <c r="O354" s="252">
        <v>4.0</v>
      </c>
      <c r="P354" s="252">
        <v>128.0</v>
      </c>
      <c r="Q354" s="252">
        <v>3974.0</v>
      </c>
      <c r="R354" s="251" t="s">
        <v>1141</v>
      </c>
      <c r="S354" s="251" t="s">
        <v>1122</v>
      </c>
      <c r="T354" s="251" t="s">
        <v>1101</v>
      </c>
      <c r="U354" s="252">
        <v>16.0</v>
      </c>
      <c r="V354" s="252">
        <v>48.0</v>
      </c>
      <c r="W354" s="252">
        <v>5.0</v>
      </c>
      <c r="X354" s="251" t="s">
        <v>1102</v>
      </c>
      <c r="Y354" s="251" t="s">
        <v>2981</v>
      </c>
      <c r="Z354" s="251" t="s">
        <v>2982</v>
      </c>
      <c r="AA354" s="254" t="s">
        <v>1105</v>
      </c>
      <c r="AB354" s="254" t="s">
        <v>1105</v>
      </c>
    </row>
    <row r="355">
      <c r="A355" s="252">
        <v>354.0</v>
      </c>
      <c r="B355" s="251" t="s">
        <v>2983</v>
      </c>
      <c r="C355" s="252">
        <v>1.0</v>
      </c>
      <c r="D355" s="251" t="s">
        <v>2984</v>
      </c>
      <c r="E355" s="251" t="s">
        <v>1387</v>
      </c>
      <c r="F355" s="251" t="s">
        <v>1160</v>
      </c>
      <c r="G355" s="253" t="s">
        <v>2985</v>
      </c>
      <c r="H355" s="252">
        <v>5.0</v>
      </c>
      <c r="I355" s="251" t="s">
        <v>1098</v>
      </c>
      <c r="J355" s="252">
        <v>12.0</v>
      </c>
      <c r="K355" s="252">
        <v>470.0</v>
      </c>
      <c r="L355" s="252">
        <v>80.0</v>
      </c>
      <c r="M355" s="252">
        <v>12619.0</v>
      </c>
      <c r="N355" s="252">
        <v>22461.0</v>
      </c>
      <c r="O355" s="252">
        <v>6.0</v>
      </c>
      <c r="P355" s="252">
        <v>8.0</v>
      </c>
      <c r="Q355" s="252">
        <v>2630.0</v>
      </c>
      <c r="R355" s="251" t="s">
        <v>1099</v>
      </c>
      <c r="S355" s="251" t="s">
        <v>1122</v>
      </c>
      <c r="T355" s="251" t="s">
        <v>1101</v>
      </c>
      <c r="U355" s="252">
        <v>12.0</v>
      </c>
      <c r="V355" s="252">
        <v>48.0</v>
      </c>
      <c r="W355" s="252">
        <v>4.7</v>
      </c>
      <c r="X355" s="251" t="s">
        <v>1132</v>
      </c>
      <c r="Y355" s="251" t="s">
        <v>2986</v>
      </c>
      <c r="Z355" s="251" t="s">
        <v>2987</v>
      </c>
      <c r="AA355" s="254" t="s">
        <v>1105</v>
      </c>
      <c r="AB355" s="254" t="s">
        <v>1105</v>
      </c>
    </row>
    <row r="356">
      <c r="A356" s="252">
        <v>355.0</v>
      </c>
      <c r="B356" s="251" t="s">
        <v>2988</v>
      </c>
      <c r="C356" s="252">
        <v>1.0</v>
      </c>
      <c r="D356" s="251" t="s">
        <v>2989</v>
      </c>
      <c r="E356" s="251" t="s">
        <v>1874</v>
      </c>
      <c r="F356" s="251" t="s">
        <v>1202</v>
      </c>
      <c r="G356" s="253" t="s">
        <v>2990</v>
      </c>
      <c r="H356" s="252">
        <v>5.0</v>
      </c>
      <c r="I356" s="251" t="s">
        <v>1140</v>
      </c>
      <c r="J356" s="252">
        <v>8.0</v>
      </c>
      <c r="K356" s="252">
        <v>870.0</v>
      </c>
      <c r="L356" s="252">
        <v>120.0</v>
      </c>
      <c r="M356" s="252">
        <v>4646.0</v>
      </c>
      <c r="N356" s="252">
        <v>8316.0</v>
      </c>
      <c r="O356" s="252">
        <v>4.0</v>
      </c>
      <c r="P356" s="252">
        <v>512.0</v>
      </c>
      <c r="Q356" s="252">
        <v>3549.0</v>
      </c>
      <c r="R356" s="251" t="s">
        <v>1099</v>
      </c>
      <c r="S356" s="251" t="s">
        <v>1122</v>
      </c>
      <c r="T356" s="251" t="s">
        <v>1021</v>
      </c>
      <c r="U356" s="252">
        <v>32.0</v>
      </c>
      <c r="V356" s="252">
        <v>32.0</v>
      </c>
      <c r="W356" s="252">
        <v>6.0</v>
      </c>
      <c r="X356" s="251" t="s">
        <v>1113</v>
      </c>
      <c r="Y356" s="251" t="s">
        <v>2991</v>
      </c>
      <c r="Z356" s="251" t="s">
        <v>2992</v>
      </c>
      <c r="AA356" s="254" t="s">
        <v>1105</v>
      </c>
      <c r="AB356" s="254" t="s">
        <v>1105</v>
      </c>
    </row>
    <row r="357">
      <c r="A357" s="252">
        <v>356.0</v>
      </c>
      <c r="B357" s="251" t="s">
        <v>2993</v>
      </c>
      <c r="C357" s="252">
        <v>1.0</v>
      </c>
      <c r="D357" s="251" t="s">
        <v>2994</v>
      </c>
      <c r="E357" s="251" t="s">
        <v>2177</v>
      </c>
      <c r="F357" s="251" t="s">
        <v>1129</v>
      </c>
      <c r="G357" s="253" t="s">
        <v>2995</v>
      </c>
      <c r="H357" s="252">
        <v>4.0</v>
      </c>
      <c r="I357" s="251" t="s">
        <v>1131</v>
      </c>
      <c r="J357" s="252">
        <v>8.0</v>
      </c>
      <c r="K357" s="252">
        <v>969.0</v>
      </c>
      <c r="L357" s="252">
        <v>100.0</v>
      </c>
      <c r="M357" s="252">
        <v>3730.0</v>
      </c>
      <c r="N357" s="252">
        <v>6079.0</v>
      </c>
      <c r="O357" s="252">
        <v>6.0</v>
      </c>
      <c r="P357" s="252">
        <v>32.0</v>
      </c>
      <c r="Q357" s="252">
        <v>6056.0</v>
      </c>
      <c r="R357" s="251" t="s">
        <v>1112</v>
      </c>
      <c r="S357" s="251" t="s">
        <v>1122</v>
      </c>
      <c r="T357" s="251" t="s">
        <v>1123</v>
      </c>
      <c r="U357" s="252">
        <v>14.0</v>
      </c>
      <c r="V357" s="252">
        <v>16.0</v>
      </c>
      <c r="W357" s="252">
        <v>6.0</v>
      </c>
      <c r="X357" s="251" t="s">
        <v>1147</v>
      </c>
      <c r="Y357" s="251" t="s">
        <v>2996</v>
      </c>
      <c r="Z357" s="251" t="s">
        <v>2997</v>
      </c>
      <c r="AA357" s="254" t="s">
        <v>1105</v>
      </c>
      <c r="AB357" s="254" t="s">
        <v>1105</v>
      </c>
    </row>
    <row r="358">
      <c r="A358" s="252">
        <v>357.0</v>
      </c>
      <c r="B358" s="251" t="s">
        <v>2998</v>
      </c>
      <c r="C358" s="252">
        <v>1.0</v>
      </c>
      <c r="D358" s="251" t="s">
        <v>2999</v>
      </c>
      <c r="E358" s="251" t="s">
        <v>1848</v>
      </c>
      <c r="F358" s="251" t="s">
        <v>1233</v>
      </c>
      <c r="G358" s="253" t="s">
        <v>3000</v>
      </c>
      <c r="H358" s="252">
        <v>2.0</v>
      </c>
      <c r="I358" s="251" t="s">
        <v>1121</v>
      </c>
      <c r="J358" s="252">
        <v>10.0</v>
      </c>
      <c r="K358" s="252">
        <v>393.0</v>
      </c>
      <c r="L358" s="252">
        <v>80.0</v>
      </c>
      <c r="M358" s="252">
        <v>16033.0</v>
      </c>
      <c r="N358" s="252">
        <v>21323.0</v>
      </c>
      <c r="O358" s="252">
        <v>12.0</v>
      </c>
      <c r="P358" s="252">
        <v>64.0</v>
      </c>
      <c r="Q358" s="252">
        <v>2193.0</v>
      </c>
      <c r="R358" s="251" t="s">
        <v>1141</v>
      </c>
      <c r="S358" s="251" t="s">
        <v>1100</v>
      </c>
      <c r="T358" s="251" t="s">
        <v>1123</v>
      </c>
      <c r="U358" s="252">
        <v>32.0</v>
      </c>
      <c r="V358" s="252">
        <v>32.0</v>
      </c>
      <c r="W358" s="252">
        <v>5.2</v>
      </c>
      <c r="X358" s="251" t="s">
        <v>1113</v>
      </c>
      <c r="Y358" s="251" t="s">
        <v>3001</v>
      </c>
      <c r="Z358" s="251" t="s">
        <v>3002</v>
      </c>
      <c r="AA358" s="254" t="s">
        <v>1105</v>
      </c>
      <c r="AB358" s="254" t="s">
        <v>1105</v>
      </c>
    </row>
    <row r="359">
      <c r="A359" s="252">
        <v>358.0</v>
      </c>
      <c r="B359" s="251" t="s">
        <v>3003</v>
      </c>
      <c r="C359" s="252">
        <v>1.0</v>
      </c>
      <c r="D359" s="251" t="s">
        <v>3004</v>
      </c>
      <c r="E359" s="251" t="s">
        <v>1208</v>
      </c>
      <c r="F359" s="251" t="s">
        <v>1109</v>
      </c>
      <c r="G359" s="253" t="s">
        <v>3005</v>
      </c>
      <c r="H359" s="252">
        <v>5.0</v>
      </c>
      <c r="I359" s="251" t="s">
        <v>1111</v>
      </c>
      <c r="J359" s="252">
        <v>10.0</v>
      </c>
      <c r="K359" s="252">
        <v>431.0</v>
      </c>
      <c r="L359" s="252">
        <v>120.0</v>
      </c>
      <c r="M359" s="252">
        <v>16670.0</v>
      </c>
      <c r="N359" s="252">
        <v>27672.0</v>
      </c>
      <c r="O359" s="252">
        <v>12.0</v>
      </c>
      <c r="P359" s="252">
        <v>512.0</v>
      </c>
      <c r="Q359" s="252">
        <v>4338.0</v>
      </c>
      <c r="R359" s="251" t="s">
        <v>1141</v>
      </c>
      <c r="S359" s="251" t="s">
        <v>1100</v>
      </c>
      <c r="T359" s="251" t="s">
        <v>1021</v>
      </c>
      <c r="U359" s="252">
        <v>32.0</v>
      </c>
      <c r="V359" s="252">
        <v>12.0</v>
      </c>
      <c r="W359" s="252">
        <v>6.3</v>
      </c>
      <c r="X359" s="251" t="s">
        <v>1132</v>
      </c>
      <c r="Y359" s="251" t="s">
        <v>3006</v>
      </c>
      <c r="Z359" s="251" t="s">
        <v>3007</v>
      </c>
      <c r="AA359" s="254" t="s">
        <v>1105</v>
      </c>
      <c r="AB359" s="254" t="s">
        <v>1105</v>
      </c>
    </row>
    <row r="360">
      <c r="A360" s="252">
        <v>359.0</v>
      </c>
      <c r="B360" s="251" t="s">
        <v>3008</v>
      </c>
      <c r="C360" s="252">
        <v>1.0</v>
      </c>
      <c r="D360" s="251" t="s">
        <v>3009</v>
      </c>
      <c r="E360" s="251" t="s">
        <v>1221</v>
      </c>
      <c r="F360" s="251" t="s">
        <v>1160</v>
      </c>
      <c r="G360" s="253" t="s">
        <v>3010</v>
      </c>
      <c r="H360" s="252">
        <v>5.0</v>
      </c>
      <c r="I360" s="251" t="s">
        <v>1111</v>
      </c>
      <c r="J360" s="252">
        <v>10.0</v>
      </c>
      <c r="K360" s="252">
        <v>265.0</v>
      </c>
      <c r="L360" s="252">
        <v>120.0</v>
      </c>
      <c r="M360" s="252">
        <v>10687.0</v>
      </c>
      <c r="N360" s="252">
        <v>17740.0</v>
      </c>
      <c r="O360" s="252">
        <v>8.0</v>
      </c>
      <c r="P360" s="252">
        <v>64.0</v>
      </c>
      <c r="Q360" s="252">
        <v>3729.0</v>
      </c>
      <c r="R360" s="251" t="s">
        <v>1099</v>
      </c>
      <c r="S360" s="251" t="s">
        <v>1122</v>
      </c>
      <c r="T360" s="251" t="s">
        <v>1101</v>
      </c>
      <c r="U360" s="252">
        <v>12.0</v>
      </c>
      <c r="V360" s="252">
        <v>14.0</v>
      </c>
      <c r="W360" s="252">
        <v>5.0</v>
      </c>
      <c r="X360" s="251" t="s">
        <v>1147</v>
      </c>
      <c r="Y360" s="251" t="s">
        <v>3011</v>
      </c>
      <c r="Z360" s="251" t="s">
        <v>3012</v>
      </c>
      <c r="AA360" s="254" t="s">
        <v>1105</v>
      </c>
      <c r="AB360" s="254" t="s">
        <v>1105</v>
      </c>
    </row>
    <row r="361">
      <c r="A361" s="252">
        <v>360.0</v>
      </c>
      <c r="B361" s="251" t="s">
        <v>3013</v>
      </c>
      <c r="C361" s="252">
        <v>1.0</v>
      </c>
      <c r="D361" s="251" t="s">
        <v>3014</v>
      </c>
      <c r="E361" s="251" t="s">
        <v>1848</v>
      </c>
      <c r="F361" s="251" t="s">
        <v>1233</v>
      </c>
      <c r="G361" s="253" t="s">
        <v>3015</v>
      </c>
      <c r="H361" s="252">
        <v>6.0</v>
      </c>
      <c r="I361" s="251" t="s">
        <v>1121</v>
      </c>
      <c r="J361" s="252">
        <v>12.0</v>
      </c>
      <c r="K361" s="252">
        <v>266.0</v>
      </c>
      <c r="L361" s="252">
        <v>120.0</v>
      </c>
      <c r="M361" s="252">
        <v>14783.0</v>
      </c>
      <c r="N361" s="252">
        <v>22617.0</v>
      </c>
      <c r="O361" s="252">
        <v>8.0</v>
      </c>
      <c r="P361" s="252">
        <v>64.0</v>
      </c>
      <c r="Q361" s="252">
        <v>3409.0</v>
      </c>
      <c r="R361" s="251" t="s">
        <v>1112</v>
      </c>
      <c r="S361" s="251" t="s">
        <v>1100</v>
      </c>
      <c r="T361" s="251" t="s">
        <v>1123</v>
      </c>
      <c r="U361" s="252">
        <v>16.0</v>
      </c>
      <c r="V361" s="252">
        <v>12.0</v>
      </c>
      <c r="W361" s="252">
        <v>6.3</v>
      </c>
      <c r="X361" s="251" t="s">
        <v>1147</v>
      </c>
      <c r="Y361" s="251" t="s">
        <v>3016</v>
      </c>
      <c r="Z361" s="251" t="s">
        <v>3017</v>
      </c>
      <c r="AA361" s="254" t="s">
        <v>1105</v>
      </c>
      <c r="AB361" s="254" t="s">
        <v>1105</v>
      </c>
    </row>
    <row r="362">
      <c r="A362" s="252">
        <v>361.0</v>
      </c>
      <c r="B362" s="251" t="s">
        <v>3018</v>
      </c>
      <c r="C362" s="252">
        <v>1.0</v>
      </c>
      <c r="D362" s="251" t="s">
        <v>3019</v>
      </c>
      <c r="E362" s="251" t="s">
        <v>2399</v>
      </c>
      <c r="F362" s="251" t="s">
        <v>1215</v>
      </c>
      <c r="G362" s="253" t="s">
        <v>3020</v>
      </c>
      <c r="H362" s="252">
        <v>4.0</v>
      </c>
      <c r="I362" s="251" t="s">
        <v>1140</v>
      </c>
      <c r="J362" s="252">
        <v>12.0</v>
      </c>
      <c r="K362" s="252">
        <v>253.0</v>
      </c>
      <c r="L362" s="252">
        <v>120.0</v>
      </c>
      <c r="M362" s="252">
        <v>20625.0</v>
      </c>
      <c r="N362" s="252">
        <v>26400.0</v>
      </c>
      <c r="O362" s="252">
        <v>6.0</v>
      </c>
      <c r="P362" s="252">
        <v>128.0</v>
      </c>
      <c r="Q362" s="252">
        <v>5035.0</v>
      </c>
      <c r="R362" s="251" t="s">
        <v>1099</v>
      </c>
      <c r="S362" s="251" t="s">
        <v>1122</v>
      </c>
      <c r="T362" s="251" t="s">
        <v>1101</v>
      </c>
      <c r="U362" s="252">
        <v>16.0</v>
      </c>
      <c r="V362" s="252">
        <v>32.0</v>
      </c>
      <c r="W362" s="252">
        <v>5.5</v>
      </c>
      <c r="X362" s="251" t="s">
        <v>1113</v>
      </c>
      <c r="Y362" s="251" t="s">
        <v>3021</v>
      </c>
      <c r="Z362" s="251" t="s">
        <v>3022</v>
      </c>
      <c r="AA362" s="254" t="s">
        <v>1105</v>
      </c>
      <c r="AB362" s="254" t="s">
        <v>1105</v>
      </c>
    </row>
    <row r="363">
      <c r="A363" s="252">
        <v>362.0</v>
      </c>
      <c r="B363" s="251" t="s">
        <v>3023</v>
      </c>
      <c r="C363" s="252">
        <v>1.0</v>
      </c>
      <c r="D363" s="251" t="s">
        <v>3024</v>
      </c>
      <c r="E363" s="251" t="s">
        <v>1214</v>
      </c>
      <c r="F363" s="251" t="s">
        <v>1215</v>
      </c>
      <c r="G363" s="253" t="s">
        <v>3025</v>
      </c>
      <c r="H363" s="252">
        <v>5.0</v>
      </c>
      <c r="I363" s="251" t="s">
        <v>1121</v>
      </c>
      <c r="J363" s="252">
        <v>8.0</v>
      </c>
      <c r="K363" s="252">
        <v>803.0</v>
      </c>
      <c r="L363" s="252">
        <v>120.0</v>
      </c>
      <c r="M363" s="252">
        <v>14943.0</v>
      </c>
      <c r="N363" s="252">
        <v>26299.0</v>
      </c>
      <c r="O363" s="252">
        <v>12.0</v>
      </c>
      <c r="P363" s="252">
        <v>64.0</v>
      </c>
      <c r="Q363" s="252">
        <v>2196.0</v>
      </c>
      <c r="R363" s="251" t="s">
        <v>1112</v>
      </c>
      <c r="S363" s="251" t="s">
        <v>1100</v>
      </c>
      <c r="T363" s="251" t="s">
        <v>1123</v>
      </c>
      <c r="U363" s="252">
        <v>12.0</v>
      </c>
      <c r="V363" s="252">
        <v>12.0</v>
      </c>
      <c r="W363" s="252">
        <v>6.3</v>
      </c>
      <c r="X363" s="251" t="s">
        <v>1147</v>
      </c>
      <c r="Y363" s="251" t="s">
        <v>3026</v>
      </c>
      <c r="Z363" s="251" t="s">
        <v>3027</v>
      </c>
      <c r="AA363" s="254" t="s">
        <v>1105</v>
      </c>
      <c r="AB363" s="254" t="s">
        <v>1105</v>
      </c>
    </row>
    <row r="364">
      <c r="A364" s="252">
        <v>363.0</v>
      </c>
      <c r="B364" s="251" t="s">
        <v>3028</v>
      </c>
      <c r="C364" s="252">
        <v>1.0</v>
      </c>
      <c r="D364" s="251" t="s">
        <v>3029</v>
      </c>
      <c r="E364" s="251" t="s">
        <v>1272</v>
      </c>
      <c r="F364" s="251" t="s">
        <v>1233</v>
      </c>
      <c r="G364" s="253" t="s">
        <v>3030</v>
      </c>
      <c r="H364" s="252">
        <v>4.0</v>
      </c>
      <c r="I364" s="251" t="s">
        <v>1121</v>
      </c>
      <c r="J364" s="252">
        <v>10.0</v>
      </c>
      <c r="K364" s="252">
        <v>941.0</v>
      </c>
      <c r="L364" s="252">
        <v>80.0</v>
      </c>
      <c r="M364" s="252">
        <v>21681.0</v>
      </c>
      <c r="N364" s="252">
        <v>39459.0</v>
      </c>
      <c r="O364" s="252">
        <v>8.0</v>
      </c>
      <c r="P364" s="252">
        <v>128.0</v>
      </c>
      <c r="Q364" s="252">
        <v>5429.0</v>
      </c>
      <c r="R364" s="251" t="s">
        <v>1141</v>
      </c>
      <c r="S364" s="251" t="s">
        <v>1100</v>
      </c>
      <c r="T364" s="251" t="s">
        <v>1021</v>
      </c>
      <c r="U364" s="252">
        <v>32.0</v>
      </c>
      <c r="V364" s="252">
        <v>12.0</v>
      </c>
      <c r="W364" s="252">
        <v>5.2</v>
      </c>
      <c r="X364" s="251" t="s">
        <v>1113</v>
      </c>
      <c r="Y364" s="251" t="s">
        <v>3031</v>
      </c>
      <c r="Z364" s="251" t="s">
        <v>3032</v>
      </c>
      <c r="AA364" s="254" t="s">
        <v>1105</v>
      </c>
      <c r="AB364" s="254" t="s">
        <v>1105</v>
      </c>
    </row>
    <row r="365">
      <c r="A365" s="252">
        <v>364.0</v>
      </c>
      <c r="B365" s="251" t="s">
        <v>3033</v>
      </c>
      <c r="C365" s="252">
        <v>1.0</v>
      </c>
      <c r="D365" s="251" t="s">
        <v>3034</v>
      </c>
      <c r="E365" s="251" t="s">
        <v>1208</v>
      </c>
      <c r="F365" s="251" t="s">
        <v>1109</v>
      </c>
      <c r="G365" s="253" t="s">
        <v>3035</v>
      </c>
      <c r="H365" s="252">
        <v>3.0</v>
      </c>
      <c r="I365" s="251" t="s">
        <v>1140</v>
      </c>
      <c r="J365" s="252">
        <v>12.0</v>
      </c>
      <c r="K365" s="252">
        <v>531.0</v>
      </c>
      <c r="L365" s="252">
        <v>120.0</v>
      </c>
      <c r="M365" s="252">
        <v>4085.0</v>
      </c>
      <c r="N365" s="252">
        <v>7475.0</v>
      </c>
      <c r="O365" s="252">
        <v>12.0</v>
      </c>
      <c r="P365" s="252">
        <v>32.0</v>
      </c>
      <c r="Q365" s="252">
        <v>2229.0</v>
      </c>
      <c r="R365" s="251" t="s">
        <v>1099</v>
      </c>
      <c r="S365" s="251" t="s">
        <v>1100</v>
      </c>
      <c r="T365" s="251" t="s">
        <v>1123</v>
      </c>
      <c r="U365" s="252">
        <v>14.0</v>
      </c>
      <c r="V365" s="252">
        <v>32.0</v>
      </c>
      <c r="W365" s="252">
        <v>5.5</v>
      </c>
      <c r="X365" s="251" t="s">
        <v>1102</v>
      </c>
      <c r="Y365" s="251" t="s">
        <v>3036</v>
      </c>
      <c r="Z365" s="251" t="s">
        <v>3037</v>
      </c>
      <c r="AA365" s="254" t="s">
        <v>1105</v>
      </c>
      <c r="AB365" s="254" t="s">
        <v>1105</v>
      </c>
    </row>
    <row r="366">
      <c r="A366" s="252">
        <v>365.0</v>
      </c>
      <c r="B366" s="251" t="s">
        <v>3038</v>
      </c>
      <c r="C366" s="252">
        <v>1.0</v>
      </c>
      <c r="D366" s="251" t="s">
        <v>3039</v>
      </c>
      <c r="E366" s="251" t="s">
        <v>1942</v>
      </c>
      <c r="F366" s="251" t="s">
        <v>1233</v>
      </c>
      <c r="G366" s="253" t="s">
        <v>3040</v>
      </c>
      <c r="H366" s="252">
        <v>5.0</v>
      </c>
      <c r="I366" s="251" t="s">
        <v>1131</v>
      </c>
      <c r="J366" s="252">
        <v>12.0</v>
      </c>
      <c r="K366" s="252">
        <v>467.0</v>
      </c>
      <c r="L366" s="252">
        <v>100.0</v>
      </c>
      <c r="M366" s="252">
        <v>21363.0</v>
      </c>
      <c r="N366" s="252">
        <v>25635.0</v>
      </c>
      <c r="O366" s="252">
        <v>8.0</v>
      </c>
      <c r="P366" s="252">
        <v>16.0</v>
      </c>
      <c r="Q366" s="252">
        <v>5121.0</v>
      </c>
      <c r="R366" s="251" t="s">
        <v>1141</v>
      </c>
      <c r="S366" s="251" t="s">
        <v>1122</v>
      </c>
      <c r="T366" s="251" t="s">
        <v>1101</v>
      </c>
      <c r="U366" s="252">
        <v>32.0</v>
      </c>
      <c r="V366" s="252">
        <v>12.0</v>
      </c>
      <c r="W366" s="252">
        <v>4.7</v>
      </c>
      <c r="X366" s="251" t="s">
        <v>1102</v>
      </c>
      <c r="Y366" s="251" t="s">
        <v>3041</v>
      </c>
      <c r="Z366" s="251" t="s">
        <v>3042</v>
      </c>
      <c r="AA366" s="254" t="s">
        <v>1105</v>
      </c>
      <c r="AB366" s="254" t="s">
        <v>1105</v>
      </c>
    </row>
    <row r="367">
      <c r="A367" s="252">
        <v>366.0</v>
      </c>
      <c r="B367" s="251" t="s">
        <v>3043</v>
      </c>
      <c r="C367" s="252">
        <v>1.0</v>
      </c>
      <c r="D367" s="251" t="s">
        <v>3044</v>
      </c>
      <c r="E367" s="251" t="s">
        <v>1678</v>
      </c>
      <c r="F367" s="251" t="s">
        <v>1138</v>
      </c>
      <c r="G367" s="253" t="s">
        <v>3045</v>
      </c>
      <c r="H367" s="252">
        <v>5.0</v>
      </c>
      <c r="I367" s="251" t="s">
        <v>1131</v>
      </c>
      <c r="J367" s="252">
        <v>10.0</v>
      </c>
      <c r="K367" s="252">
        <v>404.0</v>
      </c>
      <c r="L367" s="252">
        <v>80.0</v>
      </c>
      <c r="M367" s="252">
        <v>9085.0</v>
      </c>
      <c r="N367" s="252">
        <v>11447.0</v>
      </c>
      <c r="O367" s="252">
        <v>8.0</v>
      </c>
      <c r="P367" s="252">
        <v>64.0</v>
      </c>
      <c r="Q367" s="252">
        <v>2447.0</v>
      </c>
      <c r="R367" s="251" t="s">
        <v>1141</v>
      </c>
      <c r="S367" s="251" t="s">
        <v>1100</v>
      </c>
      <c r="T367" s="251" t="s">
        <v>1123</v>
      </c>
      <c r="U367" s="252">
        <v>14.0</v>
      </c>
      <c r="V367" s="252">
        <v>48.0</v>
      </c>
      <c r="W367" s="252">
        <v>6.3</v>
      </c>
      <c r="X367" s="251" t="s">
        <v>1113</v>
      </c>
      <c r="Y367" s="251" t="s">
        <v>3046</v>
      </c>
      <c r="Z367" s="251" t="s">
        <v>3047</v>
      </c>
      <c r="AA367" s="254" t="s">
        <v>1105</v>
      </c>
      <c r="AB367" s="254" t="s">
        <v>1105</v>
      </c>
    </row>
    <row r="368">
      <c r="A368" s="252">
        <v>367.0</v>
      </c>
      <c r="B368" s="251" t="s">
        <v>3048</v>
      </c>
      <c r="C368" s="252">
        <v>1.0</v>
      </c>
      <c r="D368" s="251" t="s">
        <v>3049</v>
      </c>
      <c r="E368" s="251" t="s">
        <v>1335</v>
      </c>
      <c r="F368" s="251" t="s">
        <v>1215</v>
      </c>
      <c r="G368" s="253" t="s">
        <v>3050</v>
      </c>
      <c r="H368" s="252">
        <v>2.0</v>
      </c>
      <c r="I368" s="251" t="s">
        <v>1140</v>
      </c>
      <c r="J368" s="252">
        <v>8.0</v>
      </c>
      <c r="K368" s="252">
        <v>363.0</v>
      </c>
      <c r="L368" s="252">
        <v>120.0</v>
      </c>
      <c r="M368" s="252">
        <v>5215.0</v>
      </c>
      <c r="N368" s="252">
        <v>6414.0</v>
      </c>
      <c r="O368" s="252">
        <v>6.0</v>
      </c>
      <c r="P368" s="252">
        <v>8.0</v>
      </c>
      <c r="Q368" s="252">
        <v>2063.0</v>
      </c>
      <c r="R368" s="251" t="s">
        <v>1112</v>
      </c>
      <c r="S368" s="251" t="s">
        <v>1100</v>
      </c>
      <c r="T368" s="251" t="s">
        <v>1101</v>
      </c>
      <c r="U368" s="252">
        <v>32.0</v>
      </c>
      <c r="V368" s="252">
        <v>48.0</v>
      </c>
      <c r="W368" s="252">
        <v>5.2</v>
      </c>
      <c r="X368" s="251" t="s">
        <v>1147</v>
      </c>
      <c r="Y368" s="251" t="s">
        <v>3051</v>
      </c>
      <c r="Z368" s="251" t="s">
        <v>3052</v>
      </c>
      <c r="AA368" s="254" t="s">
        <v>1105</v>
      </c>
      <c r="AB368" s="254" t="s">
        <v>1105</v>
      </c>
    </row>
    <row r="369">
      <c r="A369" s="252">
        <v>368.0</v>
      </c>
      <c r="B369" s="251" t="s">
        <v>3053</v>
      </c>
      <c r="C369" s="252">
        <v>1.0</v>
      </c>
      <c r="D369" s="251" t="s">
        <v>3054</v>
      </c>
      <c r="E369" s="251" t="s">
        <v>1411</v>
      </c>
      <c r="F369" s="251" t="s">
        <v>1119</v>
      </c>
      <c r="G369" s="253" t="s">
        <v>3055</v>
      </c>
      <c r="H369" s="252">
        <v>5.0</v>
      </c>
      <c r="I369" s="251" t="s">
        <v>1131</v>
      </c>
      <c r="J369" s="252">
        <v>12.0</v>
      </c>
      <c r="K369" s="252">
        <v>149.0</v>
      </c>
      <c r="L369" s="252">
        <v>100.0</v>
      </c>
      <c r="M369" s="252">
        <v>15748.0</v>
      </c>
      <c r="N369" s="252">
        <v>20629.0</v>
      </c>
      <c r="O369" s="252">
        <v>6.0</v>
      </c>
      <c r="P369" s="252">
        <v>8.0</v>
      </c>
      <c r="Q369" s="252">
        <v>3454.0</v>
      </c>
      <c r="R369" s="251" t="s">
        <v>1112</v>
      </c>
      <c r="S369" s="251" t="s">
        <v>1122</v>
      </c>
      <c r="T369" s="251" t="s">
        <v>1123</v>
      </c>
      <c r="U369" s="252">
        <v>16.0</v>
      </c>
      <c r="V369" s="252">
        <v>16.0</v>
      </c>
      <c r="W369" s="252">
        <v>4.7</v>
      </c>
      <c r="X369" s="251" t="s">
        <v>1102</v>
      </c>
      <c r="Y369" s="251" t="s">
        <v>3056</v>
      </c>
      <c r="Z369" s="251" t="s">
        <v>3057</v>
      </c>
      <c r="AA369" s="254" t="s">
        <v>1105</v>
      </c>
      <c r="AB369" s="254" t="s">
        <v>1105</v>
      </c>
    </row>
    <row r="370">
      <c r="A370" s="252">
        <v>369.0</v>
      </c>
      <c r="B370" s="251" t="s">
        <v>3058</v>
      </c>
      <c r="C370" s="252">
        <v>1.0</v>
      </c>
      <c r="D370" s="251" t="s">
        <v>3059</v>
      </c>
      <c r="E370" s="251" t="s">
        <v>1128</v>
      </c>
      <c r="F370" s="251" t="s">
        <v>1129</v>
      </c>
      <c r="G370" s="253" t="s">
        <v>3060</v>
      </c>
      <c r="H370" s="252">
        <v>3.0</v>
      </c>
      <c r="I370" s="251" t="s">
        <v>1098</v>
      </c>
      <c r="J370" s="252">
        <v>10.0</v>
      </c>
      <c r="K370" s="252">
        <v>284.0</v>
      </c>
      <c r="L370" s="252">
        <v>80.0</v>
      </c>
      <c r="M370" s="252">
        <v>11392.0</v>
      </c>
      <c r="N370" s="252">
        <v>19252.0</v>
      </c>
      <c r="O370" s="252">
        <v>8.0</v>
      </c>
      <c r="P370" s="252">
        <v>8.0</v>
      </c>
      <c r="Q370" s="252">
        <v>3228.0</v>
      </c>
      <c r="R370" s="251" t="s">
        <v>1141</v>
      </c>
      <c r="S370" s="251" t="s">
        <v>1122</v>
      </c>
      <c r="T370" s="251" t="s">
        <v>1021</v>
      </c>
      <c r="U370" s="252">
        <v>48.0</v>
      </c>
      <c r="V370" s="252">
        <v>48.0</v>
      </c>
      <c r="W370" s="252">
        <v>5.5</v>
      </c>
      <c r="X370" s="251" t="s">
        <v>1132</v>
      </c>
      <c r="Y370" s="251" t="s">
        <v>3061</v>
      </c>
      <c r="Z370" s="251" t="s">
        <v>3062</v>
      </c>
      <c r="AA370" s="254" t="s">
        <v>1105</v>
      </c>
      <c r="AB370" s="254" t="s">
        <v>1105</v>
      </c>
    </row>
    <row r="371">
      <c r="A371" s="252">
        <v>370.0</v>
      </c>
      <c r="B371" s="251" t="s">
        <v>3063</v>
      </c>
      <c r="C371" s="252">
        <v>1.0</v>
      </c>
      <c r="D371" s="251" t="s">
        <v>3064</v>
      </c>
      <c r="E371" s="251" t="s">
        <v>1452</v>
      </c>
      <c r="F371" s="251" t="s">
        <v>1119</v>
      </c>
      <c r="G371" s="253" t="s">
        <v>3065</v>
      </c>
      <c r="H371" s="252">
        <v>5.0</v>
      </c>
      <c r="I371" s="251" t="s">
        <v>1131</v>
      </c>
      <c r="J371" s="252">
        <v>12.0</v>
      </c>
      <c r="K371" s="252">
        <v>53.0</v>
      </c>
      <c r="L371" s="252">
        <v>120.0</v>
      </c>
      <c r="M371" s="252">
        <v>2961.0</v>
      </c>
      <c r="N371" s="252">
        <v>4115.0</v>
      </c>
      <c r="O371" s="252">
        <v>8.0</v>
      </c>
      <c r="P371" s="252">
        <v>16.0</v>
      </c>
      <c r="Q371" s="252">
        <v>5921.0</v>
      </c>
      <c r="R371" s="251" t="s">
        <v>1099</v>
      </c>
      <c r="S371" s="251" t="s">
        <v>1100</v>
      </c>
      <c r="T371" s="251" t="s">
        <v>1021</v>
      </c>
      <c r="U371" s="252">
        <v>32.0</v>
      </c>
      <c r="V371" s="252">
        <v>14.0</v>
      </c>
      <c r="W371" s="252">
        <v>4.7</v>
      </c>
      <c r="X371" s="251" t="s">
        <v>1113</v>
      </c>
      <c r="Y371" s="251" t="s">
        <v>3066</v>
      </c>
      <c r="Z371" s="251" t="s">
        <v>3067</v>
      </c>
      <c r="AA371" s="254" t="s">
        <v>1105</v>
      </c>
      <c r="AB371" s="254" t="s">
        <v>1105</v>
      </c>
    </row>
    <row r="372">
      <c r="A372" s="252">
        <v>371.0</v>
      </c>
      <c r="B372" s="251" t="s">
        <v>3068</v>
      </c>
      <c r="C372" s="252">
        <v>1.0</v>
      </c>
      <c r="D372" s="251" t="s">
        <v>3069</v>
      </c>
      <c r="E372" s="251" t="s">
        <v>1353</v>
      </c>
      <c r="F372" s="251" t="s">
        <v>1109</v>
      </c>
      <c r="G372" s="253" t="s">
        <v>3070</v>
      </c>
      <c r="H372" s="252">
        <v>5.0</v>
      </c>
      <c r="I372" s="251" t="s">
        <v>1098</v>
      </c>
      <c r="J372" s="252">
        <v>10.0</v>
      </c>
      <c r="K372" s="252">
        <v>529.0</v>
      </c>
      <c r="L372" s="252">
        <v>120.0</v>
      </c>
      <c r="M372" s="252">
        <v>14169.0</v>
      </c>
      <c r="N372" s="252">
        <v>25079.0</v>
      </c>
      <c r="O372" s="252">
        <v>2.0</v>
      </c>
      <c r="P372" s="252">
        <v>128.0</v>
      </c>
      <c r="Q372" s="252">
        <v>3490.0</v>
      </c>
      <c r="R372" s="251" t="s">
        <v>1141</v>
      </c>
      <c r="S372" s="251" t="s">
        <v>1100</v>
      </c>
      <c r="T372" s="251" t="s">
        <v>1123</v>
      </c>
      <c r="U372" s="252">
        <v>48.0</v>
      </c>
      <c r="V372" s="252">
        <v>32.0</v>
      </c>
      <c r="W372" s="252">
        <v>5.2</v>
      </c>
      <c r="X372" s="251" t="s">
        <v>1102</v>
      </c>
      <c r="Y372" s="251" t="s">
        <v>3071</v>
      </c>
      <c r="Z372" s="251" t="s">
        <v>3072</v>
      </c>
      <c r="AA372" s="254" t="s">
        <v>1105</v>
      </c>
      <c r="AB372" s="254" t="s">
        <v>1105</v>
      </c>
    </row>
    <row r="373">
      <c r="A373" s="252">
        <v>372.0</v>
      </c>
      <c r="B373" s="251" t="s">
        <v>3073</v>
      </c>
      <c r="C373" s="252">
        <v>1.0</v>
      </c>
      <c r="D373" s="251" t="s">
        <v>3074</v>
      </c>
      <c r="E373" s="251" t="s">
        <v>1095</v>
      </c>
      <c r="F373" s="251" t="s">
        <v>1096</v>
      </c>
      <c r="G373" s="253" t="s">
        <v>3075</v>
      </c>
      <c r="H373" s="252">
        <v>5.0</v>
      </c>
      <c r="I373" s="251" t="s">
        <v>1098</v>
      </c>
      <c r="J373" s="252">
        <v>8.0</v>
      </c>
      <c r="K373" s="252">
        <v>958.0</v>
      </c>
      <c r="L373" s="252">
        <v>120.0</v>
      </c>
      <c r="M373" s="252">
        <v>17513.0</v>
      </c>
      <c r="N373" s="252">
        <v>28195.0</v>
      </c>
      <c r="O373" s="252">
        <v>6.0</v>
      </c>
      <c r="P373" s="252">
        <v>32.0</v>
      </c>
      <c r="Q373" s="252">
        <v>4047.0</v>
      </c>
      <c r="R373" s="251" t="s">
        <v>1112</v>
      </c>
      <c r="S373" s="251" t="s">
        <v>1100</v>
      </c>
      <c r="T373" s="251" t="s">
        <v>1101</v>
      </c>
      <c r="U373" s="252">
        <v>16.0</v>
      </c>
      <c r="V373" s="252">
        <v>32.0</v>
      </c>
      <c r="W373" s="252">
        <v>4.7</v>
      </c>
      <c r="X373" s="251" t="s">
        <v>1132</v>
      </c>
      <c r="Y373" s="251" t="s">
        <v>3076</v>
      </c>
      <c r="Z373" s="251" t="s">
        <v>3077</v>
      </c>
      <c r="AA373" s="254" t="s">
        <v>1105</v>
      </c>
      <c r="AB373" s="254" t="s">
        <v>1105</v>
      </c>
    </row>
    <row r="374">
      <c r="A374" s="252">
        <v>373.0</v>
      </c>
      <c r="B374" s="251" t="s">
        <v>3078</v>
      </c>
      <c r="C374" s="252">
        <v>1.0</v>
      </c>
      <c r="D374" s="251" t="s">
        <v>3079</v>
      </c>
      <c r="E374" s="251" t="s">
        <v>1712</v>
      </c>
      <c r="F374" s="251" t="s">
        <v>1109</v>
      </c>
      <c r="G374" s="253" t="s">
        <v>3080</v>
      </c>
      <c r="H374" s="252">
        <v>3.0</v>
      </c>
      <c r="I374" s="251" t="s">
        <v>1140</v>
      </c>
      <c r="J374" s="252">
        <v>8.0</v>
      </c>
      <c r="K374" s="252">
        <v>780.0</v>
      </c>
      <c r="L374" s="252">
        <v>100.0</v>
      </c>
      <c r="M374" s="252">
        <v>14780.0</v>
      </c>
      <c r="N374" s="252">
        <v>25717.0</v>
      </c>
      <c r="O374" s="252">
        <v>6.0</v>
      </c>
      <c r="P374" s="252">
        <v>8.0</v>
      </c>
      <c r="Q374" s="252">
        <v>3514.0</v>
      </c>
      <c r="R374" s="251" t="s">
        <v>1099</v>
      </c>
      <c r="S374" s="251" t="s">
        <v>1122</v>
      </c>
      <c r="T374" s="251" t="s">
        <v>1101</v>
      </c>
      <c r="U374" s="252">
        <v>32.0</v>
      </c>
      <c r="V374" s="252">
        <v>16.0</v>
      </c>
      <c r="W374" s="252">
        <v>5.0</v>
      </c>
      <c r="X374" s="251" t="s">
        <v>1113</v>
      </c>
      <c r="Y374" s="251" t="s">
        <v>3081</v>
      </c>
      <c r="Z374" s="251" t="s">
        <v>3082</v>
      </c>
      <c r="AA374" s="254" t="s">
        <v>1105</v>
      </c>
      <c r="AB374" s="254" t="s">
        <v>1105</v>
      </c>
    </row>
    <row r="375">
      <c r="A375" s="252">
        <v>374.0</v>
      </c>
      <c r="B375" s="251" t="s">
        <v>3083</v>
      </c>
      <c r="C375" s="252">
        <v>1.0</v>
      </c>
      <c r="D375" s="251" t="s">
        <v>3084</v>
      </c>
      <c r="E375" s="251" t="s">
        <v>1874</v>
      </c>
      <c r="F375" s="251" t="s">
        <v>1202</v>
      </c>
      <c r="G375" s="253" t="s">
        <v>3085</v>
      </c>
      <c r="H375" s="252">
        <v>2.0</v>
      </c>
      <c r="I375" s="251" t="s">
        <v>1140</v>
      </c>
      <c r="J375" s="252">
        <v>10.0</v>
      </c>
      <c r="K375" s="252">
        <v>462.0</v>
      </c>
      <c r="L375" s="252">
        <v>80.0</v>
      </c>
      <c r="M375" s="252">
        <v>17363.0</v>
      </c>
      <c r="N375" s="252">
        <v>21703.0</v>
      </c>
      <c r="O375" s="252">
        <v>8.0</v>
      </c>
      <c r="P375" s="252">
        <v>512.0</v>
      </c>
      <c r="Q375" s="252">
        <v>3580.0</v>
      </c>
      <c r="R375" s="251" t="s">
        <v>1141</v>
      </c>
      <c r="S375" s="251" t="s">
        <v>1100</v>
      </c>
      <c r="T375" s="251" t="s">
        <v>1021</v>
      </c>
      <c r="U375" s="252">
        <v>48.0</v>
      </c>
      <c r="V375" s="252">
        <v>12.0</v>
      </c>
      <c r="W375" s="252">
        <v>6.0</v>
      </c>
      <c r="X375" s="251" t="s">
        <v>1102</v>
      </c>
      <c r="Y375" s="251" t="s">
        <v>3086</v>
      </c>
      <c r="Z375" s="251" t="s">
        <v>3087</v>
      </c>
      <c r="AA375" s="254" t="s">
        <v>1105</v>
      </c>
      <c r="AB375" s="254" t="s">
        <v>1105</v>
      </c>
    </row>
    <row r="376">
      <c r="A376" s="252">
        <v>375.0</v>
      </c>
      <c r="B376" s="251" t="s">
        <v>3088</v>
      </c>
      <c r="C376" s="252">
        <v>1.0</v>
      </c>
      <c r="D376" s="251" t="s">
        <v>3089</v>
      </c>
      <c r="E376" s="251" t="s">
        <v>1422</v>
      </c>
      <c r="F376" s="251" t="s">
        <v>1138</v>
      </c>
      <c r="G376" s="253" t="s">
        <v>3090</v>
      </c>
      <c r="H376" s="252">
        <v>5.0</v>
      </c>
      <c r="I376" s="251" t="s">
        <v>1111</v>
      </c>
      <c r="J376" s="252">
        <v>12.0</v>
      </c>
      <c r="K376" s="252">
        <v>203.0</v>
      </c>
      <c r="L376" s="252">
        <v>80.0</v>
      </c>
      <c r="M376" s="252">
        <v>8602.0</v>
      </c>
      <c r="N376" s="252">
        <v>12816.0</v>
      </c>
      <c r="O376" s="252">
        <v>6.0</v>
      </c>
      <c r="P376" s="252">
        <v>8.0</v>
      </c>
      <c r="Q376" s="252">
        <v>6370.0</v>
      </c>
      <c r="R376" s="251" t="s">
        <v>1099</v>
      </c>
      <c r="S376" s="251" t="s">
        <v>1122</v>
      </c>
      <c r="T376" s="251" t="s">
        <v>1021</v>
      </c>
      <c r="U376" s="252">
        <v>32.0</v>
      </c>
      <c r="V376" s="252">
        <v>16.0</v>
      </c>
      <c r="W376" s="252">
        <v>5.0</v>
      </c>
      <c r="X376" s="251" t="s">
        <v>1102</v>
      </c>
      <c r="Y376" s="251" t="s">
        <v>3091</v>
      </c>
      <c r="Z376" s="251" t="s">
        <v>3092</v>
      </c>
      <c r="AA376" s="254" t="s">
        <v>1105</v>
      </c>
      <c r="AB376" s="254" t="s">
        <v>1105</v>
      </c>
    </row>
    <row r="377">
      <c r="A377" s="252">
        <v>376.0</v>
      </c>
      <c r="B377" s="251" t="s">
        <v>3093</v>
      </c>
      <c r="C377" s="252">
        <v>1.0</v>
      </c>
      <c r="D377" s="251" t="s">
        <v>3094</v>
      </c>
      <c r="E377" s="251" t="s">
        <v>2450</v>
      </c>
      <c r="F377" s="251" t="s">
        <v>1129</v>
      </c>
      <c r="G377" s="253" t="s">
        <v>3095</v>
      </c>
      <c r="H377" s="252">
        <v>4.0</v>
      </c>
      <c r="I377" s="251" t="s">
        <v>1121</v>
      </c>
      <c r="J377" s="252">
        <v>8.0</v>
      </c>
      <c r="K377" s="252">
        <v>194.0</v>
      </c>
      <c r="L377" s="252">
        <v>80.0</v>
      </c>
      <c r="M377" s="252">
        <v>15382.0</v>
      </c>
      <c r="N377" s="252">
        <v>21996.0</v>
      </c>
      <c r="O377" s="252">
        <v>4.0</v>
      </c>
      <c r="P377" s="252">
        <v>64.0</v>
      </c>
      <c r="Q377" s="252">
        <v>3409.0</v>
      </c>
      <c r="R377" s="251" t="s">
        <v>1099</v>
      </c>
      <c r="S377" s="251" t="s">
        <v>1100</v>
      </c>
      <c r="T377" s="251" t="s">
        <v>1123</v>
      </c>
      <c r="U377" s="252">
        <v>32.0</v>
      </c>
      <c r="V377" s="252">
        <v>32.0</v>
      </c>
      <c r="W377" s="252">
        <v>5.2</v>
      </c>
      <c r="X377" s="251" t="s">
        <v>1102</v>
      </c>
      <c r="Y377" s="251" t="s">
        <v>3096</v>
      </c>
      <c r="Z377" s="251" t="s">
        <v>3097</v>
      </c>
      <c r="AA377" s="254" t="s">
        <v>1105</v>
      </c>
      <c r="AB377" s="254" t="s">
        <v>1105</v>
      </c>
    </row>
    <row r="378">
      <c r="A378" s="252">
        <v>377.0</v>
      </c>
      <c r="B378" s="251" t="s">
        <v>3098</v>
      </c>
      <c r="C378" s="252">
        <v>1.0</v>
      </c>
      <c r="D378" s="251" t="s">
        <v>3099</v>
      </c>
      <c r="E378" s="251" t="s">
        <v>1633</v>
      </c>
      <c r="F378" s="251" t="s">
        <v>1160</v>
      </c>
      <c r="G378" s="253" t="s">
        <v>3100</v>
      </c>
      <c r="H378" s="252">
        <v>5.0</v>
      </c>
      <c r="I378" s="251" t="s">
        <v>1140</v>
      </c>
      <c r="J378" s="252">
        <v>8.0</v>
      </c>
      <c r="K378" s="252">
        <v>458.0</v>
      </c>
      <c r="L378" s="252">
        <v>100.0</v>
      </c>
      <c r="M378" s="252">
        <v>12681.0</v>
      </c>
      <c r="N378" s="252">
        <v>21557.0</v>
      </c>
      <c r="O378" s="252">
        <v>12.0</v>
      </c>
      <c r="P378" s="252">
        <v>16.0</v>
      </c>
      <c r="Q378" s="252">
        <v>3698.0</v>
      </c>
      <c r="R378" s="251" t="s">
        <v>1141</v>
      </c>
      <c r="S378" s="251" t="s">
        <v>1122</v>
      </c>
      <c r="T378" s="251" t="s">
        <v>1123</v>
      </c>
      <c r="U378" s="252">
        <v>14.0</v>
      </c>
      <c r="V378" s="252">
        <v>48.0</v>
      </c>
      <c r="W378" s="252">
        <v>4.7</v>
      </c>
      <c r="X378" s="251" t="s">
        <v>1147</v>
      </c>
      <c r="Y378" s="251" t="s">
        <v>3101</v>
      </c>
      <c r="Z378" s="251" t="s">
        <v>3102</v>
      </c>
      <c r="AA378" s="254" t="s">
        <v>1105</v>
      </c>
      <c r="AB378" s="254" t="s">
        <v>1105</v>
      </c>
    </row>
    <row r="379">
      <c r="A379" s="252">
        <v>378.0</v>
      </c>
      <c r="B379" s="251" t="s">
        <v>3103</v>
      </c>
      <c r="C379" s="252">
        <v>1.0</v>
      </c>
      <c r="D379" s="251" t="s">
        <v>3104</v>
      </c>
      <c r="E379" s="251" t="s">
        <v>2209</v>
      </c>
      <c r="F379" s="251" t="s">
        <v>1096</v>
      </c>
      <c r="G379" s="253" t="s">
        <v>3105</v>
      </c>
      <c r="H379" s="252">
        <v>2.0</v>
      </c>
      <c r="I379" s="251" t="s">
        <v>1131</v>
      </c>
      <c r="J379" s="252">
        <v>8.0</v>
      </c>
      <c r="K379" s="252">
        <v>261.0</v>
      </c>
      <c r="L379" s="252">
        <v>120.0</v>
      </c>
      <c r="M379" s="252">
        <v>9250.0</v>
      </c>
      <c r="N379" s="252">
        <v>13782.0</v>
      </c>
      <c r="O379" s="252">
        <v>4.0</v>
      </c>
      <c r="P379" s="252">
        <v>16.0</v>
      </c>
      <c r="Q379" s="252">
        <v>3919.0</v>
      </c>
      <c r="R379" s="251" t="s">
        <v>1112</v>
      </c>
      <c r="S379" s="251" t="s">
        <v>1122</v>
      </c>
      <c r="T379" s="251" t="s">
        <v>1101</v>
      </c>
      <c r="U379" s="252">
        <v>14.0</v>
      </c>
      <c r="V379" s="252">
        <v>16.0</v>
      </c>
      <c r="W379" s="252">
        <v>5.0</v>
      </c>
      <c r="X379" s="251" t="s">
        <v>1147</v>
      </c>
      <c r="Y379" s="251" t="s">
        <v>3106</v>
      </c>
      <c r="Z379" s="251" t="s">
        <v>3107</v>
      </c>
      <c r="AA379" s="254" t="s">
        <v>1105</v>
      </c>
      <c r="AB379" s="254" t="s">
        <v>1105</v>
      </c>
    </row>
    <row r="380">
      <c r="A380" s="252">
        <v>379.0</v>
      </c>
      <c r="B380" s="251" t="s">
        <v>3108</v>
      </c>
      <c r="C380" s="252">
        <v>1.0</v>
      </c>
      <c r="D380" s="251" t="s">
        <v>3109</v>
      </c>
      <c r="E380" s="251" t="s">
        <v>1970</v>
      </c>
      <c r="F380" s="251" t="s">
        <v>1129</v>
      </c>
      <c r="G380" s="253" t="s">
        <v>3110</v>
      </c>
      <c r="H380" s="252">
        <v>6.0</v>
      </c>
      <c r="I380" s="251" t="s">
        <v>1131</v>
      </c>
      <c r="J380" s="252">
        <v>12.0</v>
      </c>
      <c r="K380" s="252">
        <v>279.0</v>
      </c>
      <c r="L380" s="252">
        <v>100.0</v>
      </c>
      <c r="M380" s="252">
        <v>10275.0</v>
      </c>
      <c r="N380" s="252">
        <v>16337.0</v>
      </c>
      <c r="O380" s="252">
        <v>2.0</v>
      </c>
      <c r="P380" s="252">
        <v>32.0</v>
      </c>
      <c r="Q380" s="252">
        <v>4844.0</v>
      </c>
      <c r="R380" s="251" t="s">
        <v>1099</v>
      </c>
      <c r="S380" s="251" t="s">
        <v>1122</v>
      </c>
      <c r="T380" s="251" t="s">
        <v>1021</v>
      </c>
      <c r="U380" s="252">
        <v>16.0</v>
      </c>
      <c r="V380" s="252">
        <v>14.0</v>
      </c>
      <c r="W380" s="252">
        <v>5.0</v>
      </c>
      <c r="X380" s="251" t="s">
        <v>1147</v>
      </c>
      <c r="Y380" s="251" t="s">
        <v>3111</v>
      </c>
      <c r="Z380" s="251" t="s">
        <v>3112</v>
      </c>
      <c r="AA380" s="254" t="s">
        <v>1105</v>
      </c>
      <c r="AB380" s="254" t="s">
        <v>1105</v>
      </c>
    </row>
    <row r="381">
      <c r="A381" s="252">
        <v>380.0</v>
      </c>
      <c r="B381" s="251" t="s">
        <v>3113</v>
      </c>
      <c r="C381" s="252">
        <v>1.0</v>
      </c>
      <c r="D381" s="251" t="s">
        <v>3114</v>
      </c>
      <c r="E381" s="251" t="s">
        <v>2450</v>
      </c>
      <c r="F381" s="251" t="s">
        <v>1129</v>
      </c>
      <c r="G381" s="253" t="s">
        <v>3115</v>
      </c>
      <c r="H381" s="252">
        <v>4.0</v>
      </c>
      <c r="I381" s="251" t="s">
        <v>1140</v>
      </c>
      <c r="J381" s="252">
        <v>8.0</v>
      </c>
      <c r="K381" s="252">
        <v>647.0</v>
      </c>
      <c r="L381" s="252">
        <v>120.0</v>
      </c>
      <c r="M381" s="252">
        <v>7771.0</v>
      </c>
      <c r="N381" s="252">
        <v>10801.0</v>
      </c>
      <c r="O381" s="252">
        <v>8.0</v>
      </c>
      <c r="P381" s="252">
        <v>16.0</v>
      </c>
      <c r="Q381" s="252">
        <v>6162.0</v>
      </c>
      <c r="R381" s="251" t="s">
        <v>1112</v>
      </c>
      <c r="S381" s="251" t="s">
        <v>1100</v>
      </c>
      <c r="T381" s="251" t="s">
        <v>1101</v>
      </c>
      <c r="U381" s="252">
        <v>48.0</v>
      </c>
      <c r="V381" s="252">
        <v>16.0</v>
      </c>
      <c r="W381" s="252">
        <v>4.7</v>
      </c>
      <c r="X381" s="251" t="s">
        <v>1113</v>
      </c>
      <c r="Y381" s="251" t="s">
        <v>3116</v>
      </c>
      <c r="Z381" s="251" t="s">
        <v>3117</v>
      </c>
      <c r="AA381" s="254" t="s">
        <v>1105</v>
      </c>
      <c r="AB381" s="254" t="s">
        <v>1105</v>
      </c>
    </row>
    <row r="382">
      <c r="A382" s="252">
        <v>381.0</v>
      </c>
      <c r="B382" s="251" t="s">
        <v>3118</v>
      </c>
      <c r="C382" s="252">
        <v>1.0</v>
      </c>
      <c r="D382" s="251" t="s">
        <v>3119</v>
      </c>
      <c r="E382" s="251" t="s">
        <v>2017</v>
      </c>
      <c r="F382" s="251" t="s">
        <v>1215</v>
      </c>
      <c r="G382" s="253" t="s">
        <v>3120</v>
      </c>
      <c r="H382" s="252">
        <v>5.0</v>
      </c>
      <c r="I382" s="251" t="s">
        <v>1098</v>
      </c>
      <c r="J382" s="252">
        <v>10.0</v>
      </c>
      <c r="K382" s="252">
        <v>715.0</v>
      </c>
      <c r="L382" s="252">
        <v>100.0</v>
      </c>
      <c r="M382" s="252">
        <v>11208.0</v>
      </c>
      <c r="N382" s="252">
        <v>15018.0</v>
      </c>
      <c r="O382" s="252">
        <v>8.0</v>
      </c>
      <c r="P382" s="252">
        <v>128.0</v>
      </c>
      <c r="Q382" s="252">
        <v>5132.0</v>
      </c>
      <c r="R382" s="251" t="s">
        <v>1141</v>
      </c>
      <c r="S382" s="251" t="s">
        <v>1100</v>
      </c>
      <c r="T382" s="251" t="s">
        <v>1123</v>
      </c>
      <c r="U382" s="252">
        <v>14.0</v>
      </c>
      <c r="V382" s="252">
        <v>12.0</v>
      </c>
      <c r="W382" s="252">
        <v>6.0</v>
      </c>
      <c r="X382" s="251" t="s">
        <v>1102</v>
      </c>
      <c r="Y382" s="251" t="s">
        <v>3121</v>
      </c>
      <c r="Z382" s="251" t="s">
        <v>3122</v>
      </c>
      <c r="AA382" s="254" t="s">
        <v>1105</v>
      </c>
      <c r="AB382" s="254" t="s">
        <v>1105</v>
      </c>
    </row>
    <row r="383">
      <c r="A383" s="252">
        <v>382.0</v>
      </c>
      <c r="B383" s="251" t="s">
        <v>3123</v>
      </c>
      <c r="C383" s="252">
        <v>1.0</v>
      </c>
      <c r="D383" s="251" t="s">
        <v>3124</v>
      </c>
      <c r="E383" s="251" t="s">
        <v>1452</v>
      </c>
      <c r="F383" s="251" t="s">
        <v>1119</v>
      </c>
      <c r="G383" s="253" t="s">
        <v>3125</v>
      </c>
      <c r="H383" s="252">
        <v>6.0</v>
      </c>
      <c r="I383" s="251" t="s">
        <v>1098</v>
      </c>
      <c r="J383" s="252">
        <v>8.0</v>
      </c>
      <c r="K383" s="252">
        <v>300.0</v>
      </c>
      <c r="L383" s="252">
        <v>120.0</v>
      </c>
      <c r="M383" s="252">
        <v>17208.0</v>
      </c>
      <c r="N383" s="252">
        <v>27188.0</v>
      </c>
      <c r="O383" s="252">
        <v>6.0</v>
      </c>
      <c r="P383" s="252">
        <v>32.0</v>
      </c>
      <c r="Q383" s="252">
        <v>6111.0</v>
      </c>
      <c r="R383" s="251" t="s">
        <v>1099</v>
      </c>
      <c r="S383" s="251" t="s">
        <v>1100</v>
      </c>
      <c r="T383" s="251" t="s">
        <v>1123</v>
      </c>
      <c r="U383" s="252">
        <v>16.0</v>
      </c>
      <c r="V383" s="252">
        <v>14.0</v>
      </c>
      <c r="W383" s="252">
        <v>5.5</v>
      </c>
      <c r="X383" s="251" t="s">
        <v>1147</v>
      </c>
      <c r="Y383" s="251" t="s">
        <v>3126</v>
      </c>
      <c r="Z383" s="251" t="s">
        <v>3127</v>
      </c>
      <c r="AA383" s="254" t="s">
        <v>1105</v>
      </c>
      <c r="AB383" s="254" t="s">
        <v>1105</v>
      </c>
    </row>
    <row r="384">
      <c r="A384" s="252">
        <v>383.0</v>
      </c>
      <c r="B384" s="251" t="s">
        <v>3128</v>
      </c>
      <c r="C384" s="252">
        <v>1.0</v>
      </c>
      <c r="D384" s="251" t="s">
        <v>3129</v>
      </c>
      <c r="E384" s="251" t="s">
        <v>1399</v>
      </c>
      <c r="F384" s="251" t="s">
        <v>1138</v>
      </c>
      <c r="G384" s="253" t="s">
        <v>3130</v>
      </c>
      <c r="H384" s="252">
        <v>5.0</v>
      </c>
      <c r="I384" s="251" t="s">
        <v>1121</v>
      </c>
      <c r="J384" s="252">
        <v>10.0</v>
      </c>
      <c r="K384" s="252">
        <v>687.0</v>
      </c>
      <c r="L384" s="252">
        <v>120.0</v>
      </c>
      <c r="M384" s="252">
        <v>18106.0</v>
      </c>
      <c r="N384" s="252">
        <v>29331.0</v>
      </c>
      <c r="O384" s="252">
        <v>12.0</v>
      </c>
      <c r="P384" s="252">
        <v>16.0</v>
      </c>
      <c r="Q384" s="252">
        <v>4508.0</v>
      </c>
      <c r="R384" s="251" t="s">
        <v>1141</v>
      </c>
      <c r="S384" s="251" t="s">
        <v>1122</v>
      </c>
      <c r="T384" s="251" t="s">
        <v>1123</v>
      </c>
      <c r="U384" s="252">
        <v>12.0</v>
      </c>
      <c r="V384" s="252">
        <v>48.0</v>
      </c>
      <c r="W384" s="252">
        <v>5.0</v>
      </c>
      <c r="X384" s="251" t="s">
        <v>1132</v>
      </c>
      <c r="Y384" s="251" t="s">
        <v>3131</v>
      </c>
      <c r="Z384" s="251" t="s">
        <v>3132</v>
      </c>
      <c r="AA384" s="254" t="s">
        <v>1105</v>
      </c>
      <c r="AB384" s="254" t="s">
        <v>1105</v>
      </c>
    </row>
    <row r="385">
      <c r="A385" s="252">
        <v>384.0</v>
      </c>
      <c r="B385" s="251" t="s">
        <v>3133</v>
      </c>
      <c r="C385" s="252">
        <v>1.0</v>
      </c>
      <c r="D385" s="251" t="s">
        <v>3134</v>
      </c>
      <c r="E385" s="251" t="s">
        <v>2023</v>
      </c>
      <c r="F385" s="251" t="s">
        <v>1109</v>
      </c>
      <c r="G385" s="253" t="s">
        <v>3135</v>
      </c>
      <c r="H385" s="252">
        <v>6.0</v>
      </c>
      <c r="I385" s="251" t="s">
        <v>1121</v>
      </c>
      <c r="J385" s="252">
        <v>12.0</v>
      </c>
      <c r="K385" s="252">
        <v>551.0</v>
      </c>
      <c r="L385" s="252">
        <v>100.0</v>
      </c>
      <c r="M385" s="252">
        <v>2765.0</v>
      </c>
      <c r="N385" s="252">
        <v>4977.0</v>
      </c>
      <c r="O385" s="252">
        <v>2.0</v>
      </c>
      <c r="P385" s="252">
        <v>128.0</v>
      </c>
      <c r="Q385" s="252">
        <v>6135.0</v>
      </c>
      <c r="R385" s="251" t="s">
        <v>1141</v>
      </c>
      <c r="S385" s="251" t="s">
        <v>1122</v>
      </c>
      <c r="T385" s="251" t="s">
        <v>1021</v>
      </c>
      <c r="U385" s="252">
        <v>16.0</v>
      </c>
      <c r="V385" s="252">
        <v>48.0</v>
      </c>
      <c r="W385" s="252">
        <v>4.7</v>
      </c>
      <c r="X385" s="251" t="s">
        <v>1102</v>
      </c>
      <c r="Y385" s="251" t="s">
        <v>3136</v>
      </c>
      <c r="Z385" s="251" t="s">
        <v>3137</v>
      </c>
      <c r="AA385" s="254" t="s">
        <v>1105</v>
      </c>
      <c r="AB385" s="254" t="s">
        <v>1105</v>
      </c>
    </row>
    <row r="386">
      <c r="A386" s="252">
        <v>385.0</v>
      </c>
      <c r="B386" s="251" t="s">
        <v>3138</v>
      </c>
      <c r="C386" s="252">
        <v>1.0</v>
      </c>
      <c r="D386" s="251" t="s">
        <v>3139</v>
      </c>
      <c r="E386" s="251" t="s">
        <v>2017</v>
      </c>
      <c r="F386" s="251" t="s">
        <v>1215</v>
      </c>
      <c r="G386" s="253" t="s">
        <v>3140</v>
      </c>
      <c r="H386" s="252">
        <v>5.0</v>
      </c>
      <c r="I386" s="251" t="s">
        <v>1098</v>
      </c>
      <c r="J386" s="252">
        <v>12.0</v>
      </c>
      <c r="K386" s="252">
        <v>840.0</v>
      </c>
      <c r="L386" s="252">
        <v>100.0</v>
      </c>
      <c r="M386" s="252">
        <v>15856.0</v>
      </c>
      <c r="N386" s="252">
        <v>27589.0</v>
      </c>
      <c r="O386" s="252">
        <v>8.0</v>
      </c>
      <c r="P386" s="252">
        <v>32.0</v>
      </c>
      <c r="Q386" s="252">
        <v>2748.0</v>
      </c>
      <c r="R386" s="251" t="s">
        <v>1112</v>
      </c>
      <c r="S386" s="251" t="s">
        <v>1100</v>
      </c>
      <c r="T386" s="251" t="s">
        <v>1021</v>
      </c>
      <c r="U386" s="252">
        <v>32.0</v>
      </c>
      <c r="V386" s="252">
        <v>48.0</v>
      </c>
      <c r="W386" s="252">
        <v>5.5</v>
      </c>
      <c r="X386" s="251" t="s">
        <v>1102</v>
      </c>
      <c r="Y386" s="251" t="s">
        <v>3141</v>
      </c>
      <c r="Z386" s="251" t="s">
        <v>3142</v>
      </c>
      <c r="AA386" s="254" t="s">
        <v>1105</v>
      </c>
      <c r="AB386" s="254" t="s">
        <v>1105</v>
      </c>
    </row>
    <row r="387">
      <c r="A387" s="252">
        <v>386.0</v>
      </c>
      <c r="B387" s="251" t="s">
        <v>3143</v>
      </c>
      <c r="C387" s="252">
        <v>1.0</v>
      </c>
      <c r="D387" s="251" t="s">
        <v>3144</v>
      </c>
      <c r="E387" s="251" t="s">
        <v>1661</v>
      </c>
      <c r="F387" s="251" t="s">
        <v>1233</v>
      </c>
      <c r="G387" s="253" t="s">
        <v>3145</v>
      </c>
      <c r="H387" s="252">
        <v>2.0</v>
      </c>
      <c r="I387" s="251" t="s">
        <v>1140</v>
      </c>
      <c r="J387" s="252">
        <v>8.0</v>
      </c>
      <c r="K387" s="252">
        <v>109.0</v>
      </c>
      <c r="L387" s="252">
        <v>80.0</v>
      </c>
      <c r="M387" s="252">
        <v>17945.0</v>
      </c>
      <c r="N387" s="252">
        <v>30327.0</v>
      </c>
      <c r="O387" s="252">
        <v>12.0</v>
      </c>
      <c r="P387" s="252">
        <v>32.0</v>
      </c>
      <c r="Q387" s="252">
        <v>6352.0</v>
      </c>
      <c r="R387" s="251" t="s">
        <v>1112</v>
      </c>
      <c r="S387" s="251" t="s">
        <v>1100</v>
      </c>
      <c r="T387" s="251" t="s">
        <v>1101</v>
      </c>
      <c r="U387" s="252">
        <v>16.0</v>
      </c>
      <c r="V387" s="252">
        <v>14.0</v>
      </c>
      <c r="W387" s="252">
        <v>6.0</v>
      </c>
      <c r="X387" s="251" t="s">
        <v>1132</v>
      </c>
      <c r="Y387" s="251" t="s">
        <v>3146</v>
      </c>
      <c r="Z387" s="251" t="s">
        <v>3147</v>
      </c>
      <c r="AA387" s="254" t="s">
        <v>1105</v>
      </c>
      <c r="AB387" s="254" t="s">
        <v>1105</v>
      </c>
    </row>
    <row r="388">
      <c r="A388" s="252">
        <v>387.0</v>
      </c>
      <c r="B388" s="251" t="s">
        <v>3148</v>
      </c>
      <c r="C388" s="252">
        <v>1.0</v>
      </c>
      <c r="D388" s="251" t="s">
        <v>3149</v>
      </c>
      <c r="E388" s="251" t="s">
        <v>2399</v>
      </c>
      <c r="F388" s="251" t="s">
        <v>1215</v>
      </c>
      <c r="G388" s="253" t="s">
        <v>3150</v>
      </c>
      <c r="H388" s="252">
        <v>6.0</v>
      </c>
      <c r="I388" s="251" t="s">
        <v>1098</v>
      </c>
      <c r="J388" s="252">
        <v>8.0</v>
      </c>
      <c r="K388" s="252">
        <v>971.0</v>
      </c>
      <c r="L388" s="252">
        <v>80.0</v>
      </c>
      <c r="M388" s="252">
        <v>7121.0</v>
      </c>
      <c r="N388" s="252">
        <v>9684.0</v>
      </c>
      <c r="O388" s="252">
        <v>8.0</v>
      </c>
      <c r="P388" s="252">
        <v>128.0</v>
      </c>
      <c r="Q388" s="252">
        <v>5066.0</v>
      </c>
      <c r="R388" s="251" t="s">
        <v>1141</v>
      </c>
      <c r="S388" s="251" t="s">
        <v>1100</v>
      </c>
      <c r="T388" s="251" t="s">
        <v>1123</v>
      </c>
      <c r="U388" s="252">
        <v>14.0</v>
      </c>
      <c r="V388" s="252">
        <v>14.0</v>
      </c>
      <c r="W388" s="252">
        <v>4.7</v>
      </c>
      <c r="X388" s="251" t="s">
        <v>1113</v>
      </c>
      <c r="Y388" s="251" t="s">
        <v>3151</v>
      </c>
      <c r="Z388" s="251" t="s">
        <v>3152</v>
      </c>
      <c r="AA388" s="254" t="s">
        <v>1105</v>
      </c>
      <c r="AB388" s="254" t="s">
        <v>1105</v>
      </c>
    </row>
    <row r="389">
      <c r="A389" s="252">
        <v>388.0</v>
      </c>
      <c r="B389" s="251" t="s">
        <v>3153</v>
      </c>
      <c r="C389" s="252">
        <v>1.0</v>
      </c>
      <c r="D389" s="251" t="s">
        <v>3154</v>
      </c>
      <c r="E389" s="251" t="s">
        <v>1189</v>
      </c>
      <c r="F389" s="251" t="s">
        <v>1096</v>
      </c>
      <c r="G389" s="253" t="s">
        <v>3155</v>
      </c>
      <c r="H389" s="252">
        <v>3.0</v>
      </c>
      <c r="I389" s="251" t="s">
        <v>1111</v>
      </c>
      <c r="J389" s="252">
        <v>12.0</v>
      </c>
      <c r="K389" s="252">
        <v>604.0</v>
      </c>
      <c r="L389" s="252">
        <v>80.0</v>
      </c>
      <c r="M389" s="252">
        <v>16701.0</v>
      </c>
      <c r="N389" s="252">
        <v>26053.0</v>
      </c>
      <c r="O389" s="252">
        <v>12.0</v>
      </c>
      <c r="P389" s="252">
        <v>8.0</v>
      </c>
      <c r="Q389" s="252">
        <v>2117.0</v>
      </c>
      <c r="R389" s="251" t="s">
        <v>1141</v>
      </c>
      <c r="S389" s="251" t="s">
        <v>1100</v>
      </c>
      <c r="T389" s="251" t="s">
        <v>1021</v>
      </c>
      <c r="U389" s="252">
        <v>16.0</v>
      </c>
      <c r="V389" s="252">
        <v>12.0</v>
      </c>
      <c r="W389" s="252">
        <v>5.0</v>
      </c>
      <c r="X389" s="251" t="s">
        <v>1132</v>
      </c>
      <c r="Y389" s="251" t="s">
        <v>3156</v>
      </c>
      <c r="Z389" s="251" t="s">
        <v>3157</v>
      </c>
      <c r="AA389" s="254" t="s">
        <v>1105</v>
      </c>
      <c r="AB389" s="254" t="s">
        <v>1105</v>
      </c>
    </row>
    <row r="390">
      <c r="A390" s="252">
        <v>389.0</v>
      </c>
      <c r="B390" s="251" t="s">
        <v>3158</v>
      </c>
      <c r="C390" s="252">
        <v>1.0</v>
      </c>
      <c r="D390" s="251" t="s">
        <v>3159</v>
      </c>
      <c r="E390" s="251" t="s">
        <v>2378</v>
      </c>
      <c r="F390" s="251" t="s">
        <v>1233</v>
      </c>
      <c r="G390" s="253" t="s">
        <v>3160</v>
      </c>
      <c r="H390" s="252">
        <v>4.0</v>
      </c>
      <c r="I390" s="251" t="s">
        <v>1131</v>
      </c>
      <c r="J390" s="252">
        <v>12.0</v>
      </c>
      <c r="K390" s="252">
        <v>931.0</v>
      </c>
      <c r="L390" s="252">
        <v>100.0</v>
      </c>
      <c r="M390" s="252">
        <v>8364.0</v>
      </c>
      <c r="N390" s="252">
        <v>12546.0</v>
      </c>
      <c r="O390" s="252">
        <v>8.0</v>
      </c>
      <c r="P390" s="252">
        <v>64.0</v>
      </c>
      <c r="Q390" s="252">
        <v>2876.0</v>
      </c>
      <c r="R390" s="251" t="s">
        <v>1112</v>
      </c>
      <c r="S390" s="251" t="s">
        <v>1100</v>
      </c>
      <c r="T390" s="251" t="s">
        <v>1021</v>
      </c>
      <c r="U390" s="252">
        <v>16.0</v>
      </c>
      <c r="V390" s="252">
        <v>12.0</v>
      </c>
      <c r="W390" s="252">
        <v>6.0</v>
      </c>
      <c r="X390" s="251" t="s">
        <v>1102</v>
      </c>
      <c r="Y390" s="251" t="s">
        <v>3161</v>
      </c>
      <c r="Z390" s="251" t="s">
        <v>3162</v>
      </c>
      <c r="AA390" s="254" t="s">
        <v>1105</v>
      </c>
      <c r="AB390" s="254" t="s">
        <v>1105</v>
      </c>
    </row>
    <row r="391">
      <c r="A391" s="252">
        <v>390.0</v>
      </c>
      <c r="B391" s="251" t="s">
        <v>3163</v>
      </c>
      <c r="C391" s="252">
        <v>1.0</v>
      </c>
      <c r="D391" s="251" t="s">
        <v>3164</v>
      </c>
      <c r="E391" s="251" t="s">
        <v>1329</v>
      </c>
      <c r="F391" s="251" t="s">
        <v>1109</v>
      </c>
      <c r="G391" s="253" t="s">
        <v>3165</v>
      </c>
      <c r="H391" s="252">
        <v>4.0</v>
      </c>
      <c r="I391" s="251" t="s">
        <v>1140</v>
      </c>
      <c r="J391" s="252">
        <v>12.0</v>
      </c>
      <c r="K391" s="252">
        <v>553.0</v>
      </c>
      <c r="L391" s="252">
        <v>120.0</v>
      </c>
      <c r="M391" s="252">
        <v>8472.0</v>
      </c>
      <c r="N391" s="252">
        <v>10590.0</v>
      </c>
      <c r="O391" s="252">
        <v>8.0</v>
      </c>
      <c r="P391" s="252">
        <v>64.0</v>
      </c>
      <c r="Q391" s="252">
        <v>1962.0</v>
      </c>
      <c r="R391" s="251" t="s">
        <v>1112</v>
      </c>
      <c r="S391" s="251" t="s">
        <v>1122</v>
      </c>
      <c r="T391" s="251" t="s">
        <v>1021</v>
      </c>
      <c r="U391" s="252">
        <v>12.0</v>
      </c>
      <c r="V391" s="252">
        <v>14.0</v>
      </c>
      <c r="W391" s="252">
        <v>6.0</v>
      </c>
      <c r="X391" s="251" t="s">
        <v>1132</v>
      </c>
      <c r="Y391" s="251" t="s">
        <v>3166</v>
      </c>
      <c r="Z391" s="251" t="s">
        <v>3167</v>
      </c>
      <c r="AA391" s="254" t="s">
        <v>1105</v>
      </c>
      <c r="AB391" s="254" t="s">
        <v>1105</v>
      </c>
    </row>
    <row r="392">
      <c r="A392" s="252">
        <v>391.0</v>
      </c>
      <c r="B392" s="251" t="s">
        <v>3168</v>
      </c>
      <c r="C392" s="252">
        <v>1.0</v>
      </c>
      <c r="D392" s="251" t="s">
        <v>3169</v>
      </c>
      <c r="E392" s="251" t="s">
        <v>1405</v>
      </c>
      <c r="F392" s="251" t="s">
        <v>1202</v>
      </c>
      <c r="G392" s="253" t="s">
        <v>3170</v>
      </c>
      <c r="H392" s="252">
        <v>5.0</v>
      </c>
      <c r="I392" s="251" t="s">
        <v>1140</v>
      </c>
      <c r="J392" s="252">
        <v>12.0</v>
      </c>
      <c r="K392" s="252">
        <v>812.0</v>
      </c>
      <c r="L392" s="252">
        <v>80.0</v>
      </c>
      <c r="M392" s="252">
        <v>21948.0</v>
      </c>
      <c r="N392" s="252">
        <v>34897.0</v>
      </c>
      <c r="O392" s="252">
        <v>6.0</v>
      </c>
      <c r="P392" s="252">
        <v>64.0</v>
      </c>
      <c r="Q392" s="252">
        <v>2723.0</v>
      </c>
      <c r="R392" s="251" t="s">
        <v>1099</v>
      </c>
      <c r="S392" s="251" t="s">
        <v>1122</v>
      </c>
      <c r="T392" s="251" t="s">
        <v>1101</v>
      </c>
      <c r="U392" s="252">
        <v>16.0</v>
      </c>
      <c r="V392" s="252">
        <v>32.0</v>
      </c>
      <c r="W392" s="252">
        <v>5.5</v>
      </c>
      <c r="X392" s="251" t="s">
        <v>1132</v>
      </c>
      <c r="Y392" s="251" t="s">
        <v>3171</v>
      </c>
      <c r="Z392" s="251" t="s">
        <v>3172</v>
      </c>
      <c r="AA392" s="254" t="s">
        <v>1105</v>
      </c>
      <c r="AB392" s="254" t="s">
        <v>1105</v>
      </c>
    </row>
    <row r="393">
      <c r="A393" s="252">
        <v>392.0</v>
      </c>
      <c r="B393" s="251" t="s">
        <v>3173</v>
      </c>
      <c r="C393" s="252">
        <v>1.0</v>
      </c>
      <c r="D393" s="251" t="s">
        <v>3174</v>
      </c>
      <c r="E393" s="251" t="s">
        <v>1347</v>
      </c>
      <c r="F393" s="251" t="s">
        <v>1129</v>
      </c>
      <c r="G393" s="253" t="s">
        <v>3175</v>
      </c>
      <c r="H393" s="252">
        <v>4.0</v>
      </c>
      <c r="I393" s="251" t="s">
        <v>1111</v>
      </c>
      <c r="J393" s="252">
        <v>12.0</v>
      </c>
      <c r="K393" s="252">
        <v>162.0</v>
      </c>
      <c r="L393" s="252">
        <v>100.0</v>
      </c>
      <c r="M393" s="252">
        <v>21745.0</v>
      </c>
      <c r="N393" s="252">
        <v>38923.0</v>
      </c>
      <c r="O393" s="252">
        <v>12.0</v>
      </c>
      <c r="P393" s="252">
        <v>8.0</v>
      </c>
      <c r="Q393" s="252">
        <v>2114.0</v>
      </c>
      <c r="R393" s="251" t="s">
        <v>1099</v>
      </c>
      <c r="S393" s="251" t="s">
        <v>1122</v>
      </c>
      <c r="T393" s="251" t="s">
        <v>1123</v>
      </c>
      <c r="U393" s="252">
        <v>14.0</v>
      </c>
      <c r="V393" s="252">
        <v>48.0</v>
      </c>
      <c r="W393" s="252">
        <v>4.7</v>
      </c>
      <c r="X393" s="251" t="s">
        <v>1113</v>
      </c>
      <c r="Y393" s="251" t="s">
        <v>3176</v>
      </c>
      <c r="Z393" s="251" t="s">
        <v>3177</v>
      </c>
      <c r="AA393" s="254" t="s">
        <v>1105</v>
      </c>
      <c r="AB393" s="254" t="s">
        <v>1105</v>
      </c>
    </row>
    <row r="394">
      <c r="A394" s="252">
        <v>393.0</v>
      </c>
      <c r="B394" s="251" t="s">
        <v>3178</v>
      </c>
      <c r="C394" s="252">
        <v>1.0</v>
      </c>
      <c r="D394" s="251" t="s">
        <v>3179</v>
      </c>
      <c r="E394" s="251" t="s">
        <v>1118</v>
      </c>
      <c r="F394" s="251" t="s">
        <v>1119</v>
      </c>
      <c r="G394" s="253" t="s">
        <v>3180</v>
      </c>
      <c r="H394" s="252">
        <v>3.0</v>
      </c>
      <c r="I394" s="251" t="s">
        <v>1131</v>
      </c>
      <c r="J394" s="252">
        <v>10.0</v>
      </c>
      <c r="K394" s="252">
        <v>130.0</v>
      </c>
      <c r="L394" s="252">
        <v>80.0</v>
      </c>
      <c r="M394" s="252">
        <v>12482.0</v>
      </c>
      <c r="N394" s="252">
        <v>16725.0</v>
      </c>
      <c r="O394" s="252">
        <v>6.0</v>
      </c>
      <c r="P394" s="252">
        <v>16.0</v>
      </c>
      <c r="Q394" s="252">
        <v>2028.0</v>
      </c>
      <c r="R394" s="251" t="s">
        <v>1112</v>
      </c>
      <c r="S394" s="251" t="s">
        <v>1100</v>
      </c>
      <c r="T394" s="251" t="s">
        <v>1123</v>
      </c>
      <c r="U394" s="252">
        <v>14.0</v>
      </c>
      <c r="V394" s="252">
        <v>32.0</v>
      </c>
      <c r="W394" s="252">
        <v>4.7</v>
      </c>
      <c r="X394" s="251" t="s">
        <v>1132</v>
      </c>
      <c r="Y394" s="251" t="s">
        <v>3181</v>
      </c>
      <c r="Z394" s="251" t="s">
        <v>3182</v>
      </c>
      <c r="AA394" s="254" t="s">
        <v>1105</v>
      </c>
      <c r="AB394" s="254" t="s">
        <v>1105</v>
      </c>
    </row>
    <row r="395">
      <c r="A395" s="252">
        <v>394.0</v>
      </c>
      <c r="B395" s="251" t="s">
        <v>3183</v>
      </c>
      <c r="C395" s="252">
        <v>1.0</v>
      </c>
      <c r="D395" s="251" t="s">
        <v>3184</v>
      </c>
      <c r="E395" s="251" t="s">
        <v>1232</v>
      </c>
      <c r="F395" s="251" t="s">
        <v>1233</v>
      </c>
      <c r="G395" s="253" t="s">
        <v>3185</v>
      </c>
      <c r="H395" s="252">
        <v>2.0</v>
      </c>
      <c r="I395" s="251" t="s">
        <v>1131</v>
      </c>
      <c r="J395" s="252">
        <v>12.0</v>
      </c>
      <c r="K395" s="252">
        <v>234.0</v>
      </c>
      <c r="L395" s="252">
        <v>100.0</v>
      </c>
      <c r="M395" s="252">
        <v>4502.0</v>
      </c>
      <c r="N395" s="252">
        <v>7293.0</v>
      </c>
      <c r="O395" s="252">
        <v>6.0</v>
      </c>
      <c r="P395" s="252">
        <v>32.0</v>
      </c>
      <c r="Q395" s="252">
        <v>4761.0</v>
      </c>
      <c r="R395" s="251" t="s">
        <v>1112</v>
      </c>
      <c r="S395" s="251" t="s">
        <v>1122</v>
      </c>
      <c r="T395" s="251" t="s">
        <v>1123</v>
      </c>
      <c r="U395" s="252">
        <v>12.0</v>
      </c>
      <c r="V395" s="252">
        <v>32.0</v>
      </c>
      <c r="W395" s="252">
        <v>5.5</v>
      </c>
      <c r="X395" s="251" t="s">
        <v>1132</v>
      </c>
      <c r="Y395" s="251" t="s">
        <v>3186</v>
      </c>
      <c r="Z395" s="251" t="s">
        <v>3187</v>
      </c>
      <c r="AA395" s="254" t="s">
        <v>1105</v>
      </c>
      <c r="AB395" s="254" t="s">
        <v>1105</v>
      </c>
    </row>
    <row r="396">
      <c r="A396" s="252">
        <v>395.0</v>
      </c>
      <c r="B396" s="251" t="s">
        <v>3188</v>
      </c>
      <c r="C396" s="252">
        <v>1.0</v>
      </c>
      <c r="D396" s="251" t="s">
        <v>3189</v>
      </c>
      <c r="E396" s="251" t="s">
        <v>1780</v>
      </c>
      <c r="F396" s="251" t="s">
        <v>1129</v>
      </c>
      <c r="G396" s="253" t="s">
        <v>3190</v>
      </c>
      <c r="H396" s="252">
        <v>5.0</v>
      </c>
      <c r="I396" s="251" t="s">
        <v>1098</v>
      </c>
      <c r="J396" s="252">
        <v>12.0</v>
      </c>
      <c r="K396" s="252">
        <v>646.0</v>
      </c>
      <c r="L396" s="252">
        <v>80.0</v>
      </c>
      <c r="M396" s="252">
        <v>19310.0</v>
      </c>
      <c r="N396" s="252">
        <v>25875.0</v>
      </c>
      <c r="O396" s="252">
        <v>12.0</v>
      </c>
      <c r="P396" s="252">
        <v>32.0</v>
      </c>
      <c r="Q396" s="252">
        <v>5723.0</v>
      </c>
      <c r="R396" s="251" t="s">
        <v>1141</v>
      </c>
      <c r="S396" s="251" t="s">
        <v>1122</v>
      </c>
      <c r="T396" s="251" t="s">
        <v>1101</v>
      </c>
      <c r="U396" s="252">
        <v>32.0</v>
      </c>
      <c r="V396" s="252">
        <v>16.0</v>
      </c>
      <c r="W396" s="252">
        <v>5.2</v>
      </c>
      <c r="X396" s="251" t="s">
        <v>1147</v>
      </c>
      <c r="Y396" s="251" t="s">
        <v>3191</v>
      </c>
      <c r="Z396" s="251" t="s">
        <v>3192</v>
      </c>
      <c r="AA396" s="254" t="s">
        <v>1105</v>
      </c>
      <c r="AB396" s="254" t="s">
        <v>1105</v>
      </c>
    </row>
    <row r="397">
      <c r="A397" s="252">
        <v>396.0</v>
      </c>
      <c r="B397" s="251" t="s">
        <v>3193</v>
      </c>
      <c r="C397" s="252">
        <v>1.0</v>
      </c>
      <c r="D397" s="251" t="s">
        <v>3194</v>
      </c>
      <c r="E397" s="251" t="s">
        <v>1353</v>
      </c>
      <c r="F397" s="251" t="s">
        <v>1109</v>
      </c>
      <c r="G397" s="253" t="s">
        <v>3195</v>
      </c>
      <c r="H397" s="252">
        <v>4.0</v>
      </c>
      <c r="I397" s="251" t="s">
        <v>1140</v>
      </c>
      <c r="J397" s="252">
        <v>10.0</v>
      </c>
      <c r="K397" s="252">
        <v>996.0</v>
      </c>
      <c r="L397" s="252">
        <v>120.0</v>
      </c>
      <c r="M397" s="252">
        <v>4189.0</v>
      </c>
      <c r="N397" s="252">
        <v>6199.0</v>
      </c>
      <c r="O397" s="252">
        <v>8.0</v>
      </c>
      <c r="P397" s="252">
        <v>16.0</v>
      </c>
      <c r="Q397" s="252">
        <v>2235.0</v>
      </c>
      <c r="R397" s="251" t="s">
        <v>1112</v>
      </c>
      <c r="S397" s="251" t="s">
        <v>1122</v>
      </c>
      <c r="T397" s="251" t="s">
        <v>1021</v>
      </c>
      <c r="U397" s="252">
        <v>16.0</v>
      </c>
      <c r="V397" s="252">
        <v>16.0</v>
      </c>
      <c r="W397" s="252">
        <v>5.5</v>
      </c>
      <c r="X397" s="251" t="s">
        <v>1147</v>
      </c>
      <c r="Y397" s="251" t="s">
        <v>3196</v>
      </c>
      <c r="Z397" s="251" t="s">
        <v>3197</v>
      </c>
      <c r="AA397" s="254" t="s">
        <v>1105</v>
      </c>
      <c r="AB397" s="254" t="s">
        <v>1105</v>
      </c>
    </row>
    <row r="398">
      <c r="A398" s="252">
        <v>397.0</v>
      </c>
      <c r="B398" s="251" t="s">
        <v>3198</v>
      </c>
      <c r="C398" s="252">
        <v>1.0</v>
      </c>
      <c r="D398" s="251" t="s">
        <v>3199</v>
      </c>
      <c r="E398" s="251" t="s">
        <v>2017</v>
      </c>
      <c r="F398" s="251" t="s">
        <v>1215</v>
      </c>
      <c r="G398" s="253" t="s">
        <v>3200</v>
      </c>
      <c r="H398" s="252">
        <v>2.0</v>
      </c>
      <c r="I398" s="251" t="s">
        <v>1111</v>
      </c>
      <c r="J398" s="252">
        <v>8.0</v>
      </c>
      <c r="K398" s="252">
        <v>12.0</v>
      </c>
      <c r="L398" s="252">
        <v>100.0</v>
      </c>
      <c r="M398" s="252">
        <v>12796.0</v>
      </c>
      <c r="N398" s="252">
        <v>16634.0</v>
      </c>
      <c r="O398" s="252">
        <v>12.0</v>
      </c>
      <c r="P398" s="252">
        <v>64.0</v>
      </c>
      <c r="Q398" s="252">
        <v>4295.0</v>
      </c>
      <c r="R398" s="251" t="s">
        <v>1112</v>
      </c>
      <c r="S398" s="251" t="s">
        <v>1122</v>
      </c>
      <c r="T398" s="251" t="s">
        <v>1101</v>
      </c>
      <c r="U398" s="252">
        <v>32.0</v>
      </c>
      <c r="V398" s="252">
        <v>32.0</v>
      </c>
      <c r="W398" s="252">
        <v>4.7</v>
      </c>
      <c r="X398" s="251" t="s">
        <v>1102</v>
      </c>
      <c r="Y398" s="251" t="s">
        <v>3201</v>
      </c>
      <c r="Z398" s="251" t="s">
        <v>3202</v>
      </c>
      <c r="AA398" s="254" t="s">
        <v>1105</v>
      </c>
      <c r="AB398" s="254" t="s">
        <v>1105</v>
      </c>
    </row>
    <row r="399">
      <c r="A399" s="252">
        <v>398.0</v>
      </c>
      <c r="B399" s="251" t="s">
        <v>3203</v>
      </c>
      <c r="C399" s="252">
        <v>1.0</v>
      </c>
      <c r="D399" s="251" t="s">
        <v>3204</v>
      </c>
      <c r="E399" s="251" t="s">
        <v>1178</v>
      </c>
      <c r="F399" s="251" t="s">
        <v>1119</v>
      </c>
      <c r="G399" s="253" t="s">
        <v>3205</v>
      </c>
      <c r="H399" s="252">
        <v>3.0</v>
      </c>
      <c r="I399" s="251" t="s">
        <v>1140</v>
      </c>
      <c r="J399" s="252">
        <v>12.0</v>
      </c>
      <c r="K399" s="252">
        <v>901.0</v>
      </c>
      <c r="L399" s="252">
        <v>80.0</v>
      </c>
      <c r="M399" s="252">
        <v>15404.0</v>
      </c>
      <c r="N399" s="252">
        <v>28189.0</v>
      </c>
      <c r="O399" s="252">
        <v>12.0</v>
      </c>
      <c r="P399" s="252">
        <v>128.0</v>
      </c>
      <c r="Q399" s="252">
        <v>1933.0</v>
      </c>
      <c r="R399" s="251" t="s">
        <v>1099</v>
      </c>
      <c r="S399" s="251" t="s">
        <v>1100</v>
      </c>
      <c r="T399" s="251" t="s">
        <v>1101</v>
      </c>
      <c r="U399" s="252">
        <v>16.0</v>
      </c>
      <c r="V399" s="252">
        <v>48.0</v>
      </c>
      <c r="W399" s="252">
        <v>6.3</v>
      </c>
      <c r="X399" s="251" t="s">
        <v>1102</v>
      </c>
      <c r="Y399" s="251" t="s">
        <v>3206</v>
      </c>
      <c r="Z399" s="251" t="s">
        <v>3207</v>
      </c>
      <c r="AA399" s="254" t="s">
        <v>1105</v>
      </c>
      <c r="AB399" s="254" t="s">
        <v>1105</v>
      </c>
    </row>
    <row r="400">
      <c r="A400" s="252">
        <v>399.0</v>
      </c>
      <c r="B400" s="251" t="s">
        <v>3208</v>
      </c>
      <c r="C400" s="252">
        <v>1.0</v>
      </c>
      <c r="D400" s="251" t="s">
        <v>3209</v>
      </c>
      <c r="E400" s="251" t="s">
        <v>1232</v>
      </c>
      <c r="F400" s="251" t="s">
        <v>1233</v>
      </c>
      <c r="G400" s="253" t="s">
        <v>3210</v>
      </c>
      <c r="H400" s="252">
        <v>6.0</v>
      </c>
      <c r="I400" s="251" t="s">
        <v>1131</v>
      </c>
      <c r="J400" s="252">
        <v>12.0</v>
      </c>
      <c r="K400" s="252">
        <v>581.0</v>
      </c>
      <c r="L400" s="252">
        <v>120.0</v>
      </c>
      <c r="M400" s="252">
        <v>15486.0</v>
      </c>
      <c r="N400" s="252">
        <v>22609.0</v>
      </c>
      <c r="O400" s="252">
        <v>2.0</v>
      </c>
      <c r="P400" s="252">
        <v>64.0</v>
      </c>
      <c r="Q400" s="252">
        <v>4637.0</v>
      </c>
      <c r="R400" s="251" t="s">
        <v>1141</v>
      </c>
      <c r="S400" s="251" t="s">
        <v>1122</v>
      </c>
      <c r="T400" s="251" t="s">
        <v>1101</v>
      </c>
      <c r="U400" s="252">
        <v>14.0</v>
      </c>
      <c r="V400" s="252">
        <v>14.0</v>
      </c>
      <c r="W400" s="252">
        <v>6.3</v>
      </c>
      <c r="X400" s="251" t="s">
        <v>1147</v>
      </c>
      <c r="Y400" s="251" t="s">
        <v>3211</v>
      </c>
      <c r="Z400" s="251" t="s">
        <v>3212</v>
      </c>
      <c r="AA400" s="254" t="s">
        <v>1105</v>
      </c>
      <c r="AB400" s="254" t="s">
        <v>1105</v>
      </c>
    </row>
    <row r="401">
      <c r="A401" s="252">
        <v>400.0</v>
      </c>
      <c r="B401" s="251" t="s">
        <v>3213</v>
      </c>
      <c r="C401" s="252">
        <v>1.0</v>
      </c>
      <c r="D401" s="251" t="s">
        <v>3214</v>
      </c>
      <c r="E401" s="251" t="s">
        <v>1534</v>
      </c>
      <c r="F401" s="251" t="s">
        <v>1119</v>
      </c>
      <c r="G401" s="253" t="s">
        <v>3215</v>
      </c>
      <c r="H401" s="252">
        <v>2.0</v>
      </c>
      <c r="I401" s="251" t="s">
        <v>1098</v>
      </c>
      <c r="J401" s="252">
        <v>12.0</v>
      </c>
      <c r="K401" s="252">
        <v>884.0</v>
      </c>
      <c r="L401" s="252">
        <v>120.0</v>
      </c>
      <c r="M401" s="252">
        <v>12829.0</v>
      </c>
      <c r="N401" s="252">
        <v>16934.0</v>
      </c>
      <c r="O401" s="252">
        <v>6.0</v>
      </c>
      <c r="P401" s="252">
        <v>64.0</v>
      </c>
      <c r="Q401" s="252">
        <v>5139.0</v>
      </c>
      <c r="R401" s="251" t="s">
        <v>1099</v>
      </c>
      <c r="S401" s="251" t="s">
        <v>1122</v>
      </c>
      <c r="T401" s="251" t="s">
        <v>1021</v>
      </c>
      <c r="U401" s="252">
        <v>48.0</v>
      </c>
      <c r="V401" s="252">
        <v>16.0</v>
      </c>
      <c r="W401" s="252">
        <v>6.3</v>
      </c>
      <c r="X401" s="251" t="s">
        <v>1102</v>
      </c>
      <c r="Y401" s="251" t="s">
        <v>3216</v>
      </c>
      <c r="Z401" s="251" t="s">
        <v>3217</v>
      </c>
      <c r="AA401" s="254" t="s">
        <v>1105</v>
      </c>
      <c r="AB401" s="254" t="s">
        <v>1105</v>
      </c>
    </row>
    <row r="402">
      <c r="A402" s="252">
        <v>401.0</v>
      </c>
      <c r="B402" s="251" t="s">
        <v>3218</v>
      </c>
      <c r="C402" s="252">
        <v>1.0</v>
      </c>
      <c r="D402" s="251" t="s">
        <v>3219</v>
      </c>
      <c r="E402" s="251" t="s">
        <v>2161</v>
      </c>
      <c r="F402" s="251" t="s">
        <v>1202</v>
      </c>
      <c r="G402" s="253" t="s">
        <v>3220</v>
      </c>
      <c r="H402" s="252">
        <v>3.0</v>
      </c>
      <c r="I402" s="251" t="s">
        <v>1121</v>
      </c>
      <c r="J402" s="252">
        <v>8.0</v>
      </c>
      <c r="K402" s="252">
        <v>262.0</v>
      </c>
      <c r="L402" s="252">
        <v>80.0</v>
      </c>
      <c r="M402" s="252">
        <v>21774.0</v>
      </c>
      <c r="N402" s="252">
        <v>40281.0</v>
      </c>
      <c r="O402" s="252">
        <v>2.0</v>
      </c>
      <c r="P402" s="252">
        <v>64.0</v>
      </c>
      <c r="Q402" s="252">
        <v>5232.0</v>
      </c>
      <c r="R402" s="251" t="s">
        <v>1141</v>
      </c>
      <c r="S402" s="251" t="s">
        <v>1100</v>
      </c>
      <c r="T402" s="251" t="s">
        <v>1021</v>
      </c>
      <c r="U402" s="252">
        <v>32.0</v>
      </c>
      <c r="V402" s="252">
        <v>48.0</v>
      </c>
      <c r="W402" s="252">
        <v>4.7</v>
      </c>
      <c r="X402" s="251" t="s">
        <v>1113</v>
      </c>
      <c r="Y402" s="251" t="s">
        <v>3221</v>
      </c>
      <c r="Z402" s="251" t="s">
        <v>3222</v>
      </c>
      <c r="AA402" s="254" t="s">
        <v>1105</v>
      </c>
      <c r="AB402" s="254" t="s">
        <v>1105</v>
      </c>
    </row>
    <row r="403">
      <c r="A403" s="252">
        <v>402.0</v>
      </c>
      <c r="B403" s="251" t="s">
        <v>3223</v>
      </c>
      <c r="C403" s="252">
        <v>1.0</v>
      </c>
      <c r="D403" s="251" t="s">
        <v>3224</v>
      </c>
      <c r="E403" s="251" t="s">
        <v>1306</v>
      </c>
      <c r="F403" s="251" t="s">
        <v>1129</v>
      </c>
      <c r="G403" s="253" t="s">
        <v>3225</v>
      </c>
      <c r="H403" s="252">
        <v>4.0</v>
      </c>
      <c r="I403" s="251" t="s">
        <v>1111</v>
      </c>
      <c r="J403" s="252">
        <v>12.0</v>
      </c>
      <c r="K403" s="252">
        <v>494.0</v>
      </c>
      <c r="L403" s="252">
        <v>100.0</v>
      </c>
      <c r="M403" s="252">
        <v>19979.0</v>
      </c>
      <c r="N403" s="252">
        <v>31566.0</v>
      </c>
      <c r="O403" s="252">
        <v>2.0</v>
      </c>
      <c r="P403" s="252">
        <v>32.0</v>
      </c>
      <c r="Q403" s="252">
        <v>3277.0</v>
      </c>
      <c r="R403" s="251" t="s">
        <v>1112</v>
      </c>
      <c r="S403" s="251" t="s">
        <v>1100</v>
      </c>
      <c r="T403" s="251" t="s">
        <v>1021</v>
      </c>
      <c r="U403" s="252">
        <v>48.0</v>
      </c>
      <c r="V403" s="252">
        <v>16.0</v>
      </c>
      <c r="W403" s="252">
        <v>4.7</v>
      </c>
      <c r="X403" s="251" t="s">
        <v>1113</v>
      </c>
      <c r="Y403" s="251" t="s">
        <v>3226</v>
      </c>
      <c r="Z403" s="251" t="s">
        <v>3227</v>
      </c>
      <c r="AA403" s="254" t="s">
        <v>1105</v>
      </c>
      <c r="AB403" s="254" t="s">
        <v>1105</v>
      </c>
    </row>
    <row r="404">
      <c r="A404" s="252">
        <v>403.0</v>
      </c>
      <c r="B404" s="251" t="s">
        <v>3228</v>
      </c>
      <c r="C404" s="252">
        <v>1.0</v>
      </c>
      <c r="D404" s="251" t="s">
        <v>3229</v>
      </c>
      <c r="E404" s="251" t="s">
        <v>1434</v>
      </c>
      <c r="F404" s="251" t="s">
        <v>1096</v>
      </c>
      <c r="G404" s="253" t="s">
        <v>3230</v>
      </c>
      <c r="H404" s="252">
        <v>2.0</v>
      </c>
      <c r="I404" s="251" t="s">
        <v>1098</v>
      </c>
      <c r="J404" s="252">
        <v>8.0</v>
      </c>
      <c r="K404" s="252">
        <v>464.0</v>
      </c>
      <c r="L404" s="252">
        <v>100.0</v>
      </c>
      <c r="M404" s="252">
        <v>18095.0</v>
      </c>
      <c r="N404" s="252">
        <v>27323.0</v>
      </c>
      <c r="O404" s="252">
        <v>4.0</v>
      </c>
      <c r="P404" s="252">
        <v>16.0</v>
      </c>
      <c r="Q404" s="252">
        <v>2801.0</v>
      </c>
      <c r="R404" s="251" t="s">
        <v>1141</v>
      </c>
      <c r="S404" s="251" t="s">
        <v>1100</v>
      </c>
      <c r="T404" s="251" t="s">
        <v>1101</v>
      </c>
      <c r="U404" s="252">
        <v>12.0</v>
      </c>
      <c r="V404" s="252">
        <v>16.0</v>
      </c>
      <c r="W404" s="252">
        <v>4.7</v>
      </c>
      <c r="X404" s="251" t="s">
        <v>1102</v>
      </c>
      <c r="Y404" s="251" t="s">
        <v>3231</v>
      </c>
      <c r="Z404" s="251" t="s">
        <v>3232</v>
      </c>
      <c r="AA404" s="254" t="s">
        <v>1105</v>
      </c>
      <c r="AB404" s="254" t="s">
        <v>1105</v>
      </c>
    </row>
    <row r="405">
      <c r="A405" s="252">
        <v>404.0</v>
      </c>
      <c r="B405" s="251" t="s">
        <v>3233</v>
      </c>
      <c r="C405" s="252">
        <v>1.0</v>
      </c>
      <c r="D405" s="251" t="s">
        <v>3234</v>
      </c>
      <c r="E405" s="251" t="s">
        <v>1523</v>
      </c>
      <c r="F405" s="251" t="s">
        <v>1215</v>
      </c>
      <c r="G405" s="253" t="s">
        <v>3235</v>
      </c>
      <c r="H405" s="252">
        <v>4.0</v>
      </c>
      <c r="I405" s="251" t="s">
        <v>1131</v>
      </c>
      <c r="J405" s="252">
        <v>10.0</v>
      </c>
      <c r="K405" s="252">
        <v>440.0</v>
      </c>
      <c r="L405" s="252">
        <v>100.0</v>
      </c>
      <c r="M405" s="252">
        <v>22894.0</v>
      </c>
      <c r="N405" s="252">
        <v>30220.0</v>
      </c>
      <c r="O405" s="252">
        <v>8.0</v>
      </c>
      <c r="P405" s="252">
        <v>32.0</v>
      </c>
      <c r="Q405" s="252">
        <v>4983.0</v>
      </c>
      <c r="R405" s="251" t="s">
        <v>1099</v>
      </c>
      <c r="S405" s="251" t="s">
        <v>1122</v>
      </c>
      <c r="T405" s="251" t="s">
        <v>1021</v>
      </c>
      <c r="U405" s="252">
        <v>48.0</v>
      </c>
      <c r="V405" s="252">
        <v>14.0</v>
      </c>
      <c r="W405" s="252">
        <v>6.3</v>
      </c>
      <c r="X405" s="251" t="s">
        <v>1102</v>
      </c>
      <c r="Y405" s="251" t="s">
        <v>3236</v>
      </c>
      <c r="Z405" s="251" t="s">
        <v>3237</v>
      </c>
      <c r="AA405" s="254" t="s">
        <v>1105</v>
      </c>
      <c r="AB405" s="254" t="s">
        <v>1105</v>
      </c>
    </row>
    <row r="406">
      <c r="A406" s="252">
        <v>405.0</v>
      </c>
      <c r="B406" s="251" t="s">
        <v>3238</v>
      </c>
      <c r="C406" s="252">
        <v>1.0</v>
      </c>
      <c r="D406" s="251" t="s">
        <v>3239</v>
      </c>
      <c r="E406" s="251" t="s">
        <v>1294</v>
      </c>
      <c r="F406" s="251" t="s">
        <v>1119</v>
      </c>
      <c r="G406" s="253" t="s">
        <v>3240</v>
      </c>
      <c r="H406" s="252">
        <v>6.0</v>
      </c>
      <c r="I406" s="251" t="s">
        <v>1140</v>
      </c>
      <c r="J406" s="252">
        <v>8.0</v>
      </c>
      <c r="K406" s="252">
        <v>983.0</v>
      </c>
      <c r="L406" s="252">
        <v>80.0</v>
      </c>
      <c r="M406" s="252">
        <v>8238.0</v>
      </c>
      <c r="N406" s="252">
        <v>11368.0</v>
      </c>
      <c r="O406" s="252">
        <v>4.0</v>
      </c>
      <c r="P406" s="252">
        <v>64.0</v>
      </c>
      <c r="Q406" s="252">
        <v>2724.0</v>
      </c>
      <c r="R406" s="251" t="s">
        <v>1099</v>
      </c>
      <c r="S406" s="251" t="s">
        <v>1100</v>
      </c>
      <c r="T406" s="251" t="s">
        <v>1101</v>
      </c>
      <c r="U406" s="252">
        <v>32.0</v>
      </c>
      <c r="V406" s="252">
        <v>48.0</v>
      </c>
      <c r="W406" s="252">
        <v>5.2</v>
      </c>
      <c r="X406" s="251" t="s">
        <v>1132</v>
      </c>
      <c r="Y406" s="251" t="s">
        <v>3241</v>
      </c>
      <c r="Z406" s="251" t="s">
        <v>3242</v>
      </c>
      <c r="AA406" s="254" t="s">
        <v>1105</v>
      </c>
      <c r="AB406" s="254" t="s">
        <v>1105</v>
      </c>
    </row>
    <row r="407">
      <c r="A407" s="252">
        <v>406.0</v>
      </c>
      <c r="B407" s="251" t="s">
        <v>3243</v>
      </c>
      <c r="C407" s="252">
        <v>1.0</v>
      </c>
      <c r="D407" s="251" t="s">
        <v>3244</v>
      </c>
      <c r="E407" s="251" t="s">
        <v>1250</v>
      </c>
      <c r="F407" s="251" t="s">
        <v>1153</v>
      </c>
      <c r="G407" s="253" t="s">
        <v>3245</v>
      </c>
      <c r="H407" s="252">
        <v>3.0</v>
      </c>
      <c r="I407" s="251" t="s">
        <v>1111</v>
      </c>
      <c r="J407" s="252">
        <v>10.0</v>
      </c>
      <c r="K407" s="252">
        <v>909.0</v>
      </c>
      <c r="L407" s="252">
        <v>80.0</v>
      </c>
      <c r="M407" s="252">
        <v>15578.0</v>
      </c>
      <c r="N407" s="252">
        <v>19784.0</v>
      </c>
      <c r="O407" s="252">
        <v>6.0</v>
      </c>
      <c r="P407" s="252">
        <v>64.0</v>
      </c>
      <c r="Q407" s="252">
        <v>2375.0</v>
      </c>
      <c r="R407" s="251" t="s">
        <v>1099</v>
      </c>
      <c r="S407" s="251" t="s">
        <v>1100</v>
      </c>
      <c r="T407" s="251" t="s">
        <v>1021</v>
      </c>
      <c r="U407" s="252">
        <v>14.0</v>
      </c>
      <c r="V407" s="252">
        <v>32.0</v>
      </c>
      <c r="W407" s="252">
        <v>4.7</v>
      </c>
      <c r="X407" s="251" t="s">
        <v>1147</v>
      </c>
      <c r="Y407" s="251" t="s">
        <v>3246</v>
      </c>
      <c r="Z407" s="251" t="s">
        <v>3247</v>
      </c>
      <c r="AA407" s="254" t="s">
        <v>1105</v>
      </c>
      <c r="AB407" s="254" t="s">
        <v>1105</v>
      </c>
    </row>
    <row r="408">
      <c r="A408" s="252">
        <v>407.0</v>
      </c>
      <c r="B408" s="251" t="s">
        <v>3248</v>
      </c>
      <c r="C408" s="252">
        <v>1.0</v>
      </c>
      <c r="D408" s="251" t="s">
        <v>3249</v>
      </c>
      <c r="E408" s="251" t="s">
        <v>1615</v>
      </c>
      <c r="F408" s="251" t="s">
        <v>1202</v>
      </c>
      <c r="G408" s="253" t="s">
        <v>3250</v>
      </c>
      <c r="H408" s="252">
        <v>6.0</v>
      </c>
      <c r="I408" s="251" t="s">
        <v>1111</v>
      </c>
      <c r="J408" s="252">
        <v>8.0</v>
      </c>
      <c r="K408" s="252">
        <v>210.0</v>
      </c>
      <c r="L408" s="252">
        <v>80.0</v>
      </c>
      <c r="M408" s="252">
        <v>5899.0</v>
      </c>
      <c r="N408" s="252">
        <v>9910.0</v>
      </c>
      <c r="O408" s="252">
        <v>6.0</v>
      </c>
      <c r="P408" s="252">
        <v>8.0</v>
      </c>
      <c r="Q408" s="252">
        <v>5960.0</v>
      </c>
      <c r="R408" s="251" t="s">
        <v>1141</v>
      </c>
      <c r="S408" s="251" t="s">
        <v>1100</v>
      </c>
      <c r="T408" s="251" t="s">
        <v>1021</v>
      </c>
      <c r="U408" s="252">
        <v>48.0</v>
      </c>
      <c r="V408" s="252">
        <v>48.0</v>
      </c>
      <c r="W408" s="252">
        <v>6.0</v>
      </c>
      <c r="X408" s="251" t="s">
        <v>1102</v>
      </c>
      <c r="Y408" s="251" t="s">
        <v>3251</v>
      </c>
      <c r="Z408" s="251" t="s">
        <v>3252</v>
      </c>
      <c r="AA408" s="254" t="s">
        <v>1105</v>
      </c>
      <c r="AB408" s="254" t="s">
        <v>1105</v>
      </c>
    </row>
    <row r="409">
      <c r="A409" s="252">
        <v>408.0</v>
      </c>
      <c r="B409" s="251" t="s">
        <v>3253</v>
      </c>
      <c r="C409" s="252">
        <v>1.0</v>
      </c>
      <c r="D409" s="251" t="s">
        <v>3254</v>
      </c>
      <c r="E409" s="251" t="s">
        <v>1266</v>
      </c>
      <c r="F409" s="251" t="s">
        <v>1096</v>
      </c>
      <c r="G409" s="253" t="s">
        <v>3255</v>
      </c>
      <c r="H409" s="252">
        <v>6.0</v>
      </c>
      <c r="I409" s="251" t="s">
        <v>1098</v>
      </c>
      <c r="J409" s="252">
        <v>12.0</v>
      </c>
      <c r="K409" s="252">
        <v>574.0</v>
      </c>
      <c r="L409" s="252">
        <v>120.0</v>
      </c>
      <c r="M409" s="252">
        <v>10135.0</v>
      </c>
      <c r="N409" s="252">
        <v>13378.0</v>
      </c>
      <c r="O409" s="252">
        <v>8.0</v>
      </c>
      <c r="P409" s="252">
        <v>32.0</v>
      </c>
      <c r="Q409" s="252">
        <v>2680.0</v>
      </c>
      <c r="R409" s="251" t="s">
        <v>1141</v>
      </c>
      <c r="S409" s="251" t="s">
        <v>1100</v>
      </c>
      <c r="T409" s="251" t="s">
        <v>1123</v>
      </c>
      <c r="U409" s="252">
        <v>32.0</v>
      </c>
      <c r="V409" s="252">
        <v>16.0</v>
      </c>
      <c r="W409" s="252">
        <v>4.7</v>
      </c>
      <c r="X409" s="251" t="s">
        <v>1132</v>
      </c>
      <c r="Y409" s="251" t="s">
        <v>3256</v>
      </c>
      <c r="Z409" s="251" t="s">
        <v>3257</v>
      </c>
      <c r="AA409" s="254" t="s">
        <v>1105</v>
      </c>
      <c r="AB409" s="254" t="s">
        <v>1105</v>
      </c>
    </row>
    <row r="410">
      <c r="A410" s="252">
        <v>409.0</v>
      </c>
      <c r="B410" s="251" t="s">
        <v>3258</v>
      </c>
      <c r="C410" s="252">
        <v>1.0</v>
      </c>
      <c r="D410" s="251" t="s">
        <v>3259</v>
      </c>
      <c r="E410" s="251" t="s">
        <v>1689</v>
      </c>
      <c r="F410" s="251" t="s">
        <v>1109</v>
      </c>
      <c r="G410" s="253" t="s">
        <v>3260</v>
      </c>
      <c r="H410" s="252">
        <v>2.0</v>
      </c>
      <c r="I410" s="251" t="s">
        <v>1131</v>
      </c>
      <c r="J410" s="252">
        <v>10.0</v>
      </c>
      <c r="K410" s="252">
        <v>897.0</v>
      </c>
      <c r="L410" s="252">
        <v>100.0</v>
      </c>
      <c r="M410" s="252">
        <v>19703.0</v>
      </c>
      <c r="N410" s="252">
        <v>35859.0</v>
      </c>
      <c r="O410" s="252">
        <v>12.0</v>
      </c>
      <c r="P410" s="252">
        <v>8.0</v>
      </c>
      <c r="Q410" s="252">
        <v>6012.0</v>
      </c>
      <c r="R410" s="251" t="s">
        <v>1099</v>
      </c>
      <c r="S410" s="251" t="s">
        <v>1122</v>
      </c>
      <c r="T410" s="251" t="s">
        <v>1123</v>
      </c>
      <c r="U410" s="252">
        <v>32.0</v>
      </c>
      <c r="V410" s="252">
        <v>48.0</v>
      </c>
      <c r="W410" s="252">
        <v>5.2</v>
      </c>
      <c r="X410" s="251" t="s">
        <v>1147</v>
      </c>
      <c r="Y410" s="251" t="s">
        <v>3261</v>
      </c>
      <c r="Z410" s="251" t="s">
        <v>3262</v>
      </c>
      <c r="AA410" s="254" t="s">
        <v>1105</v>
      </c>
      <c r="AB410" s="254" t="s">
        <v>1105</v>
      </c>
    </row>
    <row r="411">
      <c r="A411" s="252">
        <v>410.0</v>
      </c>
      <c r="B411" s="251" t="s">
        <v>3263</v>
      </c>
      <c r="C411" s="252">
        <v>1.0</v>
      </c>
      <c r="D411" s="251" t="s">
        <v>3264</v>
      </c>
      <c r="E411" s="251" t="s">
        <v>1458</v>
      </c>
      <c r="F411" s="251" t="s">
        <v>1109</v>
      </c>
      <c r="G411" s="253" t="s">
        <v>3265</v>
      </c>
      <c r="H411" s="252">
        <v>2.0</v>
      </c>
      <c r="I411" s="251" t="s">
        <v>1111</v>
      </c>
      <c r="J411" s="252">
        <v>12.0</v>
      </c>
      <c r="K411" s="252">
        <v>977.0</v>
      </c>
      <c r="L411" s="252">
        <v>120.0</v>
      </c>
      <c r="M411" s="252">
        <v>3118.0</v>
      </c>
      <c r="N411" s="252">
        <v>3803.0</v>
      </c>
      <c r="O411" s="252">
        <v>12.0</v>
      </c>
      <c r="P411" s="252">
        <v>64.0</v>
      </c>
      <c r="Q411" s="252">
        <v>4545.0</v>
      </c>
      <c r="R411" s="251" t="s">
        <v>1141</v>
      </c>
      <c r="S411" s="251" t="s">
        <v>1100</v>
      </c>
      <c r="T411" s="251" t="s">
        <v>1123</v>
      </c>
      <c r="U411" s="252">
        <v>32.0</v>
      </c>
      <c r="V411" s="252">
        <v>48.0</v>
      </c>
      <c r="W411" s="252">
        <v>4.7</v>
      </c>
      <c r="X411" s="251" t="s">
        <v>1102</v>
      </c>
      <c r="Y411" s="251" t="s">
        <v>3266</v>
      </c>
      <c r="Z411" s="251" t="s">
        <v>3267</v>
      </c>
      <c r="AA411" s="254" t="s">
        <v>1105</v>
      </c>
      <c r="AB411" s="254" t="s">
        <v>1105</v>
      </c>
    </row>
    <row r="412">
      <c r="A412" s="252">
        <v>411.0</v>
      </c>
      <c r="B412" s="251" t="s">
        <v>3268</v>
      </c>
      <c r="C412" s="252">
        <v>1.0</v>
      </c>
      <c r="D412" s="251" t="s">
        <v>3269</v>
      </c>
      <c r="E412" s="251" t="s">
        <v>1667</v>
      </c>
      <c r="F412" s="251" t="s">
        <v>1129</v>
      </c>
      <c r="G412" s="253" t="s">
        <v>3270</v>
      </c>
      <c r="H412" s="252">
        <v>3.0</v>
      </c>
      <c r="I412" s="251" t="s">
        <v>1131</v>
      </c>
      <c r="J412" s="252">
        <v>10.0</v>
      </c>
      <c r="K412" s="252">
        <v>436.0</v>
      </c>
      <c r="L412" s="252">
        <v>80.0</v>
      </c>
      <c r="M412" s="252">
        <v>19276.0</v>
      </c>
      <c r="N412" s="252">
        <v>32576.0</v>
      </c>
      <c r="O412" s="252">
        <v>12.0</v>
      </c>
      <c r="P412" s="252">
        <v>8.0</v>
      </c>
      <c r="Q412" s="252">
        <v>4807.0</v>
      </c>
      <c r="R412" s="251" t="s">
        <v>1112</v>
      </c>
      <c r="S412" s="251" t="s">
        <v>1122</v>
      </c>
      <c r="T412" s="251" t="s">
        <v>1021</v>
      </c>
      <c r="U412" s="252">
        <v>12.0</v>
      </c>
      <c r="V412" s="252">
        <v>12.0</v>
      </c>
      <c r="W412" s="252">
        <v>6.0</v>
      </c>
      <c r="X412" s="251" t="s">
        <v>1132</v>
      </c>
      <c r="Y412" s="251" t="s">
        <v>3271</v>
      </c>
      <c r="Z412" s="251" t="s">
        <v>3272</v>
      </c>
      <c r="AA412" s="254" t="s">
        <v>1105</v>
      </c>
      <c r="AB412" s="254" t="s">
        <v>1105</v>
      </c>
    </row>
    <row r="413">
      <c r="A413" s="252">
        <v>412.0</v>
      </c>
      <c r="B413" s="251" t="s">
        <v>3273</v>
      </c>
      <c r="C413" s="252">
        <v>1.0</v>
      </c>
      <c r="D413" s="251" t="s">
        <v>3274</v>
      </c>
      <c r="E413" s="251" t="s">
        <v>1587</v>
      </c>
      <c r="F413" s="251" t="s">
        <v>1119</v>
      </c>
      <c r="G413" s="253" t="s">
        <v>3275</v>
      </c>
      <c r="H413" s="252">
        <v>3.0</v>
      </c>
      <c r="I413" s="251" t="s">
        <v>1111</v>
      </c>
      <c r="J413" s="252">
        <v>12.0</v>
      </c>
      <c r="K413" s="252">
        <v>284.0</v>
      </c>
      <c r="L413" s="252">
        <v>120.0</v>
      </c>
      <c r="M413" s="252">
        <v>13795.0</v>
      </c>
      <c r="N413" s="252">
        <v>16967.0</v>
      </c>
      <c r="O413" s="252">
        <v>2.0</v>
      </c>
      <c r="P413" s="252">
        <v>512.0</v>
      </c>
      <c r="Q413" s="252">
        <v>1968.0</v>
      </c>
      <c r="R413" s="251" t="s">
        <v>1141</v>
      </c>
      <c r="S413" s="251" t="s">
        <v>1100</v>
      </c>
      <c r="T413" s="251" t="s">
        <v>1101</v>
      </c>
      <c r="U413" s="252">
        <v>32.0</v>
      </c>
      <c r="V413" s="252">
        <v>14.0</v>
      </c>
      <c r="W413" s="252">
        <v>6.0</v>
      </c>
      <c r="X413" s="251" t="s">
        <v>1147</v>
      </c>
      <c r="Y413" s="251" t="s">
        <v>3276</v>
      </c>
      <c r="Z413" s="251" t="s">
        <v>3277</v>
      </c>
      <c r="AA413" s="254" t="s">
        <v>1105</v>
      </c>
      <c r="AB413" s="254" t="s">
        <v>1105</v>
      </c>
    </row>
    <row r="414">
      <c r="A414" s="252">
        <v>413.0</v>
      </c>
      <c r="B414" s="251" t="s">
        <v>3278</v>
      </c>
      <c r="C414" s="252">
        <v>1.0</v>
      </c>
      <c r="D414" s="251" t="s">
        <v>3279</v>
      </c>
      <c r="E414" s="251" t="s">
        <v>1137</v>
      </c>
      <c r="F414" s="251" t="s">
        <v>1138</v>
      </c>
      <c r="G414" s="253" t="s">
        <v>3280</v>
      </c>
      <c r="H414" s="252">
        <v>2.0</v>
      </c>
      <c r="I414" s="251" t="s">
        <v>1131</v>
      </c>
      <c r="J414" s="252">
        <v>8.0</v>
      </c>
      <c r="K414" s="252">
        <v>184.0</v>
      </c>
      <c r="L414" s="252">
        <v>80.0</v>
      </c>
      <c r="M414" s="252">
        <v>22044.0</v>
      </c>
      <c r="N414" s="252">
        <v>30641.0</v>
      </c>
      <c r="O414" s="252">
        <v>6.0</v>
      </c>
      <c r="P414" s="252">
        <v>16.0</v>
      </c>
      <c r="Q414" s="252">
        <v>4541.0</v>
      </c>
      <c r="R414" s="251" t="s">
        <v>1099</v>
      </c>
      <c r="S414" s="251" t="s">
        <v>1100</v>
      </c>
      <c r="T414" s="251" t="s">
        <v>1101</v>
      </c>
      <c r="U414" s="252">
        <v>12.0</v>
      </c>
      <c r="V414" s="252">
        <v>48.0</v>
      </c>
      <c r="W414" s="252">
        <v>5.2</v>
      </c>
      <c r="X414" s="251" t="s">
        <v>1147</v>
      </c>
      <c r="Y414" s="251" t="s">
        <v>3281</v>
      </c>
      <c r="Z414" s="251" t="s">
        <v>3282</v>
      </c>
      <c r="AA414" s="254" t="s">
        <v>1105</v>
      </c>
      <c r="AB414" s="254" t="s">
        <v>1105</v>
      </c>
    </row>
    <row r="415">
      <c r="A415" s="252">
        <v>414.0</v>
      </c>
      <c r="B415" s="251" t="s">
        <v>3283</v>
      </c>
      <c r="C415" s="252">
        <v>1.0</v>
      </c>
      <c r="D415" s="251" t="s">
        <v>3284</v>
      </c>
      <c r="E415" s="251" t="s">
        <v>1615</v>
      </c>
      <c r="F415" s="251" t="s">
        <v>1202</v>
      </c>
      <c r="G415" s="253" t="s">
        <v>3285</v>
      </c>
      <c r="H415" s="252">
        <v>3.0</v>
      </c>
      <c r="I415" s="251" t="s">
        <v>1140</v>
      </c>
      <c r="J415" s="252">
        <v>8.0</v>
      </c>
      <c r="K415" s="252">
        <v>523.0</v>
      </c>
      <c r="L415" s="252">
        <v>80.0</v>
      </c>
      <c r="M415" s="252">
        <v>10910.0</v>
      </c>
      <c r="N415" s="252">
        <v>18437.0</v>
      </c>
      <c r="O415" s="252">
        <v>12.0</v>
      </c>
      <c r="P415" s="252">
        <v>512.0</v>
      </c>
      <c r="Q415" s="252">
        <v>2609.0</v>
      </c>
      <c r="R415" s="251" t="s">
        <v>1099</v>
      </c>
      <c r="S415" s="251" t="s">
        <v>1100</v>
      </c>
      <c r="T415" s="251" t="s">
        <v>1101</v>
      </c>
      <c r="U415" s="252">
        <v>32.0</v>
      </c>
      <c r="V415" s="252">
        <v>16.0</v>
      </c>
      <c r="W415" s="252">
        <v>4.7</v>
      </c>
      <c r="X415" s="251" t="s">
        <v>1113</v>
      </c>
      <c r="Y415" s="251" t="s">
        <v>3286</v>
      </c>
      <c r="Z415" s="251" t="s">
        <v>3287</v>
      </c>
      <c r="AA415" s="254" t="s">
        <v>1105</v>
      </c>
      <c r="AB415" s="254" t="s">
        <v>1105</v>
      </c>
    </row>
    <row r="416">
      <c r="A416" s="252">
        <v>415.0</v>
      </c>
      <c r="B416" s="251" t="s">
        <v>3288</v>
      </c>
      <c r="C416" s="252">
        <v>1.0</v>
      </c>
      <c r="D416" s="251" t="s">
        <v>3289</v>
      </c>
      <c r="E416" s="251" t="s">
        <v>1152</v>
      </c>
      <c r="F416" s="251" t="s">
        <v>1153</v>
      </c>
      <c r="G416" s="253" t="s">
        <v>3290</v>
      </c>
      <c r="H416" s="252">
        <v>6.0</v>
      </c>
      <c r="I416" s="251" t="s">
        <v>1121</v>
      </c>
      <c r="J416" s="252">
        <v>12.0</v>
      </c>
      <c r="K416" s="252">
        <v>861.0</v>
      </c>
      <c r="L416" s="252">
        <v>120.0</v>
      </c>
      <c r="M416" s="252">
        <v>22910.0</v>
      </c>
      <c r="N416" s="252">
        <v>40092.0</v>
      </c>
      <c r="O416" s="252">
        <v>4.0</v>
      </c>
      <c r="P416" s="252">
        <v>16.0</v>
      </c>
      <c r="Q416" s="252">
        <v>4298.0</v>
      </c>
      <c r="R416" s="251" t="s">
        <v>1099</v>
      </c>
      <c r="S416" s="251" t="s">
        <v>1100</v>
      </c>
      <c r="T416" s="251" t="s">
        <v>1123</v>
      </c>
      <c r="U416" s="252">
        <v>16.0</v>
      </c>
      <c r="V416" s="252">
        <v>16.0</v>
      </c>
      <c r="W416" s="252">
        <v>5.5</v>
      </c>
      <c r="X416" s="251" t="s">
        <v>1132</v>
      </c>
      <c r="Y416" s="251" t="s">
        <v>3291</v>
      </c>
      <c r="Z416" s="251" t="s">
        <v>3292</v>
      </c>
      <c r="AA416" s="254" t="s">
        <v>1105</v>
      </c>
      <c r="AB416" s="254" t="s">
        <v>1105</v>
      </c>
    </row>
    <row r="417">
      <c r="A417" s="252">
        <v>416.0</v>
      </c>
      <c r="B417" s="251" t="s">
        <v>3293</v>
      </c>
      <c r="C417" s="252">
        <v>1.0</v>
      </c>
      <c r="D417" s="251" t="s">
        <v>3294</v>
      </c>
      <c r="E417" s="251" t="s">
        <v>1266</v>
      </c>
      <c r="F417" s="251" t="s">
        <v>1096</v>
      </c>
      <c r="G417" s="253" t="s">
        <v>3295</v>
      </c>
      <c r="H417" s="252">
        <v>6.0</v>
      </c>
      <c r="I417" s="251" t="s">
        <v>1098</v>
      </c>
      <c r="J417" s="252">
        <v>10.0</v>
      </c>
      <c r="K417" s="252">
        <v>269.0</v>
      </c>
      <c r="L417" s="252">
        <v>120.0</v>
      </c>
      <c r="M417" s="252">
        <v>6935.0</v>
      </c>
      <c r="N417" s="252">
        <v>8807.0</v>
      </c>
      <c r="O417" s="252">
        <v>6.0</v>
      </c>
      <c r="P417" s="252">
        <v>8.0</v>
      </c>
      <c r="Q417" s="252">
        <v>2525.0</v>
      </c>
      <c r="R417" s="251" t="s">
        <v>1141</v>
      </c>
      <c r="S417" s="251" t="s">
        <v>1100</v>
      </c>
      <c r="T417" s="251" t="s">
        <v>1101</v>
      </c>
      <c r="U417" s="252">
        <v>16.0</v>
      </c>
      <c r="V417" s="252">
        <v>48.0</v>
      </c>
      <c r="W417" s="252">
        <v>6.0</v>
      </c>
      <c r="X417" s="251" t="s">
        <v>1132</v>
      </c>
      <c r="Y417" s="251" t="s">
        <v>3296</v>
      </c>
      <c r="Z417" s="251" t="s">
        <v>3297</v>
      </c>
      <c r="AA417" s="254" t="s">
        <v>1105</v>
      </c>
      <c r="AB417" s="254" t="s">
        <v>1105</v>
      </c>
    </row>
    <row r="418">
      <c r="A418" s="252">
        <v>417.0</v>
      </c>
      <c r="B418" s="251" t="s">
        <v>3298</v>
      </c>
      <c r="C418" s="252">
        <v>1.0</v>
      </c>
      <c r="D418" s="251" t="s">
        <v>3299</v>
      </c>
      <c r="E418" s="251" t="s">
        <v>1615</v>
      </c>
      <c r="F418" s="251" t="s">
        <v>1202</v>
      </c>
      <c r="G418" s="253" t="s">
        <v>3300</v>
      </c>
      <c r="H418" s="252">
        <v>3.0</v>
      </c>
      <c r="I418" s="251" t="s">
        <v>1131</v>
      </c>
      <c r="J418" s="252">
        <v>8.0</v>
      </c>
      <c r="K418" s="252">
        <v>237.0</v>
      </c>
      <c r="L418" s="252">
        <v>120.0</v>
      </c>
      <c r="M418" s="252">
        <v>3725.0</v>
      </c>
      <c r="N418" s="252">
        <v>5215.0</v>
      </c>
      <c r="O418" s="252">
        <v>4.0</v>
      </c>
      <c r="P418" s="252">
        <v>64.0</v>
      </c>
      <c r="Q418" s="252">
        <v>5241.0</v>
      </c>
      <c r="R418" s="251" t="s">
        <v>1112</v>
      </c>
      <c r="S418" s="251" t="s">
        <v>1122</v>
      </c>
      <c r="T418" s="251" t="s">
        <v>1101</v>
      </c>
      <c r="U418" s="252">
        <v>48.0</v>
      </c>
      <c r="V418" s="252">
        <v>16.0</v>
      </c>
      <c r="W418" s="252">
        <v>5.0</v>
      </c>
      <c r="X418" s="251" t="s">
        <v>1102</v>
      </c>
      <c r="Y418" s="251" t="s">
        <v>3301</v>
      </c>
      <c r="Z418" s="251" t="s">
        <v>3302</v>
      </c>
      <c r="AA418" s="254" t="s">
        <v>1105</v>
      </c>
      <c r="AB418" s="254" t="s">
        <v>1105</v>
      </c>
    </row>
    <row r="419">
      <c r="A419" s="252">
        <v>418.0</v>
      </c>
      <c r="B419" s="251" t="s">
        <v>3303</v>
      </c>
      <c r="C419" s="252">
        <v>1.0</v>
      </c>
      <c r="D419" s="251" t="s">
        <v>3304</v>
      </c>
      <c r="E419" s="251" t="s">
        <v>1300</v>
      </c>
      <c r="F419" s="251" t="s">
        <v>1233</v>
      </c>
      <c r="G419" s="253" t="s">
        <v>3305</v>
      </c>
      <c r="H419" s="252">
        <v>5.0</v>
      </c>
      <c r="I419" s="251" t="s">
        <v>1098</v>
      </c>
      <c r="J419" s="252">
        <v>10.0</v>
      </c>
      <c r="K419" s="252">
        <v>938.0</v>
      </c>
      <c r="L419" s="252">
        <v>100.0</v>
      </c>
      <c r="M419" s="252">
        <v>5278.0</v>
      </c>
      <c r="N419" s="252">
        <v>6439.0</v>
      </c>
      <c r="O419" s="252">
        <v>4.0</v>
      </c>
      <c r="P419" s="252">
        <v>64.0</v>
      </c>
      <c r="Q419" s="252">
        <v>5169.0</v>
      </c>
      <c r="R419" s="251" t="s">
        <v>1112</v>
      </c>
      <c r="S419" s="251" t="s">
        <v>1122</v>
      </c>
      <c r="T419" s="251" t="s">
        <v>1101</v>
      </c>
      <c r="U419" s="252">
        <v>48.0</v>
      </c>
      <c r="V419" s="252">
        <v>48.0</v>
      </c>
      <c r="W419" s="252">
        <v>6.3</v>
      </c>
      <c r="X419" s="251" t="s">
        <v>1147</v>
      </c>
      <c r="Y419" s="251" t="s">
        <v>3306</v>
      </c>
      <c r="Z419" s="251" t="s">
        <v>3307</v>
      </c>
      <c r="AA419" s="254" t="s">
        <v>1105</v>
      </c>
      <c r="AB419" s="254" t="s">
        <v>1105</v>
      </c>
    </row>
    <row r="420">
      <c r="A420" s="252">
        <v>419.0</v>
      </c>
      <c r="B420" s="251" t="s">
        <v>3308</v>
      </c>
      <c r="C420" s="252">
        <v>1.0</v>
      </c>
      <c r="D420" s="251" t="s">
        <v>3309</v>
      </c>
      <c r="E420" s="251" t="s">
        <v>1300</v>
      </c>
      <c r="F420" s="251" t="s">
        <v>1233</v>
      </c>
      <c r="G420" s="253" t="s">
        <v>3250</v>
      </c>
      <c r="H420" s="252">
        <v>6.0</v>
      </c>
      <c r="I420" s="251" t="s">
        <v>1121</v>
      </c>
      <c r="J420" s="252">
        <v>8.0</v>
      </c>
      <c r="K420" s="252">
        <v>650.0</v>
      </c>
      <c r="L420" s="252">
        <v>80.0</v>
      </c>
      <c r="M420" s="252">
        <v>5945.0</v>
      </c>
      <c r="N420" s="252">
        <v>10522.0</v>
      </c>
      <c r="O420" s="252">
        <v>8.0</v>
      </c>
      <c r="P420" s="252">
        <v>32.0</v>
      </c>
      <c r="Q420" s="252">
        <v>5723.0</v>
      </c>
      <c r="R420" s="251" t="s">
        <v>1099</v>
      </c>
      <c r="S420" s="251" t="s">
        <v>1100</v>
      </c>
      <c r="T420" s="251" t="s">
        <v>1123</v>
      </c>
      <c r="U420" s="252">
        <v>16.0</v>
      </c>
      <c r="V420" s="252">
        <v>32.0</v>
      </c>
      <c r="W420" s="252">
        <v>5.5</v>
      </c>
      <c r="X420" s="251" t="s">
        <v>1132</v>
      </c>
      <c r="Y420" s="251" t="s">
        <v>3310</v>
      </c>
      <c r="Z420" s="251" t="s">
        <v>3311</v>
      </c>
      <c r="AA420" s="254" t="s">
        <v>1105</v>
      </c>
      <c r="AB420" s="254" t="s">
        <v>1105</v>
      </c>
    </row>
    <row r="421">
      <c r="A421" s="252">
        <v>420.0</v>
      </c>
      <c r="B421" s="251" t="s">
        <v>3312</v>
      </c>
      <c r="C421" s="252">
        <v>1.0</v>
      </c>
      <c r="D421" s="251" t="s">
        <v>3313</v>
      </c>
      <c r="E421" s="251" t="s">
        <v>1991</v>
      </c>
      <c r="F421" s="251" t="s">
        <v>1233</v>
      </c>
      <c r="G421" s="253" t="s">
        <v>3314</v>
      </c>
      <c r="H421" s="252">
        <v>6.0</v>
      </c>
      <c r="I421" s="251" t="s">
        <v>1131</v>
      </c>
      <c r="J421" s="252">
        <v>10.0</v>
      </c>
      <c r="K421" s="252">
        <v>312.0</v>
      </c>
      <c r="L421" s="252">
        <v>80.0</v>
      </c>
      <c r="M421" s="252">
        <v>22192.0</v>
      </c>
      <c r="N421" s="252">
        <v>35951.0</v>
      </c>
      <c r="O421" s="252">
        <v>6.0</v>
      </c>
      <c r="P421" s="252">
        <v>64.0</v>
      </c>
      <c r="Q421" s="252">
        <v>2124.0</v>
      </c>
      <c r="R421" s="251" t="s">
        <v>1141</v>
      </c>
      <c r="S421" s="251" t="s">
        <v>1122</v>
      </c>
      <c r="T421" s="251" t="s">
        <v>1123</v>
      </c>
      <c r="U421" s="252">
        <v>32.0</v>
      </c>
      <c r="V421" s="252">
        <v>14.0</v>
      </c>
      <c r="W421" s="252">
        <v>6.0</v>
      </c>
      <c r="X421" s="251" t="s">
        <v>1147</v>
      </c>
      <c r="Y421" s="251" t="s">
        <v>3315</v>
      </c>
      <c r="Z421" s="251" t="s">
        <v>3316</v>
      </c>
      <c r="AA421" s="254" t="s">
        <v>1105</v>
      </c>
      <c r="AB421" s="254" t="s">
        <v>1105</v>
      </c>
    </row>
    <row r="422">
      <c r="A422" s="252">
        <v>421.0</v>
      </c>
      <c r="B422" s="251" t="s">
        <v>3317</v>
      </c>
      <c r="C422" s="252">
        <v>1.0</v>
      </c>
      <c r="D422" s="251" t="s">
        <v>3318</v>
      </c>
      <c r="E422" s="251" t="s">
        <v>2209</v>
      </c>
      <c r="F422" s="251" t="s">
        <v>1096</v>
      </c>
      <c r="G422" s="253" t="s">
        <v>3319</v>
      </c>
      <c r="H422" s="252">
        <v>6.0</v>
      </c>
      <c r="I422" s="251" t="s">
        <v>1098</v>
      </c>
      <c r="J422" s="252">
        <v>12.0</v>
      </c>
      <c r="K422" s="252">
        <v>229.0</v>
      </c>
      <c r="L422" s="252">
        <v>100.0</v>
      </c>
      <c r="M422" s="252">
        <v>19705.0</v>
      </c>
      <c r="N422" s="252">
        <v>28572.0</v>
      </c>
      <c r="O422" s="252">
        <v>8.0</v>
      </c>
      <c r="P422" s="252">
        <v>512.0</v>
      </c>
      <c r="Q422" s="252">
        <v>2439.0</v>
      </c>
      <c r="R422" s="251" t="s">
        <v>1141</v>
      </c>
      <c r="S422" s="251" t="s">
        <v>1100</v>
      </c>
      <c r="T422" s="251" t="s">
        <v>1123</v>
      </c>
      <c r="U422" s="252">
        <v>14.0</v>
      </c>
      <c r="V422" s="252">
        <v>32.0</v>
      </c>
      <c r="W422" s="252">
        <v>5.5</v>
      </c>
      <c r="X422" s="251" t="s">
        <v>1147</v>
      </c>
      <c r="Y422" s="251" t="s">
        <v>3320</v>
      </c>
      <c r="Z422" s="251" t="s">
        <v>3321</v>
      </c>
      <c r="AA422" s="254" t="s">
        <v>1105</v>
      </c>
      <c r="AB422" s="254" t="s">
        <v>1105</v>
      </c>
    </row>
    <row r="423">
      <c r="A423" s="252">
        <v>422.0</v>
      </c>
      <c r="B423" s="251" t="s">
        <v>3322</v>
      </c>
      <c r="C423" s="252">
        <v>1.0</v>
      </c>
      <c r="D423" s="251" t="s">
        <v>3323</v>
      </c>
      <c r="E423" s="251" t="s">
        <v>1137</v>
      </c>
      <c r="F423" s="251" t="s">
        <v>1138</v>
      </c>
      <c r="G423" s="253" t="s">
        <v>3324</v>
      </c>
      <c r="H423" s="252">
        <v>2.0</v>
      </c>
      <c r="I423" s="251" t="s">
        <v>1131</v>
      </c>
      <c r="J423" s="252">
        <v>10.0</v>
      </c>
      <c r="K423" s="252">
        <v>257.0</v>
      </c>
      <c r="L423" s="252">
        <v>80.0</v>
      </c>
      <c r="M423" s="252">
        <v>16019.0</v>
      </c>
      <c r="N423" s="252">
        <v>23868.0</v>
      </c>
      <c r="O423" s="252">
        <v>2.0</v>
      </c>
      <c r="P423" s="252">
        <v>512.0</v>
      </c>
      <c r="Q423" s="252">
        <v>2536.0</v>
      </c>
      <c r="R423" s="251" t="s">
        <v>1099</v>
      </c>
      <c r="S423" s="251" t="s">
        <v>1122</v>
      </c>
      <c r="T423" s="251" t="s">
        <v>1123</v>
      </c>
      <c r="U423" s="252">
        <v>16.0</v>
      </c>
      <c r="V423" s="252">
        <v>14.0</v>
      </c>
      <c r="W423" s="252">
        <v>5.2</v>
      </c>
      <c r="X423" s="251" t="s">
        <v>1113</v>
      </c>
      <c r="Y423" s="251" t="s">
        <v>3325</v>
      </c>
      <c r="Z423" s="251" t="s">
        <v>3326</v>
      </c>
      <c r="AA423" s="254" t="s">
        <v>1105</v>
      </c>
      <c r="AB423" s="254" t="s">
        <v>1105</v>
      </c>
    </row>
    <row r="424">
      <c r="A424" s="252">
        <v>423.0</v>
      </c>
      <c r="B424" s="251" t="s">
        <v>3327</v>
      </c>
      <c r="C424" s="252">
        <v>1.0</v>
      </c>
      <c r="D424" s="251" t="s">
        <v>3328</v>
      </c>
      <c r="E424" s="251" t="s">
        <v>1534</v>
      </c>
      <c r="F424" s="251" t="s">
        <v>1119</v>
      </c>
      <c r="G424" s="253" t="s">
        <v>3329</v>
      </c>
      <c r="H424" s="252">
        <v>6.0</v>
      </c>
      <c r="I424" s="251" t="s">
        <v>1121</v>
      </c>
      <c r="J424" s="252">
        <v>10.0</v>
      </c>
      <c r="K424" s="252">
        <v>102.0</v>
      </c>
      <c r="L424" s="252">
        <v>80.0</v>
      </c>
      <c r="M424" s="252">
        <v>13033.0</v>
      </c>
      <c r="N424" s="252">
        <v>21895.0</v>
      </c>
      <c r="O424" s="252">
        <v>6.0</v>
      </c>
      <c r="P424" s="252">
        <v>128.0</v>
      </c>
      <c r="Q424" s="252">
        <v>6458.0</v>
      </c>
      <c r="R424" s="251" t="s">
        <v>1141</v>
      </c>
      <c r="S424" s="251" t="s">
        <v>1100</v>
      </c>
      <c r="T424" s="251" t="s">
        <v>1021</v>
      </c>
      <c r="U424" s="252">
        <v>48.0</v>
      </c>
      <c r="V424" s="252">
        <v>16.0</v>
      </c>
      <c r="W424" s="252">
        <v>6.0</v>
      </c>
      <c r="X424" s="251" t="s">
        <v>1113</v>
      </c>
      <c r="Y424" s="251" t="s">
        <v>3330</v>
      </c>
      <c r="Z424" s="251" t="s">
        <v>3331</v>
      </c>
      <c r="AA424" s="254" t="s">
        <v>1105</v>
      </c>
      <c r="AB424" s="254" t="s">
        <v>1105</v>
      </c>
    </row>
    <row r="425">
      <c r="A425" s="252">
        <v>424.0</v>
      </c>
      <c r="B425" s="251" t="s">
        <v>3332</v>
      </c>
      <c r="C425" s="252">
        <v>1.0</v>
      </c>
      <c r="D425" s="251" t="s">
        <v>3333</v>
      </c>
      <c r="E425" s="251" t="s">
        <v>1411</v>
      </c>
      <c r="F425" s="251" t="s">
        <v>1119</v>
      </c>
      <c r="G425" s="253" t="s">
        <v>3334</v>
      </c>
      <c r="H425" s="252">
        <v>6.0</v>
      </c>
      <c r="I425" s="251" t="s">
        <v>1098</v>
      </c>
      <c r="J425" s="252">
        <v>12.0</v>
      </c>
      <c r="K425" s="252">
        <v>576.0</v>
      </c>
      <c r="L425" s="252">
        <v>80.0</v>
      </c>
      <c r="M425" s="252">
        <v>6607.0</v>
      </c>
      <c r="N425" s="252">
        <v>8787.0</v>
      </c>
      <c r="O425" s="252">
        <v>6.0</v>
      </c>
      <c r="P425" s="252">
        <v>512.0</v>
      </c>
      <c r="Q425" s="252">
        <v>5288.0</v>
      </c>
      <c r="R425" s="251" t="s">
        <v>1112</v>
      </c>
      <c r="S425" s="251" t="s">
        <v>1100</v>
      </c>
      <c r="T425" s="251" t="s">
        <v>1021</v>
      </c>
      <c r="U425" s="252">
        <v>32.0</v>
      </c>
      <c r="V425" s="252">
        <v>32.0</v>
      </c>
      <c r="W425" s="252">
        <v>5.0</v>
      </c>
      <c r="X425" s="251" t="s">
        <v>1147</v>
      </c>
      <c r="Y425" s="251" t="s">
        <v>3335</v>
      </c>
      <c r="Z425" s="251" t="s">
        <v>3336</v>
      </c>
      <c r="AA425" s="254" t="s">
        <v>1105</v>
      </c>
      <c r="AB425" s="254" t="s">
        <v>1105</v>
      </c>
    </row>
    <row r="426">
      <c r="A426" s="252">
        <v>425.0</v>
      </c>
      <c r="B426" s="251" t="s">
        <v>3337</v>
      </c>
      <c r="C426" s="252">
        <v>1.0</v>
      </c>
      <c r="D426" s="251" t="s">
        <v>3338</v>
      </c>
      <c r="E426" s="251" t="s">
        <v>1201</v>
      </c>
      <c r="F426" s="251" t="s">
        <v>1202</v>
      </c>
      <c r="G426" s="253" t="s">
        <v>3339</v>
      </c>
      <c r="H426" s="252">
        <v>6.0</v>
      </c>
      <c r="I426" s="251" t="s">
        <v>1131</v>
      </c>
      <c r="J426" s="252">
        <v>10.0</v>
      </c>
      <c r="K426" s="252">
        <v>567.0</v>
      </c>
      <c r="L426" s="252">
        <v>100.0</v>
      </c>
      <c r="M426" s="252">
        <v>21800.0</v>
      </c>
      <c r="N426" s="252">
        <v>35316.0</v>
      </c>
      <c r="O426" s="252">
        <v>8.0</v>
      </c>
      <c r="P426" s="252">
        <v>16.0</v>
      </c>
      <c r="Q426" s="252">
        <v>1882.0</v>
      </c>
      <c r="R426" s="251" t="s">
        <v>1112</v>
      </c>
      <c r="S426" s="251" t="s">
        <v>1100</v>
      </c>
      <c r="T426" s="251" t="s">
        <v>1101</v>
      </c>
      <c r="U426" s="252">
        <v>32.0</v>
      </c>
      <c r="V426" s="252">
        <v>48.0</v>
      </c>
      <c r="W426" s="252">
        <v>6.3</v>
      </c>
      <c r="X426" s="251" t="s">
        <v>1113</v>
      </c>
      <c r="Y426" s="251" t="s">
        <v>3340</v>
      </c>
      <c r="Z426" s="251" t="s">
        <v>3341</v>
      </c>
      <c r="AA426" s="254" t="s">
        <v>1105</v>
      </c>
      <c r="AB426" s="254" t="s">
        <v>1105</v>
      </c>
    </row>
    <row r="427">
      <c r="A427" s="252">
        <v>426.0</v>
      </c>
      <c r="B427" s="251" t="s">
        <v>3342</v>
      </c>
      <c r="C427" s="252">
        <v>1.0</v>
      </c>
      <c r="D427" s="251" t="s">
        <v>3343</v>
      </c>
      <c r="E427" s="251" t="s">
        <v>1695</v>
      </c>
      <c r="F427" s="251" t="s">
        <v>1109</v>
      </c>
      <c r="G427" s="253" t="s">
        <v>3344</v>
      </c>
      <c r="H427" s="252">
        <v>3.0</v>
      </c>
      <c r="I427" s="251" t="s">
        <v>1098</v>
      </c>
      <c r="J427" s="252">
        <v>10.0</v>
      </c>
      <c r="K427" s="252">
        <v>230.0</v>
      </c>
      <c r="L427" s="252">
        <v>100.0</v>
      </c>
      <c r="M427" s="252">
        <v>21109.0</v>
      </c>
      <c r="N427" s="252">
        <v>38207.0</v>
      </c>
      <c r="O427" s="252">
        <v>2.0</v>
      </c>
      <c r="P427" s="252">
        <v>512.0</v>
      </c>
      <c r="Q427" s="252">
        <v>5883.0</v>
      </c>
      <c r="R427" s="251" t="s">
        <v>1112</v>
      </c>
      <c r="S427" s="251" t="s">
        <v>1122</v>
      </c>
      <c r="T427" s="251" t="s">
        <v>1101</v>
      </c>
      <c r="U427" s="252">
        <v>16.0</v>
      </c>
      <c r="V427" s="252">
        <v>32.0</v>
      </c>
      <c r="W427" s="252">
        <v>5.0</v>
      </c>
      <c r="X427" s="251" t="s">
        <v>1102</v>
      </c>
      <c r="Y427" s="251" t="s">
        <v>3345</v>
      </c>
      <c r="Z427" s="251" t="s">
        <v>3346</v>
      </c>
      <c r="AA427" s="254" t="s">
        <v>1105</v>
      </c>
      <c r="AB427" s="254" t="s">
        <v>1105</v>
      </c>
    </row>
    <row r="428">
      <c r="A428" s="252">
        <v>427.0</v>
      </c>
      <c r="B428" s="251" t="s">
        <v>3347</v>
      </c>
      <c r="C428" s="252">
        <v>1.0</v>
      </c>
      <c r="D428" s="251" t="s">
        <v>3348</v>
      </c>
      <c r="E428" s="251" t="s">
        <v>1627</v>
      </c>
      <c r="F428" s="251" t="s">
        <v>1160</v>
      </c>
      <c r="G428" s="253" t="s">
        <v>3349</v>
      </c>
      <c r="H428" s="252">
        <v>5.0</v>
      </c>
      <c r="I428" s="251" t="s">
        <v>1098</v>
      </c>
      <c r="J428" s="252">
        <v>10.0</v>
      </c>
      <c r="K428" s="252">
        <v>374.0</v>
      </c>
      <c r="L428" s="252">
        <v>80.0</v>
      </c>
      <c r="M428" s="252">
        <v>3171.0</v>
      </c>
      <c r="N428" s="252">
        <v>5168.0</v>
      </c>
      <c r="O428" s="252">
        <v>2.0</v>
      </c>
      <c r="P428" s="252">
        <v>512.0</v>
      </c>
      <c r="Q428" s="252">
        <v>2208.0</v>
      </c>
      <c r="R428" s="251" t="s">
        <v>1141</v>
      </c>
      <c r="S428" s="251" t="s">
        <v>1122</v>
      </c>
      <c r="T428" s="251" t="s">
        <v>1101</v>
      </c>
      <c r="U428" s="252">
        <v>16.0</v>
      </c>
      <c r="V428" s="252">
        <v>32.0</v>
      </c>
      <c r="W428" s="252">
        <v>6.3</v>
      </c>
      <c r="X428" s="251" t="s">
        <v>1113</v>
      </c>
      <c r="Y428" s="251" t="s">
        <v>3350</v>
      </c>
      <c r="Z428" s="251" t="s">
        <v>3351</v>
      </c>
      <c r="AA428" s="254" t="s">
        <v>1105</v>
      </c>
      <c r="AB428" s="254" t="s">
        <v>1105</v>
      </c>
    </row>
    <row r="429">
      <c r="A429" s="252">
        <v>428.0</v>
      </c>
      <c r="B429" s="251" t="s">
        <v>3352</v>
      </c>
      <c r="C429" s="252">
        <v>1.0</v>
      </c>
      <c r="D429" s="251" t="s">
        <v>3353</v>
      </c>
      <c r="E429" s="251" t="s">
        <v>1341</v>
      </c>
      <c r="F429" s="251" t="s">
        <v>1215</v>
      </c>
      <c r="G429" s="253" t="s">
        <v>3354</v>
      </c>
      <c r="H429" s="252">
        <v>6.0</v>
      </c>
      <c r="I429" s="251" t="s">
        <v>1140</v>
      </c>
      <c r="J429" s="252">
        <v>10.0</v>
      </c>
      <c r="K429" s="252">
        <v>684.0</v>
      </c>
      <c r="L429" s="252">
        <v>80.0</v>
      </c>
      <c r="M429" s="252">
        <v>3357.0</v>
      </c>
      <c r="N429" s="252">
        <v>4397.0</v>
      </c>
      <c r="O429" s="252">
        <v>4.0</v>
      </c>
      <c r="P429" s="252">
        <v>16.0</v>
      </c>
      <c r="Q429" s="252">
        <v>6018.0</v>
      </c>
      <c r="R429" s="251" t="s">
        <v>1099</v>
      </c>
      <c r="S429" s="251" t="s">
        <v>1122</v>
      </c>
      <c r="T429" s="251" t="s">
        <v>1101</v>
      </c>
      <c r="U429" s="252">
        <v>32.0</v>
      </c>
      <c r="V429" s="252">
        <v>32.0</v>
      </c>
      <c r="W429" s="252">
        <v>6.3</v>
      </c>
      <c r="X429" s="251" t="s">
        <v>1113</v>
      </c>
      <c r="Y429" s="251" t="s">
        <v>3355</v>
      </c>
      <c r="Z429" s="251" t="s">
        <v>3356</v>
      </c>
      <c r="AA429" s="254" t="s">
        <v>1105</v>
      </c>
      <c r="AB429" s="254" t="s">
        <v>1105</v>
      </c>
    </row>
    <row r="430">
      <c r="A430" s="252">
        <v>429.0</v>
      </c>
      <c r="B430" s="251" t="s">
        <v>3357</v>
      </c>
      <c r="C430" s="252">
        <v>1.0</v>
      </c>
      <c r="D430" s="251" t="s">
        <v>3358</v>
      </c>
      <c r="E430" s="251" t="s">
        <v>1936</v>
      </c>
      <c r="F430" s="251" t="s">
        <v>1129</v>
      </c>
      <c r="G430" s="253" t="s">
        <v>3359</v>
      </c>
      <c r="H430" s="252">
        <v>3.0</v>
      </c>
      <c r="I430" s="251" t="s">
        <v>1131</v>
      </c>
      <c r="J430" s="252">
        <v>12.0</v>
      </c>
      <c r="K430" s="252">
        <v>737.0</v>
      </c>
      <c r="L430" s="252">
        <v>120.0</v>
      </c>
      <c r="M430" s="252">
        <v>11922.0</v>
      </c>
      <c r="N430" s="252">
        <v>20028.0</v>
      </c>
      <c r="O430" s="252">
        <v>8.0</v>
      </c>
      <c r="P430" s="252">
        <v>128.0</v>
      </c>
      <c r="Q430" s="252">
        <v>2641.0</v>
      </c>
      <c r="R430" s="251" t="s">
        <v>1141</v>
      </c>
      <c r="S430" s="251" t="s">
        <v>1122</v>
      </c>
      <c r="T430" s="251" t="s">
        <v>1021</v>
      </c>
      <c r="U430" s="252">
        <v>12.0</v>
      </c>
      <c r="V430" s="252">
        <v>32.0</v>
      </c>
      <c r="W430" s="252">
        <v>5.0</v>
      </c>
      <c r="X430" s="251" t="s">
        <v>1113</v>
      </c>
      <c r="Y430" s="251" t="s">
        <v>3360</v>
      </c>
      <c r="Z430" s="251" t="s">
        <v>3361</v>
      </c>
      <c r="AA430" s="254" t="s">
        <v>1105</v>
      </c>
      <c r="AB430" s="254" t="s">
        <v>1105</v>
      </c>
    </row>
    <row r="431">
      <c r="A431" s="252">
        <v>430.0</v>
      </c>
      <c r="B431" s="251" t="s">
        <v>3362</v>
      </c>
      <c r="C431" s="252">
        <v>1.0</v>
      </c>
      <c r="D431" s="251" t="s">
        <v>3363</v>
      </c>
      <c r="E431" s="251" t="s">
        <v>1627</v>
      </c>
      <c r="F431" s="251" t="s">
        <v>1160</v>
      </c>
      <c r="G431" s="253" t="s">
        <v>3364</v>
      </c>
      <c r="H431" s="252">
        <v>4.0</v>
      </c>
      <c r="I431" s="251" t="s">
        <v>1121</v>
      </c>
      <c r="J431" s="252">
        <v>12.0</v>
      </c>
      <c r="K431" s="252">
        <v>893.0</v>
      </c>
      <c r="L431" s="252">
        <v>100.0</v>
      </c>
      <c r="M431" s="252">
        <v>4988.0</v>
      </c>
      <c r="N431" s="252">
        <v>6434.0</v>
      </c>
      <c r="O431" s="252">
        <v>6.0</v>
      </c>
      <c r="P431" s="252">
        <v>16.0</v>
      </c>
      <c r="Q431" s="252">
        <v>5465.0</v>
      </c>
      <c r="R431" s="251" t="s">
        <v>1141</v>
      </c>
      <c r="S431" s="251" t="s">
        <v>1100</v>
      </c>
      <c r="T431" s="251" t="s">
        <v>1123</v>
      </c>
      <c r="U431" s="252">
        <v>14.0</v>
      </c>
      <c r="V431" s="252">
        <v>12.0</v>
      </c>
      <c r="W431" s="252">
        <v>4.7</v>
      </c>
      <c r="X431" s="251" t="s">
        <v>1102</v>
      </c>
      <c r="Y431" s="251" t="s">
        <v>3365</v>
      </c>
      <c r="Z431" s="251" t="s">
        <v>3366</v>
      </c>
      <c r="AA431" s="254" t="s">
        <v>1105</v>
      </c>
      <c r="AB431" s="254" t="s">
        <v>1105</v>
      </c>
    </row>
    <row r="432">
      <c r="A432" s="252">
        <v>431.0</v>
      </c>
      <c r="B432" s="251" t="s">
        <v>3367</v>
      </c>
      <c r="C432" s="252">
        <v>1.0</v>
      </c>
      <c r="D432" s="251" t="s">
        <v>3368</v>
      </c>
      <c r="E432" s="251" t="s">
        <v>1347</v>
      </c>
      <c r="F432" s="251" t="s">
        <v>1129</v>
      </c>
      <c r="G432" s="253" t="s">
        <v>3369</v>
      </c>
      <c r="H432" s="252">
        <v>4.0</v>
      </c>
      <c r="I432" s="251" t="s">
        <v>1131</v>
      </c>
      <c r="J432" s="252">
        <v>12.0</v>
      </c>
      <c r="K432" s="252">
        <v>292.0</v>
      </c>
      <c r="L432" s="252">
        <v>80.0</v>
      </c>
      <c r="M432" s="252">
        <v>21160.0</v>
      </c>
      <c r="N432" s="252">
        <v>36606.0</v>
      </c>
      <c r="O432" s="252">
        <v>6.0</v>
      </c>
      <c r="P432" s="252">
        <v>512.0</v>
      </c>
      <c r="Q432" s="252">
        <v>4570.0</v>
      </c>
      <c r="R432" s="251" t="s">
        <v>1112</v>
      </c>
      <c r="S432" s="251" t="s">
        <v>1122</v>
      </c>
      <c r="T432" s="251" t="s">
        <v>1101</v>
      </c>
      <c r="U432" s="252">
        <v>32.0</v>
      </c>
      <c r="V432" s="252">
        <v>16.0</v>
      </c>
      <c r="W432" s="252">
        <v>4.7</v>
      </c>
      <c r="X432" s="251" t="s">
        <v>1102</v>
      </c>
      <c r="Y432" s="251" t="s">
        <v>3370</v>
      </c>
      <c r="Z432" s="251" t="s">
        <v>3371</v>
      </c>
      <c r="AA432" s="254" t="s">
        <v>1105</v>
      </c>
      <c r="AB432" s="254" t="s">
        <v>1105</v>
      </c>
    </row>
    <row r="433">
      <c r="A433" s="252">
        <v>432.0</v>
      </c>
      <c r="B433" s="251" t="s">
        <v>3372</v>
      </c>
      <c r="C433" s="252">
        <v>1.0</v>
      </c>
      <c r="D433" s="251" t="s">
        <v>3373</v>
      </c>
      <c r="E433" s="251" t="s">
        <v>1375</v>
      </c>
      <c r="F433" s="251" t="s">
        <v>1160</v>
      </c>
      <c r="G433" s="253" t="s">
        <v>3374</v>
      </c>
      <c r="H433" s="252">
        <v>5.0</v>
      </c>
      <c r="I433" s="251" t="s">
        <v>1121</v>
      </c>
      <c r="J433" s="252">
        <v>8.0</v>
      </c>
      <c r="K433" s="252">
        <v>193.0</v>
      </c>
      <c r="L433" s="252">
        <v>100.0</v>
      </c>
      <c r="M433" s="252">
        <v>21505.0</v>
      </c>
      <c r="N433" s="252">
        <v>32042.0</v>
      </c>
      <c r="O433" s="252">
        <v>8.0</v>
      </c>
      <c r="P433" s="252">
        <v>8.0</v>
      </c>
      <c r="Q433" s="252">
        <v>5421.0</v>
      </c>
      <c r="R433" s="251" t="s">
        <v>1099</v>
      </c>
      <c r="S433" s="251" t="s">
        <v>1122</v>
      </c>
      <c r="T433" s="251" t="s">
        <v>1021</v>
      </c>
      <c r="U433" s="252">
        <v>16.0</v>
      </c>
      <c r="V433" s="252">
        <v>14.0</v>
      </c>
      <c r="W433" s="252">
        <v>6.0</v>
      </c>
      <c r="X433" s="251" t="s">
        <v>1132</v>
      </c>
      <c r="Y433" s="251" t="s">
        <v>3375</v>
      </c>
      <c r="Z433" s="251" t="s">
        <v>3376</v>
      </c>
      <c r="AA433" s="254" t="s">
        <v>1105</v>
      </c>
      <c r="AB433" s="254" t="s">
        <v>1105</v>
      </c>
    </row>
    <row r="434">
      <c r="A434" s="252">
        <v>433.0</v>
      </c>
      <c r="B434" s="251" t="s">
        <v>3377</v>
      </c>
      <c r="C434" s="252">
        <v>1.0</v>
      </c>
      <c r="D434" s="251" t="s">
        <v>3378</v>
      </c>
      <c r="E434" s="251" t="s">
        <v>1728</v>
      </c>
      <c r="F434" s="251" t="s">
        <v>1202</v>
      </c>
      <c r="G434" s="253" t="s">
        <v>3379</v>
      </c>
      <c r="H434" s="252">
        <v>6.0</v>
      </c>
      <c r="I434" s="251" t="s">
        <v>1121</v>
      </c>
      <c r="J434" s="252">
        <v>12.0</v>
      </c>
      <c r="K434" s="252">
        <v>948.0</v>
      </c>
      <c r="L434" s="252">
        <v>120.0</v>
      </c>
      <c r="M434" s="252">
        <v>21834.0</v>
      </c>
      <c r="N434" s="252">
        <v>35152.0</v>
      </c>
      <c r="O434" s="252">
        <v>12.0</v>
      </c>
      <c r="P434" s="252">
        <v>32.0</v>
      </c>
      <c r="Q434" s="252">
        <v>4531.0</v>
      </c>
      <c r="R434" s="251" t="s">
        <v>1112</v>
      </c>
      <c r="S434" s="251" t="s">
        <v>1122</v>
      </c>
      <c r="T434" s="251" t="s">
        <v>1101</v>
      </c>
      <c r="U434" s="252">
        <v>16.0</v>
      </c>
      <c r="V434" s="252">
        <v>12.0</v>
      </c>
      <c r="W434" s="252">
        <v>6.0</v>
      </c>
      <c r="X434" s="251" t="s">
        <v>1102</v>
      </c>
      <c r="Y434" s="251" t="s">
        <v>3380</v>
      </c>
      <c r="Z434" s="251" t="s">
        <v>3381</v>
      </c>
      <c r="AA434" s="254" t="s">
        <v>1105</v>
      </c>
      <c r="AB434" s="254" t="s">
        <v>1105</v>
      </c>
    </row>
    <row r="435">
      <c r="A435" s="252">
        <v>434.0</v>
      </c>
      <c r="B435" s="251" t="s">
        <v>3382</v>
      </c>
      <c r="C435" s="252">
        <v>1.0</v>
      </c>
      <c r="D435" s="251" t="s">
        <v>3383</v>
      </c>
      <c r="E435" s="251" t="s">
        <v>1214</v>
      </c>
      <c r="F435" s="251" t="s">
        <v>1215</v>
      </c>
      <c r="G435" s="253" t="s">
        <v>3384</v>
      </c>
      <c r="H435" s="252">
        <v>4.0</v>
      </c>
      <c r="I435" s="251" t="s">
        <v>1131</v>
      </c>
      <c r="J435" s="252">
        <v>10.0</v>
      </c>
      <c r="K435" s="252">
        <v>300.0</v>
      </c>
      <c r="L435" s="252">
        <v>120.0</v>
      </c>
      <c r="M435" s="252">
        <v>16563.0</v>
      </c>
      <c r="N435" s="252">
        <v>24016.0</v>
      </c>
      <c r="O435" s="252">
        <v>2.0</v>
      </c>
      <c r="P435" s="252">
        <v>32.0</v>
      </c>
      <c r="Q435" s="252">
        <v>5420.0</v>
      </c>
      <c r="R435" s="251" t="s">
        <v>1099</v>
      </c>
      <c r="S435" s="251" t="s">
        <v>1100</v>
      </c>
      <c r="T435" s="251" t="s">
        <v>1101</v>
      </c>
      <c r="U435" s="252">
        <v>48.0</v>
      </c>
      <c r="V435" s="252">
        <v>48.0</v>
      </c>
      <c r="W435" s="252">
        <v>5.2</v>
      </c>
      <c r="X435" s="251" t="s">
        <v>1113</v>
      </c>
      <c r="Y435" s="251" t="s">
        <v>3385</v>
      </c>
      <c r="Z435" s="251" t="s">
        <v>3386</v>
      </c>
      <c r="AA435" s="254" t="s">
        <v>1105</v>
      </c>
      <c r="AB435" s="254" t="s">
        <v>1105</v>
      </c>
    </row>
    <row r="436">
      <c r="A436" s="252">
        <v>435.0</v>
      </c>
      <c r="B436" s="251" t="s">
        <v>3387</v>
      </c>
      <c r="C436" s="252">
        <v>1.0</v>
      </c>
      <c r="D436" s="251" t="s">
        <v>3388</v>
      </c>
      <c r="E436" s="251" t="s">
        <v>1534</v>
      </c>
      <c r="F436" s="251" t="s">
        <v>1119</v>
      </c>
      <c r="G436" s="253" t="s">
        <v>3389</v>
      </c>
      <c r="H436" s="252">
        <v>5.0</v>
      </c>
      <c r="I436" s="251" t="s">
        <v>1121</v>
      </c>
      <c r="J436" s="252">
        <v>10.0</v>
      </c>
      <c r="K436" s="252">
        <v>279.0</v>
      </c>
      <c r="L436" s="252">
        <v>120.0</v>
      </c>
      <c r="M436" s="252">
        <v>9109.0</v>
      </c>
      <c r="N436" s="252">
        <v>14118.0</v>
      </c>
      <c r="O436" s="252">
        <v>6.0</v>
      </c>
      <c r="P436" s="252">
        <v>16.0</v>
      </c>
      <c r="Q436" s="252">
        <v>4460.0</v>
      </c>
      <c r="R436" s="251" t="s">
        <v>1099</v>
      </c>
      <c r="S436" s="251" t="s">
        <v>1122</v>
      </c>
      <c r="T436" s="251" t="s">
        <v>1123</v>
      </c>
      <c r="U436" s="252">
        <v>48.0</v>
      </c>
      <c r="V436" s="252">
        <v>12.0</v>
      </c>
      <c r="W436" s="252">
        <v>6.3</v>
      </c>
      <c r="X436" s="251" t="s">
        <v>1147</v>
      </c>
      <c r="Y436" s="251" t="s">
        <v>3390</v>
      </c>
      <c r="Z436" s="251" t="s">
        <v>3391</v>
      </c>
      <c r="AA436" s="254" t="s">
        <v>1105</v>
      </c>
      <c r="AB436" s="254" t="s">
        <v>1105</v>
      </c>
    </row>
    <row r="437">
      <c r="A437" s="252">
        <v>436.0</v>
      </c>
      <c r="B437" s="251" t="s">
        <v>3392</v>
      </c>
      <c r="C437" s="252">
        <v>1.0</v>
      </c>
      <c r="D437" s="251" t="s">
        <v>3393</v>
      </c>
      <c r="E437" s="251" t="s">
        <v>1964</v>
      </c>
      <c r="F437" s="251" t="s">
        <v>1129</v>
      </c>
      <c r="G437" s="253" t="s">
        <v>3394</v>
      </c>
      <c r="H437" s="252">
        <v>4.0</v>
      </c>
      <c r="I437" s="251" t="s">
        <v>1140</v>
      </c>
      <c r="J437" s="252">
        <v>10.0</v>
      </c>
      <c r="K437" s="252">
        <v>147.0</v>
      </c>
      <c r="L437" s="252">
        <v>80.0</v>
      </c>
      <c r="M437" s="252">
        <v>16674.0</v>
      </c>
      <c r="N437" s="252">
        <v>26678.0</v>
      </c>
      <c r="O437" s="252">
        <v>6.0</v>
      </c>
      <c r="P437" s="252">
        <v>128.0</v>
      </c>
      <c r="Q437" s="252">
        <v>3668.0</v>
      </c>
      <c r="R437" s="251" t="s">
        <v>1112</v>
      </c>
      <c r="S437" s="251" t="s">
        <v>1100</v>
      </c>
      <c r="T437" s="251" t="s">
        <v>1101</v>
      </c>
      <c r="U437" s="252">
        <v>16.0</v>
      </c>
      <c r="V437" s="252">
        <v>32.0</v>
      </c>
      <c r="W437" s="252">
        <v>5.2</v>
      </c>
      <c r="X437" s="251" t="s">
        <v>1113</v>
      </c>
      <c r="Y437" s="251" t="s">
        <v>3395</v>
      </c>
      <c r="Z437" s="251" t="s">
        <v>3396</v>
      </c>
      <c r="AA437" s="254" t="s">
        <v>1105</v>
      </c>
      <c r="AB437" s="254" t="s">
        <v>1105</v>
      </c>
    </row>
    <row r="438">
      <c r="A438" s="252">
        <v>437.0</v>
      </c>
      <c r="B438" s="251" t="s">
        <v>3397</v>
      </c>
      <c r="C438" s="252">
        <v>1.0</v>
      </c>
      <c r="D438" s="251" t="s">
        <v>3398</v>
      </c>
      <c r="E438" s="251" t="s">
        <v>1440</v>
      </c>
      <c r="F438" s="251" t="s">
        <v>1233</v>
      </c>
      <c r="G438" s="253" t="s">
        <v>3399</v>
      </c>
      <c r="H438" s="252">
        <v>2.0</v>
      </c>
      <c r="I438" s="251" t="s">
        <v>1131</v>
      </c>
      <c r="J438" s="252">
        <v>12.0</v>
      </c>
      <c r="K438" s="252">
        <v>785.0</v>
      </c>
      <c r="L438" s="252">
        <v>100.0</v>
      </c>
      <c r="M438" s="252">
        <v>8294.0</v>
      </c>
      <c r="N438" s="252">
        <v>13021.0</v>
      </c>
      <c r="O438" s="252">
        <v>4.0</v>
      </c>
      <c r="P438" s="252">
        <v>16.0</v>
      </c>
      <c r="Q438" s="252">
        <v>5773.0</v>
      </c>
      <c r="R438" s="251" t="s">
        <v>1112</v>
      </c>
      <c r="S438" s="251" t="s">
        <v>1122</v>
      </c>
      <c r="T438" s="251" t="s">
        <v>1101</v>
      </c>
      <c r="U438" s="252">
        <v>14.0</v>
      </c>
      <c r="V438" s="252">
        <v>16.0</v>
      </c>
      <c r="W438" s="252">
        <v>5.2</v>
      </c>
      <c r="X438" s="251" t="s">
        <v>1147</v>
      </c>
      <c r="Y438" s="251" t="s">
        <v>3400</v>
      </c>
      <c r="Z438" s="251" t="s">
        <v>3401</v>
      </c>
      <c r="AA438" s="254" t="s">
        <v>1105</v>
      </c>
      <c r="AB438" s="254" t="s">
        <v>1105</v>
      </c>
    </row>
    <row r="439">
      <c r="A439" s="252">
        <v>438.0</v>
      </c>
      <c r="B439" s="251" t="s">
        <v>3402</v>
      </c>
      <c r="C439" s="252">
        <v>1.0</v>
      </c>
      <c r="D439" s="251" t="s">
        <v>3403</v>
      </c>
      <c r="E439" s="251" t="s">
        <v>1534</v>
      </c>
      <c r="F439" s="251" t="s">
        <v>1119</v>
      </c>
      <c r="G439" s="253" t="s">
        <v>3404</v>
      </c>
      <c r="H439" s="252">
        <v>2.0</v>
      </c>
      <c r="I439" s="251" t="s">
        <v>1121</v>
      </c>
      <c r="J439" s="252">
        <v>10.0</v>
      </c>
      <c r="K439" s="252">
        <v>475.0</v>
      </c>
      <c r="L439" s="252">
        <v>80.0</v>
      </c>
      <c r="M439" s="252">
        <v>7224.0</v>
      </c>
      <c r="N439" s="252">
        <v>10836.0</v>
      </c>
      <c r="O439" s="252">
        <v>2.0</v>
      </c>
      <c r="P439" s="252">
        <v>32.0</v>
      </c>
      <c r="Q439" s="252">
        <v>2615.0</v>
      </c>
      <c r="R439" s="251" t="s">
        <v>1112</v>
      </c>
      <c r="S439" s="251" t="s">
        <v>1122</v>
      </c>
      <c r="T439" s="251" t="s">
        <v>1123</v>
      </c>
      <c r="U439" s="252">
        <v>48.0</v>
      </c>
      <c r="V439" s="252">
        <v>48.0</v>
      </c>
      <c r="W439" s="252">
        <v>4.7</v>
      </c>
      <c r="X439" s="251" t="s">
        <v>1147</v>
      </c>
      <c r="Y439" s="251" t="s">
        <v>3405</v>
      </c>
      <c r="Z439" s="251" t="s">
        <v>3406</v>
      </c>
      <c r="AA439" s="254" t="s">
        <v>1105</v>
      </c>
      <c r="AB439" s="254" t="s">
        <v>1105</v>
      </c>
    </row>
    <row r="440">
      <c r="A440" s="252">
        <v>439.0</v>
      </c>
      <c r="B440" s="251" t="s">
        <v>3407</v>
      </c>
      <c r="C440" s="252">
        <v>1.0</v>
      </c>
      <c r="D440" s="251" t="s">
        <v>3408</v>
      </c>
      <c r="E440" s="251" t="s">
        <v>1470</v>
      </c>
      <c r="F440" s="251" t="s">
        <v>1215</v>
      </c>
      <c r="G440" s="253" t="s">
        <v>3409</v>
      </c>
      <c r="H440" s="252">
        <v>5.0</v>
      </c>
      <c r="I440" s="251" t="s">
        <v>1098</v>
      </c>
      <c r="J440" s="252">
        <v>10.0</v>
      </c>
      <c r="K440" s="252">
        <v>488.0</v>
      </c>
      <c r="L440" s="252">
        <v>100.0</v>
      </c>
      <c r="M440" s="252">
        <v>7043.0</v>
      </c>
      <c r="N440" s="252">
        <v>10775.0</v>
      </c>
      <c r="O440" s="252">
        <v>6.0</v>
      </c>
      <c r="P440" s="252">
        <v>16.0</v>
      </c>
      <c r="Q440" s="252">
        <v>6395.0</v>
      </c>
      <c r="R440" s="251" t="s">
        <v>1099</v>
      </c>
      <c r="S440" s="251" t="s">
        <v>1100</v>
      </c>
      <c r="T440" s="251" t="s">
        <v>1123</v>
      </c>
      <c r="U440" s="252">
        <v>14.0</v>
      </c>
      <c r="V440" s="252">
        <v>14.0</v>
      </c>
      <c r="W440" s="252">
        <v>5.5</v>
      </c>
      <c r="X440" s="251" t="s">
        <v>1132</v>
      </c>
      <c r="Y440" s="251" t="s">
        <v>3410</v>
      </c>
      <c r="Z440" s="251" t="s">
        <v>3411</v>
      </c>
      <c r="AA440" s="254" t="s">
        <v>1105</v>
      </c>
      <c r="AB440" s="254" t="s">
        <v>1105</v>
      </c>
    </row>
    <row r="441">
      <c r="A441" s="252">
        <v>440.0</v>
      </c>
      <c r="B441" s="251" t="s">
        <v>3412</v>
      </c>
      <c r="C441" s="252">
        <v>1.0</v>
      </c>
      <c r="D441" s="251" t="s">
        <v>3413</v>
      </c>
      <c r="E441" s="251" t="s">
        <v>1712</v>
      </c>
      <c r="F441" s="251" t="s">
        <v>1109</v>
      </c>
      <c r="G441" s="253" t="s">
        <v>3414</v>
      </c>
      <c r="H441" s="252">
        <v>2.0</v>
      </c>
      <c r="I441" s="251" t="s">
        <v>1140</v>
      </c>
      <c r="J441" s="252">
        <v>12.0</v>
      </c>
      <c r="K441" s="252">
        <v>661.0</v>
      </c>
      <c r="L441" s="252">
        <v>120.0</v>
      </c>
      <c r="M441" s="252">
        <v>6130.0</v>
      </c>
      <c r="N441" s="252">
        <v>10543.0</v>
      </c>
      <c r="O441" s="252">
        <v>8.0</v>
      </c>
      <c r="P441" s="252">
        <v>16.0</v>
      </c>
      <c r="Q441" s="252">
        <v>2447.0</v>
      </c>
      <c r="R441" s="251" t="s">
        <v>1141</v>
      </c>
      <c r="S441" s="251" t="s">
        <v>1100</v>
      </c>
      <c r="T441" s="251" t="s">
        <v>1101</v>
      </c>
      <c r="U441" s="252">
        <v>32.0</v>
      </c>
      <c r="V441" s="252">
        <v>32.0</v>
      </c>
      <c r="W441" s="252">
        <v>5.5</v>
      </c>
      <c r="X441" s="251" t="s">
        <v>1102</v>
      </c>
      <c r="Y441" s="251" t="s">
        <v>3415</v>
      </c>
      <c r="Z441" s="251" t="s">
        <v>3416</v>
      </c>
      <c r="AA441" s="254" t="s">
        <v>1105</v>
      </c>
      <c r="AB441" s="254" t="s">
        <v>1105</v>
      </c>
    </row>
    <row r="442">
      <c r="A442" s="252">
        <v>441.0</v>
      </c>
      <c r="B442" s="251" t="s">
        <v>3417</v>
      </c>
      <c r="C442" s="252">
        <v>1.0</v>
      </c>
      <c r="D442" s="251" t="s">
        <v>3418</v>
      </c>
      <c r="E442" s="251" t="s">
        <v>1650</v>
      </c>
      <c r="F442" s="251" t="s">
        <v>1160</v>
      </c>
      <c r="G442" s="253" t="s">
        <v>3419</v>
      </c>
      <c r="H442" s="252">
        <v>4.0</v>
      </c>
      <c r="I442" s="251" t="s">
        <v>1121</v>
      </c>
      <c r="J442" s="252">
        <v>10.0</v>
      </c>
      <c r="K442" s="252">
        <v>989.0</v>
      </c>
      <c r="L442" s="252">
        <v>120.0</v>
      </c>
      <c r="M442" s="252">
        <v>17318.0</v>
      </c>
      <c r="N442" s="252">
        <v>31345.0</v>
      </c>
      <c r="O442" s="252">
        <v>4.0</v>
      </c>
      <c r="P442" s="252">
        <v>512.0</v>
      </c>
      <c r="Q442" s="252">
        <v>6318.0</v>
      </c>
      <c r="R442" s="251" t="s">
        <v>1141</v>
      </c>
      <c r="S442" s="251" t="s">
        <v>1100</v>
      </c>
      <c r="T442" s="251" t="s">
        <v>1021</v>
      </c>
      <c r="U442" s="252">
        <v>12.0</v>
      </c>
      <c r="V442" s="252">
        <v>14.0</v>
      </c>
      <c r="W442" s="252">
        <v>6.0</v>
      </c>
      <c r="X442" s="251" t="s">
        <v>1147</v>
      </c>
      <c r="Y442" s="251" t="s">
        <v>3420</v>
      </c>
      <c r="Z442" s="251" t="s">
        <v>3421</v>
      </c>
      <c r="AA442" s="254" t="s">
        <v>1105</v>
      </c>
      <c r="AB442" s="254" t="s">
        <v>1105</v>
      </c>
    </row>
    <row r="443">
      <c r="A443" s="252">
        <v>442.0</v>
      </c>
      <c r="B443" s="251" t="s">
        <v>3422</v>
      </c>
      <c r="C443" s="252">
        <v>1.0</v>
      </c>
      <c r="D443" s="251" t="s">
        <v>3423</v>
      </c>
      <c r="E443" s="251" t="s">
        <v>1598</v>
      </c>
      <c r="F443" s="251" t="s">
        <v>1153</v>
      </c>
      <c r="G443" s="253" t="s">
        <v>3424</v>
      </c>
      <c r="H443" s="252">
        <v>5.0</v>
      </c>
      <c r="I443" s="251" t="s">
        <v>1098</v>
      </c>
      <c r="J443" s="252">
        <v>10.0</v>
      </c>
      <c r="K443" s="252">
        <v>170.0</v>
      </c>
      <c r="L443" s="252">
        <v>80.0</v>
      </c>
      <c r="M443" s="252">
        <v>21249.0</v>
      </c>
      <c r="N443" s="252">
        <v>31661.0</v>
      </c>
      <c r="O443" s="252">
        <v>4.0</v>
      </c>
      <c r="P443" s="252">
        <v>16.0</v>
      </c>
      <c r="Q443" s="252">
        <v>4126.0</v>
      </c>
      <c r="R443" s="251" t="s">
        <v>1099</v>
      </c>
      <c r="S443" s="251" t="s">
        <v>1122</v>
      </c>
      <c r="T443" s="251" t="s">
        <v>1123</v>
      </c>
      <c r="U443" s="252">
        <v>12.0</v>
      </c>
      <c r="V443" s="252">
        <v>14.0</v>
      </c>
      <c r="W443" s="252">
        <v>5.2</v>
      </c>
      <c r="X443" s="251" t="s">
        <v>1132</v>
      </c>
      <c r="Y443" s="251" t="s">
        <v>3425</v>
      </c>
      <c r="Z443" s="251" t="s">
        <v>3426</v>
      </c>
      <c r="AA443" s="254" t="s">
        <v>1105</v>
      </c>
      <c r="AB443" s="254" t="s">
        <v>1105</v>
      </c>
    </row>
    <row r="444">
      <c r="A444" s="252">
        <v>443.0</v>
      </c>
      <c r="B444" s="251" t="s">
        <v>3427</v>
      </c>
      <c r="C444" s="252">
        <v>1.0</v>
      </c>
      <c r="D444" s="251" t="s">
        <v>3428</v>
      </c>
      <c r="E444" s="251" t="s">
        <v>1300</v>
      </c>
      <c r="F444" s="251" t="s">
        <v>1233</v>
      </c>
      <c r="G444" s="253" t="s">
        <v>3429</v>
      </c>
      <c r="H444" s="252">
        <v>5.0</v>
      </c>
      <c r="I444" s="251" t="s">
        <v>1121</v>
      </c>
      <c r="J444" s="252">
        <v>8.0</v>
      </c>
      <c r="K444" s="252">
        <v>835.0</v>
      </c>
      <c r="L444" s="252">
        <v>120.0</v>
      </c>
      <c r="M444" s="252">
        <v>9590.0</v>
      </c>
      <c r="N444" s="252">
        <v>16015.0</v>
      </c>
      <c r="O444" s="252">
        <v>4.0</v>
      </c>
      <c r="P444" s="252">
        <v>8.0</v>
      </c>
      <c r="Q444" s="252">
        <v>1841.0</v>
      </c>
      <c r="R444" s="251" t="s">
        <v>1141</v>
      </c>
      <c r="S444" s="251" t="s">
        <v>1122</v>
      </c>
      <c r="T444" s="251" t="s">
        <v>1021</v>
      </c>
      <c r="U444" s="252">
        <v>16.0</v>
      </c>
      <c r="V444" s="252">
        <v>12.0</v>
      </c>
      <c r="W444" s="252">
        <v>6.3</v>
      </c>
      <c r="X444" s="251" t="s">
        <v>1147</v>
      </c>
      <c r="Y444" s="251" t="s">
        <v>3430</v>
      </c>
      <c r="Z444" s="251" t="s">
        <v>3431</v>
      </c>
      <c r="AA444" s="254" t="s">
        <v>1105</v>
      </c>
      <c r="AB444" s="254" t="s">
        <v>1105</v>
      </c>
    </row>
    <row r="445">
      <c r="A445" s="252">
        <v>444.0</v>
      </c>
      <c r="B445" s="251" t="s">
        <v>3432</v>
      </c>
      <c r="C445" s="252">
        <v>1.0</v>
      </c>
      <c r="D445" s="251" t="s">
        <v>3433</v>
      </c>
      <c r="E445" s="251" t="s">
        <v>1446</v>
      </c>
      <c r="F445" s="251" t="s">
        <v>1160</v>
      </c>
      <c r="G445" s="253" t="s">
        <v>3434</v>
      </c>
      <c r="H445" s="252">
        <v>6.0</v>
      </c>
      <c r="I445" s="251" t="s">
        <v>1111</v>
      </c>
      <c r="J445" s="252">
        <v>10.0</v>
      </c>
      <c r="K445" s="252">
        <v>411.0</v>
      </c>
      <c r="L445" s="252">
        <v>100.0</v>
      </c>
      <c r="M445" s="252">
        <v>19236.0</v>
      </c>
      <c r="N445" s="252">
        <v>30200.0</v>
      </c>
      <c r="O445" s="252">
        <v>4.0</v>
      </c>
      <c r="P445" s="252">
        <v>128.0</v>
      </c>
      <c r="Q445" s="252">
        <v>4398.0</v>
      </c>
      <c r="R445" s="251" t="s">
        <v>1141</v>
      </c>
      <c r="S445" s="251" t="s">
        <v>1122</v>
      </c>
      <c r="T445" s="251" t="s">
        <v>1021</v>
      </c>
      <c r="U445" s="252">
        <v>48.0</v>
      </c>
      <c r="V445" s="252">
        <v>16.0</v>
      </c>
      <c r="W445" s="252">
        <v>5.5</v>
      </c>
      <c r="X445" s="251" t="s">
        <v>1147</v>
      </c>
      <c r="Y445" s="251" t="s">
        <v>3435</v>
      </c>
      <c r="Z445" s="251" t="s">
        <v>3436</v>
      </c>
      <c r="AA445" s="254" t="s">
        <v>1105</v>
      </c>
      <c r="AB445" s="254" t="s">
        <v>1105</v>
      </c>
    </row>
    <row r="446">
      <c r="A446" s="252">
        <v>445.0</v>
      </c>
      <c r="B446" s="251" t="s">
        <v>3437</v>
      </c>
      <c r="C446" s="252">
        <v>1.0</v>
      </c>
      <c r="D446" s="251" t="s">
        <v>3438</v>
      </c>
      <c r="E446" s="251" t="s">
        <v>1381</v>
      </c>
      <c r="F446" s="251" t="s">
        <v>1119</v>
      </c>
      <c r="G446" s="253" t="s">
        <v>3439</v>
      </c>
      <c r="H446" s="252">
        <v>3.0</v>
      </c>
      <c r="I446" s="251" t="s">
        <v>1111</v>
      </c>
      <c r="J446" s="252">
        <v>10.0</v>
      </c>
      <c r="K446" s="252">
        <v>484.0</v>
      </c>
      <c r="L446" s="252">
        <v>80.0</v>
      </c>
      <c r="M446" s="252">
        <v>12623.0</v>
      </c>
      <c r="N446" s="252">
        <v>17924.0</v>
      </c>
      <c r="O446" s="252">
        <v>2.0</v>
      </c>
      <c r="P446" s="252">
        <v>64.0</v>
      </c>
      <c r="Q446" s="252">
        <v>4351.0</v>
      </c>
      <c r="R446" s="251" t="s">
        <v>1099</v>
      </c>
      <c r="S446" s="251" t="s">
        <v>1122</v>
      </c>
      <c r="T446" s="251" t="s">
        <v>1123</v>
      </c>
      <c r="U446" s="252">
        <v>14.0</v>
      </c>
      <c r="V446" s="252">
        <v>32.0</v>
      </c>
      <c r="W446" s="252">
        <v>6.0</v>
      </c>
      <c r="X446" s="251" t="s">
        <v>1132</v>
      </c>
      <c r="Y446" s="251" t="s">
        <v>3440</v>
      </c>
      <c r="Z446" s="251" t="s">
        <v>3441</v>
      </c>
      <c r="AA446" s="254" t="s">
        <v>1105</v>
      </c>
      <c r="AB446" s="254" t="s">
        <v>1105</v>
      </c>
    </row>
    <row r="447">
      <c r="A447" s="252">
        <v>446.0</v>
      </c>
      <c r="B447" s="251" t="s">
        <v>3442</v>
      </c>
      <c r="C447" s="252">
        <v>1.0</v>
      </c>
      <c r="D447" s="251" t="s">
        <v>3443</v>
      </c>
      <c r="E447" s="251" t="s">
        <v>1201</v>
      </c>
      <c r="F447" s="251" t="s">
        <v>1202</v>
      </c>
      <c r="G447" s="253" t="s">
        <v>3444</v>
      </c>
      <c r="H447" s="252">
        <v>5.0</v>
      </c>
      <c r="I447" s="251" t="s">
        <v>1131</v>
      </c>
      <c r="J447" s="252">
        <v>8.0</v>
      </c>
      <c r="K447" s="252">
        <v>875.0</v>
      </c>
      <c r="L447" s="252">
        <v>120.0</v>
      </c>
      <c r="M447" s="252">
        <v>11498.0</v>
      </c>
      <c r="N447" s="252">
        <v>14717.0</v>
      </c>
      <c r="O447" s="252">
        <v>6.0</v>
      </c>
      <c r="P447" s="252">
        <v>64.0</v>
      </c>
      <c r="Q447" s="252">
        <v>4940.0</v>
      </c>
      <c r="R447" s="251" t="s">
        <v>1099</v>
      </c>
      <c r="S447" s="251" t="s">
        <v>1100</v>
      </c>
      <c r="T447" s="251" t="s">
        <v>1021</v>
      </c>
      <c r="U447" s="252">
        <v>32.0</v>
      </c>
      <c r="V447" s="252">
        <v>14.0</v>
      </c>
      <c r="W447" s="252">
        <v>5.5</v>
      </c>
      <c r="X447" s="251" t="s">
        <v>1147</v>
      </c>
      <c r="Y447" s="251" t="s">
        <v>3445</v>
      </c>
      <c r="Z447" s="251" t="s">
        <v>3446</v>
      </c>
      <c r="AA447" s="254" t="s">
        <v>1105</v>
      </c>
      <c r="AB447" s="254" t="s">
        <v>1105</v>
      </c>
    </row>
    <row r="448">
      <c r="A448" s="252">
        <v>447.0</v>
      </c>
      <c r="B448" s="251" t="s">
        <v>3447</v>
      </c>
      <c r="C448" s="252">
        <v>1.0</v>
      </c>
      <c r="D448" s="251" t="s">
        <v>3448</v>
      </c>
      <c r="E448" s="251" t="s">
        <v>2125</v>
      </c>
      <c r="F448" s="251" t="s">
        <v>1202</v>
      </c>
      <c r="G448" s="253" t="s">
        <v>3449</v>
      </c>
      <c r="H448" s="252">
        <v>5.0</v>
      </c>
      <c r="I448" s="251" t="s">
        <v>1098</v>
      </c>
      <c r="J448" s="252">
        <v>8.0</v>
      </c>
      <c r="K448" s="252">
        <v>989.0</v>
      </c>
      <c r="L448" s="252">
        <v>120.0</v>
      </c>
      <c r="M448" s="252">
        <v>13353.0</v>
      </c>
      <c r="N448" s="252">
        <v>22833.0</v>
      </c>
      <c r="O448" s="252">
        <v>12.0</v>
      </c>
      <c r="P448" s="252">
        <v>512.0</v>
      </c>
      <c r="Q448" s="252">
        <v>4897.0</v>
      </c>
      <c r="R448" s="251" t="s">
        <v>1112</v>
      </c>
      <c r="S448" s="251" t="s">
        <v>1122</v>
      </c>
      <c r="T448" s="251" t="s">
        <v>1101</v>
      </c>
      <c r="U448" s="252">
        <v>48.0</v>
      </c>
      <c r="V448" s="252">
        <v>16.0</v>
      </c>
      <c r="W448" s="252">
        <v>5.2</v>
      </c>
      <c r="X448" s="251" t="s">
        <v>1113</v>
      </c>
      <c r="Y448" s="251" t="s">
        <v>3450</v>
      </c>
      <c r="Z448" s="251" t="s">
        <v>3451</v>
      </c>
      <c r="AA448" s="254" t="s">
        <v>1105</v>
      </c>
      <c r="AB448" s="254" t="s">
        <v>1105</v>
      </c>
    </row>
    <row r="449">
      <c r="A449" s="252">
        <v>448.0</v>
      </c>
      <c r="B449" s="251" t="s">
        <v>3452</v>
      </c>
      <c r="C449" s="252">
        <v>1.0</v>
      </c>
      <c r="D449" s="251" t="s">
        <v>3453</v>
      </c>
      <c r="E449" s="251" t="s">
        <v>1627</v>
      </c>
      <c r="F449" s="251" t="s">
        <v>1160</v>
      </c>
      <c r="G449" s="253" t="s">
        <v>3454</v>
      </c>
      <c r="H449" s="252">
        <v>5.0</v>
      </c>
      <c r="I449" s="251" t="s">
        <v>1098</v>
      </c>
      <c r="J449" s="252">
        <v>8.0</v>
      </c>
      <c r="K449" s="252">
        <v>495.0</v>
      </c>
      <c r="L449" s="252">
        <v>80.0</v>
      </c>
      <c r="M449" s="252">
        <v>9613.0</v>
      </c>
      <c r="N449" s="252">
        <v>11535.0</v>
      </c>
      <c r="O449" s="252">
        <v>2.0</v>
      </c>
      <c r="P449" s="252">
        <v>512.0</v>
      </c>
      <c r="Q449" s="252">
        <v>3080.0</v>
      </c>
      <c r="R449" s="251" t="s">
        <v>1141</v>
      </c>
      <c r="S449" s="251" t="s">
        <v>1122</v>
      </c>
      <c r="T449" s="251" t="s">
        <v>1101</v>
      </c>
      <c r="U449" s="252">
        <v>48.0</v>
      </c>
      <c r="V449" s="252">
        <v>16.0</v>
      </c>
      <c r="W449" s="252">
        <v>4.7</v>
      </c>
      <c r="X449" s="251" t="s">
        <v>1147</v>
      </c>
      <c r="Y449" s="251" t="s">
        <v>3455</v>
      </c>
      <c r="Z449" s="251" t="s">
        <v>3456</v>
      </c>
      <c r="AA449" s="254" t="s">
        <v>1105</v>
      </c>
      <c r="AB449" s="254" t="s">
        <v>1105</v>
      </c>
    </row>
    <row r="450">
      <c r="A450" s="252">
        <v>449.0</v>
      </c>
      <c r="B450" s="251" t="s">
        <v>3457</v>
      </c>
      <c r="C450" s="252">
        <v>1.0</v>
      </c>
      <c r="D450" s="251" t="s">
        <v>3458</v>
      </c>
      <c r="E450" s="251" t="s">
        <v>1195</v>
      </c>
      <c r="F450" s="251" t="s">
        <v>1109</v>
      </c>
      <c r="G450" s="253" t="s">
        <v>3459</v>
      </c>
      <c r="H450" s="252">
        <v>3.0</v>
      </c>
      <c r="I450" s="251" t="s">
        <v>1140</v>
      </c>
      <c r="J450" s="252">
        <v>12.0</v>
      </c>
      <c r="K450" s="252">
        <v>924.0</v>
      </c>
      <c r="L450" s="252">
        <v>120.0</v>
      </c>
      <c r="M450" s="252">
        <v>21289.0</v>
      </c>
      <c r="N450" s="252">
        <v>36404.0</v>
      </c>
      <c r="O450" s="252">
        <v>8.0</v>
      </c>
      <c r="P450" s="252">
        <v>64.0</v>
      </c>
      <c r="Q450" s="252">
        <v>4406.0</v>
      </c>
      <c r="R450" s="251" t="s">
        <v>1141</v>
      </c>
      <c r="S450" s="251" t="s">
        <v>1100</v>
      </c>
      <c r="T450" s="251" t="s">
        <v>1123</v>
      </c>
      <c r="U450" s="252">
        <v>14.0</v>
      </c>
      <c r="V450" s="252">
        <v>48.0</v>
      </c>
      <c r="W450" s="252">
        <v>6.0</v>
      </c>
      <c r="X450" s="251" t="s">
        <v>1102</v>
      </c>
      <c r="Y450" s="251" t="s">
        <v>3460</v>
      </c>
      <c r="Z450" s="251" t="s">
        <v>3461</v>
      </c>
      <c r="AA450" s="254" t="s">
        <v>1105</v>
      </c>
      <c r="AB450" s="254" t="s">
        <v>1105</v>
      </c>
    </row>
    <row r="451">
      <c r="A451" s="252">
        <v>450.0</v>
      </c>
      <c r="B451" s="251" t="s">
        <v>3462</v>
      </c>
      <c r="C451" s="252">
        <v>1.0</v>
      </c>
      <c r="D451" s="251" t="s">
        <v>3463</v>
      </c>
      <c r="E451" s="251" t="s">
        <v>1272</v>
      </c>
      <c r="F451" s="251" t="s">
        <v>1233</v>
      </c>
      <c r="G451" s="253" t="s">
        <v>3464</v>
      </c>
      <c r="H451" s="252">
        <v>4.0</v>
      </c>
      <c r="I451" s="251" t="s">
        <v>1098</v>
      </c>
      <c r="J451" s="252">
        <v>10.0</v>
      </c>
      <c r="K451" s="252">
        <v>351.0</v>
      </c>
      <c r="L451" s="252">
        <v>120.0</v>
      </c>
      <c r="M451" s="252">
        <v>11269.0</v>
      </c>
      <c r="N451" s="252">
        <v>15889.0</v>
      </c>
      <c r="O451" s="252">
        <v>6.0</v>
      </c>
      <c r="P451" s="252">
        <v>64.0</v>
      </c>
      <c r="Q451" s="252">
        <v>6098.0</v>
      </c>
      <c r="R451" s="251" t="s">
        <v>1099</v>
      </c>
      <c r="S451" s="251" t="s">
        <v>1100</v>
      </c>
      <c r="T451" s="251" t="s">
        <v>1021</v>
      </c>
      <c r="U451" s="252">
        <v>12.0</v>
      </c>
      <c r="V451" s="252">
        <v>16.0</v>
      </c>
      <c r="W451" s="252">
        <v>5.5</v>
      </c>
      <c r="X451" s="251" t="s">
        <v>1113</v>
      </c>
      <c r="Y451" s="251" t="s">
        <v>3465</v>
      </c>
      <c r="Z451" s="251" t="s">
        <v>3466</v>
      </c>
      <c r="AA451" s="254" t="s">
        <v>1105</v>
      </c>
      <c r="AB451" s="254" t="s">
        <v>1105</v>
      </c>
    </row>
    <row r="452">
      <c r="A452" s="252">
        <v>451.0</v>
      </c>
      <c r="B452" s="251" t="s">
        <v>3467</v>
      </c>
      <c r="C452" s="252">
        <v>1.0</v>
      </c>
      <c r="D452" s="251" t="s">
        <v>3468</v>
      </c>
      <c r="E452" s="251" t="s">
        <v>1502</v>
      </c>
      <c r="F452" s="251" t="s">
        <v>1153</v>
      </c>
      <c r="G452" s="253" t="s">
        <v>3469</v>
      </c>
      <c r="H452" s="252">
        <v>2.0</v>
      </c>
      <c r="I452" s="251" t="s">
        <v>1111</v>
      </c>
      <c r="J452" s="252">
        <v>12.0</v>
      </c>
      <c r="K452" s="252">
        <v>579.0</v>
      </c>
      <c r="L452" s="252">
        <v>120.0</v>
      </c>
      <c r="M452" s="252">
        <v>20492.0</v>
      </c>
      <c r="N452" s="252">
        <v>34426.0</v>
      </c>
      <c r="O452" s="252">
        <v>12.0</v>
      </c>
      <c r="P452" s="252">
        <v>128.0</v>
      </c>
      <c r="Q452" s="252">
        <v>4503.0</v>
      </c>
      <c r="R452" s="251" t="s">
        <v>1112</v>
      </c>
      <c r="S452" s="251" t="s">
        <v>1122</v>
      </c>
      <c r="T452" s="251" t="s">
        <v>1123</v>
      </c>
      <c r="U452" s="252">
        <v>32.0</v>
      </c>
      <c r="V452" s="252">
        <v>12.0</v>
      </c>
      <c r="W452" s="252">
        <v>6.0</v>
      </c>
      <c r="X452" s="251" t="s">
        <v>1102</v>
      </c>
      <c r="Y452" s="251" t="s">
        <v>3470</v>
      </c>
      <c r="Z452" s="251" t="s">
        <v>3471</v>
      </c>
      <c r="AA452" s="254" t="s">
        <v>1105</v>
      </c>
      <c r="AB452" s="254" t="s">
        <v>1105</v>
      </c>
    </row>
    <row r="453">
      <c r="A453" s="252">
        <v>452.0</v>
      </c>
      <c r="B453" s="251" t="s">
        <v>3472</v>
      </c>
      <c r="C453" s="252">
        <v>1.0</v>
      </c>
      <c r="D453" s="251" t="s">
        <v>3473</v>
      </c>
      <c r="E453" s="251" t="s">
        <v>1650</v>
      </c>
      <c r="F453" s="251" t="s">
        <v>1160</v>
      </c>
      <c r="G453" s="253" t="s">
        <v>3474</v>
      </c>
      <c r="H453" s="252">
        <v>3.0</v>
      </c>
      <c r="I453" s="251" t="s">
        <v>1140</v>
      </c>
      <c r="J453" s="252">
        <v>12.0</v>
      </c>
      <c r="K453" s="252">
        <v>243.0</v>
      </c>
      <c r="L453" s="252">
        <v>120.0</v>
      </c>
      <c r="M453" s="252">
        <v>4473.0</v>
      </c>
      <c r="N453" s="252">
        <v>5501.0</v>
      </c>
      <c r="O453" s="252">
        <v>8.0</v>
      </c>
      <c r="P453" s="252">
        <v>64.0</v>
      </c>
      <c r="Q453" s="252">
        <v>5096.0</v>
      </c>
      <c r="R453" s="251" t="s">
        <v>1141</v>
      </c>
      <c r="S453" s="251" t="s">
        <v>1122</v>
      </c>
      <c r="T453" s="251" t="s">
        <v>1123</v>
      </c>
      <c r="U453" s="252">
        <v>12.0</v>
      </c>
      <c r="V453" s="252">
        <v>32.0</v>
      </c>
      <c r="W453" s="252">
        <v>5.0</v>
      </c>
      <c r="X453" s="251" t="s">
        <v>1102</v>
      </c>
      <c r="Y453" s="251" t="s">
        <v>3475</v>
      </c>
      <c r="Z453" s="251" t="s">
        <v>3476</v>
      </c>
      <c r="AA453" s="254" t="s">
        <v>1105</v>
      </c>
      <c r="AB453" s="254" t="s">
        <v>1105</v>
      </c>
    </row>
    <row r="454">
      <c r="A454" s="252">
        <v>453.0</v>
      </c>
      <c r="B454" s="251" t="s">
        <v>3477</v>
      </c>
      <c r="C454" s="252">
        <v>1.0</v>
      </c>
      <c r="D454" s="251" t="s">
        <v>3478</v>
      </c>
      <c r="E454" s="251" t="s">
        <v>1172</v>
      </c>
      <c r="F454" s="251" t="s">
        <v>1160</v>
      </c>
      <c r="G454" s="253" t="s">
        <v>3479</v>
      </c>
      <c r="H454" s="252">
        <v>3.0</v>
      </c>
      <c r="I454" s="251" t="s">
        <v>1131</v>
      </c>
      <c r="J454" s="252">
        <v>12.0</v>
      </c>
      <c r="K454" s="252">
        <v>342.0</v>
      </c>
      <c r="L454" s="252">
        <v>120.0</v>
      </c>
      <c r="M454" s="252">
        <v>13449.0</v>
      </c>
      <c r="N454" s="252">
        <v>16407.0</v>
      </c>
      <c r="O454" s="252">
        <v>8.0</v>
      </c>
      <c r="P454" s="252">
        <v>16.0</v>
      </c>
      <c r="Q454" s="252">
        <v>6050.0</v>
      </c>
      <c r="R454" s="251" t="s">
        <v>1099</v>
      </c>
      <c r="S454" s="251" t="s">
        <v>1122</v>
      </c>
      <c r="T454" s="251" t="s">
        <v>1123</v>
      </c>
      <c r="U454" s="252">
        <v>48.0</v>
      </c>
      <c r="V454" s="252">
        <v>12.0</v>
      </c>
      <c r="W454" s="252">
        <v>6.3</v>
      </c>
      <c r="X454" s="251" t="s">
        <v>1132</v>
      </c>
      <c r="Y454" s="251" t="s">
        <v>3480</v>
      </c>
      <c r="Z454" s="251" t="s">
        <v>3481</v>
      </c>
      <c r="AA454" s="254" t="s">
        <v>1105</v>
      </c>
      <c r="AB454" s="254" t="s">
        <v>1105</v>
      </c>
    </row>
    <row r="455">
      <c r="A455" s="252">
        <v>454.0</v>
      </c>
      <c r="B455" s="251" t="s">
        <v>3482</v>
      </c>
      <c r="C455" s="252">
        <v>1.0</v>
      </c>
      <c r="D455" s="251" t="s">
        <v>3483</v>
      </c>
      <c r="E455" s="251" t="s">
        <v>1250</v>
      </c>
      <c r="F455" s="251" t="s">
        <v>1153</v>
      </c>
      <c r="G455" s="253" t="s">
        <v>3484</v>
      </c>
      <c r="H455" s="252">
        <v>5.0</v>
      </c>
      <c r="I455" s="251" t="s">
        <v>1131</v>
      </c>
      <c r="J455" s="252">
        <v>10.0</v>
      </c>
      <c r="K455" s="252">
        <v>699.0</v>
      </c>
      <c r="L455" s="252">
        <v>100.0</v>
      </c>
      <c r="M455" s="252">
        <v>21537.0</v>
      </c>
      <c r="N455" s="252">
        <v>35320.0</v>
      </c>
      <c r="O455" s="252">
        <v>4.0</v>
      </c>
      <c r="P455" s="252">
        <v>64.0</v>
      </c>
      <c r="Q455" s="252">
        <v>3171.0</v>
      </c>
      <c r="R455" s="251" t="s">
        <v>1112</v>
      </c>
      <c r="S455" s="251" t="s">
        <v>1122</v>
      </c>
      <c r="T455" s="251" t="s">
        <v>1101</v>
      </c>
      <c r="U455" s="252">
        <v>16.0</v>
      </c>
      <c r="V455" s="252">
        <v>12.0</v>
      </c>
      <c r="W455" s="252">
        <v>5.2</v>
      </c>
      <c r="X455" s="251" t="s">
        <v>1132</v>
      </c>
      <c r="Y455" s="251" t="s">
        <v>3485</v>
      </c>
      <c r="Z455" s="251" t="s">
        <v>3486</v>
      </c>
      <c r="AA455" s="254" t="s">
        <v>1105</v>
      </c>
      <c r="AB455" s="254" t="s">
        <v>1105</v>
      </c>
    </row>
    <row r="456">
      <c r="A456" s="252">
        <v>455.0</v>
      </c>
      <c r="B456" s="251" t="s">
        <v>3487</v>
      </c>
      <c r="C456" s="252">
        <v>1.0</v>
      </c>
      <c r="D456" s="251" t="s">
        <v>3488</v>
      </c>
      <c r="E456" s="251" t="s">
        <v>1678</v>
      </c>
      <c r="F456" s="251" t="s">
        <v>1138</v>
      </c>
      <c r="G456" s="253" t="s">
        <v>3489</v>
      </c>
      <c r="H456" s="252">
        <v>6.0</v>
      </c>
      <c r="I456" s="251" t="s">
        <v>1098</v>
      </c>
      <c r="J456" s="252">
        <v>8.0</v>
      </c>
      <c r="K456" s="252">
        <v>99.0</v>
      </c>
      <c r="L456" s="252">
        <v>100.0</v>
      </c>
      <c r="M456" s="252">
        <v>19021.0</v>
      </c>
      <c r="N456" s="252">
        <v>34428.0</v>
      </c>
      <c r="O456" s="252">
        <v>12.0</v>
      </c>
      <c r="P456" s="252">
        <v>8.0</v>
      </c>
      <c r="Q456" s="252">
        <v>4292.0</v>
      </c>
      <c r="R456" s="251" t="s">
        <v>1099</v>
      </c>
      <c r="S456" s="251" t="s">
        <v>1122</v>
      </c>
      <c r="T456" s="251" t="s">
        <v>1101</v>
      </c>
      <c r="U456" s="252">
        <v>48.0</v>
      </c>
      <c r="V456" s="252">
        <v>12.0</v>
      </c>
      <c r="W456" s="252">
        <v>5.5</v>
      </c>
      <c r="X456" s="251" t="s">
        <v>1147</v>
      </c>
      <c r="Y456" s="251" t="s">
        <v>3490</v>
      </c>
      <c r="Z456" s="251" t="s">
        <v>3491</v>
      </c>
      <c r="AA456" s="254" t="s">
        <v>1105</v>
      </c>
      <c r="AB456" s="254" t="s">
        <v>1105</v>
      </c>
    </row>
    <row r="457">
      <c r="A457" s="252">
        <v>456.0</v>
      </c>
      <c r="B457" s="251" t="s">
        <v>3492</v>
      </c>
      <c r="C457" s="252">
        <v>1.0</v>
      </c>
      <c r="D457" s="251" t="s">
        <v>3493</v>
      </c>
      <c r="E457" s="251" t="s">
        <v>1300</v>
      </c>
      <c r="F457" s="251" t="s">
        <v>1233</v>
      </c>
      <c r="G457" s="253" t="s">
        <v>3494</v>
      </c>
      <c r="H457" s="252">
        <v>6.0</v>
      </c>
      <c r="I457" s="251" t="s">
        <v>1140</v>
      </c>
      <c r="J457" s="252">
        <v>10.0</v>
      </c>
      <c r="K457" s="252">
        <v>397.0</v>
      </c>
      <c r="L457" s="252">
        <v>80.0</v>
      </c>
      <c r="M457" s="252">
        <v>19889.0</v>
      </c>
      <c r="N457" s="252">
        <v>33015.0</v>
      </c>
      <c r="O457" s="252">
        <v>12.0</v>
      </c>
      <c r="P457" s="252">
        <v>32.0</v>
      </c>
      <c r="Q457" s="252">
        <v>3406.0</v>
      </c>
      <c r="R457" s="251" t="s">
        <v>1112</v>
      </c>
      <c r="S457" s="251" t="s">
        <v>1100</v>
      </c>
      <c r="T457" s="251" t="s">
        <v>1123</v>
      </c>
      <c r="U457" s="252">
        <v>14.0</v>
      </c>
      <c r="V457" s="252">
        <v>12.0</v>
      </c>
      <c r="W457" s="252">
        <v>6.0</v>
      </c>
      <c r="X457" s="251" t="s">
        <v>1147</v>
      </c>
      <c r="Y457" s="251" t="s">
        <v>3495</v>
      </c>
      <c r="Z457" s="251" t="s">
        <v>3496</v>
      </c>
      <c r="AA457" s="254" t="s">
        <v>1105</v>
      </c>
      <c r="AB457" s="254" t="s">
        <v>1105</v>
      </c>
    </row>
    <row r="458">
      <c r="A458" s="252">
        <v>457.0</v>
      </c>
      <c r="B458" s="251" t="s">
        <v>3497</v>
      </c>
      <c r="C458" s="252">
        <v>1.0</v>
      </c>
      <c r="D458" s="251" t="s">
        <v>3498</v>
      </c>
      <c r="E458" s="251" t="s">
        <v>1272</v>
      </c>
      <c r="F458" s="251" t="s">
        <v>1233</v>
      </c>
      <c r="G458" s="253" t="s">
        <v>3499</v>
      </c>
      <c r="H458" s="252">
        <v>4.0</v>
      </c>
      <c r="I458" s="251" t="s">
        <v>1111</v>
      </c>
      <c r="J458" s="252">
        <v>10.0</v>
      </c>
      <c r="K458" s="252">
        <v>124.0</v>
      </c>
      <c r="L458" s="252">
        <v>120.0</v>
      </c>
      <c r="M458" s="252">
        <v>4000.0</v>
      </c>
      <c r="N458" s="252">
        <v>5640.0</v>
      </c>
      <c r="O458" s="252">
        <v>4.0</v>
      </c>
      <c r="P458" s="252">
        <v>8.0</v>
      </c>
      <c r="Q458" s="252">
        <v>4813.0</v>
      </c>
      <c r="R458" s="251" t="s">
        <v>1099</v>
      </c>
      <c r="S458" s="251" t="s">
        <v>1100</v>
      </c>
      <c r="T458" s="251" t="s">
        <v>1021</v>
      </c>
      <c r="U458" s="252">
        <v>48.0</v>
      </c>
      <c r="V458" s="252">
        <v>12.0</v>
      </c>
      <c r="W458" s="252">
        <v>6.3</v>
      </c>
      <c r="X458" s="251" t="s">
        <v>1113</v>
      </c>
      <c r="Y458" s="251" t="s">
        <v>3500</v>
      </c>
      <c r="Z458" s="251" t="s">
        <v>3501</v>
      </c>
      <c r="AA458" s="254" t="s">
        <v>1105</v>
      </c>
      <c r="AB458" s="254" t="s">
        <v>1105</v>
      </c>
    </row>
    <row r="459">
      <c r="A459" s="252">
        <v>458.0</v>
      </c>
      <c r="B459" s="251" t="s">
        <v>3502</v>
      </c>
      <c r="C459" s="252">
        <v>1.0</v>
      </c>
      <c r="D459" s="251" t="s">
        <v>3503</v>
      </c>
      <c r="E459" s="251" t="s">
        <v>1728</v>
      </c>
      <c r="F459" s="251" t="s">
        <v>1202</v>
      </c>
      <c r="G459" s="253" t="s">
        <v>3504</v>
      </c>
      <c r="H459" s="252">
        <v>3.0</v>
      </c>
      <c r="I459" s="251" t="s">
        <v>1140</v>
      </c>
      <c r="J459" s="252">
        <v>10.0</v>
      </c>
      <c r="K459" s="252">
        <v>497.0</v>
      </c>
      <c r="L459" s="252">
        <v>100.0</v>
      </c>
      <c r="M459" s="252">
        <v>10757.0</v>
      </c>
      <c r="N459" s="252">
        <v>16780.0</v>
      </c>
      <c r="O459" s="252">
        <v>12.0</v>
      </c>
      <c r="P459" s="252">
        <v>64.0</v>
      </c>
      <c r="Q459" s="252">
        <v>3556.0</v>
      </c>
      <c r="R459" s="251" t="s">
        <v>1141</v>
      </c>
      <c r="S459" s="251" t="s">
        <v>1122</v>
      </c>
      <c r="T459" s="251" t="s">
        <v>1021</v>
      </c>
      <c r="U459" s="252">
        <v>12.0</v>
      </c>
      <c r="V459" s="252">
        <v>48.0</v>
      </c>
      <c r="W459" s="252">
        <v>6.0</v>
      </c>
      <c r="X459" s="251" t="s">
        <v>1132</v>
      </c>
      <c r="Y459" s="251" t="s">
        <v>3505</v>
      </c>
      <c r="Z459" s="251" t="s">
        <v>3506</v>
      </c>
      <c r="AA459" s="254" t="s">
        <v>1105</v>
      </c>
      <c r="AB459" s="254" t="s">
        <v>1105</v>
      </c>
    </row>
    <row r="460">
      <c r="A460" s="252">
        <v>459.0</v>
      </c>
      <c r="B460" s="251" t="s">
        <v>3507</v>
      </c>
      <c r="C460" s="252">
        <v>1.0</v>
      </c>
      <c r="D460" s="251" t="s">
        <v>3508</v>
      </c>
      <c r="E460" s="251" t="s">
        <v>1329</v>
      </c>
      <c r="F460" s="251" t="s">
        <v>1109</v>
      </c>
      <c r="G460" s="253" t="s">
        <v>3509</v>
      </c>
      <c r="H460" s="252">
        <v>2.0</v>
      </c>
      <c r="I460" s="251" t="s">
        <v>1140</v>
      </c>
      <c r="J460" s="252">
        <v>8.0</v>
      </c>
      <c r="K460" s="252">
        <v>686.0</v>
      </c>
      <c r="L460" s="252">
        <v>120.0</v>
      </c>
      <c r="M460" s="252">
        <v>22496.0</v>
      </c>
      <c r="N460" s="252">
        <v>28794.0</v>
      </c>
      <c r="O460" s="252">
        <v>4.0</v>
      </c>
      <c r="P460" s="252">
        <v>64.0</v>
      </c>
      <c r="Q460" s="252">
        <v>5306.0</v>
      </c>
      <c r="R460" s="251" t="s">
        <v>1141</v>
      </c>
      <c r="S460" s="251" t="s">
        <v>1100</v>
      </c>
      <c r="T460" s="251" t="s">
        <v>1021</v>
      </c>
      <c r="U460" s="252">
        <v>48.0</v>
      </c>
      <c r="V460" s="252">
        <v>12.0</v>
      </c>
      <c r="W460" s="252">
        <v>6.0</v>
      </c>
      <c r="X460" s="251" t="s">
        <v>1113</v>
      </c>
      <c r="Y460" s="251" t="s">
        <v>3510</v>
      </c>
      <c r="Z460" s="251" t="s">
        <v>3511</v>
      </c>
      <c r="AA460" s="254" t="s">
        <v>1105</v>
      </c>
      <c r="AB460" s="254" t="s">
        <v>1105</v>
      </c>
    </row>
    <row r="461">
      <c r="A461" s="252">
        <v>460.0</v>
      </c>
      <c r="B461" s="251" t="s">
        <v>3512</v>
      </c>
      <c r="C461" s="252">
        <v>1.0</v>
      </c>
      <c r="D461" s="251" t="s">
        <v>3513</v>
      </c>
      <c r="E461" s="251" t="s">
        <v>2114</v>
      </c>
      <c r="F461" s="251" t="s">
        <v>1138</v>
      </c>
      <c r="G461" s="253" t="s">
        <v>3514</v>
      </c>
      <c r="H461" s="252">
        <v>2.0</v>
      </c>
      <c r="I461" s="251" t="s">
        <v>1121</v>
      </c>
      <c r="J461" s="252">
        <v>12.0</v>
      </c>
      <c r="K461" s="252">
        <v>779.0</v>
      </c>
      <c r="L461" s="252">
        <v>100.0</v>
      </c>
      <c r="M461" s="252">
        <v>14581.0</v>
      </c>
      <c r="N461" s="252">
        <v>21434.0</v>
      </c>
      <c r="O461" s="252">
        <v>2.0</v>
      </c>
      <c r="P461" s="252">
        <v>128.0</v>
      </c>
      <c r="Q461" s="252">
        <v>4267.0</v>
      </c>
      <c r="R461" s="251" t="s">
        <v>1141</v>
      </c>
      <c r="S461" s="251" t="s">
        <v>1122</v>
      </c>
      <c r="T461" s="251" t="s">
        <v>1021</v>
      </c>
      <c r="U461" s="252">
        <v>16.0</v>
      </c>
      <c r="V461" s="252">
        <v>32.0</v>
      </c>
      <c r="W461" s="252">
        <v>6.0</v>
      </c>
      <c r="X461" s="251" t="s">
        <v>1132</v>
      </c>
      <c r="Y461" s="251" t="s">
        <v>3515</v>
      </c>
      <c r="Z461" s="251" t="s">
        <v>3516</v>
      </c>
      <c r="AA461" s="254" t="s">
        <v>1105</v>
      </c>
      <c r="AB461" s="254" t="s">
        <v>1105</v>
      </c>
    </row>
    <row r="462">
      <c r="A462" s="252">
        <v>461.0</v>
      </c>
      <c r="B462" s="251" t="s">
        <v>3517</v>
      </c>
      <c r="C462" s="252">
        <v>1.0</v>
      </c>
      <c r="D462" s="251" t="s">
        <v>3518</v>
      </c>
      <c r="E462" s="251" t="s">
        <v>1587</v>
      </c>
      <c r="F462" s="251" t="s">
        <v>1119</v>
      </c>
      <c r="G462" s="253" t="s">
        <v>3519</v>
      </c>
      <c r="H462" s="252">
        <v>2.0</v>
      </c>
      <c r="I462" s="251" t="s">
        <v>1098</v>
      </c>
      <c r="J462" s="252">
        <v>8.0</v>
      </c>
      <c r="K462" s="252">
        <v>385.0</v>
      </c>
      <c r="L462" s="252">
        <v>80.0</v>
      </c>
      <c r="M462" s="252">
        <v>21924.0</v>
      </c>
      <c r="N462" s="252">
        <v>32886.0</v>
      </c>
      <c r="O462" s="252">
        <v>6.0</v>
      </c>
      <c r="P462" s="252">
        <v>512.0</v>
      </c>
      <c r="Q462" s="252">
        <v>4594.0</v>
      </c>
      <c r="R462" s="251" t="s">
        <v>1099</v>
      </c>
      <c r="S462" s="251" t="s">
        <v>1122</v>
      </c>
      <c r="T462" s="251" t="s">
        <v>1101</v>
      </c>
      <c r="U462" s="252">
        <v>48.0</v>
      </c>
      <c r="V462" s="252">
        <v>32.0</v>
      </c>
      <c r="W462" s="252">
        <v>5.5</v>
      </c>
      <c r="X462" s="251" t="s">
        <v>1113</v>
      </c>
      <c r="Y462" s="251" t="s">
        <v>3520</v>
      </c>
      <c r="Z462" s="251" t="s">
        <v>3521</v>
      </c>
      <c r="AA462" s="254" t="s">
        <v>1105</v>
      </c>
      <c r="AB462" s="254" t="s">
        <v>1105</v>
      </c>
    </row>
    <row r="463">
      <c r="A463" s="252">
        <v>462.0</v>
      </c>
      <c r="B463" s="251" t="s">
        <v>3522</v>
      </c>
      <c r="C463" s="252">
        <v>1.0</v>
      </c>
      <c r="D463" s="251" t="s">
        <v>3523</v>
      </c>
      <c r="E463" s="251" t="s">
        <v>1137</v>
      </c>
      <c r="F463" s="251" t="s">
        <v>1138</v>
      </c>
      <c r="G463" s="253" t="s">
        <v>3524</v>
      </c>
      <c r="H463" s="252">
        <v>3.0</v>
      </c>
      <c r="I463" s="251" t="s">
        <v>1140</v>
      </c>
      <c r="J463" s="252">
        <v>12.0</v>
      </c>
      <c r="K463" s="252">
        <v>690.0</v>
      </c>
      <c r="L463" s="252">
        <v>80.0</v>
      </c>
      <c r="M463" s="252">
        <v>15495.0</v>
      </c>
      <c r="N463" s="252">
        <v>22312.0</v>
      </c>
      <c r="O463" s="252">
        <v>6.0</v>
      </c>
      <c r="P463" s="252">
        <v>8.0</v>
      </c>
      <c r="Q463" s="252">
        <v>2522.0</v>
      </c>
      <c r="R463" s="251" t="s">
        <v>1141</v>
      </c>
      <c r="S463" s="251" t="s">
        <v>1100</v>
      </c>
      <c r="T463" s="251" t="s">
        <v>1123</v>
      </c>
      <c r="U463" s="252">
        <v>16.0</v>
      </c>
      <c r="V463" s="252">
        <v>12.0</v>
      </c>
      <c r="W463" s="252">
        <v>6.3</v>
      </c>
      <c r="X463" s="251" t="s">
        <v>1113</v>
      </c>
      <c r="Y463" s="251" t="s">
        <v>3525</v>
      </c>
      <c r="Z463" s="251" t="s">
        <v>3526</v>
      </c>
      <c r="AA463" s="254" t="s">
        <v>1105</v>
      </c>
      <c r="AB463" s="254" t="s">
        <v>1105</v>
      </c>
    </row>
    <row r="464">
      <c r="A464" s="252">
        <v>463.0</v>
      </c>
      <c r="B464" s="251" t="s">
        <v>3527</v>
      </c>
      <c r="C464" s="252">
        <v>1.0</v>
      </c>
      <c r="D464" s="251" t="s">
        <v>3528</v>
      </c>
      <c r="E464" s="251" t="s">
        <v>1836</v>
      </c>
      <c r="F464" s="251" t="s">
        <v>1233</v>
      </c>
      <c r="G464" s="253" t="s">
        <v>3529</v>
      </c>
      <c r="H464" s="252">
        <v>3.0</v>
      </c>
      <c r="I464" s="251" t="s">
        <v>1121</v>
      </c>
      <c r="J464" s="252">
        <v>10.0</v>
      </c>
      <c r="K464" s="252">
        <v>22.0</v>
      </c>
      <c r="L464" s="252">
        <v>120.0</v>
      </c>
      <c r="M464" s="252">
        <v>22235.0</v>
      </c>
      <c r="N464" s="252">
        <v>34241.0</v>
      </c>
      <c r="O464" s="252">
        <v>4.0</v>
      </c>
      <c r="P464" s="252">
        <v>64.0</v>
      </c>
      <c r="Q464" s="252">
        <v>3362.0</v>
      </c>
      <c r="R464" s="251" t="s">
        <v>1112</v>
      </c>
      <c r="S464" s="251" t="s">
        <v>1100</v>
      </c>
      <c r="T464" s="251" t="s">
        <v>1101</v>
      </c>
      <c r="U464" s="252">
        <v>32.0</v>
      </c>
      <c r="V464" s="252">
        <v>32.0</v>
      </c>
      <c r="W464" s="252">
        <v>6.0</v>
      </c>
      <c r="X464" s="251" t="s">
        <v>1102</v>
      </c>
      <c r="Y464" s="251" t="s">
        <v>3530</v>
      </c>
      <c r="Z464" s="251" t="s">
        <v>3531</v>
      </c>
      <c r="AA464" s="254" t="s">
        <v>1105</v>
      </c>
      <c r="AB464" s="254" t="s">
        <v>1105</v>
      </c>
    </row>
    <row r="465">
      <c r="A465" s="252">
        <v>464.0</v>
      </c>
      <c r="B465" s="251" t="s">
        <v>3532</v>
      </c>
      <c r="C465" s="252">
        <v>1.0</v>
      </c>
      <c r="D465" s="251" t="s">
        <v>3533</v>
      </c>
      <c r="E465" s="251" t="s">
        <v>2177</v>
      </c>
      <c r="F465" s="251" t="s">
        <v>1129</v>
      </c>
      <c r="G465" s="253" t="s">
        <v>3534</v>
      </c>
      <c r="H465" s="252">
        <v>2.0</v>
      </c>
      <c r="I465" s="251" t="s">
        <v>1098</v>
      </c>
      <c r="J465" s="252">
        <v>8.0</v>
      </c>
      <c r="K465" s="252">
        <v>139.0</v>
      </c>
      <c r="L465" s="252">
        <v>120.0</v>
      </c>
      <c r="M465" s="252">
        <v>22430.0</v>
      </c>
      <c r="N465" s="252">
        <v>39925.0</v>
      </c>
      <c r="O465" s="252">
        <v>8.0</v>
      </c>
      <c r="P465" s="252">
        <v>64.0</v>
      </c>
      <c r="Q465" s="252">
        <v>4812.0</v>
      </c>
      <c r="R465" s="251" t="s">
        <v>1141</v>
      </c>
      <c r="S465" s="251" t="s">
        <v>1100</v>
      </c>
      <c r="T465" s="251" t="s">
        <v>1123</v>
      </c>
      <c r="U465" s="252">
        <v>16.0</v>
      </c>
      <c r="V465" s="252">
        <v>48.0</v>
      </c>
      <c r="W465" s="252">
        <v>5.2</v>
      </c>
      <c r="X465" s="251" t="s">
        <v>1113</v>
      </c>
      <c r="Y465" s="251" t="s">
        <v>3535</v>
      </c>
      <c r="Z465" s="251" t="s">
        <v>3536</v>
      </c>
      <c r="AA465" s="254" t="s">
        <v>1105</v>
      </c>
      <c r="AB465" s="254" t="s">
        <v>1105</v>
      </c>
    </row>
    <row r="466">
      <c r="A466" s="252">
        <v>465.0</v>
      </c>
      <c r="B466" s="251" t="s">
        <v>3537</v>
      </c>
      <c r="C466" s="252">
        <v>1.0</v>
      </c>
      <c r="D466" s="251" t="s">
        <v>3538</v>
      </c>
      <c r="E466" s="251" t="s">
        <v>2276</v>
      </c>
      <c r="F466" s="251" t="s">
        <v>1215</v>
      </c>
      <c r="G466" s="253" t="s">
        <v>3539</v>
      </c>
      <c r="H466" s="252">
        <v>5.0</v>
      </c>
      <c r="I466" s="251" t="s">
        <v>1098</v>
      </c>
      <c r="J466" s="252">
        <v>8.0</v>
      </c>
      <c r="K466" s="252">
        <v>88.0</v>
      </c>
      <c r="L466" s="252">
        <v>120.0</v>
      </c>
      <c r="M466" s="252">
        <v>19816.0</v>
      </c>
      <c r="N466" s="252">
        <v>28931.0</v>
      </c>
      <c r="O466" s="252">
        <v>2.0</v>
      </c>
      <c r="P466" s="252">
        <v>64.0</v>
      </c>
      <c r="Q466" s="252">
        <v>6266.0</v>
      </c>
      <c r="R466" s="251" t="s">
        <v>1141</v>
      </c>
      <c r="S466" s="251" t="s">
        <v>1122</v>
      </c>
      <c r="T466" s="251" t="s">
        <v>1123</v>
      </c>
      <c r="U466" s="252">
        <v>14.0</v>
      </c>
      <c r="V466" s="252">
        <v>16.0</v>
      </c>
      <c r="W466" s="252">
        <v>5.5</v>
      </c>
      <c r="X466" s="251" t="s">
        <v>1102</v>
      </c>
      <c r="Y466" s="251" t="s">
        <v>3540</v>
      </c>
      <c r="Z466" s="251" t="s">
        <v>3541</v>
      </c>
      <c r="AA466" s="254" t="s">
        <v>1105</v>
      </c>
      <c r="AB466" s="254" t="s">
        <v>1105</v>
      </c>
    </row>
    <row r="467">
      <c r="A467" s="252">
        <v>466.0</v>
      </c>
      <c r="B467" s="251" t="s">
        <v>3542</v>
      </c>
      <c r="C467" s="252">
        <v>1.0</v>
      </c>
      <c r="D467" s="251" t="s">
        <v>3543</v>
      </c>
      <c r="E467" s="251" t="s">
        <v>1550</v>
      </c>
      <c r="F467" s="251" t="s">
        <v>1109</v>
      </c>
      <c r="G467" s="253" t="s">
        <v>3544</v>
      </c>
      <c r="H467" s="252">
        <v>5.0</v>
      </c>
      <c r="I467" s="251" t="s">
        <v>1140</v>
      </c>
      <c r="J467" s="252">
        <v>10.0</v>
      </c>
      <c r="K467" s="252">
        <v>872.0</v>
      </c>
      <c r="L467" s="252">
        <v>80.0</v>
      </c>
      <c r="M467" s="252">
        <v>21401.0</v>
      </c>
      <c r="N467" s="252">
        <v>26323.0</v>
      </c>
      <c r="O467" s="252">
        <v>4.0</v>
      </c>
      <c r="P467" s="252">
        <v>64.0</v>
      </c>
      <c r="Q467" s="252">
        <v>6165.0</v>
      </c>
      <c r="R467" s="251" t="s">
        <v>1141</v>
      </c>
      <c r="S467" s="251" t="s">
        <v>1100</v>
      </c>
      <c r="T467" s="251" t="s">
        <v>1021</v>
      </c>
      <c r="U467" s="252">
        <v>12.0</v>
      </c>
      <c r="V467" s="252">
        <v>48.0</v>
      </c>
      <c r="W467" s="252">
        <v>5.0</v>
      </c>
      <c r="X467" s="251" t="s">
        <v>1102</v>
      </c>
      <c r="Y467" s="251" t="s">
        <v>3545</v>
      </c>
      <c r="Z467" s="251" t="s">
        <v>3546</v>
      </c>
      <c r="AA467" s="254" t="s">
        <v>1105</v>
      </c>
      <c r="AB467" s="254" t="s">
        <v>1105</v>
      </c>
    </row>
    <row r="468">
      <c r="A468" s="252">
        <v>467.0</v>
      </c>
      <c r="B468" s="251" t="s">
        <v>3547</v>
      </c>
      <c r="C468" s="252">
        <v>1.0</v>
      </c>
      <c r="D468" s="251" t="s">
        <v>3548</v>
      </c>
      <c r="E468" s="251" t="s">
        <v>1627</v>
      </c>
      <c r="F468" s="251" t="s">
        <v>1160</v>
      </c>
      <c r="G468" s="253" t="s">
        <v>3549</v>
      </c>
      <c r="H468" s="252">
        <v>6.0</v>
      </c>
      <c r="I468" s="251" t="s">
        <v>1131</v>
      </c>
      <c r="J468" s="252">
        <v>12.0</v>
      </c>
      <c r="K468" s="252">
        <v>890.0</v>
      </c>
      <c r="L468" s="252">
        <v>80.0</v>
      </c>
      <c r="M468" s="252">
        <v>22460.0</v>
      </c>
      <c r="N468" s="252">
        <v>31893.0</v>
      </c>
      <c r="O468" s="252">
        <v>12.0</v>
      </c>
      <c r="P468" s="252">
        <v>32.0</v>
      </c>
      <c r="Q468" s="252">
        <v>4389.0</v>
      </c>
      <c r="R468" s="251" t="s">
        <v>1112</v>
      </c>
      <c r="S468" s="251" t="s">
        <v>1122</v>
      </c>
      <c r="T468" s="251" t="s">
        <v>1021</v>
      </c>
      <c r="U468" s="252">
        <v>12.0</v>
      </c>
      <c r="V468" s="252">
        <v>32.0</v>
      </c>
      <c r="W468" s="252">
        <v>6.3</v>
      </c>
      <c r="X468" s="251" t="s">
        <v>1147</v>
      </c>
      <c r="Y468" s="251" t="s">
        <v>3550</v>
      </c>
      <c r="Z468" s="251" t="s">
        <v>3551</v>
      </c>
      <c r="AA468" s="254" t="s">
        <v>1105</v>
      </c>
      <c r="AB468" s="254" t="s">
        <v>1105</v>
      </c>
    </row>
    <row r="469">
      <c r="A469" s="252">
        <v>468.0</v>
      </c>
      <c r="B469" s="251" t="s">
        <v>3552</v>
      </c>
      <c r="C469" s="252">
        <v>1.0</v>
      </c>
      <c r="D469" s="251" t="s">
        <v>3553</v>
      </c>
      <c r="E469" s="251" t="s">
        <v>1399</v>
      </c>
      <c r="F469" s="251" t="s">
        <v>1138</v>
      </c>
      <c r="G469" s="253" t="s">
        <v>3554</v>
      </c>
      <c r="H469" s="252">
        <v>3.0</v>
      </c>
      <c r="I469" s="251" t="s">
        <v>1121</v>
      </c>
      <c r="J469" s="252">
        <v>8.0</v>
      </c>
      <c r="K469" s="252">
        <v>961.0</v>
      </c>
      <c r="L469" s="252">
        <v>120.0</v>
      </c>
      <c r="M469" s="252">
        <v>8572.0</v>
      </c>
      <c r="N469" s="252">
        <v>11229.0</v>
      </c>
      <c r="O469" s="252">
        <v>12.0</v>
      </c>
      <c r="P469" s="252">
        <v>64.0</v>
      </c>
      <c r="Q469" s="252">
        <v>2780.0</v>
      </c>
      <c r="R469" s="251" t="s">
        <v>1099</v>
      </c>
      <c r="S469" s="251" t="s">
        <v>1122</v>
      </c>
      <c r="T469" s="251" t="s">
        <v>1123</v>
      </c>
      <c r="U469" s="252">
        <v>12.0</v>
      </c>
      <c r="V469" s="252">
        <v>12.0</v>
      </c>
      <c r="W469" s="252">
        <v>5.2</v>
      </c>
      <c r="X469" s="251" t="s">
        <v>1132</v>
      </c>
      <c r="Y469" s="251" t="s">
        <v>3555</v>
      </c>
      <c r="Z469" s="251" t="s">
        <v>3556</v>
      </c>
      <c r="AA469" s="254" t="s">
        <v>1105</v>
      </c>
      <c r="AB469" s="254" t="s">
        <v>1105</v>
      </c>
    </row>
    <row r="470">
      <c r="A470" s="252">
        <v>469.0</v>
      </c>
      <c r="B470" s="251" t="s">
        <v>3557</v>
      </c>
      <c r="C470" s="252">
        <v>1.0</v>
      </c>
      <c r="D470" s="251" t="s">
        <v>3558</v>
      </c>
      <c r="E470" s="251" t="s">
        <v>1598</v>
      </c>
      <c r="F470" s="251" t="s">
        <v>1153</v>
      </c>
      <c r="G470" s="253" t="s">
        <v>3559</v>
      </c>
      <c r="H470" s="252">
        <v>3.0</v>
      </c>
      <c r="I470" s="251" t="s">
        <v>1111</v>
      </c>
      <c r="J470" s="252">
        <v>12.0</v>
      </c>
      <c r="K470" s="252">
        <v>627.0</v>
      </c>
      <c r="L470" s="252">
        <v>100.0</v>
      </c>
      <c r="M470" s="252">
        <v>5817.0</v>
      </c>
      <c r="N470" s="252">
        <v>6980.0</v>
      </c>
      <c r="O470" s="252">
        <v>4.0</v>
      </c>
      <c r="P470" s="252">
        <v>32.0</v>
      </c>
      <c r="Q470" s="252">
        <v>4504.0</v>
      </c>
      <c r="R470" s="251" t="s">
        <v>1141</v>
      </c>
      <c r="S470" s="251" t="s">
        <v>1100</v>
      </c>
      <c r="T470" s="251" t="s">
        <v>1123</v>
      </c>
      <c r="U470" s="252">
        <v>48.0</v>
      </c>
      <c r="V470" s="252">
        <v>32.0</v>
      </c>
      <c r="W470" s="252">
        <v>5.5</v>
      </c>
      <c r="X470" s="251" t="s">
        <v>1147</v>
      </c>
      <c r="Y470" s="251" t="s">
        <v>3560</v>
      </c>
      <c r="Z470" s="251" t="s">
        <v>3561</v>
      </c>
      <c r="AA470" s="254" t="s">
        <v>1105</v>
      </c>
      <c r="AB470" s="254" t="s">
        <v>1105</v>
      </c>
    </row>
    <row r="471">
      <c r="A471" s="252">
        <v>470.0</v>
      </c>
      <c r="B471" s="251" t="s">
        <v>3562</v>
      </c>
      <c r="C471" s="252">
        <v>1.0</v>
      </c>
      <c r="D471" s="251" t="s">
        <v>3563</v>
      </c>
      <c r="E471" s="251" t="s">
        <v>2399</v>
      </c>
      <c r="F471" s="251" t="s">
        <v>1215</v>
      </c>
      <c r="G471" s="253" t="s">
        <v>3564</v>
      </c>
      <c r="H471" s="252">
        <v>6.0</v>
      </c>
      <c r="I471" s="251" t="s">
        <v>1111</v>
      </c>
      <c r="J471" s="252">
        <v>10.0</v>
      </c>
      <c r="K471" s="252">
        <v>492.0</v>
      </c>
      <c r="L471" s="252">
        <v>100.0</v>
      </c>
      <c r="M471" s="252">
        <v>8310.0</v>
      </c>
      <c r="N471" s="252">
        <v>10470.0</v>
      </c>
      <c r="O471" s="252">
        <v>8.0</v>
      </c>
      <c r="P471" s="252">
        <v>512.0</v>
      </c>
      <c r="Q471" s="252">
        <v>6341.0</v>
      </c>
      <c r="R471" s="251" t="s">
        <v>1099</v>
      </c>
      <c r="S471" s="251" t="s">
        <v>1100</v>
      </c>
      <c r="T471" s="251" t="s">
        <v>1123</v>
      </c>
      <c r="U471" s="252">
        <v>12.0</v>
      </c>
      <c r="V471" s="252">
        <v>32.0</v>
      </c>
      <c r="W471" s="252">
        <v>5.5</v>
      </c>
      <c r="X471" s="251" t="s">
        <v>1132</v>
      </c>
      <c r="Y471" s="251" t="s">
        <v>3565</v>
      </c>
      <c r="Z471" s="251" t="s">
        <v>3566</v>
      </c>
      <c r="AA471" s="254" t="s">
        <v>1105</v>
      </c>
      <c r="AB471" s="254" t="s">
        <v>1105</v>
      </c>
    </row>
    <row r="472">
      <c r="A472" s="252">
        <v>471.0</v>
      </c>
      <c r="B472" s="251" t="s">
        <v>3567</v>
      </c>
      <c r="C472" s="252">
        <v>1.0</v>
      </c>
      <c r="D472" s="251" t="s">
        <v>3568</v>
      </c>
      <c r="E472" s="251" t="s">
        <v>1615</v>
      </c>
      <c r="F472" s="251" t="s">
        <v>1202</v>
      </c>
      <c r="G472" s="253" t="s">
        <v>3569</v>
      </c>
      <c r="H472" s="252">
        <v>6.0</v>
      </c>
      <c r="I472" s="251" t="s">
        <v>1111</v>
      </c>
      <c r="J472" s="252">
        <v>8.0</v>
      </c>
      <c r="K472" s="252">
        <v>716.0</v>
      </c>
      <c r="L472" s="252">
        <v>80.0</v>
      </c>
      <c r="M472" s="252">
        <v>3438.0</v>
      </c>
      <c r="N472" s="252">
        <v>5225.0</v>
      </c>
      <c r="O472" s="252">
        <v>8.0</v>
      </c>
      <c r="P472" s="252">
        <v>32.0</v>
      </c>
      <c r="Q472" s="252">
        <v>4853.0</v>
      </c>
      <c r="R472" s="251" t="s">
        <v>1112</v>
      </c>
      <c r="S472" s="251" t="s">
        <v>1100</v>
      </c>
      <c r="T472" s="251" t="s">
        <v>1123</v>
      </c>
      <c r="U472" s="252">
        <v>16.0</v>
      </c>
      <c r="V472" s="252">
        <v>32.0</v>
      </c>
      <c r="W472" s="252">
        <v>5.2</v>
      </c>
      <c r="X472" s="251" t="s">
        <v>1132</v>
      </c>
      <c r="Y472" s="251" t="s">
        <v>3570</v>
      </c>
      <c r="Z472" s="251" t="s">
        <v>3571</v>
      </c>
      <c r="AA472" s="254" t="s">
        <v>1105</v>
      </c>
      <c r="AB472" s="254" t="s">
        <v>1105</v>
      </c>
    </row>
    <row r="473">
      <c r="A473" s="252">
        <v>472.0</v>
      </c>
      <c r="B473" s="251" t="s">
        <v>3572</v>
      </c>
      <c r="C473" s="252">
        <v>1.0</v>
      </c>
      <c r="D473" s="251" t="s">
        <v>3573</v>
      </c>
      <c r="E473" s="251" t="s">
        <v>2017</v>
      </c>
      <c r="F473" s="251" t="s">
        <v>1215</v>
      </c>
      <c r="G473" s="253" t="s">
        <v>3574</v>
      </c>
      <c r="H473" s="252">
        <v>5.0</v>
      </c>
      <c r="I473" s="251" t="s">
        <v>1111</v>
      </c>
      <c r="J473" s="252">
        <v>12.0</v>
      </c>
      <c r="K473" s="252">
        <v>902.0</v>
      </c>
      <c r="L473" s="252">
        <v>100.0</v>
      </c>
      <c r="M473" s="252">
        <v>13377.0</v>
      </c>
      <c r="N473" s="252">
        <v>23008.0</v>
      </c>
      <c r="O473" s="252">
        <v>12.0</v>
      </c>
      <c r="P473" s="252">
        <v>32.0</v>
      </c>
      <c r="Q473" s="252">
        <v>3307.0</v>
      </c>
      <c r="R473" s="251" t="s">
        <v>1141</v>
      </c>
      <c r="S473" s="251" t="s">
        <v>1100</v>
      </c>
      <c r="T473" s="251" t="s">
        <v>1101</v>
      </c>
      <c r="U473" s="252">
        <v>16.0</v>
      </c>
      <c r="V473" s="252">
        <v>14.0</v>
      </c>
      <c r="W473" s="252">
        <v>5.5</v>
      </c>
      <c r="X473" s="251" t="s">
        <v>1132</v>
      </c>
      <c r="Y473" s="251" t="s">
        <v>3575</v>
      </c>
      <c r="Z473" s="251" t="s">
        <v>3576</v>
      </c>
      <c r="AA473" s="254" t="s">
        <v>1105</v>
      </c>
      <c r="AB473" s="254" t="s">
        <v>1105</v>
      </c>
    </row>
    <row r="474">
      <c r="A474" s="252">
        <v>473.0</v>
      </c>
      <c r="B474" s="251" t="s">
        <v>3577</v>
      </c>
      <c r="C474" s="252">
        <v>1.0</v>
      </c>
      <c r="D474" s="251" t="s">
        <v>3578</v>
      </c>
      <c r="E474" s="251" t="s">
        <v>1609</v>
      </c>
      <c r="F474" s="251" t="s">
        <v>1109</v>
      </c>
      <c r="G474" s="253" t="s">
        <v>3579</v>
      </c>
      <c r="H474" s="252">
        <v>6.0</v>
      </c>
      <c r="I474" s="251" t="s">
        <v>1098</v>
      </c>
      <c r="J474" s="252">
        <v>10.0</v>
      </c>
      <c r="K474" s="252">
        <v>42.0</v>
      </c>
      <c r="L474" s="252">
        <v>100.0</v>
      </c>
      <c r="M474" s="252">
        <v>19848.0</v>
      </c>
      <c r="N474" s="252">
        <v>34535.0</v>
      </c>
      <c r="O474" s="252">
        <v>4.0</v>
      </c>
      <c r="P474" s="252">
        <v>128.0</v>
      </c>
      <c r="Q474" s="252">
        <v>3248.0</v>
      </c>
      <c r="R474" s="251" t="s">
        <v>1141</v>
      </c>
      <c r="S474" s="251" t="s">
        <v>1122</v>
      </c>
      <c r="T474" s="251" t="s">
        <v>1021</v>
      </c>
      <c r="U474" s="252">
        <v>14.0</v>
      </c>
      <c r="V474" s="252">
        <v>14.0</v>
      </c>
      <c r="W474" s="252">
        <v>5.0</v>
      </c>
      <c r="X474" s="251" t="s">
        <v>1113</v>
      </c>
      <c r="Y474" s="251" t="s">
        <v>3580</v>
      </c>
      <c r="Z474" s="251" t="s">
        <v>3581</v>
      </c>
      <c r="AA474" s="254" t="s">
        <v>1105</v>
      </c>
      <c r="AB474" s="254" t="s">
        <v>1105</v>
      </c>
    </row>
    <row r="475">
      <c r="A475" s="252">
        <v>474.0</v>
      </c>
      <c r="B475" s="251" t="s">
        <v>3582</v>
      </c>
      <c r="C475" s="252">
        <v>1.0</v>
      </c>
      <c r="D475" s="251" t="s">
        <v>3583</v>
      </c>
      <c r="E475" s="251" t="s">
        <v>1464</v>
      </c>
      <c r="F475" s="251" t="s">
        <v>1096</v>
      </c>
      <c r="G475" s="253" t="s">
        <v>3584</v>
      </c>
      <c r="H475" s="252">
        <v>2.0</v>
      </c>
      <c r="I475" s="251" t="s">
        <v>1140</v>
      </c>
      <c r="J475" s="252">
        <v>8.0</v>
      </c>
      <c r="K475" s="252">
        <v>622.0</v>
      </c>
      <c r="L475" s="252">
        <v>80.0</v>
      </c>
      <c r="M475" s="252">
        <v>19032.0</v>
      </c>
      <c r="N475" s="252">
        <v>27977.0</v>
      </c>
      <c r="O475" s="252">
        <v>2.0</v>
      </c>
      <c r="P475" s="252">
        <v>128.0</v>
      </c>
      <c r="Q475" s="252">
        <v>3231.0</v>
      </c>
      <c r="R475" s="251" t="s">
        <v>1141</v>
      </c>
      <c r="S475" s="251" t="s">
        <v>1122</v>
      </c>
      <c r="T475" s="251" t="s">
        <v>1123</v>
      </c>
      <c r="U475" s="252">
        <v>14.0</v>
      </c>
      <c r="V475" s="252">
        <v>32.0</v>
      </c>
      <c r="W475" s="252">
        <v>5.2</v>
      </c>
      <c r="X475" s="251" t="s">
        <v>1102</v>
      </c>
      <c r="Y475" s="251" t="s">
        <v>3585</v>
      </c>
      <c r="Z475" s="251" t="s">
        <v>3586</v>
      </c>
      <c r="AA475" s="254" t="s">
        <v>1105</v>
      </c>
      <c r="AB475" s="254" t="s">
        <v>1105</v>
      </c>
    </row>
    <row r="476">
      <c r="A476" s="252">
        <v>475.0</v>
      </c>
      <c r="B476" s="251" t="s">
        <v>3587</v>
      </c>
      <c r="C476" s="252">
        <v>1.0</v>
      </c>
      <c r="D476" s="251" t="s">
        <v>3588</v>
      </c>
      <c r="E476" s="251" t="s">
        <v>1294</v>
      </c>
      <c r="F476" s="251" t="s">
        <v>1119</v>
      </c>
      <c r="G476" s="253" t="s">
        <v>3589</v>
      </c>
      <c r="H476" s="252">
        <v>2.0</v>
      </c>
      <c r="I476" s="251" t="s">
        <v>1131</v>
      </c>
      <c r="J476" s="252">
        <v>8.0</v>
      </c>
      <c r="K476" s="252">
        <v>834.0</v>
      </c>
      <c r="L476" s="252">
        <v>100.0</v>
      </c>
      <c r="M476" s="252">
        <v>21674.0</v>
      </c>
      <c r="N476" s="252">
        <v>28392.0</v>
      </c>
      <c r="O476" s="252">
        <v>6.0</v>
      </c>
      <c r="P476" s="252">
        <v>512.0</v>
      </c>
      <c r="Q476" s="252">
        <v>5036.0</v>
      </c>
      <c r="R476" s="251" t="s">
        <v>1099</v>
      </c>
      <c r="S476" s="251" t="s">
        <v>1122</v>
      </c>
      <c r="T476" s="251" t="s">
        <v>1101</v>
      </c>
      <c r="U476" s="252">
        <v>14.0</v>
      </c>
      <c r="V476" s="252">
        <v>14.0</v>
      </c>
      <c r="W476" s="252">
        <v>6.0</v>
      </c>
      <c r="X476" s="251" t="s">
        <v>1132</v>
      </c>
      <c r="Y476" s="251" t="s">
        <v>3590</v>
      </c>
      <c r="Z476" s="251" t="s">
        <v>3591</v>
      </c>
      <c r="AA476" s="254" t="s">
        <v>1105</v>
      </c>
      <c r="AB476" s="254" t="s">
        <v>1105</v>
      </c>
    </row>
    <row r="477">
      <c r="A477" s="252">
        <v>476.0</v>
      </c>
      <c r="B477" s="251" t="s">
        <v>3592</v>
      </c>
      <c r="C477" s="252">
        <v>1.0</v>
      </c>
      <c r="D477" s="251" t="s">
        <v>3593</v>
      </c>
      <c r="E477" s="251" t="s">
        <v>1739</v>
      </c>
      <c r="F477" s="251" t="s">
        <v>1233</v>
      </c>
      <c r="G477" s="253" t="s">
        <v>3594</v>
      </c>
      <c r="H477" s="252">
        <v>5.0</v>
      </c>
      <c r="I477" s="251" t="s">
        <v>1111</v>
      </c>
      <c r="J477" s="252">
        <v>10.0</v>
      </c>
      <c r="K477" s="252">
        <v>79.0</v>
      </c>
      <c r="L477" s="252">
        <v>80.0</v>
      </c>
      <c r="M477" s="252">
        <v>11951.0</v>
      </c>
      <c r="N477" s="252">
        <v>15894.0</v>
      </c>
      <c r="O477" s="252">
        <v>6.0</v>
      </c>
      <c r="P477" s="252">
        <v>128.0</v>
      </c>
      <c r="Q477" s="252">
        <v>4646.0</v>
      </c>
      <c r="R477" s="251" t="s">
        <v>1141</v>
      </c>
      <c r="S477" s="251" t="s">
        <v>1100</v>
      </c>
      <c r="T477" s="251" t="s">
        <v>1123</v>
      </c>
      <c r="U477" s="252">
        <v>14.0</v>
      </c>
      <c r="V477" s="252">
        <v>16.0</v>
      </c>
      <c r="W477" s="252">
        <v>5.5</v>
      </c>
      <c r="X477" s="251" t="s">
        <v>1113</v>
      </c>
      <c r="Y477" s="251" t="s">
        <v>3595</v>
      </c>
      <c r="Z477" s="251" t="s">
        <v>3596</v>
      </c>
      <c r="AA477" s="254" t="s">
        <v>1105</v>
      </c>
      <c r="AB477" s="254" t="s">
        <v>1105</v>
      </c>
    </row>
    <row r="478">
      <c r="A478" s="252">
        <v>477.0</v>
      </c>
      <c r="B478" s="251" t="s">
        <v>3597</v>
      </c>
      <c r="C478" s="252">
        <v>1.0</v>
      </c>
      <c r="D478" s="251" t="s">
        <v>3598</v>
      </c>
      <c r="E478" s="251" t="s">
        <v>1486</v>
      </c>
      <c r="F478" s="251" t="s">
        <v>1109</v>
      </c>
      <c r="G478" s="253" t="s">
        <v>3599</v>
      </c>
      <c r="H478" s="252">
        <v>3.0</v>
      </c>
      <c r="I478" s="251" t="s">
        <v>1111</v>
      </c>
      <c r="J478" s="252">
        <v>12.0</v>
      </c>
      <c r="K478" s="252">
        <v>918.0</v>
      </c>
      <c r="L478" s="252">
        <v>100.0</v>
      </c>
      <c r="M478" s="252">
        <v>2998.0</v>
      </c>
      <c r="N478" s="252">
        <v>5096.0</v>
      </c>
      <c r="O478" s="252">
        <v>2.0</v>
      </c>
      <c r="P478" s="252">
        <v>16.0</v>
      </c>
      <c r="Q478" s="252">
        <v>1891.0</v>
      </c>
      <c r="R478" s="251" t="s">
        <v>1141</v>
      </c>
      <c r="S478" s="251" t="s">
        <v>1100</v>
      </c>
      <c r="T478" s="251" t="s">
        <v>1021</v>
      </c>
      <c r="U478" s="252">
        <v>32.0</v>
      </c>
      <c r="V478" s="252">
        <v>12.0</v>
      </c>
      <c r="W478" s="252">
        <v>5.0</v>
      </c>
      <c r="X478" s="251" t="s">
        <v>1132</v>
      </c>
      <c r="Y478" s="251" t="s">
        <v>3600</v>
      </c>
      <c r="Z478" s="251" t="s">
        <v>3601</v>
      </c>
      <c r="AA478" s="254" t="s">
        <v>1105</v>
      </c>
      <c r="AB478" s="254" t="s">
        <v>1105</v>
      </c>
    </row>
    <row r="479">
      <c r="A479" s="252">
        <v>478.0</v>
      </c>
      <c r="B479" s="251" t="s">
        <v>3602</v>
      </c>
      <c r="C479" s="252">
        <v>1.0</v>
      </c>
      <c r="D479" s="251" t="s">
        <v>3603</v>
      </c>
      <c r="E479" s="251" t="s">
        <v>1375</v>
      </c>
      <c r="F479" s="251" t="s">
        <v>1160</v>
      </c>
      <c r="G479" s="253" t="s">
        <v>3604</v>
      </c>
      <c r="H479" s="252">
        <v>3.0</v>
      </c>
      <c r="I479" s="251" t="s">
        <v>1131</v>
      </c>
      <c r="J479" s="252">
        <v>8.0</v>
      </c>
      <c r="K479" s="252">
        <v>36.0</v>
      </c>
      <c r="L479" s="252">
        <v>100.0</v>
      </c>
      <c r="M479" s="252">
        <v>18108.0</v>
      </c>
      <c r="N479" s="252">
        <v>26618.0</v>
      </c>
      <c r="O479" s="252">
        <v>6.0</v>
      </c>
      <c r="P479" s="252">
        <v>512.0</v>
      </c>
      <c r="Q479" s="252">
        <v>4974.0</v>
      </c>
      <c r="R479" s="251" t="s">
        <v>1112</v>
      </c>
      <c r="S479" s="251" t="s">
        <v>1100</v>
      </c>
      <c r="T479" s="251" t="s">
        <v>1101</v>
      </c>
      <c r="U479" s="252">
        <v>14.0</v>
      </c>
      <c r="V479" s="252">
        <v>14.0</v>
      </c>
      <c r="W479" s="252">
        <v>5.5</v>
      </c>
      <c r="X479" s="251" t="s">
        <v>1113</v>
      </c>
      <c r="Y479" s="251" t="s">
        <v>3605</v>
      </c>
      <c r="Z479" s="251" t="s">
        <v>3606</v>
      </c>
      <c r="AA479" s="254" t="s">
        <v>1105</v>
      </c>
      <c r="AB479" s="254" t="s">
        <v>1105</v>
      </c>
    </row>
    <row r="480">
      <c r="A480" s="252">
        <v>479.0</v>
      </c>
      <c r="B480" s="251" t="s">
        <v>3607</v>
      </c>
      <c r="C480" s="252">
        <v>1.0</v>
      </c>
      <c r="D480" s="251" t="s">
        <v>3608</v>
      </c>
      <c r="E480" s="251" t="s">
        <v>2399</v>
      </c>
      <c r="F480" s="251" t="s">
        <v>1215</v>
      </c>
      <c r="G480" s="253" t="s">
        <v>3609</v>
      </c>
      <c r="H480" s="252">
        <v>3.0</v>
      </c>
      <c r="I480" s="251" t="s">
        <v>1121</v>
      </c>
      <c r="J480" s="252">
        <v>10.0</v>
      </c>
      <c r="K480" s="252">
        <v>961.0</v>
      </c>
      <c r="L480" s="252">
        <v>80.0</v>
      </c>
      <c r="M480" s="252">
        <v>14610.0</v>
      </c>
      <c r="N480" s="252">
        <v>27028.0</v>
      </c>
      <c r="O480" s="252">
        <v>4.0</v>
      </c>
      <c r="P480" s="252">
        <v>64.0</v>
      </c>
      <c r="Q480" s="252">
        <v>2872.0</v>
      </c>
      <c r="R480" s="251" t="s">
        <v>1141</v>
      </c>
      <c r="S480" s="251" t="s">
        <v>1100</v>
      </c>
      <c r="T480" s="251" t="s">
        <v>1021</v>
      </c>
      <c r="U480" s="252">
        <v>16.0</v>
      </c>
      <c r="V480" s="252">
        <v>32.0</v>
      </c>
      <c r="W480" s="252">
        <v>5.2</v>
      </c>
      <c r="X480" s="251" t="s">
        <v>1113</v>
      </c>
      <c r="Y480" s="251" t="s">
        <v>3610</v>
      </c>
      <c r="Z480" s="251" t="s">
        <v>3611</v>
      </c>
      <c r="AA480" s="254" t="s">
        <v>1105</v>
      </c>
      <c r="AB480" s="254" t="s">
        <v>1105</v>
      </c>
    </row>
    <row r="481">
      <c r="A481" s="252">
        <v>480.0</v>
      </c>
      <c r="B481" s="251" t="s">
        <v>3612</v>
      </c>
      <c r="C481" s="252">
        <v>1.0</v>
      </c>
      <c r="D481" s="251" t="s">
        <v>3613</v>
      </c>
      <c r="E481" s="251" t="s">
        <v>1991</v>
      </c>
      <c r="F481" s="251" t="s">
        <v>1233</v>
      </c>
      <c r="G481" s="253" t="s">
        <v>3614</v>
      </c>
      <c r="H481" s="252">
        <v>4.0</v>
      </c>
      <c r="I481" s="251" t="s">
        <v>1131</v>
      </c>
      <c r="J481" s="252">
        <v>12.0</v>
      </c>
      <c r="K481" s="252">
        <v>367.0</v>
      </c>
      <c r="L481" s="252">
        <v>120.0</v>
      </c>
      <c r="M481" s="252">
        <v>19451.0</v>
      </c>
      <c r="N481" s="252">
        <v>24897.0</v>
      </c>
      <c r="O481" s="252">
        <v>6.0</v>
      </c>
      <c r="P481" s="252">
        <v>64.0</v>
      </c>
      <c r="Q481" s="252">
        <v>4341.0</v>
      </c>
      <c r="R481" s="251" t="s">
        <v>1112</v>
      </c>
      <c r="S481" s="251" t="s">
        <v>1100</v>
      </c>
      <c r="T481" s="251" t="s">
        <v>1101</v>
      </c>
      <c r="U481" s="252">
        <v>48.0</v>
      </c>
      <c r="V481" s="252">
        <v>14.0</v>
      </c>
      <c r="W481" s="252">
        <v>5.0</v>
      </c>
      <c r="X481" s="251" t="s">
        <v>1102</v>
      </c>
      <c r="Y481" s="251" t="s">
        <v>3615</v>
      </c>
      <c r="Z481" s="251" t="s">
        <v>3616</v>
      </c>
      <c r="AA481" s="254" t="s">
        <v>1105</v>
      </c>
      <c r="AB481" s="254" t="s">
        <v>1105</v>
      </c>
    </row>
    <row r="482">
      <c r="A482" s="252">
        <v>481.0</v>
      </c>
      <c r="B482" s="251" t="s">
        <v>3617</v>
      </c>
      <c r="C482" s="252">
        <v>1.0</v>
      </c>
      <c r="D482" s="251" t="s">
        <v>3618</v>
      </c>
      <c r="E482" s="251" t="s">
        <v>2327</v>
      </c>
      <c r="F482" s="251" t="s">
        <v>1215</v>
      </c>
      <c r="G482" s="253" t="s">
        <v>3619</v>
      </c>
      <c r="H482" s="252">
        <v>2.0</v>
      </c>
      <c r="I482" s="251" t="s">
        <v>1131</v>
      </c>
      <c r="J482" s="252">
        <v>8.0</v>
      </c>
      <c r="K482" s="252">
        <v>58.0</v>
      </c>
      <c r="L482" s="252">
        <v>120.0</v>
      </c>
      <c r="M482" s="252">
        <v>19911.0</v>
      </c>
      <c r="N482" s="252">
        <v>33848.0</v>
      </c>
      <c r="O482" s="252">
        <v>2.0</v>
      </c>
      <c r="P482" s="252">
        <v>32.0</v>
      </c>
      <c r="Q482" s="252">
        <v>4778.0</v>
      </c>
      <c r="R482" s="251" t="s">
        <v>1141</v>
      </c>
      <c r="S482" s="251" t="s">
        <v>1122</v>
      </c>
      <c r="T482" s="251" t="s">
        <v>1123</v>
      </c>
      <c r="U482" s="252">
        <v>48.0</v>
      </c>
      <c r="V482" s="252">
        <v>12.0</v>
      </c>
      <c r="W482" s="252">
        <v>5.0</v>
      </c>
      <c r="X482" s="251" t="s">
        <v>1147</v>
      </c>
      <c r="Y482" s="251" t="s">
        <v>3620</v>
      </c>
      <c r="Z482" s="251" t="s">
        <v>3621</v>
      </c>
      <c r="AA482" s="254" t="s">
        <v>1105</v>
      </c>
      <c r="AB482" s="254" t="s">
        <v>1105</v>
      </c>
    </row>
    <row r="483">
      <c r="A483" s="252">
        <v>482.0</v>
      </c>
      <c r="B483" s="251" t="s">
        <v>3622</v>
      </c>
      <c r="C483" s="252">
        <v>1.0</v>
      </c>
      <c r="D483" s="251" t="s">
        <v>3623</v>
      </c>
      <c r="E483" s="251" t="s">
        <v>1958</v>
      </c>
      <c r="F483" s="251" t="s">
        <v>1215</v>
      </c>
      <c r="G483" s="253" t="s">
        <v>3624</v>
      </c>
      <c r="H483" s="252">
        <v>2.0</v>
      </c>
      <c r="I483" s="251" t="s">
        <v>1098</v>
      </c>
      <c r="J483" s="252">
        <v>12.0</v>
      </c>
      <c r="K483" s="252">
        <v>546.0</v>
      </c>
      <c r="L483" s="252">
        <v>120.0</v>
      </c>
      <c r="M483" s="252">
        <v>3809.0</v>
      </c>
      <c r="N483" s="252">
        <v>5408.0</v>
      </c>
      <c r="O483" s="252">
        <v>4.0</v>
      </c>
      <c r="P483" s="252">
        <v>64.0</v>
      </c>
      <c r="Q483" s="252">
        <v>3130.0</v>
      </c>
      <c r="R483" s="251" t="s">
        <v>1112</v>
      </c>
      <c r="S483" s="251" t="s">
        <v>1100</v>
      </c>
      <c r="T483" s="251" t="s">
        <v>1101</v>
      </c>
      <c r="U483" s="252">
        <v>12.0</v>
      </c>
      <c r="V483" s="252">
        <v>12.0</v>
      </c>
      <c r="W483" s="252">
        <v>4.7</v>
      </c>
      <c r="X483" s="251" t="s">
        <v>1113</v>
      </c>
      <c r="Y483" s="251" t="s">
        <v>3625</v>
      </c>
      <c r="Z483" s="251" t="s">
        <v>3626</v>
      </c>
      <c r="AA483" s="254" t="s">
        <v>1105</v>
      </c>
      <c r="AB483" s="254" t="s">
        <v>1105</v>
      </c>
    </row>
    <row r="484">
      <c r="A484" s="252">
        <v>483.0</v>
      </c>
      <c r="B484" s="251" t="s">
        <v>3627</v>
      </c>
      <c r="C484" s="252">
        <v>1.0</v>
      </c>
      <c r="D484" s="251" t="s">
        <v>3628</v>
      </c>
      <c r="E484" s="251" t="s">
        <v>1728</v>
      </c>
      <c r="F484" s="251" t="s">
        <v>1202</v>
      </c>
      <c r="G484" s="253" t="s">
        <v>3629</v>
      </c>
      <c r="H484" s="252">
        <v>5.0</v>
      </c>
      <c r="I484" s="251" t="s">
        <v>1140</v>
      </c>
      <c r="J484" s="252">
        <v>8.0</v>
      </c>
      <c r="K484" s="252">
        <v>732.0</v>
      </c>
      <c r="L484" s="252">
        <v>80.0</v>
      </c>
      <c r="M484" s="252">
        <v>12372.0</v>
      </c>
      <c r="N484" s="252">
        <v>20413.0</v>
      </c>
      <c r="O484" s="252">
        <v>8.0</v>
      </c>
      <c r="P484" s="252">
        <v>128.0</v>
      </c>
      <c r="Q484" s="252">
        <v>3840.0</v>
      </c>
      <c r="R484" s="251" t="s">
        <v>1112</v>
      </c>
      <c r="S484" s="251" t="s">
        <v>1122</v>
      </c>
      <c r="T484" s="251" t="s">
        <v>1123</v>
      </c>
      <c r="U484" s="252">
        <v>16.0</v>
      </c>
      <c r="V484" s="252">
        <v>16.0</v>
      </c>
      <c r="W484" s="252">
        <v>6.3</v>
      </c>
      <c r="X484" s="251" t="s">
        <v>1147</v>
      </c>
      <c r="Y484" s="251" t="s">
        <v>3630</v>
      </c>
      <c r="Z484" s="251" t="s">
        <v>3631</v>
      </c>
      <c r="AA484" s="254" t="s">
        <v>1105</v>
      </c>
      <c r="AB484" s="254" t="s">
        <v>1105</v>
      </c>
    </row>
    <row r="485">
      <c r="A485" s="252">
        <v>484.0</v>
      </c>
      <c r="B485" s="251" t="s">
        <v>3632</v>
      </c>
      <c r="C485" s="252">
        <v>1.0</v>
      </c>
      <c r="D485" s="251" t="s">
        <v>3633</v>
      </c>
      <c r="E485" s="251" t="s">
        <v>1695</v>
      </c>
      <c r="F485" s="251" t="s">
        <v>1109</v>
      </c>
      <c r="G485" s="253" t="s">
        <v>3634</v>
      </c>
      <c r="H485" s="252">
        <v>2.0</v>
      </c>
      <c r="I485" s="251" t="s">
        <v>1098</v>
      </c>
      <c r="J485" s="252">
        <v>8.0</v>
      </c>
      <c r="K485" s="252">
        <v>322.0</v>
      </c>
      <c r="L485" s="252">
        <v>120.0</v>
      </c>
      <c r="M485" s="252">
        <v>19202.0</v>
      </c>
      <c r="N485" s="252">
        <v>26306.0</v>
      </c>
      <c r="O485" s="252">
        <v>8.0</v>
      </c>
      <c r="P485" s="252">
        <v>8.0</v>
      </c>
      <c r="Q485" s="252">
        <v>3821.0</v>
      </c>
      <c r="R485" s="251" t="s">
        <v>1112</v>
      </c>
      <c r="S485" s="251" t="s">
        <v>1100</v>
      </c>
      <c r="T485" s="251" t="s">
        <v>1123</v>
      </c>
      <c r="U485" s="252">
        <v>32.0</v>
      </c>
      <c r="V485" s="252">
        <v>14.0</v>
      </c>
      <c r="W485" s="252">
        <v>4.7</v>
      </c>
      <c r="X485" s="251" t="s">
        <v>1132</v>
      </c>
      <c r="Y485" s="251" t="s">
        <v>3635</v>
      </c>
      <c r="Z485" s="251" t="s">
        <v>3636</v>
      </c>
      <c r="AA485" s="254" t="s">
        <v>1105</v>
      </c>
      <c r="AB485" s="254" t="s">
        <v>1105</v>
      </c>
    </row>
    <row r="486">
      <c r="A486" s="252">
        <v>485.0</v>
      </c>
      <c r="B486" s="251" t="s">
        <v>3637</v>
      </c>
      <c r="C486" s="252">
        <v>1.0</v>
      </c>
      <c r="D486" s="251" t="s">
        <v>3638</v>
      </c>
      <c r="E486" s="251" t="s">
        <v>2125</v>
      </c>
      <c r="F486" s="251" t="s">
        <v>1202</v>
      </c>
      <c r="G486" s="253" t="s">
        <v>3639</v>
      </c>
      <c r="H486" s="252">
        <v>4.0</v>
      </c>
      <c r="I486" s="251" t="s">
        <v>1140</v>
      </c>
      <c r="J486" s="252">
        <v>8.0</v>
      </c>
      <c r="K486" s="252">
        <v>683.0</v>
      </c>
      <c r="L486" s="252">
        <v>120.0</v>
      </c>
      <c r="M486" s="252">
        <v>17741.0</v>
      </c>
      <c r="N486" s="252">
        <v>23772.0</v>
      </c>
      <c r="O486" s="252">
        <v>6.0</v>
      </c>
      <c r="P486" s="252">
        <v>64.0</v>
      </c>
      <c r="Q486" s="252">
        <v>4967.0</v>
      </c>
      <c r="R486" s="251" t="s">
        <v>1141</v>
      </c>
      <c r="S486" s="251" t="s">
        <v>1122</v>
      </c>
      <c r="T486" s="251" t="s">
        <v>1021</v>
      </c>
      <c r="U486" s="252">
        <v>48.0</v>
      </c>
      <c r="V486" s="252">
        <v>32.0</v>
      </c>
      <c r="W486" s="252">
        <v>5.2</v>
      </c>
      <c r="X486" s="251" t="s">
        <v>1147</v>
      </c>
      <c r="Y486" s="251" t="s">
        <v>3640</v>
      </c>
      <c r="Z486" s="251" t="s">
        <v>3641</v>
      </c>
      <c r="AA486" s="254" t="s">
        <v>1105</v>
      </c>
      <c r="AB486" s="254" t="s">
        <v>1105</v>
      </c>
    </row>
    <row r="487">
      <c r="A487" s="252">
        <v>486.0</v>
      </c>
      <c r="B487" s="251" t="s">
        <v>3642</v>
      </c>
      <c r="C487" s="252">
        <v>1.0</v>
      </c>
      <c r="D487" s="251" t="s">
        <v>3643</v>
      </c>
      <c r="E487" s="251" t="s">
        <v>1836</v>
      </c>
      <c r="F487" s="251" t="s">
        <v>1233</v>
      </c>
      <c r="G487" s="253" t="s">
        <v>3644</v>
      </c>
      <c r="H487" s="252">
        <v>5.0</v>
      </c>
      <c r="I487" s="251" t="s">
        <v>1140</v>
      </c>
      <c r="J487" s="252">
        <v>10.0</v>
      </c>
      <c r="K487" s="252">
        <v>35.0</v>
      </c>
      <c r="L487" s="252">
        <v>80.0</v>
      </c>
      <c r="M487" s="252">
        <v>11734.0</v>
      </c>
      <c r="N487" s="252">
        <v>14315.0</v>
      </c>
      <c r="O487" s="252">
        <v>4.0</v>
      </c>
      <c r="P487" s="252">
        <v>512.0</v>
      </c>
      <c r="Q487" s="252">
        <v>2018.0</v>
      </c>
      <c r="R487" s="251" t="s">
        <v>1112</v>
      </c>
      <c r="S487" s="251" t="s">
        <v>1100</v>
      </c>
      <c r="T487" s="251" t="s">
        <v>1101</v>
      </c>
      <c r="U487" s="252">
        <v>14.0</v>
      </c>
      <c r="V487" s="252">
        <v>16.0</v>
      </c>
      <c r="W487" s="252">
        <v>5.0</v>
      </c>
      <c r="X487" s="251" t="s">
        <v>1132</v>
      </c>
      <c r="Y487" s="251" t="s">
        <v>3645</v>
      </c>
      <c r="Z487" s="251" t="s">
        <v>3646</v>
      </c>
      <c r="AA487" s="254" t="s">
        <v>1105</v>
      </c>
      <c r="AB487" s="254" t="s">
        <v>1105</v>
      </c>
    </row>
    <row r="488">
      <c r="A488" s="252">
        <v>487.0</v>
      </c>
      <c r="B488" s="251" t="s">
        <v>3647</v>
      </c>
      <c r="C488" s="252">
        <v>1.0</v>
      </c>
      <c r="D488" s="251" t="s">
        <v>3648</v>
      </c>
      <c r="E488" s="251" t="s">
        <v>1283</v>
      </c>
      <c r="F488" s="251" t="s">
        <v>1096</v>
      </c>
      <c r="G488" s="253" t="s">
        <v>3649</v>
      </c>
      <c r="H488" s="252">
        <v>4.0</v>
      </c>
      <c r="I488" s="251" t="s">
        <v>1131</v>
      </c>
      <c r="J488" s="252">
        <v>12.0</v>
      </c>
      <c r="K488" s="252">
        <v>92.0</v>
      </c>
      <c r="L488" s="252">
        <v>80.0</v>
      </c>
      <c r="M488" s="252">
        <v>22181.0</v>
      </c>
      <c r="N488" s="252">
        <v>34380.0</v>
      </c>
      <c r="O488" s="252">
        <v>8.0</v>
      </c>
      <c r="P488" s="252">
        <v>512.0</v>
      </c>
      <c r="Q488" s="252">
        <v>3110.0</v>
      </c>
      <c r="R488" s="251" t="s">
        <v>1099</v>
      </c>
      <c r="S488" s="251" t="s">
        <v>1122</v>
      </c>
      <c r="T488" s="251" t="s">
        <v>1101</v>
      </c>
      <c r="U488" s="252">
        <v>16.0</v>
      </c>
      <c r="V488" s="252">
        <v>32.0</v>
      </c>
      <c r="W488" s="252">
        <v>5.5</v>
      </c>
      <c r="X488" s="251" t="s">
        <v>1113</v>
      </c>
      <c r="Y488" s="251" t="s">
        <v>3650</v>
      </c>
      <c r="Z488" s="251" t="s">
        <v>3651</v>
      </c>
      <c r="AA488" s="254" t="s">
        <v>1105</v>
      </c>
      <c r="AB488" s="254" t="s">
        <v>1105</v>
      </c>
    </row>
    <row r="489">
      <c r="A489" s="252">
        <v>488.0</v>
      </c>
      <c r="B489" s="251" t="s">
        <v>3652</v>
      </c>
      <c r="C489" s="252">
        <v>1.0</v>
      </c>
      <c r="D489" s="251" t="s">
        <v>3653</v>
      </c>
      <c r="E489" s="251" t="s">
        <v>1128</v>
      </c>
      <c r="F489" s="251" t="s">
        <v>1129</v>
      </c>
      <c r="G489" s="253" t="s">
        <v>3654</v>
      </c>
      <c r="H489" s="252">
        <v>5.0</v>
      </c>
      <c r="I489" s="251" t="s">
        <v>1121</v>
      </c>
      <c r="J489" s="252">
        <v>10.0</v>
      </c>
      <c r="K489" s="252">
        <v>998.0</v>
      </c>
      <c r="L489" s="252">
        <v>80.0</v>
      </c>
      <c r="M489" s="252">
        <v>11437.0</v>
      </c>
      <c r="N489" s="252">
        <v>16698.0</v>
      </c>
      <c r="O489" s="252">
        <v>12.0</v>
      </c>
      <c r="P489" s="252">
        <v>16.0</v>
      </c>
      <c r="Q489" s="252">
        <v>5711.0</v>
      </c>
      <c r="R489" s="251" t="s">
        <v>1141</v>
      </c>
      <c r="S489" s="251" t="s">
        <v>1122</v>
      </c>
      <c r="T489" s="251" t="s">
        <v>1021</v>
      </c>
      <c r="U489" s="252">
        <v>48.0</v>
      </c>
      <c r="V489" s="252">
        <v>12.0</v>
      </c>
      <c r="W489" s="252">
        <v>4.7</v>
      </c>
      <c r="X489" s="251" t="s">
        <v>1147</v>
      </c>
      <c r="Y489" s="251" t="s">
        <v>3655</v>
      </c>
      <c r="Z489" s="251" t="s">
        <v>3656</v>
      </c>
      <c r="AA489" s="254" t="s">
        <v>1105</v>
      </c>
      <c r="AB489" s="254" t="s">
        <v>1105</v>
      </c>
    </row>
    <row r="490">
      <c r="A490" s="252">
        <v>489.0</v>
      </c>
      <c r="B490" s="251" t="s">
        <v>3657</v>
      </c>
      <c r="C490" s="252">
        <v>1.0</v>
      </c>
      <c r="D490" s="251" t="s">
        <v>3658</v>
      </c>
      <c r="E490" s="251" t="s">
        <v>2276</v>
      </c>
      <c r="F490" s="251" t="s">
        <v>1215</v>
      </c>
      <c r="G490" s="253" t="s">
        <v>3659</v>
      </c>
      <c r="H490" s="252">
        <v>4.0</v>
      </c>
      <c r="I490" s="251" t="s">
        <v>1098</v>
      </c>
      <c r="J490" s="252">
        <v>8.0</v>
      </c>
      <c r="K490" s="252">
        <v>877.0</v>
      </c>
      <c r="L490" s="252">
        <v>80.0</v>
      </c>
      <c r="M490" s="252">
        <v>12471.0</v>
      </c>
      <c r="N490" s="252">
        <v>18207.0</v>
      </c>
      <c r="O490" s="252">
        <v>8.0</v>
      </c>
      <c r="P490" s="252">
        <v>512.0</v>
      </c>
      <c r="Q490" s="252">
        <v>3960.0</v>
      </c>
      <c r="R490" s="251" t="s">
        <v>1112</v>
      </c>
      <c r="S490" s="251" t="s">
        <v>1122</v>
      </c>
      <c r="T490" s="251" t="s">
        <v>1123</v>
      </c>
      <c r="U490" s="252">
        <v>12.0</v>
      </c>
      <c r="V490" s="252">
        <v>48.0</v>
      </c>
      <c r="W490" s="252">
        <v>4.7</v>
      </c>
      <c r="X490" s="251" t="s">
        <v>1113</v>
      </c>
      <c r="Y490" s="251" t="s">
        <v>3660</v>
      </c>
      <c r="Z490" s="251" t="s">
        <v>3661</v>
      </c>
      <c r="AA490" s="254" t="s">
        <v>1105</v>
      </c>
      <c r="AB490" s="254" t="s">
        <v>1105</v>
      </c>
    </row>
    <row r="491">
      <c r="A491" s="252">
        <v>490.0</v>
      </c>
      <c r="B491" s="251" t="s">
        <v>3662</v>
      </c>
      <c r="C491" s="252">
        <v>1.0</v>
      </c>
      <c r="D491" s="251" t="s">
        <v>3663</v>
      </c>
      <c r="E491" s="251" t="s">
        <v>1627</v>
      </c>
      <c r="F491" s="251" t="s">
        <v>1160</v>
      </c>
      <c r="G491" s="253" t="s">
        <v>3664</v>
      </c>
      <c r="H491" s="252">
        <v>5.0</v>
      </c>
      <c r="I491" s="251" t="s">
        <v>1098</v>
      </c>
      <c r="J491" s="252">
        <v>8.0</v>
      </c>
      <c r="K491" s="252">
        <v>824.0</v>
      </c>
      <c r="L491" s="252">
        <v>80.0</v>
      </c>
      <c r="M491" s="252">
        <v>15110.0</v>
      </c>
      <c r="N491" s="252">
        <v>24931.0</v>
      </c>
      <c r="O491" s="252">
        <v>12.0</v>
      </c>
      <c r="P491" s="252">
        <v>512.0</v>
      </c>
      <c r="Q491" s="252">
        <v>5796.0</v>
      </c>
      <c r="R491" s="251" t="s">
        <v>1141</v>
      </c>
      <c r="S491" s="251" t="s">
        <v>1122</v>
      </c>
      <c r="T491" s="251" t="s">
        <v>1123</v>
      </c>
      <c r="U491" s="252">
        <v>48.0</v>
      </c>
      <c r="V491" s="252">
        <v>32.0</v>
      </c>
      <c r="W491" s="252">
        <v>6.0</v>
      </c>
      <c r="X491" s="251" t="s">
        <v>1113</v>
      </c>
      <c r="Y491" s="251" t="s">
        <v>3665</v>
      </c>
      <c r="Z491" s="251" t="s">
        <v>3666</v>
      </c>
      <c r="AA491" s="254" t="s">
        <v>1105</v>
      </c>
      <c r="AB491" s="254" t="s">
        <v>1105</v>
      </c>
    </row>
    <row r="492">
      <c r="A492" s="252">
        <v>491.0</v>
      </c>
      <c r="B492" s="251" t="s">
        <v>3667</v>
      </c>
      <c r="C492" s="252">
        <v>1.0</v>
      </c>
      <c r="D492" s="251" t="s">
        <v>3668</v>
      </c>
      <c r="E492" s="251" t="s">
        <v>1375</v>
      </c>
      <c r="F492" s="251" t="s">
        <v>1160</v>
      </c>
      <c r="G492" s="253" t="s">
        <v>3669</v>
      </c>
      <c r="H492" s="252">
        <v>2.0</v>
      </c>
      <c r="I492" s="251" t="s">
        <v>1140</v>
      </c>
      <c r="J492" s="252">
        <v>10.0</v>
      </c>
      <c r="K492" s="252">
        <v>970.0</v>
      </c>
      <c r="L492" s="252">
        <v>100.0</v>
      </c>
      <c r="M492" s="252">
        <v>4370.0</v>
      </c>
      <c r="N492" s="252">
        <v>7603.0</v>
      </c>
      <c r="O492" s="252">
        <v>12.0</v>
      </c>
      <c r="P492" s="252">
        <v>64.0</v>
      </c>
      <c r="Q492" s="252">
        <v>3270.0</v>
      </c>
      <c r="R492" s="251" t="s">
        <v>1112</v>
      </c>
      <c r="S492" s="251" t="s">
        <v>1122</v>
      </c>
      <c r="T492" s="251" t="s">
        <v>1101</v>
      </c>
      <c r="U492" s="252">
        <v>16.0</v>
      </c>
      <c r="V492" s="252">
        <v>12.0</v>
      </c>
      <c r="W492" s="252">
        <v>6.3</v>
      </c>
      <c r="X492" s="251" t="s">
        <v>1132</v>
      </c>
      <c r="Y492" s="251" t="s">
        <v>3670</v>
      </c>
      <c r="Z492" s="251" t="s">
        <v>3671</v>
      </c>
      <c r="AA492" s="254" t="s">
        <v>1105</v>
      </c>
      <c r="AB492" s="254" t="s">
        <v>1105</v>
      </c>
    </row>
    <row r="493">
      <c r="A493" s="252">
        <v>492.0</v>
      </c>
      <c r="B493" s="251" t="s">
        <v>3672</v>
      </c>
      <c r="C493" s="252">
        <v>1.0</v>
      </c>
      <c r="D493" s="251" t="s">
        <v>3673</v>
      </c>
      <c r="E493" s="251" t="s">
        <v>1458</v>
      </c>
      <c r="F493" s="251" t="s">
        <v>1109</v>
      </c>
      <c r="G493" s="253" t="s">
        <v>3674</v>
      </c>
      <c r="H493" s="252">
        <v>5.0</v>
      </c>
      <c r="I493" s="251" t="s">
        <v>1098</v>
      </c>
      <c r="J493" s="252">
        <v>10.0</v>
      </c>
      <c r="K493" s="252">
        <v>817.0</v>
      </c>
      <c r="L493" s="252">
        <v>80.0</v>
      </c>
      <c r="M493" s="252">
        <v>20073.0</v>
      </c>
      <c r="N493" s="252">
        <v>24890.0</v>
      </c>
      <c r="O493" s="252">
        <v>4.0</v>
      </c>
      <c r="P493" s="252">
        <v>512.0</v>
      </c>
      <c r="Q493" s="252">
        <v>6488.0</v>
      </c>
      <c r="R493" s="251" t="s">
        <v>1112</v>
      </c>
      <c r="S493" s="251" t="s">
        <v>1122</v>
      </c>
      <c r="T493" s="251" t="s">
        <v>1123</v>
      </c>
      <c r="U493" s="252">
        <v>32.0</v>
      </c>
      <c r="V493" s="252">
        <v>32.0</v>
      </c>
      <c r="W493" s="252">
        <v>5.5</v>
      </c>
      <c r="X493" s="251" t="s">
        <v>1102</v>
      </c>
      <c r="Y493" s="251" t="s">
        <v>3675</v>
      </c>
      <c r="Z493" s="251" t="s">
        <v>3676</v>
      </c>
      <c r="AA493" s="254" t="s">
        <v>1105</v>
      </c>
      <c r="AB493" s="254" t="s">
        <v>1105</v>
      </c>
    </row>
    <row r="494">
      <c r="A494" s="252">
        <v>493.0</v>
      </c>
      <c r="B494" s="251" t="s">
        <v>3677</v>
      </c>
      <c r="C494" s="252">
        <v>1.0</v>
      </c>
      <c r="D494" s="251" t="s">
        <v>3678</v>
      </c>
      <c r="E494" s="251" t="s">
        <v>1166</v>
      </c>
      <c r="F494" s="251" t="s">
        <v>1119</v>
      </c>
      <c r="G494" s="253" t="s">
        <v>3679</v>
      </c>
      <c r="H494" s="252">
        <v>2.0</v>
      </c>
      <c r="I494" s="251" t="s">
        <v>1131</v>
      </c>
      <c r="J494" s="252">
        <v>8.0</v>
      </c>
      <c r="K494" s="252">
        <v>487.0</v>
      </c>
      <c r="L494" s="252">
        <v>100.0</v>
      </c>
      <c r="M494" s="252">
        <v>9594.0</v>
      </c>
      <c r="N494" s="252">
        <v>17557.0</v>
      </c>
      <c r="O494" s="252">
        <v>2.0</v>
      </c>
      <c r="P494" s="252">
        <v>16.0</v>
      </c>
      <c r="Q494" s="252">
        <v>6148.0</v>
      </c>
      <c r="R494" s="251" t="s">
        <v>1112</v>
      </c>
      <c r="S494" s="251" t="s">
        <v>1122</v>
      </c>
      <c r="T494" s="251" t="s">
        <v>1101</v>
      </c>
      <c r="U494" s="252">
        <v>16.0</v>
      </c>
      <c r="V494" s="252">
        <v>16.0</v>
      </c>
      <c r="W494" s="252">
        <v>6.3</v>
      </c>
      <c r="X494" s="251" t="s">
        <v>1113</v>
      </c>
      <c r="Y494" s="251" t="s">
        <v>3680</v>
      </c>
      <c r="Z494" s="251" t="s">
        <v>3681</v>
      </c>
      <c r="AA494" s="254" t="s">
        <v>1105</v>
      </c>
      <c r="AB494" s="254" t="s">
        <v>1105</v>
      </c>
    </row>
    <row r="495">
      <c r="A495" s="252">
        <v>494.0</v>
      </c>
      <c r="B495" s="251" t="s">
        <v>3682</v>
      </c>
      <c r="C495" s="252">
        <v>1.0</v>
      </c>
      <c r="D495" s="251" t="s">
        <v>3683</v>
      </c>
      <c r="E495" s="251" t="s">
        <v>1650</v>
      </c>
      <c r="F495" s="251" t="s">
        <v>1160</v>
      </c>
      <c r="G495" s="253" t="s">
        <v>3684</v>
      </c>
      <c r="H495" s="252">
        <v>2.0</v>
      </c>
      <c r="I495" s="251" t="s">
        <v>1140</v>
      </c>
      <c r="J495" s="252">
        <v>8.0</v>
      </c>
      <c r="K495" s="252">
        <v>943.0</v>
      </c>
      <c r="L495" s="252">
        <v>100.0</v>
      </c>
      <c r="M495" s="252">
        <v>4069.0</v>
      </c>
      <c r="N495" s="252">
        <v>7324.0</v>
      </c>
      <c r="O495" s="252">
        <v>8.0</v>
      </c>
      <c r="P495" s="252">
        <v>8.0</v>
      </c>
      <c r="Q495" s="252">
        <v>2062.0</v>
      </c>
      <c r="R495" s="251" t="s">
        <v>1141</v>
      </c>
      <c r="S495" s="251" t="s">
        <v>1122</v>
      </c>
      <c r="T495" s="251" t="s">
        <v>1123</v>
      </c>
      <c r="U495" s="252">
        <v>48.0</v>
      </c>
      <c r="V495" s="252">
        <v>16.0</v>
      </c>
      <c r="W495" s="252">
        <v>5.0</v>
      </c>
      <c r="X495" s="251" t="s">
        <v>1113</v>
      </c>
      <c r="Y495" s="251" t="s">
        <v>3685</v>
      </c>
      <c r="Z495" s="251" t="s">
        <v>3686</v>
      </c>
      <c r="AA495" s="254" t="s">
        <v>1105</v>
      </c>
      <c r="AB495" s="254" t="s">
        <v>1105</v>
      </c>
    </row>
    <row r="496">
      <c r="A496" s="252">
        <v>495.0</v>
      </c>
      <c r="B496" s="251" t="s">
        <v>3687</v>
      </c>
      <c r="C496" s="252">
        <v>1.0</v>
      </c>
      <c r="D496" s="251" t="s">
        <v>3688</v>
      </c>
      <c r="E496" s="251" t="s">
        <v>1446</v>
      </c>
      <c r="F496" s="251" t="s">
        <v>1160</v>
      </c>
      <c r="G496" s="253" t="s">
        <v>3689</v>
      </c>
      <c r="H496" s="252">
        <v>4.0</v>
      </c>
      <c r="I496" s="251" t="s">
        <v>1131</v>
      </c>
      <c r="J496" s="252">
        <v>12.0</v>
      </c>
      <c r="K496" s="252">
        <v>125.0</v>
      </c>
      <c r="L496" s="252">
        <v>80.0</v>
      </c>
      <c r="M496" s="252">
        <v>16606.0</v>
      </c>
      <c r="N496" s="252">
        <v>22750.0</v>
      </c>
      <c r="O496" s="252">
        <v>4.0</v>
      </c>
      <c r="P496" s="252">
        <v>64.0</v>
      </c>
      <c r="Q496" s="252">
        <v>5225.0</v>
      </c>
      <c r="R496" s="251" t="s">
        <v>1112</v>
      </c>
      <c r="S496" s="251" t="s">
        <v>1100</v>
      </c>
      <c r="T496" s="251" t="s">
        <v>1123</v>
      </c>
      <c r="U496" s="252">
        <v>12.0</v>
      </c>
      <c r="V496" s="252">
        <v>12.0</v>
      </c>
      <c r="W496" s="252">
        <v>5.5</v>
      </c>
      <c r="X496" s="251" t="s">
        <v>1102</v>
      </c>
      <c r="Y496" s="251" t="s">
        <v>3690</v>
      </c>
      <c r="Z496" s="251" t="s">
        <v>3691</v>
      </c>
      <c r="AA496" s="254" t="s">
        <v>1105</v>
      </c>
      <c r="AB496" s="254" t="s">
        <v>1105</v>
      </c>
    </row>
    <row r="497">
      <c r="A497" s="252">
        <v>496.0</v>
      </c>
      <c r="B497" s="251" t="s">
        <v>3692</v>
      </c>
      <c r="C497" s="252">
        <v>1.0</v>
      </c>
      <c r="D497" s="251" t="s">
        <v>3693</v>
      </c>
      <c r="E497" s="251" t="s">
        <v>1159</v>
      </c>
      <c r="F497" s="251" t="s">
        <v>1160</v>
      </c>
      <c r="G497" s="253" t="s">
        <v>3694</v>
      </c>
      <c r="H497" s="252">
        <v>2.0</v>
      </c>
      <c r="I497" s="251" t="s">
        <v>1111</v>
      </c>
      <c r="J497" s="252">
        <v>12.0</v>
      </c>
      <c r="K497" s="252">
        <v>523.0</v>
      </c>
      <c r="L497" s="252">
        <v>100.0</v>
      </c>
      <c r="M497" s="252">
        <v>19661.0</v>
      </c>
      <c r="N497" s="252">
        <v>24969.0</v>
      </c>
      <c r="O497" s="252">
        <v>2.0</v>
      </c>
      <c r="P497" s="252">
        <v>8.0</v>
      </c>
      <c r="Q497" s="252">
        <v>2851.0</v>
      </c>
      <c r="R497" s="251" t="s">
        <v>1112</v>
      </c>
      <c r="S497" s="251" t="s">
        <v>1100</v>
      </c>
      <c r="T497" s="251" t="s">
        <v>1021</v>
      </c>
      <c r="U497" s="252">
        <v>32.0</v>
      </c>
      <c r="V497" s="252">
        <v>16.0</v>
      </c>
      <c r="W497" s="252">
        <v>6.3</v>
      </c>
      <c r="X497" s="251" t="s">
        <v>1132</v>
      </c>
      <c r="Y497" s="251" t="s">
        <v>3695</v>
      </c>
      <c r="Z497" s="251" t="s">
        <v>3696</v>
      </c>
      <c r="AA497" s="254" t="s">
        <v>1105</v>
      </c>
      <c r="AB497" s="254" t="s">
        <v>1105</v>
      </c>
    </row>
    <row r="498">
      <c r="A498" s="252">
        <v>497.0</v>
      </c>
      <c r="B498" s="251" t="s">
        <v>3697</v>
      </c>
      <c r="C498" s="252">
        <v>1.0</v>
      </c>
      <c r="D498" s="251" t="s">
        <v>3698</v>
      </c>
      <c r="E498" s="251" t="s">
        <v>2215</v>
      </c>
      <c r="F498" s="251" t="s">
        <v>1119</v>
      </c>
      <c r="G498" s="253" t="s">
        <v>3699</v>
      </c>
      <c r="H498" s="252">
        <v>3.0</v>
      </c>
      <c r="I498" s="251" t="s">
        <v>1131</v>
      </c>
      <c r="J498" s="252">
        <v>10.0</v>
      </c>
      <c r="K498" s="252">
        <v>469.0</v>
      </c>
      <c r="L498" s="252">
        <v>80.0</v>
      </c>
      <c r="M498" s="252">
        <v>14467.0</v>
      </c>
      <c r="N498" s="252">
        <v>20687.0</v>
      </c>
      <c r="O498" s="252">
        <v>4.0</v>
      </c>
      <c r="P498" s="252">
        <v>8.0</v>
      </c>
      <c r="Q498" s="252">
        <v>5506.0</v>
      </c>
      <c r="R498" s="251" t="s">
        <v>1112</v>
      </c>
      <c r="S498" s="251" t="s">
        <v>1100</v>
      </c>
      <c r="T498" s="251" t="s">
        <v>1101</v>
      </c>
      <c r="U498" s="252">
        <v>32.0</v>
      </c>
      <c r="V498" s="252">
        <v>16.0</v>
      </c>
      <c r="W498" s="252">
        <v>5.2</v>
      </c>
      <c r="X498" s="251" t="s">
        <v>1147</v>
      </c>
      <c r="Y498" s="251" t="s">
        <v>3700</v>
      </c>
      <c r="Z498" s="251" t="s">
        <v>3701</v>
      </c>
      <c r="AA498" s="254" t="s">
        <v>1105</v>
      </c>
      <c r="AB498" s="254" t="s">
        <v>1105</v>
      </c>
    </row>
    <row r="499">
      <c r="A499" s="252">
        <v>498.0</v>
      </c>
      <c r="B499" s="251" t="s">
        <v>3702</v>
      </c>
      <c r="C499" s="252">
        <v>1.0</v>
      </c>
      <c r="D499" s="251" t="s">
        <v>3703</v>
      </c>
      <c r="E499" s="251" t="s">
        <v>1405</v>
      </c>
      <c r="F499" s="251" t="s">
        <v>1202</v>
      </c>
      <c r="G499" s="253" t="s">
        <v>3704</v>
      </c>
      <c r="H499" s="252">
        <v>4.0</v>
      </c>
      <c r="I499" s="251" t="s">
        <v>1121</v>
      </c>
      <c r="J499" s="252">
        <v>8.0</v>
      </c>
      <c r="K499" s="252">
        <v>335.0</v>
      </c>
      <c r="L499" s="252">
        <v>120.0</v>
      </c>
      <c r="M499" s="252">
        <v>22880.0</v>
      </c>
      <c r="N499" s="252">
        <v>32032.0</v>
      </c>
      <c r="O499" s="252">
        <v>6.0</v>
      </c>
      <c r="P499" s="252">
        <v>64.0</v>
      </c>
      <c r="Q499" s="252">
        <v>3398.0</v>
      </c>
      <c r="R499" s="251" t="s">
        <v>1141</v>
      </c>
      <c r="S499" s="251" t="s">
        <v>1100</v>
      </c>
      <c r="T499" s="251" t="s">
        <v>1021</v>
      </c>
      <c r="U499" s="252">
        <v>12.0</v>
      </c>
      <c r="V499" s="252">
        <v>32.0</v>
      </c>
      <c r="W499" s="252">
        <v>4.7</v>
      </c>
      <c r="X499" s="251" t="s">
        <v>1113</v>
      </c>
      <c r="Y499" s="251" t="s">
        <v>3705</v>
      </c>
      <c r="Z499" s="251" t="s">
        <v>3706</v>
      </c>
      <c r="AA499" s="254" t="s">
        <v>1105</v>
      </c>
      <c r="AB499" s="254" t="s">
        <v>1105</v>
      </c>
    </row>
    <row r="500">
      <c r="A500" s="252">
        <v>499.0</v>
      </c>
      <c r="B500" s="251" t="s">
        <v>3707</v>
      </c>
      <c r="C500" s="252">
        <v>1.0</v>
      </c>
      <c r="D500" s="251" t="s">
        <v>3708</v>
      </c>
      <c r="E500" s="251" t="s">
        <v>2177</v>
      </c>
      <c r="F500" s="251" t="s">
        <v>1129</v>
      </c>
      <c r="G500" s="253" t="s">
        <v>3709</v>
      </c>
      <c r="H500" s="252">
        <v>6.0</v>
      </c>
      <c r="I500" s="251" t="s">
        <v>1111</v>
      </c>
      <c r="J500" s="252">
        <v>12.0</v>
      </c>
      <c r="K500" s="252">
        <v>484.0</v>
      </c>
      <c r="L500" s="252">
        <v>100.0</v>
      </c>
      <c r="M500" s="252">
        <v>15307.0</v>
      </c>
      <c r="N500" s="252">
        <v>24644.0</v>
      </c>
      <c r="O500" s="252">
        <v>4.0</v>
      </c>
      <c r="P500" s="252">
        <v>32.0</v>
      </c>
      <c r="Q500" s="252">
        <v>4036.0</v>
      </c>
      <c r="R500" s="251" t="s">
        <v>1112</v>
      </c>
      <c r="S500" s="251" t="s">
        <v>1122</v>
      </c>
      <c r="T500" s="251" t="s">
        <v>1101</v>
      </c>
      <c r="U500" s="252">
        <v>32.0</v>
      </c>
      <c r="V500" s="252">
        <v>14.0</v>
      </c>
      <c r="W500" s="252">
        <v>6.3</v>
      </c>
      <c r="X500" s="251" t="s">
        <v>1132</v>
      </c>
      <c r="Y500" s="251" t="s">
        <v>3710</v>
      </c>
      <c r="Z500" s="251" t="s">
        <v>3711</v>
      </c>
      <c r="AA500" s="254" t="s">
        <v>1105</v>
      </c>
      <c r="AB500" s="254" t="s">
        <v>1105</v>
      </c>
    </row>
    <row r="501">
      <c r="A501" s="252">
        <v>500.0</v>
      </c>
      <c r="B501" s="251" t="s">
        <v>3712</v>
      </c>
      <c r="C501" s="252">
        <v>1.0</v>
      </c>
      <c r="D501" s="251" t="s">
        <v>3713</v>
      </c>
      <c r="E501" s="251" t="s">
        <v>1221</v>
      </c>
      <c r="F501" s="251" t="s">
        <v>1160</v>
      </c>
      <c r="G501" s="253" t="s">
        <v>3714</v>
      </c>
      <c r="H501" s="252">
        <v>4.0</v>
      </c>
      <c r="I501" s="251" t="s">
        <v>1131</v>
      </c>
      <c r="J501" s="252">
        <v>12.0</v>
      </c>
      <c r="K501" s="252">
        <v>664.0</v>
      </c>
      <c r="L501" s="252">
        <v>80.0</v>
      </c>
      <c r="M501" s="252">
        <v>18560.0</v>
      </c>
      <c r="N501" s="252">
        <v>26540.0</v>
      </c>
      <c r="O501" s="252">
        <v>12.0</v>
      </c>
      <c r="P501" s="252">
        <v>16.0</v>
      </c>
      <c r="Q501" s="252">
        <v>2273.0</v>
      </c>
      <c r="R501" s="251" t="s">
        <v>1112</v>
      </c>
      <c r="S501" s="251" t="s">
        <v>1122</v>
      </c>
      <c r="T501" s="251" t="s">
        <v>1021</v>
      </c>
      <c r="U501" s="252">
        <v>12.0</v>
      </c>
      <c r="V501" s="252">
        <v>14.0</v>
      </c>
      <c r="W501" s="252">
        <v>6.3</v>
      </c>
      <c r="X501" s="251" t="s">
        <v>1102</v>
      </c>
      <c r="Y501" s="251" t="s">
        <v>3715</v>
      </c>
      <c r="Z501" s="251" t="s">
        <v>3716</v>
      </c>
      <c r="AA501" s="254" t="s">
        <v>1105</v>
      </c>
      <c r="AB501" s="254" t="s">
        <v>1105</v>
      </c>
    </row>
    <row r="502">
      <c r="A502" s="252">
        <v>501.0</v>
      </c>
      <c r="B502" s="251" t="s">
        <v>3717</v>
      </c>
      <c r="C502" s="252">
        <v>1.0</v>
      </c>
      <c r="D502" s="251" t="s">
        <v>3718</v>
      </c>
      <c r="E502" s="251" t="s">
        <v>1964</v>
      </c>
      <c r="F502" s="251" t="s">
        <v>1129</v>
      </c>
      <c r="G502" s="253" t="s">
        <v>3719</v>
      </c>
      <c r="H502" s="252">
        <v>3.0</v>
      </c>
      <c r="I502" s="251" t="s">
        <v>1131</v>
      </c>
      <c r="J502" s="252">
        <v>10.0</v>
      </c>
      <c r="K502" s="252">
        <v>762.0</v>
      </c>
      <c r="L502" s="252">
        <v>120.0</v>
      </c>
      <c r="M502" s="252">
        <v>13308.0</v>
      </c>
      <c r="N502" s="252">
        <v>19695.0</v>
      </c>
      <c r="O502" s="252">
        <v>2.0</v>
      </c>
      <c r="P502" s="252">
        <v>16.0</v>
      </c>
      <c r="Q502" s="252">
        <v>5649.0</v>
      </c>
      <c r="R502" s="251" t="s">
        <v>1112</v>
      </c>
      <c r="S502" s="251" t="s">
        <v>1100</v>
      </c>
      <c r="T502" s="251" t="s">
        <v>1021</v>
      </c>
      <c r="U502" s="252">
        <v>16.0</v>
      </c>
      <c r="V502" s="252">
        <v>48.0</v>
      </c>
      <c r="W502" s="252">
        <v>6.0</v>
      </c>
      <c r="X502" s="251" t="s">
        <v>1147</v>
      </c>
      <c r="Y502" s="251" t="s">
        <v>3720</v>
      </c>
      <c r="Z502" s="251" t="s">
        <v>3721</v>
      </c>
      <c r="AA502" s="254" t="s">
        <v>1105</v>
      </c>
      <c r="AB502" s="254" t="s">
        <v>1105</v>
      </c>
    </row>
    <row r="503">
      <c r="A503" s="252">
        <v>502.0</v>
      </c>
      <c r="B503" s="251" t="s">
        <v>3722</v>
      </c>
      <c r="C503" s="252">
        <v>1.0</v>
      </c>
      <c r="D503" s="251" t="s">
        <v>3723</v>
      </c>
      <c r="E503" s="251" t="s">
        <v>2017</v>
      </c>
      <c r="F503" s="251" t="s">
        <v>1215</v>
      </c>
      <c r="G503" s="253" t="s">
        <v>3724</v>
      </c>
      <c r="H503" s="252">
        <v>6.0</v>
      </c>
      <c r="I503" s="251" t="s">
        <v>1111</v>
      </c>
      <c r="J503" s="252">
        <v>10.0</v>
      </c>
      <c r="K503" s="252">
        <v>976.0</v>
      </c>
      <c r="L503" s="252">
        <v>100.0</v>
      </c>
      <c r="M503" s="252">
        <v>18104.0</v>
      </c>
      <c r="N503" s="252">
        <v>29147.0</v>
      </c>
      <c r="O503" s="252">
        <v>4.0</v>
      </c>
      <c r="P503" s="252">
        <v>64.0</v>
      </c>
      <c r="Q503" s="252">
        <v>3475.0</v>
      </c>
      <c r="R503" s="251" t="s">
        <v>1099</v>
      </c>
      <c r="S503" s="251" t="s">
        <v>1122</v>
      </c>
      <c r="T503" s="251" t="s">
        <v>1101</v>
      </c>
      <c r="U503" s="252">
        <v>12.0</v>
      </c>
      <c r="V503" s="252">
        <v>48.0</v>
      </c>
      <c r="W503" s="252">
        <v>5.0</v>
      </c>
      <c r="X503" s="251" t="s">
        <v>1147</v>
      </c>
      <c r="Y503" s="251" t="s">
        <v>3725</v>
      </c>
      <c r="Z503" s="251" t="s">
        <v>3726</v>
      </c>
      <c r="AA503" s="254" t="s">
        <v>1105</v>
      </c>
      <c r="AB503" s="254" t="s">
        <v>1105</v>
      </c>
    </row>
    <row r="504">
      <c r="A504" s="252">
        <v>503.0</v>
      </c>
      <c r="B504" s="251" t="s">
        <v>3727</v>
      </c>
      <c r="C504" s="252">
        <v>1.0</v>
      </c>
      <c r="D504" s="251" t="s">
        <v>3728</v>
      </c>
      <c r="E504" s="251" t="s">
        <v>1470</v>
      </c>
      <c r="F504" s="251" t="s">
        <v>1215</v>
      </c>
      <c r="G504" s="253" t="s">
        <v>3729</v>
      </c>
      <c r="H504" s="252">
        <v>2.0</v>
      </c>
      <c r="I504" s="251" t="s">
        <v>1140</v>
      </c>
      <c r="J504" s="252">
        <v>12.0</v>
      </c>
      <c r="K504" s="252">
        <v>688.0</v>
      </c>
      <c r="L504" s="252">
        <v>80.0</v>
      </c>
      <c r="M504" s="252">
        <v>16729.0</v>
      </c>
      <c r="N504" s="252">
        <v>20911.0</v>
      </c>
      <c r="O504" s="252">
        <v>12.0</v>
      </c>
      <c r="P504" s="252">
        <v>128.0</v>
      </c>
      <c r="Q504" s="252">
        <v>3089.0</v>
      </c>
      <c r="R504" s="251" t="s">
        <v>1112</v>
      </c>
      <c r="S504" s="251" t="s">
        <v>1100</v>
      </c>
      <c r="T504" s="251" t="s">
        <v>1123</v>
      </c>
      <c r="U504" s="252">
        <v>16.0</v>
      </c>
      <c r="V504" s="252">
        <v>32.0</v>
      </c>
      <c r="W504" s="252">
        <v>5.5</v>
      </c>
      <c r="X504" s="251" t="s">
        <v>1147</v>
      </c>
      <c r="Y504" s="251" t="s">
        <v>3730</v>
      </c>
      <c r="Z504" s="251" t="s">
        <v>3731</v>
      </c>
      <c r="AA504" s="254" t="s">
        <v>1105</v>
      </c>
      <c r="AB504" s="254" t="s">
        <v>1105</v>
      </c>
    </row>
    <row r="505">
      <c r="A505" s="252">
        <v>504.0</v>
      </c>
      <c r="B505" s="251" t="s">
        <v>3732</v>
      </c>
      <c r="C505" s="252">
        <v>1.0</v>
      </c>
      <c r="D505" s="251" t="s">
        <v>3733</v>
      </c>
      <c r="E505" s="251" t="s">
        <v>1166</v>
      </c>
      <c r="F505" s="251" t="s">
        <v>1119</v>
      </c>
      <c r="G505" s="253" t="s">
        <v>3734</v>
      </c>
      <c r="H505" s="252">
        <v>3.0</v>
      </c>
      <c r="I505" s="251" t="s">
        <v>1131</v>
      </c>
      <c r="J505" s="252">
        <v>8.0</v>
      </c>
      <c r="K505" s="252">
        <v>650.0</v>
      </c>
      <c r="L505" s="252">
        <v>120.0</v>
      </c>
      <c r="M505" s="252">
        <v>6613.0</v>
      </c>
      <c r="N505" s="252">
        <v>9721.0</v>
      </c>
      <c r="O505" s="252">
        <v>8.0</v>
      </c>
      <c r="P505" s="252">
        <v>128.0</v>
      </c>
      <c r="Q505" s="252">
        <v>6411.0</v>
      </c>
      <c r="R505" s="251" t="s">
        <v>1112</v>
      </c>
      <c r="S505" s="251" t="s">
        <v>1122</v>
      </c>
      <c r="T505" s="251" t="s">
        <v>1021</v>
      </c>
      <c r="U505" s="252">
        <v>16.0</v>
      </c>
      <c r="V505" s="252">
        <v>32.0</v>
      </c>
      <c r="W505" s="252">
        <v>5.2</v>
      </c>
      <c r="X505" s="251" t="s">
        <v>1147</v>
      </c>
      <c r="Y505" s="251" t="s">
        <v>3735</v>
      </c>
      <c r="Z505" s="251" t="s">
        <v>3736</v>
      </c>
      <c r="AA505" s="254" t="s">
        <v>1105</v>
      </c>
      <c r="AB505" s="254" t="s">
        <v>1105</v>
      </c>
    </row>
    <row r="506">
      <c r="A506" s="252">
        <v>505.0</v>
      </c>
      <c r="B506" s="251" t="s">
        <v>3737</v>
      </c>
      <c r="C506" s="252">
        <v>1.0</v>
      </c>
      <c r="D506" s="251" t="s">
        <v>3738</v>
      </c>
      <c r="E506" s="251" t="s">
        <v>1446</v>
      </c>
      <c r="F506" s="251" t="s">
        <v>1160</v>
      </c>
      <c r="G506" s="253" t="s">
        <v>3739</v>
      </c>
      <c r="H506" s="252">
        <v>2.0</v>
      </c>
      <c r="I506" s="251" t="s">
        <v>1140</v>
      </c>
      <c r="J506" s="252">
        <v>8.0</v>
      </c>
      <c r="K506" s="252">
        <v>584.0</v>
      </c>
      <c r="L506" s="252">
        <v>120.0</v>
      </c>
      <c r="M506" s="252">
        <v>20006.0</v>
      </c>
      <c r="N506" s="252">
        <v>33810.0</v>
      </c>
      <c r="O506" s="252">
        <v>6.0</v>
      </c>
      <c r="P506" s="252">
        <v>32.0</v>
      </c>
      <c r="Q506" s="252">
        <v>3355.0</v>
      </c>
      <c r="R506" s="251" t="s">
        <v>1099</v>
      </c>
      <c r="S506" s="251" t="s">
        <v>1122</v>
      </c>
      <c r="T506" s="251" t="s">
        <v>1021</v>
      </c>
      <c r="U506" s="252">
        <v>14.0</v>
      </c>
      <c r="V506" s="252">
        <v>48.0</v>
      </c>
      <c r="W506" s="252">
        <v>5.0</v>
      </c>
      <c r="X506" s="251" t="s">
        <v>1102</v>
      </c>
      <c r="Y506" s="251" t="s">
        <v>3740</v>
      </c>
      <c r="Z506" s="251" t="s">
        <v>3741</v>
      </c>
      <c r="AA506" s="254" t="s">
        <v>1105</v>
      </c>
      <c r="AB506" s="254" t="s">
        <v>1105</v>
      </c>
    </row>
    <row r="507">
      <c r="A507" s="252">
        <v>506.0</v>
      </c>
      <c r="B507" s="251" t="s">
        <v>3742</v>
      </c>
      <c r="C507" s="252">
        <v>1.0</v>
      </c>
      <c r="D507" s="251" t="s">
        <v>3743</v>
      </c>
      <c r="E507" s="251" t="s">
        <v>1393</v>
      </c>
      <c r="F507" s="251" t="s">
        <v>1160</v>
      </c>
      <c r="G507" s="253" t="s">
        <v>3744</v>
      </c>
      <c r="H507" s="252">
        <v>5.0</v>
      </c>
      <c r="I507" s="251" t="s">
        <v>1111</v>
      </c>
      <c r="J507" s="252">
        <v>10.0</v>
      </c>
      <c r="K507" s="252">
        <v>300.0</v>
      </c>
      <c r="L507" s="252">
        <v>120.0</v>
      </c>
      <c r="M507" s="252">
        <v>4109.0</v>
      </c>
      <c r="N507" s="252">
        <v>5506.0</v>
      </c>
      <c r="O507" s="252">
        <v>4.0</v>
      </c>
      <c r="P507" s="252">
        <v>16.0</v>
      </c>
      <c r="Q507" s="252">
        <v>2945.0</v>
      </c>
      <c r="R507" s="251" t="s">
        <v>1099</v>
      </c>
      <c r="S507" s="251" t="s">
        <v>1122</v>
      </c>
      <c r="T507" s="251" t="s">
        <v>1101</v>
      </c>
      <c r="U507" s="252">
        <v>16.0</v>
      </c>
      <c r="V507" s="252">
        <v>16.0</v>
      </c>
      <c r="W507" s="252">
        <v>5.5</v>
      </c>
      <c r="X507" s="251" t="s">
        <v>1113</v>
      </c>
      <c r="Y507" s="251" t="s">
        <v>3745</v>
      </c>
      <c r="Z507" s="251" t="s">
        <v>3746</v>
      </c>
      <c r="AA507" s="254" t="s">
        <v>1105</v>
      </c>
      <c r="AB507" s="254" t="s">
        <v>1105</v>
      </c>
    </row>
    <row r="508">
      <c r="A508" s="252">
        <v>507.0</v>
      </c>
      <c r="B508" s="251" t="s">
        <v>3747</v>
      </c>
      <c r="C508" s="252">
        <v>1.0</v>
      </c>
      <c r="D508" s="251" t="s">
        <v>3748</v>
      </c>
      <c r="E508" s="251" t="s">
        <v>1701</v>
      </c>
      <c r="F508" s="251" t="s">
        <v>1119</v>
      </c>
      <c r="G508" s="253" t="s">
        <v>3749</v>
      </c>
      <c r="H508" s="252">
        <v>4.0</v>
      </c>
      <c r="I508" s="251" t="s">
        <v>1111</v>
      </c>
      <c r="J508" s="252">
        <v>12.0</v>
      </c>
      <c r="K508" s="252">
        <v>308.0</v>
      </c>
      <c r="L508" s="252">
        <v>120.0</v>
      </c>
      <c r="M508" s="252">
        <v>6187.0</v>
      </c>
      <c r="N508" s="252">
        <v>10084.0</v>
      </c>
      <c r="O508" s="252">
        <v>2.0</v>
      </c>
      <c r="P508" s="252">
        <v>128.0</v>
      </c>
      <c r="Q508" s="252">
        <v>4264.0</v>
      </c>
      <c r="R508" s="251" t="s">
        <v>1112</v>
      </c>
      <c r="S508" s="251" t="s">
        <v>1100</v>
      </c>
      <c r="T508" s="251" t="s">
        <v>1101</v>
      </c>
      <c r="U508" s="252">
        <v>12.0</v>
      </c>
      <c r="V508" s="252">
        <v>32.0</v>
      </c>
      <c r="W508" s="252">
        <v>6.0</v>
      </c>
      <c r="X508" s="251" t="s">
        <v>1147</v>
      </c>
      <c r="Y508" s="251" t="s">
        <v>3750</v>
      </c>
      <c r="Z508" s="251" t="s">
        <v>3751</v>
      </c>
      <c r="AA508" s="254" t="s">
        <v>1105</v>
      </c>
      <c r="AB508" s="254" t="s">
        <v>1105</v>
      </c>
    </row>
    <row r="509">
      <c r="A509" s="252">
        <v>508.0</v>
      </c>
      <c r="B509" s="251" t="s">
        <v>3752</v>
      </c>
      <c r="C509" s="252">
        <v>1.0</v>
      </c>
      <c r="D509" s="251" t="s">
        <v>3753</v>
      </c>
      <c r="E509" s="251" t="s">
        <v>1195</v>
      </c>
      <c r="F509" s="251" t="s">
        <v>1109</v>
      </c>
      <c r="G509" s="253" t="s">
        <v>3754</v>
      </c>
      <c r="H509" s="252">
        <v>5.0</v>
      </c>
      <c r="I509" s="251" t="s">
        <v>1111</v>
      </c>
      <c r="J509" s="252">
        <v>10.0</v>
      </c>
      <c r="K509" s="252">
        <v>422.0</v>
      </c>
      <c r="L509" s="252">
        <v>80.0</v>
      </c>
      <c r="M509" s="252">
        <v>22403.0</v>
      </c>
      <c r="N509" s="252">
        <v>31140.0</v>
      </c>
      <c r="O509" s="252">
        <v>6.0</v>
      </c>
      <c r="P509" s="252">
        <v>64.0</v>
      </c>
      <c r="Q509" s="252">
        <v>5014.0</v>
      </c>
      <c r="R509" s="251" t="s">
        <v>1141</v>
      </c>
      <c r="S509" s="251" t="s">
        <v>1100</v>
      </c>
      <c r="T509" s="251" t="s">
        <v>1101</v>
      </c>
      <c r="U509" s="252">
        <v>12.0</v>
      </c>
      <c r="V509" s="252">
        <v>14.0</v>
      </c>
      <c r="W509" s="252">
        <v>6.0</v>
      </c>
      <c r="X509" s="251" t="s">
        <v>1113</v>
      </c>
      <c r="Y509" s="251" t="s">
        <v>3755</v>
      </c>
      <c r="Z509" s="251" t="s">
        <v>3756</v>
      </c>
      <c r="AA509" s="254" t="s">
        <v>1105</v>
      </c>
      <c r="AB509" s="254" t="s">
        <v>1105</v>
      </c>
    </row>
    <row r="510">
      <c r="A510" s="252">
        <v>509.0</v>
      </c>
      <c r="B510" s="251" t="s">
        <v>3757</v>
      </c>
      <c r="C510" s="252">
        <v>1.0</v>
      </c>
      <c r="D510" s="251" t="s">
        <v>3758</v>
      </c>
      <c r="E510" s="251" t="s">
        <v>1739</v>
      </c>
      <c r="F510" s="251" t="s">
        <v>1233</v>
      </c>
      <c r="G510" s="253" t="s">
        <v>3759</v>
      </c>
      <c r="H510" s="252">
        <v>2.0</v>
      </c>
      <c r="I510" s="251" t="s">
        <v>1111</v>
      </c>
      <c r="J510" s="252">
        <v>8.0</v>
      </c>
      <c r="K510" s="252">
        <v>193.0</v>
      </c>
      <c r="L510" s="252">
        <v>120.0</v>
      </c>
      <c r="M510" s="252">
        <v>8711.0</v>
      </c>
      <c r="N510" s="252">
        <v>11759.0</v>
      </c>
      <c r="O510" s="252">
        <v>2.0</v>
      </c>
      <c r="P510" s="252">
        <v>8.0</v>
      </c>
      <c r="Q510" s="252">
        <v>3450.0</v>
      </c>
      <c r="R510" s="251" t="s">
        <v>1099</v>
      </c>
      <c r="S510" s="251" t="s">
        <v>1100</v>
      </c>
      <c r="T510" s="251" t="s">
        <v>1021</v>
      </c>
      <c r="U510" s="252">
        <v>32.0</v>
      </c>
      <c r="V510" s="252">
        <v>12.0</v>
      </c>
      <c r="W510" s="252">
        <v>6.3</v>
      </c>
      <c r="X510" s="251" t="s">
        <v>1113</v>
      </c>
      <c r="Y510" s="251" t="s">
        <v>3760</v>
      </c>
      <c r="Z510" s="251" t="s">
        <v>3761</v>
      </c>
      <c r="AA510" s="254" t="s">
        <v>1105</v>
      </c>
      <c r="AB510" s="254" t="s">
        <v>1105</v>
      </c>
    </row>
    <row r="511">
      <c r="A511" s="252">
        <v>510.0</v>
      </c>
      <c r="B511" s="251" t="s">
        <v>3762</v>
      </c>
      <c r="C511" s="252">
        <v>1.0</v>
      </c>
      <c r="D511" s="251" t="s">
        <v>3763</v>
      </c>
      <c r="E511" s="251" t="s">
        <v>2399</v>
      </c>
      <c r="F511" s="251" t="s">
        <v>1215</v>
      </c>
      <c r="G511" s="253" t="s">
        <v>3764</v>
      </c>
      <c r="H511" s="252">
        <v>3.0</v>
      </c>
      <c r="I511" s="251" t="s">
        <v>1121</v>
      </c>
      <c r="J511" s="252">
        <v>8.0</v>
      </c>
      <c r="K511" s="252">
        <v>153.0</v>
      </c>
      <c r="L511" s="252">
        <v>100.0</v>
      </c>
      <c r="M511" s="252">
        <v>16194.0</v>
      </c>
      <c r="N511" s="252">
        <v>23643.0</v>
      </c>
      <c r="O511" s="252">
        <v>2.0</v>
      </c>
      <c r="P511" s="252">
        <v>16.0</v>
      </c>
      <c r="Q511" s="252">
        <v>6150.0</v>
      </c>
      <c r="R511" s="251" t="s">
        <v>1141</v>
      </c>
      <c r="S511" s="251" t="s">
        <v>1122</v>
      </c>
      <c r="T511" s="251" t="s">
        <v>1123</v>
      </c>
      <c r="U511" s="252">
        <v>12.0</v>
      </c>
      <c r="V511" s="252">
        <v>12.0</v>
      </c>
      <c r="W511" s="252">
        <v>5.0</v>
      </c>
      <c r="X511" s="251" t="s">
        <v>1113</v>
      </c>
      <c r="Y511" s="251" t="s">
        <v>3765</v>
      </c>
      <c r="Z511" s="251" t="s">
        <v>3766</v>
      </c>
      <c r="AA511" s="254" t="s">
        <v>1105</v>
      </c>
      <c r="AB511" s="254" t="s">
        <v>1105</v>
      </c>
    </row>
    <row r="512">
      <c r="A512" s="252">
        <v>511.0</v>
      </c>
      <c r="B512" s="251" t="s">
        <v>3767</v>
      </c>
      <c r="C512" s="252">
        <v>1.0</v>
      </c>
      <c r="D512" s="251" t="s">
        <v>3768</v>
      </c>
      <c r="E512" s="251" t="s">
        <v>1446</v>
      </c>
      <c r="F512" s="251" t="s">
        <v>1160</v>
      </c>
      <c r="G512" s="253" t="s">
        <v>3769</v>
      </c>
      <c r="H512" s="252">
        <v>6.0</v>
      </c>
      <c r="I512" s="251" t="s">
        <v>1111</v>
      </c>
      <c r="J512" s="252">
        <v>10.0</v>
      </c>
      <c r="K512" s="252">
        <v>946.0</v>
      </c>
      <c r="L512" s="252">
        <v>80.0</v>
      </c>
      <c r="M512" s="252">
        <v>19678.0</v>
      </c>
      <c r="N512" s="252">
        <v>26565.0</v>
      </c>
      <c r="O512" s="252">
        <v>8.0</v>
      </c>
      <c r="P512" s="252">
        <v>32.0</v>
      </c>
      <c r="Q512" s="252">
        <v>4317.0</v>
      </c>
      <c r="R512" s="251" t="s">
        <v>1099</v>
      </c>
      <c r="S512" s="251" t="s">
        <v>1122</v>
      </c>
      <c r="T512" s="251" t="s">
        <v>1021</v>
      </c>
      <c r="U512" s="252">
        <v>32.0</v>
      </c>
      <c r="V512" s="252">
        <v>48.0</v>
      </c>
      <c r="W512" s="252">
        <v>5.5</v>
      </c>
      <c r="X512" s="251" t="s">
        <v>1132</v>
      </c>
      <c r="Y512" s="251" t="s">
        <v>3770</v>
      </c>
      <c r="Z512" s="251" t="s">
        <v>3771</v>
      </c>
      <c r="AA512" s="254" t="s">
        <v>1105</v>
      </c>
      <c r="AB512" s="254" t="s">
        <v>1105</v>
      </c>
    </row>
    <row r="513">
      <c r="A513" s="252">
        <v>512.0</v>
      </c>
      <c r="B513" s="251" t="s">
        <v>3772</v>
      </c>
      <c r="C513" s="252">
        <v>1.0</v>
      </c>
      <c r="D513" s="251" t="s">
        <v>3773</v>
      </c>
      <c r="E513" s="251" t="s">
        <v>1381</v>
      </c>
      <c r="F513" s="251" t="s">
        <v>1119</v>
      </c>
      <c r="G513" s="253" t="s">
        <v>3774</v>
      </c>
      <c r="H513" s="252">
        <v>2.0</v>
      </c>
      <c r="I513" s="251" t="s">
        <v>1140</v>
      </c>
      <c r="J513" s="252">
        <v>8.0</v>
      </c>
      <c r="K513" s="252">
        <v>415.0</v>
      </c>
      <c r="L513" s="252">
        <v>120.0</v>
      </c>
      <c r="M513" s="252">
        <v>9878.0</v>
      </c>
      <c r="N513" s="252">
        <v>15310.0</v>
      </c>
      <c r="O513" s="252">
        <v>2.0</v>
      </c>
      <c r="P513" s="252">
        <v>64.0</v>
      </c>
      <c r="Q513" s="252">
        <v>6112.0</v>
      </c>
      <c r="R513" s="251" t="s">
        <v>1112</v>
      </c>
      <c r="S513" s="251" t="s">
        <v>1100</v>
      </c>
      <c r="T513" s="251" t="s">
        <v>1101</v>
      </c>
      <c r="U513" s="252">
        <v>48.0</v>
      </c>
      <c r="V513" s="252">
        <v>32.0</v>
      </c>
      <c r="W513" s="252">
        <v>6.0</v>
      </c>
      <c r="X513" s="251" t="s">
        <v>1113</v>
      </c>
      <c r="Y513" s="251" t="s">
        <v>3775</v>
      </c>
      <c r="Z513" s="251" t="s">
        <v>3776</v>
      </c>
      <c r="AA513" s="254" t="s">
        <v>1105</v>
      </c>
      <c r="AB513" s="254" t="s">
        <v>1105</v>
      </c>
    </row>
    <row r="514">
      <c r="A514" s="252">
        <v>513.0</v>
      </c>
      <c r="B514" s="251" t="s">
        <v>3777</v>
      </c>
      <c r="C514" s="252">
        <v>1.0</v>
      </c>
      <c r="D514" s="251" t="s">
        <v>3778</v>
      </c>
      <c r="E514" s="251" t="s">
        <v>1486</v>
      </c>
      <c r="F514" s="251" t="s">
        <v>1109</v>
      </c>
      <c r="G514" s="253" t="s">
        <v>3779</v>
      </c>
      <c r="H514" s="252">
        <v>2.0</v>
      </c>
      <c r="I514" s="251" t="s">
        <v>1140</v>
      </c>
      <c r="J514" s="252">
        <v>8.0</v>
      </c>
      <c r="K514" s="252">
        <v>538.0</v>
      </c>
      <c r="L514" s="252">
        <v>100.0</v>
      </c>
      <c r="M514" s="252">
        <v>6717.0</v>
      </c>
      <c r="N514" s="252">
        <v>10344.0</v>
      </c>
      <c r="O514" s="252">
        <v>8.0</v>
      </c>
      <c r="P514" s="252">
        <v>64.0</v>
      </c>
      <c r="Q514" s="252">
        <v>4921.0</v>
      </c>
      <c r="R514" s="251" t="s">
        <v>1141</v>
      </c>
      <c r="S514" s="251" t="s">
        <v>1100</v>
      </c>
      <c r="T514" s="251" t="s">
        <v>1021</v>
      </c>
      <c r="U514" s="252">
        <v>32.0</v>
      </c>
      <c r="V514" s="252">
        <v>12.0</v>
      </c>
      <c r="W514" s="252">
        <v>4.7</v>
      </c>
      <c r="X514" s="251" t="s">
        <v>1102</v>
      </c>
      <c r="Y514" s="251" t="s">
        <v>3780</v>
      </c>
      <c r="Z514" s="251" t="s">
        <v>3781</v>
      </c>
      <c r="AA514" s="254" t="s">
        <v>1105</v>
      </c>
      <c r="AB514" s="254" t="s">
        <v>1105</v>
      </c>
    </row>
    <row r="515">
      <c r="A515" s="252">
        <v>514.0</v>
      </c>
      <c r="B515" s="251" t="s">
        <v>3782</v>
      </c>
      <c r="C515" s="252">
        <v>1.0</v>
      </c>
      <c r="D515" s="251" t="s">
        <v>3783</v>
      </c>
      <c r="E515" s="251" t="s">
        <v>1353</v>
      </c>
      <c r="F515" s="251" t="s">
        <v>1109</v>
      </c>
      <c r="G515" s="253" t="s">
        <v>3784</v>
      </c>
      <c r="H515" s="252">
        <v>4.0</v>
      </c>
      <c r="I515" s="251" t="s">
        <v>1098</v>
      </c>
      <c r="J515" s="252">
        <v>8.0</v>
      </c>
      <c r="K515" s="252">
        <v>673.0</v>
      </c>
      <c r="L515" s="252">
        <v>120.0</v>
      </c>
      <c r="M515" s="252">
        <v>6303.0</v>
      </c>
      <c r="N515" s="252">
        <v>8067.0</v>
      </c>
      <c r="O515" s="252">
        <v>12.0</v>
      </c>
      <c r="P515" s="252">
        <v>64.0</v>
      </c>
      <c r="Q515" s="252">
        <v>4001.0</v>
      </c>
      <c r="R515" s="251" t="s">
        <v>1099</v>
      </c>
      <c r="S515" s="251" t="s">
        <v>1122</v>
      </c>
      <c r="T515" s="251" t="s">
        <v>1021</v>
      </c>
      <c r="U515" s="252">
        <v>12.0</v>
      </c>
      <c r="V515" s="252">
        <v>32.0</v>
      </c>
      <c r="W515" s="252">
        <v>4.7</v>
      </c>
      <c r="X515" s="251" t="s">
        <v>1102</v>
      </c>
      <c r="Y515" s="251" t="s">
        <v>3785</v>
      </c>
      <c r="Z515" s="251" t="s">
        <v>3786</v>
      </c>
      <c r="AA515" s="254" t="s">
        <v>1105</v>
      </c>
      <c r="AB515" s="254" t="s">
        <v>1105</v>
      </c>
    </row>
    <row r="516">
      <c r="A516" s="252">
        <v>515.0</v>
      </c>
      <c r="B516" s="251" t="s">
        <v>3787</v>
      </c>
      <c r="C516" s="252">
        <v>1.0</v>
      </c>
      <c r="D516" s="251" t="s">
        <v>3788</v>
      </c>
      <c r="E516" s="251" t="s">
        <v>1208</v>
      </c>
      <c r="F516" s="251" t="s">
        <v>1109</v>
      </c>
      <c r="G516" s="253" t="s">
        <v>3789</v>
      </c>
      <c r="H516" s="252">
        <v>2.0</v>
      </c>
      <c r="I516" s="251" t="s">
        <v>1140</v>
      </c>
      <c r="J516" s="252">
        <v>8.0</v>
      </c>
      <c r="K516" s="252">
        <v>34.0</v>
      </c>
      <c r="L516" s="252">
        <v>80.0</v>
      </c>
      <c r="M516" s="252">
        <v>18844.0</v>
      </c>
      <c r="N516" s="252">
        <v>31281.0</v>
      </c>
      <c r="O516" s="252">
        <v>2.0</v>
      </c>
      <c r="P516" s="252">
        <v>512.0</v>
      </c>
      <c r="Q516" s="252">
        <v>2808.0</v>
      </c>
      <c r="R516" s="251" t="s">
        <v>1112</v>
      </c>
      <c r="S516" s="251" t="s">
        <v>1100</v>
      </c>
      <c r="T516" s="251" t="s">
        <v>1021</v>
      </c>
      <c r="U516" s="252">
        <v>48.0</v>
      </c>
      <c r="V516" s="252">
        <v>32.0</v>
      </c>
      <c r="W516" s="252">
        <v>6.3</v>
      </c>
      <c r="X516" s="251" t="s">
        <v>1102</v>
      </c>
      <c r="Y516" s="251" t="s">
        <v>3790</v>
      </c>
      <c r="Z516" s="251" t="s">
        <v>3791</v>
      </c>
      <c r="AA516" s="254" t="s">
        <v>1105</v>
      </c>
      <c r="AB516" s="254" t="s">
        <v>1105</v>
      </c>
    </row>
    <row r="517">
      <c r="A517" s="252">
        <v>516.0</v>
      </c>
      <c r="B517" s="251" t="s">
        <v>3792</v>
      </c>
      <c r="C517" s="252">
        <v>1.0</v>
      </c>
      <c r="D517" s="251" t="s">
        <v>3793</v>
      </c>
      <c r="E517" s="251" t="s">
        <v>1942</v>
      </c>
      <c r="F517" s="251" t="s">
        <v>1233</v>
      </c>
      <c r="G517" s="253" t="s">
        <v>3794</v>
      </c>
      <c r="H517" s="252">
        <v>5.0</v>
      </c>
      <c r="I517" s="251" t="s">
        <v>1111</v>
      </c>
      <c r="J517" s="252">
        <v>12.0</v>
      </c>
      <c r="K517" s="252">
        <v>267.0</v>
      </c>
      <c r="L517" s="252">
        <v>100.0</v>
      </c>
      <c r="M517" s="252">
        <v>12904.0</v>
      </c>
      <c r="N517" s="252">
        <v>17807.0</v>
      </c>
      <c r="O517" s="252">
        <v>6.0</v>
      </c>
      <c r="P517" s="252">
        <v>64.0</v>
      </c>
      <c r="Q517" s="252">
        <v>1804.0</v>
      </c>
      <c r="R517" s="251" t="s">
        <v>1099</v>
      </c>
      <c r="S517" s="251" t="s">
        <v>1122</v>
      </c>
      <c r="T517" s="251" t="s">
        <v>1123</v>
      </c>
      <c r="U517" s="252">
        <v>16.0</v>
      </c>
      <c r="V517" s="252">
        <v>14.0</v>
      </c>
      <c r="W517" s="252">
        <v>5.5</v>
      </c>
      <c r="X517" s="251" t="s">
        <v>1147</v>
      </c>
      <c r="Y517" s="251" t="s">
        <v>3795</v>
      </c>
      <c r="Z517" s="251" t="s">
        <v>3796</v>
      </c>
      <c r="AA517" s="254" t="s">
        <v>1105</v>
      </c>
      <c r="AB517" s="254" t="s">
        <v>1105</v>
      </c>
    </row>
    <row r="518">
      <c r="A518" s="252">
        <v>517.0</v>
      </c>
      <c r="B518" s="251" t="s">
        <v>3797</v>
      </c>
      <c r="C518" s="252">
        <v>1.0</v>
      </c>
      <c r="D518" s="251" t="s">
        <v>3798</v>
      </c>
      <c r="E518" s="251" t="s">
        <v>1118</v>
      </c>
      <c r="F518" s="251" t="s">
        <v>1119</v>
      </c>
      <c r="G518" s="253" t="s">
        <v>3799</v>
      </c>
      <c r="H518" s="252">
        <v>5.0</v>
      </c>
      <c r="I518" s="251" t="s">
        <v>1111</v>
      </c>
      <c r="J518" s="252">
        <v>10.0</v>
      </c>
      <c r="K518" s="252">
        <v>832.0</v>
      </c>
      <c r="L518" s="252">
        <v>120.0</v>
      </c>
      <c r="M518" s="252">
        <v>9431.0</v>
      </c>
      <c r="N518" s="252">
        <v>11977.0</v>
      </c>
      <c r="O518" s="252">
        <v>2.0</v>
      </c>
      <c r="P518" s="252">
        <v>32.0</v>
      </c>
      <c r="Q518" s="252">
        <v>4339.0</v>
      </c>
      <c r="R518" s="251" t="s">
        <v>1099</v>
      </c>
      <c r="S518" s="251" t="s">
        <v>1100</v>
      </c>
      <c r="T518" s="251" t="s">
        <v>1123</v>
      </c>
      <c r="U518" s="252">
        <v>14.0</v>
      </c>
      <c r="V518" s="252">
        <v>16.0</v>
      </c>
      <c r="W518" s="252">
        <v>5.2</v>
      </c>
      <c r="X518" s="251" t="s">
        <v>1132</v>
      </c>
      <c r="Y518" s="251" t="s">
        <v>3800</v>
      </c>
      <c r="Z518" s="251" t="s">
        <v>3801</v>
      </c>
      <c r="AA518" s="254" t="s">
        <v>1105</v>
      </c>
      <c r="AB518" s="254" t="s">
        <v>1105</v>
      </c>
    </row>
    <row r="519">
      <c r="A519" s="252">
        <v>518.0</v>
      </c>
      <c r="B519" s="251" t="s">
        <v>3802</v>
      </c>
      <c r="C519" s="252">
        <v>1.0</v>
      </c>
      <c r="D519" s="251" t="s">
        <v>3803</v>
      </c>
      <c r="E519" s="251" t="s">
        <v>1329</v>
      </c>
      <c r="F519" s="251" t="s">
        <v>1109</v>
      </c>
      <c r="G519" s="253" t="s">
        <v>3804</v>
      </c>
      <c r="H519" s="252">
        <v>3.0</v>
      </c>
      <c r="I519" s="251" t="s">
        <v>1098</v>
      </c>
      <c r="J519" s="252">
        <v>10.0</v>
      </c>
      <c r="K519" s="252">
        <v>740.0</v>
      </c>
      <c r="L519" s="252">
        <v>80.0</v>
      </c>
      <c r="M519" s="252">
        <v>16516.0</v>
      </c>
      <c r="N519" s="252">
        <v>21966.0</v>
      </c>
      <c r="O519" s="252">
        <v>2.0</v>
      </c>
      <c r="P519" s="252">
        <v>16.0</v>
      </c>
      <c r="Q519" s="252">
        <v>3870.0</v>
      </c>
      <c r="R519" s="251" t="s">
        <v>1112</v>
      </c>
      <c r="S519" s="251" t="s">
        <v>1122</v>
      </c>
      <c r="T519" s="251" t="s">
        <v>1123</v>
      </c>
      <c r="U519" s="252">
        <v>32.0</v>
      </c>
      <c r="V519" s="252">
        <v>12.0</v>
      </c>
      <c r="W519" s="252">
        <v>6.3</v>
      </c>
      <c r="X519" s="251" t="s">
        <v>1132</v>
      </c>
      <c r="Y519" s="251" t="s">
        <v>3805</v>
      </c>
      <c r="Z519" s="251" t="s">
        <v>3806</v>
      </c>
      <c r="AA519" s="254" t="s">
        <v>1105</v>
      </c>
      <c r="AB519" s="254" t="s">
        <v>1105</v>
      </c>
    </row>
    <row r="520">
      <c r="A520" s="252">
        <v>519.0</v>
      </c>
      <c r="B520" s="251" t="s">
        <v>3807</v>
      </c>
      <c r="C520" s="252">
        <v>1.0</v>
      </c>
      <c r="D520" s="251" t="s">
        <v>3808</v>
      </c>
      <c r="E520" s="251" t="s">
        <v>1486</v>
      </c>
      <c r="F520" s="251" t="s">
        <v>1109</v>
      </c>
      <c r="G520" s="253" t="s">
        <v>3809</v>
      </c>
      <c r="H520" s="252">
        <v>4.0</v>
      </c>
      <c r="I520" s="251" t="s">
        <v>1098</v>
      </c>
      <c r="J520" s="252">
        <v>8.0</v>
      </c>
      <c r="K520" s="252">
        <v>586.0</v>
      </c>
      <c r="L520" s="252">
        <v>120.0</v>
      </c>
      <c r="M520" s="252">
        <v>16632.0</v>
      </c>
      <c r="N520" s="252">
        <v>24449.0</v>
      </c>
      <c r="O520" s="252">
        <v>12.0</v>
      </c>
      <c r="P520" s="252">
        <v>16.0</v>
      </c>
      <c r="Q520" s="252">
        <v>2896.0</v>
      </c>
      <c r="R520" s="251" t="s">
        <v>1112</v>
      </c>
      <c r="S520" s="251" t="s">
        <v>1100</v>
      </c>
      <c r="T520" s="251" t="s">
        <v>1021</v>
      </c>
      <c r="U520" s="252">
        <v>16.0</v>
      </c>
      <c r="V520" s="252">
        <v>48.0</v>
      </c>
      <c r="W520" s="252">
        <v>6.3</v>
      </c>
      <c r="X520" s="251" t="s">
        <v>1113</v>
      </c>
      <c r="Y520" s="251" t="s">
        <v>3810</v>
      </c>
      <c r="Z520" s="251" t="s">
        <v>3811</v>
      </c>
      <c r="AA520" s="254" t="s">
        <v>1105</v>
      </c>
      <c r="AB520" s="254" t="s">
        <v>1105</v>
      </c>
    </row>
    <row r="521">
      <c r="A521" s="252">
        <v>520.0</v>
      </c>
      <c r="B521" s="251" t="s">
        <v>3812</v>
      </c>
      <c r="C521" s="252">
        <v>1.0</v>
      </c>
      <c r="D521" s="251" t="s">
        <v>3813</v>
      </c>
      <c r="E521" s="251" t="s">
        <v>1464</v>
      </c>
      <c r="F521" s="251" t="s">
        <v>1096</v>
      </c>
      <c r="G521" s="253" t="s">
        <v>3814</v>
      </c>
      <c r="H521" s="252">
        <v>4.0</v>
      </c>
      <c r="I521" s="251" t="s">
        <v>1131</v>
      </c>
      <c r="J521" s="252">
        <v>8.0</v>
      </c>
      <c r="K521" s="252">
        <v>541.0</v>
      </c>
      <c r="L521" s="252">
        <v>100.0</v>
      </c>
      <c r="M521" s="252">
        <v>12802.0</v>
      </c>
      <c r="N521" s="252">
        <v>17538.0</v>
      </c>
      <c r="O521" s="252">
        <v>4.0</v>
      </c>
      <c r="P521" s="252">
        <v>16.0</v>
      </c>
      <c r="Q521" s="252">
        <v>4307.0</v>
      </c>
      <c r="R521" s="251" t="s">
        <v>1112</v>
      </c>
      <c r="S521" s="251" t="s">
        <v>1100</v>
      </c>
      <c r="T521" s="251" t="s">
        <v>1101</v>
      </c>
      <c r="U521" s="252">
        <v>32.0</v>
      </c>
      <c r="V521" s="252">
        <v>12.0</v>
      </c>
      <c r="W521" s="252">
        <v>4.7</v>
      </c>
      <c r="X521" s="251" t="s">
        <v>1102</v>
      </c>
      <c r="Y521" s="251" t="s">
        <v>3815</v>
      </c>
      <c r="Z521" s="251" t="s">
        <v>3816</v>
      </c>
      <c r="AA521" s="254" t="s">
        <v>1105</v>
      </c>
      <c r="AB521" s="254" t="s">
        <v>1105</v>
      </c>
    </row>
    <row r="522">
      <c r="A522" s="252">
        <v>521.0</v>
      </c>
      <c r="B522" s="251" t="s">
        <v>3817</v>
      </c>
      <c r="C522" s="252">
        <v>1.0</v>
      </c>
      <c r="D522" s="251" t="s">
        <v>3818</v>
      </c>
      <c r="E522" s="251" t="s">
        <v>1108</v>
      </c>
      <c r="F522" s="251" t="s">
        <v>1109</v>
      </c>
      <c r="G522" s="253" t="s">
        <v>3819</v>
      </c>
      <c r="H522" s="252">
        <v>3.0</v>
      </c>
      <c r="I522" s="251" t="s">
        <v>1098</v>
      </c>
      <c r="J522" s="252">
        <v>12.0</v>
      </c>
      <c r="K522" s="252">
        <v>452.0</v>
      </c>
      <c r="L522" s="252">
        <v>100.0</v>
      </c>
      <c r="M522" s="252">
        <v>17087.0</v>
      </c>
      <c r="N522" s="252">
        <v>28535.0</v>
      </c>
      <c r="O522" s="252">
        <v>4.0</v>
      </c>
      <c r="P522" s="252">
        <v>512.0</v>
      </c>
      <c r="Q522" s="252">
        <v>6151.0</v>
      </c>
      <c r="R522" s="251" t="s">
        <v>1099</v>
      </c>
      <c r="S522" s="251" t="s">
        <v>1122</v>
      </c>
      <c r="T522" s="251" t="s">
        <v>1123</v>
      </c>
      <c r="U522" s="252">
        <v>32.0</v>
      </c>
      <c r="V522" s="252">
        <v>48.0</v>
      </c>
      <c r="W522" s="252">
        <v>5.0</v>
      </c>
      <c r="X522" s="251" t="s">
        <v>1113</v>
      </c>
      <c r="Y522" s="251" t="s">
        <v>3820</v>
      </c>
      <c r="Z522" s="251" t="s">
        <v>3821</v>
      </c>
      <c r="AA522" s="254" t="s">
        <v>1105</v>
      </c>
      <c r="AB522" s="254" t="s">
        <v>1105</v>
      </c>
    </row>
    <row r="523">
      <c r="A523" s="252">
        <v>522.0</v>
      </c>
      <c r="B523" s="251" t="s">
        <v>3822</v>
      </c>
      <c r="C523" s="252">
        <v>1.0</v>
      </c>
      <c r="D523" s="251" t="s">
        <v>3823</v>
      </c>
      <c r="E523" s="251" t="s">
        <v>1470</v>
      </c>
      <c r="F523" s="251" t="s">
        <v>1215</v>
      </c>
      <c r="G523" s="253" t="s">
        <v>3824</v>
      </c>
      <c r="H523" s="252">
        <v>3.0</v>
      </c>
      <c r="I523" s="251" t="s">
        <v>1098</v>
      </c>
      <c r="J523" s="252">
        <v>8.0</v>
      </c>
      <c r="K523" s="252">
        <v>821.0</v>
      </c>
      <c r="L523" s="252">
        <v>100.0</v>
      </c>
      <c r="M523" s="252">
        <v>11479.0</v>
      </c>
      <c r="N523" s="252">
        <v>20547.0</v>
      </c>
      <c r="O523" s="252">
        <v>4.0</v>
      </c>
      <c r="P523" s="252">
        <v>64.0</v>
      </c>
      <c r="Q523" s="252">
        <v>5288.0</v>
      </c>
      <c r="R523" s="251" t="s">
        <v>1112</v>
      </c>
      <c r="S523" s="251" t="s">
        <v>1100</v>
      </c>
      <c r="T523" s="251" t="s">
        <v>1123</v>
      </c>
      <c r="U523" s="252">
        <v>32.0</v>
      </c>
      <c r="V523" s="252">
        <v>48.0</v>
      </c>
      <c r="W523" s="252">
        <v>6.3</v>
      </c>
      <c r="X523" s="251" t="s">
        <v>1113</v>
      </c>
      <c r="Y523" s="251" t="s">
        <v>3825</v>
      </c>
      <c r="Z523" s="251" t="s">
        <v>3826</v>
      </c>
      <c r="AA523" s="254" t="s">
        <v>1105</v>
      </c>
      <c r="AB523" s="254" t="s">
        <v>1105</v>
      </c>
    </row>
    <row r="524">
      <c r="A524" s="252">
        <v>523.0</v>
      </c>
      <c r="B524" s="251" t="s">
        <v>3827</v>
      </c>
      <c r="C524" s="252">
        <v>1.0</v>
      </c>
      <c r="D524" s="251" t="s">
        <v>3828</v>
      </c>
      <c r="E524" s="251" t="s">
        <v>1534</v>
      </c>
      <c r="F524" s="251" t="s">
        <v>1119</v>
      </c>
      <c r="G524" s="253" t="s">
        <v>3829</v>
      </c>
      <c r="H524" s="252">
        <v>3.0</v>
      </c>
      <c r="I524" s="251" t="s">
        <v>1131</v>
      </c>
      <c r="J524" s="252">
        <v>12.0</v>
      </c>
      <c r="K524" s="252">
        <v>433.0</v>
      </c>
      <c r="L524" s="252">
        <v>100.0</v>
      </c>
      <c r="M524" s="252">
        <v>5598.0</v>
      </c>
      <c r="N524" s="252">
        <v>8900.0</v>
      </c>
      <c r="O524" s="252">
        <v>12.0</v>
      </c>
      <c r="P524" s="252">
        <v>64.0</v>
      </c>
      <c r="Q524" s="252">
        <v>3474.0</v>
      </c>
      <c r="R524" s="251" t="s">
        <v>1099</v>
      </c>
      <c r="S524" s="251" t="s">
        <v>1122</v>
      </c>
      <c r="T524" s="251" t="s">
        <v>1123</v>
      </c>
      <c r="U524" s="252">
        <v>48.0</v>
      </c>
      <c r="V524" s="252">
        <v>12.0</v>
      </c>
      <c r="W524" s="252">
        <v>6.3</v>
      </c>
      <c r="X524" s="251" t="s">
        <v>1147</v>
      </c>
      <c r="Y524" s="251" t="s">
        <v>3830</v>
      </c>
      <c r="Z524" s="251" t="s">
        <v>3831</v>
      </c>
      <c r="AA524" s="254" t="s">
        <v>1105</v>
      </c>
      <c r="AB524" s="254" t="s">
        <v>1105</v>
      </c>
    </row>
    <row r="525">
      <c r="A525" s="252">
        <v>524.0</v>
      </c>
      <c r="B525" s="251" t="s">
        <v>3832</v>
      </c>
      <c r="C525" s="252">
        <v>1.0</v>
      </c>
      <c r="D525" s="251" t="s">
        <v>3833</v>
      </c>
      <c r="E525" s="251" t="s">
        <v>1695</v>
      </c>
      <c r="F525" s="251" t="s">
        <v>1109</v>
      </c>
      <c r="G525" s="253" t="s">
        <v>3834</v>
      </c>
      <c r="H525" s="252">
        <v>4.0</v>
      </c>
      <c r="I525" s="251" t="s">
        <v>1140</v>
      </c>
      <c r="J525" s="252">
        <v>8.0</v>
      </c>
      <c r="K525" s="252">
        <v>961.0</v>
      </c>
      <c r="L525" s="252">
        <v>120.0</v>
      </c>
      <c r="M525" s="252">
        <v>18870.0</v>
      </c>
      <c r="N525" s="252">
        <v>23210.0</v>
      </c>
      <c r="O525" s="252">
        <v>6.0</v>
      </c>
      <c r="P525" s="252">
        <v>8.0</v>
      </c>
      <c r="Q525" s="252">
        <v>4066.0</v>
      </c>
      <c r="R525" s="251" t="s">
        <v>1099</v>
      </c>
      <c r="S525" s="251" t="s">
        <v>1100</v>
      </c>
      <c r="T525" s="251" t="s">
        <v>1101</v>
      </c>
      <c r="U525" s="252">
        <v>16.0</v>
      </c>
      <c r="V525" s="252">
        <v>16.0</v>
      </c>
      <c r="W525" s="252">
        <v>6.0</v>
      </c>
      <c r="X525" s="251" t="s">
        <v>1147</v>
      </c>
      <c r="Y525" s="251" t="s">
        <v>3835</v>
      </c>
      <c r="Z525" s="251" t="s">
        <v>3836</v>
      </c>
      <c r="AA525" s="254" t="s">
        <v>1105</v>
      </c>
      <c r="AB525" s="254" t="s">
        <v>1105</v>
      </c>
    </row>
    <row r="526">
      <c r="A526" s="252">
        <v>525.0</v>
      </c>
      <c r="B526" s="251" t="s">
        <v>3837</v>
      </c>
      <c r="C526" s="252">
        <v>1.0</v>
      </c>
      <c r="D526" s="251" t="s">
        <v>3838</v>
      </c>
      <c r="E526" s="251" t="s">
        <v>1341</v>
      </c>
      <c r="F526" s="251" t="s">
        <v>1215</v>
      </c>
      <c r="G526" s="253" t="s">
        <v>3839</v>
      </c>
      <c r="H526" s="252">
        <v>3.0</v>
      </c>
      <c r="I526" s="251" t="s">
        <v>1121</v>
      </c>
      <c r="J526" s="252">
        <v>10.0</v>
      </c>
      <c r="K526" s="252">
        <v>642.0</v>
      </c>
      <c r="L526" s="252">
        <v>100.0</v>
      </c>
      <c r="M526" s="252">
        <v>18934.0</v>
      </c>
      <c r="N526" s="252">
        <v>34270.0</v>
      </c>
      <c r="O526" s="252">
        <v>4.0</v>
      </c>
      <c r="P526" s="252">
        <v>16.0</v>
      </c>
      <c r="Q526" s="252">
        <v>6275.0</v>
      </c>
      <c r="R526" s="251" t="s">
        <v>1112</v>
      </c>
      <c r="S526" s="251" t="s">
        <v>1122</v>
      </c>
      <c r="T526" s="251" t="s">
        <v>1101</v>
      </c>
      <c r="U526" s="252">
        <v>32.0</v>
      </c>
      <c r="V526" s="252">
        <v>32.0</v>
      </c>
      <c r="W526" s="252">
        <v>5.5</v>
      </c>
      <c r="X526" s="251" t="s">
        <v>1132</v>
      </c>
      <c r="Y526" s="251" t="s">
        <v>3840</v>
      </c>
      <c r="Z526" s="251" t="s">
        <v>3841</v>
      </c>
      <c r="AA526" s="254" t="s">
        <v>1105</v>
      </c>
      <c r="AB526" s="254" t="s">
        <v>1105</v>
      </c>
    </row>
    <row r="527">
      <c r="A527" s="252">
        <v>526.0</v>
      </c>
      <c r="B527" s="251" t="s">
        <v>3842</v>
      </c>
      <c r="C527" s="252">
        <v>1.0</v>
      </c>
      <c r="D527" s="251" t="s">
        <v>3843</v>
      </c>
      <c r="E527" s="251" t="s">
        <v>1128</v>
      </c>
      <c r="F527" s="251" t="s">
        <v>1129</v>
      </c>
      <c r="G527" s="253" t="s">
        <v>3844</v>
      </c>
      <c r="H527" s="252">
        <v>4.0</v>
      </c>
      <c r="I527" s="251" t="s">
        <v>1140</v>
      </c>
      <c r="J527" s="252">
        <v>8.0</v>
      </c>
      <c r="K527" s="252">
        <v>637.0</v>
      </c>
      <c r="L527" s="252">
        <v>80.0</v>
      </c>
      <c r="M527" s="252">
        <v>19974.0</v>
      </c>
      <c r="N527" s="252">
        <v>24168.0</v>
      </c>
      <c r="O527" s="252">
        <v>4.0</v>
      </c>
      <c r="P527" s="252">
        <v>8.0</v>
      </c>
      <c r="Q527" s="252">
        <v>4270.0</v>
      </c>
      <c r="R527" s="251" t="s">
        <v>1099</v>
      </c>
      <c r="S527" s="251" t="s">
        <v>1100</v>
      </c>
      <c r="T527" s="251" t="s">
        <v>1021</v>
      </c>
      <c r="U527" s="252">
        <v>14.0</v>
      </c>
      <c r="V527" s="252">
        <v>48.0</v>
      </c>
      <c r="W527" s="252">
        <v>4.7</v>
      </c>
      <c r="X527" s="251" t="s">
        <v>1132</v>
      </c>
      <c r="Y527" s="251" t="s">
        <v>3845</v>
      </c>
      <c r="Z527" s="251" t="s">
        <v>3846</v>
      </c>
      <c r="AA527" s="254" t="s">
        <v>1105</v>
      </c>
      <c r="AB527" s="254" t="s">
        <v>1105</v>
      </c>
    </row>
    <row r="528">
      <c r="A528" s="252">
        <v>527.0</v>
      </c>
      <c r="B528" s="251" t="s">
        <v>3847</v>
      </c>
      <c r="C528" s="252">
        <v>1.0</v>
      </c>
      <c r="D528" s="251" t="s">
        <v>3848</v>
      </c>
      <c r="E528" s="251" t="s">
        <v>1323</v>
      </c>
      <c r="F528" s="251" t="s">
        <v>1233</v>
      </c>
      <c r="G528" s="253" t="s">
        <v>3849</v>
      </c>
      <c r="H528" s="252">
        <v>6.0</v>
      </c>
      <c r="I528" s="251" t="s">
        <v>1131</v>
      </c>
      <c r="J528" s="252">
        <v>12.0</v>
      </c>
      <c r="K528" s="252">
        <v>452.0</v>
      </c>
      <c r="L528" s="252">
        <v>120.0</v>
      </c>
      <c r="M528" s="252">
        <v>10869.0</v>
      </c>
      <c r="N528" s="252">
        <v>14781.0</v>
      </c>
      <c r="O528" s="252">
        <v>12.0</v>
      </c>
      <c r="P528" s="252">
        <v>128.0</v>
      </c>
      <c r="Q528" s="252">
        <v>2954.0</v>
      </c>
      <c r="R528" s="251" t="s">
        <v>1141</v>
      </c>
      <c r="S528" s="251" t="s">
        <v>1100</v>
      </c>
      <c r="T528" s="251" t="s">
        <v>1021</v>
      </c>
      <c r="U528" s="252">
        <v>16.0</v>
      </c>
      <c r="V528" s="252">
        <v>12.0</v>
      </c>
      <c r="W528" s="252">
        <v>5.0</v>
      </c>
      <c r="X528" s="251" t="s">
        <v>1132</v>
      </c>
      <c r="Y528" s="251" t="s">
        <v>3850</v>
      </c>
      <c r="Z528" s="251" t="s">
        <v>3851</v>
      </c>
      <c r="AA528" s="254" t="s">
        <v>1105</v>
      </c>
      <c r="AB528" s="254" t="s">
        <v>1105</v>
      </c>
    </row>
    <row r="529">
      <c r="A529" s="252">
        <v>528.0</v>
      </c>
      <c r="B529" s="251" t="s">
        <v>3852</v>
      </c>
      <c r="C529" s="252">
        <v>1.0</v>
      </c>
      <c r="D529" s="251" t="s">
        <v>3853</v>
      </c>
      <c r="E529" s="251" t="s">
        <v>2161</v>
      </c>
      <c r="F529" s="251" t="s">
        <v>1202</v>
      </c>
      <c r="G529" s="253" t="s">
        <v>3854</v>
      </c>
      <c r="H529" s="252">
        <v>5.0</v>
      </c>
      <c r="I529" s="251" t="s">
        <v>1121</v>
      </c>
      <c r="J529" s="252">
        <v>10.0</v>
      </c>
      <c r="K529" s="252">
        <v>826.0</v>
      </c>
      <c r="L529" s="252">
        <v>120.0</v>
      </c>
      <c r="M529" s="252">
        <v>17491.0</v>
      </c>
      <c r="N529" s="252">
        <v>24837.0</v>
      </c>
      <c r="O529" s="252">
        <v>2.0</v>
      </c>
      <c r="P529" s="252">
        <v>512.0</v>
      </c>
      <c r="Q529" s="252">
        <v>3076.0</v>
      </c>
      <c r="R529" s="251" t="s">
        <v>1099</v>
      </c>
      <c r="S529" s="251" t="s">
        <v>1122</v>
      </c>
      <c r="T529" s="251" t="s">
        <v>1123</v>
      </c>
      <c r="U529" s="252">
        <v>16.0</v>
      </c>
      <c r="V529" s="252">
        <v>48.0</v>
      </c>
      <c r="W529" s="252">
        <v>4.7</v>
      </c>
      <c r="X529" s="251" t="s">
        <v>1113</v>
      </c>
      <c r="Y529" s="251" t="s">
        <v>3855</v>
      </c>
      <c r="Z529" s="251" t="s">
        <v>3856</v>
      </c>
      <c r="AA529" s="254" t="s">
        <v>1105</v>
      </c>
      <c r="AB529" s="254" t="s">
        <v>1105</v>
      </c>
    </row>
    <row r="530">
      <c r="A530" s="252">
        <v>529.0</v>
      </c>
      <c r="B530" s="251" t="s">
        <v>3857</v>
      </c>
      <c r="C530" s="252">
        <v>1.0</v>
      </c>
      <c r="D530" s="251" t="s">
        <v>3858</v>
      </c>
      <c r="E530" s="251" t="s">
        <v>1434</v>
      </c>
      <c r="F530" s="251" t="s">
        <v>1096</v>
      </c>
      <c r="G530" s="253" t="s">
        <v>3859</v>
      </c>
      <c r="H530" s="252">
        <v>2.0</v>
      </c>
      <c r="I530" s="251" t="s">
        <v>1111</v>
      </c>
      <c r="J530" s="252">
        <v>10.0</v>
      </c>
      <c r="K530" s="252">
        <v>403.0</v>
      </c>
      <c r="L530" s="252">
        <v>80.0</v>
      </c>
      <c r="M530" s="252">
        <v>4421.0</v>
      </c>
      <c r="N530" s="252">
        <v>8046.0</v>
      </c>
      <c r="O530" s="252">
        <v>12.0</v>
      </c>
      <c r="P530" s="252">
        <v>32.0</v>
      </c>
      <c r="Q530" s="252">
        <v>6001.0</v>
      </c>
      <c r="R530" s="251" t="s">
        <v>1141</v>
      </c>
      <c r="S530" s="251" t="s">
        <v>1122</v>
      </c>
      <c r="T530" s="251" t="s">
        <v>1123</v>
      </c>
      <c r="U530" s="252">
        <v>48.0</v>
      </c>
      <c r="V530" s="252">
        <v>16.0</v>
      </c>
      <c r="W530" s="252">
        <v>6.3</v>
      </c>
      <c r="X530" s="251" t="s">
        <v>1132</v>
      </c>
      <c r="Y530" s="251" t="s">
        <v>3860</v>
      </c>
      <c r="Z530" s="251" t="s">
        <v>3861</v>
      </c>
      <c r="AA530" s="254" t="s">
        <v>1105</v>
      </c>
      <c r="AB530" s="254" t="s">
        <v>1105</v>
      </c>
    </row>
    <row r="531">
      <c r="A531" s="252">
        <v>530.0</v>
      </c>
      <c r="B531" s="251" t="s">
        <v>3862</v>
      </c>
      <c r="C531" s="252">
        <v>1.0</v>
      </c>
      <c r="D531" s="251" t="s">
        <v>3863</v>
      </c>
      <c r="E531" s="251" t="s">
        <v>1393</v>
      </c>
      <c r="F531" s="251" t="s">
        <v>1160</v>
      </c>
      <c r="G531" s="253" t="s">
        <v>3864</v>
      </c>
      <c r="H531" s="252">
        <v>3.0</v>
      </c>
      <c r="I531" s="251" t="s">
        <v>1111</v>
      </c>
      <c r="J531" s="252">
        <v>12.0</v>
      </c>
      <c r="K531" s="252">
        <v>741.0</v>
      </c>
      <c r="L531" s="252">
        <v>80.0</v>
      </c>
      <c r="M531" s="252">
        <v>7721.0</v>
      </c>
      <c r="N531" s="252">
        <v>13820.0</v>
      </c>
      <c r="O531" s="252">
        <v>2.0</v>
      </c>
      <c r="P531" s="252">
        <v>32.0</v>
      </c>
      <c r="Q531" s="252">
        <v>2656.0</v>
      </c>
      <c r="R531" s="251" t="s">
        <v>1141</v>
      </c>
      <c r="S531" s="251" t="s">
        <v>1122</v>
      </c>
      <c r="T531" s="251" t="s">
        <v>1123</v>
      </c>
      <c r="U531" s="252">
        <v>32.0</v>
      </c>
      <c r="V531" s="252">
        <v>32.0</v>
      </c>
      <c r="W531" s="252">
        <v>6.3</v>
      </c>
      <c r="X531" s="251" t="s">
        <v>1102</v>
      </c>
      <c r="Y531" s="251" t="s">
        <v>3865</v>
      </c>
      <c r="Z531" s="251" t="s">
        <v>3866</v>
      </c>
      <c r="AA531" s="254" t="s">
        <v>1105</v>
      </c>
      <c r="AB531" s="254" t="s">
        <v>1105</v>
      </c>
    </row>
    <row r="532">
      <c r="A532" s="252">
        <v>531.0</v>
      </c>
      <c r="B532" s="251" t="s">
        <v>3867</v>
      </c>
      <c r="C532" s="252">
        <v>1.0</v>
      </c>
      <c r="D532" s="251" t="s">
        <v>3868</v>
      </c>
      <c r="E532" s="251" t="s">
        <v>1534</v>
      </c>
      <c r="F532" s="251" t="s">
        <v>1119</v>
      </c>
      <c r="G532" s="253" t="s">
        <v>3869</v>
      </c>
      <c r="H532" s="252">
        <v>5.0</v>
      </c>
      <c r="I532" s="251" t="s">
        <v>1111</v>
      </c>
      <c r="J532" s="252">
        <v>10.0</v>
      </c>
      <c r="K532" s="252">
        <v>366.0</v>
      </c>
      <c r="L532" s="252">
        <v>100.0</v>
      </c>
      <c r="M532" s="252">
        <v>21658.0</v>
      </c>
      <c r="N532" s="252">
        <v>37468.0</v>
      </c>
      <c r="O532" s="252">
        <v>2.0</v>
      </c>
      <c r="P532" s="252">
        <v>16.0</v>
      </c>
      <c r="Q532" s="252">
        <v>2379.0</v>
      </c>
      <c r="R532" s="251" t="s">
        <v>1099</v>
      </c>
      <c r="S532" s="251" t="s">
        <v>1122</v>
      </c>
      <c r="T532" s="251" t="s">
        <v>1021</v>
      </c>
      <c r="U532" s="252">
        <v>16.0</v>
      </c>
      <c r="V532" s="252">
        <v>12.0</v>
      </c>
      <c r="W532" s="252">
        <v>4.7</v>
      </c>
      <c r="X532" s="251" t="s">
        <v>1102</v>
      </c>
      <c r="Y532" s="251" t="s">
        <v>3870</v>
      </c>
      <c r="Z532" s="251" t="s">
        <v>3871</v>
      </c>
      <c r="AA532" s="254" t="s">
        <v>1105</v>
      </c>
      <c r="AB532" s="254" t="s">
        <v>1105</v>
      </c>
    </row>
    <row r="533">
      <c r="A533" s="252">
        <v>532.0</v>
      </c>
      <c r="B533" s="251" t="s">
        <v>3872</v>
      </c>
      <c r="C533" s="252">
        <v>1.0</v>
      </c>
      <c r="D533" s="251" t="s">
        <v>3873</v>
      </c>
      <c r="E533" s="251" t="s">
        <v>1598</v>
      </c>
      <c r="F533" s="251" t="s">
        <v>1153</v>
      </c>
      <c r="G533" s="253" t="s">
        <v>3874</v>
      </c>
      <c r="H533" s="252">
        <v>3.0</v>
      </c>
      <c r="I533" s="251" t="s">
        <v>1098</v>
      </c>
      <c r="J533" s="252">
        <v>8.0</v>
      </c>
      <c r="K533" s="252">
        <v>514.0</v>
      </c>
      <c r="L533" s="252">
        <v>120.0</v>
      </c>
      <c r="M533" s="252">
        <v>9594.0</v>
      </c>
      <c r="N533" s="252">
        <v>12376.0</v>
      </c>
      <c r="O533" s="252">
        <v>2.0</v>
      </c>
      <c r="P533" s="252">
        <v>512.0</v>
      </c>
      <c r="Q533" s="252">
        <v>4049.0</v>
      </c>
      <c r="R533" s="251" t="s">
        <v>1141</v>
      </c>
      <c r="S533" s="251" t="s">
        <v>1122</v>
      </c>
      <c r="T533" s="251" t="s">
        <v>1101</v>
      </c>
      <c r="U533" s="252">
        <v>32.0</v>
      </c>
      <c r="V533" s="252">
        <v>32.0</v>
      </c>
      <c r="W533" s="252">
        <v>5.5</v>
      </c>
      <c r="X533" s="251" t="s">
        <v>1147</v>
      </c>
      <c r="Y533" s="251" t="s">
        <v>3875</v>
      </c>
      <c r="Z533" s="251" t="s">
        <v>3876</v>
      </c>
      <c r="AA533" s="254" t="s">
        <v>1105</v>
      </c>
      <c r="AB533" s="254" t="s">
        <v>1105</v>
      </c>
    </row>
    <row r="534">
      <c r="A534" s="252">
        <v>533.0</v>
      </c>
      <c r="B534" s="251" t="s">
        <v>3877</v>
      </c>
      <c r="C534" s="252">
        <v>1.0</v>
      </c>
      <c r="D534" s="251" t="s">
        <v>3878</v>
      </c>
      <c r="E534" s="251" t="s">
        <v>1405</v>
      </c>
      <c r="F534" s="251" t="s">
        <v>1202</v>
      </c>
      <c r="G534" s="253" t="s">
        <v>3879</v>
      </c>
      <c r="H534" s="252">
        <v>5.0</v>
      </c>
      <c r="I534" s="251" t="s">
        <v>1121</v>
      </c>
      <c r="J534" s="252">
        <v>10.0</v>
      </c>
      <c r="K534" s="252">
        <v>153.0</v>
      </c>
      <c r="L534" s="252">
        <v>100.0</v>
      </c>
      <c r="M534" s="252">
        <v>12415.0</v>
      </c>
      <c r="N534" s="252">
        <v>22967.0</v>
      </c>
      <c r="O534" s="252">
        <v>4.0</v>
      </c>
      <c r="P534" s="252">
        <v>8.0</v>
      </c>
      <c r="Q534" s="252">
        <v>3518.0</v>
      </c>
      <c r="R534" s="251" t="s">
        <v>1099</v>
      </c>
      <c r="S534" s="251" t="s">
        <v>1122</v>
      </c>
      <c r="T534" s="251" t="s">
        <v>1101</v>
      </c>
      <c r="U534" s="252">
        <v>32.0</v>
      </c>
      <c r="V534" s="252">
        <v>14.0</v>
      </c>
      <c r="W534" s="252">
        <v>5.2</v>
      </c>
      <c r="X534" s="251" t="s">
        <v>1147</v>
      </c>
      <c r="Y534" s="251" t="s">
        <v>3880</v>
      </c>
      <c r="Z534" s="251" t="s">
        <v>3881</v>
      </c>
      <c r="AA534" s="254" t="s">
        <v>1105</v>
      </c>
      <c r="AB534" s="254" t="s">
        <v>1105</v>
      </c>
    </row>
    <row r="535">
      <c r="A535" s="252">
        <v>534.0</v>
      </c>
      <c r="B535" s="251" t="s">
        <v>3882</v>
      </c>
      <c r="C535" s="252">
        <v>1.0</v>
      </c>
      <c r="D535" s="251" t="s">
        <v>3883</v>
      </c>
      <c r="E535" s="251" t="s">
        <v>1201</v>
      </c>
      <c r="F535" s="251" t="s">
        <v>1202</v>
      </c>
      <c r="G535" s="253" t="s">
        <v>3884</v>
      </c>
      <c r="H535" s="252">
        <v>6.0</v>
      </c>
      <c r="I535" s="251" t="s">
        <v>1131</v>
      </c>
      <c r="J535" s="252">
        <v>10.0</v>
      </c>
      <c r="K535" s="252">
        <v>766.0</v>
      </c>
      <c r="L535" s="252">
        <v>100.0</v>
      </c>
      <c r="M535" s="252">
        <v>13904.0</v>
      </c>
      <c r="N535" s="252">
        <v>19187.0</v>
      </c>
      <c r="O535" s="252">
        <v>12.0</v>
      </c>
      <c r="P535" s="252">
        <v>64.0</v>
      </c>
      <c r="Q535" s="252">
        <v>4727.0</v>
      </c>
      <c r="R535" s="251" t="s">
        <v>1099</v>
      </c>
      <c r="S535" s="251" t="s">
        <v>1100</v>
      </c>
      <c r="T535" s="251" t="s">
        <v>1101</v>
      </c>
      <c r="U535" s="252">
        <v>48.0</v>
      </c>
      <c r="V535" s="252">
        <v>14.0</v>
      </c>
      <c r="W535" s="252">
        <v>5.2</v>
      </c>
      <c r="X535" s="251" t="s">
        <v>1132</v>
      </c>
      <c r="Y535" s="251" t="s">
        <v>3885</v>
      </c>
      <c r="Z535" s="251" t="s">
        <v>3886</v>
      </c>
      <c r="AA535" s="254" t="s">
        <v>1105</v>
      </c>
      <c r="AB535" s="254" t="s">
        <v>1105</v>
      </c>
    </row>
    <row r="536">
      <c r="A536" s="252">
        <v>535.0</v>
      </c>
      <c r="B536" s="251" t="s">
        <v>3887</v>
      </c>
      <c r="C536" s="252">
        <v>1.0</v>
      </c>
      <c r="D536" s="251" t="s">
        <v>3888</v>
      </c>
      <c r="E536" s="251" t="s">
        <v>2125</v>
      </c>
      <c r="F536" s="251" t="s">
        <v>1202</v>
      </c>
      <c r="G536" s="253" t="s">
        <v>3889</v>
      </c>
      <c r="H536" s="252">
        <v>5.0</v>
      </c>
      <c r="I536" s="251" t="s">
        <v>1131</v>
      </c>
      <c r="J536" s="252">
        <v>12.0</v>
      </c>
      <c r="K536" s="252">
        <v>239.0</v>
      </c>
      <c r="L536" s="252">
        <v>120.0</v>
      </c>
      <c r="M536" s="252">
        <v>11968.0</v>
      </c>
      <c r="N536" s="252">
        <v>16874.0</v>
      </c>
      <c r="O536" s="252">
        <v>8.0</v>
      </c>
      <c r="P536" s="252">
        <v>32.0</v>
      </c>
      <c r="Q536" s="252">
        <v>1976.0</v>
      </c>
      <c r="R536" s="251" t="s">
        <v>1141</v>
      </c>
      <c r="S536" s="251" t="s">
        <v>1100</v>
      </c>
      <c r="T536" s="251" t="s">
        <v>1021</v>
      </c>
      <c r="U536" s="252">
        <v>12.0</v>
      </c>
      <c r="V536" s="252">
        <v>48.0</v>
      </c>
      <c r="W536" s="252">
        <v>6.3</v>
      </c>
      <c r="X536" s="251" t="s">
        <v>1113</v>
      </c>
      <c r="Y536" s="251" t="s">
        <v>3890</v>
      </c>
      <c r="Z536" s="251" t="s">
        <v>3891</v>
      </c>
      <c r="AA536" s="254" t="s">
        <v>1105</v>
      </c>
      <c r="AB536" s="254" t="s">
        <v>1105</v>
      </c>
    </row>
    <row r="537">
      <c r="A537" s="252">
        <v>536.0</v>
      </c>
      <c r="B537" s="251" t="s">
        <v>3892</v>
      </c>
      <c r="C537" s="252">
        <v>1.0</v>
      </c>
      <c r="D537" s="251" t="s">
        <v>3893</v>
      </c>
      <c r="E537" s="251" t="s">
        <v>1189</v>
      </c>
      <c r="F537" s="251" t="s">
        <v>1096</v>
      </c>
      <c r="G537" s="253" t="s">
        <v>3894</v>
      </c>
      <c r="H537" s="252">
        <v>4.0</v>
      </c>
      <c r="I537" s="251" t="s">
        <v>1111</v>
      </c>
      <c r="J537" s="252">
        <v>10.0</v>
      </c>
      <c r="K537" s="252">
        <v>528.0</v>
      </c>
      <c r="L537" s="252">
        <v>120.0</v>
      </c>
      <c r="M537" s="252">
        <v>20029.0</v>
      </c>
      <c r="N537" s="252">
        <v>32046.0</v>
      </c>
      <c r="O537" s="252">
        <v>6.0</v>
      </c>
      <c r="P537" s="252">
        <v>8.0</v>
      </c>
      <c r="Q537" s="252">
        <v>4101.0</v>
      </c>
      <c r="R537" s="251" t="s">
        <v>1141</v>
      </c>
      <c r="S537" s="251" t="s">
        <v>1100</v>
      </c>
      <c r="T537" s="251" t="s">
        <v>1101</v>
      </c>
      <c r="U537" s="252">
        <v>32.0</v>
      </c>
      <c r="V537" s="252">
        <v>16.0</v>
      </c>
      <c r="W537" s="252">
        <v>6.0</v>
      </c>
      <c r="X537" s="251" t="s">
        <v>1132</v>
      </c>
      <c r="Y537" s="251" t="s">
        <v>3895</v>
      </c>
      <c r="Z537" s="251" t="s">
        <v>3896</v>
      </c>
      <c r="AA537" s="254" t="s">
        <v>1105</v>
      </c>
      <c r="AB537" s="254" t="s">
        <v>1105</v>
      </c>
    </row>
    <row r="538">
      <c r="A538" s="252">
        <v>537.0</v>
      </c>
      <c r="B538" s="251" t="s">
        <v>3897</v>
      </c>
      <c r="C538" s="252">
        <v>1.0</v>
      </c>
      <c r="D538" s="251" t="s">
        <v>3898</v>
      </c>
      <c r="E538" s="251" t="s">
        <v>1701</v>
      </c>
      <c r="F538" s="251" t="s">
        <v>1119</v>
      </c>
      <c r="G538" s="253" t="s">
        <v>3899</v>
      </c>
      <c r="H538" s="252">
        <v>2.0</v>
      </c>
      <c r="I538" s="251" t="s">
        <v>1131</v>
      </c>
      <c r="J538" s="252">
        <v>8.0</v>
      </c>
      <c r="K538" s="252">
        <v>148.0</v>
      </c>
      <c r="L538" s="252">
        <v>120.0</v>
      </c>
      <c r="M538" s="252">
        <v>18191.0</v>
      </c>
      <c r="N538" s="252">
        <v>23466.0</v>
      </c>
      <c r="O538" s="252">
        <v>4.0</v>
      </c>
      <c r="P538" s="252">
        <v>32.0</v>
      </c>
      <c r="Q538" s="252">
        <v>6495.0</v>
      </c>
      <c r="R538" s="251" t="s">
        <v>1099</v>
      </c>
      <c r="S538" s="251" t="s">
        <v>1122</v>
      </c>
      <c r="T538" s="251" t="s">
        <v>1101</v>
      </c>
      <c r="U538" s="252">
        <v>14.0</v>
      </c>
      <c r="V538" s="252">
        <v>32.0</v>
      </c>
      <c r="W538" s="252">
        <v>5.5</v>
      </c>
      <c r="X538" s="251" t="s">
        <v>1102</v>
      </c>
      <c r="Y538" s="251" t="s">
        <v>3900</v>
      </c>
      <c r="Z538" s="251" t="s">
        <v>3901</v>
      </c>
      <c r="AA538" s="254" t="s">
        <v>1105</v>
      </c>
      <c r="AB538" s="254" t="s">
        <v>1105</v>
      </c>
    </row>
    <row r="539">
      <c r="A539" s="252">
        <v>538.0</v>
      </c>
      <c r="B539" s="251" t="s">
        <v>3902</v>
      </c>
      <c r="C539" s="252">
        <v>1.0</v>
      </c>
      <c r="D539" s="251" t="s">
        <v>3903</v>
      </c>
      <c r="E539" s="251" t="s">
        <v>1329</v>
      </c>
      <c r="F539" s="251" t="s">
        <v>1109</v>
      </c>
      <c r="G539" s="253" t="s">
        <v>3904</v>
      </c>
      <c r="H539" s="252">
        <v>6.0</v>
      </c>
      <c r="I539" s="251" t="s">
        <v>1111</v>
      </c>
      <c r="J539" s="252">
        <v>12.0</v>
      </c>
      <c r="K539" s="252">
        <v>271.0</v>
      </c>
      <c r="L539" s="252">
        <v>80.0</v>
      </c>
      <c r="M539" s="252">
        <v>12605.0</v>
      </c>
      <c r="N539" s="252">
        <v>19789.0</v>
      </c>
      <c r="O539" s="252">
        <v>8.0</v>
      </c>
      <c r="P539" s="252">
        <v>32.0</v>
      </c>
      <c r="Q539" s="252">
        <v>4176.0</v>
      </c>
      <c r="R539" s="251" t="s">
        <v>1099</v>
      </c>
      <c r="S539" s="251" t="s">
        <v>1100</v>
      </c>
      <c r="T539" s="251" t="s">
        <v>1101</v>
      </c>
      <c r="U539" s="252">
        <v>16.0</v>
      </c>
      <c r="V539" s="252">
        <v>12.0</v>
      </c>
      <c r="W539" s="252">
        <v>5.5</v>
      </c>
      <c r="X539" s="251" t="s">
        <v>1113</v>
      </c>
      <c r="Y539" s="251" t="s">
        <v>3905</v>
      </c>
      <c r="Z539" s="251" t="s">
        <v>3906</v>
      </c>
      <c r="AA539" s="254" t="s">
        <v>1105</v>
      </c>
      <c r="AB539" s="254" t="s">
        <v>1105</v>
      </c>
    </row>
    <row r="540">
      <c r="A540" s="252">
        <v>539.0</v>
      </c>
      <c r="B540" s="251" t="s">
        <v>3907</v>
      </c>
      <c r="C540" s="252">
        <v>1.0</v>
      </c>
      <c r="D540" s="251" t="s">
        <v>3908</v>
      </c>
      <c r="E540" s="251" t="s">
        <v>1399</v>
      </c>
      <c r="F540" s="251" t="s">
        <v>1138</v>
      </c>
      <c r="G540" s="253" t="s">
        <v>3909</v>
      </c>
      <c r="H540" s="252">
        <v>2.0</v>
      </c>
      <c r="I540" s="251" t="s">
        <v>1111</v>
      </c>
      <c r="J540" s="252">
        <v>8.0</v>
      </c>
      <c r="K540" s="252">
        <v>890.0</v>
      </c>
      <c r="L540" s="252">
        <v>100.0</v>
      </c>
      <c r="M540" s="252">
        <v>17229.0</v>
      </c>
      <c r="N540" s="252">
        <v>29806.0</v>
      </c>
      <c r="O540" s="252">
        <v>8.0</v>
      </c>
      <c r="P540" s="252">
        <v>128.0</v>
      </c>
      <c r="Q540" s="252">
        <v>3814.0</v>
      </c>
      <c r="R540" s="251" t="s">
        <v>1099</v>
      </c>
      <c r="S540" s="251" t="s">
        <v>1100</v>
      </c>
      <c r="T540" s="251" t="s">
        <v>1021</v>
      </c>
      <c r="U540" s="252">
        <v>48.0</v>
      </c>
      <c r="V540" s="252">
        <v>48.0</v>
      </c>
      <c r="W540" s="252">
        <v>5.5</v>
      </c>
      <c r="X540" s="251" t="s">
        <v>1113</v>
      </c>
      <c r="Y540" s="251" t="s">
        <v>3910</v>
      </c>
      <c r="Z540" s="251" t="s">
        <v>3911</v>
      </c>
      <c r="AA540" s="254" t="s">
        <v>1105</v>
      </c>
      <c r="AB540" s="254" t="s">
        <v>1105</v>
      </c>
    </row>
    <row r="541">
      <c r="A541" s="252">
        <v>540.0</v>
      </c>
      <c r="B541" s="251" t="s">
        <v>3912</v>
      </c>
      <c r="C541" s="252">
        <v>1.0</v>
      </c>
      <c r="D541" s="251" t="s">
        <v>3913</v>
      </c>
      <c r="E541" s="251" t="s">
        <v>1650</v>
      </c>
      <c r="F541" s="251" t="s">
        <v>1160</v>
      </c>
      <c r="G541" s="253" t="s">
        <v>3914</v>
      </c>
      <c r="H541" s="252">
        <v>2.0</v>
      </c>
      <c r="I541" s="251" t="s">
        <v>1111</v>
      </c>
      <c r="J541" s="252">
        <v>10.0</v>
      </c>
      <c r="K541" s="252">
        <v>114.0</v>
      </c>
      <c r="L541" s="252">
        <v>120.0</v>
      </c>
      <c r="M541" s="252">
        <v>8912.0</v>
      </c>
      <c r="N541" s="252">
        <v>12922.0</v>
      </c>
      <c r="O541" s="252">
        <v>4.0</v>
      </c>
      <c r="P541" s="252">
        <v>64.0</v>
      </c>
      <c r="Q541" s="252">
        <v>4394.0</v>
      </c>
      <c r="R541" s="251" t="s">
        <v>1112</v>
      </c>
      <c r="S541" s="251" t="s">
        <v>1122</v>
      </c>
      <c r="T541" s="251" t="s">
        <v>1123</v>
      </c>
      <c r="U541" s="252">
        <v>12.0</v>
      </c>
      <c r="V541" s="252">
        <v>48.0</v>
      </c>
      <c r="W541" s="252">
        <v>4.7</v>
      </c>
      <c r="X541" s="251" t="s">
        <v>1102</v>
      </c>
      <c r="Y541" s="251" t="s">
        <v>3915</v>
      </c>
      <c r="Z541" s="251" t="s">
        <v>3916</v>
      </c>
      <c r="AA541" s="254" t="s">
        <v>1105</v>
      </c>
      <c r="AB541" s="254" t="s">
        <v>1105</v>
      </c>
    </row>
    <row r="542">
      <c r="A542" s="252">
        <v>541.0</v>
      </c>
      <c r="B542" s="251" t="s">
        <v>3917</v>
      </c>
      <c r="C542" s="252">
        <v>1.0</v>
      </c>
      <c r="D542" s="251" t="s">
        <v>3918</v>
      </c>
      <c r="E542" s="251" t="s">
        <v>1375</v>
      </c>
      <c r="F542" s="251" t="s">
        <v>1160</v>
      </c>
      <c r="G542" s="253" t="s">
        <v>3919</v>
      </c>
      <c r="H542" s="252">
        <v>3.0</v>
      </c>
      <c r="I542" s="251" t="s">
        <v>1098</v>
      </c>
      <c r="J542" s="252">
        <v>8.0</v>
      </c>
      <c r="K542" s="252">
        <v>928.0</v>
      </c>
      <c r="L542" s="252">
        <v>120.0</v>
      </c>
      <c r="M542" s="252">
        <v>13544.0</v>
      </c>
      <c r="N542" s="252">
        <v>23702.0</v>
      </c>
      <c r="O542" s="252">
        <v>8.0</v>
      </c>
      <c r="P542" s="252">
        <v>64.0</v>
      </c>
      <c r="Q542" s="252">
        <v>2161.0</v>
      </c>
      <c r="R542" s="251" t="s">
        <v>1141</v>
      </c>
      <c r="S542" s="251" t="s">
        <v>1100</v>
      </c>
      <c r="T542" s="251" t="s">
        <v>1123</v>
      </c>
      <c r="U542" s="252">
        <v>48.0</v>
      </c>
      <c r="V542" s="252">
        <v>32.0</v>
      </c>
      <c r="W542" s="252">
        <v>6.0</v>
      </c>
      <c r="X542" s="251" t="s">
        <v>1102</v>
      </c>
      <c r="Y542" s="251" t="s">
        <v>3920</v>
      </c>
      <c r="Z542" s="251" t="s">
        <v>3921</v>
      </c>
      <c r="AA542" s="254" t="s">
        <v>1105</v>
      </c>
      <c r="AB542" s="254" t="s">
        <v>1105</v>
      </c>
    </row>
    <row r="543">
      <c r="A543" s="252">
        <v>542.0</v>
      </c>
      <c r="B543" s="251" t="s">
        <v>3922</v>
      </c>
      <c r="C543" s="252">
        <v>1.0</v>
      </c>
      <c r="D543" s="251" t="s">
        <v>3923</v>
      </c>
      <c r="E543" s="251" t="s">
        <v>1172</v>
      </c>
      <c r="F543" s="251" t="s">
        <v>1160</v>
      </c>
      <c r="G543" s="253" t="s">
        <v>3924</v>
      </c>
      <c r="H543" s="252">
        <v>4.0</v>
      </c>
      <c r="I543" s="251" t="s">
        <v>1098</v>
      </c>
      <c r="J543" s="252">
        <v>12.0</v>
      </c>
      <c r="K543" s="252">
        <v>934.0</v>
      </c>
      <c r="L543" s="252">
        <v>80.0</v>
      </c>
      <c r="M543" s="252">
        <v>20305.0</v>
      </c>
      <c r="N543" s="252">
        <v>29442.0</v>
      </c>
      <c r="O543" s="252">
        <v>12.0</v>
      </c>
      <c r="P543" s="252">
        <v>8.0</v>
      </c>
      <c r="Q543" s="252">
        <v>5610.0</v>
      </c>
      <c r="R543" s="251" t="s">
        <v>1141</v>
      </c>
      <c r="S543" s="251" t="s">
        <v>1122</v>
      </c>
      <c r="T543" s="251" t="s">
        <v>1123</v>
      </c>
      <c r="U543" s="252">
        <v>48.0</v>
      </c>
      <c r="V543" s="252">
        <v>14.0</v>
      </c>
      <c r="W543" s="252">
        <v>6.0</v>
      </c>
      <c r="X543" s="251" t="s">
        <v>1102</v>
      </c>
      <c r="Y543" s="251" t="s">
        <v>3925</v>
      </c>
      <c r="Z543" s="251" t="s">
        <v>3926</v>
      </c>
      <c r="AA543" s="254" t="s">
        <v>1105</v>
      </c>
      <c r="AB543" s="254" t="s">
        <v>1105</v>
      </c>
    </row>
    <row r="544">
      <c r="A544" s="252">
        <v>543.0</v>
      </c>
      <c r="B544" s="251" t="s">
        <v>3927</v>
      </c>
      <c r="C544" s="252">
        <v>1.0</v>
      </c>
      <c r="D544" s="251" t="s">
        <v>3928</v>
      </c>
      <c r="E544" s="251" t="s">
        <v>1452</v>
      </c>
      <c r="F544" s="251" t="s">
        <v>1119</v>
      </c>
      <c r="G544" s="253" t="s">
        <v>3929</v>
      </c>
      <c r="H544" s="252">
        <v>4.0</v>
      </c>
      <c r="I544" s="251" t="s">
        <v>1111</v>
      </c>
      <c r="J544" s="252">
        <v>8.0</v>
      </c>
      <c r="K544" s="252">
        <v>108.0</v>
      </c>
      <c r="L544" s="252">
        <v>100.0</v>
      </c>
      <c r="M544" s="252">
        <v>21185.0</v>
      </c>
      <c r="N544" s="252">
        <v>25845.0</v>
      </c>
      <c r="O544" s="252">
        <v>6.0</v>
      </c>
      <c r="P544" s="252">
        <v>32.0</v>
      </c>
      <c r="Q544" s="252">
        <v>3268.0</v>
      </c>
      <c r="R544" s="251" t="s">
        <v>1099</v>
      </c>
      <c r="S544" s="251" t="s">
        <v>1122</v>
      </c>
      <c r="T544" s="251" t="s">
        <v>1101</v>
      </c>
      <c r="U544" s="252">
        <v>12.0</v>
      </c>
      <c r="V544" s="252">
        <v>48.0</v>
      </c>
      <c r="W544" s="252">
        <v>6.0</v>
      </c>
      <c r="X544" s="251" t="s">
        <v>1147</v>
      </c>
      <c r="Y544" s="251" t="s">
        <v>3930</v>
      </c>
      <c r="Z544" s="251" t="s">
        <v>3931</v>
      </c>
      <c r="AA544" s="254" t="s">
        <v>1105</v>
      </c>
      <c r="AB544" s="254" t="s">
        <v>1105</v>
      </c>
    </row>
    <row r="545">
      <c r="A545" s="252">
        <v>544.0</v>
      </c>
      <c r="B545" s="251" t="s">
        <v>3932</v>
      </c>
      <c r="C545" s="252">
        <v>1.0</v>
      </c>
      <c r="D545" s="251" t="s">
        <v>3933</v>
      </c>
      <c r="E545" s="251" t="s">
        <v>1300</v>
      </c>
      <c r="F545" s="251" t="s">
        <v>1233</v>
      </c>
      <c r="G545" s="253" t="s">
        <v>3045</v>
      </c>
      <c r="H545" s="252">
        <v>6.0</v>
      </c>
      <c r="I545" s="251" t="s">
        <v>1121</v>
      </c>
      <c r="J545" s="252">
        <v>8.0</v>
      </c>
      <c r="K545" s="252">
        <v>798.0</v>
      </c>
      <c r="L545" s="252">
        <v>120.0</v>
      </c>
      <c r="M545" s="252">
        <v>7075.0</v>
      </c>
      <c r="N545" s="252">
        <v>11886.0</v>
      </c>
      <c r="O545" s="252">
        <v>6.0</v>
      </c>
      <c r="P545" s="252">
        <v>16.0</v>
      </c>
      <c r="Q545" s="252">
        <v>5773.0</v>
      </c>
      <c r="R545" s="251" t="s">
        <v>1099</v>
      </c>
      <c r="S545" s="251" t="s">
        <v>1100</v>
      </c>
      <c r="T545" s="251" t="s">
        <v>1021</v>
      </c>
      <c r="U545" s="252">
        <v>32.0</v>
      </c>
      <c r="V545" s="252">
        <v>14.0</v>
      </c>
      <c r="W545" s="252">
        <v>4.7</v>
      </c>
      <c r="X545" s="251" t="s">
        <v>1132</v>
      </c>
      <c r="Y545" s="251" t="s">
        <v>3934</v>
      </c>
      <c r="Z545" s="251" t="s">
        <v>3935</v>
      </c>
      <c r="AA545" s="254" t="s">
        <v>1105</v>
      </c>
      <c r="AB545" s="254" t="s">
        <v>1105</v>
      </c>
    </row>
    <row r="546">
      <c r="A546" s="252">
        <v>545.0</v>
      </c>
      <c r="B546" s="251" t="s">
        <v>3936</v>
      </c>
      <c r="C546" s="252">
        <v>1.0</v>
      </c>
      <c r="D546" s="251" t="s">
        <v>3937</v>
      </c>
      <c r="E546" s="251" t="s">
        <v>1502</v>
      </c>
      <c r="F546" s="251" t="s">
        <v>1153</v>
      </c>
      <c r="G546" s="253" t="s">
        <v>3938</v>
      </c>
      <c r="H546" s="252">
        <v>3.0</v>
      </c>
      <c r="I546" s="251" t="s">
        <v>1140</v>
      </c>
      <c r="J546" s="252">
        <v>8.0</v>
      </c>
      <c r="K546" s="252">
        <v>26.0</v>
      </c>
      <c r="L546" s="252">
        <v>120.0</v>
      </c>
      <c r="M546" s="252">
        <v>22245.0</v>
      </c>
      <c r="N546" s="252">
        <v>29363.0</v>
      </c>
      <c r="O546" s="252">
        <v>12.0</v>
      </c>
      <c r="P546" s="252">
        <v>16.0</v>
      </c>
      <c r="Q546" s="252">
        <v>5783.0</v>
      </c>
      <c r="R546" s="251" t="s">
        <v>1141</v>
      </c>
      <c r="S546" s="251" t="s">
        <v>1122</v>
      </c>
      <c r="T546" s="251" t="s">
        <v>1123</v>
      </c>
      <c r="U546" s="252">
        <v>14.0</v>
      </c>
      <c r="V546" s="252">
        <v>14.0</v>
      </c>
      <c r="W546" s="252">
        <v>5.2</v>
      </c>
      <c r="X546" s="251" t="s">
        <v>1147</v>
      </c>
      <c r="Y546" s="251" t="s">
        <v>3939</v>
      </c>
      <c r="Z546" s="251" t="s">
        <v>3940</v>
      </c>
      <c r="AA546" s="254" t="s">
        <v>1105</v>
      </c>
      <c r="AB546" s="254" t="s">
        <v>1105</v>
      </c>
    </row>
    <row r="547">
      <c r="A547" s="252">
        <v>546.0</v>
      </c>
      <c r="B547" s="251" t="s">
        <v>3941</v>
      </c>
      <c r="C547" s="252">
        <v>1.0</v>
      </c>
      <c r="D547" s="251" t="s">
        <v>3942</v>
      </c>
      <c r="E547" s="251" t="s">
        <v>1874</v>
      </c>
      <c r="F547" s="251" t="s">
        <v>1202</v>
      </c>
      <c r="G547" s="253" t="s">
        <v>3943</v>
      </c>
      <c r="H547" s="252">
        <v>5.0</v>
      </c>
      <c r="I547" s="251" t="s">
        <v>1098</v>
      </c>
      <c r="J547" s="252">
        <v>10.0</v>
      </c>
      <c r="K547" s="252">
        <v>474.0</v>
      </c>
      <c r="L547" s="252">
        <v>100.0</v>
      </c>
      <c r="M547" s="252">
        <v>7696.0</v>
      </c>
      <c r="N547" s="252">
        <v>9696.0</v>
      </c>
      <c r="O547" s="252">
        <v>6.0</v>
      </c>
      <c r="P547" s="252">
        <v>512.0</v>
      </c>
      <c r="Q547" s="252">
        <v>2946.0</v>
      </c>
      <c r="R547" s="251" t="s">
        <v>1112</v>
      </c>
      <c r="S547" s="251" t="s">
        <v>1100</v>
      </c>
      <c r="T547" s="251" t="s">
        <v>1021</v>
      </c>
      <c r="U547" s="252">
        <v>32.0</v>
      </c>
      <c r="V547" s="252">
        <v>16.0</v>
      </c>
      <c r="W547" s="252">
        <v>4.7</v>
      </c>
      <c r="X547" s="251" t="s">
        <v>1113</v>
      </c>
      <c r="Y547" s="251" t="s">
        <v>3944</v>
      </c>
      <c r="Z547" s="251" t="s">
        <v>3945</v>
      </c>
      <c r="AA547" s="254" t="s">
        <v>1105</v>
      </c>
      <c r="AB547" s="254" t="s">
        <v>1105</v>
      </c>
    </row>
    <row r="548">
      <c r="A548" s="252">
        <v>547.0</v>
      </c>
      <c r="B548" s="251" t="s">
        <v>3946</v>
      </c>
      <c r="C548" s="252">
        <v>1.0</v>
      </c>
      <c r="D548" s="251" t="s">
        <v>3947</v>
      </c>
      <c r="E548" s="251" t="s">
        <v>2511</v>
      </c>
      <c r="F548" s="251" t="s">
        <v>1202</v>
      </c>
      <c r="G548" s="253" t="s">
        <v>3948</v>
      </c>
      <c r="H548" s="252">
        <v>3.0</v>
      </c>
      <c r="I548" s="251" t="s">
        <v>1098</v>
      </c>
      <c r="J548" s="252">
        <v>12.0</v>
      </c>
      <c r="K548" s="252">
        <v>78.0</v>
      </c>
      <c r="L548" s="252">
        <v>120.0</v>
      </c>
      <c r="M548" s="252">
        <v>12431.0</v>
      </c>
      <c r="N548" s="252">
        <v>21629.0</v>
      </c>
      <c r="O548" s="252">
        <v>2.0</v>
      </c>
      <c r="P548" s="252">
        <v>512.0</v>
      </c>
      <c r="Q548" s="252">
        <v>4869.0</v>
      </c>
      <c r="R548" s="251" t="s">
        <v>1141</v>
      </c>
      <c r="S548" s="251" t="s">
        <v>1122</v>
      </c>
      <c r="T548" s="251" t="s">
        <v>1123</v>
      </c>
      <c r="U548" s="252">
        <v>12.0</v>
      </c>
      <c r="V548" s="252">
        <v>48.0</v>
      </c>
      <c r="W548" s="252">
        <v>5.5</v>
      </c>
      <c r="X548" s="251" t="s">
        <v>1147</v>
      </c>
      <c r="Y548" s="251" t="s">
        <v>3949</v>
      </c>
      <c r="Z548" s="251" t="s">
        <v>3950</v>
      </c>
      <c r="AA548" s="254" t="s">
        <v>1105</v>
      </c>
      <c r="AB548" s="254" t="s">
        <v>1105</v>
      </c>
    </row>
    <row r="549">
      <c r="A549" s="252">
        <v>548.0</v>
      </c>
      <c r="B549" s="251" t="s">
        <v>3951</v>
      </c>
      <c r="C549" s="252">
        <v>1.0</v>
      </c>
      <c r="D549" s="251" t="s">
        <v>3952</v>
      </c>
      <c r="E549" s="251" t="s">
        <v>1405</v>
      </c>
      <c r="F549" s="251" t="s">
        <v>1202</v>
      </c>
      <c r="G549" s="253" t="s">
        <v>3953</v>
      </c>
      <c r="H549" s="252">
        <v>3.0</v>
      </c>
      <c r="I549" s="251" t="s">
        <v>1121</v>
      </c>
      <c r="J549" s="252">
        <v>10.0</v>
      </c>
      <c r="K549" s="252">
        <v>384.0</v>
      </c>
      <c r="L549" s="252">
        <v>120.0</v>
      </c>
      <c r="M549" s="252">
        <v>20512.0</v>
      </c>
      <c r="N549" s="252">
        <v>29332.0</v>
      </c>
      <c r="O549" s="252">
        <v>6.0</v>
      </c>
      <c r="P549" s="252">
        <v>32.0</v>
      </c>
      <c r="Q549" s="252">
        <v>6065.0</v>
      </c>
      <c r="R549" s="251" t="s">
        <v>1099</v>
      </c>
      <c r="S549" s="251" t="s">
        <v>1122</v>
      </c>
      <c r="T549" s="251" t="s">
        <v>1101</v>
      </c>
      <c r="U549" s="252">
        <v>14.0</v>
      </c>
      <c r="V549" s="252">
        <v>32.0</v>
      </c>
      <c r="W549" s="252">
        <v>4.7</v>
      </c>
      <c r="X549" s="251" t="s">
        <v>1147</v>
      </c>
      <c r="Y549" s="251" t="s">
        <v>3954</v>
      </c>
      <c r="Z549" s="251" t="s">
        <v>3955</v>
      </c>
      <c r="AA549" s="254" t="s">
        <v>1105</v>
      </c>
      <c r="AB549" s="254" t="s">
        <v>1105</v>
      </c>
    </row>
    <row r="550">
      <c r="A550" s="252">
        <v>549.0</v>
      </c>
      <c r="B550" s="251" t="s">
        <v>3956</v>
      </c>
      <c r="C550" s="252">
        <v>1.0</v>
      </c>
      <c r="D550" s="251" t="s">
        <v>3957</v>
      </c>
      <c r="E550" s="251" t="s">
        <v>1128</v>
      </c>
      <c r="F550" s="251" t="s">
        <v>1129</v>
      </c>
      <c r="G550" s="253" t="s">
        <v>3958</v>
      </c>
      <c r="H550" s="252">
        <v>5.0</v>
      </c>
      <c r="I550" s="251" t="s">
        <v>1140</v>
      </c>
      <c r="J550" s="252">
        <v>10.0</v>
      </c>
      <c r="K550" s="252">
        <v>79.0</v>
      </c>
      <c r="L550" s="252">
        <v>80.0</v>
      </c>
      <c r="M550" s="252">
        <v>5149.0</v>
      </c>
      <c r="N550" s="252">
        <v>7002.0</v>
      </c>
      <c r="O550" s="252">
        <v>2.0</v>
      </c>
      <c r="P550" s="252">
        <v>8.0</v>
      </c>
      <c r="Q550" s="252">
        <v>2226.0</v>
      </c>
      <c r="R550" s="251" t="s">
        <v>1099</v>
      </c>
      <c r="S550" s="251" t="s">
        <v>1100</v>
      </c>
      <c r="T550" s="251" t="s">
        <v>1101</v>
      </c>
      <c r="U550" s="252">
        <v>14.0</v>
      </c>
      <c r="V550" s="252">
        <v>16.0</v>
      </c>
      <c r="W550" s="252">
        <v>6.0</v>
      </c>
      <c r="X550" s="251" t="s">
        <v>1147</v>
      </c>
      <c r="Y550" s="251" t="s">
        <v>3959</v>
      </c>
      <c r="Z550" s="251" t="s">
        <v>3960</v>
      </c>
      <c r="AA550" s="254" t="s">
        <v>1105</v>
      </c>
      <c r="AB550" s="254" t="s">
        <v>1105</v>
      </c>
    </row>
    <row r="551">
      <c r="A551" s="252">
        <v>550.0</v>
      </c>
      <c r="B551" s="251" t="s">
        <v>3961</v>
      </c>
      <c r="C551" s="252">
        <v>1.0</v>
      </c>
      <c r="D551" s="251" t="s">
        <v>3962</v>
      </c>
      <c r="E551" s="251" t="s">
        <v>1347</v>
      </c>
      <c r="F551" s="251" t="s">
        <v>1129</v>
      </c>
      <c r="G551" s="253" t="s">
        <v>3963</v>
      </c>
      <c r="H551" s="252">
        <v>4.0</v>
      </c>
      <c r="I551" s="251" t="s">
        <v>1121</v>
      </c>
      <c r="J551" s="252">
        <v>10.0</v>
      </c>
      <c r="K551" s="252">
        <v>214.0</v>
      </c>
      <c r="L551" s="252">
        <v>100.0</v>
      </c>
      <c r="M551" s="252">
        <v>22969.0</v>
      </c>
      <c r="N551" s="252">
        <v>38817.0</v>
      </c>
      <c r="O551" s="252">
        <v>6.0</v>
      </c>
      <c r="P551" s="252">
        <v>128.0</v>
      </c>
      <c r="Q551" s="252">
        <v>5253.0</v>
      </c>
      <c r="R551" s="251" t="s">
        <v>1099</v>
      </c>
      <c r="S551" s="251" t="s">
        <v>1122</v>
      </c>
      <c r="T551" s="251" t="s">
        <v>1101</v>
      </c>
      <c r="U551" s="252">
        <v>14.0</v>
      </c>
      <c r="V551" s="252">
        <v>32.0</v>
      </c>
      <c r="W551" s="252">
        <v>5.2</v>
      </c>
      <c r="X551" s="251" t="s">
        <v>1147</v>
      </c>
      <c r="Y551" s="251" t="s">
        <v>3964</v>
      </c>
      <c r="Z551" s="251" t="s">
        <v>3965</v>
      </c>
      <c r="AA551" s="254" t="s">
        <v>1105</v>
      </c>
      <c r="AB551" s="254" t="s">
        <v>1105</v>
      </c>
    </row>
    <row r="552">
      <c r="A552" s="252">
        <v>551.0</v>
      </c>
      <c r="B552" s="251" t="s">
        <v>3966</v>
      </c>
      <c r="C552" s="252">
        <v>1.0</v>
      </c>
      <c r="D552" s="251" t="s">
        <v>3967</v>
      </c>
      <c r="E552" s="251" t="s">
        <v>2215</v>
      </c>
      <c r="F552" s="251" t="s">
        <v>1119</v>
      </c>
      <c r="G552" s="253" t="s">
        <v>3968</v>
      </c>
      <c r="H552" s="252">
        <v>5.0</v>
      </c>
      <c r="I552" s="251" t="s">
        <v>1121</v>
      </c>
      <c r="J552" s="252">
        <v>8.0</v>
      </c>
      <c r="K552" s="252">
        <v>252.0</v>
      </c>
      <c r="L552" s="252">
        <v>80.0</v>
      </c>
      <c r="M552" s="252">
        <v>12996.0</v>
      </c>
      <c r="N552" s="252">
        <v>15595.0</v>
      </c>
      <c r="O552" s="252">
        <v>12.0</v>
      </c>
      <c r="P552" s="252">
        <v>16.0</v>
      </c>
      <c r="Q552" s="252">
        <v>3471.0</v>
      </c>
      <c r="R552" s="251" t="s">
        <v>1112</v>
      </c>
      <c r="S552" s="251" t="s">
        <v>1100</v>
      </c>
      <c r="T552" s="251" t="s">
        <v>1101</v>
      </c>
      <c r="U552" s="252">
        <v>32.0</v>
      </c>
      <c r="V552" s="252">
        <v>16.0</v>
      </c>
      <c r="W552" s="252">
        <v>5.2</v>
      </c>
      <c r="X552" s="251" t="s">
        <v>1147</v>
      </c>
      <c r="Y552" s="251" t="s">
        <v>3969</v>
      </c>
      <c r="Z552" s="251" t="s">
        <v>3970</v>
      </c>
      <c r="AA552" s="254" t="s">
        <v>1105</v>
      </c>
      <c r="AB552" s="254" t="s">
        <v>1105</v>
      </c>
    </row>
    <row r="553">
      <c r="A553" s="252">
        <v>552.0</v>
      </c>
      <c r="B553" s="251" t="s">
        <v>3971</v>
      </c>
      <c r="C553" s="252">
        <v>1.0</v>
      </c>
      <c r="D553" s="251" t="s">
        <v>3972</v>
      </c>
      <c r="E553" s="251" t="s">
        <v>1452</v>
      </c>
      <c r="F553" s="251" t="s">
        <v>1119</v>
      </c>
      <c r="G553" s="253" t="s">
        <v>2007</v>
      </c>
      <c r="H553" s="252">
        <v>3.0</v>
      </c>
      <c r="I553" s="251" t="s">
        <v>1111</v>
      </c>
      <c r="J553" s="252">
        <v>12.0</v>
      </c>
      <c r="K553" s="252">
        <v>388.0</v>
      </c>
      <c r="L553" s="252">
        <v>80.0</v>
      </c>
      <c r="M553" s="252">
        <v>4178.0</v>
      </c>
      <c r="N553" s="252">
        <v>5097.0</v>
      </c>
      <c r="O553" s="252">
        <v>6.0</v>
      </c>
      <c r="P553" s="252">
        <v>16.0</v>
      </c>
      <c r="Q553" s="252">
        <v>3497.0</v>
      </c>
      <c r="R553" s="251" t="s">
        <v>1141</v>
      </c>
      <c r="S553" s="251" t="s">
        <v>1100</v>
      </c>
      <c r="T553" s="251" t="s">
        <v>1123</v>
      </c>
      <c r="U553" s="252">
        <v>16.0</v>
      </c>
      <c r="V553" s="252">
        <v>16.0</v>
      </c>
      <c r="W553" s="252">
        <v>5.2</v>
      </c>
      <c r="X553" s="251" t="s">
        <v>1147</v>
      </c>
      <c r="Y553" s="251" t="s">
        <v>3973</v>
      </c>
      <c r="Z553" s="251" t="s">
        <v>3974</v>
      </c>
      <c r="AA553" s="254" t="s">
        <v>1105</v>
      </c>
      <c r="AB553" s="254" t="s">
        <v>1105</v>
      </c>
    </row>
    <row r="554">
      <c r="A554" s="252">
        <v>553.0</v>
      </c>
      <c r="B554" s="251" t="s">
        <v>3975</v>
      </c>
      <c r="C554" s="252">
        <v>1.0</v>
      </c>
      <c r="D554" s="251" t="s">
        <v>3976</v>
      </c>
      <c r="E554" s="251" t="s">
        <v>1189</v>
      </c>
      <c r="F554" s="251" t="s">
        <v>1096</v>
      </c>
      <c r="G554" s="253" t="s">
        <v>3977</v>
      </c>
      <c r="H554" s="252">
        <v>6.0</v>
      </c>
      <c r="I554" s="251" t="s">
        <v>1111</v>
      </c>
      <c r="J554" s="252">
        <v>12.0</v>
      </c>
      <c r="K554" s="252">
        <v>430.0</v>
      </c>
      <c r="L554" s="252">
        <v>80.0</v>
      </c>
      <c r="M554" s="252">
        <v>3913.0</v>
      </c>
      <c r="N554" s="252">
        <v>7199.0</v>
      </c>
      <c r="O554" s="252">
        <v>6.0</v>
      </c>
      <c r="P554" s="252">
        <v>512.0</v>
      </c>
      <c r="Q554" s="252">
        <v>5600.0</v>
      </c>
      <c r="R554" s="251" t="s">
        <v>1141</v>
      </c>
      <c r="S554" s="251" t="s">
        <v>1122</v>
      </c>
      <c r="T554" s="251" t="s">
        <v>1021</v>
      </c>
      <c r="U554" s="252">
        <v>32.0</v>
      </c>
      <c r="V554" s="252">
        <v>14.0</v>
      </c>
      <c r="W554" s="252">
        <v>4.7</v>
      </c>
      <c r="X554" s="251" t="s">
        <v>1147</v>
      </c>
      <c r="Y554" s="251" t="s">
        <v>3978</v>
      </c>
      <c r="Z554" s="251" t="s">
        <v>3979</v>
      </c>
      <c r="AA554" s="254" t="s">
        <v>1105</v>
      </c>
      <c r="AB554" s="254" t="s">
        <v>1105</v>
      </c>
    </row>
    <row r="555">
      <c r="A555" s="252">
        <v>554.0</v>
      </c>
      <c r="B555" s="251" t="s">
        <v>3980</v>
      </c>
      <c r="C555" s="252">
        <v>1.0</v>
      </c>
      <c r="D555" s="251" t="s">
        <v>3981</v>
      </c>
      <c r="E555" s="251" t="s">
        <v>1936</v>
      </c>
      <c r="F555" s="251" t="s">
        <v>1129</v>
      </c>
      <c r="G555" s="253" t="s">
        <v>3982</v>
      </c>
      <c r="H555" s="252">
        <v>2.0</v>
      </c>
      <c r="I555" s="251" t="s">
        <v>1140</v>
      </c>
      <c r="J555" s="252">
        <v>12.0</v>
      </c>
      <c r="K555" s="252">
        <v>557.0</v>
      </c>
      <c r="L555" s="252">
        <v>120.0</v>
      </c>
      <c r="M555" s="252">
        <v>3689.0</v>
      </c>
      <c r="N555" s="252">
        <v>5533.0</v>
      </c>
      <c r="O555" s="252">
        <v>6.0</v>
      </c>
      <c r="P555" s="252">
        <v>512.0</v>
      </c>
      <c r="Q555" s="252">
        <v>1979.0</v>
      </c>
      <c r="R555" s="251" t="s">
        <v>1141</v>
      </c>
      <c r="S555" s="251" t="s">
        <v>1122</v>
      </c>
      <c r="T555" s="251" t="s">
        <v>1123</v>
      </c>
      <c r="U555" s="252">
        <v>32.0</v>
      </c>
      <c r="V555" s="252">
        <v>48.0</v>
      </c>
      <c r="W555" s="252">
        <v>4.7</v>
      </c>
      <c r="X555" s="251" t="s">
        <v>1132</v>
      </c>
      <c r="Y555" s="251" t="s">
        <v>3983</v>
      </c>
      <c r="Z555" s="251" t="s">
        <v>3984</v>
      </c>
      <c r="AA555" s="254" t="s">
        <v>1105</v>
      </c>
      <c r="AB555" s="254" t="s">
        <v>1105</v>
      </c>
    </row>
    <row r="556">
      <c r="A556" s="252">
        <v>555.0</v>
      </c>
      <c r="B556" s="251" t="s">
        <v>3985</v>
      </c>
      <c r="C556" s="252">
        <v>1.0</v>
      </c>
      <c r="D556" s="251" t="s">
        <v>3986</v>
      </c>
      <c r="E556" s="251" t="s">
        <v>1369</v>
      </c>
      <c r="F556" s="251" t="s">
        <v>1129</v>
      </c>
      <c r="G556" s="253" t="s">
        <v>3987</v>
      </c>
      <c r="H556" s="252">
        <v>2.0</v>
      </c>
      <c r="I556" s="251" t="s">
        <v>1131</v>
      </c>
      <c r="J556" s="252">
        <v>12.0</v>
      </c>
      <c r="K556" s="252">
        <v>381.0</v>
      </c>
      <c r="L556" s="252">
        <v>120.0</v>
      </c>
      <c r="M556" s="252">
        <v>22556.0</v>
      </c>
      <c r="N556" s="252">
        <v>29999.0</v>
      </c>
      <c r="O556" s="252">
        <v>4.0</v>
      </c>
      <c r="P556" s="252">
        <v>32.0</v>
      </c>
      <c r="Q556" s="252">
        <v>4673.0</v>
      </c>
      <c r="R556" s="251" t="s">
        <v>1099</v>
      </c>
      <c r="S556" s="251" t="s">
        <v>1122</v>
      </c>
      <c r="T556" s="251" t="s">
        <v>1123</v>
      </c>
      <c r="U556" s="252">
        <v>16.0</v>
      </c>
      <c r="V556" s="252">
        <v>12.0</v>
      </c>
      <c r="W556" s="252">
        <v>5.0</v>
      </c>
      <c r="X556" s="251" t="s">
        <v>1147</v>
      </c>
      <c r="Y556" s="251" t="s">
        <v>3988</v>
      </c>
      <c r="Z556" s="251" t="s">
        <v>3989</v>
      </c>
      <c r="AA556" s="254" t="s">
        <v>1105</v>
      </c>
      <c r="AB556" s="254" t="s">
        <v>1105</v>
      </c>
    </row>
    <row r="557">
      <c r="A557" s="252">
        <v>556.0</v>
      </c>
      <c r="B557" s="251" t="s">
        <v>3990</v>
      </c>
      <c r="C557" s="252">
        <v>1.0</v>
      </c>
      <c r="D557" s="251" t="s">
        <v>3991</v>
      </c>
      <c r="E557" s="251" t="s">
        <v>2209</v>
      </c>
      <c r="F557" s="251" t="s">
        <v>1096</v>
      </c>
      <c r="G557" s="253" t="s">
        <v>3992</v>
      </c>
      <c r="H557" s="252">
        <v>3.0</v>
      </c>
      <c r="I557" s="251" t="s">
        <v>1111</v>
      </c>
      <c r="J557" s="252">
        <v>10.0</v>
      </c>
      <c r="K557" s="252">
        <v>271.0</v>
      </c>
      <c r="L557" s="252">
        <v>80.0</v>
      </c>
      <c r="M557" s="252">
        <v>18953.0</v>
      </c>
      <c r="N557" s="252">
        <v>23312.0</v>
      </c>
      <c r="O557" s="252">
        <v>2.0</v>
      </c>
      <c r="P557" s="252">
        <v>32.0</v>
      </c>
      <c r="Q557" s="252">
        <v>2970.0</v>
      </c>
      <c r="R557" s="251" t="s">
        <v>1112</v>
      </c>
      <c r="S557" s="251" t="s">
        <v>1122</v>
      </c>
      <c r="T557" s="251" t="s">
        <v>1021</v>
      </c>
      <c r="U557" s="252">
        <v>16.0</v>
      </c>
      <c r="V557" s="252">
        <v>48.0</v>
      </c>
      <c r="W557" s="252">
        <v>5.0</v>
      </c>
      <c r="X557" s="251" t="s">
        <v>1113</v>
      </c>
      <c r="Y557" s="251" t="s">
        <v>3993</v>
      </c>
      <c r="Z557" s="251" t="s">
        <v>3994</v>
      </c>
      <c r="AA557" s="254" t="s">
        <v>1105</v>
      </c>
      <c r="AB557" s="254" t="s">
        <v>1105</v>
      </c>
    </row>
    <row r="558">
      <c r="A558" s="252">
        <v>557.0</v>
      </c>
      <c r="B558" s="251" t="s">
        <v>3995</v>
      </c>
      <c r="C558" s="252">
        <v>1.0</v>
      </c>
      <c r="D558" s="251" t="s">
        <v>3996</v>
      </c>
      <c r="E558" s="251" t="s">
        <v>1440</v>
      </c>
      <c r="F558" s="251" t="s">
        <v>1233</v>
      </c>
      <c r="G558" s="253" t="s">
        <v>3997</v>
      </c>
      <c r="H558" s="252">
        <v>4.0</v>
      </c>
      <c r="I558" s="251" t="s">
        <v>1098</v>
      </c>
      <c r="J558" s="252">
        <v>10.0</v>
      </c>
      <c r="K558" s="252">
        <v>575.0</v>
      </c>
      <c r="L558" s="252">
        <v>120.0</v>
      </c>
      <c r="M558" s="252">
        <v>2906.0</v>
      </c>
      <c r="N558" s="252">
        <v>4882.0</v>
      </c>
      <c r="O558" s="252">
        <v>6.0</v>
      </c>
      <c r="P558" s="252">
        <v>16.0</v>
      </c>
      <c r="Q558" s="252">
        <v>6321.0</v>
      </c>
      <c r="R558" s="251" t="s">
        <v>1112</v>
      </c>
      <c r="S558" s="251" t="s">
        <v>1100</v>
      </c>
      <c r="T558" s="251" t="s">
        <v>1021</v>
      </c>
      <c r="U558" s="252">
        <v>14.0</v>
      </c>
      <c r="V558" s="252">
        <v>12.0</v>
      </c>
      <c r="W558" s="252">
        <v>5.5</v>
      </c>
      <c r="X558" s="251" t="s">
        <v>1102</v>
      </c>
      <c r="Y558" s="251" t="s">
        <v>3998</v>
      </c>
      <c r="Z558" s="251" t="s">
        <v>3999</v>
      </c>
      <c r="AA558" s="254" t="s">
        <v>1105</v>
      </c>
      <c r="AB558" s="254" t="s">
        <v>1105</v>
      </c>
    </row>
    <row r="559">
      <c r="A559" s="252">
        <v>558.0</v>
      </c>
      <c r="B559" s="251" t="s">
        <v>4000</v>
      </c>
      <c r="C559" s="252">
        <v>1.0</v>
      </c>
      <c r="D559" s="251" t="s">
        <v>4001</v>
      </c>
      <c r="E559" s="251" t="s">
        <v>2161</v>
      </c>
      <c r="F559" s="251" t="s">
        <v>1202</v>
      </c>
      <c r="G559" s="253" t="s">
        <v>4002</v>
      </c>
      <c r="H559" s="252">
        <v>2.0</v>
      </c>
      <c r="I559" s="251" t="s">
        <v>1131</v>
      </c>
      <c r="J559" s="252">
        <v>8.0</v>
      </c>
      <c r="K559" s="252">
        <v>716.0</v>
      </c>
      <c r="L559" s="252">
        <v>100.0</v>
      </c>
      <c r="M559" s="252">
        <v>5495.0</v>
      </c>
      <c r="N559" s="252">
        <v>7143.0</v>
      </c>
      <c r="O559" s="252">
        <v>12.0</v>
      </c>
      <c r="P559" s="252">
        <v>8.0</v>
      </c>
      <c r="Q559" s="252">
        <v>4853.0</v>
      </c>
      <c r="R559" s="251" t="s">
        <v>1099</v>
      </c>
      <c r="S559" s="251" t="s">
        <v>1100</v>
      </c>
      <c r="T559" s="251" t="s">
        <v>1021</v>
      </c>
      <c r="U559" s="252">
        <v>16.0</v>
      </c>
      <c r="V559" s="252">
        <v>32.0</v>
      </c>
      <c r="W559" s="252">
        <v>4.7</v>
      </c>
      <c r="X559" s="251" t="s">
        <v>1147</v>
      </c>
      <c r="Y559" s="251" t="s">
        <v>4003</v>
      </c>
      <c r="Z559" s="251" t="s">
        <v>4004</v>
      </c>
      <c r="AA559" s="254" t="s">
        <v>1105</v>
      </c>
      <c r="AB559" s="254" t="s">
        <v>1105</v>
      </c>
    </row>
    <row r="560">
      <c r="A560" s="252">
        <v>559.0</v>
      </c>
      <c r="B560" s="251" t="s">
        <v>4005</v>
      </c>
      <c r="C560" s="252">
        <v>1.0</v>
      </c>
      <c r="D560" s="251" t="s">
        <v>4006</v>
      </c>
      <c r="E560" s="251" t="s">
        <v>1428</v>
      </c>
      <c r="F560" s="251" t="s">
        <v>1138</v>
      </c>
      <c r="G560" s="253" t="s">
        <v>4007</v>
      </c>
      <c r="H560" s="252">
        <v>3.0</v>
      </c>
      <c r="I560" s="251" t="s">
        <v>1140</v>
      </c>
      <c r="J560" s="252">
        <v>10.0</v>
      </c>
      <c r="K560" s="252">
        <v>73.0</v>
      </c>
      <c r="L560" s="252">
        <v>120.0</v>
      </c>
      <c r="M560" s="252">
        <v>19068.0</v>
      </c>
      <c r="N560" s="252">
        <v>33941.0</v>
      </c>
      <c r="O560" s="252">
        <v>2.0</v>
      </c>
      <c r="P560" s="252">
        <v>16.0</v>
      </c>
      <c r="Q560" s="252">
        <v>3013.0</v>
      </c>
      <c r="R560" s="251" t="s">
        <v>1112</v>
      </c>
      <c r="S560" s="251" t="s">
        <v>1122</v>
      </c>
      <c r="T560" s="251" t="s">
        <v>1101</v>
      </c>
      <c r="U560" s="252">
        <v>12.0</v>
      </c>
      <c r="V560" s="252">
        <v>32.0</v>
      </c>
      <c r="W560" s="252">
        <v>6.3</v>
      </c>
      <c r="X560" s="251" t="s">
        <v>1102</v>
      </c>
      <c r="Y560" s="251" t="s">
        <v>4008</v>
      </c>
      <c r="Z560" s="251" t="s">
        <v>4009</v>
      </c>
      <c r="AA560" s="254" t="s">
        <v>1105</v>
      </c>
      <c r="AB560" s="254" t="s">
        <v>1105</v>
      </c>
    </row>
    <row r="561">
      <c r="A561" s="252">
        <v>560.0</v>
      </c>
      <c r="B561" s="251" t="s">
        <v>4010</v>
      </c>
      <c r="C561" s="252">
        <v>1.0</v>
      </c>
      <c r="D561" s="251" t="s">
        <v>4011</v>
      </c>
      <c r="E561" s="251" t="s">
        <v>1353</v>
      </c>
      <c r="F561" s="251" t="s">
        <v>1109</v>
      </c>
      <c r="G561" s="253" t="s">
        <v>4012</v>
      </c>
      <c r="H561" s="252">
        <v>4.0</v>
      </c>
      <c r="I561" s="251" t="s">
        <v>1121</v>
      </c>
      <c r="J561" s="252">
        <v>12.0</v>
      </c>
      <c r="K561" s="252">
        <v>393.0</v>
      </c>
      <c r="L561" s="252">
        <v>80.0</v>
      </c>
      <c r="M561" s="252">
        <v>10173.0</v>
      </c>
      <c r="N561" s="252">
        <v>13224.0</v>
      </c>
      <c r="O561" s="252">
        <v>12.0</v>
      </c>
      <c r="P561" s="252">
        <v>64.0</v>
      </c>
      <c r="Q561" s="252">
        <v>2616.0</v>
      </c>
      <c r="R561" s="251" t="s">
        <v>1112</v>
      </c>
      <c r="S561" s="251" t="s">
        <v>1100</v>
      </c>
      <c r="T561" s="251" t="s">
        <v>1101</v>
      </c>
      <c r="U561" s="252">
        <v>32.0</v>
      </c>
      <c r="V561" s="252">
        <v>48.0</v>
      </c>
      <c r="W561" s="252">
        <v>5.5</v>
      </c>
      <c r="X561" s="251" t="s">
        <v>1147</v>
      </c>
      <c r="Y561" s="251" t="s">
        <v>4013</v>
      </c>
      <c r="Z561" s="251" t="s">
        <v>4014</v>
      </c>
      <c r="AA561" s="254" t="s">
        <v>1105</v>
      </c>
      <c r="AB561" s="254" t="s">
        <v>1105</v>
      </c>
    </row>
    <row r="562">
      <c r="A562" s="252">
        <v>561.0</v>
      </c>
      <c r="B562" s="251" t="s">
        <v>4015</v>
      </c>
      <c r="C562" s="252">
        <v>1.0</v>
      </c>
      <c r="D562" s="251" t="s">
        <v>4016</v>
      </c>
      <c r="E562" s="251" t="s">
        <v>1312</v>
      </c>
      <c r="F562" s="251" t="s">
        <v>1202</v>
      </c>
      <c r="G562" s="253" t="s">
        <v>4017</v>
      </c>
      <c r="H562" s="252">
        <v>6.0</v>
      </c>
      <c r="I562" s="251" t="s">
        <v>1131</v>
      </c>
      <c r="J562" s="252">
        <v>12.0</v>
      </c>
      <c r="K562" s="252">
        <v>596.0</v>
      </c>
      <c r="L562" s="252">
        <v>80.0</v>
      </c>
      <c r="M562" s="252">
        <v>20835.0</v>
      </c>
      <c r="N562" s="252">
        <v>25002.0</v>
      </c>
      <c r="O562" s="252">
        <v>4.0</v>
      </c>
      <c r="P562" s="252">
        <v>512.0</v>
      </c>
      <c r="Q562" s="252">
        <v>5348.0</v>
      </c>
      <c r="R562" s="251" t="s">
        <v>1112</v>
      </c>
      <c r="S562" s="251" t="s">
        <v>1100</v>
      </c>
      <c r="T562" s="251" t="s">
        <v>1123</v>
      </c>
      <c r="U562" s="252">
        <v>14.0</v>
      </c>
      <c r="V562" s="252">
        <v>14.0</v>
      </c>
      <c r="W562" s="252">
        <v>5.5</v>
      </c>
      <c r="X562" s="251" t="s">
        <v>1102</v>
      </c>
      <c r="Y562" s="251" t="s">
        <v>4018</v>
      </c>
      <c r="Z562" s="251" t="s">
        <v>4019</v>
      </c>
      <c r="AA562" s="254" t="s">
        <v>1105</v>
      </c>
      <c r="AB562" s="254" t="s">
        <v>1105</v>
      </c>
    </row>
    <row r="563">
      <c r="A563" s="252">
        <v>562.0</v>
      </c>
      <c r="B563" s="251" t="s">
        <v>4020</v>
      </c>
      <c r="C563" s="252">
        <v>1.0</v>
      </c>
      <c r="D563" s="251" t="s">
        <v>4021</v>
      </c>
      <c r="E563" s="251" t="s">
        <v>1627</v>
      </c>
      <c r="F563" s="251" t="s">
        <v>1160</v>
      </c>
      <c r="G563" s="253" t="s">
        <v>4022</v>
      </c>
      <c r="H563" s="252">
        <v>2.0</v>
      </c>
      <c r="I563" s="251" t="s">
        <v>1098</v>
      </c>
      <c r="J563" s="252">
        <v>8.0</v>
      </c>
      <c r="K563" s="252">
        <v>491.0</v>
      </c>
      <c r="L563" s="252">
        <v>100.0</v>
      </c>
      <c r="M563" s="252">
        <v>13664.0</v>
      </c>
      <c r="N563" s="252">
        <v>24595.0</v>
      </c>
      <c r="O563" s="252">
        <v>2.0</v>
      </c>
      <c r="P563" s="252">
        <v>8.0</v>
      </c>
      <c r="Q563" s="252">
        <v>4183.0</v>
      </c>
      <c r="R563" s="251" t="s">
        <v>1141</v>
      </c>
      <c r="S563" s="251" t="s">
        <v>1122</v>
      </c>
      <c r="T563" s="251" t="s">
        <v>1123</v>
      </c>
      <c r="U563" s="252">
        <v>48.0</v>
      </c>
      <c r="V563" s="252">
        <v>32.0</v>
      </c>
      <c r="W563" s="252">
        <v>5.0</v>
      </c>
      <c r="X563" s="251" t="s">
        <v>1147</v>
      </c>
      <c r="Y563" s="251" t="s">
        <v>4023</v>
      </c>
      <c r="Z563" s="251" t="s">
        <v>4024</v>
      </c>
      <c r="AA563" s="254" t="s">
        <v>1105</v>
      </c>
      <c r="AB563" s="254" t="s">
        <v>1105</v>
      </c>
    </row>
    <row r="564">
      <c r="A564" s="252">
        <v>563.0</v>
      </c>
      <c r="B564" s="251" t="s">
        <v>4025</v>
      </c>
      <c r="C564" s="252">
        <v>1.0</v>
      </c>
      <c r="D564" s="251" t="s">
        <v>4026</v>
      </c>
      <c r="E564" s="251" t="s">
        <v>2378</v>
      </c>
      <c r="F564" s="251" t="s">
        <v>1233</v>
      </c>
      <c r="G564" s="253" t="s">
        <v>4027</v>
      </c>
      <c r="H564" s="252">
        <v>4.0</v>
      </c>
      <c r="I564" s="251" t="s">
        <v>1140</v>
      </c>
      <c r="J564" s="252">
        <v>8.0</v>
      </c>
      <c r="K564" s="252">
        <v>256.0</v>
      </c>
      <c r="L564" s="252">
        <v>80.0</v>
      </c>
      <c r="M564" s="252">
        <v>5011.0</v>
      </c>
      <c r="N564" s="252">
        <v>8218.0</v>
      </c>
      <c r="O564" s="252">
        <v>2.0</v>
      </c>
      <c r="P564" s="252">
        <v>64.0</v>
      </c>
      <c r="Q564" s="252">
        <v>4281.0</v>
      </c>
      <c r="R564" s="251" t="s">
        <v>1099</v>
      </c>
      <c r="S564" s="251" t="s">
        <v>1122</v>
      </c>
      <c r="T564" s="251" t="s">
        <v>1101</v>
      </c>
      <c r="U564" s="252">
        <v>48.0</v>
      </c>
      <c r="V564" s="252">
        <v>16.0</v>
      </c>
      <c r="W564" s="252">
        <v>5.0</v>
      </c>
      <c r="X564" s="251" t="s">
        <v>1113</v>
      </c>
      <c r="Y564" s="251" t="s">
        <v>4028</v>
      </c>
      <c r="Z564" s="251" t="s">
        <v>4029</v>
      </c>
      <c r="AA564" s="254" t="s">
        <v>1105</v>
      </c>
      <c r="AB564" s="254" t="s">
        <v>1105</v>
      </c>
    </row>
    <row r="565">
      <c r="A565" s="252">
        <v>564.0</v>
      </c>
      <c r="B565" s="251" t="s">
        <v>4030</v>
      </c>
      <c r="C565" s="252">
        <v>1.0</v>
      </c>
      <c r="D565" s="251" t="s">
        <v>4031</v>
      </c>
      <c r="E565" s="251" t="s">
        <v>1189</v>
      </c>
      <c r="F565" s="251" t="s">
        <v>1096</v>
      </c>
      <c r="G565" s="253" t="s">
        <v>4032</v>
      </c>
      <c r="H565" s="252">
        <v>2.0</v>
      </c>
      <c r="I565" s="251" t="s">
        <v>1098</v>
      </c>
      <c r="J565" s="252">
        <v>12.0</v>
      </c>
      <c r="K565" s="252">
        <v>164.0</v>
      </c>
      <c r="L565" s="252">
        <v>120.0</v>
      </c>
      <c r="M565" s="252">
        <v>21206.0</v>
      </c>
      <c r="N565" s="252">
        <v>38170.0</v>
      </c>
      <c r="O565" s="252">
        <v>8.0</v>
      </c>
      <c r="P565" s="252">
        <v>8.0</v>
      </c>
      <c r="Q565" s="252">
        <v>2170.0</v>
      </c>
      <c r="R565" s="251" t="s">
        <v>1099</v>
      </c>
      <c r="S565" s="251" t="s">
        <v>1122</v>
      </c>
      <c r="T565" s="251" t="s">
        <v>1101</v>
      </c>
      <c r="U565" s="252">
        <v>14.0</v>
      </c>
      <c r="V565" s="252">
        <v>14.0</v>
      </c>
      <c r="W565" s="252">
        <v>6.0</v>
      </c>
      <c r="X565" s="251" t="s">
        <v>1147</v>
      </c>
      <c r="Y565" s="251" t="s">
        <v>4033</v>
      </c>
      <c r="Z565" s="251" t="s">
        <v>4034</v>
      </c>
      <c r="AA565" s="254" t="s">
        <v>1105</v>
      </c>
      <c r="AB565" s="254" t="s">
        <v>1105</v>
      </c>
    </row>
    <row r="566">
      <c r="A566" s="252">
        <v>565.0</v>
      </c>
      <c r="B566" s="251" t="s">
        <v>4035</v>
      </c>
      <c r="C566" s="252">
        <v>1.0</v>
      </c>
      <c r="D566" s="251" t="s">
        <v>4036</v>
      </c>
      <c r="E566" s="251" t="s">
        <v>1381</v>
      </c>
      <c r="F566" s="251" t="s">
        <v>1119</v>
      </c>
      <c r="G566" s="253" t="s">
        <v>4037</v>
      </c>
      <c r="H566" s="252">
        <v>5.0</v>
      </c>
      <c r="I566" s="251" t="s">
        <v>1098</v>
      </c>
      <c r="J566" s="252">
        <v>8.0</v>
      </c>
      <c r="K566" s="252">
        <v>709.0</v>
      </c>
      <c r="L566" s="252">
        <v>120.0</v>
      </c>
      <c r="M566" s="252">
        <v>22510.0</v>
      </c>
      <c r="N566" s="252">
        <v>41418.0</v>
      </c>
      <c r="O566" s="252">
        <v>12.0</v>
      </c>
      <c r="P566" s="252">
        <v>512.0</v>
      </c>
      <c r="Q566" s="252">
        <v>3929.0</v>
      </c>
      <c r="R566" s="251" t="s">
        <v>1112</v>
      </c>
      <c r="S566" s="251" t="s">
        <v>1100</v>
      </c>
      <c r="T566" s="251" t="s">
        <v>1101</v>
      </c>
      <c r="U566" s="252">
        <v>32.0</v>
      </c>
      <c r="V566" s="252">
        <v>32.0</v>
      </c>
      <c r="W566" s="252">
        <v>4.7</v>
      </c>
      <c r="X566" s="251" t="s">
        <v>1147</v>
      </c>
      <c r="Y566" s="251" t="s">
        <v>4038</v>
      </c>
      <c r="Z566" s="251" t="s">
        <v>4039</v>
      </c>
      <c r="AA566" s="254" t="s">
        <v>1105</v>
      </c>
      <c r="AB566" s="254" t="s">
        <v>1105</v>
      </c>
    </row>
    <row r="567">
      <c r="A567" s="252">
        <v>566.0</v>
      </c>
      <c r="B567" s="251" t="s">
        <v>4040</v>
      </c>
      <c r="C567" s="252">
        <v>1.0</v>
      </c>
      <c r="D567" s="251" t="s">
        <v>4041</v>
      </c>
      <c r="E567" s="251" t="s">
        <v>1272</v>
      </c>
      <c r="F567" s="251" t="s">
        <v>1233</v>
      </c>
      <c r="G567" s="253" t="s">
        <v>4042</v>
      </c>
      <c r="H567" s="252">
        <v>6.0</v>
      </c>
      <c r="I567" s="251" t="s">
        <v>1098</v>
      </c>
      <c r="J567" s="252">
        <v>12.0</v>
      </c>
      <c r="K567" s="252">
        <v>63.0</v>
      </c>
      <c r="L567" s="252">
        <v>120.0</v>
      </c>
      <c r="M567" s="252">
        <v>17224.0</v>
      </c>
      <c r="N567" s="252">
        <v>27386.0</v>
      </c>
      <c r="O567" s="252">
        <v>6.0</v>
      </c>
      <c r="P567" s="252">
        <v>32.0</v>
      </c>
      <c r="Q567" s="252">
        <v>3892.0</v>
      </c>
      <c r="R567" s="251" t="s">
        <v>1099</v>
      </c>
      <c r="S567" s="251" t="s">
        <v>1122</v>
      </c>
      <c r="T567" s="251" t="s">
        <v>1123</v>
      </c>
      <c r="U567" s="252">
        <v>48.0</v>
      </c>
      <c r="V567" s="252">
        <v>48.0</v>
      </c>
      <c r="W567" s="252">
        <v>4.7</v>
      </c>
      <c r="X567" s="251" t="s">
        <v>1147</v>
      </c>
      <c r="Y567" s="251" t="s">
        <v>4043</v>
      </c>
      <c r="Z567" s="251" t="s">
        <v>4044</v>
      </c>
      <c r="AA567" s="254" t="s">
        <v>1105</v>
      </c>
      <c r="AB567" s="254" t="s">
        <v>1105</v>
      </c>
    </row>
    <row r="568">
      <c r="A568" s="252">
        <v>567.0</v>
      </c>
      <c r="B568" s="251" t="s">
        <v>4045</v>
      </c>
      <c r="C568" s="252">
        <v>1.0</v>
      </c>
      <c r="D568" s="251" t="s">
        <v>4046</v>
      </c>
      <c r="E568" s="251" t="s">
        <v>1250</v>
      </c>
      <c r="F568" s="251" t="s">
        <v>1153</v>
      </c>
      <c r="G568" s="253" t="s">
        <v>4047</v>
      </c>
      <c r="H568" s="252">
        <v>3.0</v>
      </c>
      <c r="I568" s="251" t="s">
        <v>1111</v>
      </c>
      <c r="J568" s="252">
        <v>10.0</v>
      </c>
      <c r="K568" s="252">
        <v>609.0</v>
      </c>
      <c r="L568" s="252">
        <v>120.0</v>
      </c>
      <c r="M568" s="252">
        <v>8976.0</v>
      </c>
      <c r="N568" s="252">
        <v>13643.0</v>
      </c>
      <c r="O568" s="252">
        <v>4.0</v>
      </c>
      <c r="P568" s="252">
        <v>64.0</v>
      </c>
      <c r="Q568" s="252">
        <v>5543.0</v>
      </c>
      <c r="R568" s="251" t="s">
        <v>1141</v>
      </c>
      <c r="S568" s="251" t="s">
        <v>1100</v>
      </c>
      <c r="T568" s="251" t="s">
        <v>1021</v>
      </c>
      <c r="U568" s="252">
        <v>16.0</v>
      </c>
      <c r="V568" s="252">
        <v>14.0</v>
      </c>
      <c r="W568" s="252">
        <v>4.7</v>
      </c>
      <c r="X568" s="251" t="s">
        <v>1102</v>
      </c>
      <c r="Y568" s="251" t="s">
        <v>4048</v>
      </c>
      <c r="Z568" s="251" t="s">
        <v>4049</v>
      </c>
      <c r="AA568" s="254" t="s">
        <v>1105</v>
      </c>
      <c r="AB568" s="254" t="s">
        <v>1105</v>
      </c>
    </row>
    <row r="569">
      <c r="A569" s="252">
        <v>568.0</v>
      </c>
      <c r="B569" s="251" t="s">
        <v>4050</v>
      </c>
      <c r="C569" s="252">
        <v>1.0</v>
      </c>
      <c r="D569" s="251" t="s">
        <v>4051</v>
      </c>
      <c r="E569" s="251" t="s">
        <v>1780</v>
      </c>
      <c r="F569" s="251" t="s">
        <v>1129</v>
      </c>
      <c r="G569" s="253" t="s">
        <v>4052</v>
      </c>
      <c r="H569" s="252">
        <v>3.0</v>
      </c>
      <c r="I569" s="251" t="s">
        <v>1111</v>
      </c>
      <c r="J569" s="252">
        <v>10.0</v>
      </c>
      <c r="K569" s="252">
        <v>696.0</v>
      </c>
      <c r="L569" s="252">
        <v>120.0</v>
      </c>
      <c r="M569" s="252">
        <v>9069.0</v>
      </c>
      <c r="N569" s="252">
        <v>15598.0</v>
      </c>
      <c r="O569" s="252">
        <v>8.0</v>
      </c>
      <c r="P569" s="252">
        <v>32.0</v>
      </c>
      <c r="Q569" s="252">
        <v>3694.0</v>
      </c>
      <c r="R569" s="251" t="s">
        <v>1141</v>
      </c>
      <c r="S569" s="251" t="s">
        <v>1122</v>
      </c>
      <c r="T569" s="251" t="s">
        <v>1123</v>
      </c>
      <c r="U569" s="252">
        <v>32.0</v>
      </c>
      <c r="V569" s="252">
        <v>48.0</v>
      </c>
      <c r="W569" s="252">
        <v>6.0</v>
      </c>
      <c r="X569" s="251" t="s">
        <v>1102</v>
      </c>
      <c r="Y569" s="251" t="s">
        <v>4053</v>
      </c>
      <c r="Z569" s="251" t="s">
        <v>4054</v>
      </c>
      <c r="AA569" s="254" t="s">
        <v>1105</v>
      </c>
      <c r="AB569" s="254" t="s">
        <v>1105</v>
      </c>
    </row>
    <row r="570">
      <c r="A570" s="252">
        <v>569.0</v>
      </c>
      <c r="B570" s="251" t="s">
        <v>4055</v>
      </c>
      <c r="C570" s="252">
        <v>1.0</v>
      </c>
      <c r="D570" s="251" t="s">
        <v>4056</v>
      </c>
      <c r="E570" s="251" t="s">
        <v>1232</v>
      </c>
      <c r="F570" s="251" t="s">
        <v>1233</v>
      </c>
      <c r="G570" s="253" t="s">
        <v>4057</v>
      </c>
      <c r="H570" s="252">
        <v>5.0</v>
      </c>
      <c r="I570" s="251" t="s">
        <v>1111</v>
      </c>
      <c r="J570" s="252">
        <v>10.0</v>
      </c>
      <c r="K570" s="252">
        <v>697.0</v>
      </c>
      <c r="L570" s="252">
        <v>80.0</v>
      </c>
      <c r="M570" s="252">
        <v>16023.0</v>
      </c>
      <c r="N570" s="252">
        <v>24034.0</v>
      </c>
      <c r="O570" s="252">
        <v>12.0</v>
      </c>
      <c r="P570" s="252">
        <v>128.0</v>
      </c>
      <c r="Q570" s="252">
        <v>2023.0</v>
      </c>
      <c r="R570" s="251" t="s">
        <v>1099</v>
      </c>
      <c r="S570" s="251" t="s">
        <v>1100</v>
      </c>
      <c r="T570" s="251" t="s">
        <v>1123</v>
      </c>
      <c r="U570" s="252">
        <v>32.0</v>
      </c>
      <c r="V570" s="252">
        <v>14.0</v>
      </c>
      <c r="W570" s="252">
        <v>6.0</v>
      </c>
      <c r="X570" s="251" t="s">
        <v>1102</v>
      </c>
      <c r="Y570" s="251" t="s">
        <v>4058</v>
      </c>
      <c r="Z570" s="251" t="s">
        <v>4059</v>
      </c>
      <c r="AA570" s="254" t="s">
        <v>1105</v>
      </c>
      <c r="AB570" s="254" t="s">
        <v>1105</v>
      </c>
    </row>
    <row r="571">
      <c r="A571" s="252">
        <v>570.0</v>
      </c>
      <c r="B571" s="251" t="s">
        <v>4060</v>
      </c>
      <c r="C571" s="252">
        <v>1.0</v>
      </c>
      <c r="D571" s="251" t="s">
        <v>4061</v>
      </c>
      <c r="E571" s="251" t="s">
        <v>1728</v>
      </c>
      <c r="F571" s="251" t="s">
        <v>1202</v>
      </c>
      <c r="G571" s="253" t="s">
        <v>4062</v>
      </c>
      <c r="H571" s="252">
        <v>3.0</v>
      </c>
      <c r="I571" s="251" t="s">
        <v>1111</v>
      </c>
      <c r="J571" s="252">
        <v>12.0</v>
      </c>
      <c r="K571" s="252">
        <v>374.0</v>
      </c>
      <c r="L571" s="252">
        <v>80.0</v>
      </c>
      <c r="M571" s="252">
        <v>17550.0</v>
      </c>
      <c r="N571" s="252">
        <v>30361.0</v>
      </c>
      <c r="O571" s="252">
        <v>2.0</v>
      </c>
      <c r="P571" s="252">
        <v>32.0</v>
      </c>
      <c r="Q571" s="252">
        <v>2140.0</v>
      </c>
      <c r="R571" s="251" t="s">
        <v>1112</v>
      </c>
      <c r="S571" s="251" t="s">
        <v>1122</v>
      </c>
      <c r="T571" s="251" t="s">
        <v>1101</v>
      </c>
      <c r="U571" s="252">
        <v>12.0</v>
      </c>
      <c r="V571" s="252">
        <v>48.0</v>
      </c>
      <c r="W571" s="252">
        <v>5.0</v>
      </c>
      <c r="X571" s="251" t="s">
        <v>1147</v>
      </c>
      <c r="Y571" s="251" t="s">
        <v>4063</v>
      </c>
      <c r="Z571" s="251" t="s">
        <v>4064</v>
      </c>
      <c r="AA571" s="254" t="s">
        <v>1105</v>
      </c>
      <c r="AB571" s="254" t="s">
        <v>1105</v>
      </c>
    </row>
    <row r="572">
      <c r="A572" s="252">
        <v>571.0</v>
      </c>
      <c r="B572" s="251" t="s">
        <v>4065</v>
      </c>
      <c r="C572" s="252">
        <v>1.0</v>
      </c>
      <c r="D572" s="251" t="s">
        <v>4066</v>
      </c>
      <c r="E572" s="251" t="s">
        <v>1836</v>
      </c>
      <c r="F572" s="251" t="s">
        <v>1233</v>
      </c>
      <c r="G572" s="253" t="s">
        <v>4067</v>
      </c>
      <c r="H572" s="252">
        <v>4.0</v>
      </c>
      <c r="I572" s="251" t="s">
        <v>1121</v>
      </c>
      <c r="J572" s="252">
        <v>8.0</v>
      </c>
      <c r="K572" s="252">
        <v>979.0</v>
      </c>
      <c r="L572" s="252">
        <v>100.0</v>
      </c>
      <c r="M572" s="252">
        <v>22630.0</v>
      </c>
      <c r="N572" s="252">
        <v>27608.0</v>
      </c>
      <c r="O572" s="252">
        <v>6.0</v>
      </c>
      <c r="P572" s="252">
        <v>128.0</v>
      </c>
      <c r="Q572" s="252">
        <v>6224.0</v>
      </c>
      <c r="R572" s="251" t="s">
        <v>1099</v>
      </c>
      <c r="S572" s="251" t="s">
        <v>1100</v>
      </c>
      <c r="T572" s="251" t="s">
        <v>1123</v>
      </c>
      <c r="U572" s="252">
        <v>14.0</v>
      </c>
      <c r="V572" s="252">
        <v>32.0</v>
      </c>
      <c r="W572" s="252">
        <v>5.0</v>
      </c>
      <c r="X572" s="251" t="s">
        <v>1113</v>
      </c>
      <c r="Y572" s="251" t="s">
        <v>4068</v>
      </c>
      <c r="Z572" s="251" t="s">
        <v>4069</v>
      </c>
      <c r="AA572" s="254" t="s">
        <v>1105</v>
      </c>
      <c r="AB572" s="254" t="s">
        <v>1105</v>
      </c>
    </row>
    <row r="573">
      <c r="A573" s="252">
        <v>572.0</v>
      </c>
      <c r="B573" s="251" t="s">
        <v>4070</v>
      </c>
      <c r="C573" s="252">
        <v>1.0</v>
      </c>
      <c r="D573" s="251" t="s">
        <v>4071</v>
      </c>
      <c r="E573" s="251" t="s">
        <v>1667</v>
      </c>
      <c r="F573" s="251" t="s">
        <v>1129</v>
      </c>
      <c r="G573" s="253" t="s">
        <v>4072</v>
      </c>
      <c r="H573" s="252">
        <v>2.0</v>
      </c>
      <c r="I573" s="251" t="s">
        <v>1140</v>
      </c>
      <c r="J573" s="252">
        <v>8.0</v>
      </c>
      <c r="K573" s="252">
        <v>391.0</v>
      </c>
      <c r="L573" s="252">
        <v>120.0</v>
      </c>
      <c r="M573" s="252">
        <v>17321.0</v>
      </c>
      <c r="N573" s="252">
        <v>22863.0</v>
      </c>
      <c r="O573" s="252">
        <v>2.0</v>
      </c>
      <c r="P573" s="252">
        <v>8.0</v>
      </c>
      <c r="Q573" s="252">
        <v>2766.0</v>
      </c>
      <c r="R573" s="251" t="s">
        <v>1141</v>
      </c>
      <c r="S573" s="251" t="s">
        <v>1100</v>
      </c>
      <c r="T573" s="251" t="s">
        <v>1123</v>
      </c>
      <c r="U573" s="252">
        <v>32.0</v>
      </c>
      <c r="V573" s="252">
        <v>14.0</v>
      </c>
      <c r="W573" s="252">
        <v>5.0</v>
      </c>
      <c r="X573" s="251" t="s">
        <v>1147</v>
      </c>
      <c r="Y573" s="251" t="s">
        <v>4073</v>
      </c>
      <c r="Z573" s="251" t="s">
        <v>4074</v>
      </c>
      <c r="AA573" s="254" t="s">
        <v>1105</v>
      </c>
      <c r="AB573" s="254" t="s">
        <v>1105</v>
      </c>
    </row>
    <row r="574">
      <c r="A574" s="252">
        <v>573.0</v>
      </c>
      <c r="B574" s="251" t="s">
        <v>4075</v>
      </c>
      <c r="C574" s="252">
        <v>1.0</v>
      </c>
      <c r="D574" s="251" t="s">
        <v>4076</v>
      </c>
      <c r="E574" s="251" t="s">
        <v>1195</v>
      </c>
      <c r="F574" s="251" t="s">
        <v>1109</v>
      </c>
      <c r="G574" s="253" t="s">
        <v>4077</v>
      </c>
      <c r="H574" s="252">
        <v>3.0</v>
      </c>
      <c r="I574" s="251" t="s">
        <v>1140</v>
      </c>
      <c r="J574" s="252">
        <v>8.0</v>
      </c>
      <c r="K574" s="252">
        <v>360.0</v>
      </c>
      <c r="L574" s="252">
        <v>100.0</v>
      </c>
      <c r="M574" s="252">
        <v>11903.0</v>
      </c>
      <c r="N574" s="252">
        <v>15711.0</v>
      </c>
      <c r="O574" s="252">
        <v>4.0</v>
      </c>
      <c r="P574" s="252">
        <v>64.0</v>
      </c>
      <c r="Q574" s="252">
        <v>3192.0</v>
      </c>
      <c r="R574" s="251" t="s">
        <v>1141</v>
      </c>
      <c r="S574" s="251" t="s">
        <v>1122</v>
      </c>
      <c r="T574" s="251" t="s">
        <v>1123</v>
      </c>
      <c r="U574" s="252">
        <v>16.0</v>
      </c>
      <c r="V574" s="252">
        <v>48.0</v>
      </c>
      <c r="W574" s="252">
        <v>4.7</v>
      </c>
      <c r="X574" s="251" t="s">
        <v>1113</v>
      </c>
      <c r="Y574" s="251" t="s">
        <v>4078</v>
      </c>
      <c r="Z574" s="251" t="s">
        <v>4079</v>
      </c>
      <c r="AA574" s="254" t="s">
        <v>1105</v>
      </c>
      <c r="AB574" s="254" t="s">
        <v>1105</v>
      </c>
    </row>
    <row r="575">
      <c r="A575" s="252">
        <v>574.0</v>
      </c>
      <c r="B575" s="251" t="s">
        <v>4080</v>
      </c>
      <c r="C575" s="252">
        <v>1.0</v>
      </c>
      <c r="D575" s="251" t="s">
        <v>4081</v>
      </c>
      <c r="E575" s="251" t="s">
        <v>1502</v>
      </c>
      <c r="F575" s="251" t="s">
        <v>1153</v>
      </c>
      <c r="G575" s="253" t="s">
        <v>4082</v>
      </c>
      <c r="H575" s="252">
        <v>3.0</v>
      </c>
      <c r="I575" s="251" t="s">
        <v>1140</v>
      </c>
      <c r="J575" s="252">
        <v>12.0</v>
      </c>
      <c r="K575" s="252">
        <v>28.0</v>
      </c>
      <c r="L575" s="252">
        <v>120.0</v>
      </c>
      <c r="M575" s="252">
        <v>12287.0</v>
      </c>
      <c r="N575" s="252">
        <v>15113.0</v>
      </c>
      <c r="O575" s="252">
        <v>12.0</v>
      </c>
      <c r="P575" s="252">
        <v>64.0</v>
      </c>
      <c r="Q575" s="252">
        <v>3514.0</v>
      </c>
      <c r="R575" s="251" t="s">
        <v>1141</v>
      </c>
      <c r="S575" s="251" t="s">
        <v>1100</v>
      </c>
      <c r="T575" s="251" t="s">
        <v>1123</v>
      </c>
      <c r="U575" s="252">
        <v>48.0</v>
      </c>
      <c r="V575" s="252">
        <v>32.0</v>
      </c>
      <c r="W575" s="252">
        <v>5.5</v>
      </c>
      <c r="X575" s="251" t="s">
        <v>1113</v>
      </c>
      <c r="Y575" s="251" t="s">
        <v>4083</v>
      </c>
      <c r="Z575" s="251" t="s">
        <v>4084</v>
      </c>
      <c r="AA575" s="254" t="s">
        <v>1105</v>
      </c>
      <c r="AB575" s="254" t="s">
        <v>1105</v>
      </c>
    </row>
    <row r="576">
      <c r="A576" s="252">
        <v>575.0</v>
      </c>
      <c r="B576" s="251" t="s">
        <v>4085</v>
      </c>
      <c r="C576" s="252">
        <v>1.0</v>
      </c>
      <c r="D576" s="251" t="s">
        <v>4086</v>
      </c>
      <c r="E576" s="251" t="s">
        <v>1201</v>
      </c>
      <c r="F576" s="251" t="s">
        <v>1202</v>
      </c>
      <c r="G576" s="253" t="s">
        <v>4087</v>
      </c>
      <c r="H576" s="252">
        <v>6.0</v>
      </c>
      <c r="I576" s="251" t="s">
        <v>1131</v>
      </c>
      <c r="J576" s="252">
        <v>8.0</v>
      </c>
      <c r="K576" s="252">
        <v>586.0</v>
      </c>
      <c r="L576" s="252">
        <v>100.0</v>
      </c>
      <c r="M576" s="252">
        <v>12444.0</v>
      </c>
      <c r="N576" s="252">
        <v>22399.0</v>
      </c>
      <c r="O576" s="252">
        <v>12.0</v>
      </c>
      <c r="P576" s="252">
        <v>8.0</v>
      </c>
      <c r="Q576" s="252">
        <v>5592.0</v>
      </c>
      <c r="R576" s="251" t="s">
        <v>1099</v>
      </c>
      <c r="S576" s="251" t="s">
        <v>1122</v>
      </c>
      <c r="T576" s="251" t="s">
        <v>1021</v>
      </c>
      <c r="U576" s="252">
        <v>14.0</v>
      </c>
      <c r="V576" s="252">
        <v>48.0</v>
      </c>
      <c r="W576" s="252">
        <v>6.3</v>
      </c>
      <c r="X576" s="251" t="s">
        <v>1147</v>
      </c>
      <c r="Y576" s="251" t="s">
        <v>4088</v>
      </c>
      <c r="Z576" s="251" t="s">
        <v>4089</v>
      </c>
      <c r="AA576" s="254" t="s">
        <v>1105</v>
      </c>
      <c r="AB576" s="254" t="s">
        <v>1105</v>
      </c>
    </row>
    <row r="577">
      <c r="A577" s="252">
        <v>576.0</v>
      </c>
      <c r="B577" s="251" t="s">
        <v>4090</v>
      </c>
      <c r="C577" s="252">
        <v>1.0</v>
      </c>
      <c r="D577" s="251" t="s">
        <v>4091</v>
      </c>
      <c r="E577" s="251" t="s">
        <v>2327</v>
      </c>
      <c r="F577" s="251" t="s">
        <v>1215</v>
      </c>
      <c r="G577" s="253" t="s">
        <v>4092</v>
      </c>
      <c r="H577" s="252">
        <v>5.0</v>
      </c>
      <c r="I577" s="251" t="s">
        <v>1111</v>
      </c>
      <c r="J577" s="252">
        <v>8.0</v>
      </c>
      <c r="K577" s="252">
        <v>813.0</v>
      </c>
      <c r="L577" s="252">
        <v>100.0</v>
      </c>
      <c r="M577" s="252">
        <v>19623.0</v>
      </c>
      <c r="N577" s="252">
        <v>33359.0</v>
      </c>
      <c r="O577" s="252">
        <v>8.0</v>
      </c>
      <c r="P577" s="252">
        <v>64.0</v>
      </c>
      <c r="Q577" s="252">
        <v>5886.0</v>
      </c>
      <c r="R577" s="251" t="s">
        <v>1099</v>
      </c>
      <c r="S577" s="251" t="s">
        <v>1100</v>
      </c>
      <c r="T577" s="251" t="s">
        <v>1123</v>
      </c>
      <c r="U577" s="252">
        <v>14.0</v>
      </c>
      <c r="V577" s="252">
        <v>14.0</v>
      </c>
      <c r="W577" s="252">
        <v>6.0</v>
      </c>
      <c r="X577" s="251" t="s">
        <v>1102</v>
      </c>
      <c r="Y577" s="251" t="s">
        <v>4093</v>
      </c>
      <c r="Z577" s="251" t="s">
        <v>4094</v>
      </c>
      <c r="AA577" s="254" t="s">
        <v>1105</v>
      </c>
      <c r="AB577" s="254" t="s">
        <v>1105</v>
      </c>
    </row>
    <row r="578">
      <c r="A578" s="252">
        <v>577.0</v>
      </c>
      <c r="B578" s="251" t="s">
        <v>4095</v>
      </c>
      <c r="C578" s="252">
        <v>1.0</v>
      </c>
      <c r="D578" s="251" t="s">
        <v>4096</v>
      </c>
      <c r="E578" s="251" t="s">
        <v>1942</v>
      </c>
      <c r="F578" s="251" t="s">
        <v>1233</v>
      </c>
      <c r="G578" s="253" t="s">
        <v>4097</v>
      </c>
      <c r="H578" s="252">
        <v>5.0</v>
      </c>
      <c r="I578" s="251" t="s">
        <v>1111</v>
      </c>
      <c r="J578" s="252">
        <v>10.0</v>
      </c>
      <c r="K578" s="252">
        <v>282.0</v>
      </c>
      <c r="L578" s="252">
        <v>80.0</v>
      </c>
      <c r="M578" s="252">
        <v>11176.0</v>
      </c>
      <c r="N578" s="252">
        <v>17322.0</v>
      </c>
      <c r="O578" s="252">
        <v>8.0</v>
      </c>
      <c r="P578" s="252">
        <v>128.0</v>
      </c>
      <c r="Q578" s="252">
        <v>5238.0</v>
      </c>
      <c r="R578" s="251" t="s">
        <v>1141</v>
      </c>
      <c r="S578" s="251" t="s">
        <v>1122</v>
      </c>
      <c r="T578" s="251" t="s">
        <v>1101</v>
      </c>
      <c r="U578" s="252">
        <v>14.0</v>
      </c>
      <c r="V578" s="252">
        <v>12.0</v>
      </c>
      <c r="W578" s="252">
        <v>5.5</v>
      </c>
      <c r="X578" s="251" t="s">
        <v>1132</v>
      </c>
      <c r="Y578" s="251" t="s">
        <v>4098</v>
      </c>
      <c r="Z578" s="251" t="s">
        <v>4099</v>
      </c>
      <c r="AA578" s="254" t="s">
        <v>1105</v>
      </c>
      <c r="AB578" s="254" t="s">
        <v>1105</v>
      </c>
    </row>
    <row r="579">
      <c r="A579" s="252">
        <v>578.0</v>
      </c>
      <c r="B579" s="251" t="s">
        <v>4100</v>
      </c>
      <c r="C579" s="252">
        <v>1.0</v>
      </c>
      <c r="D579" s="251" t="s">
        <v>4101</v>
      </c>
      <c r="E579" s="251" t="s">
        <v>1166</v>
      </c>
      <c r="F579" s="251" t="s">
        <v>1119</v>
      </c>
      <c r="G579" s="253" t="s">
        <v>4102</v>
      </c>
      <c r="H579" s="252">
        <v>2.0</v>
      </c>
      <c r="I579" s="251" t="s">
        <v>1098</v>
      </c>
      <c r="J579" s="252">
        <v>12.0</v>
      </c>
      <c r="K579" s="252">
        <v>672.0</v>
      </c>
      <c r="L579" s="252">
        <v>100.0</v>
      </c>
      <c r="M579" s="252">
        <v>22841.0</v>
      </c>
      <c r="N579" s="252">
        <v>30378.0</v>
      </c>
      <c r="O579" s="252">
        <v>12.0</v>
      </c>
      <c r="P579" s="252">
        <v>128.0</v>
      </c>
      <c r="Q579" s="252">
        <v>6162.0</v>
      </c>
      <c r="R579" s="251" t="s">
        <v>1099</v>
      </c>
      <c r="S579" s="251" t="s">
        <v>1122</v>
      </c>
      <c r="T579" s="251" t="s">
        <v>1101</v>
      </c>
      <c r="U579" s="252">
        <v>32.0</v>
      </c>
      <c r="V579" s="252">
        <v>14.0</v>
      </c>
      <c r="W579" s="252">
        <v>6.0</v>
      </c>
      <c r="X579" s="251" t="s">
        <v>1102</v>
      </c>
      <c r="Y579" s="251" t="s">
        <v>4103</v>
      </c>
      <c r="Z579" s="251" t="s">
        <v>4104</v>
      </c>
      <c r="AA579" s="254" t="s">
        <v>1105</v>
      </c>
      <c r="AB579" s="254" t="s">
        <v>1105</v>
      </c>
    </row>
    <row r="580">
      <c r="A580" s="252">
        <v>579.0</v>
      </c>
      <c r="B580" s="251" t="s">
        <v>4105</v>
      </c>
      <c r="C580" s="252">
        <v>1.0</v>
      </c>
      <c r="D580" s="251" t="s">
        <v>4106</v>
      </c>
      <c r="E580" s="251" t="s">
        <v>1323</v>
      </c>
      <c r="F580" s="251" t="s">
        <v>1233</v>
      </c>
      <c r="G580" s="253" t="s">
        <v>4107</v>
      </c>
      <c r="H580" s="252">
        <v>4.0</v>
      </c>
      <c r="I580" s="251" t="s">
        <v>1098</v>
      </c>
      <c r="J580" s="252">
        <v>10.0</v>
      </c>
      <c r="K580" s="252">
        <v>659.0</v>
      </c>
      <c r="L580" s="252">
        <v>80.0</v>
      </c>
      <c r="M580" s="252">
        <v>16655.0</v>
      </c>
      <c r="N580" s="252">
        <v>29812.0</v>
      </c>
      <c r="O580" s="252">
        <v>2.0</v>
      </c>
      <c r="P580" s="252">
        <v>128.0</v>
      </c>
      <c r="Q580" s="252">
        <v>2322.0</v>
      </c>
      <c r="R580" s="251" t="s">
        <v>1099</v>
      </c>
      <c r="S580" s="251" t="s">
        <v>1122</v>
      </c>
      <c r="T580" s="251" t="s">
        <v>1101</v>
      </c>
      <c r="U580" s="252">
        <v>12.0</v>
      </c>
      <c r="V580" s="252">
        <v>12.0</v>
      </c>
      <c r="W580" s="252">
        <v>4.7</v>
      </c>
      <c r="X580" s="251" t="s">
        <v>1113</v>
      </c>
      <c r="Y580" s="251" t="s">
        <v>4108</v>
      </c>
      <c r="Z580" s="251" t="s">
        <v>4109</v>
      </c>
      <c r="AA580" s="254" t="s">
        <v>1105</v>
      </c>
      <c r="AB580" s="254" t="s">
        <v>1105</v>
      </c>
    </row>
    <row r="581">
      <c r="A581" s="252">
        <v>580.0</v>
      </c>
      <c r="B581" s="251" t="s">
        <v>4110</v>
      </c>
      <c r="C581" s="252">
        <v>1.0</v>
      </c>
      <c r="D581" s="251" t="s">
        <v>4111</v>
      </c>
      <c r="E581" s="251" t="s">
        <v>1874</v>
      </c>
      <c r="F581" s="251" t="s">
        <v>1202</v>
      </c>
      <c r="G581" s="253" t="s">
        <v>4112</v>
      </c>
      <c r="H581" s="252">
        <v>5.0</v>
      </c>
      <c r="I581" s="251" t="s">
        <v>1140</v>
      </c>
      <c r="J581" s="252">
        <v>8.0</v>
      </c>
      <c r="K581" s="252">
        <v>570.0</v>
      </c>
      <c r="L581" s="252">
        <v>120.0</v>
      </c>
      <c r="M581" s="252">
        <v>15372.0</v>
      </c>
      <c r="N581" s="252">
        <v>18446.0</v>
      </c>
      <c r="O581" s="252">
        <v>4.0</v>
      </c>
      <c r="P581" s="252">
        <v>16.0</v>
      </c>
      <c r="Q581" s="252">
        <v>5613.0</v>
      </c>
      <c r="R581" s="251" t="s">
        <v>1141</v>
      </c>
      <c r="S581" s="251" t="s">
        <v>1122</v>
      </c>
      <c r="T581" s="251" t="s">
        <v>1021</v>
      </c>
      <c r="U581" s="252">
        <v>48.0</v>
      </c>
      <c r="V581" s="252">
        <v>12.0</v>
      </c>
      <c r="W581" s="252">
        <v>5.2</v>
      </c>
      <c r="X581" s="251" t="s">
        <v>1102</v>
      </c>
      <c r="Y581" s="251" t="s">
        <v>4113</v>
      </c>
      <c r="Z581" s="251" t="s">
        <v>4114</v>
      </c>
      <c r="AA581" s="254" t="s">
        <v>1105</v>
      </c>
      <c r="AB581" s="254" t="s">
        <v>1105</v>
      </c>
    </row>
    <row r="582">
      <c r="A582" s="252">
        <v>581.0</v>
      </c>
      <c r="B582" s="251" t="s">
        <v>4115</v>
      </c>
      <c r="C582" s="252">
        <v>1.0</v>
      </c>
      <c r="D582" s="251" t="s">
        <v>4116</v>
      </c>
      <c r="E582" s="251" t="s">
        <v>1108</v>
      </c>
      <c r="F582" s="251" t="s">
        <v>1109</v>
      </c>
      <c r="G582" s="253" t="s">
        <v>4117</v>
      </c>
      <c r="H582" s="252">
        <v>4.0</v>
      </c>
      <c r="I582" s="251" t="s">
        <v>1098</v>
      </c>
      <c r="J582" s="252">
        <v>8.0</v>
      </c>
      <c r="K582" s="252">
        <v>654.0</v>
      </c>
      <c r="L582" s="252">
        <v>120.0</v>
      </c>
      <c r="M582" s="252">
        <v>15743.0</v>
      </c>
      <c r="N582" s="252">
        <v>19363.0</v>
      </c>
      <c r="O582" s="252">
        <v>2.0</v>
      </c>
      <c r="P582" s="252">
        <v>32.0</v>
      </c>
      <c r="Q582" s="252">
        <v>6131.0</v>
      </c>
      <c r="R582" s="251" t="s">
        <v>1141</v>
      </c>
      <c r="S582" s="251" t="s">
        <v>1100</v>
      </c>
      <c r="T582" s="251" t="s">
        <v>1123</v>
      </c>
      <c r="U582" s="252">
        <v>14.0</v>
      </c>
      <c r="V582" s="252">
        <v>12.0</v>
      </c>
      <c r="W582" s="252">
        <v>6.3</v>
      </c>
      <c r="X582" s="251" t="s">
        <v>1102</v>
      </c>
      <c r="Y582" s="251" t="s">
        <v>4118</v>
      </c>
      <c r="Z582" s="251" t="s">
        <v>4119</v>
      </c>
      <c r="AA582" s="254" t="s">
        <v>1105</v>
      </c>
      <c r="AB582" s="254" t="s">
        <v>1105</v>
      </c>
    </row>
    <row r="583">
      <c r="A583" s="252">
        <v>582.0</v>
      </c>
      <c r="B583" s="251" t="s">
        <v>4120</v>
      </c>
      <c r="C583" s="252">
        <v>1.0</v>
      </c>
      <c r="D583" s="251" t="s">
        <v>4121</v>
      </c>
      <c r="E583" s="251" t="s">
        <v>1728</v>
      </c>
      <c r="F583" s="251" t="s">
        <v>1202</v>
      </c>
      <c r="G583" s="253" t="s">
        <v>4122</v>
      </c>
      <c r="H583" s="252">
        <v>6.0</v>
      </c>
      <c r="I583" s="251" t="s">
        <v>1131</v>
      </c>
      <c r="J583" s="252">
        <v>10.0</v>
      </c>
      <c r="K583" s="252">
        <v>94.0</v>
      </c>
      <c r="L583" s="252">
        <v>100.0</v>
      </c>
      <c r="M583" s="252">
        <v>3426.0</v>
      </c>
      <c r="N583" s="252">
        <v>5618.0</v>
      </c>
      <c r="O583" s="252">
        <v>6.0</v>
      </c>
      <c r="P583" s="252">
        <v>8.0</v>
      </c>
      <c r="Q583" s="252">
        <v>3830.0</v>
      </c>
      <c r="R583" s="251" t="s">
        <v>1112</v>
      </c>
      <c r="S583" s="251" t="s">
        <v>1100</v>
      </c>
      <c r="T583" s="251" t="s">
        <v>1101</v>
      </c>
      <c r="U583" s="252">
        <v>48.0</v>
      </c>
      <c r="V583" s="252">
        <v>32.0</v>
      </c>
      <c r="W583" s="252">
        <v>5.2</v>
      </c>
      <c r="X583" s="251" t="s">
        <v>1102</v>
      </c>
      <c r="Y583" s="251" t="s">
        <v>4123</v>
      </c>
      <c r="Z583" s="251" t="s">
        <v>4124</v>
      </c>
      <c r="AA583" s="254" t="s">
        <v>1105</v>
      </c>
      <c r="AB583" s="254" t="s">
        <v>1105</v>
      </c>
    </row>
    <row r="584">
      <c r="A584" s="252">
        <v>583.0</v>
      </c>
      <c r="B584" s="251" t="s">
        <v>4125</v>
      </c>
      <c r="C584" s="252">
        <v>1.0</v>
      </c>
      <c r="D584" s="251" t="s">
        <v>4126</v>
      </c>
      <c r="E584" s="251" t="s">
        <v>1609</v>
      </c>
      <c r="F584" s="251" t="s">
        <v>1109</v>
      </c>
      <c r="G584" s="253" t="s">
        <v>4127</v>
      </c>
      <c r="H584" s="252">
        <v>3.0</v>
      </c>
      <c r="I584" s="251" t="s">
        <v>1140</v>
      </c>
      <c r="J584" s="252">
        <v>10.0</v>
      </c>
      <c r="K584" s="252">
        <v>1000.0</v>
      </c>
      <c r="L584" s="252">
        <v>100.0</v>
      </c>
      <c r="M584" s="252">
        <v>13601.0</v>
      </c>
      <c r="N584" s="252">
        <v>24753.0</v>
      </c>
      <c r="O584" s="252">
        <v>4.0</v>
      </c>
      <c r="P584" s="252">
        <v>8.0</v>
      </c>
      <c r="Q584" s="252">
        <v>4800.0</v>
      </c>
      <c r="R584" s="251" t="s">
        <v>1141</v>
      </c>
      <c r="S584" s="251" t="s">
        <v>1122</v>
      </c>
      <c r="T584" s="251" t="s">
        <v>1101</v>
      </c>
      <c r="U584" s="252">
        <v>32.0</v>
      </c>
      <c r="V584" s="252">
        <v>14.0</v>
      </c>
      <c r="W584" s="252">
        <v>5.2</v>
      </c>
      <c r="X584" s="251" t="s">
        <v>1147</v>
      </c>
      <c r="Y584" s="251" t="s">
        <v>4128</v>
      </c>
      <c r="Z584" s="251" t="s">
        <v>4129</v>
      </c>
      <c r="AA584" s="254" t="s">
        <v>1105</v>
      </c>
      <c r="AB584" s="254" t="s">
        <v>1105</v>
      </c>
    </row>
    <row r="585">
      <c r="A585" s="252">
        <v>584.0</v>
      </c>
      <c r="B585" s="251" t="s">
        <v>4130</v>
      </c>
      <c r="C585" s="252">
        <v>1.0</v>
      </c>
      <c r="D585" s="251" t="s">
        <v>4131</v>
      </c>
      <c r="E585" s="251" t="s">
        <v>1399</v>
      </c>
      <c r="F585" s="251" t="s">
        <v>1138</v>
      </c>
      <c r="G585" s="253" t="s">
        <v>4132</v>
      </c>
      <c r="H585" s="252">
        <v>4.0</v>
      </c>
      <c r="I585" s="251" t="s">
        <v>1098</v>
      </c>
      <c r="J585" s="252">
        <v>8.0</v>
      </c>
      <c r="K585" s="252">
        <v>11.0</v>
      </c>
      <c r="L585" s="252">
        <v>120.0</v>
      </c>
      <c r="M585" s="252">
        <v>8200.0</v>
      </c>
      <c r="N585" s="252">
        <v>10414.0</v>
      </c>
      <c r="O585" s="252">
        <v>2.0</v>
      </c>
      <c r="P585" s="252">
        <v>32.0</v>
      </c>
      <c r="Q585" s="252">
        <v>3399.0</v>
      </c>
      <c r="R585" s="251" t="s">
        <v>1099</v>
      </c>
      <c r="S585" s="251" t="s">
        <v>1122</v>
      </c>
      <c r="T585" s="251" t="s">
        <v>1021</v>
      </c>
      <c r="U585" s="252">
        <v>32.0</v>
      </c>
      <c r="V585" s="252">
        <v>12.0</v>
      </c>
      <c r="W585" s="252">
        <v>6.0</v>
      </c>
      <c r="X585" s="251" t="s">
        <v>1102</v>
      </c>
      <c r="Y585" s="251" t="s">
        <v>4133</v>
      </c>
      <c r="Z585" s="251" t="s">
        <v>4134</v>
      </c>
      <c r="AA585" s="254" t="s">
        <v>1105</v>
      </c>
      <c r="AB585" s="254" t="s">
        <v>1105</v>
      </c>
    </row>
    <row r="586">
      <c r="A586" s="252">
        <v>585.0</v>
      </c>
      <c r="B586" s="251" t="s">
        <v>4135</v>
      </c>
      <c r="C586" s="252">
        <v>1.0</v>
      </c>
      <c r="D586" s="251" t="s">
        <v>4136</v>
      </c>
      <c r="E586" s="251" t="s">
        <v>2017</v>
      </c>
      <c r="F586" s="251" t="s">
        <v>1215</v>
      </c>
      <c r="G586" s="253" t="s">
        <v>4137</v>
      </c>
      <c r="H586" s="252">
        <v>2.0</v>
      </c>
      <c r="I586" s="251" t="s">
        <v>1131</v>
      </c>
      <c r="J586" s="252">
        <v>10.0</v>
      </c>
      <c r="K586" s="252">
        <v>648.0</v>
      </c>
      <c r="L586" s="252">
        <v>100.0</v>
      </c>
      <c r="M586" s="252">
        <v>22732.0</v>
      </c>
      <c r="N586" s="252">
        <v>35007.0</v>
      </c>
      <c r="O586" s="252">
        <v>8.0</v>
      </c>
      <c r="P586" s="252">
        <v>64.0</v>
      </c>
      <c r="Q586" s="252">
        <v>3560.0</v>
      </c>
      <c r="R586" s="251" t="s">
        <v>1112</v>
      </c>
      <c r="S586" s="251" t="s">
        <v>1122</v>
      </c>
      <c r="T586" s="251" t="s">
        <v>1123</v>
      </c>
      <c r="U586" s="252">
        <v>32.0</v>
      </c>
      <c r="V586" s="252">
        <v>16.0</v>
      </c>
      <c r="W586" s="252">
        <v>6.0</v>
      </c>
      <c r="X586" s="251" t="s">
        <v>1147</v>
      </c>
      <c r="Y586" s="251" t="s">
        <v>4138</v>
      </c>
      <c r="Z586" s="251" t="s">
        <v>4139</v>
      </c>
      <c r="AA586" s="254" t="s">
        <v>1105</v>
      </c>
      <c r="AB586" s="254" t="s">
        <v>1105</v>
      </c>
    </row>
    <row r="587">
      <c r="A587" s="252">
        <v>586.0</v>
      </c>
      <c r="B587" s="251" t="s">
        <v>4140</v>
      </c>
      <c r="C587" s="252">
        <v>1.0</v>
      </c>
      <c r="D587" s="251" t="s">
        <v>4141</v>
      </c>
      <c r="E587" s="251" t="s">
        <v>1323</v>
      </c>
      <c r="F587" s="251" t="s">
        <v>1233</v>
      </c>
      <c r="G587" s="253" t="s">
        <v>4142</v>
      </c>
      <c r="H587" s="252">
        <v>4.0</v>
      </c>
      <c r="I587" s="251" t="s">
        <v>1121</v>
      </c>
      <c r="J587" s="252">
        <v>10.0</v>
      </c>
      <c r="K587" s="252">
        <v>788.0</v>
      </c>
      <c r="L587" s="252">
        <v>120.0</v>
      </c>
      <c r="M587" s="252">
        <v>13813.0</v>
      </c>
      <c r="N587" s="252">
        <v>18371.0</v>
      </c>
      <c r="O587" s="252">
        <v>2.0</v>
      </c>
      <c r="P587" s="252">
        <v>8.0</v>
      </c>
      <c r="Q587" s="252">
        <v>5573.0</v>
      </c>
      <c r="R587" s="251" t="s">
        <v>1099</v>
      </c>
      <c r="S587" s="251" t="s">
        <v>1100</v>
      </c>
      <c r="T587" s="251" t="s">
        <v>1123</v>
      </c>
      <c r="U587" s="252">
        <v>16.0</v>
      </c>
      <c r="V587" s="252">
        <v>12.0</v>
      </c>
      <c r="W587" s="252">
        <v>4.7</v>
      </c>
      <c r="X587" s="251" t="s">
        <v>1113</v>
      </c>
      <c r="Y587" s="251" t="s">
        <v>4143</v>
      </c>
      <c r="Z587" s="251" t="s">
        <v>4144</v>
      </c>
      <c r="AA587" s="254" t="s">
        <v>1105</v>
      </c>
      <c r="AB587" s="254" t="s">
        <v>1105</v>
      </c>
    </row>
    <row r="588">
      <c r="A588" s="252">
        <v>587.0</v>
      </c>
      <c r="B588" s="251" t="s">
        <v>4145</v>
      </c>
      <c r="C588" s="252">
        <v>1.0</v>
      </c>
      <c r="D588" s="251" t="s">
        <v>4146</v>
      </c>
      <c r="E588" s="251" t="s">
        <v>1341</v>
      </c>
      <c r="F588" s="251" t="s">
        <v>1215</v>
      </c>
      <c r="G588" s="253" t="s">
        <v>4147</v>
      </c>
      <c r="H588" s="252">
        <v>2.0</v>
      </c>
      <c r="I588" s="251" t="s">
        <v>1121</v>
      </c>
      <c r="J588" s="252">
        <v>10.0</v>
      </c>
      <c r="K588" s="252">
        <v>286.0</v>
      </c>
      <c r="L588" s="252">
        <v>80.0</v>
      </c>
      <c r="M588" s="252">
        <v>15283.0</v>
      </c>
      <c r="N588" s="252">
        <v>24605.0</v>
      </c>
      <c r="O588" s="252">
        <v>2.0</v>
      </c>
      <c r="P588" s="252">
        <v>8.0</v>
      </c>
      <c r="Q588" s="252">
        <v>5760.0</v>
      </c>
      <c r="R588" s="251" t="s">
        <v>1141</v>
      </c>
      <c r="S588" s="251" t="s">
        <v>1122</v>
      </c>
      <c r="T588" s="251" t="s">
        <v>1101</v>
      </c>
      <c r="U588" s="252">
        <v>14.0</v>
      </c>
      <c r="V588" s="252">
        <v>48.0</v>
      </c>
      <c r="W588" s="252">
        <v>4.7</v>
      </c>
      <c r="X588" s="251" t="s">
        <v>1113</v>
      </c>
      <c r="Y588" s="251" t="s">
        <v>4148</v>
      </c>
      <c r="Z588" s="251" t="s">
        <v>4149</v>
      </c>
      <c r="AA588" s="254" t="s">
        <v>1105</v>
      </c>
      <c r="AB588" s="254" t="s">
        <v>1105</v>
      </c>
    </row>
    <row r="589">
      <c r="A589" s="252">
        <v>588.0</v>
      </c>
      <c r="B589" s="251" t="s">
        <v>4150</v>
      </c>
      <c r="C589" s="252">
        <v>1.0</v>
      </c>
      <c r="D589" s="251" t="s">
        <v>4151</v>
      </c>
      <c r="E589" s="251" t="s">
        <v>1848</v>
      </c>
      <c r="F589" s="251" t="s">
        <v>1233</v>
      </c>
      <c r="G589" s="253" t="s">
        <v>4152</v>
      </c>
      <c r="H589" s="252">
        <v>2.0</v>
      </c>
      <c r="I589" s="251" t="s">
        <v>1098</v>
      </c>
      <c r="J589" s="252">
        <v>10.0</v>
      </c>
      <c r="K589" s="252">
        <v>340.0</v>
      </c>
      <c r="L589" s="252">
        <v>80.0</v>
      </c>
      <c r="M589" s="252">
        <v>12794.0</v>
      </c>
      <c r="N589" s="252">
        <v>20598.0</v>
      </c>
      <c r="O589" s="252">
        <v>6.0</v>
      </c>
      <c r="P589" s="252">
        <v>16.0</v>
      </c>
      <c r="Q589" s="252">
        <v>2650.0</v>
      </c>
      <c r="R589" s="251" t="s">
        <v>1099</v>
      </c>
      <c r="S589" s="251" t="s">
        <v>1122</v>
      </c>
      <c r="T589" s="251" t="s">
        <v>1101</v>
      </c>
      <c r="U589" s="252">
        <v>14.0</v>
      </c>
      <c r="V589" s="252">
        <v>32.0</v>
      </c>
      <c r="W589" s="252">
        <v>5.2</v>
      </c>
      <c r="X589" s="251" t="s">
        <v>1132</v>
      </c>
      <c r="Y589" s="251" t="s">
        <v>4153</v>
      </c>
      <c r="Z589" s="251" t="s">
        <v>4154</v>
      </c>
      <c r="AA589" s="254" t="s">
        <v>1105</v>
      </c>
      <c r="AB589" s="254" t="s">
        <v>1105</v>
      </c>
    </row>
    <row r="590">
      <c r="A590" s="252">
        <v>589.0</v>
      </c>
      <c r="B590" s="251" t="s">
        <v>4155</v>
      </c>
      <c r="C590" s="252">
        <v>1.0</v>
      </c>
      <c r="D590" s="251" t="s">
        <v>4156</v>
      </c>
      <c r="E590" s="251" t="s">
        <v>2161</v>
      </c>
      <c r="F590" s="251" t="s">
        <v>1202</v>
      </c>
      <c r="G590" s="253" t="s">
        <v>4157</v>
      </c>
      <c r="H590" s="252">
        <v>3.0</v>
      </c>
      <c r="I590" s="251" t="s">
        <v>1098</v>
      </c>
      <c r="J590" s="252">
        <v>10.0</v>
      </c>
      <c r="K590" s="252">
        <v>310.0</v>
      </c>
      <c r="L590" s="252">
        <v>80.0</v>
      </c>
      <c r="M590" s="252">
        <v>8784.0</v>
      </c>
      <c r="N590" s="252">
        <v>15372.0</v>
      </c>
      <c r="O590" s="252">
        <v>8.0</v>
      </c>
      <c r="P590" s="252">
        <v>64.0</v>
      </c>
      <c r="Q590" s="252">
        <v>2494.0</v>
      </c>
      <c r="R590" s="251" t="s">
        <v>1099</v>
      </c>
      <c r="S590" s="251" t="s">
        <v>1122</v>
      </c>
      <c r="T590" s="251" t="s">
        <v>1123</v>
      </c>
      <c r="U590" s="252">
        <v>12.0</v>
      </c>
      <c r="V590" s="252">
        <v>14.0</v>
      </c>
      <c r="W590" s="252">
        <v>6.3</v>
      </c>
      <c r="X590" s="251" t="s">
        <v>1147</v>
      </c>
      <c r="Y590" s="251" t="s">
        <v>4158</v>
      </c>
      <c r="Z590" s="251" t="s">
        <v>4159</v>
      </c>
      <c r="AA590" s="254" t="s">
        <v>1105</v>
      </c>
      <c r="AB590" s="254" t="s">
        <v>1105</v>
      </c>
    </row>
    <row r="591">
      <c r="A591" s="252">
        <v>590.0</v>
      </c>
      <c r="B591" s="251" t="s">
        <v>4160</v>
      </c>
      <c r="C591" s="252">
        <v>1.0</v>
      </c>
      <c r="D591" s="251" t="s">
        <v>4161</v>
      </c>
      <c r="E591" s="251" t="s">
        <v>2276</v>
      </c>
      <c r="F591" s="251" t="s">
        <v>1215</v>
      </c>
      <c r="G591" s="253" t="s">
        <v>4162</v>
      </c>
      <c r="H591" s="252">
        <v>2.0</v>
      </c>
      <c r="I591" s="251" t="s">
        <v>1098</v>
      </c>
      <c r="J591" s="252">
        <v>10.0</v>
      </c>
      <c r="K591" s="252">
        <v>147.0</v>
      </c>
      <c r="L591" s="252">
        <v>80.0</v>
      </c>
      <c r="M591" s="252">
        <v>19086.0</v>
      </c>
      <c r="N591" s="252">
        <v>23094.0</v>
      </c>
      <c r="O591" s="252">
        <v>12.0</v>
      </c>
      <c r="P591" s="252">
        <v>64.0</v>
      </c>
      <c r="Q591" s="252">
        <v>6000.0</v>
      </c>
      <c r="R591" s="251" t="s">
        <v>1099</v>
      </c>
      <c r="S591" s="251" t="s">
        <v>1100</v>
      </c>
      <c r="T591" s="251" t="s">
        <v>1021</v>
      </c>
      <c r="U591" s="252">
        <v>12.0</v>
      </c>
      <c r="V591" s="252">
        <v>32.0</v>
      </c>
      <c r="W591" s="252">
        <v>5.0</v>
      </c>
      <c r="X591" s="251" t="s">
        <v>1147</v>
      </c>
      <c r="Y591" s="251" t="s">
        <v>4163</v>
      </c>
      <c r="Z591" s="251" t="s">
        <v>4164</v>
      </c>
      <c r="AA591" s="254" t="s">
        <v>1105</v>
      </c>
      <c r="AB591" s="254" t="s">
        <v>1105</v>
      </c>
    </row>
    <row r="592">
      <c r="A592" s="252">
        <v>591.0</v>
      </c>
      <c r="B592" s="251" t="s">
        <v>4165</v>
      </c>
      <c r="C592" s="252">
        <v>1.0</v>
      </c>
      <c r="D592" s="251" t="s">
        <v>4166</v>
      </c>
      <c r="E592" s="251" t="s">
        <v>1375</v>
      </c>
      <c r="F592" s="251" t="s">
        <v>1160</v>
      </c>
      <c r="G592" s="253" t="s">
        <v>4167</v>
      </c>
      <c r="H592" s="252">
        <v>4.0</v>
      </c>
      <c r="I592" s="251" t="s">
        <v>1111</v>
      </c>
      <c r="J592" s="252">
        <v>10.0</v>
      </c>
      <c r="K592" s="252">
        <v>49.0</v>
      </c>
      <c r="L592" s="252">
        <v>100.0</v>
      </c>
      <c r="M592" s="252">
        <v>9039.0</v>
      </c>
      <c r="N592" s="252">
        <v>11479.0</v>
      </c>
      <c r="O592" s="252">
        <v>12.0</v>
      </c>
      <c r="P592" s="252">
        <v>32.0</v>
      </c>
      <c r="Q592" s="252">
        <v>5622.0</v>
      </c>
      <c r="R592" s="251" t="s">
        <v>1112</v>
      </c>
      <c r="S592" s="251" t="s">
        <v>1122</v>
      </c>
      <c r="T592" s="251" t="s">
        <v>1021</v>
      </c>
      <c r="U592" s="252">
        <v>12.0</v>
      </c>
      <c r="V592" s="252">
        <v>12.0</v>
      </c>
      <c r="W592" s="252">
        <v>5.5</v>
      </c>
      <c r="X592" s="251" t="s">
        <v>1102</v>
      </c>
      <c r="Y592" s="251" t="s">
        <v>4168</v>
      </c>
      <c r="Z592" s="251" t="s">
        <v>4169</v>
      </c>
      <c r="AA592" s="254" t="s">
        <v>1105</v>
      </c>
      <c r="AB592" s="254" t="s">
        <v>1105</v>
      </c>
    </row>
    <row r="593">
      <c r="A593" s="252">
        <v>592.0</v>
      </c>
      <c r="B593" s="251" t="s">
        <v>4170</v>
      </c>
      <c r="C593" s="252">
        <v>1.0</v>
      </c>
      <c r="D593" s="251" t="s">
        <v>4171</v>
      </c>
      <c r="E593" s="251" t="s">
        <v>1615</v>
      </c>
      <c r="F593" s="251" t="s">
        <v>1202</v>
      </c>
      <c r="G593" s="253" t="s">
        <v>4172</v>
      </c>
      <c r="H593" s="252">
        <v>6.0</v>
      </c>
      <c r="I593" s="251" t="s">
        <v>1098</v>
      </c>
      <c r="J593" s="252">
        <v>10.0</v>
      </c>
      <c r="K593" s="252">
        <v>927.0</v>
      </c>
      <c r="L593" s="252">
        <v>100.0</v>
      </c>
      <c r="M593" s="252">
        <v>14625.0</v>
      </c>
      <c r="N593" s="252">
        <v>21645.0</v>
      </c>
      <c r="O593" s="252">
        <v>2.0</v>
      </c>
      <c r="P593" s="252">
        <v>32.0</v>
      </c>
      <c r="Q593" s="252">
        <v>3031.0</v>
      </c>
      <c r="R593" s="251" t="s">
        <v>1099</v>
      </c>
      <c r="S593" s="251" t="s">
        <v>1100</v>
      </c>
      <c r="T593" s="251" t="s">
        <v>1123</v>
      </c>
      <c r="U593" s="252">
        <v>12.0</v>
      </c>
      <c r="V593" s="252">
        <v>32.0</v>
      </c>
      <c r="W593" s="252">
        <v>5.5</v>
      </c>
      <c r="X593" s="251" t="s">
        <v>1113</v>
      </c>
      <c r="Y593" s="251" t="s">
        <v>4173</v>
      </c>
      <c r="Z593" s="251" t="s">
        <v>4174</v>
      </c>
      <c r="AA593" s="254" t="s">
        <v>1105</v>
      </c>
      <c r="AB593" s="254" t="s">
        <v>1105</v>
      </c>
    </row>
    <row r="594">
      <c r="A594" s="252">
        <v>593.0</v>
      </c>
      <c r="B594" s="251" t="s">
        <v>4175</v>
      </c>
      <c r="C594" s="252">
        <v>1.0</v>
      </c>
      <c r="D594" s="251" t="s">
        <v>4176</v>
      </c>
      <c r="E594" s="251" t="s">
        <v>1232</v>
      </c>
      <c r="F594" s="251" t="s">
        <v>1233</v>
      </c>
      <c r="G594" s="253" t="s">
        <v>4177</v>
      </c>
      <c r="H594" s="252">
        <v>5.0</v>
      </c>
      <c r="I594" s="251" t="s">
        <v>1140</v>
      </c>
      <c r="J594" s="252">
        <v>10.0</v>
      </c>
      <c r="K594" s="252">
        <v>307.0</v>
      </c>
      <c r="L594" s="252">
        <v>100.0</v>
      </c>
      <c r="M594" s="252">
        <v>4014.0</v>
      </c>
      <c r="N594" s="252">
        <v>6863.0</v>
      </c>
      <c r="O594" s="252">
        <v>6.0</v>
      </c>
      <c r="P594" s="252">
        <v>128.0</v>
      </c>
      <c r="Q594" s="252">
        <v>6173.0</v>
      </c>
      <c r="R594" s="251" t="s">
        <v>1141</v>
      </c>
      <c r="S594" s="251" t="s">
        <v>1122</v>
      </c>
      <c r="T594" s="251" t="s">
        <v>1123</v>
      </c>
      <c r="U594" s="252">
        <v>16.0</v>
      </c>
      <c r="V594" s="252">
        <v>48.0</v>
      </c>
      <c r="W594" s="252">
        <v>4.7</v>
      </c>
      <c r="X594" s="251" t="s">
        <v>1102</v>
      </c>
      <c r="Y594" s="251" t="s">
        <v>4178</v>
      </c>
      <c r="Z594" s="251" t="s">
        <v>4179</v>
      </c>
      <c r="AA594" s="254" t="s">
        <v>1105</v>
      </c>
      <c r="AB594" s="254" t="s">
        <v>1105</v>
      </c>
    </row>
    <row r="595">
      <c r="A595" s="252">
        <v>594.0</v>
      </c>
      <c r="B595" s="251" t="s">
        <v>4180</v>
      </c>
      <c r="C595" s="252">
        <v>1.0</v>
      </c>
      <c r="D595" s="251" t="s">
        <v>4181</v>
      </c>
      <c r="E595" s="251" t="s">
        <v>1152</v>
      </c>
      <c r="F595" s="251" t="s">
        <v>1153</v>
      </c>
      <c r="G595" s="253" t="s">
        <v>4182</v>
      </c>
      <c r="H595" s="252">
        <v>5.0</v>
      </c>
      <c r="I595" s="251" t="s">
        <v>1121</v>
      </c>
      <c r="J595" s="252">
        <v>12.0</v>
      </c>
      <c r="K595" s="252">
        <v>538.0</v>
      </c>
      <c r="L595" s="252">
        <v>100.0</v>
      </c>
      <c r="M595" s="252">
        <v>21466.0</v>
      </c>
      <c r="N595" s="252">
        <v>26403.0</v>
      </c>
      <c r="O595" s="252">
        <v>4.0</v>
      </c>
      <c r="P595" s="252">
        <v>8.0</v>
      </c>
      <c r="Q595" s="252">
        <v>3023.0</v>
      </c>
      <c r="R595" s="251" t="s">
        <v>1099</v>
      </c>
      <c r="S595" s="251" t="s">
        <v>1122</v>
      </c>
      <c r="T595" s="251" t="s">
        <v>1101</v>
      </c>
      <c r="U595" s="252">
        <v>14.0</v>
      </c>
      <c r="V595" s="252">
        <v>32.0</v>
      </c>
      <c r="W595" s="252">
        <v>6.0</v>
      </c>
      <c r="X595" s="251" t="s">
        <v>1132</v>
      </c>
      <c r="Y595" s="251" t="s">
        <v>4183</v>
      </c>
      <c r="Z595" s="251" t="s">
        <v>4184</v>
      </c>
      <c r="AA595" s="254" t="s">
        <v>1105</v>
      </c>
      <c r="AB595" s="254" t="s">
        <v>1105</v>
      </c>
    </row>
    <row r="596">
      <c r="A596" s="252">
        <v>595.0</v>
      </c>
      <c r="B596" s="251" t="s">
        <v>4185</v>
      </c>
      <c r="C596" s="252">
        <v>1.0</v>
      </c>
      <c r="D596" s="251" t="s">
        <v>4186</v>
      </c>
      <c r="E596" s="251" t="s">
        <v>1486</v>
      </c>
      <c r="F596" s="251" t="s">
        <v>1109</v>
      </c>
      <c r="G596" s="253" t="s">
        <v>4187</v>
      </c>
      <c r="H596" s="252">
        <v>5.0</v>
      </c>
      <c r="I596" s="251" t="s">
        <v>1121</v>
      </c>
      <c r="J596" s="252">
        <v>8.0</v>
      </c>
      <c r="K596" s="252">
        <v>139.0</v>
      </c>
      <c r="L596" s="252">
        <v>80.0</v>
      </c>
      <c r="M596" s="252">
        <v>21790.0</v>
      </c>
      <c r="N596" s="252">
        <v>32685.0</v>
      </c>
      <c r="O596" s="252">
        <v>8.0</v>
      </c>
      <c r="P596" s="252">
        <v>512.0</v>
      </c>
      <c r="Q596" s="252">
        <v>3822.0</v>
      </c>
      <c r="R596" s="251" t="s">
        <v>1141</v>
      </c>
      <c r="S596" s="251" t="s">
        <v>1122</v>
      </c>
      <c r="T596" s="251" t="s">
        <v>1123</v>
      </c>
      <c r="U596" s="252">
        <v>48.0</v>
      </c>
      <c r="V596" s="252">
        <v>16.0</v>
      </c>
      <c r="W596" s="252">
        <v>5.0</v>
      </c>
      <c r="X596" s="251" t="s">
        <v>1132</v>
      </c>
      <c r="Y596" s="251" t="s">
        <v>4188</v>
      </c>
      <c r="Z596" s="251" t="s">
        <v>4189</v>
      </c>
      <c r="AA596" s="254" t="s">
        <v>1105</v>
      </c>
      <c r="AB596" s="254" t="s">
        <v>1105</v>
      </c>
    </row>
    <row r="597">
      <c r="A597" s="252">
        <v>596.0</v>
      </c>
      <c r="B597" s="251" t="s">
        <v>4190</v>
      </c>
      <c r="C597" s="252">
        <v>1.0</v>
      </c>
      <c r="D597" s="251" t="s">
        <v>4191</v>
      </c>
      <c r="E597" s="251" t="s">
        <v>1440</v>
      </c>
      <c r="F597" s="251" t="s">
        <v>1233</v>
      </c>
      <c r="G597" s="253" t="s">
        <v>4192</v>
      </c>
      <c r="H597" s="252">
        <v>3.0</v>
      </c>
      <c r="I597" s="251" t="s">
        <v>1098</v>
      </c>
      <c r="J597" s="252">
        <v>12.0</v>
      </c>
      <c r="K597" s="252">
        <v>678.0</v>
      </c>
      <c r="L597" s="252">
        <v>80.0</v>
      </c>
      <c r="M597" s="252">
        <v>18303.0</v>
      </c>
      <c r="N597" s="252">
        <v>32762.0</v>
      </c>
      <c r="O597" s="252">
        <v>6.0</v>
      </c>
      <c r="P597" s="252">
        <v>8.0</v>
      </c>
      <c r="Q597" s="252">
        <v>6356.0</v>
      </c>
      <c r="R597" s="251" t="s">
        <v>1112</v>
      </c>
      <c r="S597" s="251" t="s">
        <v>1122</v>
      </c>
      <c r="T597" s="251" t="s">
        <v>1101</v>
      </c>
      <c r="U597" s="252">
        <v>16.0</v>
      </c>
      <c r="V597" s="252">
        <v>32.0</v>
      </c>
      <c r="W597" s="252">
        <v>5.0</v>
      </c>
      <c r="X597" s="251" t="s">
        <v>1102</v>
      </c>
      <c r="Y597" s="251" t="s">
        <v>4193</v>
      </c>
      <c r="Z597" s="251" t="s">
        <v>4194</v>
      </c>
      <c r="AA597" s="254" t="s">
        <v>1105</v>
      </c>
      <c r="AB597" s="254" t="s">
        <v>1105</v>
      </c>
    </row>
    <row r="598">
      <c r="A598" s="252">
        <v>597.0</v>
      </c>
      <c r="B598" s="251" t="s">
        <v>4195</v>
      </c>
      <c r="C598" s="252">
        <v>1.0</v>
      </c>
      <c r="D598" s="251" t="s">
        <v>4196</v>
      </c>
      <c r="E598" s="251" t="s">
        <v>1232</v>
      </c>
      <c r="F598" s="251" t="s">
        <v>1233</v>
      </c>
      <c r="G598" s="253" t="s">
        <v>4197</v>
      </c>
      <c r="H598" s="252">
        <v>2.0</v>
      </c>
      <c r="I598" s="251" t="s">
        <v>1140</v>
      </c>
      <c r="J598" s="252">
        <v>8.0</v>
      </c>
      <c r="K598" s="252">
        <v>121.0</v>
      </c>
      <c r="L598" s="252">
        <v>100.0</v>
      </c>
      <c r="M598" s="252">
        <v>2469.0</v>
      </c>
      <c r="N598" s="252">
        <v>4320.0</v>
      </c>
      <c r="O598" s="252">
        <v>4.0</v>
      </c>
      <c r="P598" s="252">
        <v>8.0</v>
      </c>
      <c r="Q598" s="252">
        <v>2121.0</v>
      </c>
      <c r="R598" s="251" t="s">
        <v>1112</v>
      </c>
      <c r="S598" s="251" t="s">
        <v>1122</v>
      </c>
      <c r="T598" s="251" t="s">
        <v>1021</v>
      </c>
      <c r="U598" s="252">
        <v>16.0</v>
      </c>
      <c r="V598" s="252">
        <v>32.0</v>
      </c>
      <c r="W598" s="252">
        <v>5.0</v>
      </c>
      <c r="X598" s="251" t="s">
        <v>1102</v>
      </c>
      <c r="Y598" s="251" t="s">
        <v>4198</v>
      </c>
      <c r="Z598" s="251" t="s">
        <v>4199</v>
      </c>
      <c r="AA598" s="254" t="s">
        <v>1105</v>
      </c>
      <c r="AB598" s="254" t="s">
        <v>1105</v>
      </c>
    </row>
    <row r="599">
      <c r="A599" s="252">
        <v>598.0</v>
      </c>
      <c r="B599" s="251" t="s">
        <v>4200</v>
      </c>
      <c r="C599" s="252">
        <v>1.0</v>
      </c>
      <c r="D599" s="251" t="s">
        <v>4201</v>
      </c>
      <c r="E599" s="251" t="s">
        <v>1329</v>
      </c>
      <c r="F599" s="251" t="s">
        <v>1109</v>
      </c>
      <c r="G599" s="253" t="s">
        <v>4202</v>
      </c>
      <c r="H599" s="252">
        <v>3.0</v>
      </c>
      <c r="I599" s="251" t="s">
        <v>1131</v>
      </c>
      <c r="J599" s="252">
        <v>12.0</v>
      </c>
      <c r="K599" s="252">
        <v>976.0</v>
      </c>
      <c r="L599" s="252">
        <v>120.0</v>
      </c>
      <c r="M599" s="252">
        <v>7391.0</v>
      </c>
      <c r="N599" s="252">
        <v>11899.0</v>
      </c>
      <c r="O599" s="252">
        <v>6.0</v>
      </c>
      <c r="P599" s="252">
        <v>16.0</v>
      </c>
      <c r="Q599" s="252">
        <v>5809.0</v>
      </c>
      <c r="R599" s="251" t="s">
        <v>1112</v>
      </c>
      <c r="S599" s="251" t="s">
        <v>1122</v>
      </c>
      <c r="T599" s="251" t="s">
        <v>1101</v>
      </c>
      <c r="U599" s="252">
        <v>32.0</v>
      </c>
      <c r="V599" s="252">
        <v>16.0</v>
      </c>
      <c r="W599" s="252">
        <v>4.7</v>
      </c>
      <c r="X599" s="251" t="s">
        <v>1102</v>
      </c>
      <c r="Y599" s="251" t="s">
        <v>4203</v>
      </c>
      <c r="Z599" s="251" t="s">
        <v>4204</v>
      </c>
      <c r="AA599" s="254" t="s">
        <v>1105</v>
      </c>
      <c r="AB599" s="254" t="s">
        <v>1105</v>
      </c>
    </row>
    <row r="600">
      <c r="A600" s="252">
        <v>599.0</v>
      </c>
      <c r="B600" s="251" t="s">
        <v>4205</v>
      </c>
      <c r="C600" s="252">
        <v>1.0</v>
      </c>
      <c r="D600" s="251" t="s">
        <v>4206</v>
      </c>
      <c r="E600" s="251" t="s">
        <v>1294</v>
      </c>
      <c r="F600" s="251" t="s">
        <v>1119</v>
      </c>
      <c r="G600" s="253" t="s">
        <v>4207</v>
      </c>
      <c r="H600" s="252">
        <v>2.0</v>
      </c>
      <c r="I600" s="251" t="s">
        <v>1111</v>
      </c>
      <c r="J600" s="252">
        <v>10.0</v>
      </c>
      <c r="K600" s="252">
        <v>624.0</v>
      </c>
      <c r="L600" s="252">
        <v>80.0</v>
      </c>
      <c r="M600" s="252">
        <v>22398.0</v>
      </c>
      <c r="N600" s="252">
        <v>30013.0</v>
      </c>
      <c r="O600" s="252">
        <v>12.0</v>
      </c>
      <c r="P600" s="252">
        <v>8.0</v>
      </c>
      <c r="Q600" s="252">
        <v>3979.0</v>
      </c>
      <c r="R600" s="251" t="s">
        <v>1099</v>
      </c>
      <c r="S600" s="251" t="s">
        <v>1122</v>
      </c>
      <c r="T600" s="251" t="s">
        <v>1123</v>
      </c>
      <c r="U600" s="252">
        <v>14.0</v>
      </c>
      <c r="V600" s="252">
        <v>48.0</v>
      </c>
      <c r="W600" s="252">
        <v>6.0</v>
      </c>
      <c r="X600" s="251" t="s">
        <v>1113</v>
      </c>
      <c r="Y600" s="251" t="s">
        <v>4208</v>
      </c>
      <c r="Z600" s="251" t="s">
        <v>4209</v>
      </c>
      <c r="AA600" s="254" t="s">
        <v>1105</v>
      </c>
      <c r="AB600" s="254" t="s">
        <v>1105</v>
      </c>
    </row>
    <row r="601">
      <c r="A601" s="252">
        <v>600.0</v>
      </c>
      <c r="B601" s="251" t="s">
        <v>4210</v>
      </c>
      <c r="C601" s="252">
        <v>1.0</v>
      </c>
      <c r="D601" s="251" t="s">
        <v>4211</v>
      </c>
      <c r="E601" s="251" t="s">
        <v>1250</v>
      </c>
      <c r="F601" s="251" t="s">
        <v>1153</v>
      </c>
      <c r="G601" s="253" t="s">
        <v>4212</v>
      </c>
      <c r="H601" s="252">
        <v>3.0</v>
      </c>
      <c r="I601" s="251" t="s">
        <v>1140</v>
      </c>
      <c r="J601" s="252">
        <v>8.0</v>
      </c>
      <c r="K601" s="252">
        <v>394.0</v>
      </c>
      <c r="L601" s="252">
        <v>100.0</v>
      </c>
      <c r="M601" s="252">
        <v>16157.0</v>
      </c>
      <c r="N601" s="252">
        <v>29567.0</v>
      </c>
      <c r="O601" s="252">
        <v>6.0</v>
      </c>
      <c r="P601" s="252">
        <v>512.0</v>
      </c>
      <c r="Q601" s="252">
        <v>4618.0</v>
      </c>
      <c r="R601" s="251" t="s">
        <v>1112</v>
      </c>
      <c r="S601" s="251" t="s">
        <v>1122</v>
      </c>
      <c r="T601" s="251" t="s">
        <v>1021</v>
      </c>
      <c r="U601" s="252">
        <v>48.0</v>
      </c>
      <c r="V601" s="252">
        <v>32.0</v>
      </c>
      <c r="W601" s="252">
        <v>5.2</v>
      </c>
      <c r="X601" s="251" t="s">
        <v>1102</v>
      </c>
      <c r="Y601" s="251" t="s">
        <v>4213</v>
      </c>
      <c r="Z601" s="251" t="s">
        <v>4214</v>
      </c>
      <c r="AA601" s="254" t="s">
        <v>1105</v>
      </c>
      <c r="AB601" s="254" t="s">
        <v>1105</v>
      </c>
    </row>
    <row r="602">
      <c r="A602" s="252">
        <v>601.0</v>
      </c>
      <c r="B602" s="251" t="s">
        <v>4215</v>
      </c>
      <c r="C602" s="252">
        <v>1.0</v>
      </c>
      <c r="D602" s="251" t="s">
        <v>4216</v>
      </c>
      <c r="E602" s="251" t="s">
        <v>2114</v>
      </c>
      <c r="F602" s="251" t="s">
        <v>1138</v>
      </c>
      <c r="G602" s="253" t="s">
        <v>4217</v>
      </c>
      <c r="H602" s="252">
        <v>4.0</v>
      </c>
      <c r="I602" s="251" t="s">
        <v>1140</v>
      </c>
      <c r="J602" s="252">
        <v>8.0</v>
      </c>
      <c r="K602" s="252">
        <v>363.0</v>
      </c>
      <c r="L602" s="252">
        <v>120.0</v>
      </c>
      <c r="M602" s="252">
        <v>15179.0</v>
      </c>
      <c r="N602" s="252">
        <v>24438.0</v>
      </c>
      <c r="O602" s="252">
        <v>2.0</v>
      </c>
      <c r="P602" s="252">
        <v>128.0</v>
      </c>
      <c r="Q602" s="252">
        <v>3015.0</v>
      </c>
      <c r="R602" s="251" t="s">
        <v>1099</v>
      </c>
      <c r="S602" s="251" t="s">
        <v>1122</v>
      </c>
      <c r="T602" s="251" t="s">
        <v>1123</v>
      </c>
      <c r="U602" s="252">
        <v>12.0</v>
      </c>
      <c r="V602" s="252">
        <v>48.0</v>
      </c>
      <c r="W602" s="252">
        <v>5.2</v>
      </c>
      <c r="X602" s="251" t="s">
        <v>1132</v>
      </c>
      <c r="Y602" s="251" t="s">
        <v>4218</v>
      </c>
      <c r="Z602" s="251" t="s">
        <v>4219</v>
      </c>
      <c r="AA602" s="254" t="s">
        <v>1105</v>
      </c>
      <c r="AB602" s="254" t="s">
        <v>1105</v>
      </c>
    </row>
    <row r="603">
      <c r="A603" s="252">
        <v>602.0</v>
      </c>
      <c r="B603" s="251" t="s">
        <v>4220</v>
      </c>
      <c r="C603" s="252">
        <v>1.0</v>
      </c>
      <c r="D603" s="251" t="s">
        <v>4221</v>
      </c>
      <c r="E603" s="251" t="s">
        <v>1712</v>
      </c>
      <c r="F603" s="251" t="s">
        <v>1109</v>
      </c>
      <c r="G603" s="253" t="s">
        <v>4222</v>
      </c>
      <c r="H603" s="252">
        <v>2.0</v>
      </c>
      <c r="I603" s="251" t="s">
        <v>1121</v>
      </c>
      <c r="J603" s="252">
        <v>12.0</v>
      </c>
      <c r="K603" s="252">
        <v>572.0</v>
      </c>
      <c r="L603" s="252">
        <v>120.0</v>
      </c>
      <c r="M603" s="252">
        <v>5317.0</v>
      </c>
      <c r="N603" s="252">
        <v>7496.0</v>
      </c>
      <c r="O603" s="252">
        <v>2.0</v>
      </c>
      <c r="P603" s="252">
        <v>64.0</v>
      </c>
      <c r="Q603" s="252">
        <v>5806.0</v>
      </c>
      <c r="R603" s="251" t="s">
        <v>1141</v>
      </c>
      <c r="S603" s="251" t="s">
        <v>1100</v>
      </c>
      <c r="T603" s="251" t="s">
        <v>1021</v>
      </c>
      <c r="U603" s="252">
        <v>32.0</v>
      </c>
      <c r="V603" s="252">
        <v>12.0</v>
      </c>
      <c r="W603" s="252">
        <v>4.7</v>
      </c>
      <c r="X603" s="251" t="s">
        <v>1147</v>
      </c>
      <c r="Y603" s="251" t="s">
        <v>4223</v>
      </c>
      <c r="Z603" s="251" t="s">
        <v>4224</v>
      </c>
      <c r="AA603" s="254" t="s">
        <v>1105</v>
      </c>
      <c r="AB603" s="254" t="s">
        <v>1105</v>
      </c>
    </row>
    <row r="604">
      <c r="A604" s="252">
        <v>603.0</v>
      </c>
      <c r="B604" s="251" t="s">
        <v>4225</v>
      </c>
      <c r="C604" s="252">
        <v>1.0</v>
      </c>
      <c r="D604" s="251" t="s">
        <v>4226</v>
      </c>
      <c r="E604" s="251" t="s">
        <v>1152</v>
      </c>
      <c r="F604" s="251" t="s">
        <v>1153</v>
      </c>
      <c r="G604" s="253" t="s">
        <v>4227</v>
      </c>
      <c r="H604" s="252">
        <v>6.0</v>
      </c>
      <c r="I604" s="251" t="s">
        <v>1098</v>
      </c>
      <c r="J604" s="252">
        <v>8.0</v>
      </c>
      <c r="K604" s="252">
        <v>597.0</v>
      </c>
      <c r="L604" s="252">
        <v>120.0</v>
      </c>
      <c r="M604" s="252">
        <v>6331.0</v>
      </c>
      <c r="N604" s="252">
        <v>9686.0</v>
      </c>
      <c r="O604" s="252">
        <v>8.0</v>
      </c>
      <c r="P604" s="252">
        <v>8.0</v>
      </c>
      <c r="Q604" s="252">
        <v>2081.0</v>
      </c>
      <c r="R604" s="251" t="s">
        <v>1112</v>
      </c>
      <c r="S604" s="251" t="s">
        <v>1100</v>
      </c>
      <c r="T604" s="251" t="s">
        <v>1101</v>
      </c>
      <c r="U604" s="252">
        <v>48.0</v>
      </c>
      <c r="V604" s="252">
        <v>48.0</v>
      </c>
      <c r="W604" s="252">
        <v>5.5</v>
      </c>
      <c r="X604" s="251" t="s">
        <v>1132</v>
      </c>
      <c r="Y604" s="251" t="s">
        <v>4228</v>
      </c>
      <c r="Z604" s="251" t="s">
        <v>4229</v>
      </c>
      <c r="AA604" s="254" t="s">
        <v>1105</v>
      </c>
      <c r="AB604" s="254" t="s">
        <v>1105</v>
      </c>
    </row>
    <row r="605">
      <c r="A605" s="252">
        <v>604.0</v>
      </c>
      <c r="B605" s="251" t="s">
        <v>4230</v>
      </c>
      <c r="C605" s="252">
        <v>1.0</v>
      </c>
      <c r="D605" s="251" t="s">
        <v>4231</v>
      </c>
      <c r="E605" s="251" t="s">
        <v>1970</v>
      </c>
      <c r="F605" s="251" t="s">
        <v>1129</v>
      </c>
      <c r="G605" s="253" t="s">
        <v>4232</v>
      </c>
      <c r="H605" s="252">
        <v>6.0</v>
      </c>
      <c r="I605" s="251" t="s">
        <v>1111</v>
      </c>
      <c r="J605" s="252">
        <v>12.0</v>
      </c>
      <c r="K605" s="252">
        <v>232.0</v>
      </c>
      <c r="L605" s="252">
        <v>100.0</v>
      </c>
      <c r="M605" s="252">
        <v>7326.0</v>
      </c>
      <c r="N605" s="252">
        <v>11355.0</v>
      </c>
      <c r="O605" s="252">
        <v>2.0</v>
      </c>
      <c r="P605" s="252">
        <v>64.0</v>
      </c>
      <c r="Q605" s="252">
        <v>5679.0</v>
      </c>
      <c r="R605" s="251" t="s">
        <v>1141</v>
      </c>
      <c r="S605" s="251" t="s">
        <v>1100</v>
      </c>
      <c r="T605" s="251" t="s">
        <v>1101</v>
      </c>
      <c r="U605" s="252">
        <v>12.0</v>
      </c>
      <c r="V605" s="252">
        <v>14.0</v>
      </c>
      <c r="W605" s="252">
        <v>5.2</v>
      </c>
      <c r="X605" s="251" t="s">
        <v>1147</v>
      </c>
      <c r="Y605" s="251" t="s">
        <v>4233</v>
      </c>
      <c r="Z605" s="251" t="s">
        <v>4234</v>
      </c>
      <c r="AA605" s="254" t="s">
        <v>1105</v>
      </c>
      <c r="AB605" s="254" t="s">
        <v>1105</v>
      </c>
    </row>
    <row r="606">
      <c r="A606" s="252">
        <v>605.0</v>
      </c>
      <c r="B606" s="251" t="s">
        <v>4235</v>
      </c>
      <c r="C606" s="252">
        <v>1.0</v>
      </c>
      <c r="D606" s="251" t="s">
        <v>4236</v>
      </c>
      <c r="E606" s="251" t="s">
        <v>2114</v>
      </c>
      <c r="F606" s="251" t="s">
        <v>1138</v>
      </c>
      <c r="G606" s="253" t="s">
        <v>4237</v>
      </c>
      <c r="H606" s="252">
        <v>5.0</v>
      </c>
      <c r="I606" s="251" t="s">
        <v>1140</v>
      </c>
      <c r="J606" s="252">
        <v>8.0</v>
      </c>
      <c r="K606" s="252">
        <v>173.0</v>
      </c>
      <c r="L606" s="252">
        <v>120.0</v>
      </c>
      <c r="M606" s="252">
        <v>15504.0</v>
      </c>
      <c r="N606" s="252">
        <v>23256.0</v>
      </c>
      <c r="O606" s="252">
        <v>4.0</v>
      </c>
      <c r="P606" s="252">
        <v>128.0</v>
      </c>
      <c r="Q606" s="252">
        <v>5848.0</v>
      </c>
      <c r="R606" s="251" t="s">
        <v>1141</v>
      </c>
      <c r="S606" s="251" t="s">
        <v>1100</v>
      </c>
      <c r="T606" s="251" t="s">
        <v>1101</v>
      </c>
      <c r="U606" s="252">
        <v>48.0</v>
      </c>
      <c r="V606" s="252">
        <v>12.0</v>
      </c>
      <c r="W606" s="252">
        <v>6.0</v>
      </c>
      <c r="X606" s="251" t="s">
        <v>1113</v>
      </c>
      <c r="Y606" s="251" t="s">
        <v>4238</v>
      </c>
      <c r="Z606" s="251" t="s">
        <v>4239</v>
      </c>
      <c r="AA606" s="254" t="s">
        <v>1105</v>
      </c>
      <c r="AB606" s="254" t="s">
        <v>1105</v>
      </c>
    </row>
    <row r="607">
      <c r="A607" s="252">
        <v>606.0</v>
      </c>
      <c r="B607" s="251" t="s">
        <v>4240</v>
      </c>
      <c r="C607" s="252">
        <v>1.0</v>
      </c>
      <c r="D607" s="251" t="s">
        <v>4241</v>
      </c>
      <c r="E607" s="251" t="s">
        <v>1936</v>
      </c>
      <c r="F607" s="251" t="s">
        <v>1129</v>
      </c>
      <c r="G607" s="253" t="s">
        <v>4242</v>
      </c>
      <c r="H607" s="252">
        <v>4.0</v>
      </c>
      <c r="I607" s="251" t="s">
        <v>1111</v>
      </c>
      <c r="J607" s="252">
        <v>8.0</v>
      </c>
      <c r="K607" s="252">
        <v>906.0</v>
      </c>
      <c r="L607" s="252">
        <v>80.0</v>
      </c>
      <c r="M607" s="252">
        <v>7269.0</v>
      </c>
      <c r="N607" s="252">
        <v>12357.0</v>
      </c>
      <c r="O607" s="252">
        <v>4.0</v>
      </c>
      <c r="P607" s="252">
        <v>64.0</v>
      </c>
      <c r="Q607" s="252">
        <v>2379.0</v>
      </c>
      <c r="R607" s="251" t="s">
        <v>1099</v>
      </c>
      <c r="S607" s="251" t="s">
        <v>1100</v>
      </c>
      <c r="T607" s="251" t="s">
        <v>1123</v>
      </c>
      <c r="U607" s="252">
        <v>16.0</v>
      </c>
      <c r="V607" s="252">
        <v>16.0</v>
      </c>
      <c r="W607" s="252">
        <v>6.0</v>
      </c>
      <c r="X607" s="251" t="s">
        <v>1113</v>
      </c>
      <c r="Y607" s="251" t="s">
        <v>4243</v>
      </c>
      <c r="Z607" s="251" t="s">
        <v>4244</v>
      </c>
      <c r="AA607" s="254" t="s">
        <v>1105</v>
      </c>
      <c r="AB607" s="254" t="s">
        <v>1105</v>
      </c>
    </row>
    <row r="608">
      <c r="A608" s="252">
        <v>607.0</v>
      </c>
      <c r="B608" s="251" t="s">
        <v>4245</v>
      </c>
      <c r="C608" s="252">
        <v>1.0</v>
      </c>
      <c r="D608" s="251" t="s">
        <v>4246</v>
      </c>
      <c r="E608" s="251" t="s">
        <v>1470</v>
      </c>
      <c r="F608" s="251" t="s">
        <v>1215</v>
      </c>
      <c r="G608" s="253" t="s">
        <v>4247</v>
      </c>
      <c r="H608" s="252">
        <v>3.0</v>
      </c>
      <c r="I608" s="251" t="s">
        <v>1140</v>
      </c>
      <c r="J608" s="252">
        <v>10.0</v>
      </c>
      <c r="K608" s="252">
        <v>198.0</v>
      </c>
      <c r="L608" s="252">
        <v>120.0</v>
      </c>
      <c r="M608" s="252">
        <v>17825.0</v>
      </c>
      <c r="N608" s="252">
        <v>26024.0</v>
      </c>
      <c r="O608" s="252">
        <v>4.0</v>
      </c>
      <c r="P608" s="252">
        <v>32.0</v>
      </c>
      <c r="Q608" s="252">
        <v>2637.0</v>
      </c>
      <c r="R608" s="251" t="s">
        <v>1099</v>
      </c>
      <c r="S608" s="251" t="s">
        <v>1122</v>
      </c>
      <c r="T608" s="251" t="s">
        <v>1021</v>
      </c>
      <c r="U608" s="252">
        <v>12.0</v>
      </c>
      <c r="V608" s="252">
        <v>12.0</v>
      </c>
      <c r="W608" s="252">
        <v>5.2</v>
      </c>
      <c r="X608" s="251" t="s">
        <v>1113</v>
      </c>
      <c r="Y608" s="251" t="s">
        <v>4248</v>
      </c>
      <c r="Z608" s="251" t="s">
        <v>4249</v>
      </c>
      <c r="AA608" s="254" t="s">
        <v>1105</v>
      </c>
      <c r="AB608" s="254" t="s">
        <v>1105</v>
      </c>
    </row>
    <row r="609">
      <c r="A609" s="252">
        <v>608.0</v>
      </c>
      <c r="B609" s="251" t="s">
        <v>4250</v>
      </c>
      <c r="C609" s="252">
        <v>1.0</v>
      </c>
      <c r="D609" s="251" t="s">
        <v>4251</v>
      </c>
      <c r="E609" s="251" t="s">
        <v>1353</v>
      </c>
      <c r="F609" s="251" t="s">
        <v>1109</v>
      </c>
      <c r="G609" s="253" t="s">
        <v>4252</v>
      </c>
      <c r="H609" s="252">
        <v>2.0</v>
      </c>
      <c r="I609" s="251" t="s">
        <v>1131</v>
      </c>
      <c r="J609" s="252">
        <v>10.0</v>
      </c>
      <c r="K609" s="252">
        <v>66.0</v>
      </c>
      <c r="L609" s="252">
        <v>120.0</v>
      </c>
      <c r="M609" s="252">
        <v>18841.0</v>
      </c>
      <c r="N609" s="252">
        <v>24304.0</v>
      </c>
      <c r="O609" s="252">
        <v>12.0</v>
      </c>
      <c r="P609" s="252">
        <v>32.0</v>
      </c>
      <c r="Q609" s="252">
        <v>6181.0</v>
      </c>
      <c r="R609" s="251" t="s">
        <v>1141</v>
      </c>
      <c r="S609" s="251" t="s">
        <v>1122</v>
      </c>
      <c r="T609" s="251" t="s">
        <v>1021</v>
      </c>
      <c r="U609" s="252">
        <v>12.0</v>
      </c>
      <c r="V609" s="252">
        <v>32.0</v>
      </c>
      <c r="W609" s="252">
        <v>5.5</v>
      </c>
      <c r="X609" s="251" t="s">
        <v>1132</v>
      </c>
      <c r="Y609" s="251" t="s">
        <v>4253</v>
      </c>
      <c r="Z609" s="251" t="s">
        <v>4254</v>
      </c>
      <c r="AA609" s="254" t="s">
        <v>1105</v>
      </c>
      <c r="AB609" s="254" t="s">
        <v>1105</v>
      </c>
    </row>
    <row r="610">
      <c r="A610" s="252">
        <v>609.0</v>
      </c>
      <c r="B610" s="251" t="s">
        <v>4255</v>
      </c>
      <c r="C610" s="252">
        <v>1.0</v>
      </c>
      <c r="D610" s="251" t="s">
        <v>4256</v>
      </c>
      <c r="E610" s="251" t="s">
        <v>1306</v>
      </c>
      <c r="F610" s="251" t="s">
        <v>1129</v>
      </c>
      <c r="G610" s="253" t="s">
        <v>4257</v>
      </c>
      <c r="H610" s="252">
        <v>5.0</v>
      </c>
      <c r="I610" s="251" t="s">
        <v>1140</v>
      </c>
      <c r="J610" s="252">
        <v>12.0</v>
      </c>
      <c r="K610" s="252">
        <v>375.0</v>
      </c>
      <c r="L610" s="252">
        <v>120.0</v>
      </c>
      <c r="M610" s="252">
        <v>19162.0</v>
      </c>
      <c r="N610" s="252">
        <v>24527.0</v>
      </c>
      <c r="O610" s="252">
        <v>2.0</v>
      </c>
      <c r="P610" s="252">
        <v>128.0</v>
      </c>
      <c r="Q610" s="252">
        <v>2365.0</v>
      </c>
      <c r="R610" s="251" t="s">
        <v>1099</v>
      </c>
      <c r="S610" s="251" t="s">
        <v>1100</v>
      </c>
      <c r="T610" s="251" t="s">
        <v>1101</v>
      </c>
      <c r="U610" s="252">
        <v>48.0</v>
      </c>
      <c r="V610" s="252">
        <v>12.0</v>
      </c>
      <c r="W610" s="252">
        <v>5.5</v>
      </c>
      <c r="X610" s="251" t="s">
        <v>1113</v>
      </c>
      <c r="Y610" s="251" t="s">
        <v>4258</v>
      </c>
      <c r="Z610" s="251" t="s">
        <v>4259</v>
      </c>
      <c r="AA610" s="254" t="s">
        <v>1105</v>
      </c>
      <c r="AB610" s="254" t="s">
        <v>1105</v>
      </c>
    </row>
    <row r="611">
      <c r="A611" s="252">
        <v>610.0</v>
      </c>
      <c r="B611" s="251" t="s">
        <v>4260</v>
      </c>
      <c r="C611" s="252">
        <v>1.0</v>
      </c>
      <c r="D611" s="251" t="s">
        <v>4261</v>
      </c>
      <c r="E611" s="251" t="s">
        <v>1128</v>
      </c>
      <c r="F611" s="251" t="s">
        <v>1129</v>
      </c>
      <c r="G611" s="253" t="s">
        <v>4262</v>
      </c>
      <c r="H611" s="252">
        <v>3.0</v>
      </c>
      <c r="I611" s="251" t="s">
        <v>1111</v>
      </c>
      <c r="J611" s="252">
        <v>12.0</v>
      </c>
      <c r="K611" s="252">
        <v>443.0</v>
      </c>
      <c r="L611" s="252">
        <v>100.0</v>
      </c>
      <c r="M611" s="252">
        <v>13621.0</v>
      </c>
      <c r="N611" s="252">
        <v>25062.0</v>
      </c>
      <c r="O611" s="252">
        <v>8.0</v>
      </c>
      <c r="P611" s="252">
        <v>128.0</v>
      </c>
      <c r="Q611" s="252">
        <v>4054.0</v>
      </c>
      <c r="R611" s="251" t="s">
        <v>1141</v>
      </c>
      <c r="S611" s="251" t="s">
        <v>1100</v>
      </c>
      <c r="T611" s="251" t="s">
        <v>1123</v>
      </c>
      <c r="U611" s="252">
        <v>16.0</v>
      </c>
      <c r="V611" s="252">
        <v>14.0</v>
      </c>
      <c r="W611" s="252">
        <v>5.5</v>
      </c>
      <c r="X611" s="251" t="s">
        <v>1113</v>
      </c>
      <c r="Y611" s="251" t="s">
        <v>4263</v>
      </c>
      <c r="Z611" s="251" t="s">
        <v>4264</v>
      </c>
      <c r="AA611" s="254" t="s">
        <v>1105</v>
      </c>
      <c r="AB611" s="254" t="s">
        <v>1105</v>
      </c>
    </row>
    <row r="612">
      <c r="A612" s="252">
        <v>611.0</v>
      </c>
      <c r="B612" s="251" t="s">
        <v>4265</v>
      </c>
      <c r="C612" s="252">
        <v>1.0</v>
      </c>
      <c r="D612" s="251" t="s">
        <v>4266</v>
      </c>
      <c r="E612" s="251" t="s">
        <v>1172</v>
      </c>
      <c r="F612" s="251" t="s">
        <v>1160</v>
      </c>
      <c r="G612" s="253" t="s">
        <v>4267</v>
      </c>
      <c r="H612" s="252">
        <v>2.0</v>
      </c>
      <c r="I612" s="251" t="s">
        <v>1140</v>
      </c>
      <c r="J612" s="252">
        <v>8.0</v>
      </c>
      <c r="K612" s="252">
        <v>830.0</v>
      </c>
      <c r="L612" s="252">
        <v>120.0</v>
      </c>
      <c r="M612" s="252">
        <v>14321.0</v>
      </c>
      <c r="N612" s="252">
        <v>24488.0</v>
      </c>
      <c r="O612" s="252">
        <v>4.0</v>
      </c>
      <c r="P612" s="252">
        <v>512.0</v>
      </c>
      <c r="Q612" s="252">
        <v>3045.0</v>
      </c>
      <c r="R612" s="251" t="s">
        <v>1112</v>
      </c>
      <c r="S612" s="251" t="s">
        <v>1100</v>
      </c>
      <c r="T612" s="251" t="s">
        <v>1123</v>
      </c>
      <c r="U612" s="252">
        <v>16.0</v>
      </c>
      <c r="V612" s="252">
        <v>12.0</v>
      </c>
      <c r="W612" s="252">
        <v>4.7</v>
      </c>
      <c r="X612" s="251" t="s">
        <v>1113</v>
      </c>
      <c r="Y612" s="251" t="s">
        <v>4268</v>
      </c>
      <c r="Z612" s="251" t="s">
        <v>4269</v>
      </c>
      <c r="AA612" s="254" t="s">
        <v>1105</v>
      </c>
      <c r="AB612" s="254" t="s">
        <v>1105</v>
      </c>
    </row>
    <row r="613">
      <c r="A613" s="252">
        <v>612.0</v>
      </c>
      <c r="B613" s="251" t="s">
        <v>4270</v>
      </c>
      <c r="C613" s="252">
        <v>1.0</v>
      </c>
      <c r="D613" s="251" t="s">
        <v>4271</v>
      </c>
      <c r="E613" s="251" t="s">
        <v>1195</v>
      </c>
      <c r="F613" s="251" t="s">
        <v>1109</v>
      </c>
      <c r="G613" s="253" t="s">
        <v>4272</v>
      </c>
      <c r="H613" s="252">
        <v>4.0</v>
      </c>
      <c r="I613" s="251" t="s">
        <v>1121</v>
      </c>
      <c r="J613" s="252">
        <v>8.0</v>
      </c>
      <c r="K613" s="252">
        <v>275.0</v>
      </c>
      <c r="L613" s="252">
        <v>80.0</v>
      </c>
      <c r="M613" s="252">
        <v>21218.0</v>
      </c>
      <c r="N613" s="252">
        <v>37768.0</v>
      </c>
      <c r="O613" s="252">
        <v>4.0</v>
      </c>
      <c r="P613" s="252">
        <v>32.0</v>
      </c>
      <c r="Q613" s="252">
        <v>4995.0</v>
      </c>
      <c r="R613" s="251" t="s">
        <v>1141</v>
      </c>
      <c r="S613" s="251" t="s">
        <v>1100</v>
      </c>
      <c r="T613" s="251" t="s">
        <v>1021</v>
      </c>
      <c r="U613" s="252">
        <v>16.0</v>
      </c>
      <c r="V613" s="252">
        <v>14.0</v>
      </c>
      <c r="W613" s="252">
        <v>5.5</v>
      </c>
      <c r="X613" s="251" t="s">
        <v>1102</v>
      </c>
      <c r="Y613" s="251" t="s">
        <v>4273</v>
      </c>
      <c r="Z613" s="251" t="s">
        <v>4274</v>
      </c>
      <c r="AA613" s="254" t="s">
        <v>1105</v>
      </c>
      <c r="AB613" s="254" t="s">
        <v>1105</v>
      </c>
    </row>
    <row r="614">
      <c r="A614" s="252">
        <v>613.0</v>
      </c>
      <c r="B614" s="251" t="s">
        <v>4275</v>
      </c>
      <c r="C614" s="252">
        <v>1.0</v>
      </c>
      <c r="D614" s="251" t="s">
        <v>4276</v>
      </c>
      <c r="E614" s="251" t="s">
        <v>1942</v>
      </c>
      <c r="F614" s="251" t="s">
        <v>1233</v>
      </c>
      <c r="G614" s="253" t="s">
        <v>4277</v>
      </c>
      <c r="H614" s="252">
        <v>6.0</v>
      </c>
      <c r="I614" s="251" t="s">
        <v>1140</v>
      </c>
      <c r="J614" s="252">
        <v>8.0</v>
      </c>
      <c r="K614" s="252">
        <v>346.0</v>
      </c>
      <c r="L614" s="252">
        <v>100.0</v>
      </c>
      <c r="M614" s="252">
        <v>9776.0</v>
      </c>
      <c r="N614" s="252">
        <v>13881.0</v>
      </c>
      <c r="O614" s="252">
        <v>8.0</v>
      </c>
      <c r="P614" s="252">
        <v>64.0</v>
      </c>
      <c r="Q614" s="252">
        <v>2825.0</v>
      </c>
      <c r="R614" s="251" t="s">
        <v>1141</v>
      </c>
      <c r="S614" s="251" t="s">
        <v>1122</v>
      </c>
      <c r="T614" s="251" t="s">
        <v>1123</v>
      </c>
      <c r="U614" s="252">
        <v>12.0</v>
      </c>
      <c r="V614" s="252">
        <v>48.0</v>
      </c>
      <c r="W614" s="252">
        <v>6.3</v>
      </c>
      <c r="X614" s="251" t="s">
        <v>1132</v>
      </c>
      <c r="Y614" s="251" t="s">
        <v>4278</v>
      </c>
      <c r="Z614" s="251" t="s">
        <v>4279</v>
      </c>
      <c r="AA614" s="254" t="s">
        <v>1105</v>
      </c>
      <c r="AB614" s="254" t="s">
        <v>1105</v>
      </c>
    </row>
    <row r="615">
      <c r="A615" s="252">
        <v>614.0</v>
      </c>
      <c r="B615" s="251" t="s">
        <v>4280</v>
      </c>
      <c r="C615" s="252">
        <v>1.0</v>
      </c>
      <c r="D615" s="251" t="s">
        <v>4281</v>
      </c>
      <c r="E615" s="251" t="s">
        <v>2017</v>
      </c>
      <c r="F615" s="251" t="s">
        <v>1215</v>
      </c>
      <c r="G615" s="253" t="s">
        <v>4282</v>
      </c>
      <c r="H615" s="252">
        <v>4.0</v>
      </c>
      <c r="I615" s="251" t="s">
        <v>1140</v>
      </c>
      <c r="J615" s="252">
        <v>12.0</v>
      </c>
      <c r="K615" s="252">
        <v>403.0</v>
      </c>
      <c r="L615" s="252">
        <v>80.0</v>
      </c>
      <c r="M615" s="252">
        <v>20014.0</v>
      </c>
      <c r="N615" s="252">
        <v>25217.0</v>
      </c>
      <c r="O615" s="252">
        <v>12.0</v>
      </c>
      <c r="P615" s="252">
        <v>16.0</v>
      </c>
      <c r="Q615" s="252">
        <v>2229.0</v>
      </c>
      <c r="R615" s="251" t="s">
        <v>1099</v>
      </c>
      <c r="S615" s="251" t="s">
        <v>1122</v>
      </c>
      <c r="T615" s="251" t="s">
        <v>1101</v>
      </c>
      <c r="U615" s="252">
        <v>48.0</v>
      </c>
      <c r="V615" s="252">
        <v>12.0</v>
      </c>
      <c r="W615" s="252">
        <v>5.0</v>
      </c>
      <c r="X615" s="251" t="s">
        <v>1102</v>
      </c>
      <c r="Y615" s="251" t="s">
        <v>4283</v>
      </c>
      <c r="Z615" s="251" t="s">
        <v>4284</v>
      </c>
      <c r="AA615" s="254" t="s">
        <v>1105</v>
      </c>
      <c r="AB615" s="254" t="s">
        <v>1105</v>
      </c>
    </row>
    <row r="616">
      <c r="A616" s="252">
        <v>615.0</v>
      </c>
      <c r="B616" s="251" t="s">
        <v>4285</v>
      </c>
      <c r="C616" s="252">
        <v>1.0</v>
      </c>
      <c r="D616" s="251" t="s">
        <v>4286</v>
      </c>
      <c r="E616" s="251" t="s">
        <v>1208</v>
      </c>
      <c r="F616" s="251" t="s">
        <v>1109</v>
      </c>
      <c r="G616" s="253" t="s">
        <v>4287</v>
      </c>
      <c r="H616" s="252">
        <v>2.0</v>
      </c>
      <c r="I616" s="251" t="s">
        <v>1098</v>
      </c>
      <c r="J616" s="252">
        <v>8.0</v>
      </c>
      <c r="K616" s="252">
        <v>923.0</v>
      </c>
      <c r="L616" s="252">
        <v>120.0</v>
      </c>
      <c r="M616" s="252">
        <v>5838.0</v>
      </c>
      <c r="N616" s="252">
        <v>7472.0</v>
      </c>
      <c r="O616" s="252">
        <v>2.0</v>
      </c>
      <c r="P616" s="252">
        <v>512.0</v>
      </c>
      <c r="Q616" s="252">
        <v>1840.0</v>
      </c>
      <c r="R616" s="251" t="s">
        <v>1099</v>
      </c>
      <c r="S616" s="251" t="s">
        <v>1122</v>
      </c>
      <c r="T616" s="251" t="s">
        <v>1021</v>
      </c>
      <c r="U616" s="252">
        <v>14.0</v>
      </c>
      <c r="V616" s="252">
        <v>12.0</v>
      </c>
      <c r="W616" s="252">
        <v>6.0</v>
      </c>
      <c r="X616" s="251" t="s">
        <v>1113</v>
      </c>
      <c r="Y616" s="251" t="s">
        <v>4288</v>
      </c>
      <c r="Z616" s="251" t="s">
        <v>4289</v>
      </c>
      <c r="AA616" s="254" t="s">
        <v>1105</v>
      </c>
      <c r="AB616" s="254" t="s">
        <v>1105</v>
      </c>
    </row>
    <row r="617">
      <c r="A617" s="252">
        <v>616.0</v>
      </c>
      <c r="B617" s="251" t="s">
        <v>4290</v>
      </c>
      <c r="C617" s="252">
        <v>1.0</v>
      </c>
      <c r="D617" s="251" t="s">
        <v>4291</v>
      </c>
      <c r="E617" s="251" t="s">
        <v>2215</v>
      </c>
      <c r="F617" s="251" t="s">
        <v>1119</v>
      </c>
      <c r="G617" s="253" t="s">
        <v>4292</v>
      </c>
      <c r="H617" s="252">
        <v>4.0</v>
      </c>
      <c r="I617" s="251" t="s">
        <v>1140</v>
      </c>
      <c r="J617" s="252">
        <v>10.0</v>
      </c>
      <c r="K617" s="252">
        <v>832.0</v>
      </c>
      <c r="L617" s="252">
        <v>80.0</v>
      </c>
      <c r="M617" s="252">
        <v>4564.0</v>
      </c>
      <c r="N617" s="252">
        <v>7302.0</v>
      </c>
      <c r="O617" s="252">
        <v>12.0</v>
      </c>
      <c r="P617" s="252">
        <v>128.0</v>
      </c>
      <c r="Q617" s="252">
        <v>1835.0</v>
      </c>
      <c r="R617" s="251" t="s">
        <v>1141</v>
      </c>
      <c r="S617" s="251" t="s">
        <v>1100</v>
      </c>
      <c r="T617" s="251" t="s">
        <v>1123</v>
      </c>
      <c r="U617" s="252">
        <v>32.0</v>
      </c>
      <c r="V617" s="252">
        <v>12.0</v>
      </c>
      <c r="W617" s="252">
        <v>5.2</v>
      </c>
      <c r="X617" s="251" t="s">
        <v>1113</v>
      </c>
      <c r="Y617" s="251" t="s">
        <v>4293</v>
      </c>
      <c r="Z617" s="251" t="s">
        <v>4294</v>
      </c>
      <c r="AA617" s="254" t="s">
        <v>1105</v>
      </c>
      <c r="AB617" s="254" t="s">
        <v>1105</v>
      </c>
    </row>
    <row r="618">
      <c r="A618" s="252">
        <v>617.0</v>
      </c>
      <c r="B618" s="251" t="s">
        <v>4295</v>
      </c>
      <c r="C618" s="252">
        <v>1.0</v>
      </c>
      <c r="D618" s="251" t="s">
        <v>4296</v>
      </c>
      <c r="E618" s="251" t="s">
        <v>1239</v>
      </c>
      <c r="F618" s="251" t="s">
        <v>1119</v>
      </c>
      <c r="G618" s="253" t="s">
        <v>4297</v>
      </c>
      <c r="H618" s="252">
        <v>4.0</v>
      </c>
      <c r="I618" s="251" t="s">
        <v>1131</v>
      </c>
      <c r="J618" s="252">
        <v>12.0</v>
      </c>
      <c r="K618" s="252">
        <v>232.0</v>
      </c>
      <c r="L618" s="252">
        <v>100.0</v>
      </c>
      <c r="M618" s="252">
        <v>19331.0</v>
      </c>
      <c r="N618" s="252">
        <v>25130.0</v>
      </c>
      <c r="O618" s="252">
        <v>4.0</v>
      </c>
      <c r="P618" s="252">
        <v>16.0</v>
      </c>
      <c r="Q618" s="252">
        <v>4117.0</v>
      </c>
      <c r="R618" s="251" t="s">
        <v>1112</v>
      </c>
      <c r="S618" s="251" t="s">
        <v>1122</v>
      </c>
      <c r="T618" s="251" t="s">
        <v>1123</v>
      </c>
      <c r="U618" s="252">
        <v>16.0</v>
      </c>
      <c r="V618" s="252">
        <v>12.0</v>
      </c>
      <c r="W618" s="252">
        <v>4.7</v>
      </c>
      <c r="X618" s="251" t="s">
        <v>1132</v>
      </c>
      <c r="Y618" s="251" t="s">
        <v>4298</v>
      </c>
      <c r="Z618" s="251" t="s">
        <v>4299</v>
      </c>
      <c r="AA618" s="254" t="s">
        <v>1105</v>
      </c>
      <c r="AB618" s="254" t="s">
        <v>1105</v>
      </c>
    </row>
    <row r="619">
      <c r="A619" s="252">
        <v>618.0</v>
      </c>
      <c r="B619" s="251" t="s">
        <v>4300</v>
      </c>
      <c r="C619" s="252">
        <v>1.0</v>
      </c>
      <c r="D619" s="251" t="s">
        <v>4301</v>
      </c>
      <c r="E619" s="251" t="s">
        <v>1627</v>
      </c>
      <c r="F619" s="251" t="s">
        <v>1160</v>
      </c>
      <c r="G619" s="253" t="s">
        <v>4302</v>
      </c>
      <c r="H619" s="252">
        <v>6.0</v>
      </c>
      <c r="I619" s="251" t="s">
        <v>1131</v>
      </c>
      <c r="J619" s="252">
        <v>12.0</v>
      </c>
      <c r="K619" s="252">
        <v>475.0</v>
      </c>
      <c r="L619" s="252">
        <v>100.0</v>
      </c>
      <c r="M619" s="252">
        <v>2395.0</v>
      </c>
      <c r="N619" s="252">
        <v>3736.0</v>
      </c>
      <c r="O619" s="252">
        <v>4.0</v>
      </c>
      <c r="P619" s="252">
        <v>64.0</v>
      </c>
      <c r="Q619" s="252">
        <v>4277.0</v>
      </c>
      <c r="R619" s="251" t="s">
        <v>1112</v>
      </c>
      <c r="S619" s="251" t="s">
        <v>1122</v>
      </c>
      <c r="T619" s="251" t="s">
        <v>1101</v>
      </c>
      <c r="U619" s="252">
        <v>48.0</v>
      </c>
      <c r="V619" s="252">
        <v>14.0</v>
      </c>
      <c r="W619" s="252">
        <v>6.3</v>
      </c>
      <c r="X619" s="251" t="s">
        <v>1132</v>
      </c>
      <c r="Y619" s="251" t="s">
        <v>4303</v>
      </c>
      <c r="Z619" s="251" t="s">
        <v>4304</v>
      </c>
      <c r="AA619" s="254" t="s">
        <v>1105</v>
      </c>
      <c r="AB619" s="254" t="s">
        <v>1105</v>
      </c>
    </row>
    <row r="620">
      <c r="A620" s="252">
        <v>619.0</v>
      </c>
      <c r="B620" s="251" t="s">
        <v>4305</v>
      </c>
      <c r="C620" s="252">
        <v>1.0</v>
      </c>
      <c r="D620" s="251" t="s">
        <v>4306</v>
      </c>
      <c r="E620" s="251" t="s">
        <v>1728</v>
      </c>
      <c r="F620" s="251" t="s">
        <v>1202</v>
      </c>
      <c r="G620" s="253" t="s">
        <v>4307</v>
      </c>
      <c r="H620" s="252">
        <v>5.0</v>
      </c>
      <c r="I620" s="251" t="s">
        <v>1140</v>
      </c>
      <c r="J620" s="252">
        <v>12.0</v>
      </c>
      <c r="K620" s="252">
        <v>417.0</v>
      </c>
      <c r="L620" s="252">
        <v>80.0</v>
      </c>
      <c r="M620" s="252">
        <v>7156.0</v>
      </c>
      <c r="N620" s="252">
        <v>8730.0</v>
      </c>
      <c r="O620" s="252">
        <v>6.0</v>
      </c>
      <c r="P620" s="252">
        <v>64.0</v>
      </c>
      <c r="Q620" s="252">
        <v>2454.0</v>
      </c>
      <c r="R620" s="251" t="s">
        <v>1141</v>
      </c>
      <c r="S620" s="251" t="s">
        <v>1100</v>
      </c>
      <c r="T620" s="251" t="s">
        <v>1101</v>
      </c>
      <c r="U620" s="252">
        <v>14.0</v>
      </c>
      <c r="V620" s="252">
        <v>12.0</v>
      </c>
      <c r="W620" s="252">
        <v>6.0</v>
      </c>
      <c r="X620" s="251" t="s">
        <v>1147</v>
      </c>
      <c r="Y620" s="251" t="s">
        <v>4308</v>
      </c>
      <c r="Z620" s="251" t="s">
        <v>4309</v>
      </c>
      <c r="AA620" s="254" t="s">
        <v>1105</v>
      </c>
      <c r="AB620" s="254" t="s">
        <v>1105</v>
      </c>
    </row>
    <row r="621">
      <c r="A621" s="252">
        <v>620.0</v>
      </c>
      <c r="B621" s="251" t="s">
        <v>4310</v>
      </c>
      <c r="C621" s="252">
        <v>1.0</v>
      </c>
      <c r="D621" s="251" t="s">
        <v>4311</v>
      </c>
      <c r="E621" s="251" t="s">
        <v>1639</v>
      </c>
      <c r="F621" s="251" t="s">
        <v>1129</v>
      </c>
      <c r="G621" s="253" t="s">
        <v>4312</v>
      </c>
      <c r="H621" s="252">
        <v>3.0</v>
      </c>
      <c r="I621" s="251" t="s">
        <v>1140</v>
      </c>
      <c r="J621" s="252">
        <v>8.0</v>
      </c>
      <c r="K621" s="252">
        <v>998.0</v>
      </c>
      <c r="L621" s="252">
        <v>100.0</v>
      </c>
      <c r="M621" s="252">
        <v>12005.0</v>
      </c>
      <c r="N621" s="252">
        <v>14646.0</v>
      </c>
      <c r="O621" s="252">
        <v>6.0</v>
      </c>
      <c r="P621" s="252">
        <v>8.0</v>
      </c>
      <c r="Q621" s="252">
        <v>5653.0</v>
      </c>
      <c r="R621" s="251" t="s">
        <v>1099</v>
      </c>
      <c r="S621" s="251" t="s">
        <v>1122</v>
      </c>
      <c r="T621" s="251" t="s">
        <v>1021</v>
      </c>
      <c r="U621" s="252">
        <v>32.0</v>
      </c>
      <c r="V621" s="252">
        <v>12.0</v>
      </c>
      <c r="W621" s="252">
        <v>5.0</v>
      </c>
      <c r="X621" s="251" t="s">
        <v>1147</v>
      </c>
      <c r="Y621" s="251" t="s">
        <v>4313</v>
      </c>
      <c r="Z621" s="251" t="s">
        <v>4314</v>
      </c>
      <c r="AA621" s="254" t="s">
        <v>1105</v>
      </c>
      <c r="AB621" s="254" t="s">
        <v>1105</v>
      </c>
    </row>
    <row r="622">
      <c r="A622" s="252">
        <v>621.0</v>
      </c>
      <c r="B622" s="251" t="s">
        <v>4315</v>
      </c>
      <c r="C622" s="252">
        <v>1.0</v>
      </c>
      <c r="D622" s="251" t="s">
        <v>4316</v>
      </c>
      <c r="E622" s="251" t="s">
        <v>1422</v>
      </c>
      <c r="F622" s="251" t="s">
        <v>1138</v>
      </c>
      <c r="G622" s="253" t="s">
        <v>4317</v>
      </c>
      <c r="H622" s="252">
        <v>2.0</v>
      </c>
      <c r="I622" s="251" t="s">
        <v>1111</v>
      </c>
      <c r="J622" s="252">
        <v>10.0</v>
      </c>
      <c r="K622" s="252">
        <v>82.0</v>
      </c>
      <c r="L622" s="252">
        <v>80.0</v>
      </c>
      <c r="M622" s="252">
        <v>22636.0</v>
      </c>
      <c r="N622" s="252">
        <v>31690.0</v>
      </c>
      <c r="O622" s="252">
        <v>4.0</v>
      </c>
      <c r="P622" s="252">
        <v>16.0</v>
      </c>
      <c r="Q622" s="252">
        <v>5199.0</v>
      </c>
      <c r="R622" s="251" t="s">
        <v>1099</v>
      </c>
      <c r="S622" s="251" t="s">
        <v>1122</v>
      </c>
      <c r="T622" s="251" t="s">
        <v>1021</v>
      </c>
      <c r="U622" s="252">
        <v>16.0</v>
      </c>
      <c r="V622" s="252">
        <v>14.0</v>
      </c>
      <c r="W622" s="252">
        <v>6.3</v>
      </c>
      <c r="X622" s="251" t="s">
        <v>1132</v>
      </c>
      <c r="Y622" s="251" t="s">
        <v>4318</v>
      </c>
      <c r="Z622" s="251" t="s">
        <v>4319</v>
      </c>
      <c r="AA622" s="254" t="s">
        <v>1105</v>
      </c>
      <c r="AB622" s="254" t="s">
        <v>1105</v>
      </c>
    </row>
    <row r="623">
      <c r="A623" s="252">
        <v>622.0</v>
      </c>
      <c r="B623" s="251" t="s">
        <v>4320</v>
      </c>
      <c r="C623" s="252">
        <v>1.0</v>
      </c>
      <c r="D623" s="251" t="s">
        <v>4321</v>
      </c>
      <c r="E623" s="251" t="s">
        <v>1695</v>
      </c>
      <c r="F623" s="251" t="s">
        <v>1109</v>
      </c>
      <c r="G623" s="253" t="s">
        <v>4322</v>
      </c>
      <c r="H623" s="252">
        <v>3.0</v>
      </c>
      <c r="I623" s="251" t="s">
        <v>1131</v>
      </c>
      <c r="J623" s="252">
        <v>8.0</v>
      </c>
      <c r="K623" s="252">
        <v>798.0</v>
      </c>
      <c r="L623" s="252">
        <v>120.0</v>
      </c>
      <c r="M623" s="252">
        <v>22943.0</v>
      </c>
      <c r="N623" s="252">
        <v>36249.0</v>
      </c>
      <c r="O623" s="252">
        <v>12.0</v>
      </c>
      <c r="P623" s="252">
        <v>16.0</v>
      </c>
      <c r="Q623" s="252">
        <v>3669.0</v>
      </c>
      <c r="R623" s="251" t="s">
        <v>1141</v>
      </c>
      <c r="S623" s="251" t="s">
        <v>1122</v>
      </c>
      <c r="T623" s="251" t="s">
        <v>1021</v>
      </c>
      <c r="U623" s="252">
        <v>48.0</v>
      </c>
      <c r="V623" s="252">
        <v>12.0</v>
      </c>
      <c r="W623" s="252">
        <v>6.0</v>
      </c>
      <c r="X623" s="251" t="s">
        <v>1132</v>
      </c>
      <c r="Y623" s="251" t="s">
        <v>4323</v>
      </c>
      <c r="Z623" s="251" t="s">
        <v>4324</v>
      </c>
      <c r="AA623" s="254" t="s">
        <v>1105</v>
      </c>
      <c r="AB623" s="254" t="s">
        <v>1105</v>
      </c>
    </row>
    <row r="624">
      <c r="A624" s="252">
        <v>623.0</v>
      </c>
      <c r="B624" s="251" t="s">
        <v>4325</v>
      </c>
      <c r="C624" s="252">
        <v>1.0</v>
      </c>
      <c r="D624" s="251" t="s">
        <v>4326</v>
      </c>
      <c r="E624" s="251" t="s">
        <v>1189</v>
      </c>
      <c r="F624" s="251" t="s">
        <v>1096</v>
      </c>
      <c r="G624" s="253" t="s">
        <v>4327</v>
      </c>
      <c r="H624" s="252">
        <v>3.0</v>
      </c>
      <c r="I624" s="251" t="s">
        <v>1140</v>
      </c>
      <c r="J624" s="252">
        <v>10.0</v>
      </c>
      <c r="K624" s="252">
        <v>400.0</v>
      </c>
      <c r="L624" s="252">
        <v>100.0</v>
      </c>
      <c r="M624" s="252">
        <v>16067.0</v>
      </c>
      <c r="N624" s="252">
        <v>29241.0</v>
      </c>
      <c r="O624" s="252">
        <v>2.0</v>
      </c>
      <c r="P624" s="252">
        <v>8.0</v>
      </c>
      <c r="Q624" s="252">
        <v>6273.0</v>
      </c>
      <c r="R624" s="251" t="s">
        <v>1112</v>
      </c>
      <c r="S624" s="251" t="s">
        <v>1122</v>
      </c>
      <c r="T624" s="251" t="s">
        <v>1021</v>
      </c>
      <c r="U624" s="252">
        <v>48.0</v>
      </c>
      <c r="V624" s="252">
        <v>12.0</v>
      </c>
      <c r="W624" s="252">
        <v>4.7</v>
      </c>
      <c r="X624" s="251" t="s">
        <v>1147</v>
      </c>
      <c r="Y624" s="251" t="s">
        <v>4328</v>
      </c>
      <c r="Z624" s="251" t="s">
        <v>4329</v>
      </c>
      <c r="AA624" s="254" t="s">
        <v>1105</v>
      </c>
      <c r="AB624" s="254" t="s">
        <v>1105</v>
      </c>
    </row>
    <row r="625">
      <c r="A625" s="252">
        <v>624.0</v>
      </c>
      <c r="B625" s="251" t="s">
        <v>4330</v>
      </c>
      <c r="C625" s="252">
        <v>1.0</v>
      </c>
      <c r="D625" s="251" t="s">
        <v>4331</v>
      </c>
      <c r="E625" s="251" t="s">
        <v>2276</v>
      </c>
      <c r="F625" s="251" t="s">
        <v>1215</v>
      </c>
      <c r="G625" s="253" t="s">
        <v>4332</v>
      </c>
      <c r="H625" s="252">
        <v>4.0</v>
      </c>
      <c r="I625" s="251" t="s">
        <v>1140</v>
      </c>
      <c r="J625" s="252">
        <v>12.0</v>
      </c>
      <c r="K625" s="252">
        <v>914.0</v>
      </c>
      <c r="L625" s="252">
        <v>120.0</v>
      </c>
      <c r="M625" s="252">
        <v>5521.0</v>
      </c>
      <c r="N625" s="252">
        <v>9054.0</v>
      </c>
      <c r="O625" s="252">
        <v>6.0</v>
      </c>
      <c r="P625" s="252">
        <v>64.0</v>
      </c>
      <c r="Q625" s="252">
        <v>1974.0</v>
      </c>
      <c r="R625" s="251" t="s">
        <v>1099</v>
      </c>
      <c r="S625" s="251" t="s">
        <v>1100</v>
      </c>
      <c r="T625" s="251" t="s">
        <v>1101</v>
      </c>
      <c r="U625" s="252">
        <v>32.0</v>
      </c>
      <c r="V625" s="252">
        <v>12.0</v>
      </c>
      <c r="W625" s="252">
        <v>4.7</v>
      </c>
      <c r="X625" s="251" t="s">
        <v>1113</v>
      </c>
      <c r="Y625" s="251" t="s">
        <v>4333</v>
      </c>
      <c r="Z625" s="251" t="s">
        <v>4334</v>
      </c>
      <c r="AA625" s="254" t="s">
        <v>1105</v>
      </c>
      <c r="AB625" s="254" t="s">
        <v>1105</v>
      </c>
    </row>
    <row r="626">
      <c r="A626" s="252">
        <v>625.0</v>
      </c>
      <c r="B626" s="251" t="s">
        <v>4335</v>
      </c>
      <c r="C626" s="252">
        <v>1.0</v>
      </c>
      <c r="D626" s="251" t="s">
        <v>4336</v>
      </c>
      <c r="E626" s="251" t="s">
        <v>1780</v>
      </c>
      <c r="F626" s="251" t="s">
        <v>1129</v>
      </c>
      <c r="G626" s="253" t="s">
        <v>4337</v>
      </c>
      <c r="H626" s="252">
        <v>3.0</v>
      </c>
      <c r="I626" s="251" t="s">
        <v>1111</v>
      </c>
      <c r="J626" s="252">
        <v>8.0</v>
      </c>
      <c r="K626" s="252">
        <v>164.0</v>
      </c>
      <c r="L626" s="252">
        <v>100.0</v>
      </c>
      <c r="M626" s="252">
        <v>10643.0</v>
      </c>
      <c r="N626" s="252">
        <v>16815.0</v>
      </c>
      <c r="O626" s="252">
        <v>12.0</v>
      </c>
      <c r="P626" s="252">
        <v>16.0</v>
      </c>
      <c r="Q626" s="252">
        <v>2482.0</v>
      </c>
      <c r="R626" s="251" t="s">
        <v>1112</v>
      </c>
      <c r="S626" s="251" t="s">
        <v>1100</v>
      </c>
      <c r="T626" s="251" t="s">
        <v>1101</v>
      </c>
      <c r="U626" s="252">
        <v>32.0</v>
      </c>
      <c r="V626" s="252">
        <v>14.0</v>
      </c>
      <c r="W626" s="252">
        <v>6.0</v>
      </c>
      <c r="X626" s="251" t="s">
        <v>1147</v>
      </c>
      <c r="Y626" s="251" t="s">
        <v>4338</v>
      </c>
      <c r="Z626" s="251" t="s">
        <v>4339</v>
      </c>
      <c r="AA626" s="254" t="s">
        <v>1105</v>
      </c>
      <c r="AB626" s="254" t="s">
        <v>1105</v>
      </c>
    </row>
    <row r="627">
      <c r="A627" s="252">
        <v>626.0</v>
      </c>
      <c r="B627" s="251" t="s">
        <v>4340</v>
      </c>
      <c r="C627" s="252">
        <v>1.0</v>
      </c>
      <c r="D627" s="251" t="s">
        <v>4341</v>
      </c>
      <c r="E627" s="251" t="s">
        <v>1621</v>
      </c>
      <c r="F627" s="251" t="s">
        <v>1138</v>
      </c>
      <c r="G627" s="253" t="s">
        <v>4342</v>
      </c>
      <c r="H627" s="252">
        <v>3.0</v>
      </c>
      <c r="I627" s="251" t="s">
        <v>1131</v>
      </c>
      <c r="J627" s="252">
        <v>8.0</v>
      </c>
      <c r="K627" s="252">
        <v>944.0</v>
      </c>
      <c r="L627" s="252">
        <v>80.0</v>
      </c>
      <c r="M627" s="252">
        <v>10165.0</v>
      </c>
      <c r="N627" s="252">
        <v>16060.0</v>
      </c>
      <c r="O627" s="252">
        <v>4.0</v>
      </c>
      <c r="P627" s="252">
        <v>512.0</v>
      </c>
      <c r="Q627" s="252">
        <v>2045.0</v>
      </c>
      <c r="R627" s="251" t="s">
        <v>1112</v>
      </c>
      <c r="S627" s="251" t="s">
        <v>1122</v>
      </c>
      <c r="T627" s="251" t="s">
        <v>1021</v>
      </c>
      <c r="U627" s="252">
        <v>32.0</v>
      </c>
      <c r="V627" s="252">
        <v>32.0</v>
      </c>
      <c r="W627" s="252">
        <v>6.0</v>
      </c>
      <c r="X627" s="251" t="s">
        <v>1132</v>
      </c>
      <c r="Y627" s="251" t="s">
        <v>4343</v>
      </c>
      <c r="Z627" s="251" t="s">
        <v>4344</v>
      </c>
      <c r="AA627" s="254" t="s">
        <v>1105</v>
      </c>
      <c r="AB627" s="254" t="s">
        <v>1105</v>
      </c>
    </row>
    <row r="628">
      <c r="A628" s="252">
        <v>627.0</v>
      </c>
      <c r="B628" s="251" t="s">
        <v>4345</v>
      </c>
      <c r="C628" s="252">
        <v>1.0</v>
      </c>
      <c r="D628" s="251" t="s">
        <v>4346</v>
      </c>
      <c r="E628" s="251" t="s">
        <v>1189</v>
      </c>
      <c r="F628" s="251" t="s">
        <v>1096</v>
      </c>
      <c r="G628" s="253" t="s">
        <v>4347</v>
      </c>
      <c r="H628" s="252">
        <v>5.0</v>
      </c>
      <c r="I628" s="251" t="s">
        <v>1140</v>
      </c>
      <c r="J628" s="252">
        <v>12.0</v>
      </c>
      <c r="K628" s="252">
        <v>810.0</v>
      </c>
      <c r="L628" s="252">
        <v>120.0</v>
      </c>
      <c r="M628" s="252">
        <v>7715.0</v>
      </c>
      <c r="N628" s="252">
        <v>12884.0</v>
      </c>
      <c r="O628" s="252">
        <v>8.0</v>
      </c>
      <c r="P628" s="252">
        <v>64.0</v>
      </c>
      <c r="Q628" s="252">
        <v>3320.0</v>
      </c>
      <c r="R628" s="251" t="s">
        <v>1141</v>
      </c>
      <c r="S628" s="251" t="s">
        <v>1122</v>
      </c>
      <c r="T628" s="251" t="s">
        <v>1021</v>
      </c>
      <c r="U628" s="252">
        <v>32.0</v>
      </c>
      <c r="V628" s="252">
        <v>48.0</v>
      </c>
      <c r="W628" s="252">
        <v>5.5</v>
      </c>
      <c r="X628" s="251" t="s">
        <v>1102</v>
      </c>
      <c r="Y628" s="251" t="s">
        <v>4348</v>
      </c>
      <c r="Z628" s="251" t="s">
        <v>4349</v>
      </c>
      <c r="AA628" s="254" t="s">
        <v>1105</v>
      </c>
      <c r="AB628" s="254" t="s">
        <v>1105</v>
      </c>
    </row>
    <row r="629">
      <c r="A629" s="252">
        <v>628.0</v>
      </c>
      <c r="B629" s="251" t="s">
        <v>4350</v>
      </c>
      <c r="C629" s="252">
        <v>1.0</v>
      </c>
      <c r="D629" s="251" t="s">
        <v>4351</v>
      </c>
      <c r="E629" s="251" t="s">
        <v>1283</v>
      </c>
      <c r="F629" s="251" t="s">
        <v>1096</v>
      </c>
      <c r="G629" s="253" t="s">
        <v>4352</v>
      </c>
      <c r="H629" s="252">
        <v>5.0</v>
      </c>
      <c r="I629" s="251" t="s">
        <v>1111</v>
      </c>
      <c r="J629" s="252">
        <v>12.0</v>
      </c>
      <c r="K629" s="252">
        <v>925.0</v>
      </c>
      <c r="L629" s="252">
        <v>120.0</v>
      </c>
      <c r="M629" s="252">
        <v>10343.0</v>
      </c>
      <c r="N629" s="252">
        <v>15928.0</v>
      </c>
      <c r="O629" s="252">
        <v>12.0</v>
      </c>
      <c r="P629" s="252">
        <v>512.0</v>
      </c>
      <c r="Q629" s="252">
        <v>3313.0</v>
      </c>
      <c r="R629" s="251" t="s">
        <v>1099</v>
      </c>
      <c r="S629" s="251" t="s">
        <v>1100</v>
      </c>
      <c r="T629" s="251" t="s">
        <v>1101</v>
      </c>
      <c r="U629" s="252">
        <v>48.0</v>
      </c>
      <c r="V629" s="252">
        <v>32.0</v>
      </c>
      <c r="W629" s="252">
        <v>4.7</v>
      </c>
      <c r="X629" s="251" t="s">
        <v>1102</v>
      </c>
      <c r="Y629" s="251" t="s">
        <v>4353</v>
      </c>
      <c r="Z629" s="251" t="s">
        <v>4354</v>
      </c>
      <c r="AA629" s="254" t="s">
        <v>1105</v>
      </c>
      <c r="AB629" s="254" t="s">
        <v>1105</v>
      </c>
    </row>
    <row r="630">
      <c r="A630" s="252">
        <v>629.0</v>
      </c>
      <c r="B630" s="251" t="s">
        <v>4355</v>
      </c>
      <c r="C630" s="252">
        <v>1.0</v>
      </c>
      <c r="D630" s="251" t="s">
        <v>4356</v>
      </c>
      <c r="E630" s="251" t="s">
        <v>2327</v>
      </c>
      <c r="F630" s="251" t="s">
        <v>1215</v>
      </c>
      <c r="G630" s="253" t="s">
        <v>4357</v>
      </c>
      <c r="H630" s="252">
        <v>3.0</v>
      </c>
      <c r="I630" s="251" t="s">
        <v>1140</v>
      </c>
      <c r="J630" s="252">
        <v>12.0</v>
      </c>
      <c r="K630" s="252">
        <v>595.0</v>
      </c>
      <c r="L630" s="252">
        <v>100.0</v>
      </c>
      <c r="M630" s="252">
        <v>14681.0</v>
      </c>
      <c r="N630" s="252">
        <v>23930.0</v>
      </c>
      <c r="O630" s="252">
        <v>12.0</v>
      </c>
      <c r="P630" s="252">
        <v>8.0</v>
      </c>
      <c r="Q630" s="252">
        <v>5104.0</v>
      </c>
      <c r="R630" s="251" t="s">
        <v>1099</v>
      </c>
      <c r="S630" s="251" t="s">
        <v>1122</v>
      </c>
      <c r="T630" s="251" t="s">
        <v>1021</v>
      </c>
      <c r="U630" s="252">
        <v>16.0</v>
      </c>
      <c r="V630" s="252">
        <v>48.0</v>
      </c>
      <c r="W630" s="252">
        <v>5.0</v>
      </c>
      <c r="X630" s="251" t="s">
        <v>1113</v>
      </c>
      <c r="Y630" s="251" t="s">
        <v>4358</v>
      </c>
      <c r="Z630" s="251" t="s">
        <v>4359</v>
      </c>
      <c r="AA630" s="254" t="s">
        <v>1105</v>
      </c>
      <c r="AB630" s="254" t="s">
        <v>1105</v>
      </c>
    </row>
    <row r="631">
      <c r="A631" s="252">
        <v>630.0</v>
      </c>
      <c r="B631" s="251" t="s">
        <v>4360</v>
      </c>
      <c r="C631" s="252">
        <v>1.0</v>
      </c>
      <c r="D631" s="251" t="s">
        <v>4361</v>
      </c>
      <c r="E631" s="251" t="s">
        <v>1422</v>
      </c>
      <c r="F631" s="251" t="s">
        <v>1138</v>
      </c>
      <c r="G631" s="253" t="s">
        <v>4362</v>
      </c>
      <c r="H631" s="252">
        <v>2.0</v>
      </c>
      <c r="I631" s="251" t="s">
        <v>1131</v>
      </c>
      <c r="J631" s="252">
        <v>8.0</v>
      </c>
      <c r="K631" s="252">
        <v>388.0</v>
      </c>
      <c r="L631" s="252">
        <v>100.0</v>
      </c>
      <c r="M631" s="252">
        <v>5556.0</v>
      </c>
      <c r="N631" s="252">
        <v>9667.0</v>
      </c>
      <c r="O631" s="252">
        <v>6.0</v>
      </c>
      <c r="P631" s="252">
        <v>8.0</v>
      </c>
      <c r="Q631" s="252">
        <v>6048.0</v>
      </c>
      <c r="R631" s="251" t="s">
        <v>1112</v>
      </c>
      <c r="S631" s="251" t="s">
        <v>1100</v>
      </c>
      <c r="T631" s="251" t="s">
        <v>1123</v>
      </c>
      <c r="U631" s="252">
        <v>12.0</v>
      </c>
      <c r="V631" s="252">
        <v>16.0</v>
      </c>
      <c r="W631" s="252">
        <v>5.0</v>
      </c>
      <c r="X631" s="251" t="s">
        <v>1102</v>
      </c>
      <c r="Y631" s="251" t="s">
        <v>4363</v>
      </c>
      <c r="Z631" s="251" t="s">
        <v>4364</v>
      </c>
      <c r="AA631" s="254" t="s">
        <v>1105</v>
      </c>
      <c r="AB631" s="254" t="s">
        <v>1105</v>
      </c>
    </row>
    <row r="632">
      <c r="A632" s="252">
        <v>631.0</v>
      </c>
      <c r="B632" s="251" t="s">
        <v>4365</v>
      </c>
      <c r="C632" s="252">
        <v>1.0</v>
      </c>
      <c r="D632" s="251" t="s">
        <v>4366</v>
      </c>
      <c r="E632" s="251" t="s">
        <v>1609</v>
      </c>
      <c r="F632" s="251" t="s">
        <v>1109</v>
      </c>
      <c r="G632" s="253" t="s">
        <v>4367</v>
      </c>
      <c r="H632" s="252">
        <v>4.0</v>
      </c>
      <c r="I632" s="251" t="s">
        <v>1111</v>
      </c>
      <c r="J632" s="252">
        <v>10.0</v>
      </c>
      <c r="K632" s="252">
        <v>936.0</v>
      </c>
      <c r="L632" s="252">
        <v>100.0</v>
      </c>
      <c r="M632" s="252">
        <v>5890.0</v>
      </c>
      <c r="N632" s="252">
        <v>8835.0</v>
      </c>
      <c r="O632" s="252">
        <v>6.0</v>
      </c>
      <c r="P632" s="252">
        <v>32.0</v>
      </c>
      <c r="Q632" s="252">
        <v>4208.0</v>
      </c>
      <c r="R632" s="251" t="s">
        <v>1141</v>
      </c>
      <c r="S632" s="251" t="s">
        <v>1100</v>
      </c>
      <c r="T632" s="251" t="s">
        <v>1123</v>
      </c>
      <c r="U632" s="252">
        <v>48.0</v>
      </c>
      <c r="V632" s="252">
        <v>48.0</v>
      </c>
      <c r="W632" s="252">
        <v>4.7</v>
      </c>
      <c r="X632" s="251" t="s">
        <v>1113</v>
      </c>
      <c r="Y632" s="251" t="s">
        <v>4368</v>
      </c>
      <c r="Z632" s="251" t="s">
        <v>4369</v>
      </c>
      <c r="AA632" s="254" t="s">
        <v>1105</v>
      </c>
      <c r="AB632" s="254" t="s">
        <v>1105</v>
      </c>
    </row>
    <row r="633">
      <c r="A633" s="252">
        <v>632.0</v>
      </c>
      <c r="B633" s="251" t="s">
        <v>4370</v>
      </c>
      <c r="C633" s="252">
        <v>1.0</v>
      </c>
      <c r="D633" s="251" t="s">
        <v>4371</v>
      </c>
      <c r="E633" s="251" t="s">
        <v>1550</v>
      </c>
      <c r="F633" s="251" t="s">
        <v>1109</v>
      </c>
      <c r="G633" s="253" t="s">
        <v>4372</v>
      </c>
      <c r="H633" s="252">
        <v>4.0</v>
      </c>
      <c r="I633" s="251" t="s">
        <v>1121</v>
      </c>
      <c r="J633" s="252">
        <v>8.0</v>
      </c>
      <c r="K633" s="252">
        <v>276.0</v>
      </c>
      <c r="L633" s="252">
        <v>120.0</v>
      </c>
      <c r="M633" s="252">
        <v>8337.0</v>
      </c>
      <c r="N633" s="252">
        <v>13422.0</v>
      </c>
      <c r="O633" s="252">
        <v>8.0</v>
      </c>
      <c r="P633" s="252">
        <v>32.0</v>
      </c>
      <c r="Q633" s="252">
        <v>3024.0</v>
      </c>
      <c r="R633" s="251" t="s">
        <v>1112</v>
      </c>
      <c r="S633" s="251" t="s">
        <v>1100</v>
      </c>
      <c r="T633" s="251" t="s">
        <v>1101</v>
      </c>
      <c r="U633" s="252">
        <v>14.0</v>
      </c>
      <c r="V633" s="252">
        <v>12.0</v>
      </c>
      <c r="W633" s="252">
        <v>6.3</v>
      </c>
      <c r="X633" s="251" t="s">
        <v>1113</v>
      </c>
      <c r="Y633" s="251" t="s">
        <v>4373</v>
      </c>
      <c r="Z633" s="251" t="s">
        <v>4374</v>
      </c>
      <c r="AA633" s="254" t="s">
        <v>1105</v>
      </c>
      <c r="AB633" s="254" t="s">
        <v>1105</v>
      </c>
    </row>
    <row r="634">
      <c r="A634" s="252">
        <v>633.0</v>
      </c>
      <c r="B634" s="251" t="s">
        <v>4375</v>
      </c>
      <c r="C634" s="252">
        <v>1.0</v>
      </c>
      <c r="D634" s="251" t="s">
        <v>4376</v>
      </c>
      <c r="E634" s="251" t="s">
        <v>1335</v>
      </c>
      <c r="F634" s="251" t="s">
        <v>1215</v>
      </c>
      <c r="G634" s="253" t="s">
        <v>4377</v>
      </c>
      <c r="H634" s="252">
        <v>3.0</v>
      </c>
      <c r="I634" s="251" t="s">
        <v>1140</v>
      </c>
      <c r="J634" s="252">
        <v>12.0</v>
      </c>
      <c r="K634" s="252">
        <v>428.0</v>
      </c>
      <c r="L634" s="252">
        <v>100.0</v>
      </c>
      <c r="M634" s="252">
        <v>21734.0</v>
      </c>
      <c r="N634" s="252">
        <v>31514.0</v>
      </c>
      <c r="O634" s="252">
        <v>2.0</v>
      </c>
      <c r="P634" s="252">
        <v>128.0</v>
      </c>
      <c r="Q634" s="252">
        <v>2501.0</v>
      </c>
      <c r="R634" s="251" t="s">
        <v>1141</v>
      </c>
      <c r="S634" s="251" t="s">
        <v>1100</v>
      </c>
      <c r="T634" s="251" t="s">
        <v>1101</v>
      </c>
      <c r="U634" s="252">
        <v>32.0</v>
      </c>
      <c r="V634" s="252">
        <v>12.0</v>
      </c>
      <c r="W634" s="252">
        <v>5.0</v>
      </c>
      <c r="X634" s="251" t="s">
        <v>1132</v>
      </c>
      <c r="Y634" s="251" t="s">
        <v>4378</v>
      </c>
      <c r="Z634" s="251" t="s">
        <v>4379</v>
      </c>
      <c r="AA634" s="254" t="s">
        <v>1105</v>
      </c>
      <c r="AB634" s="254" t="s">
        <v>1105</v>
      </c>
    </row>
    <row r="635">
      <c r="A635" s="252">
        <v>634.0</v>
      </c>
      <c r="B635" s="251" t="s">
        <v>4380</v>
      </c>
      <c r="C635" s="252">
        <v>1.0</v>
      </c>
      <c r="D635" s="251" t="s">
        <v>4381</v>
      </c>
      <c r="E635" s="251" t="s">
        <v>1306</v>
      </c>
      <c r="F635" s="251" t="s">
        <v>1129</v>
      </c>
      <c r="G635" s="253" t="s">
        <v>4382</v>
      </c>
      <c r="H635" s="252">
        <v>5.0</v>
      </c>
      <c r="I635" s="251" t="s">
        <v>1111</v>
      </c>
      <c r="J635" s="252">
        <v>8.0</v>
      </c>
      <c r="K635" s="252">
        <v>519.0</v>
      </c>
      <c r="L635" s="252">
        <v>100.0</v>
      </c>
      <c r="M635" s="252">
        <v>15024.0</v>
      </c>
      <c r="N635" s="252">
        <v>19681.0</v>
      </c>
      <c r="O635" s="252">
        <v>6.0</v>
      </c>
      <c r="P635" s="252">
        <v>32.0</v>
      </c>
      <c r="Q635" s="252">
        <v>2584.0</v>
      </c>
      <c r="R635" s="251" t="s">
        <v>1099</v>
      </c>
      <c r="S635" s="251" t="s">
        <v>1100</v>
      </c>
      <c r="T635" s="251" t="s">
        <v>1021</v>
      </c>
      <c r="U635" s="252">
        <v>16.0</v>
      </c>
      <c r="V635" s="252">
        <v>32.0</v>
      </c>
      <c r="W635" s="252">
        <v>5.2</v>
      </c>
      <c r="X635" s="251" t="s">
        <v>1102</v>
      </c>
      <c r="Y635" s="251" t="s">
        <v>4383</v>
      </c>
      <c r="Z635" s="251" t="s">
        <v>4384</v>
      </c>
      <c r="AA635" s="254" t="s">
        <v>1105</v>
      </c>
      <c r="AB635" s="254" t="s">
        <v>1105</v>
      </c>
    </row>
    <row r="636">
      <c r="A636" s="252">
        <v>635.0</v>
      </c>
      <c r="B636" s="251" t="s">
        <v>4385</v>
      </c>
      <c r="C636" s="252">
        <v>1.0</v>
      </c>
      <c r="D636" s="251" t="s">
        <v>4386</v>
      </c>
      <c r="E636" s="251" t="s">
        <v>1312</v>
      </c>
      <c r="F636" s="251" t="s">
        <v>1202</v>
      </c>
      <c r="G636" s="253" t="s">
        <v>4387</v>
      </c>
      <c r="H636" s="252">
        <v>6.0</v>
      </c>
      <c r="I636" s="251" t="s">
        <v>1140</v>
      </c>
      <c r="J636" s="252">
        <v>8.0</v>
      </c>
      <c r="K636" s="252">
        <v>993.0</v>
      </c>
      <c r="L636" s="252">
        <v>100.0</v>
      </c>
      <c r="M636" s="252">
        <v>5906.0</v>
      </c>
      <c r="N636" s="252">
        <v>8740.0</v>
      </c>
      <c r="O636" s="252">
        <v>4.0</v>
      </c>
      <c r="P636" s="252">
        <v>64.0</v>
      </c>
      <c r="Q636" s="252">
        <v>5975.0</v>
      </c>
      <c r="R636" s="251" t="s">
        <v>1099</v>
      </c>
      <c r="S636" s="251" t="s">
        <v>1100</v>
      </c>
      <c r="T636" s="251" t="s">
        <v>1123</v>
      </c>
      <c r="U636" s="252">
        <v>48.0</v>
      </c>
      <c r="V636" s="252">
        <v>48.0</v>
      </c>
      <c r="W636" s="252">
        <v>5.2</v>
      </c>
      <c r="X636" s="251" t="s">
        <v>1102</v>
      </c>
      <c r="Y636" s="251" t="s">
        <v>4388</v>
      </c>
      <c r="Z636" s="251" t="s">
        <v>4389</v>
      </c>
      <c r="AA636" s="254" t="s">
        <v>1105</v>
      </c>
      <c r="AB636" s="254" t="s">
        <v>1105</v>
      </c>
    </row>
    <row r="637">
      <c r="A637" s="252">
        <v>636.0</v>
      </c>
      <c r="B637" s="251" t="s">
        <v>4390</v>
      </c>
      <c r="C637" s="252">
        <v>1.0</v>
      </c>
      <c r="D637" s="251" t="s">
        <v>4391</v>
      </c>
      <c r="E637" s="251" t="s">
        <v>1452</v>
      </c>
      <c r="F637" s="251" t="s">
        <v>1119</v>
      </c>
      <c r="G637" s="253" t="s">
        <v>4392</v>
      </c>
      <c r="H637" s="252">
        <v>2.0</v>
      </c>
      <c r="I637" s="251" t="s">
        <v>1131</v>
      </c>
      <c r="J637" s="252">
        <v>8.0</v>
      </c>
      <c r="K637" s="252">
        <v>774.0</v>
      </c>
      <c r="L637" s="252">
        <v>80.0</v>
      </c>
      <c r="M637" s="252">
        <v>3999.0</v>
      </c>
      <c r="N637" s="252">
        <v>5598.0</v>
      </c>
      <c r="O637" s="252">
        <v>2.0</v>
      </c>
      <c r="P637" s="252">
        <v>16.0</v>
      </c>
      <c r="Q637" s="252">
        <v>3891.0</v>
      </c>
      <c r="R637" s="251" t="s">
        <v>1141</v>
      </c>
      <c r="S637" s="251" t="s">
        <v>1122</v>
      </c>
      <c r="T637" s="251" t="s">
        <v>1123</v>
      </c>
      <c r="U637" s="252">
        <v>14.0</v>
      </c>
      <c r="V637" s="252">
        <v>32.0</v>
      </c>
      <c r="W637" s="252">
        <v>6.0</v>
      </c>
      <c r="X637" s="251" t="s">
        <v>1132</v>
      </c>
      <c r="Y637" s="251" t="s">
        <v>4393</v>
      </c>
      <c r="Z637" s="251" t="s">
        <v>4394</v>
      </c>
      <c r="AA637" s="254" t="s">
        <v>1105</v>
      </c>
      <c r="AB637" s="254" t="s">
        <v>1105</v>
      </c>
    </row>
    <row r="638">
      <c r="A638" s="252">
        <v>637.0</v>
      </c>
      <c r="B638" s="251" t="s">
        <v>4395</v>
      </c>
      <c r="C638" s="252">
        <v>1.0</v>
      </c>
      <c r="D638" s="251" t="s">
        <v>4396</v>
      </c>
      <c r="E638" s="251" t="s">
        <v>1440</v>
      </c>
      <c r="F638" s="251" t="s">
        <v>1233</v>
      </c>
      <c r="G638" s="253" t="s">
        <v>4397</v>
      </c>
      <c r="H638" s="252">
        <v>3.0</v>
      </c>
      <c r="I638" s="251" t="s">
        <v>1140</v>
      </c>
      <c r="J638" s="252">
        <v>12.0</v>
      </c>
      <c r="K638" s="252">
        <v>703.0</v>
      </c>
      <c r="L638" s="252">
        <v>100.0</v>
      </c>
      <c r="M638" s="252">
        <v>9208.0</v>
      </c>
      <c r="N638" s="252">
        <v>11602.0</v>
      </c>
      <c r="O638" s="252">
        <v>12.0</v>
      </c>
      <c r="P638" s="252">
        <v>16.0</v>
      </c>
      <c r="Q638" s="252">
        <v>5555.0</v>
      </c>
      <c r="R638" s="251" t="s">
        <v>1099</v>
      </c>
      <c r="S638" s="251" t="s">
        <v>1100</v>
      </c>
      <c r="T638" s="251" t="s">
        <v>1101</v>
      </c>
      <c r="U638" s="252">
        <v>32.0</v>
      </c>
      <c r="V638" s="252">
        <v>32.0</v>
      </c>
      <c r="W638" s="252">
        <v>6.0</v>
      </c>
      <c r="X638" s="251" t="s">
        <v>1147</v>
      </c>
      <c r="Y638" s="251" t="s">
        <v>4398</v>
      </c>
      <c r="Z638" s="251" t="s">
        <v>4399</v>
      </c>
      <c r="AA638" s="254" t="s">
        <v>1105</v>
      </c>
      <c r="AB638" s="254" t="s">
        <v>1105</v>
      </c>
    </row>
    <row r="639">
      <c r="A639" s="252">
        <v>638.0</v>
      </c>
      <c r="B639" s="251" t="s">
        <v>4400</v>
      </c>
      <c r="C639" s="252">
        <v>1.0</v>
      </c>
      <c r="D639" s="251" t="s">
        <v>4401</v>
      </c>
      <c r="E639" s="251" t="s">
        <v>1347</v>
      </c>
      <c r="F639" s="251" t="s">
        <v>1129</v>
      </c>
      <c r="G639" s="253" t="s">
        <v>4402</v>
      </c>
      <c r="H639" s="252">
        <v>5.0</v>
      </c>
      <c r="I639" s="251" t="s">
        <v>1140</v>
      </c>
      <c r="J639" s="252">
        <v>8.0</v>
      </c>
      <c r="K639" s="252">
        <v>99.0</v>
      </c>
      <c r="L639" s="252">
        <v>100.0</v>
      </c>
      <c r="M639" s="252">
        <v>7658.0</v>
      </c>
      <c r="N639" s="252">
        <v>13095.0</v>
      </c>
      <c r="O639" s="252">
        <v>4.0</v>
      </c>
      <c r="P639" s="252">
        <v>64.0</v>
      </c>
      <c r="Q639" s="252">
        <v>3951.0</v>
      </c>
      <c r="R639" s="251" t="s">
        <v>1141</v>
      </c>
      <c r="S639" s="251" t="s">
        <v>1100</v>
      </c>
      <c r="T639" s="251" t="s">
        <v>1021</v>
      </c>
      <c r="U639" s="252">
        <v>14.0</v>
      </c>
      <c r="V639" s="252">
        <v>14.0</v>
      </c>
      <c r="W639" s="252">
        <v>6.3</v>
      </c>
      <c r="X639" s="251" t="s">
        <v>1132</v>
      </c>
      <c r="Y639" s="251" t="s">
        <v>4403</v>
      </c>
      <c r="Z639" s="251" t="s">
        <v>4404</v>
      </c>
      <c r="AA639" s="254" t="s">
        <v>1105</v>
      </c>
      <c r="AB639" s="254" t="s">
        <v>1105</v>
      </c>
    </row>
    <row r="640">
      <c r="A640" s="252">
        <v>639.0</v>
      </c>
      <c r="B640" s="251" t="s">
        <v>4405</v>
      </c>
      <c r="C640" s="252">
        <v>1.0</v>
      </c>
      <c r="D640" s="251" t="s">
        <v>4406</v>
      </c>
      <c r="E640" s="251" t="s">
        <v>1172</v>
      </c>
      <c r="F640" s="251" t="s">
        <v>1160</v>
      </c>
      <c r="G640" s="253" t="s">
        <v>4407</v>
      </c>
      <c r="H640" s="252">
        <v>2.0</v>
      </c>
      <c r="I640" s="251" t="s">
        <v>1111</v>
      </c>
      <c r="J640" s="252">
        <v>10.0</v>
      </c>
      <c r="K640" s="252">
        <v>21.0</v>
      </c>
      <c r="L640" s="252">
        <v>120.0</v>
      </c>
      <c r="M640" s="252">
        <v>22371.0</v>
      </c>
      <c r="N640" s="252">
        <v>29977.0</v>
      </c>
      <c r="O640" s="252">
        <v>6.0</v>
      </c>
      <c r="P640" s="252">
        <v>32.0</v>
      </c>
      <c r="Q640" s="252">
        <v>3616.0</v>
      </c>
      <c r="R640" s="251" t="s">
        <v>1112</v>
      </c>
      <c r="S640" s="251" t="s">
        <v>1122</v>
      </c>
      <c r="T640" s="251" t="s">
        <v>1101</v>
      </c>
      <c r="U640" s="252">
        <v>12.0</v>
      </c>
      <c r="V640" s="252">
        <v>16.0</v>
      </c>
      <c r="W640" s="252">
        <v>6.3</v>
      </c>
      <c r="X640" s="251" t="s">
        <v>1147</v>
      </c>
      <c r="Y640" s="251" t="s">
        <v>4408</v>
      </c>
      <c r="Z640" s="251" t="s">
        <v>4409</v>
      </c>
      <c r="AA640" s="254" t="s">
        <v>1105</v>
      </c>
      <c r="AB640" s="254" t="s">
        <v>1105</v>
      </c>
    </row>
    <row r="641">
      <c r="A641" s="252">
        <v>640.0</v>
      </c>
      <c r="B641" s="251" t="s">
        <v>4410</v>
      </c>
      <c r="C641" s="252">
        <v>1.0</v>
      </c>
      <c r="D641" s="251" t="s">
        <v>4411</v>
      </c>
      <c r="E641" s="251" t="s">
        <v>2125</v>
      </c>
      <c r="F641" s="251" t="s">
        <v>1202</v>
      </c>
      <c r="G641" s="253" t="s">
        <v>4412</v>
      </c>
      <c r="H641" s="252">
        <v>6.0</v>
      </c>
      <c r="I641" s="251" t="s">
        <v>1131</v>
      </c>
      <c r="J641" s="252">
        <v>10.0</v>
      </c>
      <c r="K641" s="252">
        <v>387.0</v>
      </c>
      <c r="L641" s="252">
        <v>120.0</v>
      </c>
      <c r="M641" s="252">
        <v>6472.0</v>
      </c>
      <c r="N641" s="252">
        <v>8154.0</v>
      </c>
      <c r="O641" s="252">
        <v>12.0</v>
      </c>
      <c r="P641" s="252">
        <v>128.0</v>
      </c>
      <c r="Q641" s="252">
        <v>4786.0</v>
      </c>
      <c r="R641" s="251" t="s">
        <v>1112</v>
      </c>
      <c r="S641" s="251" t="s">
        <v>1122</v>
      </c>
      <c r="T641" s="251" t="s">
        <v>1021</v>
      </c>
      <c r="U641" s="252">
        <v>14.0</v>
      </c>
      <c r="V641" s="252">
        <v>48.0</v>
      </c>
      <c r="W641" s="252">
        <v>4.7</v>
      </c>
      <c r="X641" s="251" t="s">
        <v>1147</v>
      </c>
      <c r="Y641" s="251" t="s">
        <v>4413</v>
      </c>
      <c r="Z641" s="251" t="s">
        <v>4414</v>
      </c>
      <c r="AA641" s="254" t="s">
        <v>1105</v>
      </c>
      <c r="AB641" s="254" t="s">
        <v>1105</v>
      </c>
    </row>
    <row r="642">
      <c r="A642" s="252">
        <v>641.0</v>
      </c>
      <c r="B642" s="251" t="s">
        <v>4415</v>
      </c>
      <c r="C642" s="252">
        <v>1.0</v>
      </c>
      <c r="D642" s="251" t="s">
        <v>4416</v>
      </c>
      <c r="E642" s="251" t="s">
        <v>1201</v>
      </c>
      <c r="F642" s="251" t="s">
        <v>1202</v>
      </c>
      <c r="G642" s="253" t="s">
        <v>4417</v>
      </c>
      <c r="H642" s="252">
        <v>3.0</v>
      </c>
      <c r="I642" s="251" t="s">
        <v>1111</v>
      </c>
      <c r="J642" s="252">
        <v>10.0</v>
      </c>
      <c r="K642" s="252">
        <v>88.0</v>
      </c>
      <c r="L642" s="252">
        <v>100.0</v>
      </c>
      <c r="M642" s="252">
        <v>12974.0</v>
      </c>
      <c r="N642" s="252">
        <v>16087.0</v>
      </c>
      <c r="O642" s="252">
        <v>12.0</v>
      </c>
      <c r="P642" s="252">
        <v>64.0</v>
      </c>
      <c r="Q642" s="252">
        <v>3399.0</v>
      </c>
      <c r="R642" s="251" t="s">
        <v>1141</v>
      </c>
      <c r="S642" s="251" t="s">
        <v>1100</v>
      </c>
      <c r="T642" s="251" t="s">
        <v>1123</v>
      </c>
      <c r="U642" s="252">
        <v>12.0</v>
      </c>
      <c r="V642" s="252">
        <v>48.0</v>
      </c>
      <c r="W642" s="252">
        <v>5.0</v>
      </c>
      <c r="X642" s="251" t="s">
        <v>1147</v>
      </c>
      <c r="Y642" s="251" t="s">
        <v>4418</v>
      </c>
      <c r="Z642" s="251" t="s">
        <v>4419</v>
      </c>
      <c r="AA642" s="254" t="s">
        <v>1105</v>
      </c>
      <c r="AB642" s="254" t="s">
        <v>1105</v>
      </c>
    </row>
    <row r="643">
      <c r="A643" s="252">
        <v>642.0</v>
      </c>
      <c r="B643" s="251" t="s">
        <v>4420</v>
      </c>
      <c r="C643" s="252">
        <v>1.0</v>
      </c>
      <c r="D643" s="251" t="s">
        <v>4421</v>
      </c>
      <c r="E643" s="251" t="s">
        <v>1639</v>
      </c>
      <c r="F643" s="251" t="s">
        <v>1129</v>
      </c>
      <c r="G643" s="253" t="s">
        <v>4422</v>
      </c>
      <c r="H643" s="252">
        <v>6.0</v>
      </c>
      <c r="I643" s="251" t="s">
        <v>1111</v>
      </c>
      <c r="J643" s="252">
        <v>12.0</v>
      </c>
      <c r="K643" s="252">
        <v>449.0</v>
      </c>
      <c r="L643" s="252">
        <v>100.0</v>
      </c>
      <c r="M643" s="252">
        <v>20328.0</v>
      </c>
      <c r="N643" s="252">
        <v>33744.0</v>
      </c>
      <c r="O643" s="252">
        <v>12.0</v>
      </c>
      <c r="P643" s="252">
        <v>512.0</v>
      </c>
      <c r="Q643" s="252">
        <v>3662.0</v>
      </c>
      <c r="R643" s="251" t="s">
        <v>1141</v>
      </c>
      <c r="S643" s="251" t="s">
        <v>1100</v>
      </c>
      <c r="T643" s="251" t="s">
        <v>1021</v>
      </c>
      <c r="U643" s="252">
        <v>48.0</v>
      </c>
      <c r="V643" s="252">
        <v>48.0</v>
      </c>
      <c r="W643" s="252">
        <v>5.5</v>
      </c>
      <c r="X643" s="251" t="s">
        <v>1132</v>
      </c>
      <c r="Y643" s="251" t="s">
        <v>4423</v>
      </c>
      <c r="Z643" s="251" t="s">
        <v>4424</v>
      </c>
      <c r="AA643" s="254" t="s">
        <v>1105</v>
      </c>
      <c r="AB643" s="254" t="s">
        <v>1105</v>
      </c>
    </row>
    <row r="644">
      <c r="A644" s="252">
        <v>643.0</v>
      </c>
      <c r="B644" s="251" t="s">
        <v>4425</v>
      </c>
      <c r="C644" s="252">
        <v>1.0</v>
      </c>
      <c r="D644" s="251" t="s">
        <v>4426</v>
      </c>
      <c r="E644" s="251" t="s">
        <v>2125</v>
      </c>
      <c r="F644" s="251" t="s">
        <v>1202</v>
      </c>
      <c r="G644" s="253" t="s">
        <v>4427</v>
      </c>
      <c r="H644" s="252">
        <v>4.0</v>
      </c>
      <c r="I644" s="251" t="s">
        <v>1140</v>
      </c>
      <c r="J644" s="252">
        <v>10.0</v>
      </c>
      <c r="K644" s="252">
        <v>658.0</v>
      </c>
      <c r="L644" s="252">
        <v>100.0</v>
      </c>
      <c r="M644" s="252">
        <v>19245.0</v>
      </c>
      <c r="N644" s="252">
        <v>34833.0</v>
      </c>
      <c r="O644" s="252">
        <v>4.0</v>
      </c>
      <c r="P644" s="252">
        <v>64.0</v>
      </c>
      <c r="Q644" s="252">
        <v>3048.0</v>
      </c>
      <c r="R644" s="251" t="s">
        <v>1112</v>
      </c>
      <c r="S644" s="251" t="s">
        <v>1122</v>
      </c>
      <c r="T644" s="251" t="s">
        <v>1021</v>
      </c>
      <c r="U644" s="252">
        <v>14.0</v>
      </c>
      <c r="V644" s="252">
        <v>12.0</v>
      </c>
      <c r="W644" s="252">
        <v>5.5</v>
      </c>
      <c r="X644" s="251" t="s">
        <v>1132</v>
      </c>
      <c r="Y644" s="251" t="s">
        <v>4428</v>
      </c>
      <c r="Z644" s="251" t="s">
        <v>4429</v>
      </c>
      <c r="AA644" s="254" t="s">
        <v>1105</v>
      </c>
      <c r="AB644" s="254" t="s">
        <v>1105</v>
      </c>
    </row>
    <row r="645">
      <c r="A645" s="252">
        <v>644.0</v>
      </c>
      <c r="B645" s="251" t="s">
        <v>4430</v>
      </c>
      <c r="C645" s="252">
        <v>1.0</v>
      </c>
      <c r="D645" s="251" t="s">
        <v>4431</v>
      </c>
      <c r="E645" s="251" t="s">
        <v>1728</v>
      </c>
      <c r="F645" s="251" t="s">
        <v>1202</v>
      </c>
      <c r="G645" s="253" t="s">
        <v>4432</v>
      </c>
      <c r="H645" s="252">
        <v>2.0</v>
      </c>
      <c r="I645" s="251" t="s">
        <v>1131</v>
      </c>
      <c r="J645" s="252">
        <v>12.0</v>
      </c>
      <c r="K645" s="252">
        <v>341.0</v>
      </c>
      <c r="L645" s="252">
        <v>100.0</v>
      </c>
      <c r="M645" s="252">
        <v>22096.0</v>
      </c>
      <c r="N645" s="252">
        <v>36458.0</v>
      </c>
      <c r="O645" s="252">
        <v>6.0</v>
      </c>
      <c r="P645" s="252">
        <v>8.0</v>
      </c>
      <c r="Q645" s="252">
        <v>6012.0</v>
      </c>
      <c r="R645" s="251" t="s">
        <v>1141</v>
      </c>
      <c r="S645" s="251" t="s">
        <v>1122</v>
      </c>
      <c r="T645" s="251" t="s">
        <v>1123</v>
      </c>
      <c r="U645" s="252">
        <v>32.0</v>
      </c>
      <c r="V645" s="252">
        <v>12.0</v>
      </c>
      <c r="W645" s="252">
        <v>5.5</v>
      </c>
      <c r="X645" s="251" t="s">
        <v>1147</v>
      </c>
      <c r="Y645" s="251" t="s">
        <v>4433</v>
      </c>
      <c r="Z645" s="251" t="s">
        <v>4434</v>
      </c>
      <c r="AA645" s="254" t="s">
        <v>1105</v>
      </c>
      <c r="AB645" s="254" t="s">
        <v>1105</v>
      </c>
    </row>
    <row r="646">
      <c r="A646" s="252">
        <v>645.0</v>
      </c>
      <c r="B646" s="251" t="s">
        <v>4435</v>
      </c>
      <c r="C646" s="252">
        <v>1.0</v>
      </c>
      <c r="D646" s="251" t="s">
        <v>4436</v>
      </c>
      <c r="E646" s="251" t="s">
        <v>2215</v>
      </c>
      <c r="F646" s="251" t="s">
        <v>1119</v>
      </c>
      <c r="G646" s="253" t="s">
        <v>4437</v>
      </c>
      <c r="H646" s="252">
        <v>4.0</v>
      </c>
      <c r="I646" s="251" t="s">
        <v>1121</v>
      </c>
      <c r="J646" s="252">
        <v>8.0</v>
      </c>
      <c r="K646" s="252">
        <v>734.0</v>
      </c>
      <c r="L646" s="252">
        <v>120.0</v>
      </c>
      <c r="M646" s="252">
        <v>16046.0</v>
      </c>
      <c r="N646" s="252">
        <v>27599.0</v>
      </c>
      <c r="O646" s="252">
        <v>4.0</v>
      </c>
      <c r="P646" s="252">
        <v>512.0</v>
      </c>
      <c r="Q646" s="252">
        <v>6157.0</v>
      </c>
      <c r="R646" s="251" t="s">
        <v>1141</v>
      </c>
      <c r="S646" s="251" t="s">
        <v>1122</v>
      </c>
      <c r="T646" s="251" t="s">
        <v>1021</v>
      </c>
      <c r="U646" s="252">
        <v>16.0</v>
      </c>
      <c r="V646" s="252">
        <v>14.0</v>
      </c>
      <c r="W646" s="252">
        <v>5.0</v>
      </c>
      <c r="X646" s="251" t="s">
        <v>1102</v>
      </c>
      <c r="Y646" s="251" t="s">
        <v>4438</v>
      </c>
      <c r="Z646" s="251" t="s">
        <v>4439</v>
      </c>
      <c r="AA646" s="254" t="s">
        <v>1105</v>
      </c>
      <c r="AB646" s="254" t="s">
        <v>1105</v>
      </c>
    </row>
    <row r="647">
      <c r="A647" s="252">
        <v>646.0</v>
      </c>
      <c r="B647" s="251" t="s">
        <v>4440</v>
      </c>
      <c r="C647" s="252">
        <v>1.0</v>
      </c>
      <c r="D647" s="251" t="s">
        <v>4441</v>
      </c>
      <c r="E647" s="251" t="s">
        <v>1678</v>
      </c>
      <c r="F647" s="251" t="s">
        <v>1138</v>
      </c>
      <c r="G647" s="253" t="s">
        <v>4442</v>
      </c>
      <c r="H647" s="252">
        <v>5.0</v>
      </c>
      <c r="I647" s="251" t="s">
        <v>1131</v>
      </c>
      <c r="J647" s="252">
        <v>12.0</v>
      </c>
      <c r="K647" s="252">
        <v>363.0</v>
      </c>
      <c r="L647" s="252">
        <v>100.0</v>
      </c>
      <c r="M647" s="252">
        <v>9841.0</v>
      </c>
      <c r="N647" s="252">
        <v>16336.0</v>
      </c>
      <c r="O647" s="252">
        <v>4.0</v>
      </c>
      <c r="P647" s="252">
        <v>512.0</v>
      </c>
      <c r="Q647" s="252">
        <v>3096.0</v>
      </c>
      <c r="R647" s="251" t="s">
        <v>1099</v>
      </c>
      <c r="S647" s="251" t="s">
        <v>1100</v>
      </c>
      <c r="T647" s="251" t="s">
        <v>1021</v>
      </c>
      <c r="U647" s="252">
        <v>32.0</v>
      </c>
      <c r="V647" s="252">
        <v>48.0</v>
      </c>
      <c r="W647" s="252">
        <v>6.0</v>
      </c>
      <c r="X647" s="251" t="s">
        <v>1113</v>
      </c>
      <c r="Y647" s="251" t="s">
        <v>4443</v>
      </c>
      <c r="Z647" s="251" t="s">
        <v>4444</v>
      </c>
      <c r="AA647" s="254" t="s">
        <v>1105</v>
      </c>
      <c r="AB647" s="254" t="s">
        <v>1105</v>
      </c>
    </row>
    <row r="648">
      <c r="A648" s="252">
        <v>647.0</v>
      </c>
      <c r="B648" s="251" t="s">
        <v>4445</v>
      </c>
      <c r="C648" s="252">
        <v>1.0</v>
      </c>
      <c r="D648" s="251" t="s">
        <v>4446</v>
      </c>
      <c r="E648" s="251" t="s">
        <v>1214</v>
      </c>
      <c r="F648" s="251" t="s">
        <v>1215</v>
      </c>
      <c r="G648" s="253" t="s">
        <v>4447</v>
      </c>
      <c r="H648" s="252">
        <v>2.0</v>
      </c>
      <c r="I648" s="251" t="s">
        <v>1111</v>
      </c>
      <c r="J648" s="252">
        <v>10.0</v>
      </c>
      <c r="K648" s="252">
        <v>858.0</v>
      </c>
      <c r="L648" s="252">
        <v>100.0</v>
      </c>
      <c r="M648" s="252">
        <v>11474.0</v>
      </c>
      <c r="N648" s="252">
        <v>16063.0</v>
      </c>
      <c r="O648" s="252">
        <v>2.0</v>
      </c>
      <c r="P648" s="252">
        <v>64.0</v>
      </c>
      <c r="Q648" s="252">
        <v>2491.0</v>
      </c>
      <c r="R648" s="251" t="s">
        <v>1099</v>
      </c>
      <c r="S648" s="251" t="s">
        <v>1100</v>
      </c>
      <c r="T648" s="251" t="s">
        <v>1101</v>
      </c>
      <c r="U648" s="252">
        <v>32.0</v>
      </c>
      <c r="V648" s="252">
        <v>32.0</v>
      </c>
      <c r="W648" s="252">
        <v>4.7</v>
      </c>
      <c r="X648" s="251" t="s">
        <v>1102</v>
      </c>
      <c r="Y648" s="251" t="s">
        <v>4448</v>
      </c>
      <c r="Z648" s="251" t="s">
        <v>4449</v>
      </c>
      <c r="AA648" s="254" t="s">
        <v>1105</v>
      </c>
      <c r="AB648" s="254" t="s">
        <v>1105</v>
      </c>
    </row>
    <row r="649">
      <c r="A649" s="252">
        <v>648.0</v>
      </c>
      <c r="B649" s="251" t="s">
        <v>4450</v>
      </c>
      <c r="C649" s="252">
        <v>1.0</v>
      </c>
      <c r="D649" s="251" t="s">
        <v>4451</v>
      </c>
      <c r="E649" s="251" t="s">
        <v>1369</v>
      </c>
      <c r="F649" s="251" t="s">
        <v>1129</v>
      </c>
      <c r="G649" s="253" t="s">
        <v>4452</v>
      </c>
      <c r="H649" s="252">
        <v>2.0</v>
      </c>
      <c r="I649" s="251" t="s">
        <v>1140</v>
      </c>
      <c r="J649" s="252">
        <v>8.0</v>
      </c>
      <c r="K649" s="252">
        <v>758.0</v>
      </c>
      <c r="L649" s="252">
        <v>120.0</v>
      </c>
      <c r="M649" s="252">
        <v>14775.0</v>
      </c>
      <c r="N649" s="252">
        <v>22310.0</v>
      </c>
      <c r="O649" s="252">
        <v>2.0</v>
      </c>
      <c r="P649" s="252">
        <v>512.0</v>
      </c>
      <c r="Q649" s="252">
        <v>4143.0</v>
      </c>
      <c r="R649" s="251" t="s">
        <v>1112</v>
      </c>
      <c r="S649" s="251" t="s">
        <v>1122</v>
      </c>
      <c r="T649" s="251" t="s">
        <v>1123</v>
      </c>
      <c r="U649" s="252">
        <v>32.0</v>
      </c>
      <c r="V649" s="252">
        <v>48.0</v>
      </c>
      <c r="W649" s="252">
        <v>4.7</v>
      </c>
      <c r="X649" s="251" t="s">
        <v>1113</v>
      </c>
      <c r="Y649" s="251" t="s">
        <v>4453</v>
      </c>
      <c r="Z649" s="251" t="s">
        <v>4454</v>
      </c>
      <c r="AA649" s="254" t="s">
        <v>1105</v>
      </c>
      <c r="AB649" s="254" t="s">
        <v>1105</v>
      </c>
    </row>
    <row r="650">
      <c r="A650" s="252">
        <v>649.0</v>
      </c>
      <c r="B650" s="251" t="s">
        <v>4455</v>
      </c>
      <c r="C650" s="252">
        <v>1.0</v>
      </c>
      <c r="D650" s="251" t="s">
        <v>4456</v>
      </c>
      <c r="E650" s="251" t="s">
        <v>1470</v>
      </c>
      <c r="F650" s="251" t="s">
        <v>1215</v>
      </c>
      <c r="G650" s="253" t="s">
        <v>4457</v>
      </c>
      <c r="H650" s="252">
        <v>3.0</v>
      </c>
      <c r="I650" s="251" t="s">
        <v>1111</v>
      </c>
      <c r="J650" s="252">
        <v>12.0</v>
      </c>
      <c r="K650" s="252">
        <v>540.0</v>
      </c>
      <c r="L650" s="252">
        <v>100.0</v>
      </c>
      <c r="M650" s="252">
        <v>12791.0</v>
      </c>
      <c r="N650" s="252">
        <v>15860.0</v>
      </c>
      <c r="O650" s="252">
        <v>8.0</v>
      </c>
      <c r="P650" s="252">
        <v>8.0</v>
      </c>
      <c r="Q650" s="252">
        <v>6126.0</v>
      </c>
      <c r="R650" s="251" t="s">
        <v>1099</v>
      </c>
      <c r="S650" s="251" t="s">
        <v>1122</v>
      </c>
      <c r="T650" s="251" t="s">
        <v>1123</v>
      </c>
      <c r="U650" s="252">
        <v>12.0</v>
      </c>
      <c r="V650" s="252">
        <v>16.0</v>
      </c>
      <c r="W650" s="252">
        <v>6.3</v>
      </c>
      <c r="X650" s="251" t="s">
        <v>1102</v>
      </c>
      <c r="Y650" s="251" t="s">
        <v>4458</v>
      </c>
      <c r="Z650" s="251" t="s">
        <v>4459</v>
      </c>
      <c r="AA650" s="254" t="s">
        <v>1105</v>
      </c>
      <c r="AB650" s="254" t="s">
        <v>1105</v>
      </c>
    </row>
    <row r="651">
      <c r="A651" s="252">
        <v>650.0</v>
      </c>
      <c r="B651" s="251" t="s">
        <v>4460</v>
      </c>
      <c r="C651" s="252">
        <v>1.0</v>
      </c>
      <c r="D651" s="251" t="s">
        <v>4461</v>
      </c>
      <c r="E651" s="251" t="s">
        <v>1470</v>
      </c>
      <c r="F651" s="251" t="s">
        <v>1215</v>
      </c>
      <c r="G651" s="253" t="s">
        <v>4462</v>
      </c>
      <c r="H651" s="252">
        <v>3.0</v>
      </c>
      <c r="I651" s="251" t="s">
        <v>1098</v>
      </c>
      <c r="J651" s="252">
        <v>10.0</v>
      </c>
      <c r="K651" s="252">
        <v>933.0</v>
      </c>
      <c r="L651" s="252">
        <v>100.0</v>
      </c>
      <c r="M651" s="252">
        <v>3512.0</v>
      </c>
      <c r="N651" s="252">
        <v>5373.0</v>
      </c>
      <c r="O651" s="252">
        <v>8.0</v>
      </c>
      <c r="P651" s="252">
        <v>8.0</v>
      </c>
      <c r="Q651" s="252">
        <v>3446.0</v>
      </c>
      <c r="R651" s="251" t="s">
        <v>1099</v>
      </c>
      <c r="S651" s="251" t="s">
        <v>1100</v>
      </c>
      <c r="T651" s="251" t="s">
        <v>1021</v>
      </c>
      <c r="U651" s="252">
        <v>32.0</v>
      </c>
      <c r="V651" s="252">
        <v>16.0</v>
      </c>
      <c r="W651" s="252">
        <v>4.7</v>
      </c>
      <c r="X651" s="251" t="s">
        <v>1132</v>
      </c>
      <c r="Y651" s="251" t="s">
        <v>4463</v>
      </c>
      <c r="Z651" s="251" t="s">
        <v>4464</v>
      </c>
      <c r="AA651" s="254" t="s">
        <v>1105</v>
      </c>
      <c r="AB651" s="254" t="s">
        <v>1105</v>
      </c>
    </row>
    <row r="652">
      <c r="A652" s="252">
        <v>651.0</v>
      </c>
      <c r="B652" s="251" t="s">
        <v>4465</v>
      </c>
      <c r="C652" s="252">
        <v>1.0</v>
      </c>
      <c r="D652" s="251" t="s">
        <v>4466</v>
      </c>
      <c r="E652" s="251" t="s">
        <v>1942</v>
      </c>
      <c r="F652" s="251" t="s">
        <v>1233</v>
      </c>
      <c r="G652" s="253" t="s">
        <v>4467</v>
      </c>
      <c r="H652" s="252">
        <v>3.0</v>
      </c>
      <c r="I652" s="251" t="s">
        <v>1111</v>
      </c>
      <c r="J652" s="252">
        <v>12.0</v>
      </c>
      <c r="K652" s="252">
        <v>399.0</v>
      </c>
      <c r="L652" s="252">
        <v>100.0</v>
      </c>
      <c r="M652" s="252">
        <v>12940.0</v>
      </c>
      <c r="N652" s="252">
        <v>18245.0</v>
      </c>
      <c r="O652" s="252">
        <v>12.0</v>
      </c>
      <c r="P652" s="252">
        <v>8.0</v>
      </c>
      <c r="Q652" s="252">
        <v>1800.0</v>
      </c>
      <c r="R652" s="251" t="s">
        <v>1141</v>
      </c>
      <c r="S652" s="251" t="s">
        <v>1100</v>
      </c>
      <c r="T652" s="251" t="s">
        <v>1123</v>
      </c>
      <c r="U652" s="252">
        <v>48.0</v>
      </c>
      <c r="V652" s="252">
        <v>48.0</v>
      </c>
      <c r="W652" s="252">
        <v>5.2</v>
      </c>
      <c r="X652" s="251" t="s">
        <v>1132</v>
      </c>
      <c r="Y652" s="251" t="s">
        <v>4468</v>
      </c>
      <c r="Z652" s="251" t="s">
        <v>4469</v>
      </c>
      <c r="AA652" s="254" t="s">
        <v>1105</v>
      </c>
      <c r="AB652" s="254" t="s">
        <v>1105</v>
      </c>
    </row>
    <row r="653">
      <c r="A653" s="252">
        <v>652.0</v>
      </c>
      <c r="B653" s="251" t="s">
        <v>4470</v>
      </c>
      <c r="C653" s="252">
        <v>1.0</v>
      </c>
      <c r="D653" s="251" t="s">
        <v>4471</v>
      </c>
      <c r="E653" s="251" t="s">
        <v>2161</v>
      </c>
      <c r="F653" s="251" t="s">
        <v>1202</v>
      </c>
      <c r="G653" s="253" t="s">
        <v>4472</v>
      </c>
      <c r="H653" s="252">
        <v>6.0</v>
      </c>
      <c r="I653" s="251" t="s">
        <v>1098</v>
      </c>
      <c r="J653" s="252">
        <v>10.0</v>
      </c>
      <c r="K653" s="252">
        <v>692.0</v>
      </c>
      <c r="L653" s="252">
        <v>120.0</v>
      </c>
      <c r="M653" s="252">
        <v>19458.0</v>
      </c>
      <c r="N653" s="252">
        <v>31716.0</v>
      </c>
      <c r="O653" s="252">
        <v>4.0</v>
      </c>
      <c r="P653" s="252">
        <v>16.0</v>
      </c>
      <c r="Q653" s="252">
        <v>5362.0</v>
      </c>
      <c r="R653" s="251" t="s">
        <v>1099</v>
      </c>
      <c r="S653" s="251" t="s">
        <v>1122</v>
      </c>
      <c r="T653" s="251" t="s">
        <v>1101</v>
      </c>
      <c r="U653" s="252">
        <v>12.0</v>
      </c>
      <c r="V653" s="252">
        <v>16.0</v>
      </c>
      <c r="W653" s="252">
        <v>6.3</v>
      </c>
      <c r="X653" s="251" t="s">
        <v>1102</v>
      </c>
      <c r="Y653" s="251" t="s">
        <v>4473</v>
      </c>
      <c r="Z653" s="251" t="s">
        <v>4474</v>
      </c>
      <c r="AA653" s="254" t="s">
        <v>1105</v>
      </c>
      <c r="AB653" s="254" t="s">
        <v>1105</v>
      </c>
    </row>
    <row r="654">
      <c r="A654" s="252">
        <v>653.0</v>
      </c>
      <c r="B654" s="251" t="s">
        <v>4475</v>
      </c>
      <c r="C654" s="252">
        <v>1.0</v>
      </c>
      <c r="D654" s="251" t="s">
        <v>4476</v>
      </c>
      <c r="E654" s="251" t="s">
        <v>1375</v>
      </c>
      <c r="F654" s="251" t="s">
        <v>1160</v>
      </c>
      <c r="G654" s="253" t="s">
        <v>4477</v>
      </c>
      <c r="H654" s="252">
        <v>6.0</v>
      </c>
      <c r="I654" s="251" t="s">
        <v>1140</v>
      </c>
      <c r="J654" s="252">
        <v>10.0</v>
      </c>
      <c r="K654" s="252">
        <v>214.0</v>
      </c>
      <c r="L654" s="252">
        <v>120.0</v>
      </c>
      <c r="M654" s="252">
        <v>5202.0</v>
      </c>
      <c r="N654" s="252">
        <v>9051.0</v>
      </c>
      <c r="O654" s="252">
        <v>8.0</v>
      </c>
      <c r="P654" s="252">
        <v>128.0</v>
      </c>
      <c r="Q654" s="252">
        <v>4179.0</v>
      </c>
      <c r="R654" s="251" t="s">
        <v>1141</v>
      </c>
      <c r="S654" s="251" t="s">
        <v>1100</v>
      </c>
      <c r="T654" s="251" t="s">
        <v>1101</v>
      </c>
      <c r="U654" s="252">
        <v>48.0</v>
      </c>
      <c r="V654" s="252">
        <v>14.0</v>
      </c>
      <c r="W654" s="252">
        <v>5.5</v>
      </c>
      <c r="X654" s="251" t="s">
        <v>1132</v>
      </c>
      <c r="Y654" s="251" t="s">
        <v>4478</v>
      </c>
      <c r="Z654" s="251" t="s">
        <v>4479</v>
      </c>
      <c r="AA654" s="254" t="s">
        <v>1105</v>
      </c>
      <c r="AB654" s="254" t="s">
        <v>1105</v>
      </c>
    </row>
    <row r="655">
      <c r="A655" s="252">
        <v>654.0</v>
      </c>
      <c r="B655" s="251" t="s">
        <v>4480</v>
      </c>
      <c r="C655" s="252">
        <v>1.0</v>
      </c>
      <c r="D655" s="251" t="s">
        <v>4481</v>
      </c>
      <c r="E655" s="251" t="s">
        <v>1650</v>
      </c>
      <c r="F655" s="251" t="s">
        <v>1160</v>
      </c>
      <c r="G655" s="253" t="s">
        <v>4482</v>
      </c>
      <c r="H655" s="252">
        <v>2.0</v>
      </c>
      <c r="I655" s="251" t="s">
        <v>1098</v>
      </c>
      <c r="J655" s="252">
        <v>10.0</v>
      </c>
      <c r="K655" s="252">
        <v>98.0</v>
      </c>
      <c r="L655" s="252">
        <v>100.0</v>
      </c>
      <c r="M655" s="252">
        <v>8643.0</v>
      </c>
      <c r="N655" s="252">
        <v>15730.0</v>
      </c>
      <c r="O655" s="252">
        <v>12.0</v>
      </c>
      <c r="P655" s="252">
        <v>512.0</v>
      </c>
      <c r="Q655" s="252">
        <v>1972.0</v>
      </c>
      <c r="R655" s="251" t="s">
        <v>1099</v>
      </c>
      <c r="S655" s="251" t="s">
        <v>1122</v>
      </c>
      <c r="T655" s="251" t="s">
        <v>1123</v>
      </c>
      <c r="U655" s="252">
        <v>16.0</v>
      </c>
      <c r="V655" s="252">
        <v>48.0</v>
      </c>
      <c r="W655" s="252">
        <v>6.3</v>
      </c>
      <c r="X655" s="251" t="s">
        <v>1113</v>
      </c>
      <c r="Y655" s="251" t="s">
        <v>4483</v>
      </c>
      <c r="Z655" s="251" t="s">
        <v>4484</v>
      </c>
      <c r="AA655" s="254" t="s">
        <v>1105</v>
      </c>
      <c r="AB655" s="254" t="s">
        <v>1105</v>
      </c>
    </row>
    <row r="656">
      <c r="A656" s="252">
        <v>655.0</v>
      </c>
      <c r="B656" s="251" t="s">
        <v>4485</v>
      </c>
      <c r="C656" s="252">
        <v>1.0</v>
      </c>
      <c r="D656" s="251" t="s">
        <v>4486</v>
      </c>
      <c r="E656" s="251" t="s">
        <v>1621</v>
      </c>
      <c r="F656" s="251" t="s">
        <v>1138</v>
      </c>
      <c r="G656" s="253" t="s">
        <v>4487</v>
      </c>
      <c r="H656" s="252">
        <v>3.0</v>
      </c>
      <c r="I656" s="251" t="s">
        <v>1111</v>
      </c>
      <c r="J656" s="252">
        <v>10.0</v>
      </c>
      <c r="K656" s="252">
        <v>420.0</v>
      </c>
      <c r="L656" s="252">
        <v>100.0</v>
      </c>
      <c r="M656" s="252">
        <v>14756.0</v>
      </c>
      <c r="N656" s="252">
        <v>18592.0</v>
      </c>
      <c r="O656" s="252">
        <v>8.0</v>
      </c>
      <c r="P656" s="252">
        <v>8.0</v>
      </c>
      <c r="Q656" s="252">
        <v>4314.0</v>
      </c>
      <c r="R656" s="251" t="s">
        <v>1112</v>
      </c>
      <c r="S656" s="251" t="s">
        <v>1100</v>
      </c>
      <c r="T656" s="251" t="s">
        <v>1123</v>
      </c>
      <c r="U656" s="252">
        <v>12.0</v>
      </c>
      <c r="V656" s="252">
        <v>32.0</v>
      </c>
      <c r="W656" s="252">
        <v>6.3</v>
      </c>
      <c r="X656" s="251" t="s">
        <v>1102</v>
      </c>
      <c r="Y656" s="251" t="s">
        <v>4488</v>
      </c>
      <c r="Z656" s="251" t="s">
        <v>4489</v>
      </c>
      <c r="AA656" s="254" t="s">
        <v>1105</v>
      </c>
      <c r="AB656" s="254" t="s">
        <v>1105</v>
      </c>
    </row>
    <row r="657">
      <c r="A657" s="252">
        <v>656.0</v>
      </c>
      <c r="B657" s="251" t="s">
        <v>4490</v>
      </c>
      <c r="C657" s="252">
        <v>1.0</v>
      </c>
      <c r="D657" s="251" t="s">
        <v>4491</v>
      </c>
      <c r="E657" s="251" t="s">
        <v>1464</v>
      </c>
      <c r="F657" s="251" t="s">
        <v>1096</v>
      </c>
      <c r="G657" s="253" t="s">
        <v>4492</v>
      </c>
      <c r="H657" s="252">
        <v>3.0</v>
      </c>
      <c r="I657" s="251" t="s">
        <v>1111</v>
      </c>
      <c r="J657" s="252">
        <v>12.0</v>
      </c>
      <c r="K657" s="252">
        <v>225.0</v>
      </c>
      <c r="L657" s="252">
        <v>100.0</v>
      </c>
      <c r="M657" s="252">
        <v>16251.0</v>
      </c>
      <c r="N657" s="252">
        <v>28439.0</v>
      </c>
      <c r="O657" s="252">
        <v>6.0</v>
      </c>
      <c r="P657" s="252">
        <v>8.0</v>
      </c>
      <c r="Q657" s="252">
        <v>3379.0</v>
      </c>
      <c r="R657" s="251" t="s">
        <v>1141</v>
      </c>
      <c r="S657" s="251" t="s">
        <v>1122</v>
      </c>
      <c r="T657" s="251" t="s">
        <v>1021</v>
      </c>
      <c r="U657" s="252">
        <v>12.0</v>
      </c>
      <c r="V657" s="252">
        <v>12.0</v>
      </c>
      <c r="W657" s="252">
        <v>6.0</v>
      </c>
      <c r="X657" s="251" t="s">
        <v>1113</v>
      </c>
      <c r="Y657" s="251" t="s">
        <v>4493</v>
      </c>
      <c r="Z657" s="251" t="s">
        <v>4494</v>
      </c>
      <c r="AA657" s="254" t="s">
        <v>1105</v>
      </c>
      <c r="AB657" s="254" t="s">
        <v>1105</v>
      </c>
    </row>
    <row r="658">
      <c r="A658" s="252">
        <v>657.0</v>
      </c>
      <c r="B658" s="251" t="s">
        <v>4495</v>
      </c>
      <c r="C658" s="252">
        <v>1.0</v>
      </c>
      <c r="D658" s="251" t="s">
        <v>4496</v>
      </c>
      <c r="E658" s="251" t="s">
        <v>1108</v>
      </c>
      <c r="F658" s="251" t="s">
        <v>1109</v>
      </c>
      <c r="G658" s="253" t="s">
        <v>4497</v>
      </c>
      <c r="H658" s="252">
        <v>6.0</v>
      </c>
      <c r="I658" s="251" t="s">
        <v>1111</v>
      </c>
      <c r="J658" s="252">
        <v>8.0</v>
      </c>
      <c r="K658" s="252">
        <v>677.0</v>
      </c>
      <c r="L658" s="252">
        <v>120.0</v>
      </c>
      <c r="M658" s="252">
        <v>21473.0</v>
      </c>
      <c r="N658" s="252">
        <v>36933.0</v>
      </c>
      <c r="O658" s="252">
        <v>6.0</v>
      </c>
      <c r="P658" s="252">
        <v>16.0</v>
      </c>
      <c r="Q658" s="252">
        <v>4211.0</v>
      </c>
      <c r="R658" s="251" t="s">
        <v>1112</v>
      </c>
      <c r="S658" s="251" t="s">
        <v>1122</v>
      </c>
      <c r="T658" s="251" t="s">
        <v>1123</v>
      </c>
      <c r="U658" s="252">
        <v>32.0</v>
      </c>
      <c r="V658" s="252">
        <v>32.0</v>
      </c>
      <c r="W658" s="252">
        <v>6.3</v>
      </c>
      <c r="X658" s="251" t="s">
        <v>1102</v>
      </c>
      <c r="Y658" s="251" t="s">
        <v>4498</v>
      </c>
      <c r="Z658" s="251" t="s">
        <v>4499</v>
      </c>
      <c r="AA658" s="254" t="s">
        <v>1105</v>
      </c>
      <c r="AB658" s="254" t="s">
        <v>1105</v>
      </c>
    </row>
    <row r="659">
      <c r="A659" s="252">
        <v>658.0</v>
      </c>
      <c r="B659" s="251" t="s">
        <v>4500</v>
      </c>
      <c r="C659" s="252">
        <v>1.0</v>
      </c>
      <c r="D659" s="251" t="s">
        <v>4501</v>
      </c>
      <c r="E659" s="251" t="s">
        <v>2209</v>
      </c>
      <c r="F659" s="251" t="s">
        <v>1096</v>
      </c>
      <c r="G659" s="253" t="s">
        <v>4502</v>
      </c>
      <c r="H659" s="252">
        <v>5.0</v>
      </c>
      <c r="I659" s="251" t="s">
        <v>1111</v>
      </c>
      <c r="J659" s="252">
        <v>10.0</v>
      </c>
      <c r="K659" s="252">
        <v>681.0</v>
      </c>
      <c r="L659" s="252">
        <v>120.0</v>
      </c>
      <c r="M659" s="252">
        <v>3816.0</v>
      </c>
      <c r="N659" s="252">
        <v>6716.0</v>
      </c>
      <c r="O659" s="252">
        <v>2.0</v>
      </c>
      <c r="P659" s="252">
        <v>8.0</v>
      </c>
      <c r="Q659" s="252">
        <v>2676.0</v>
      </c>
      <c r="R659" s="251" t="s">
        <v>1141</v>
      </c>
      <c r="S659" s="251" t="s">
        <v>1100</v>
      </c>
      <c r="T659" s="251" t="s">
        <v>1021</v>
      </c>
      <c r="U659" s="252">
        <v>32.0</v>
      </c>
      <c r="V659" s="252">
        <v>16.0</v>
      </c>
      <c r="W659" s="252">
        <v>6.3</v>
      </c>
      <c r="X659" s="251" t="s">
        <v>1147</v>
      </c>
      <c r="Y659" s="251" t="s">
        <v>4503</v>
      </c>
      <c r="Z659" s="251" t="s">
        <v>4504</v>
      </c>
      <c r="AA659" s="254" t="s">
        <v>1105</v>
      </c>
      <c r="AB659" s="254" t="s">
        <v>1105</v>
      </c>
    </row>
    <row r="660">
      <c r="A660" s="252">
        <v>659.0</v>
      </c>
      <c r="B660" s="251" t="s">
        <v>4505</v>
      </c>
      <c r="C660" s="252">
        <v>1.0</v>
      </c>
      <c r="D660" s="251" t="s">
        <v>4506</v>
      </c>
      <c r="E660" s="251" t="s">
        <v>1283</v>
      </c>
      <c r="F660" s="251" t="s">
        <v>1096</v>
      </c>
      <c r="G660" s="253" t="s">
        <v>4507</v>
      </c>
      <c r="H660" s="252">
        <v>5.0</v>
      </c>
      <c r="I660" s="251" t="s">
        <v>1098</v>
      </c>
      <c r="J660" s="252">
        <v>12.0</v>
      </c>
      <c r="K660" s="252">
        <v>836.0</v>
      </c>
      <c r="L660" s="252">
        <v>80.0</v>
      </c>
      <c r="M660" s="252">
        <v>8162.0</v>
      </c>
      <c r="N660" s="252">
        <v>14609.0</v>
      </c>
      <c r="O660" s="252">
        <v>4.0</v>
      </c>
      <c r="P660" s="252">
        <v>16.0</v>
      </c>
      <c r="Q660" s="252">
        <v>5096.0</v>
      </c>
      <c r="R660" s="251" t="s">
        <v>1141</v>
      </c>
      <c r="S660" s="251" t="s">
        <v>1100</v>
      </c>
      <c r="T660" s="251" t="s">
        <v>1021</v>
      </c>
      <c r="U660" s="252">
        <v>12.0</v>
      </c>
      <c r="V660" s="252">
        <v>12.0</v>
      </c>
      <c r="W660" s="252">
        <v>5.0</v>
      </c>
      <c r="X660" s="251" t="s">
        <v>1102</v>
      </c>
      <c r="Y660" s="251" t="s">
        <v>4508</v>
      </c>
      <c r="Z660" s="251" t="s">
        <v>4509</v>
      </c>
      <c r="AA660" s="254" t="s">
        <v>1105</v>
      </c>
      <c r="AB660" s="254" t="s">
        <v>1105</v>
      </c>
    </row>
    <row r="661">
      <c r="A661" s="252">
        <v>660.0</v>
      </c>
      <c r="B661" s="251" t="s">
        <v>4510</v>
      </c>
      <c r="C661" s="252">
        <v>1.0</v>
      </c>
      <c r="D661" s="251" t="s">
        <v>4511</v>
      </c>
      <c r="E661" s="251" t="s">
        <v>1598</v>
      </c>
      <c r="F661" s="251" t="s">
        <v>1153</v>
      </c>
      <c r="G661" s="253" t="s">
        <v>4512</v>
      </c>
      <c r="H661" s="252">
        <v>5.0</v>
      </c>
      <c r="I661" s="251" t="s">
        <v>1140</v>
      </c>
      <c r="J661" s="252">
        <v>12.0</v>
      </c>
      <c r="K661" s="252">
        <v>204.0</v>
      </c>
      <c r="L661" s="252">
        <v>120.0</v>
      </c>
      <c r="M661" s="252">
        <v>8130.0</v>
      </c>
      <c r="N661" s="252">
        <v>10894.0</v>
      </c>
      <c r="O661" s="252">
        <v>6.0</v>
      </c>
      <c r="P661" s="252">
        <v>512.0</v>
      </c>
      <c r="Q661" s="252">
        <v>2203.0</v>
      </c>
      <c r="R661" s="251" t="s">
        <v>1099</v>
      </c>
      <c r="S661" s="251" t="s">
        <v>1122</v>
      </c>
      <c r="T661" s="251" t="s">
        <v>1123</v>
      </c>
      <c r="U661" s="252">
        <v>16.0</v>
      </c>
      <c r="V661" s="252">
        <v>48.0</v>
      </c>
      <c r="W661" s="252">
        <v>6.3</v>
      </c>
      <c r="X661" s="251" t="s">
        <v>1147</v>
      </c>
      <c r="Y661" s="251" t="s">
        <v>4513</v>
      </c>
      <c r="Z661" s="251" t="s">
        <v>4514</v>
      </c>
      <c r="AA661" s="254" t="s">
        <v>1105</v>
      </c>
      <c r="AB661" s="254" t="s">
        <v>1105</v>
      </c>
    </row>
    <row r="662">
      <c r="A662" s="252">
        <v>661.0</v>
      </c>
      <c r="B662" s="251" t="s">
        <v>4515</v>
      </c>
      <c r="C662" s="252">
        <v>1.0</v>
      </c>
      <c r="D662" s="251" t="s">
        <v>4516</v>
      </c>
      <c r="E662" s="251" t="s">
        <v>1250</v>
      </c>
      <c r="F662" s="251" t="s">
        <v>1153</v>
      </c>
      <c r="G662" s="253" t="s">
        <v>4517</v>
      </c>
      <c r="H662" s="252">
        <v>3.0</v>
      </c>
      <c r="I662" s="251" t="s">
        <v>1121</v>
      </c>
      <c r="J662" s="252">
        <v>8.0</v>
      </c>
      <c r="K662" s="252">
        <v>844.0</v>
      </c>
      <c r="L662" s="252">
        <v>120.0</v>
      </c>
      <c r="M662" s="252">
        <v>17677.0</v>
      </c>
      <c r="N662" s="252">
        <v>29343.0</v>
      </c>
      <c r="O662" s="252">
        <v>2.0</v>
      </c>
      <c r="P662" s="252">
        <v>8.0</v>
      </c>
      <c r="Q662" s="252">
        <v>3515.0</v>
      </c>
      <c r="R662" s="251" t="s">
        <v>1112</v>
      </c>
      <c r="S662" s="251" t="s">
        <v>1100</v>
      </c>
      <c r="T662" s="251" t="s">
        <v>1123</v>
      </c>
      <c r="U662" s="252">
        <v>32.0</v>
      </c>
      <c r="V662" s="252">
        <v>32.0</v>
      </c>
      <c r="W662" s="252">
        <v>5.5</v>
      </c>
      <c r="X662" s="251" t="s">
        <v>1113</v>
      </c>
      <c r="Y662" s="251" t="s">
        <v>4518</v>
      </c>
      <c r="Z662" s="251" t="s">
        <v>4519</v>
      </c>
      <c r="AA662" s="254" t="s">
        <v>1105</v>
      </c>
      <c r="AB662" s="254" t="s">
        <v>1105</v>
      </c>
    </row>
    <row r="663">
      <c r="A663" s="252">
        <v>662.0</v>
      </c>
      <c r="B663" s="251" t="s">
        <v>4520</v>
      </c>
      <c r="C663" s="252">
        <v>1.0</v>
      </c>
      <c r="D663" s="251" t="s">
        <v>4521</v>
      </c>
      <c r="E663" s="251" t="s">
        <v>1189</v>
      </c>
      <c r="F663" s="251" t="s">
        <v>1096</v>
      </c>
      <c r="G663" s="253" t="s">
        <v>4522</v>
      </c>
      <c r="H663" s="252">
        <v>4.0</v>
      </c>
      <c r="I663" s="251" t="s">
        <v>1098</v>
      </c>
      <c r="J663" s="252">
        <v>10.0</v>
      </c>
      <c r="K663" s="252">
        <v>397.0</v>
      </c>
      <c r="L663" s="252">
        <v>80.0</v>
      </c>
      <c r="M663" s="252">
        <v>22315.0</v>
      </c>
      <c r="N663" s="252">
        <v>41059.0</v>
      </c>
      <c r="O663" s="252">
        <v>12.0</v>
      </c>
      <c r="P663" s="252">
        <v>16.0</v>
      </c>
      <c r="Q663" s="252">
        <v>4663.0</v>
      </c>
      <c r="R663" s="251" t="s">
        <v>1099</v>
      </c>
      <c r="S663" s="251" t="s">
        <v>1122</v>
      </c>
      <c r="T663" s="251" t="s">
        <v>1123</v>
      </c>
      <c r="U663" s="252">
        <v>16.0</v>
      </c>
      <c r="V663" s="252">
        <v>14.0</v>
      </c>
      <c r="W663" s="252">
        <v>5.0</v>
      </c>
      <c r="X663" s="251" t="s">
        <v>1102</v>
      </c>
      <c r="Y663" s="251" t="s">
        <v>4523</v>
      </c>
      <c r="Z663" s="251" t="s">
        <v>4524</v>
      </c>
      <c r="AA663" s="254" t="s">
        <v>1105</v>
      </c>
      <c r="AB663" s="254" t="s">
        <v>1105</v>
      </c>
    </row>
    <row r="664">
      <c r="A664" s="252">
        <v>663.0</v>
      </c>
      <c r="B664" s="251" t="s">
        <v>4525</v>
      </c>
      <c r="C664" s="252">
        <v>1.0</v>
      </c>
      <c r="D664" s="251" t="s">
        <v>4526</v>
      </c>
      <c r="E664" s="251" t="s">
        <v>1905</v>
      </c>
      <c r="F664" s="251" t="s">
        <v>1096</v>
      </c>
      <c r="G664" s="253" t="s">
        <v>4527</v>
      </c>
      <c r="H664" s="252">
        <v>6.0</v>
      </c>
      <c r="I664" s="251" t="s">
        <v>1098</v>
      </c>
      <c r="J664" s="252">
        <v>10.0</v>
      </c>
      <c r="K664" s="252">
        <v>102.0</v>
      </c>
      <c r="L664" s="252">
        <v>120.0</v>
      </c>
      <c r="M664" s="252">
        <v>3709.0</v>
      </c>
      <c r="N664" s="252">
        <v>6676.0</v>
      </c>
      <c r="O664" s="252">
        <v>6.0</v>
      </c>
      <c r="P664" s="252">
        <v>32.0</v>
      </c>
      <c r="Q664" s="252">
        <v>6121.0</v>
      </c>
      <c r="R664" s="251" t="s">
        <v>1099</v>
      </c>
      <c r="S664" s="251" t="s">
        <v>1100</v>
      </c>
      <c r="T664" s="251" t="s">
        <v>1021</v>
      </c>
      <c r="U664" s="252">
        <v>14.0</v>
      </c>
      <c r="V664" s="252">
        <v>12.0</v>
      </c>
      <c r="W664" s="252">
        <v>6.3</v>
      </c>
      <c r="X664" s="251" t="s">
        <v>1147</v>
      </c>
      <c r="Y664" s="251" t="s">
        <v>4528</v>
      </c>
      <c r="Z664" s="251" t="s">
        <v>4529</v>
      </c>
      <c r="AA664" s="254" t="s">
        <v>1105</v>
      </c>
      <c r="AB664" s="254" t="s">
        <v>1105</v>
      </c>
    </row>
    <row r="665">
      <c r="A665" s="252">
        <v>664.0</v>
      </c>
      <c r="B665" s="251" t="s">
        <v>4530</v>
      </c>
      <c r="C665" s="252">
        <v>1.0</v>
      </c>
      <c r="D665" s="251" t="s">
        <v>4531</v>
      </c>
      <c r="E665" s="251" t="s">
        <v>1486</v>
      </c>
      <c r="F665" s="251" t="s">
        <v>1109</v>
      </c>
      <c r="G665" s="253" t="s">
        <v>4532</v>
      </c>
      <c r="H665" s="252">
        <v>5.0</v>
      </c>
      <c r="I665" s="251" t="s">
        <v>1121</v>
      </c>
      <c r="J665" s="252">
        <v>12.0</v>
      </c>
      <c r="K665" s="252">
        <v>19.0</v>
      </c>
      <c r="L665" s="252">
        <v>80.0</v>
      </c>
      <c r="M665" s="252">
        <v>21271.0</v>
      </c>
      <c r="N665" s="252">
        <v>33608.0</v>
      </c>
      <c r="O665" s="252">
        <v>8.0</v>
      </c>
      <c r="P665" s="252">
        <v>128.0</v>
      </c>
      <c r="Q665" s="252">
        <v>4087.0</v>
      </c>
      <c r="R665" s="251" t="s">
        <v>1112</v>
      </c>
      <c r="S665" s="251" t="s">
        <v>1100</v>
      </c>
      <c r="T665" s="251" t="s">
        <v>1123</v>
      </c>
      <c r="U665" s="252">
        <v>32.0</v>
      </c>
      <c r="V665" s="252">
        <v>12.0</v>
      </c>
      <c r="W665" s="252">
        <v>6.0</v>
      </c>
      <c r="X665" s="251" t="s">
        <v>1113</v>
      </c>
      <c r="Y665" s="251" t="s">
        <v>4533</v>
      </c>
      <c r="Z665" s="251" t="s">
        <v>4534</v>
      </c>
      <c r="AA665" s="254" t="s">
        <v>1105</v>
      </c>
      <c r="AB665" s="254" t="s">
        <v>1105</v>
      </c>
    </row>
    <row r="666">
      <c r="A666" s="252">
        <v>665.0</v>
      </c>
      <c r="B666" s="251" t="s">
        <v>4535</v>
      </c>
      <c r="C666" s="252">
        <v>1.0</v>
      </c>
      <c r="D666" s="251" t="s">
        <v>4536</v>
      </c>
      <c r="E666" s="251" t="s">
        <v>1836</v>
      </c>
      <c r="F666" s="251" t="s">
        <v>1233</v>
      </c>
      <c r="G666" s="253" t="s">
        <v>3035</v>
      </c>
      <c r="H666" s="252">
        <v>3.0</v>
      </c>
      <c r="I666" s="251" t="s">
        <v>1131</v>
      </c>
      <c r="J666" s="252">
        <v>12.0</v>
      </c>
      <c r="K666" s="252">
        <v>300.0</v>
      </c>
      <c r="L666" s="252">
        <v>100.0</v>
      </c>
      <c r="M666" s="252">
        <v>21023.0</v>
      </c>
      <c r="N666" s="252">
        <v>38892.0</v>
      </c>
      <c r="O666" s="252">
        <v>4.0</v>
      </c>
      <c r="P666" s="252">
        <v>8.0</v>
      </c>
      <c r="Q666" s="252">
        <v>3728.0</v>
      </c>
      <c r="R666" s="251" t="s">
        <v>1141</v>
      </c>
      <c r="S666" s="251" t="s">
        <v>1122</v>
      </c>
      <c r="T666" s="251" t="s">
        <v>1123</v>
      </c>
      <c r="U666" s="252">
        <v>12.0</v>
      </c>
      <c r="V666" s="252">
        <v>48.0</v>
      </c>
      <c r="W666" s="252">
        <v>5.5</v>
      </c>
      <c r="X666" s="251" t="s">
        <v>1102</v>
      </c>
      <c r="Y666" s="251" t="s">
        <v>4537</v>
      </c>
      <c r="Z666" s="251" t="s">
        <v>4538</v>
      </c>
      <c r="AA666" s="254" t="s">
        <v>1105</v>
      </c>
      <c r="AB666" s="254" t="s">
        <v>1105</v>
      </c>
    </row>
    <row r="667">
      <c r="A667" s="252">
        <v>666.0</v>
      </c>
      <c r="B667" s="251" t="s">
        <v>4539</v>
      </c>
      <c r="C667" s="252">
        <v>1.0</v>
      </c>
      <c r="D667" s="251" t="s">
        <v>4540</v>
      </c>
      <c r="E667" s="251" t="s">
        <v>1874</v>
      </c>
      <c r="F667" s="251" t="s">
        <v>1202</v>
      </c>
      <c r="G667" s="253" t="s">
        <v>4541</v>
      </c>
      <c r="H667" s="252">
        <v>3.0</v>
      </c>
      <c r="I667" s="251" t="s">
        <v>1111</v>
      </c>
      <c r="J667" s="252">
        <v>10.0</v>
      </c>
      <c r="K667" s="252">
        <v>740.0</v>
      </c>
      <c r="L667" s="252">
        <v>80.0</v>
      </c>
      <c r="M667" s="252">
        <v>5809.0</v>
      </c>
      <c r="N667" s="252">
        <v>8597.0</v>
      </c>
      <c r="O667" s="252">
        <v>2.0</v>
      </c>
      <c r="P667" s="252">
        <v>16.0</v>
      </c>
      <c r="Q667" s="252">
        <v>3165.0</v>
      </c>
      <c r="R667" s="251" t="s">
        <v>1112</v>
      </c>
      <c r="S667" s="251" t="s">
        <v>1100</v>
      </c>
      <c r="T667" s="251" t="s">
        <v>1101</v>
      </c>
      <c r="U667" s="252">
        <v>12.0</v>
      </c>
      <c r="V667" s="252">
        <v>32.0</v>
      </c>
      <c r="W667" s="252">
        <v>6.3</v>
      </c>
      <c r="X667" s="251" t="s">
        <v>1113</v>
      </c>
      <c r="Y667" s="251" t="s">
        <v>4542</v>
      </c>
      <c r="Z667" s="251" t="s">
        <v>4543</v>
      </c>
      <c r="AA667" s="254" t="s">
        <v>1105</v>
      </c>
      <c r="AB667" s="254" t="s">
        <v>1105</v>
      </c>
    </row>
    <row r="668">
      <c r="A668" s="252">
        <v>667.0</v>
      </c>
      <c r="B668" s="251" t="s">
        <v>4544</v>
      </c>
      <c r="C668" s="252">
        <v>1.0</v>
      </c>
      <c r="D668" s="251" t="s">
        <v>4545</v>
      </c>
      <c r="E668" s="251" t="s">
        <v>1936</v>
      </c>
      <c r="F668" s="251" t="s">
        <v>1129</v>
      </c>
      <c r="G668" s="253" t="s">
        <v>4546</v>
      </c>
      <c r="H668" s="252">
        <v>4.0</v>
      </c>
      <c r="I668" s="251" t="s">
        <v>1098</v>
      </c>
      <c r="J668" s="252">
        <v>8.0</v>
      </c>
      <c r="K668" s="252">
        <v>684.0</v>
      </c>
      <c r="L668" s="252">
        <v>80.0</v>
      </c>
      <c r="M668" s="252">
        <v>21125.0</v>
      </c>
      <c r="N668" s="252">
        <v>38658.0</v>
      </c>
      <c r="O668" s="252">
        <v>2.0</v>
      </c>
      <c r="P668" s="252">
        <v>64.0</v>
      </c>
      <c r="Q668" s="252">
        <v>3899.0</v>
      </c>
      <c r="R668" s="251" t="s">
        <v>1099</v>
      </c>
      <c r="S668" s="251" t="s">
        <v>1100</v>
      </c>
      <c r="T668" s="251" t="s">
        <v>1021</v>
      </c>
      <c r="U668" s="252">
        <v>12.0</v>
      </c>
      <c r="V668" s="252">
        <v>12.0</v>
      </c>
      <c r="W668" s="252">
        <v>4.7</v>
      </c>
      <c r="X668" s="251" t="s">
        <v>1132</v>
      </c>
      <c r="Y668" s="251" t="s">
        <v>4547</v>
      </c>
      <c r="Z668" s="251" t="s">
        <v>4548</v>
      </c>
      <c r="AA668" s="254" t="s">
        <v>1105</v>
      </c>
      <c r="AB668" s="254" t="s">
        <v>1105</v>
      </c>
    </row>
    <row r="669">
      <c r="A669" s="252">
        <v>668.0</v>
      </c>
      <c r="B669" s="251" t="s">
        <v>4549</v>
      </c>
      <c r="C669" s="252">
        <v>1.0</v>
      </c>
      <c r="D669" s="251" t="s">
        <v>4550</v>
      </c>
      <c r="E669" s="251" t="s">
        <v>2327</v>
      </c>
      <c r="F669" s="251" t="s">
        <v>1215</v>
      </c>
      <c r="G669" s="253" t="s">
        <v>4551</v>
      </c>
      <c r="H669" s="252">
        <v>6.0</v>
      </c>
      <c r="I669" s="251" t="s">
        <v>1098</v>
      </c>
      <c r="J669" s="252">
        <v>12.0</v>
      </c>
      <c r="K669" s="252">
        <v>870.0</v>
      </c>
      <c r="L669" s="252">
        <v>100.0</v>
      </c>
      <c r="M669" s="252">
        <v>5033.0</v>
      </c>
      <c r="N669" s="252">
        <v>8354.0</v>
      </c>
      <c r="O669" s="252">
        <v>12.0</v>
      </c>
      <c r="P669" s="252">
        <v>64.0</v>
      </c>
      <c r="Q669" s="252">
        <v>6067.0</v>
      </c>
      <c r="R669" s="251" t="s">
        <v>1099</v>
      </c>
      <c r="S669" s="251" t="s">
        <v>1122</v>
      </c>
      <c r="T669" s="251" t="s">
        <v>1021</v>
      </c>
      <c r="U669" s="252">
        <v>14.0</v>
      </c>
      <c r="V669" s="252">
        <v>12.0</v>
      </c>
      <c r="W669" s="252">
        <v>6.3</v>
      </c>
      <c r="X669" s="251" t="s">
        <v>1147</v>
      </c>
      <c r="Y669" s="251" t="s">
        <v>4552</v>
      </c>
      <c r="Z669" s="251" t="s">
        <v>4553</v>
      </c>
      <c r="AA669" s="254" t="s">
        <v>1105</v>
      </c>
      <c r="AB669" s="254" t="s">
        <v>1105</v>
      </c>
    </row>
    <row r="670">
      <c r="A670" s="252">
        <v>669.0</v>
      </c>
      <c r="B670" s="251" t="s">
        <v>4554</v>
      </c>
      <c r="C670" s="252">
        <v>1.0</v>
      </c>
      <c r="D670" s="251" t="s">
        <v>4555</v>
      </c>
      <c r="E670" s="251" t="s">
        <v>1842</v>
      </c>
      <c r="F670" s="251" t="s">
        <v>1160</v>
      </c>
      <c r="G670" s="253" t="s">
        <v>4556</v>
      </c>
      <c r="H670" s="252">
        <v>3.0</v>
      </c>
      <c r="I670" s="251" t="s">
        <v>1140</v>
      </c>
      <c r="J670" s="252">
        <v>10.0</v>
      </c>
      <c r="K670" s="252">
        <v>292.0</v>
      </c>
      <c r="L670" s="252">
        <v>120.0</v>
      </c>
      <c r="M670" s="252">
        <v>9426.0</v>
      </c>
      <c r="N670" s="252">
        <v>15741.0</v>
      </c>
      <c r="O670" s="252">
        <v>2.0</v>
      </c>
      <c r="P670" s="252">
        <v>16.0</v>
      </c>
      <c r="Q670" s="252">
        <v>3849.0</v>
      </c>
      <c r="R670" s="251" t="s">
        <v>1141</v>
      </c>
      <c r="S670" s="251" t="s">
        <v>1100</v>
      </c>
      <c r="T670" s="251" t="s">
        <v>1123</v>
      </c>
      <c r="U670" s="252">
        <v>16.0</v>
      </c>
      <c r="V670" s="252">
        <v>16.0</v>
      </c>
      <c r="W670" s="252">
        <v>6.0</v>
      </c>
      <c r="X670" s="251" t="s">
        <v>1132</v>
      </c>
      <c r="Y670" s="251" t="s">
        <v>4557</v>
      </c>
      <c r="Z670" s="251" t="s">
        <v>4558</v>
      </c>
      <c r="AA670" s="254" t="s">
        <v>1105</v>
      </c>
      <c r="AB670" s="254" t="s">
        <v>1105</v>
      </c>
    </row>
    <row r="671">
      <c r="A671" s="252">
        <v>670.0</v>
      </c>
      <c r="B671" s="251" t="s">
        <v>4559</v>
      </c>
      <c r="C671" s="252">
        <v>1.0</v>
      </c>
      <c r="D671" s="251" t="s">
        <v>4560</v>
      </c>
      <c r="E671" s="251" t="s">
        <v>1587</v>
      </c>
      <c r="F671" s="251" t="s">
        <v>1119</v>
      </c>
      <c r="G671" s="253" t="s">
        <v>4561</v>
      </c>
      <c r="H671" s="252">
        <v>5.0</v>
      </c>
      <c r="I671" s="251" t="s">
        <v>1111</v>
      </c>
      <c r="J671" s="252">
        <v>10.0</v>
      </c>
      <c r="K671" s="252">
        <v>509.0</v>
      </c>
      <c r="L671" s="252">
        <v>80.0</v>
      </c>
      <c r="M671" s="252">
        <v>3072.0</v>
      </c>
      <c r="N671" s="252">
        <v>4116.0</v>
      </c>
      <c r="O671" s="252">
        <v>2.0</v>
      </c>
      <c r="P671" s="252">
        <v>16.0</v>
      </c>
      <c r="Q671" s="252">
        <v>6443.0</v>
      </c>
      <c r="R671" s="251" t="s">
        <v>1112</v>
      </c>
      <c r="S671" s="251" t="s">
        <v>1122</v>
      </c>
      <c r="T671" s="251" t="s">
        <v>1101</v>
      </c>
      <c r="U671" s="252">
        <v>16.0</v>
      </c>
      <c r="V671" s="252">
        <v>32.0</v>
      </c>
      <c r="W671" s="252">
        <v>5.5</v>
      </c>
      <c r="X671" s="251" t="s">
        <v>1147</v>
      </c>
      <c r="Y671" s="251" t="s">
        <v>4562</v>
      </c>
      <c r="Z671" s="251" t="s">
        <v>4563</v>
      </c>
      <c r="AA671" s="254" t="s">
        <v>1105</v>
      </c>
      <c r="AB671" s="254" t="s">
        <v>1105</v>
      </c>
    </row>
    <row r="672">
      <c r="A672" s="252">
        <v>671.0</v>
      </c>
      <c r="B672" s="251" t="s">
        <v>4564</v>
      </c>
      <c r="C672" s="252">
        <v>1.0</v>
      </c>
      <c r="D672" s="251" t="s">
        <v>4565</v>
      </c>
      <c r="E672" s="251" t="s">
        <v>1329</v>
      </c>
      <c r="F672" s="251" t="s">
        <v>1109</v>
      </c>
      <c r="G672" s="253" t="s">
        <v>4566</v>
      </c>
      <c r="H672" s="252">
        <v>6.0</v>
      </c>
      <c r="I672" s="251" t="s">
        <v>1111</v>
      </c>
      <c r="J672" s="252">
        <v>10.0</v>
      </c>
      <c r="K672" s="252">
        <v>225.0</v>
      </c>
      <c r="L672" s="252">
        <v>120.0</v>
      </c>
      <c r="M672" s="252">
        <v>16637.0</v>
      </c>
      <c r="N672" s="252">
        <v>20629.0</v>
      </c>
      <c r="O672" s="252">
        <v>12.0</v>
      </c>
      <c r="P672" s="252">
        <v>64.0</v>
      </c>
      <c r="Q672" s="252">
        <v>2808.0</v>
      </c>
      <c r="R672" s="251" t="s">
        <v>1141</v>
      </c>
      <c r="S672" s="251" t="s">
        <v>1100</v>
      </c>
      <c r="T672" s="251" t="s">
        <v>1123</v>
      </c>
      <c r="U672" s="252">
        <v>12.0</v>
      </c>
      <c r="V672" s="252">
        <v>12.0</v>
      </c>
      <c r="W672" s="252">
        <v>5.0</v>
      </c>
      <c r="X672" s="251" t="s">
        <v>1113</v>
      </c>
      <c r="Y672" s="251" t="s">
        <v>4567</v>
      </c>
      <c r="Z672" s="251" t="s">
        <v>4568</v>
      </c>
      <c r="AA672" s="254" t="s">
        <v>1105</v>
      </c>
      <c r="AB672" s="254" t="s">
        <v>1105</v>
      </c>
    </row>
    <row r="673">
      <c r="A673" s="252">
        <v>672.0</v>
      </c>
      <c r="B673" s="251" t="s">
        <v>4569</v>
      </c>
      <c r="C673" s="252">
        <v>1.0</v>
      </c>
      <c r="D673" s="251" t="s">
        <v>4570</v>
      </c>
      <c r="E673" s="251" t="s">
        <v>1639</v>
      </c>
      <c r="F673" s="251" t="s">
        <v>1129</v>
      </c>
      <c r="G673" s="253" t="s">
        <v>4571</v>
      </c>
      <c r="H673" s="252">
        <v>4.0</v>
      </c>
      <c r="I673" s="251" t="s">
        <v>1131</v>
      </c>
      <c r="J673" s="252">
        <v>12.0</v>
      </c>
      <c r="K673" s="252">
        <v>890.0</v>
      </c>
      <c r="L673" s="252">
        <v>100.0</v>
      </c>
      <c r="M673" s="252">
        <v>15636.0</v>
      </c>
      <c r="N673" s="252">
        <v>21734.0</v>
      </c>
      <c r="O673" s="252">
        <v>12.0</v>
      </c>
      <c r="P673" s="252">
        <v>128.0</v>
      </c>
      <c r="Q673" s="252">
        <v>5363.0</v>
      </c>
      <c r="R673" s="251" t="s">
        <v>1112</v>
      </c>
      <c r="S673" s="251" t="s">
        <v>1100</v>
      </c>
      <c r="T673" s="251" t="s">
        <v>1021</v>
      </c>
      <c r="U673" s="252">
        <v>12.0</v>
      </c>
      <c r="V673" s="252">
        <v>48.0</v>
      </c>
      <c r="W673" s="252">
        <v>5.5</v>
      </c>
      <c r="X673" s="251" t="s">
        <v>1113</v>
      </c>
      <c r="Y673" s="251" t="s">
        <v>4572</v>
      </c>
      <c r="Z673" s="251" t="s">
        <v>4573</v>
      </c>
      <c r="AA673" s="254" t="s">
        <v>1105</v>
      </c>
      <c r="AB673" s="254" t="s">
        <v>1105</v>
      </c>
    </row>
    <row r="674">
      <c r="A674" s="252">
        <v>673.0</v>
      </c>
      <c r="B674" s="251" t="s">
        <v>4574</v>
      </c>
      <c r="C674" s="252">
        <v>1.0</v>
      </c>
      <c r="D674" s="251" t="s">
        <v>4575</v>
      </c>
      <c r="E674" s="251" t="s">
        <v>1387</v>
      </c>
      <c r="F674" s="251" t="s">
        <v>1160</v>
      </c>
      <c r="G674" s="253" t="s">
        <v>4576</v>
      </c>
      <c r="H674" s="252">
        <v>3.0</v>
      </c>
      <c r="I674" s="251" t="s">
        <v>1111</v>
      </c>
      <c r="J674" s="252">
        <v>10.0</v>
      </c>
      <c r="K674" s="252">
        <v>357.0</v>
      </c>
      <c r="L674" s="252">
        <v>100.0</v>
      </c>
      <c r="M674" s="252">
        <v>10136.0</v>
      </c>
      <c r="N674" s="252">
        <v>18650.0</v>
      </c>
      <c r="O674" s="252">
        <v>4.0</v>
      </c>
      <c r="P674" s="252">
        <v>128.0</v>
      </c>
      <c r="Q674" s="252">
        <v>5850.0</v>
      </c>
      <c r="R674" s="251" t="s">
        <v>1112</v>
      </c>
      <c r="S674" s="251" t="s">
        <v>1122</v>
      </c>
      <c r="T674" s="251" t="s">
        <v>1101</v>
      </c>
      <c r="U674" s="252">
        <v>32.0</v>
      </c>
      <c r="V674" s="252">
        <v>14.0</v>
      </c>
      <c r="W674" s="252">
        <v>6.0</v>
      </c>
      <c r="X674" s="251" t="s">
        <v>1147</v>
      </c>
      <c r="Y674" s="251" t="s">
        <v>4577</v>
      </c>
      <c r="Z674" s="251" t="s">
        <v>4578</v>
      </c>
      <c r="AA674" s="254" t="s">
        <v>1105</v>
      </c>
      <c r="AB674" s="254" t="s">
        <v>1105</v>
      </c>
    </row>
    <row r="675">
      <c r="A675" s="252">
        <v>674.0</v>
      </c>
      <c r="B675" s="251" t="s">
        <v>4579</v>
      </c>
      <c r="C675" s="252">
        <v>1.0</v>
      </c>
      <c r="D675" s="251" t="s">
        <v>4580</v>
      </c>
      <c r="E675" s="251" t="s">
        <v>1118</v>
      </c>
      <c r="F675" s="251" t="s">
        <v>1119</v>
      </c>
      <c r="G675" s="253" t="s">
        <v>4581</v>
      </c>
      <c r="H675" s="252">
        <v>6.0</v>
      </c>
      <c r="I675" s="251" t="s">
        <v>1131</v>
      </c>
      <c r="J675" s="252">
        <v>8.0</v>
      </c>
      <c r="K675" s="252">
        <v>828.0</v>
      </c>
      <c r="L675" s="252">
        <v>100.0</v>
      </c>
      <c r="M675" s="252">
        <v>22167.0</v>
      </c>
      <c r="N675" s="252">
        <v>36797.0</v>
      </c>
      <c r="O675" s="252">
        <v>2.0</v>
      </c>
      <c r="P675" s="252">
        <v>16.0</v>
      </c>
      <c r="Q675" s="252">
        <v>4941.0</v>
      </c>
      <c r="R675" s="251" t="s">
        <v>1112</v>
      </c>
      <c r="S675" s="251" t="s">
        <v>1100</v>
      </c>
      <c r="T675" s="251" t="s">
        <v>1021</v>
      </c>
      <c r="U675" s="252">
        <v>14.0</v>
      </c>
      <c r="V675" s="252">
        <v>48.0</v>
      </c>
      <c r="W675" s="252">
        <v>6.0</v>
      </c>
      <c r="X675" s="251" t="s">
        <v>1147</v>
      </c>
      <c r="Y675" s="251" t="s">
        <v>4582</v>
      </c>
      <c r="Z675" s="251" t="s">
        <v>4583</v>
      </c>
      <c r="AA675" s="254" t="s">
        <v>1105</v>
      </c>
      <c r="AB675" s="254" t="s">
        <v>1105</v>
      </c>
    </row>
    <row r="676">
      <c r="A676" s="252">
        <v>675.0</v>
      </c>
      <c r="B676" s="251" t="s">
        <v>4584</v>
      </c>
      <c r="C676" s="252">
        <v>1.0</v>
      </c>
      <c r="D676" s="251" t="s">
        <v>4585</v>
      </c>
      <c r="E676" s="251" t="s">
        <v>1272</v>
      </c>
      <c r="F676" s="251" t="s">
        <v>1233</v>
      </c>
      <c r="G676" s="253" t="s">
        <v>4586</v>
      </c>
      <c r="H676" s="252">
        <v>5.0</v>
      </c>
      <c r="I676" s="251" t="s">
        <v>1121</v>
      </c>
      <c r="J676" s="252">
        <v>12.0</v>
      </c>
      <c r="K676" s="252">
        <v>308.0</v>
      </c>
      <c r="L676" s="252">
        <v>100.0</v>
      </c>
      <c r="M676" s="252">
        <v>19975.0</v>
      </c>
      <c r="N676" s="252">
        <v>26566.0</v>
      </c>
      <c r="O676" s="252">
        <v>4.0</v>
      </c>
      <c r="P676" s="252">
        <v>512.0</v>
      </c>
      <c r="Q676" s="252">
        <v>4227.0</v>
      </c>
      <c r="R676" s="251" t="s">
        <v>1141</v>
      </c>
      <c r="S676" s="251" t="s">
        <v>1122</v>
      </c>
      <c r="T676" s="251" t="s">
        <v>1101</v>
      </c>
      <c r="U676" s="252">
        <v>16.0</v>
      </c>
      <c r="V676" s="252">
        <v>12.0</v>
      </c>
      <c r="W676" s="252">
        <v>6.3</v>
      </c>
      <c r="X676" s="251" t="s">
        <v>1113</v>
      </c>
      <c r="Y676" s="251" t="s">
        <v>4587</v>
      </c>
      <c r="Z676" s="251" t="s">
        <v>4588</v>
      </c>
      <c r="AA676" s="254" t="s">
        <v>1105</v>
      </c>
      <c r="AB676" s="254" t="s">
        <v>1105</v>
      </c>
    </row>
    <row r="677">
      <c r="A677" s="252">
        <v>676.0</v>
      </c>
      <c r="B677" s="251" t="s">
        <v>4589</v>
      </c>
      <c r="C677" s="252">
        <v>1.0</v>
      </c>
      <c r="D677" s="251" t="s">
        <v>4590</v>
      </c>
      <c r="E677" s="251" t="s">
        <v>1095</v>
      </c>
      <c r="F677" s="251" t="s">
        <v>1096</v>
      </c>
      <c r="G677" s="253" t="s">
        <v>4591</v>
      </c>
      <c r="H677" s="252">
        <v>6.0</v>
      </c>
      <c r="I677" s="251" t="s">
        <v>1131</v>
      </c>
      <c r="J677" s="252">
        <v>12.0</v>
      </c>
      <c r="K677" s="252">
        <v>98.0</v>
      </c>
      <c r="L677" s="252">
        <v>100.0</v>
      </c>
      <c r="M677" s="252">
        <v>19965.0</v>
      </c>
      <c r="N677" s="252">
        <v>32542.0</v>
      </c>
      <c r="O677" s="252">
        <v>2.0</v>
      </c>
      <c r="P677" s="252">
        <v>64.0</v>
      </c>
      <c r="Q677" s="252">
        <v>2926.0</v>
      </c>
      <c r="R677" s="251" t="s">
        <v>1112</v>
      </c>
      <c r="S677" s="251" t="s">
        <v>1122</v>
      </c>
      <c r="T677" s="251" t="s">
        <v>1021</v>
      </c>
      <c r="U677" s="252">
        <v>32.0</v>
      </c>
      <c r="V677" s="252">
        <v>12.0</v>
      </c>
      <c r="W677" s="252">
        <v>4.7</v>
      </c>
      <c r="X677" s="251" t="s">
        <v>1113</v>
      </c>
      <c r="Y677" s="251" t="s">
        <v>4592</v>
      </c>
      <c r="Z677" s="251" t="s">
        <v>4593</v>
      </c>
      <c r="AA677" s="254" t="s">
        <v>1105</v>
      </c>
      <c r="AB677" s="254" t="s">
        <v>1105</v>
      </c>
    </row>
    <row r="678">
      <c r="A678" s="252">
        <v>677.0</v>
      </c>
      <c r="B678" s="251" t="s">
        <v>4594</v>
      </c>
      <c r="C678" s="252">
        <v>1.0</v>
      </c>
      <c r="D678" s="251" t="s">
        <v>4595</v>
      </c>
      <c r="E678" s="251" t="s">
        <v>1166</v>
      </c>
      <c r="F678" s="251" t="s">
        <v>1119</v>
      </c>
      <c r="G678" s="253" t="s">
        <v>4596</v>
      </c>
      <c r="H678" s="252">
        <v>6.0</v>
      </c>
      <c r="I678" s="251" t="s">
        <v>1121</v>
      </c>
      <c r="J678" s="252">
        <v>10.0</v>
      </c>
      <c r="K678" s="252">
        <v>719.0</v>
      </c>
      <c r="L678" s="252">
        <v>80.0</v>
      </c>
      <c r="M678" s="252">
        <v>21714.0</v>
      </c>
      <c r="N678" s="252">
        <v>26056.0</v>
      </c>
      <c r="O678" s="252">
        <v>8.0</v>
      </c>
      <c r="P678" s="252">
        <v>512.0</v>
      </c>
      <c r="Q678" s="252">
        <v>2902.0</v>
      </c>
      <c r="R678" s="251" t="s">
        <v>1099</v>
      </c>
      <c r="S678" s="251" t="s">
        <v>1100</v>
      </c>
      <c r="T678" s="251" t="s">
        <v>1021</v>
      </c>
      <c r="U678" s="252">
        <v>12.0</v>
      </c>
      <c r="V678" s="252">
        <v>48.0</v>
      </c>
      <c r="W678" s="252">
        <v>5.5</v>
      </c>
      <c r="X678" s="251" t="s">
        <v>1113</v>
      </c>
      <c r="Y678" s="251" t="s">
        <v>4597</v>
      </c>
      <c r="Z678" s="251" t="s">
        <v>4598</v>
      </c>
      <c r="AA678" s="254" t="s">
        <v>1105</v>
      </c>
      <c r="AB678" s="254" t="s">
        <v>1105</v>
      </c>
    </row>
    <row r="679">
      <c r="A679" s="252">
        <v>678.0</v>
      </c>
      <c r="B679" s="251" t="s">
        <v>4599</v>
      </c>
      <c r="C679" s="252">
        <v>1.0</v>
      </c>
      <c r="D679" s="251" t="s">
        <v>4600</v>
      </c>
      <c r="E679" s="251" t="s">
        <v>1486</v>
      </c>
      <c r="F679" s="251" t="s">
        <v>1109</v>
      </c>
      <c r="G679" s="253" t="s">
        <v>4601</v>
      </c>
      <c r="H679" s="252">
        <v>2.0</v>
      </c>
      <c r="I679" s="251" t="s">
        <v>1140</v>
      </c>
      <c r="J679" s="252">
        <v>10.0</v>
      </c>
      <c r="K679" s="252">
        <v>964.0</v>
      </c>
      <c r="L679" s="252">
        <v>100.0</v>
      </c>
      <c r="M679" s="252">
        <v>9569.0</v>
      </c>
      <c r="N679" s="252">
        <v>16745.0</v>
      </c>
      <c r="O679" s="252">
        <v>6.0</v>
      </c>
      <c r="P679" s="252">
        <v>128.0</v>
      </c>
      <c r="Q679" s="252">
        <v>4497.0</v>
      </c>
      <c r="R679" s="251" t="s">
        <v>1141</v>
      </c>
      <c r="S679" s="251" t="s">
        <v>1100</v>
      </c>
      <c r="T679" s="251" t="s">
        <v>1021</v>
      </c>
      <c r="U679" s="252">
        <v>32.0</v>
      </c>
      <c r="V679" s="252">
        <v>12.0</v>
      </c>
      <c r="W679" s="252">
        <v>6.3</v>
      </c>
      <c r="X679" s="251" t="s">
        <v>1102</v>
      </c>
      <c r="Y679" s="251" t="s">
        <v>4602</v>
      </c>
      <c r="Z679" s="251" t="s">
        <v>4603</v>
      </c>
      <c r="AA679" s="254" t="s">
        <v>1105</v>
      </c>
      <c r="AB679" s="254" t="s">
        <v>1105</v>
      </c>
    </row>
    <row r="680">
      <c r="A680" s="252">
        <v>679.0</v>
      </c>
      <c r="B680" s="251" t="s">
        <v>4604</v>
      </c>
      <c r="C680" s="252">
        <v>1.0</v>
      </c>
      <c r="D680" s="251" t="s">
        <v>4605</v>
      </c>
      <c r="E680" s="251" t="s">
        <v>1739</v>
      </c>
      <c r="F680" s="251" t="s">
        <v>1233</v>
      </c>
      <c r="G680" s="253" t="s">
        <v>4606</v>
      </c>
      <c r="H680" s="252">
        <v>2.0</v>
      </c>
      <c r="I680" s="251" t="s">
        <v>1111</v>
      </c>
      <c r="J680" s="252">
        <v>10.0</v>
      </c>
      <c r="K680" s="252">
        <v>961.0</v>
      </c>
      <c r="L680" s="252">
        <v>80.0</v>
      </c>
      <c r="M680" s="252">
        <v>6695.0</v>
      </c>
      <c r="N680" s="252">
        <v>10979.0</v>
      </c>
      <c r="O680" s="252">
        <v>12.0</v>
      </c>
      <c r="P680" s="252">
        <v>8.0</v>
      </c>
      <c r="Q680" s="252">
        <v>6479.0</v>
      </c>
      <c r="R680" s="251" t="s">
        <v>1099</v>
      </c>
      <c r="S680" s="251" t="s">
        <v>1122</v>
      </c>
      <c r="T680" s="251" t="s">
        <v>1123</v>
      </c>
      <c r="U680" s="252">
        <v>32.0</v>
      </c>
      <c r="V680" s="252">
        <v>48.0</v>
      </c>
      <c r="W680" s="252">
        <v>6.3</v>
      </c>
      <c r="X680" s="251" t="s">
        <v>1132</v>
      </c>
      <c r="Y680" s="251" t="s">
        <v>4607</v>
      </c>
      <c r="Z680" s="251" t="s">
        <v>4608</v>
      </c>
      <c r="AA680" s="254" t="s">
        <v>1105</v>
      </c>
      <c r="AB680" s="254" t="s">
        <v>1105</v>
      </c>
    </row>
    <row r="681">
      <c r="A681" s="252">
        <v>680.0</v>
      </c>
      <c r="B681" s="251" t="s">
        <v>4609</v>
      </c>
      <c r="C681" s="252">
        <v>1.0</v>
      </c>
      <c r="D681" s="251" t="s">
        <v>4610</v>
      </c>
      <c r="E681" s="251" t="s">
        <v>1172</v>
      </c>
      <c r="F681" s="251" t="s">
        <v>1160</v>
      </c>
      <c r="G681" s="253" t="s">
        <v>4611</v>
      </c>
      <c r="H681" s="252">
        <v>3.0</v>
      </c>
      <c r="I681" s="251" t="s">
        <v>1098</v>
      </c>
      <c r="J681" s="252">
        <v>12.0</v>
      </c>
      <c r="K681" s="252">
        <v>774.0</v>
      </c>
      <c r="L681" s="252">
        <v>100.0</v>
      </c>
      <c r="M681" s="252">
        <v>9246.0</v>
      </c>
      <c r="N681" s="252">
        <v>13314.0</v>
      </c>
      <c r="O681" s="252">
        <v>8.0</v>
      </c>
      <c r="P681" s="252">
        <v>16.0</v>
      </c>
      <c r="Q681" s="252">
        <v>2588.0</v>
      </c>
      <c r="R681" s="251" t="s">
        <v>1099</v>
      </c>
      <c r="S681" s="251" t="s">
        <v>1122</v>
      </c>
      <c r="T681" s="251" t="s">
        <v>1021</v>
      </c>
      <c r="U681" s="252">
        <v>14.0</v>
      </c>
      <c r="V681" s="252">
        <v>48.0</v>
      </c>
      <c r="W681" s="252">
        <v>5.2</v>
      </c>
      <c r="X681" s="251" t="s">
        <v>1147</v>
      </c>
      <c r="Y681" s="251" t="s">
        <v>4612</v>
      </c>
      <c r="Z681" s="251" t="s">
        <v>4613</v>
      </c>
      <c r="AA681" s="254" t="s">
        <v>1105</v>
      </c>
      <c r="AB681" s="254" t="s">
        <v>1105</v>
      </c>
    </row>
    <row r="682">
      <c r="A682" s="252">
        <v>681.0</v>
      </c>
      <c r="B682" s="251" t="s">
        <v>4614</v>
      </c>
      <c r="C682" s="252">
        <v>1.0</v>
      </c>
      <c r="D682" s="251" t="s">
        <v>4615</v>
      </c>
      <c r="E682" s="251" t="s">
        <v>2215</v>
      </c>
      <c r="F682" s="251" t="s">
        <v>1119</v>
      </c>
      <c r="G682" s="253" t="s">
        <v>4616</v>
      </c>
      <c r="H682" s="252">
        <v>4.0</v>
      </c>
      <c r="I682" s="251" t="s">
        <v>1140</v>
      </c>
      <c r="J682" s="252">
        <v>10.0</v>
      </c>
      <c r="K682" s="252">
        <v>418.0</v>
      </c>
      <c r="L682" s="252">
        <v>120.0</v>
      </c>
      <c r="M682" s="252">
        <v>9101.0</v>
      </c>
      <c r="N682" s="252">
        <v>11194.0</v>
      </c>
      <c r="O682" s="252">
        <v>6.0</v>
      </c>
      <c r="P682" s="252">
        <v>128.0</v>
      </c>
      <c r="Q682" s="252">
        <v>6104.0</v>
      </c>
      <c r="R682" s="251" t="s">
        <v>1141</v>
      </c>
      <c r="S682" s="251" t="s">
        <v>1122</v>
      </c>
      <c r="T682" s="251" t="s">
        <v>1021</v>
      </c>
      <c r="U682" s="252">
        <v>16.0</v>
      </c>
      <c r="V682" s="252">
        <v>14.0</v>
      </c>
      <c r="W682" s="252">
        <v>4.7</v>
      </c>
      <c r="X682" s="251" t="s">
        <v>1102</v>
      </c>
      <c r="Y682" s="251" t="s">
        <v>4617</v>
      </c>
      <c r="Z682" s="251" t="s">
        <v>4618</v>
      </c>
      <c r="AA682" s="254" t="s">
        <v>1105</v>
      </c>
      <c r="AB682" s="254" t="s">
        <v>1105</v>
      </c>
    </row>
    <row r="683">
      <c r="A683" s="252">
        <v>682.0</v>
      </c>
      <c r="B683" s="251" t="s">
        <v>4619</v>
      </c>
      <c r="C683" s="252">
        <v>1.0</v>
      </c>
      <c r="D683" s="251" t="s">
        <v>4620</v>
      </c>
      <c r="E683" s="251" t="s">
        <v>1905</v>
      </c>
      <c r="F683" s="251" t="s">
        <v>1096</v>
      </c>
      <c r="G683" s="253" t="s">
        <v>4621</v>
      </c>
      <c r="H683" s="252">
        <v>4.0</v>
      </c>
      <c r="I683" s="251" t="s">
        <v>1121</v>
      </c>
      <c r="J683" s="252">
        <v>12.0</v>
      </c>
      <c r="K683" s="252">
        <v>681.0</v>
      </c>
      <c r="L683" s="252">
        <v>100.0</v>
      </c>
      <c r="M683" s="252">
        <v>9609.0</v>
      </c>
      <c r="N683" s="252">
        <v>16719.0</v>
      </c>
      <c r="O683" s="252">
        <v>6.0</v>
      </c>
      <c r="P683" s="252">
        <v>8.0</v>
      </c>
      <c r="Q683" s="252">
        <v>3666.0</v>
      </c>
      <c r="R683" s="251" t="s">
        <v>1099</v>
      </c>
      <c r="S683" s="251" t="s">
        <v>1100</v>
      </c>
      <c r="T683" s="251" t="s">
        <v>1123</v>
      </c>
      <c r="U683" s="252">
        <v>16.0</v>
      </c>
      <c r="V683" s="252">
        <v>16.0</v>
      </c>
      <c r="W683" s="252">
        <v>5.0</v>
      </c>
      <c r="X683" s="251" t="s">
        <v>1102</v>
      </c>
      <c r="Y683" s="251" t="s">
        <v>4622</v>
      </c>
      <c r="Z683" s="251" t="s">
        <v>4623</v>
      </c>
      <c r="AA683" s="254" t="s">
        <v>1105</v>
      </c>
      <c r="AB683" s="254" t="s">
        <v>1105</v>
      </c>
    </row>
    <row r="684">
      <c r="A684" s="252">
        <v>683.0</v>
      </c>
      <c r="B684" s="251" t="s">
        <v>4624</v>
      </c>
      <c r="C684" s="252">
        <v>1.0</v>
      </c>
      <c r="D684" s="251" t="s">
        <v>4625</v>
      </c>
      <c r="E684" s="251" t="s">
        <v>1502</v>
      </c>
      <c r="F684" s="251" t="s">
        <v>1153</v>
      </c>
      <c r="G684" s="253" t="s">
        <v>4626</v>
      </c>
      <c r="H684" s="252">
        <v>4.0</v>
      </c>
      <c r="I684" s="251" t="s">
        <v>1111</v>
      </c>
      <c r="J684" s="252">
        <v>12.0</v>
      </c>
      <c r="K684" s="252">
        <v>454.0</v>
      </c>
      <c r="L684" s="252">
        <v>100.0</v>
      </c>
      <c r="M684" s="252">
        <v>21144.0</v>
      </c>
      <c r="N684" s="252">
        <v>28121.0</v>
      </c>
      <c r="O684" s="252">
        <v>12.0</v>
      </c>
      <c r="P684" s="252">
        <v>64.0</v>
      </c>
      <c r="Q684" s="252">
        <v>5032.0</v>
      </c>
      <c r="R684" s="251" t="s">
        <v>1141</v>
      </c>
      <c r="S684" s="251" t="s">
        <v>1122</v>
      </c>
      <c r="T684" s="251" t="s">
        <v>1021</v>
      </c>
      <c r="U684" s="252">
        <v>12.0</v>
      </c>
      <c r="V684" s="252">
        <v>12.0</v>
      </c>
      <c r="W684" s="252">
        <v>5.0</v>
      </c>
      <c r="X684" s="251" t="s">
        <v>1132</v>
      </c>
      <c r="Y684" s="251" t="s">
        <v>4627</v>
      </c>
      <c r="Z684" s="251" t="s">
        <v>4628</v>
      </c>
      <c r="AA684" s="254" t="s">
        <v>1105</v>
      </c>
      <c r="AB684" s="254" t="s">
        <v>1105</v>
      </c>
    </row>
    <row r="685">
      <c r="A685" s="252">
        <v>684.0</v>
      </c>
      <c r="B685" s="251" t="s">
        <v>4629</v>
      </c>
      <c r="C685" s="252">
        <v>1.0</v>
      </c>
      <c r="D685" s="251" t="s">
        <v>4630</v>
      </c>
      <c r="E685" s="251" t="s">
        <v>1250</v>
      </c>
      <c r="F685" s="251" t="s">
        <v>1153</v>
      </c>
      <c r="G685" s="253" t="s">
        <v>4631</v>
      </c>
      <c r="H685" s="252">
        <v>3.0</v>
      </c>
      <c r="I685" s="251" t="s">
        <v>1098</v>
      </c>
      <c r="J685" s="252">
        <v>12.0</v>
      </c>
      <c r="K685" s="252">
        <v>109.0</v>
      </c>
      <c r="L685" s="252">
        <v>100.0</v>
      </c>
      <c r="M685" s="252">
        <v>4914.0</v>
      </c>
      <c r="N685" s="252">
        <v>7764.0</v>
      </c>
      <c r="O685" s="252">
        <v>2.0</v>
      </c>
      <c r="P685" s="252">
        <v>8.0</v>
      </c>
      <c r="Q685" s="252">
        <v>5134.0</v>
      </c>
      <c r="R685" s="251" t="s">
        <v>1141</v>
      </c>
      <c r="S685" s="251" t="s">
        <v>1122</v>
      </c>
      <c r="T685" s="251" t="s">
        <v>1101</v>
      </c>
      <c r="U685" s="252">
        <v>16.0</v>
      </c>
      <c r="V685" s="252">
        <v>14.0</v>
      </c>
      <c r="W685" s="252">
        <v>4.7</v>
      </c>
      <c r="X685" s="251" t="s">
        <v>1132</v>
      </c>
      <c r="Y685" s="251" t="s">
        <v>4632</v>
      </c>
      <c r="Z685" s="251" t="s">
        <v>4633</v>
      </c>
      <c r="AA685" s="254" t="s">
        <v>1105</v>
      </c>
      <c r="AB685" s="254" t="s">
        <v>1105</v>
      </c>
    </row>
    <row r="686">
      <c r="A686" s="252">
        <v>685.0</v>
      </c>
      <c r="B686" s="251" t="s">
        <v>4634</v>
      </c>
      <c r="C686" s="252">
        <v>1.0</v>
      </c>
      <c r="D686" s="251" t="s">
        <v>4635</v>
      </c>
      <c r="E686" s="251" t="s">
        <v>1166</v>
      </c>
      <c r="F686" s="251" t="s">
        <v>1119</v>
      </c>
      <c r="G686" s="253" t="s">
        <v>4636</v>
      </c>
      <c r="H686" s="252">
        <v>6.0</v>
      </c>
      <c r="I686" s="251" t="s">
        <v>1111</v>
      </c>
      <c r="J686" s="252">
        <v>10.0</v>
      </c>
      <c r="K686" s="252">
        <v>724.0</v>
      </c>
      <c r="L686" s="252">
        <v>80.0</v>
      </c>
      <c r="M686" s="252">
        <v>8986.0</v>
      </c>
      <c r="N686" s="252">
        <v>15186.0</v>
      </c>
      <c r="O686" s="252">
        <v>12.0</v>
      </c>
      <c r="P686" s="252">
        <v>128.0</v>
      </c>
      <c r="Q686" s="252">
        <v>5483.0</v>
      </c>
      <c r="R686" s="251" t="s">
        <v>1141</v>
      </c>
      <c r="S686" s="251" t="s">
        <v>1100</v>
      </c>
      <c r="T686" s="251" t="s">
        <v>1123</v>
      </c>
      <c r="U686" s="252">
        <v>48.0</v>
      </c>
      <c r="V686" s="252">
        <v>16.0</v>
      </c>
      <c r="W686" s="252">
        <v>6.3</v>
      </c>
      <c r="X686" s="251" t="s">
        <v>1147</v>
      </c>
      <c r="Y686" s="251" t="s">
        <v>4637</v>
      </c>
      <c r="Z686" s="251" t="s">
        <v>4638</v>
      </c>
      <c r="AA686" s="254" t="s">
        <v>1105</v>
      </c>
      <c r="AB686" s="254" t="s">
        <v>1105</v>
      </c>
    </row>
    <row r="687">
      <c r="A687" s="252">
        <v>686.0</v>
      </c>
      <c r="B687" s="251" t="s">
        <v>4639</v>
      </c>
      <c r="C687" s="252">
        <v>1.0</v>
      </c>
      <c r="D687" s="251" t="s">
        <v>4640</v>
      </c>
      <c r="E687" s="251" t="s">
        <v>1650</v>
      </c>
      <c r="F687" s="251" t="s">
        <v>1160</v>
      </c>
      <c r="G687" s="253" t="s">
        <v>4641</v>
      </c>
      <c r="H687" s="252">
        <v>6.0</v>
      </c>
      <c r="I687" s="251" t="s">
        <v>1111</v>
      </c>
      <c r="J687" s="252">
        <v>8.0</v>
      </c>
      <c r="K687" s="252">
        <v>92.0</v>
      </c>
      <c r="L687" s="252">
        <v>80.0</v>
      </c>
      <c r="M687" s="252">
        <v>2391.0</v>
      </c>
      <c r="N687" s="252">
        <v>3825.0</v>
      </c>
      <c r="O687" s="252">
        <v>6.0</v>
      </c>
      <c r="P687" s="252">
        <v>16.0</v>
      </c>
      <c r="Q687" s="252">
        <v>5124.0</v>
      </c>
      <c r="R687" s="251" t="s">
        <v>1112</v>
      </c>
      <c r="S687" s="251" t="s">
        <v>1122</v>
      </c>
      <c r="T687" s="251" t="s">
        <v>1021</v>
      </c>
      <c r="U687" s="252">
        <v>48.0</v>
      </c>
      <c r="V687" s="252">
        <v>32.0</v>
      </c>
      <c r="W687" s="252">
        <v>5.0</v>
      </c>
      <c r="X687" s="251" t="s">
        <v>1147</v>
      </c>
      <c r="Y687" s="251" t="s">
        <v>4642</v>
      </c>
      <c r="Z687" s="251" t="s">
        <v>4643</v>
      </c>
      <c r="AA687" s="254" t="s">
        <v>1105</v>
      </c>
      <c r="AB687" s="254" t="s">
        <v>1105</v>
      </c>
    </row>
    <row r="688">
      <c r="A688" s="252">
        <v>687.0</v>
      </c>
      <c r="B688" s="251" t="s">
        <v>4644</v>
      </c>
      <c r="C688" s="252">
        <v>1.0</v>
      </c>
      <c r="D688" s="251" t="s">
        <v>4645</v>
      </c>
      <c r="E688" s="251" t="s">
        <v>1335</v>
      </c>
      <c r="F688" s="251" t="s">
        <v>1215</v>
      </c>
      <c r="G688" s="253" t="s">
        <v>1921</v>
      </c>
      <c r="H688" s="252">
        <v>4.0</v>
      </c>
      <c r="I688" s="251" t="s">
        <v>1111</v>
      </c>
      <c r="J688" s="252">
        <v>10.0</v>
      </c>
      <c r="K688" s="252">
        <v>703.0</v>
      </c>
      <c r="L688" s="252">
        <v>80.0</v>
      </c>
      <c r="M688" s="252">
        <v>9646.0</v>
      </c>
      <c r="N688" s="252">
        <v>15626.0</v>
      </c>
      <c r="O688" s="252">
        <v>12.0</v>
      </c>
      <c r="P688" s="252">
        <v>8.0</v>
      </c>
      <c r="Q688" s="252">
        <v>5343.0</v>
      </c>
      <c r="R688" s="251" t="s">
        <v>1112</v>
      </c>
      <c r="S688" s="251" t="s">
        <v>1122</v>
      </c>
      <c r="T688" s="251" t="s">
        <v>1021</v>
      </c>
      <c r="U688" s="252">
        <v>32.0</v>
      </c>
      <c r="V688" s="252">
        <v>14.0</v>
      </c>
      <c r="W688" s="252">
        <v>6.3</v>
      </c>
      <c r="X688" s="251" t="s">
        <v>1147</v>
      </c>
      <c r="Y688" s="251" t="s">
        <v>4646</v>
      </c>
      <c r="Z688" s="251" t="s">
        <v>4647</v>
      </c>
      <c r="AA688" s="254" t="s">
        <v>1105</v>
      </c>
      <c r="AB688" s="254" t="s">
        <v>1105</v>
      </c>
    </row>
    <row r="689">
      <c r="A689" s="252">
        <v>688.0</v>
      </c>
      <c r="B689" s="251" t="s">
        <v>4648</v>
      </c>
      <c r="C689" s="252">
        <v>1.0</v>
      </c>
      <c r="D689" s="251" t="s">
        <v>4649</v>
      </c>
      <c r="E689" s="251" t="s">
        <v>1172</v>
      </c>
      <c r="F689" s="251" t="s">
        <v>1160</v>
      </c>
      <c r="G689" s="253" t="s">
        <v>4650</v>
      </c>
      <c r="H689" s="252">
        <v>6.0</v>
      </c>
      <c r="I689" s="251" t="s">
        <v>1111</v>
      </c>
      <c r="J689" s="252">
        <v>10.0</v>
      </c>
      <c r="K689" s="252">
        <v>582.0</v>
      </c>
      <c r="L689" s="252">
        <v>80.0</v>
      </c>
      <c r="M689" s="252">
        <v>3902.0</v>
      </c>
      <c r="N689" s="252">
        <v>6789.0</v>
      </c>
      <c r="O689" s="252">
        <v>6.0</v>
      </c>
      <c r="P689" s="252">
        <v>128.0</v>
      </c>
      <c r="Q689" s="252">
        <v>4645.0</v>
      </c>
      <c r="R689" s="251" t="s">
        <v>1141</v>
      </c>
      <c r="S689" s="251" t="s">
        <v>1100</v>
      </c>
      <c r="T689" s="251" t="s">
        <v>1123</v>
      </c>
      <c r="U689" s="252">
        <v>32.0</v>
      </c>
      <c r="V689" s="252">
        <v>14.0</v>
      </c>
      <c r="W689" s="252">
        <v>5.5</v>
      </c>
      <c r="X689" s="251" t="s">
        <v>1113</v>
      </c>
      <c r="Y689" s="251" t="s">
        <v>4651</v>
      </c>
      <c r="Z689" s="251" t="s">
        <v>4652</v>
      </c>
      <c r="AA689" s="254" t="s">
        <v>1105</v>
      </c>
      <c r="AB689" s="254" t="s">
        <v>1105</v>
      </c>
    </row>
    <row r="690">
      <c r="A690" s="252">
        <v>689.0</v>
      </c>
      <c r="B690" s="251" t="s">
        <v>4653</v>
      </c>
      <c r="C690" s="252">
        <v>1.0</v>
      </c>
      <c r="D690" s="251" t="s">
        <v>4654</v>
      </c>
      <c r="E690" s="251" t="s">
        <v>1964</v>
      </c>
      <c r="F690" s="251" t="s">
        <v>1129</v>
      </c>
      <c r="G690" s="253" t="s">
        <v>4655</v>
      </c>
      <c r="H690" s="252">
        <v>4.0</v>
      </c>
      <c r="I690" s="251" t="s">
        <v>1131</v>
      </c>
      <c r="J690" s="252">
        <v>8.0</v>
      </c>
      <c r="K690" s="252">
        <v>78.0</v>
      </c>
      <c r="L690" s="252">
        <v>100.0</v>
      </c>
      <c r="M690" s="252">
        <v>17313.0</v>
      </c>
      <c r="N690" s="252">
        <v>29605.0</v>
      </c>
      <c r="O690" s="252">
        <v>2.0</v>
      </c>
      <c r="P690" s="252">
        <v>64.0</v>
      </c>
      <c r="Q690" s="252">
        <v>4792.0</v>
      </c>
      <c r="R690" s="251" t="s">
        <v>1112</v>
      </c>
      <c r="S690" s="251" t="s">
        <v>1122</v>
      </c>
      <c r="T690" s="251" t="s">
        <v>1021</v>
      </c>
      <c r="U690" s="252">
        <v>16.0</v>
      </c>
      <c r="V690" s="252">
        <v>12.0</v>
      </c>
      <c r="W690" s="252">
        <v>6.0</v>
      </c>
      <c r="X690" s="251" t="s">
        <v>1147</v>
      </c>
      <c r="Y690" s="251" t="s">
        <v>4656</v>
      </c>
      <c r="Z690" s="251" t="s">
        <v>4657</v>
      </c>
      <c r="AA690" s="254" t="s">
        <v>1105</v>
      </c>
      <c r="AB690" s="254" t="s">
        <v>1105</v>
      </c>
    </row>
    <row r="691">
      <c r="A691" s="252">
        <v>690.0</v>
      </c>
      <c r="B691" s="251" t="s">
        <v>4658</v>
      </c>
      <c r="C691" s="252">
        <v>1.0</v>
      </c>
      <c r="D691" s="251" t="s">
        <v>4659</v>
      </c>
      <c r="E691" s="251" t="s">
        <v>1283</v>
      </c>
      <c r="F691" s="251" t="s">
        <v>1096</v>
      </c>
      <c r="G691" s="253" t="s">
        <v>4660</v>
      </c>
      <c r="H691" s="252">
        <v>3.0</v>
      </c>
      <c r="I691" s="251" t="s">
        <v>1098</v>
      </c>
      <c r="J691" s="252">
        <v>8.0</v>
      </c>
      <c r="K691" s="252">
        <v>634.0</v>
      </c>
      <c r="L691" s="252">
        <v>80.0</v>
      </c>
      <c r="M691" s="252">
        <v>18465.0</v>
      </c>
      <c r="N691" s="252">
        <v>28620.0</v>
      </c>
      <c r="O691" s="252">
        <v>12.0</v>
      </c>
      <c r="P691" s="252">
        <v>64.0</v>
      </c>
      <c r="Q691" s="252">
        <v>2426.0</v>
      </c>
      <c r="R691" s="251" t="s">
        <v>1099</v>
      </c>
      <c r="S691" s="251" t="s">
        <v>1122</v>
      </c>
      <c r="T691" s="251" t="s">
        <v>1123</v>
      </c>
      <c r="U691" s="252">
        <v>12.0</v>
      </c>
      <c r="V691" s="252">
        <v>48.0</v>
      </c>
      <c r="W691" s="252">
        <v>6.0</v>
      </c>
      <c r="X691" s="251" t="s">
        <v>1132</v>
      </c>
      <c r="Y691" s="251" t="s">
        <v>4661</v>
      </c>
      <c r="Z691" s="251" t="s">
        <v>4662</v>
      </c>
      <c r="AA691" s="254" t="s">
        <v>1105</v>
      </c>
      <c r="AB691" s="254" t="s">
        <v>1105</v>
      </c>
    </row>
    <row r="692">
      <c r="A692" s="252">
        <v>691.0</v>
      </c>
      <c r="B692" s="251" t="s">
        <v>4663</v>
      </c>
      <c r="C692" s="252">
        <v>1.0</v>
      </c>
      <c r="D692" s="251" t="s">
        <v>4664</v>
      </c>
      <c r="E692" s="251" t="s">
        <v>1836</v>
      </c>
      <c r="F692" s="251" t="s">
        <v>1233</v>
      </c>
      <c r="G692" s="253" t="s">
        <v>4665</v>
      </c>
      <c r="H692" s="252">
        <v>3.0</v>
      </c>
      <c r="I692" s="251" t="s">
        <v>1140</v>
      </c>
      <c r="J692" s="252">
        <v>8.0</v>
      </c>
      <c r="K692" s="252">
        <v>758.0</v>
      </c>
      <c r="L692" s="252">
        <v>80.0</v>
      </c>
      <c r="M692" s="252">
        <v>20200.0</v>
      </c>
      <c r="N692" s="252">
        <v>32320.0</v>
      </c>
      <c r="O692" s="252">
        <v>2.0</v>
      </c>
      <c r="P692" s="252">
        <v>512.0</v>
      </c>
      <c r="Q692" s="252">
        <v>6229.0</v>
      </c>
      <c r="R692" s="251" t="s">
        <v>1141</v>
      </c>
      <c r="S692" s="251" t="s">
        <v>1122</v>
      </c>
      <c r="T692" s="251" t="s">
        <v>1123</v>
      </c>
      <c r="U692" s="252">
        <v>48.0</v>
      </c>
      <c r="V692" s="252">
        <v>16.0</v>
      </c>
      <c r="W692" s="252">
        <v>6.0</v>
      </c>
      <c r="X692" s="251" t="s">
        <v>1102</v>
      </c>
      <c r="Y692" s="251" t="s">
        <v>4666</v>
      </c>
      <c r="Z692" s="251" t="s">
        <v>4667</v>
      </c>
      <c r="AA692" s="254" t="s">
        <v>1105</v>
      </c>
      <c r="AB692" s="254" t="s">
        <v>1105</v>
      </c>
    </row>
    <row r="693">
      <c r="A693" s="252">
        <v>692.0</v>
      </c>
      <c r="B693" s="251" t="s">
        <v>4668</v>
      </c>
      <c r="C693" s="252">
        <v>1.0</v>
      </c>
      <c r="D693" s="251" t="s">
        <v>4669</v>
      </c>
      <c r="E693" s="251" t="s">
        <v>1534</v>
      </c>
      <c r="F693" s="251" t="s">
        <v>1119</v>
      </c>
      <c r="G693" s="253" t="s">
        <v>4670</v>
      </c>
      <c r="H693" s="252">
        <v>5.0</v>
      </c>
      <c r="I693" s="251" t="s">
        <v>1111</v>
      </c>
      <c r="J693" s="252">
        <v>12.0</v>
      </c>
      <c r="K693" s="252">
        <v>249.0</v>
      </c>
      <c r="L693" s="252">
        <v>100.0</v>
      </c>
      <c r="M693" s="252">
        <v>3521.0</v>
      </c>
      <c r="N693" s="252">
        <v>4225.0</v>
      </c>
      <c r="O693" s="252">
        <v>2.0</v>
      </c>
      <c r="P693" s="252">
        <v>32.0</v>
      </c>
      <c r="Q693" s="252">
        <v>6229.0</v>
      </c>
      <c r="R693" s="251" t="s">
        <v>1141</v>
      </c>
      <c r="S693" s="251" t="s">
        <v>1122</v>
      </c>
      <c r="T693" s="251" t="s">
        <v>1123</v>
      </c>
      <c r="U693" s="252">
        <v>48.0</v>
      </c>
      <c r="V693" s="252">
        <v>32.0</v>
      </c>
      <c r="W693" s="252">
        <v>6.3</v>
      </c>
      <c r="X693" s="251" t="s">
        <v>1113</v>
      </c>
      <c r="Y693" s="251" t="s">
        <v>4671</v>
      </c>
      <c r="Z693" s="251" t="s">
        <v>4672</v>
      </c>
      <c r="AA693" s="254" t="s">
        <v>1105</v>
      </c>
      <c r="AB693" s="254" t="s">
        <v>1105</v>
      </c>
    </row>
    <row r="694">
      <c r="A694" s="252">
        <v>693.0</v>
      </c>
      <c r="B694" s="251" t="s">
        <v>4673</v>
      </c>
      <c r="C694" s="252">
        <v>1.0</v>
      </c>
      <c r="D694" s="251" t="s">
        <v>4674</v>
      </c>
      <c r="E694" s="251" t="s">
        <v>1842</v>
      </c>
      <c r="F694" s="251" t="s">
        <v>1160</v>
      </c>
      <c r="G694" s="253" t="s">
        <v>4675</v>
      </c>
      <c r="H694" s="252">
        <v>3.0</v>
      </c>
      <c r="I694" s="251" t="s">
        <v>1131</v>
      </c>
      <c r="J694" s="252">
        <v>8.0</v>
      </c>
      <c r="K694" s="252">
        <v>451.0</v>
      </c>
      <c r="L694" s="252">
        <v>120.0</v>
      </c>
      <c r="M694" s="252">
        <v>12877.0</v>
      </c>
      <c r="N694" s="252">
        <v>20088.0</v>
      </c>
      <c r="O694" s="252">
        <v>8.0</v>
      </c>
      <c r="P694" s="252">
        <v>16.0</v>
      </c>
      <c r="Q694" s="252">
        <v>3017.0</v>
      </c>
      <c r="R694" s="251" t="s">
        <v>1141</v>
      </c>
      <c r="S694" s="251" t="s">
        <v>1122</v>
      </c>
      <c r="T694" s="251" t="s">
        <v>1021</v>
      </c>
      <c r="U694" s="252">
        <v>12.0</v>
      </c>
      <c r="V694" s="252">
        <v>16.0</v>
      </c>
      <c r="W694" s="252">
        <v>5.0</v>
      </c>
      <c r="X694" s="251" t="s">
        <v>1147</v>
      </c>
      <c r="Y694" s="251" t="s">
        <v>4676</v>
      </c>
      <c r="Z694" s="251" t="s">
        <v>4677</v>
      </c>
      <c r="AA694" s="254" t="s">
        <v>1105</v>
      </c>
      <c r="AB694" s="254" t="s">
        <v>1105</v>
      </c>
    </row>
    <row r="695">
      <c r="A695" s="252">
        <v>694.0</v>
      </c>
      <c r="B695" s="251" t="s">
        <v>4678</v>
      </c>
      <c r="C695" s="252">
        <v>1.0</v>
      </c>
      <c r="D695" s="251" t="s">
        <v>4679</v>
      </c>
      <c r="E695" s="251" t="s">
        <v>1701</v>
      </c>
      <c r="F695" s="251" t="s">
        <v>1119</v>
      </c>
      <c r="G695" s="253" t="s">
        <v>4680</v>
      </c>
      <c r="H695" s="252">
        <v>6.0</v>
      </c>
      <c r="I695" s="251" t="s">
        <v>1121</v>
      </c>
      <c r="J695" s="252">
        <v>12.0</v>
      </c>
      <c r="K695" s="252">
        <v>200.0</v>
      </c>
      <c r="L695" s="252">
        <v>120.0</v>
      </c>
      <c r="M695" s="252">
        <v>16877.0</v>
      </c>
      <c r="N695" s="252">
        <v>29197.0</v>
      </c>
      <c r="O695" s="252">
        <v>4.0</v>
      </c>
      <c r="P695" s="252">
        <v>32.0</v>
      </c>
      <c r="Q695" s="252">
        <v>5835.0</v>
      </c>
      <c r="R695" s="251" t="s">
        <v>1141</v>
      </c>
      <c r="S695" s="251" t="s">
        <v>1122</v>
      </c>
      <c r="T695" s="251" t="s">
        <v>1123</v>
      </c>
      <c r="U695" s="252">
        <v>12.0</v>
      </c>
      <c r="V695" s="252">
        <v>14.0</v>
      </c>
      <c r="W695" s="252">
        <v>6.0</v>
      </c>
      <c r="X695" s="251" t="s">
        <v>1102</v>
      </c>
      <c r="Y695" s="251" t="s">
        <v>4681</v>
      </c>
      <c r="Z695" s="251" t="s">
        <v>4682</v>
      </c>
      <c r="AA695" s="254" t="s">
        <v>1105</v>
      </c>
      <c r="AB695" s="254" t="s">
        <v>1105</v>
      </c>
    </row>
    <row r="696">
      <c r="A696" s="252">
        <v>695.0</v>
      </c>
      <c r="B696" s="251" t="s">
        <v>4683</v>
      </c>
      <c r="C696" s="252">
        <v>1.0</v>
      </c>
      <c r="D696" s="251" t="s">
        <v>4684</v>
      </c>
      <c r="E696" s="251" t="s">
        <v>1991</v>
      </c>
      <c r="F696" s="251" t="s">
        <v>1233</v>
      </c>
      <c r="G696" s="253" t="s">
        <v>4685</v>
      </c>
      <c r="H696" s="252">
        <v>2.0</v>
      </c>
      <c r="I696" s="251" t="s">
        <v>1131</v>
      </c>
      <c r="J696" s="252">
        <v>8.0</v>
      </c>
      <c r="K696" s="252">
        <v>453.0</v>
      </c>
      <c r="L696" s="252">
        <v>80.0</v>
      </c>
      <c r="M696" s="252">
        <v>9568.0</v>
      </c>
      <c r="N696" s="252">
        <v>15117.0</v>
      </c>
      <c r="O696" s="252">
        <v>12.0</v>
      </c>
      <c r="P696" s="252">
        <v>64.0</v>
      </c>
      <c r="Q696" s="252">
        <v>4190.0</v>
      </c>
      <c r="R696" s="251" t="s">
        <v>1141</v>
      </c>
      <c r="S696" s="251" t="s">
        <v>1100</v>
      </c>
      <c r="T696" s="251" t="s">
        <v>1101</v>
      </c>
      <c r="U696" s="252">
        <v>48.0</v>
      </c>
      <c r="V696" s="252">
        <v>14.0</v>
      </c>
      <c r="W696" s="252">
        <v>4.7</v>
      </c>
      <c r="X696" s="251" t="s">
        <v>1147</v>
      </c>
      <c r="Y696" s="251" t="s">
        <v>4686</v>
      </c>
      <c r="Z696" s="251" t="s">
        <v>4687</v>
      </c>
      <c r="AA696" s="254" t="s">
        <v>1105</v>
      </c>
      <c r="AB696" s="254" t="s">
        <v>1105</v>
      </c>
    </row>
    <row r="697">
      <c r="A697" s="252">
        <v>696.0</v>
      </c>
      <c r="B697" s="251" t="s">
        <v>4688</v>
      </c>
      <c r="C697" s="252">
        <v>1.0</v>
      </c>
      <c r="D697" s="251" t="s">
        <v>4689</v>
      </c>
      <c r="E697" s="251" t="s">
        <v>1458</v>
      </c>
      <c r="F697" s="251" t="s">
        <v>1109</v>
      </c>
      <c r="G697" s="253" t="s">
        <v>4690</v>
      </c>
      <c r="H697" s="252">
        <v>6.0</v>
      </c>
      <c r="I697" s="251" t="s">
        <v>1098</v>
      </c>
      <c r="J697" s="252">
        <v>8.0</v>
      </c>
      <c r="K697" s="252">
        <v>45.0</v>
      </c>
      <c r="L697" s="252">
        <v>120.0</v>
      </c>
      <c r="M697" s="252">
        <v>15891.0</v>
      </c>
      <c r="N697" s="252">
        <v>22883.0</v>
      </c>
      <c r="O697" s="252">
        <v>4.0</v>
      </c>
      <c r="P697" s="252">
        <v>32.0</v>
      </c>
      <c r="Q697" s="252">
        <v>5171.0</v>
      </c>
      <c r="R697" s="251" t="s">
        <v>1141</v>
      </c>
      <c r="S697" s="251" t="s">
        <v>1100</v>
      </c>
      <c r="T697" s="251" t="s">
        <v>1021</v>
      </c>
      <c r="U697" s="252">
        <v>48.0</v>
      </c>
      <c r="V697" s="252">
        <v>32.0</v>
      </c>
      <c r="W697" s="252">
        <v>4.7</v>
      </c>
      <c r="X697" s="251" t="s">
        <v>1132</v>
      </c>
      <c r="Y697" s="251" t="s">
        <v>4691</v>
      </c>
      <c r="Z697" s="251" t="s">
        <v>4692</v>
      </c>
      <c r="AA697" s="254" t="s">
        <v>1105</v>
      </c>
      <c r="AB697" s="254" t="s">
        <v>1105</v>
      </c>
    </row>
    <row r="698">
      <c r="A698" s="252">
        <v>697.0</v>
      </c>
      <c r="B698" s="251" t="s">
        <v>4693</v>
      </c>
      <c r="C698" s="252">
        <v>1.0</v>
      </c>
      <c r="D698" s="251" t="s">
        <v>4694</v>
      </c>
      <c r="E698" s="251" t="s">
        <v>2209</v>
      </c>
      <c r="F698" s="251" t="s">
        <v>1096</v>
      </c>
      <c r="G698" s="253" t="s">
        <v>4695</v>
      </c>
      <c r="H698" s="252">
        <v>2.0</v>
      </c>
      <c r="I698" s="251" t="s">
        <v>1111</v>
      </c>
      <c r="J698" s="252">
        <v>8.0</v>
      </c>
      <c r="K698" s="252">
        <v>847.0</v>
      </c>
      <c r="L698" s="252">
        <v>100.0</v>
      </c>
      <c r="M698" s="252">
        <v>5042.0</v>
      </c>
      <c r="N698" s="252">
        <v>8168.0</v>
      </c>
      <c r="O698" s="252">
        <v>12.0</v>
      </c>
      <c r="P698" s="252">
        <v>64.0</v>
      </c>
      <c r="Q698" s="252">
        <v>4667.0</v>
      </c>
      <c r="R698" s="251" t="s">
        <v>1141</v>
      </c>
      <c r="S698" s="251" t="s">
        <v>1100</v>
      </c>
      <c r="T698" s="251" t="s">
        <v>1021</v>
      </c>
      <c r="U698" s="252">
        <v>12.0</v>
      </c>
      <c r="V698" s="252">
        <v>48.0</v>
      </c>
      <c r="W698" s="252">
        <v>5.0</v>
      </c>
      <c r="X698" s="251" t="s">
        <v>1102</v>
      </c>
      <c r="Y698" s="251" t="s">
        <v>4696</v>
      </c>
      <c r="Z698" s="251" t="s">
        <v>4697</v>
      </c>
      <c r="AA698" s="254" t="s">
        <v>1105</v>
      </c>
      <c r="AB698" s="254" t="s">
        <v>1105</v>
      </c>
    </row>
    <row r="699">
      <c r="A699" s="252">
        <v>698.0</v>
      </c>
      <c r="B699" s="251" t="s">
        <v>4698</v>
      </c>
      <c r="C699" s="252">
        <v>1.0</v>
      </c>
      <c r="D699" s="251" t="s">
        <v>4699</v>
      </c>
      <c r="E699" s="251" t="s">
        <v>1428</v>
      </c>
      <c r="F699" s="251" t="s">
        <v>1138</v>
      </c>
      <c r="G699" s="253" t="s">
        <v>4700</v>
      </c>
      <c r="H699" s="252">
        <v>5.0</v>
      </c>
      <c r="I699" s="251" t="s">
        <v>1121</v>
      </c>
      <c r="J699" s="252">
        <v>12.0</v>
      </c>
      <c r="K699" s="252">
        <v>923.0</v>
      </c>
      <c r="L699" s="252">
        <v>80.0</v>
      </c>
      <c r="M699" s="252">
        <v>8984.0</v>
      </c>
      <c r="N699" s="252">
        <v>15901.0</v>
      </c>
      <c r="O699" s="252">
        <v>8.0</v>
      </c>
      <c r="P699" s="252">
        <v>8.0</v>
      </c>
      <c r="Q699" s="252">
        <v>5730.0</v>
      </c>
      <c r="R699" s="251" t="s">
        <v>1141</v>
      </c>
      <c r="S699" s="251" t="s">
        <v>1100</v>
      </c>
      <c r="T699" s="251" t="s">
        <v>1101</v>
      </c>
      <c r="U699" s="252">
        <v>12.0</v>
      </c>
      <c r="V699" s="252">
        <v>32.0</v>
      </c>
      <c r="W699" s="252">
        <v>5.5</v>
      </c>
      <c r="X699" s="251" t="s">
        <v>1132</v>
      </c>
      <c r="Y699" s="251" t="s">
        <v>4701</v>
      </c>
      <c r="Z699" s="251" t="s">
        <v>4702</v>
      </c>
      <c r="AA699" s="254" t="s">
        <v>1105</v>
      </c>
      <c r="AB699" s="254" t="s">
        <v>1105</v>
      </c>
    </row>
    <row r="700">
      <c r="A700" s="252">
        <v>699.0</v>
      </c>
      <c r="B700" s="251" t="s">
        <v>4703</v>
      </c>
      <c r="C700" s="252">
        <v>1.0</v>
      </c>
      <c r="D700" s="251" t="s">
        <v>4704</v>
      </c>
      <c r="E700" s="251" t="s">
        <v>1550</v>
      </c>
      <c r="F700" s="251" t="s">
        <v>1109</v>
      </c>
      <c r="G700" s="253" t="s">
        <v>4705</v>
      </c>
      <c r="H700" s="252">
        <v>5.0</v>
      </c>
      <c r="I700" s="251" t="s">
        <v>1098</v>
      </c>
      <c r="J700" s="252">
        <v>10.0</v>
      </c>
      <c r="K700" s="252">
        <v>784.0</v>
      </c>
      <c r="L700" s="252">
        <v>80.0</v>
      </c>
      <c r="M700" s="252">
        <v>4322.0</v>
      </c>
      <c r="N700" s="252">
        <v>6655.0</v>
      </c>
      <c r="O700" s="252">
        <v>12.0</v>
      </c>
      <c r="P700" s="252">
        <v>512.0</v>
      </c>
      <c r="Q700" s="252">
        <v>2021.0</v>
      </c>
      <c r="R700" s="251" t="s">
        <v>1141</v>
      </c>
      <c r="S700" s="251" t="s">
        <v>1122</v>
      </c>
      <c r="T700" s="251" t="s">
        <v>1021</v>
      </c>
      <c r="U700" s="252">
        <v>32.0</v>
      </c>
      <c r="V700" s="252">
        <v>12.0</v>
      </c>
      <c r="W700" s="252">
        <v>6.0</v>
      </c>
      <c r="X700" s="251" t="s">
        <v>1147</v>
      </c>
      <c r="Y700" s="251" t="s">
        <v>4706</v>
      </c>
      <c r="Z700" s="251" t="s">
        <v>4707</v>
      </c>
      <c r="AA700" s="254" t="s">
        <v>1105</v>
      </c>
      <c r="AB700" s="254" t="s">
        <v>1105</v>
      </c>
    </row>
    <row r="701">
      <c r="A701" s="252">
        <v>700.0</v>
      </c>
      <c r="B701" s="251" t="s">
        <v>4708</v>
      </c>
      <c r="C701" s="252">
        <v>1.0</v>
      </c>
      <c r="D701" s="251" t="s">
        <v>4709</v>
      </c>
      <c r="E701" s="251" t="s">
        <v>1440</v>
      </c>
      <c r="F701" s="251" t="s">
        <v>1233</v>
      </c>
      <c r="G701" s="253" t="s">
        <v>4710</v>
      </c>
      <c r="H701" s="252">
        <v>3.0</v>
      </c>
      <c r="I701" s="251" t="s">
        <v>1131</v>
      </c>
      <c r="J701" s="252">
        <v>8.0</v>
      </c>
      <c r="K701" s="252">
        <v>433.0</v>
      </c>
      <c r="L701" s="252">
        <v>100.0</v>
      </c>
      <c r="M701" s="252">
        <v>8494.0</v>
      </c>
      <c r="N701" s="252">
        <v>11466.0</v>
      </c>
      <c r="O701" s="252">
        <v>4.0</v>
      </c>
      <c r="P701" s="252">
        <v>64.0</v>
      </c>
      <c r="Q701" s="252">
        <v>5885.0</v>
      </c>
      <c r="R701" s="251" t="s">
        <v>1099</v>
      </c>
      <c r="S701" s="251" t="s">
        <v>1122</v>
      </c>
      <c r="T701" s="251" t="s">
        <v>1101</v>
      </c>
      <c r="U701" s="252">
        <v>16.0</v>
      </c>
      <c r="V701" s="252">
        <v>16.0</v>
      </c>
      <c r="W701" s="252">
        <v>5.5</v>
      </c>
      <c r="X701" s="251" t="s">
        <v>1102</v>
      </c>
      <c r="Y701" s="251" t="s">
        <v>4711</v>
      </c>
      <c r="Z701" s="251" t="s">
        <v>4712</v>
      </c>
      <c r="AA701" s="254" t="s">
        <v>1105</v>
      </c>
      <c r="AB701" s="254" t="s">
        <v>1105</v>
      </c>
    </row>
    <row r="702">
      <c r="A702" s="252">
        <v>701.0</v>
      </c>
      <c r="B702" s="251" t="s">
        <v>4713</v>
      </c>
      <c r="C702" s="252">
        <v>1.0</v>
      </c>
      <c r="D702" s="251" t="s">
        <v>4714</v>
      </c>
      <c r="E702" s="251" t="s">
        <v>1621</v>
      </c>
      <c r="F702" s="251" t="s">
        <v>1138</v>
      </c>
      <c r="G702" s="253" t="s">
        <v>4715</v>
      </c>
      <c r="H702" s="252">
        <v>3.0</v>
      </c>
      <c r="I702" s="251" t="s">
        <v>1121</v>
      </c>
      <c r="J702" s="252">
        <v>8.0</v>
      </c>
      <c r="K702" s="252">
        <v>408.0</v>
      </c>
      <c r="L702" s="252">
        <v>80.0</v>
      </c>
      <c r="M702" s="252">
        <v>13334.0</v>
      </c>
      <c r="N702" s="252">
        <v>16534.0</v>
      </c>
      <c r="O702" s="252">
        <v>4.0</v>
      </c>
      <c r="P702" s="252">
        <v>512.0</v>
      </c>
      <c r="Q702" s="252">
        <v>4590.0</v>
      </c>
      <c r="R702" s="251" t="s">
        <v>1099</v>
      </c>
      <c r="S702" s="251" t="s">
        <v>1122</v>
      </c>
      <c r="T702" s="251" t="s">
        <v>1021</v>
      </c>
      <c r="U702" s="252">
        <v>16.0</v>
      </c>
      <c r="V702" s="252">
        <v>14.0</v>
      </c>
      <c r="W702" s="252">
        <v>6.0</v>
      </c>
      <c r="X702" s="251" t="s">
        <v>1132</v>
      </c>
      <c r="Y702" s="251" t="s">
        <v>4716</v>
      </c>
      <c r="Z702" s="251" t="s">
        <v>4717</v>
      </c>
      <c r="AA702" s="254" t="s">
        <v>1105</v>
      </c>
      <c r="AB702" s="254" t="s">
        <v>1105</v>
      </c>
    </row>
    <row r="703">
      <c r="A703" s="252">
        <v>702.0</v>
      </c>
      <c r="B703" s="251" t="s">
        <v>4718</v>
      </c>
      <c r="C703" s="252">
        <v>1.0</v>
      </c>
      <c r="D703" s="251" t="s">
        <v>4719</v>
      </c>
      <c r="E703" s="251" t="s">
        <v>1458</v>
      </c>
      <c r="F703" s="251" t="s">
        <v>1109</v>
      </c>
      <c r="G703" s="253" t="s">
        <v>4720</v>
      </c>
      <c r="H703" s="252">
        <v>3.0</v>
      </c>
      <c r="I703" s="251" t="s">
        <v>1121</v>
      </c>
      <c r="J703" s="252">
        <v>10.0</v>
      </c>
      <c r="K703" s="252">
        <v>866.0</v>
      </c>
      <c r="L703" s="252">
        <v>120.0</v>
      </c>
      <c r="M703" s="252">
        <v>12169.0</v>
      </c>
      <c r="N703" s="252">
        <v>18010.0</v>
      </c>
      <c r="O703" s="252">
        <v>8.0</v>
      </c>
      <c r="P703" s="252">
        <v>64.0</v>
      </c>
      <c r="Q703" s="252">
        <v>3951.0</v>
      </c>
      <c r="R703" s="251" t="s">
        <v>1112</v>
      </c>
      <c r="S703" s="251" t="s">
        <v>1122</v>
      </c>
      <c r="T703" s="251" t="s">
        <v>1021</v>
      </c>
      <c r="U703" s="252">
        <v>32.0</v>
      </c>
      <c r="V703" s="252">
        <v>48.0</v>
      </c>
      <c r="W703" s="252">
        <v>5.0</v>
      </c>
      <c r="X703" s="251" t="s">
        <v>1147</v>
      </c>
      <c r="Y703" s="251" t="s">
        <v>4721</v>
      </c>
      <c r="Z703" s="251" t="s">
        <v>4722</v>
      </c>
      <c r="AA703" s="254" t="s">
        <v>1105</v>
      </c>
      <c r="AB703" s="254" t="s">
        <v>1105</v>
      </c>
    </row>
    <row r="704">
      <c r="A704" s="252">
        <v>703.0</v>
      </c>
      <c r="B704" s="251" t="s">
        <v>4723</v>
      </c>
      <c r="C704" s="252">
        <v>1.0</v>
      </c>
      <c r="D704" s="251" t="s">
        <v>4724</v>
      </c>
      <c r="E704" s="251" t="s">
        <v>2327</v>
      </c>
      <c r="F704" s="251" t="s">
        <v>1215</v>
      </c>
      <c r="G704" s="253" t="s">
        <v>4725</v>
      </c>
      <c r="H704" s="252">
        <v>5.0</v>
      </c>
      <c r="I704" s="251" t="s">
        <v>1140</v>
      </c>
      <c r="J704" s="252">
        <v>8.0</v>
      </c>
      <c r="K704" s="252">
        <v>951.0</v>
      </c>
      <c r="L704" s="252">
        <v>120.0</v>
      </c>
      <c r="M704" s="252">
        <v>3896.0</v>
      </c>
      <c r="N704" s="252">
        <v>6038.0</v>
      </c>
      <c r="O704" s="252">
        <v>8.0</v>
      </c>
      <c r="P704" s="252">
        <v>512.0</v>
      </c>
      <c r="Q704" s="252">
        <v>5572.0</v>
      </c>
      <c r="R704" s="251" t="s">
        <v>1141</v>
      </c>
      <c r="S704" s="251" t="s">
        <v>1100</v>
      </c>
      <c r="T704" s="251" t="s">
        <v>1021</v>
      </c>
      <c r="U704" s="252">
        <v>48.0</v>
      </c>
      <c r="V704" s="252">
        <v>16.0</v>
      </c>
      <c r="W704" s="252">
        <v>5.2</v>
      </c>
      <c r="X704" s="251" t="s">
        <v>1102</v>
      </c>
      <c r="Y704" s="251" t="s">
        <v>4726</v>
      </c>
      <c r="Z704" s="251" t="s">
        <v>4727</v>
      </c>
      <c r="AA704" s="254" t="s">
        <v>1105</v>
      </c>
      <c r="AB704" s="254" t="s">
        <v>1105</v>
      </c>
    </row>
    <row r="705">
      <c r="A705" s="252">
        <v>704.0</v>
      </c>
      <c r="B705" s="251" t="s">
        <v>4728</v>
      </c>
      <c r="C705" s="252">
        <v>1.0</v>
      </c>
      <c r="D705" s="251" t="s">
        <v>4729</v>
      </c>
      <c r="E705" s="251" t="s">
        <v>1639</v>
      </c>
      <c r="F705" s="251" t="s">
        <v>1129</v>
      </c>
      <c r="G705" s="253" t="s">
        <v>4730</v>
      </c>
      <c r="H705" s="252">
        <v>6.0</v>
      </c>
      <c r="I705" s="251" t="s">
        <v>1131</v>
      </c>
      <c r="J705" s="252">
        <v>12.0</v>
      </c>
      <c r="K705" s="252">
        <v>386.0</v>
      </c>
      <c r="L705" s="252">
        <v>100.0</v>
      </c>
      <c r="M705" s="252">
        <v>11167.0</v>
      </c>
      <c r="N705" s="252">
        <v>17085.0</v>
      </c>
      <c r="O705" s="252">
        <v>12.0</v>
      </c>
      <c r="P705" s="252">
        <v>32.0</v>
      </c>
      <c r="Q705" s="252">
        <v>5075.0</v>
      </c>
      <c r="R705" s="251" t="s">
        <v>1112</v>
      </c>
      <c r="S705" s="251" t="s">
        <v>1122</v>
      </c>
      <c r="T705" s="251" t="s">
        <v>1101</v>
      </c>
      <c r="U705" s="252">
        <v>14.0</v>
      </c>
      <c r="V705" s="252">
        <v>16.0</v>
      </c>
      <c r="W705" s="252">
        <v>5.5</v>
      </c>
      <c r="X705" s="251" t="s">
        <v>1132</v>
      </c>
      <c r="Y705" s="251" t="s">
        <v>4731</v>
      </c>
      <c r="Z705" s="251" t="s">
        <v>4732</v>
      </c>
      <c r="AA705" s="254" t="s">
        <v>1105</v>
      </c>
      <c r="AB705" s="254" t="s">
        <v>1105</v>
      </c>
    </row>
    <row r="706">
      <c r="A706" s="252">
        <v>705.0</v>
      </c>
      <c r="B706" s="251" t="s">
        <v>4733</v>
      </c>
      <c r="C706" s="252">
        <v>1.0</v>
      </c>
      <c r="D706" s="251" t="s">
        <v>4734</v>
      </c>
      <c r="E706" s="251" t="s">
        <v>1381</v>
      </c>
      <c r="F706" s="251" t="s">
        <v>1119</v>
      </c>
      <c r="G706" s="253" t="s">
        <v>4735</v>
      </c>
      <c r="H706" s="252">
        <v>4.0</v>
      </c>
      <c r="I706" s="251" t="s">
        <v>1111</v>
      </c>
      <c r="J706" s="252">
        <v>8.0</v>
      </c>
      <c r="K706" s="252">
        <v>276.0</v>
      </c>
      <c r="L706" s="252">
        <v>120.0</v>
      </c>
      <c r="M706" s="252">
        <v>3694.0</v>
      </c>
      <c r="N706" s="252">
        <v>6833.0</v>
      </c>
      <c r="O706" s="252">
        <v>12.0</v>
      </c>
      <c r="P706" s="252">
        <v>16.0</v>
      </c>
      <c r="Q706" s="252">
        <v>5391.0</v>
      </c>
      <c r="R706" s="251" t="s">
        <v>1112</v>
      </c>
      <c r="S706" s="251" t="s">
        <v>1122</v>
      </c>
      <c r="T706" s="251" t="s">
        <v>1101</v>
      </c>
      <c r="U706" s="252">
        <v>14.0</v>
      </c>
      <c r="V706" s="252">
        <v>12.0</v>
      </c>
      <c r="W706" s="252">
        <v>6.0</v>
      </c>
      <c r="X706" s="251" t="s">
        <v>1147</v>
      </c>
      <c r="Y706" s="251" t="s">
        <v>4736</v>
      </c>
      <c r="Z706" s="251" t="s">
        <v>4737</v>
      </c>
      <c r="AA706" s="254" t="s">
        <v>1105</v>
      </c>
      <c r="AB706" s="254" t="s">
        <v>1105</v>
      </c>
    </row>
    <row r="707">
      <c r="A707" s="252">
        <v>706.0</v>
      </c>
      <c r="B707" s="251" t="s">
        <v>4738</v>
      </c>
      <c r="C707" s="252">
        <v>1.0</v>
      </c>
      <c r="D707" s="251" t="s">
        <v>4739</v>
      </c>
      <c r="E707" s="251" t="s">
        <v>2511</v>
      </c>
      <c r="F707" s="251" t="s">
        <v>1202</v>
      </c>
      <c r="G707" s="253" t="s">
        <v>4740</v>
      </c>
      <c r="H707" s="252">
        <v>2.0</v>
      </c>
      <c r="I707" s="251" t="s">
        <v>1140</v>
      </c>
      <c r="J707" s="252">
        <v>8.0</v>
      </c>
      <c r="K707" s="252">
        <v>538.0</v>
      </c>
      <c r="L707" s="252">
        <v>80.0</v>
      </c>
      <c r="M707" s="252">
        <v>5228.0</v>
      </c>
      <c r="N707" s="252">
        <v>7789.0</v>
      </c>
      <c r="O707" s="252">
        <v>8.0</v>
      </c>
      <c r="P707" s="252">
        <v>512.0</v>
      </c>
      <c r="Q707" s="252">
        <v>4430.0</v>
      </c>
      <c r="R707" s="251" t="s">
        <v>1141</v>
      </c>
      <c r="S707" s="251" t="s">
        <v>1122</v>
      </c>
      <c r="T707" s="251" t="s">
        <v>1021</v>
      </c>
      <c r="U707" s="252">
        <v>14.0</v>
      </c>
      <c r="V707" s="252">
        <v>48.0</v>
      </c>
      <c r="W707" s="252">
        <v>5.0</v>
      </c>
      <c r="X707" s="251" t="s">
        <v>1147</v>
      </c>
      <c r="Y707" s="251" t="s">
        <v>4741</v>
      </c>
      <c r="Z707" s="251" t="s">
        <v>4742</v>
      </c>
      <c r="AA707" s="254" t="s">
        <v>1105</v>
      </c>
      <c r="AB707" s="254" t="s">
        <v>1105</v>
      </c>
    </row>
    <row r="708">
      <c r="A708" s="252">
        <v>707.0</v>
      </c>
      <c r="B708" s="251" t="s">
        <v>4743</v>
      </c>
      <c r="C708" s="252">
        <v>1.0</v>
      </c>
      <c r="D708" s="251" t="s">
        <v>4744</v>
      </c>
      <c r="E708" s="251" t="s">
        <v>1166</v>
      </c>
      <c r="F708" s="251" t="s">
        <v>1119</v>
      </c>
      <c r="G708" s="253" t="s">
        <v>4745</v>
      </c>
      <c r="H708" s="252">
        <v>5.0</v>
      </c>
      <c r="I708" s="251" t="s">
        <v>1140</v>
      </c>
      <c r="J708" s="252">
        <v>10.0</v>
      </c>
      <c r="K708" s="252">
        <v>488.0</v>
      </c>
      <c r="L708" s="252">
        <v>120.0</v>
      </c>
      <c r="M708" s="252">
        <v>3215.0</v>
      </c>
      <c r="N708" s="252">
        <v>5144.0</v>
      </c>
      <c r="O708" s="252">
        <v>8.0</v>
      </c>
      <c r="P708" s="252">
        <v>8.0</v>
      </c>
      <c r="Q708" s="252">
        <v>6137.0</v>
      </c>
      <c r="R708" s="251" t="s">
        <v>1099</v>
      </c>
      <c r="S708" s="251" t="s">
        <v>1122</v>
      </c>
      <c r="T708" s="251" t="s">
        <v>1101</v>
      </c>
      <c r="U708" s="252">
        <v>14.0</v>
      </c>
      <c r="V708" s="252">
        <v>14.0</v>
      </c>
      <c r="W708" s="252">
        <v>6.0</v>
      </c>
      <c r="X708" s="251" t="s">
        <v>1102</v>
      </c>
      <c r="Y708" s="251" t="s">
        <v>4746</v>
      </c>
      <c r="Z708" s="251" t="s">
        <v>4747</v>
      </c>
      <c r="AA708" s="254" t="s">
        <v>1105</v>
      </c>
      <c r="AB708" s="254" t="s">
        <v>1105</v>
      </c>
    </row>
    <row r="709">
      <c r="A709" s="252">
        <v>708.0</v>
      </c>
      <c r="B709" s="251" t="s">
        <v>4748</v>
      </c>
      <c r="C709" s="252">
        <v>1.0</v>
      </c>
      <c r="D709" s="251" t="s">
        <v>4749</v>
      </c>
      <c r="E709" s="251" t="s">
        <v>1534</v>
      </c>
      <c r="F709" s="251" t="s">
        <v>1119</v>
      </c>
      <c r="G709" s="253" t="s">
        <v>4750</v>
      </c>
      <c r="H709" s="252">
        <v>3.0</v>
      </c>
      <c r="I709" s="251" t="s">
        <v>1098</v>
      </c>
      <c r="J709" s="252">
        <v>12.0</v>
      </c>
      <c r="K709" s="252">
        <v>467.0</v>
      </c>
      <c r="L709" s="252">
        <v>100.0</v>
      </c>
      <c r="M709" s="252">
        <v>9767.0</v>
      </c>
      <c r="N709" s="252">
        <v>17189.0</v>
      </c>
      <c r="O709" s="252">
        <v>2.0</v>
      </c>
      <c r="P709" s="252">
        <v>16.0</v>
      </c>
      <c r="Q709" s="252">
        <v>4319.0</v>
      </c>
      <c r="R709" s="251" t="s">
        <v>1141</v>
      </c>
      <c r="S709" s="251" t="s">
        <v>1100</v>
      </c>
      <c r="T709" s="251" t="s">
        <v>1021</v>
      </c>
      <c r="U709" s="252">
        <v>12.0</v>
      </c>
      <c r="V709" s="252">
        <v>12.0</v>
      </c>
      <c r="W709" s="252">
        <v>5.2</v>
      </c>
      <c r="X709" s="251" t="s">
        <v>1132</v>
      </c>
      <c r="Y709" s="251" t="s">
        <v>4751</v>
      </c>
      <c r="Z709" s="251" t="s">
        <v>4752</v>
      </c>
      <c r="AA709" s="254" t="s">
        <v>1105</v>
      </c>
      <c r="AB709" s="254" t="s">
        <v>1105</v>
      </c>
    </row>
    <row r="710">
      <c r="A710" s="252">
        <v>709.0</v>
      </c>
      <c r="B710" s="251" t="s">
        <v>4753</v>
      </c>
      <c r="C710" s="252">
        <v>1.0</v>
      </c>
      <c r="D710" s="251" t="s">
        <v>4754</v>
      </c>
      <c r="E710" s="251" t="s">
        <v>2327</v>
      </c>
      <c r="F710" s="251" t="s">
        <v>1215</v>
      </c>
      <c r="G710" s="253" t="s">
        <v>4755</v>
      </c>
      <c r="H710" s="252">
        <v>2.0</v>
      </c>
      <c r="I710" s="251" t="s">
        <v>1131</v>
      </c>
      <c r="J710" s="252">
        <v>12.0</v>
      </c>
      <c r="K710" s="252">
        <v>314.0</v>
      </c>
      <c r="L710" s="252">
        <v>120.0</v>
      </c>
      <c r="M710" s="252">
        <v>12413.0</v>
      </c>
      <c r="N710" s="252">
        <v>16261.0</v>
      </c>
      <c r="O710" s="252">
        <v>4.0</v>
      </c>
      <c r="P710" s="252">
        <v>32.0</v>
      </c>
      <c r="Q710" s="252">
        <v>3000.0</v>
      </c>
      <c r="R710" s="251" t="s">
        <v>1141</v>
      </c>
      <c r="S710" s="251" t="s">
        <v>1122</v>
      </c>
      <c r="T710" s="251" t="s">
        <v>1101</v>
      </c>
      <c r="U710" s="252">
        <v>48.0</v>
      </c>
      <c r="V710" s="252">
        <v>12.0</v>
      </c>
      <c r="W710" s="252">
        <v>5.5</v>
      </c>
      <c r="X710" s="251" t="s">
        <v>1113</v>
      </c>
      <c r="Y710" s="251" t="s">
        <v>4756</v>
      </c>
      <c r="Z710" s="251" t="s">
        <v>4757</v>
      </c>
      <c r="AA710" s="254" t="s">
        <v>1105</v>
      </c>
      <c r="AB710" s="254" t="s">
        <v>1105</v>
      </c>
    </row>
    <row r="711">
      <c r="A711" s="252">
        <v>710.0</v>
      </c>
      <c r="B711" s="251" t="s">
        <v>4758</v>
      </c>
      <c r="C711" s="252">
        <v>1.0</v>
      </c>
      <c r="D711" s="251" t="s">
        <v>4759</v>
      </c>
      <c r="E711" s="251" t="s">
        <v>1464</v>
      </c>
      <c r="F711" s="251" t="s">
        <v>1096</v>
      </c>
      <c r="G711" s="253" t="s">
        <v>4760</v>
      </c>
      <c r="H711" s="252">
        <v>6.0</v>
      </c>
      <c r="I711" s="251" t="s">
        <v>1111</v>
      </c>
      <c r="J711" s="252">
        <v>12.0</v>
      </c>
      <c r="K711" s="252">
        <v>103.0</v>
      </c>
      <c r="L711" s="252">
        <v>100.0</v>
      </c>
      <c r="M711" s="252">
        <v>7139.0</v>
      </c>
      <c r="N711" s="252">
        <v>10065.0</v>
      </c>
      <c r="O711" s="252">
        <v>12.0</v>
      </c>
      <c r="P711" s="252">
        <v>32.0</v>
      </c>
      <c r="Q711" s="252">
        <v>3010.0</v>
      </c>
      <c r="R711" s="251" t="s">
        <v>1141</v>
      </c>
      <c r="S711" s="251" t="s">
        <v>1122</v>
      </c>
      <c r="T711" s="251" t="s">
        <v>1123</v>
      </c>
      <c r="U711" s="252">
        <v>32.0</v>
      </c>
      <c r="V711" s="252">
        <v>14.0</v>
      </c>
      <c r="W711" s="252">
        <v>6.0</v>
      </c>
      <c r="X711" s="251" t="s">
        <v>1132</v>
      </c>
      <c r="Y711" s="251" t="s">
        <v>4761</v>
      </c>
      <c r="Z711" s="251" t="s">
        <v>4762</v>
      </c>
      <c r="AA711" s="254" t="s">
        <v>1105</v>
      </c>
      <c r="AB711" s="254" t="s">
        <v>1105</v>
      </c>
    </row>
    <row r="712">
      <c r="A712" s="252">
        <v>711.0</v>
      </c>
      <c r="B712" s="251" t="s">
        <v>4763</v>
      </c>
      <c r="C712" s="252">
        <v>1.0</v>
      </c>
      <c r="D712" s="251" t="s">
        <v>4764</v>
      </c>
      <c r="E712" s="251" t="s">
        <v>2209</v>
      </c>
      <c r="F712" s="251" t="s">
        <v>1096</v>
      </c>
      <c r="G712" s="253" t="s">
        <v>4765</v>
      </c>
      <c r="H712" s="252">
        <v>5.0</v>
      </c>
      <c r="I712" s="251" t="s">
        <v>1140</v>
      </c>
      <c r="J712" s="252">
        <v>12.0</v>
      </c>
      <c r="K712" s="252">
        <v>742.0</v>
      </c>
      <c r="L712" s="252">
        <v>120.0</v>
      </c>
      <c r="M712" s="252">
        <v>22827.0</v>
      </c>
      <c r="N712" s="252">
        <v>31272.0</v>
      </c>
      <c r="O712" s="252">
        <v>8.0</v>
      </c>
      <c r="P712" s="252">
        <v>64.0</v>
      </c>
      <c r="Q712" s="252">
        <v>4375.0</v>
      </c>
      <c r="R712" s="251" t="s">
        <v>1099</v>
      </c>
      <c r="S712" s="251" t="s">
        <v>1100</v>
      </c>
      <c r="T712" s="251" t="s">
        <v>1021</v>
      </c>
      <c r="U712" s="252">
        <v>32.0</v>
      </c>
      <c r="V712" s="252">
        <v>12.0</v>
      </c>
      <c r="W712" s="252">
        <v>6.0</v>
      </c>
      <c r="X712" s="251" t="s">
        <v>1132</v>
      </c>
      <c r="Y712" s="251" t="s">
        <v>4766</v>
      </c>
      <c r="Z712" s="251" t="s">
        <v>4767</v>
      </c>
      <c r="AA712" s="254" t="s">
        <v>1105</v>
      </c>
      <c r="AB712" s="254" t="s">
        <v>1105</v>
      </c>
    </row>
    <row r="713">
      <c r="A713" s="252">
        <v>712.0</v>
      </c>
      <c r="B713" s="251" t="s">
        <v>4768</v>
      </c>
      <c r="C713" s="252">
        <v>1.0</v>
      </c>
      <c r="D713" s="251" t="s">
        <v>4769</v>
      </c>
      <c r="E713" s="251" t="s">
        <v>2450</v>
      </c>
      <c r="F713" s="251" t="s">
        <v>1129</v>
      </c>
      <c r="G713" s="253" t="s">
        <v>4770</v>
      </c>
      <c r="H713" s="252">
        <v>5.0</v>
      </c>
      <c r="I713" s="251" t="s">
        <v>1140</v>
      </c>
      <c r="J713" s="252">
        <v>10.0</v>
      </c>
      <c r="K713" s="252">
        <v>76.0</v>
      </c>
      <c r="L713" s="252">
        <v>100.0</v>
      </c>
      <c r="M713" s="252">
        <v>19920.0</v>
      </c>
      <c r="N713" s="252">
        <v>27888.0</v>
      </c>
      <c r="O713" s="252">
        <v>2.0</v>
      </c>
      <c r="P713" s="252">
        <v>8.0</v>
      </c>
      <c r="Q713" s="252">
        <v>3591.0</v>
      </c>
      <c r="R713" s="251" t="s">
        <v>1141</v>
      </c>
      <c r="S713" s="251" t="s">
        <v>1122</v>
      </c>
      <c r="T713" s="251" t="s">
        <v>1021</v>
      </c>
      <c r="U713" s="252">
        <v>12.0</v>
      </c>
      <c r="V713" s="252">
        <v>16.0</v>
      </c>
      <c r="W713" s="252">
        <v>5.5</v>
      </c>
      <c r="X713" s="251" t="s">
        <v>1113</v>
      </c>
      <c r="Y713" s="251" t="s">
        <v>4771</v>
      </c>
      <c r="Z713" s="251" t="s">
        <v>4772</v>
      </c>
      <c r="AA713" s="254" t="s">
        <v>1105</v>
      </c>
      <c r="AB713" s="254" t="s">
        <v>1105</v>
      </c>
    </row>
    <row r="714">
      <c r="A714" s="252">
        <v>713.0</v>
      </c>
      <c r="B714" s="251" t="s">
        <v>4773</v>
      </c>
      <c r="C714" s="252">
        <v>1.0</v>
      </c>
      <c r="D714" s="251" t="s">
        <v>4774</v>
      </c>
      <c r="E714" s="251" t="s">
        <v>1633</v>
      </c>
      <c r="F714" s="251" t="s">
        <v>1160</v>
      </c>
      <c r="G714" s="253" t="s">
        <v>4775</v>
      </c>
      <c r="H714" s="252">
        <v>5.0</v>
      </c>
      <c r="I714" s="251" t="s">
        <v>1111</v>
      </c>
      <c r="J714" s="252">
        <v>10.0</v>
      </c>
      <c r="K714" s="252">
        <v>210.0</v>
      </c>
      <c r="L714" s="252">
        <v>100.0</v>
      </c>
      <c r="M714" s="252">
        <v>13286.0</v>
      </c>
      <c r="N714" s="252">
        <v>16607.0</v>
      </c>
      <c r="O714" s="252">
        <v>2.0</v>
      </c>
      <c r="P714" s="252">
        <v>32.0</v>
      </c>
      <c r="Q714" s="252">
        <v>3947.0</v>
      </c>
      <c r="R714" s="251" t="s">
        <v>1099</v>
      </c>
      <c r="S714" s="251" t="s">
        <v>1100</v>
      </c>
      <c r="T714" s="251" t="s">
        <v>1123</v>
      </c>
      <c r="U714" s="252">
        <v>12.0</v>
      </c>
      <c r="V714" s="252">
        <v>14.0</v>
      </c>
      <c r="W714" s="252">
        <v>4.7</v>
      </c>
      <c r="X714" s="251" t="s">
        <v>1132</v>
      </c>
      <c r="Y714" s="251" t="s">
        <v>4776</v>
      </c>
      <c r="Z714" s="251" t="s">
        <v>4777</v>
      </c>
      <c r="AA714" s="254" t="s">
        <v>1105</v>
      </c>
      <c r="AB714" s="254" t="s">
        <v>1105</v>
      </c>
    </row>
    <row r="715">
      <c r="A715" s="252">
        <v>714.0</v>
      </c>
      <c r="B715" s="251" t="s">
        <v>4778</v>
      </c>
      <c r="C715" s="252">
        <v>1.0</v>
      </c>
      <c r="D715" s="251" t="s">
        <v>4779</v>
      </c>
      <c r="E715" s="251" t="s">
        <v>1991</v>
      </c>
      <c r="F715" s="251" t="s">
        <v>1233</v>
      </c>
      <c r="G715" s="253" t="s">
        <v>4780</v>
      </c>
      <c r="H715" s="252">
        <v>4.0</v>
      </c>
      <c r="I715" s="251" t="s">
        <v>1131</v>
      </c>
      <c r="J715" s="252">
        <v>8.0</v>
      </c>
      <c r="K715" s="252">
        <v>770.0</v>
      </c>
      <c r="L715" s="252">
        <v>120.0</v>
      </c>
      <c r="M715" s="252">
        <v>12962.0</v>
      </c>
      <c r="N715" s="252">
        <v>20739.0</v>
      </c>
      <c r="O715" s="252">
        <v>4.0</v>
      </c>
      <c r="P715" s="252">
        <v>128.0</v>
      </c>
      <c r="Q715" s="252">
        <v>5395.0</v>
      </c>
      <c r="R715" s="251" t="s">
        <v>1112</v>
      </c>
      <c r="S715" s="251" t="s">
        <v>1122</v>
      </c>
      <c r="T715" s="251" t="s">
        <v>1021</v>
      </c>
      <c r="U715" s="252">
        <v>12.0</v>
      </c>
      <c r="V715" s="252">
        <v>14.0</v>
      </c>
      <c r="W715" s="252">
        <v>6.0</v>
      </c>
      <c r="X715" s="251" t="s">
        <v>1113</v>
      </c>
      <c r="Y715" s="251" t="s">
        <v>4781</v>
      </c>
      <c r="Z715" s="251" t="s">
        <v>4782</v>
      </c>
      <c r="AA715" s="254" t="s">
        <v>1105</v>
      </c>
      <c r="AB715" s="254" t="s">
        <v>1105</v>
      </c>
    </row>
    <row r="716">
      <c r="A716" s="252">
        <v>715.0</v>
      </c>
      <c r="B716" s="251" t="s">
        <v>4783</v>
      </c>
      <c r="C716" s="252">
        <v>1.0</v>
      </c>
      <c r="D716" s="251" t="s">
        <v>4784</v>
      </c>
      <c r="E716" s="251" t="s">
        <v>1323</v>
      </c>
      <c r="F716" s="251" t="s">
        <v>1233</v>
      </c>
      <c r="G716" s="253" t="s">
        <v>4785</v>
      </c>
      <c r="H716" s="252">
        <v>2.0</v>
      </c>
      <c r="I716" s="251" t="s">
        <v>1140</v>
      </c>
      <c r="J716" s="252">
        <v>8.0</v>
      </c>
      <c r="K716" s="252">
        <v>197.0</v>
      </c>
      <c r="L716" s="252">
        <v>100.0</v>
      </c>
      <c r="M716" s="252">
        <v>5746.0</v>
      </c>
      <c r="N716" s="252">
        <v>7699.0</v>
      </c>
      <c r="O716" s="252">
        <v>8.0</v>
      </c>
      <c r="P716" s="252">
        <v>8.0</v>
      </c>
      <c r="Q716" s="252">
        <v>5597.0</v>
      </c>
      <c r="R716" s="251" t="s">
        <v>1112</v>
      </c>
      <c r="S716" s="251" t="s">
        <v>1122</v>
      </c>
      <c r="T716" s="251" t="s">
        <v>1123</v>
      </c>
      <c r="U716" s="252">
        <v>12.0</v>
      </c>
      <c r="V716" s="252">
        <v>14.0</v>
      </c>
      <c r="W716" s="252">
        <v>6.3</v>
      </c>
      <c r="X716" s="251" t="s">
        <v>1102</v>
      </c>
      <c r="Y716" s="251" t="s">
        <v>4786</v>
      </c>
      <c r="Z716" s="251" t="s">
        <v>4787</v>
      </c>
      <c r="AA716" s="254" t="s">
        <v>1105</v>
      </c>
      <c r="AB716" s="254" t="s">
        <v>1105</v>
      </c>
    </row>
    <row r="717">
      <c r="A717" s="252">
        <v>716.0</v>
      </c>
      <c r="B717" s="251" t="s">
        <v>4788</v>
      </c>
      <c r="C717" s="252">
        <v>1.0</v>
      </c>
      <c r="D717" s="251" t="s">
        <v>4789</v>
      </c>
      <c r="E717" s="251" t="s">
        <v>1936</v>
      </c>
      <c r="F717" s="251" t="s">
        <v>1129</v>
      </c>
      <c r="G717" s="253" t="s">
        <v>4790</v>
      </c>
      <c r="H717" s="252">
        <v>5.0</v>
      </c>
      <c r="I717" s="251" t="s">
        <v>1121</v>
      </c>
      <c r="J717" s="252">
        <v>12.0</v>
      </c>
      <c r="K717" s="252">
        <v>716.0</v>
      </c>
      <c r="L717" s="252">
        <v>120.0</v>
      </c>
      <c r="M717" s="252">
        <v>20477.0</v>
      </c>
      <c r="N717" s="252">
        <v>31329.0</v>
      </c>
      <c r="O717" s="252">
        <v>4.0</v>
      </c>
      <c r="P717" s="252">
        <v>512.0</v>
      </c>
      <c r="Q717" s="252">
        <v>3172.0</v>
      </c>
      <c r="R717" s="251" t="s">
        <v>1141</v>
      </c>
      <c r="S717" s="251" t="s">
        <v>1122</v>
      </c>
      <c r="T717" s="251" t="s">
        <v>1123</v>
      </c>
      <c r="U717" s="252">
        <v>32.0</v>
      </c>
      <c r="V717" s="252">
        <v>12.0</v>
      </c>
      <c r="W717" s="252">
        <v>4.7</v>
      </c>
      <c r="X717" s="251" t="s">
        <v>1102</v>
      </c>
      <c r="Y717" s="251" t="s">
        <v>4791</v>
      </c>
      <c r="Z717" s="251" t="s">
        <v>4792</v>
      </c>
      <c r="AA717" s="254" t="s">
        <v>1105</v>
      </c>
      <c r="AB717" s="254" t="s">
        <v>1105</v>
      </c>
    </row>
    <row r="718">
      <c r="A718" s="252">
        <v>717.0</v>
      </c>
      <c r="B718" s="251" t="s">
        <v>4793</v>
      </c>
      <c r="C718" s="252">
        <v>1.0</v>
      </c>
      <c r="D718" s="251" t="s">
        <v>4794</v>
      </c>
      <c r="E718" s="251" t="s">
        <v>1615</v>
      </c>
      <c r="F718" s="251" t="s">
        <v>1202</v>
      </c>
      <c r="G718" s="253" t="s">
        <v>4795</v>
      </c>
      <c r="H718" s="252">
        <v>4.0</v>
      </c>
      <c r="I718" s="251" t="s">
        <v>1098</v>
      </c>
      <c r="J718" s="252">
        <v>10.0</v>
      </c>
      <c r="K718" s="252">
        <v>403.0</v>
      </c>
      <c r="L718" s="252">
        <v>120.0</v>
      </c>
      <c r="M718" s="252">
        <v>19451.0</v>
      </c>
      <c r="N718" s="252">
        <v>33844.0</v>
      </c>
      <c r="O718" s="252">
        <v>4.0</v>
      </c>
      <c r="P718" s="252">
        <v>8.0</v>
      </c>
      <c r="Q718" s="252">
        <v>3305.0</v>
      </c>
      <c r="R718" s="251" t="s">
        <v>1141</v>
      </c>
      <c r="S718" s="251" t="s">
        <v>1122</v>
      </c>
      <c r="T718" s="251" t="s">
        <v>1021</v>
      </c>
      <c r="U718" s="252">
        <v>32.0</v>
      </c>
      <c r="V718" s="252">
        <v>12.0</v>
      </c>
      <c r="W718" s="252">
        <v>4.7</v>
      </c>
      <c r="X718" s="251" t="s">
        <v>1102</v>
      </c>
      <c r="Y718" s="251" t="s">
        <v>4796</v>
      </c>
      <c r="Z718" s="251" t="s">
        <v>4797</v>
      </c>
      <c r="AA718" s="254" t="s">
        <v>1105</v>
      </c>
      <c r="AB718" s="254" t="s">
        <v>1105</v>
      </c>
    </row>
    <row r="719">
      <c r="A719" s="252">
        <v>718.0</v>
      </c>
      <c r="B719" s="251" t="s">
        <v>4798</v>
      </c>
      <c r="C719" s="252">
        <v>1.0</v>
      </c>
      <c r="D719" s="251" t="s">
        <v>4799</v>
      </c>
      <c r="E719" s="251" t="s">
        <v>1118</v>
      </c>
      <c r="F719" s="251" t="s">
        <v>1119</v>
      </c>
      <c r="G719" s="253" t="s">
        <v>4800</v>
      </c>
      <c r="H719" s="252">
        <v>4.0</v>
      </c>
      <c r="I719" s="251" t="s">
        <v>1111</v>
      </c>
      <c r="J719" s="252">
        <v>8.0</v>
      </c>
      <c r="K719" s="252">
        <v>912.0</v>
      </c>
      <c r="L719" s="252">
        <v>80.0</v>
      </c>
      <c r="M719" s="252">
        <v>8883.0</v>
      </c>
      <c r="N719" s="252">
        <v>11903.0</v>
      </c>
      <c r="O719" s="252">
        <v>12.0</v>
      </c>
      <c r="P719" s="252">
        <v>8.0</v>
      </c>
      <c r="Q719" s="252">
        <v>5951.0</v>
      </c>
      <c r="R719" s="251" t="s">
        <v>1099</v>
      </c>
      <c r="S719" s="251" t="s">
        <v>1122</v>
      </c>
      <c r="T719" s="251" t="s">
        <v>1123</v>
      </c>
      <c r="U719" s="252">
        <v>32.0</v>
      </c>
      <c r="V719" s="252">
        <v>48.0</v>
      </c>
      <c r="W719" s="252">
        <v>5.2</v>
      </c>
      <c r="X719" s="251" t="s">
        <v>1132</v>
      </c>
      <c r="Y719" s="251" t="s">
        <v>4801</v>
      </c>
      <c r="Z719" s="251" t="s">
        <v>4802</v>
      </c>
      <c r="AA719" s="254" t="s">
        <v>1105</v>
      </c>
      <c r="AB719" s="254" t="s">
        <v>1105</v>
      </c>
    </row>
    <row r="720">
      <c r="A720" s="252">
        <v>719.0</v>
      </c>
      <c r="B720" s="251" t="s">
        <v>4803</v>
      </c>
      <c r="C720" s="252">
        <v>1.0</v>
      </c>
      <c r="D720" s="251" t="s">
        <v>4804</v>
      </c>
      <c r="E720" s="251" t="s">
        <v>2276</v>
      </c>
      <c r="F720" s="251" t="s">
        <v>1215</v>
      </c>
      <c r="G720" s="253" t="s">
        <v>4805</v>
      </c>
      <c r="H720" s="252">
        <v>2.0</v>
      </c>
      <c r="I720" s="251" t="s">
        <v>1111</v>
      </c>
      <c r="J720" s="252">
        <v>10.0</v>
      </c>
      <c r="K720" s="252">
        <v>18.0</v>
      </c>
      <c r="L720" s="252">
        <v>100.0</v>
      </c>
      <c r="M720" s="252">
        <v>19972.0</v>
      </c>
      <c r="N720" s="252">
        <v>33752.0</v>
      </c>
      <c r="O720" s="252">
        <v>12.0</v>
      </c>
      <c r="P720" s="252">
        <v>512.0</v>
      </c>
      <c r="Q720" s="252">
        <v>4811.0</v>
      </c>
      <c r="R720" s="251" t="s">
        <v>1141</v>
      </c>
      <c r="S720" s="251" t="s">
        <v>1100</v>
      </c>
      <c r="T720" s="251" t="s">
        <v>1101</v>
      </c>
      <c r="U720" s="252">
        <v>14.0</v>
      </c>
      <c r="V720" s="252">
        <v>16.0</v>
      </c>
      <c r="W720" s="252">
        <v>5.0</v>
      </c>
      <c r="X720" s="251" t="s">
        <v>1147</v>
      </c>
      <c r="Y720" s="251" t="s">
        <v>4806</v>
      </c>
      <c r="Z720" s="251" t="s">
        <v>4807</v>
      </c>
      <c r="AA720" s="254" t="s">
        <v>1105</v>
      </c>
      <c r="AB720" s="254" t="s">
        <v>1105</v>
      </c>
    </row>
    <row r="721">
      <c r="A721" s="252">
        <v>720.0</v>
      </c>
      <c r="B721" s="251" t="s">
        <v>4808</v>
      </c>
      <c r="C721" s="252">
        <v>1.0</v>
      </c>
      <c r="D721" s="251" t="s">
        <v>4809</v>
      </c>
      <c r="E721" s="251" t="s">
        <v>1178</v>
      </c>
      <c r="F721" s="251" t="s">
        <v>1119</v>
      </c>
      <c r="G721" s="253" t="s">
        <v>4810</v>
      </c>
      <c r="H721" s="252">
        <v>5.0</v>
      </c>
      <c r="I721" s="251" t="s">
        <v>1111</v>
      </c>
      <c r="J721" s="252">
        <v>12.0</v>
      </c>
      <c r="K721" s="252">
        <v>214.0</v>
      </c>
      <c r="L721" s="252">
        <v>80.0</v>
      </c>
      <c r="M721" s="252">
        <v>6730.0</v>
      </c>
      <c r="N721" s="252">
        <v>10162.0</v>
      </c>
      <c r="O721" s="252">
        <v>4.0</v>
      </c>
      <c r="P721" s="252">
        <v>64.0</v>
      </c>
      <c r="Q721" s="252">
        <v>3703.0</v>
      </c>
      <c r="R721" s="251" t="s">
        <v>1099</v>
      </c>
      <c r="S721" s="251" t="s">
        <v>1122</v>
      </c>
      <c r="T721" s="251" t="s">
        <v>1101</v>
      </c>
      <c r="U721" s="252">
        <v>32.0</v>
      </c>
      <c r="V721" s="252">
        <v>32.0</v>
      </c>
      <c r="W721" s="252">
        <v>5.2</v>
      </c>
      <c r="X721" s="251" t="s">
        <v>1102</v>
      </c>
      <c r="Y721" s="251" t="s">
        <v>4811</v>
      </c>
      <c r="Z721" s="251" t="s">
        <v>4812</v>
      </c>
      <c r="AA721" s="254" t="s">
        <v>1105</v>
      </c>
      <c r="AB721" s="254" t="s">
        <v>1105</v>
      </c>
    </row>
    <row r="722">
      <c r="A722" s="252">
        <v>721.0</v>
      </c>
      <c r="B722" s="251" t="s">
        <v>4813</v>
      </c>
      <c r="C722" s="252">
        <v>1.0</v>
      </c>
      <c r="D722" s="251" t="s">
        <v>4814</v>
      </c>
      <c r="E722" s="251" t="s">
        <v>2017</v>
      </c>
      <c r="F722" s="251" t="s">
        <v>1215</v>
      </c>
      <c r="G722" s="253" t="s">
        <v>4815</v>
      </c>
      <c r="H722" s="252">
        <v>2.0</v>
      </c>
      <c r="I722" s="251" t="s">
        <v>1121</v>
      </c>
      <c r="J722" s="252">
        <v>10.0</v>
      </c>
      <c r="K722" s="252">
        <v>290.0</v>
      </c>
      <c r="L722" s="252">
        <v>120.0</v>
      </c>
      <c r="M722" s="252">
        <v>12454.0</v>
      </c>
      <c r="N722" s="252">
        <v>20922.0</v>
      </c>
      <c r="O722" s="252">
        <v>12.0</v>
      </c>
      <c r="P722" s="252">
        <v>8.0</v>
      </c>
      <c r="Q722" s="252">
        <v>5617.0</v>
      </c>
      <c r="R722" s="251" t="s">
        <v>1099</v>
      </c>
      <c r="S722" s="251" t="s">
        <v>1100</v>
      </c>
      <c r="T722" s="251" t="s">
        <v>1101</v>
      </c>
      <c r="U722" s="252">
        <v>14.0</v>
      </c>
      <c r="V722" s="252">
        <v>14.0</v>
      </c>
      <c r="W722" s="252">
        <v>5.5</v>
      </c>
      <c r="X722" s="251" t="s">
        <v>1132</v>
      </c>
      <c r="Y722" s="251" t="s">
        <v>4816</v>
      </c>
      <c r="Z722" s="251" t="s">
        <v>4817</v>
      </c>
      <c r="AA722" s="254" t="s">
        <v>1105</v>
      </c>
      <c r="AB722" s="254" t="s">
        <v>1105</v>
      </c>
    </row>
    <row r="723">
      <c r="A723" s="252">
        <v>722.0</v>
      </c>
      <c r="B723" s="251" t="s">
        <v>4818</v>
      </c>
      <c r="C723" s="252">
        <v>1.0</v>
      </c>
      <c r="D723" s="251" t="s">
        <v>4819</v>
      </c>
      <c r="E723" s="251" t="s">
        <v>1970</v>
      </c>
      <c r="F723" s="251" t="s">
        <v>1129</v>
      </c>
      <c r="G723" s="253" t="s">
        <v>4820</v>
      </c>
      <c r="H723" s="252">
        <v>2.0</v>
      </c>
      <c r="I723" s="251" t="s">
        <v>1131</v>
      </c>
      <c r="J723" s="252">
        <v>10.0</v>
      </c>
      <c r="K723" s="252">
        <v>274.0</v>
      </c>
      <c r="L723" s="252">
        <v>80.0</v>
      </c>
      <c r="M723" s="252">
        <v>12346.0</v>
      </c>
      <c r="N723" s="252">
        <v>20494.0</v>
      </c>
      <c r="O723" s="252">
        <v>4.0</v>
      </c>
      <c r="P723" s="252">
        <v>512.0</v>
      </c>
      <c r="Q723" s="252">
        <v>4859.0</v>
      </c>
      <c r="R723" s="251" t="s">
        <v>1099</v>
      </c>
      <c r="S723" s="251" t="s">
        <v>1100</v>
      </c>
      <c r="T723" s="251" t="s">
        <v>1021</v>
      </c>
      <c r="U723" s="252">
        <v>32.0</v>
      </c>
      <c r="V723" s="252">
        <v>14.0</v>
      </c>
      <c r="W723" s="252">
        <v>5.0</v>
      </c>
      <c r="X723" s="251" t="s">
        <v>1113</v>
      </c>
      <c r="Y723" s="251" t="s">
        <v>4821</v>
      </c>
      <c r="Z723" s="251" t="s">
        <v>4822</v>
      </c>
      <c r="AA723" s="254" t="s">
        <v>1105</v>
      </c>
      <c r="AB723" s="254" t="s">
        <v>1105</v>
      </c>
    </row>
    <row r="724">
      <c r="A724" s="252">
        <v>723.0</v>
      </c>
      <c r="B724" s="251" t="s">
        <v>4823</v>
      </c>
      <c r="C724" s="252">
        <v>1.0</v>
      </c>
      <c r="D724" s="251" t="s">
        <v>4824</v>
      </c>
      <c r="E724" s="251" t="s">
        <v>2125</v>
      </c>
      <c r="F724" s="251" t="s">
        <v>1202</v>
      </c>
      <c r="G724" s="253" t="s">
        <v>1566</v>
      </c>
      <c r="H724" s="252">
        <v>2.0</v>
      </c>
      <c r="I724" s="251" t="s">
        <v>1140</v>
      </c>
      <c r="J724" s="252">
        <v>10.0</v>
      </c>
      <c r="K724" s="252">
        <v>488.0</v>
      </c>
      <c r="L724" s="252">
        <v>100.0</v>
      </c>
      <c r="M724" s="252">
        <v>2767.0</v>
      </c>
      <c r="N724" s="252">
        <v>3984.0</v>
      </c>
      <c r="O724" s="252">
        <v>4.0</v>
      </c>
      <c r="P724" s="252">
        <v>64.0</v>
      </c>
      <c r="Q724" s="252">
        <v>4860.0</v>
      </c>
      <c r="R724" s="251" t="s">
        <v>1141</v>
      </c>
      <c r="S724" s="251" t="s">
        <v>1100</v>
      </c>
      <c r="T724" s="251" t="s">
        <v>1101</v>
      </c>
      <c r="U724" s="252">
        <v>48.0</v>
      </c>
      <c r="V724" s="252">
        <v>32.0</v>
      </c>
      <c r="W724" s="252">
        <v>5.0</v>
      </c>
      <c r="X724" s="251" t="s">
        <v>1102</v>
      </c>
      <c r="Y724" s="251" t="s">
        <v>4825</v>
      </c>
      <c r="Z724" s="251" t="s">
        <v>4826</v>
      </c>
      <c r="AA724" s="254" t="s">
        <v>1105</v>
      </c>
      <c r="AB724" s="254" t="s">
        <v>1105</v>
      </c>
    </row>
    <row r="725">
      <c r="A725" s="252">
        <v>724.0</v>
      </c>
      <c r="B725" s="251" t="s">
        <v>4827</v>
      </c>
      <c r="C725" s="252">
        <v>1.0</v>
      </c>
      <c r="D725" s="251" t="s">
        <v>4828</v>
      </c>
      <c r="E725" s="251" t="s">
        <v>1347</v>
      </c>
      <c r="F725" s="251" t="s">
        <v>1129</v>
      </c>
      <c r="G725" s="253" t="s">
        <v>4829</v>
      </c>
      <c r="H725" s="252">
        <v>4.0</v>
      </c>
      <c r="I725" s="251" t="s">
        <v>1140</v>
      </c>
      <c r="J725" s="252">
        <v>8.0</v>
      </c>
      <c r="K725" s="252">
        <v>144.0</v>
      </c>
      <c r="L725" s="252">
        <v>120.0</v>
      </c>
      <c r="M725" s="252">
        <v>10623.0</v>
      </c>
      <c r="N725" s="252">
        <v>17103.0</v>
      </c>
      <c r="O725" s="252">
        <v>4.0</v>
      </c>
      <c r="P725" s="252">
        <v>8.0</v>
      </c>
      <c r="Q725" s="252">
        <v>2555.0</v>
      </c>
      <c r="R725" s="251" t="s">
        <v>1141</v>
      </c>
      <c r="S725" s="251" t="s">
        <v>1122</v>
      </c>
      <c r="T725" s="251" t="s">
        <v>1123</v>
      </c>
      <c r="U725" s="252">
        <v>16.0</v>
      </c>
      <c r="V725" s="252">
        <v>32.0</v>
      </c>
      <c r="W725" s="252">
        <v>5.5</v>
      </c>
      <c r="X725" s="251" t="s">
        <v>1102</v>
      </c>
      <c r="Y725" s="251" t="s">
        <v>4830</v>
      </c>
      <c r="Z725" s="251" t="s">
        <v>4831</v>
      </c>
      <c r="AA725" s="254" t="s">
        <v>1105</v>
      </c>
      <c r="AB725" s="254" t="s">
        <v>1105</v>
      </c>
    </row>
    <row r="726">
      <c r="A726" s="252">
        <v>725.0</v>
      </c>
      <c r="B726" s="251" t="s">
        <v>4832</v>
      </c>
      <c r="C726" s="252">
        <v>1.0</v>
      </c>
      <c r="D726" s="251" t="s">
        <v>4833</v>
      </c>
      <c r="E726" s="251" t="s">
        <v>1108</v>
      </c>
      <c r="F726" s="251" t="s">
        <v>1109</v>
      </c>
      <c r="G726" s="253" t="s">
        <v>4834</v>
      </c>
      <c r="H726" s="252">
        <v>6.0</v>
      </c>
      <c r="I726" s="251" t="s">
        <v>1111</v>
      </c>
      <c r="J726" s="252">
        <v>8.0</v>
      </c>
      <c r="K726" s="252">
        <v>470.0</v>
      </c>
      <c r="L726" s="252">
        <v>80.0</v>
      </c>
      <c r="M726" s="252">
        <v>6308.0</v>
      </c>
      <c r="N726" s="252">
        <v>8578.0</v>
      </c>
      <c r="O726" s="252">
        <v>4.0</v>
      </c>
      <c r="P726" s="252">
        <v>64.0</v>
      </c>
      <c r="Q726" s="252">
        <v>5065.0</v>
      </c>
      <c r="R726" s="251" t="s">
        <v>1141</v>
      </c>
      <c r="S726" s="251" t="s">
        <v>1100</v>
      </c>
      <c r="T726" s="251" t="s">
        <v>1021</v>
      </c>
      <c r="U726" s="252">
        <v>32.0</v>
      </c>
      <c r="V726" s="252">
        <v>32.0</v>
      </c>
      <c r="W726" s="252">
        <v>5.2</v>
      </c>
      <c r="X726" s="251" t="s">
        <v>1102</v>
      </c>
      <c r="Y726" s="251" t="s">
        <v>4835</v>
      </c>
      <c r="Z726" s="251" t="s">
        <v>4836</v>
      </c>
      <c r="AA726" s="254" t="s">
        <v>1105</v>
      </c>
      <c r="AB726" s="254" t="s">
        <v>1105</v>
      </c>
    </row>
    <row r="727">
      <c r="A727" s="252">
        <v>726.0</v>
      </c>
      <c r="B727" s="251" t="s">
        <v>4837</v>
      </c>
      <c r="C727" s="252">
        <v>1.0</v>
      </c>
      <c r="D727" s="251" t="s">
        <v>4838</v>
      </c>
      <c r="E727" s="251" t="s">
        <v>1195</v>
      </c>
      <c r="F727" s="251" t="s">
        <v>1109</v>
      </c>
      <c r="G727" s="253" t="s">
        <v>4839</v>
      </c>
      <c r="H727" s="252">
        <v>4.0</v>
      </c>
      <c r="I727" s="251" t="s">
        <v>1121</v>
      </c>
      <c r="J727" s="252">
        <v>10.0</v>
      </c>
      <c r="K727" s="252">
        <v>113.0</v>
      </c>
      <c r="L727" s="252">
        <v>120.0</v>
      </c>
      <c r="M727" s="252">
        <v>6967.0</v>
      </c>
      <c r="N727" s="252">
        <v>9335.0</v>
      </c>
      <c r="O727" s="252">
        <v>4.0</v>
      </c>
      <c r="P727" s="252">
        <v>128.0</v>
      </c>
      <c r="Q727" s="252">
        <v>4951.0</v>
      </c>
      <c r="R727" s="251" t="s">
        <v>1099</v>
      </c>
      <c r="S727" s="251" t="s">
        <v>1122</v>
      </c>
      <c r="T727" s="251" t="s">
        <v>1123</v>
      </c>
      <c r="U727" s="252">
        <v>32.0</v>
      </c>
      <c r="V727" s="252">
        <v>48.0</v>
      </c>
      <c r="W727" s="252">
        <v>5.2</v>
      </c>
      <c r="X727" s="251" t="s">
        <v>1102</v>
      </c>
      <c r="Y727" s="251" t="s">
        <v>4840</v>
      </c>
      <c r="Z727" s="251" t="s">
        <v>4841</v>
      </c>
      <c r="AA727" s="254" t="s">
        <v>1105</v>
      </c>
      <c r="AB727" s="254" t="s">
        <v>1105</v>
      </c>
    </row>
    <row r="728">
      <c r="A728" s="252">
        <v>727.0</v>
      </c>
      <c r="B728" s="251" t="s">
        <v>4842</v>
      </c>
      <c r="C728" s="252">
        <v>1.0</v>
      </c>
      <c r="D728" s="251" t="s">
        <v>4843</v>
      </c>
      <c r="E728" s="251" t="s">
        <v>2378</v>
      </c>
      <c r="F728" s="251" t="s">
        <v>1233</v>
      </c>
      <c r="G728" s="253" t="s">
        <v>4844</v>
      </c>
      <c r="H728" s="252">
        <v>5.0</v>
      </c>
      <c r="I728" s="251" t="s">
        <v>1131</v>
      </c>
      <c r="J728" s="252">
        <v>8.0</v>
      </c>
      <c r="K728" s="252">
        <v>922.0</v>
      </c>
      <c r="L728" s="252">
        <v>120.0</v>
      </c>
      <c r="M728" s="252">
        <v>21209.0</v>
      </c>
      <c r="N728" s="252">
        <v>26087.0</v>
      </c>
      <c r="O728" s="252">
        <v>8.0</v>
      </c>
      <c r="P728" s="252">
        <v>128.0</v>
      </c>
      <c r="Q728" s="252">
        <v>3006.0</v>
      </c>
      <c r="R728" s="251" t="s">
        <v>1141</v>
      </c>
      <c r="S728" s="251" t="s">
        <v>1122</v>
      </c>
      <c r="T728" s="251" t="s">
        <v>1123</v>
      </c>
      <c r="U728" s="252">
        <v>14.0</v>
      </c>
      <c r="V728" s="252">
        <v>16.0</v>
      </c>
      <c r="W728" s="252">
        <v>4.7</v>
      </c>
      <c r="X728" s="251" t="s">
        <v>1132</v>
      </c>
      <c r="Y728" s="251" t="s">
        <v>4845</v>
      </c>
      <c r="Z728" s="251" t="s">
        <v>4846</v>
      </c>
      <c r="AA728" s="254" t="s">
        <v>1105</v>
      </c>
      <c r="AB728" s="254" t="s">
        <v>1105</v>
      </c>
    </row>
    <row r="729">
      <c r="A729" s="252">
        <v>728.0</v>
      </c>
      <c r="B729" s="251" t="s">
        <v>4847</v>
      </c>
      <c r="C729" s="252">
        <v>1.0</v>
      </c>
      <c r="D729" s="251" t="s">
        <v>4848</v>
      </c>
      <c r="E729" s="251" t="s">
        <v>1627</v>
      </c>
      <c r="F729" s="251" t="s">
        <v>1160</v>
      </c>
      <c r="G729" s="253" t="s">
        <v>4849</v>
      </c>
      <c r="H729" s="252">
        <v>2.0</v>
      </c>
      <c r="I729" s="251" t="s">
        <v>1121</v>
      </c>
      <c r="J729" s="252">
        <v>12.0</v>
      </c>
      <c r="K729" s="252">
        <v>415.0</v>
      </c>
      <c r="L729" s="252">
        <v>120.0</v>
      </c>
      <c r="M729" s="252">
        <v>17104.0</v>
      </c>
      <c r="N729" s="252">
        <v>28221.0</v>
      </c>
      <c r="O729" s="252">
        <v>8.0</v>
      </c>
      <c r="P729" s="252">
        <v>64.0</v>
      </c>
      <c r="Q729" s="252">
        <v>3040.0</v>
      </c>
      <c r="R729" s="251" t="s">
        <v>1099</v>
      </c>
      <c r="S729" s="251" t="s">
        <v>1122</v>
      </c>
      <c r="T729" s="251" t="s">
        <v>1101</v>
      </c>
      <c r="U729" s="252">
        <v>48.0</v>
      </c>
      <c r="V729" s="252">
        <v>32.0</v>
      </c>
      <c r="W729" s="252">
        <v>6.3</v>
      </c>
      <c r="X729" s="251" t="s">
        <v>1113</v>
      </c>
      <c r="Y729" s="251" t="s">
        <v>4850</v>
      </c>
      <c r="Z729" s="251" t="s">
        <v>4851</v>
      </c>
      <c r="AA729" s="254" t="s">
        <v>1105</v>
      </c>
      <c r="AB729" s="254" t="s">
        <v>1105</v>
      </c>
    </row>
    <row r="730">
      <c r="A730" s="252">
        <v>729.0</v>
      </c>
      <c r="B730" s="251" t="s">
        <v>4852</v>
      </c>
      <c r="C730" s="252">
        <v>1.0</v>
      </c>
      <c r="D730" s="251" t="s">
        <v>4853</v>
      </c>
      <c r="E730" s="251" t="s">
        <v>2114</v>
      </c>
      <c r="F730" s="251" t="s">
        <v>1138</v>
      </c>
      <c r="G730" s="253" t="s">
        <v>4854</v>
      </c>
      <c r="H730" s="252">
        <v>3.0</v>
      </c>
      <c r="I730" s="251" t="s">
        <v>1140</v>
      </c>
      <c r="J730" s="252">
        <v>10.0</v>
      </c>
      <c r="K730" s="252">
        <v>191.0</v>
      </c>
      <c r="L730" s="252">
        <v>100.0</v>
      </c>
      <c r="M730" s="252">
        <v>5156.0</v>
      </c>
      <c r="N730" s="252">
        <v>8713.0</v>
      </c>
      <c r="O730" s="252">
        <v>2.0</v>
      </c>
      <c r="P730" s="252">
        <v>8.0</v>
      </c>
      <c r="Q730" s="252">
        <v>3090.0</v>
      </c>
      <c r="R730" s="251" t="s">
        <v>1141</v>
      </c>
      <c r="S730" s="251" t="s">
        <v>1100</v>
      </c>
      <c r="T730" s="251" t="s">
        <v>1021</v>
      </c>
      <c r="U730" s="252">
        <v>14.0</v>
      </c>
      <c r="V730" s="252">
        <v>48.0</v>
      </c>
      <c r="W730" s="252">
        <v>5.2</v>
      </c>
      <c r="X730" s="251" t="s">
        <v>1102</v>
      </c>
      <c r="Y730" s="251" t="s">
        <v>4855</v>
      </c>
      <c r="Z730" s="251" t="s">
        <v>4856</v>
      </c>
      <c r="AA730" s="254" t="s">
        <v>1105</v>
      </c>
      <c r="AB730" s="254" t="s">
        <v>1105</v>
      </c>
    </row>
    <row r="731">
      <c r="A731" s="252">
        <v>730.0</v>
      </c>
      <c r="B731" s="251" t="s">
        <v>4857</v>
      </c>
      <c r="C731" s="252">
        <v>1.0</v>
      </c>
      <c r="D731" s="251" t="s">
        <v>4858</v>
      </c>
      <c r="E731" s="251" t="s">
        <v>1239</v>
      </c>
      <c r="F731" s="251" t="s">
        <v>1119</v>
      </c>
      <c r="G731" s="253" t="s">
        <v>4859</v>
      </c>
      <c r="H731" s="252">
        <v>4.0</v>
      </c>
      <c r="I731" s="251" t="s">
        <v>1121</v>
      </c>
      <c r="J731" s="252">
        <v>8.0</v>
      </c>
      <c r="K731" s="252">
        <v>735.0</v>
      </c>
      <c r="L731" s="252">
        <v>120.0</v>
      </c>
      <c r="M731" s="252">
        <v>11368.0</v>
      </c>
      <c r="N731" s="252">
        <v>15801.0</v>
      </c>
      <c r="O731" s="252">
        <v>2.0</v>
      </c>
      <c r="P731" s="252">
        <v>8.0</v>
      </c>
      <c r="Q731" s="252">
        <v>2652.0</v>
      </c>
      <c r="R731" s="251" t="s">
        <v>1112</v>
      </c>
      <c r="S731" s="251" t="s">
        <v>1122</v>
      </c>
      <c r="T731" s="251" t="s">
        <v>1123</v>
      </c>
      <c r="U731" s="252">
        <v>12.0</v>
      </c>
      <c r="V731" s="252">
        <v>14.0</v>
      </c>
      <c r="W731" s="252">
        <v>4.7</v>
      </c>
      <c r="X731" s="251" t="s">
        <v>1132</v>
      </c>
      <c r="Y731" s="251" t="s">
        <v>4860</v>
      </c>
      <c r="Z731" s="251" t="s">
        <v>4861</v>
      </c>
      <c r="AA731" s="254" t="s">
        <v>1105</v>
      </c>
      <c r="AB731" s="254" t="s">
        <v>1105</v>
      </c>
    </row>
    <row r="732">
      <c r="A732" s="252">
        <v>731.0</v>
      </c>
      <c r="B732" s="251" t="s">
        <v>4862</v>
      </c>
      <c r="C732" s="252">
        <v>1.0</v>
      </c>
      <c r="D732" s="251" t="s">
        <v>4863</v>
      </c>
      <c r="E732" s="251" t="s">
        <v>1266</v>
      </c>
      <c r="F732" s="251" t="s">
        <v>1096</v>
      </c>
      <c r="G732" s="253" t="s">
        <v>4864</v>
      </c>
      <c r="H732" s="252">
        <v>3.0</v>
      </c>
      <c r="I732" s="251" t="s">
        <v>1131</v>
      </c>
      <c r="J732" s="252">
        <v>12.0</v>
      </c>
      <c r="K732" s="252">
        <v>950.0</v>
      </c>
      <c r="L732" s="252">
        <v>120.0</v>
      </c>
      <c r="M732" s="252">
        <v>9668.0</v>
      </c>
      <c r="N732" s="252">
        <v>14888.0</v>
      </c>
      <c r="O732" s="252">
        <v>8.0</v>
      </c>
      <c r="P732" s="252">
        <v>64.0</v>
      </c>
      <c r="Q732" s="252">
        <v>3823.0</v>
      </c>
      <c r="R732" s="251" t="s">
        <v>1141</v>
      </c>
      <c r="S732" s="251" t="s">
        <v>1122</v>
      </c>
      <c r="T732" s="251" t="s">
        <v>1101</v>
      </c>
      <c r="U732" s="252">
        <v>14.0</v>
      </c>
      <c r="V732" s="252">
        <v>16.0</v>
      </c>
      <c r="W732" s="252">
        <v>6.0</v>
      </c>
      <c r="X732" s="251" t="s">
        <v>1132</v>
      </c>
      <c r="Y732" s="251" t="s">
        <v>4865</v>
      </c>
      <c r="Z732" s="251" t="s">
        <v>4866</v>
      </c>
      <c r="AA732" s="254" t="s">
        <v>1105</v>
      </c>
      <c r="AB732" s="254" t="s">
        <v>1105</v>
      </c>
    </row>
    <row r="733">
      <c r="A733" s="252">
        <v>732.0</v>
      </c>
      <c r="B733" s="251" t="s">
        <v>4867</v>
      </c>
      <c r="C733" s="252">
        <v>1.0</v>
      </c>
      <c r="D733" s="251" t="s">
        <v>4868</v>
      </c>
      <c r="E733" s="251" t="s">
        <v>1678</v>
      </c>
      <c r="F733" s="251" t="s">
        <v>1138</v>
      </c>
      <c r="G733" s="253" t="s">
        <v>4869</v>
      </c>
      <c r="H733" s="252">
        <v>4.0</v>
      </c>
      <c r="I733" s="251" t="s">
        <v>1140</v>
      </c>
      <c r="J733" s="252">
        <v>12.0</v>
      </c>
      <c r="K733" s="252">
        <v>441.0</v>
      </c>
      <c r="L733" s="252">
        <v>120.0</v>
      </c>
      <c r="M733" s="252">
        <v>12971.0</v>
      </c>
      <c r="N733" s="252">
        <v>23866.0</v>
      </c>
      <c r="O733" s="252">
        <v>12.0</v>
      </c>
      <c r="P733" s="252">
        <v>64.0</v>
      </c>
      <c r="Q733" s="252">
        <v>5901.0</v>
      </c>
      <c r="R733" s="251" t="s">
        <v>1141</v>
      </c>
      <c r="S733" s="251" t="s">
        <v>1122</v>
      </c>
      <c r="T733" s="251" t="s">
        <v>1101</v>
      </c>
      <c r="U733" s="252">
        <v>14.0</v>
      </c>
      <c r="V733" s="252">
        <v>14.0</v>
      </c>
      <c r="W733" s="252">
        <v>4.7</v>
      </c>
      <c r="X733" s="251" t="s">
        <v>1147</v>
      </c>
      <c r="Y733" s="251" t="s">
        <v>4870</v>
      </c>
      <c r="Z733" s="251" t="s">
        <v>4871</v>
      </c>
      <c r="AA733" s="254" t="s">
        <v>1105</v>
      </c>
      <c r="AB733" s="254" t="s">
        <v>1105</v>
      </c>
    </row>
    <row r="734">
      <c r="A734" s="252">
        <v>733.0</v>
      </c>
      <c r="B734" s="251" t="s">
        <v>4872</v>
      </c>
      <c r="C734" s="252">
        <v>1.0</v>
      </c>
      <c r="D734" s="251" t="s">
        <v>4873</v>
      </c>
      <c r="E734" s="251" t="s">
        <v>1964</v>
      </c>
      <c r="F734" s="251" t="s">
        <v>1129</v>
      </c>
      <c r="G734" s="253" t="s">
        <v>4874</v>
      </c>
      <c r="H734" s="252">
        <v>4.0</v>
      </c>
      <c r="I734" s="251" t="s">
        <v>1131</v>
      </c>
      <c r="J734" s="252">
        <v>8.0</v>
      </c>
      <c r="K734" s="252">
        <v>559.0</v>
      </c>
      <c r="L734" s="252">
        <v>80.0</v>
      </c>
      <c r="M734" s="252">
        <v>2551.0</v>
      </c>
      <c r="N734" s="252">
        <v>3571.0</v>
      </c>
      <c r="O734" s="252">
        <v>6.0</v>
      </c>
      <c r="P734" s="252">
        <v>512.0</v>
      </c>
      <c r="Q734" s="252">
        <v>4937.0</v>
      </c>
      <c r="R734" s="251" t="s">
        <v>1112</v>
      </c>
      <c r="S734" s="251" t="s">
        <v>1100</v>
      </c>
      <c r="T734" s="251" t="s">
        <v>1123</v>
      </c>
      <c r="U734" s="252">
        <v>32.0</v>
      </c>
      <c r="V734" s="252">
        <v>48.0</v>
      </c>
      <c r="W734" s="252">
        <v>6.3</v>
      </c>
      <c r="X734" s="251" t="s">
        <v>1102</v>
      </c>
      <c r="Y734" s="251" t="s">
        <v>4875</v>
      </c>
      <c r="Z734" s="251" t="s">
        <v>4876</v>
      </c>
      <c r="AA734" s="254" t="s">
        <v>1105</v>
      </c>
      <c r="AB734" s="254" t="s">
        <v>1105</v>
      </c>
    </row>
    <row r="735">
      <c r="A735" s="252">
        <v>734.0</v>
      </c>
      <c r="B735" s="251" t="s">
        <v>4877</v>
      </c>
      <c r="C735" s="252">
        <v>1.0</v>
      </c>
      <c r="D735" s="251" t="s">
        <v>4878</v>
      </c>
      <c r="E735" s="251" t="s">
        <v>1381</v>
      </c>
      <c r="F735" s="251" t="s">
        <v>1119</v>
      </c>
      <c r="G735" s="253" t="s">
        <v>4879</v>
      </c>
      <c r="H735" s="252">
        <v>3.0</v>
      </c>
      <c r="I735" s="251" t="s">
        <v>1111</v>
      </c>
      <c r="J735" s="252">
        <v>12.0</v>
      </c>
      <c r="K735" s="252">
        <v>122.0</v>
      </c>
      <c r="L735" s="252">
        <v>80.0</v>
      </c>
      <c r="M735" s="252">
        <v>15837.0</v>
      </c>
      <c r="N735" s="252">
        <v>27081.0</v>
      </c>
      <c r="O735" s="252">
        <v>6.0</v>
      </c>
      <c r="P735" s="252">
        <v>512.0</v>
      </c>
      <c r="Q735" s="252">
        <v>1993.0</v>
      </c>
      <c r="R735" s="251" t="s">
        <v>1112</v>
      </c>
      <c r="S735" s="251" t="s">
        <v>1100</v>
      </c>
      <c r="T735" s="251" t="s">
        <v>1021</v>
      </c>
      <c r="U735" s="252">
        <v>14.0</v>
      </c>
      <c r="V735" s="252">
        <v>14.0</v>
      </c>
      <c r="W735" s="252">
        <v>5.2</v>
      </c>
      <c r="X735" s="251" t="s">
        <v>1113</v>
      </c>
      <c r="Y735" s="251" t="s">
        <v>4880</v>
      </c>
      <c r="Z735" s="251" t="s">
        <v>4881</v>
      </c>
      <c r="AA735" s="254" t="s">
        <v>1105</v>
      </c>
      <c r="AB735" s="254" t="s">
        <v>1105</v>
      </c>
    </row>
    <row r="736">
      <c r="A736" s="252">
        <v>735.0</v>
      </c>
      <c r="B736" s="251" t="s">
        <v>4882</v>
      </c>
      <c r="C736" s="252">
        <v>1.0</v>
      </c>
      <c r="D736" s="251" t="s">
        <v>4883</v>
      </c>
      <c r="E736" s="251" t="s">
        <v>1369</v>
      </c>
      <c r="F736" s="251" t="s">
        <v>1129</v>
      </c>
      <c r="G736" s="253" t="s">
        <v>4884</v>
      </c>
      <c r="H736" s="252">
        <v>2.0</v>
      </c>
      <c r="I736" s="251" t="s">
        <v>1098</v>
      </c>
      <c r="J736" s="252">
        <v>8.0</v>
      </c>
      <c r="K736" s="252">
        <v>87.0</v>
      </c>
      <c r="L736" s="252">
        <v>100.0</v>
      </c>
      <c r="M736" s="252">
        <v>15365.0</v>
      </c>
      <c r="N736" s="252">
        <v>19206.0</v>
      </c>
      <c r="O736" s="252">
        <v>2.0</v>
      </c>
      <c r="P736" s="252">
        <v>32.0</v>
      </c>
      <c r="Q736" s="252">
        <v>1886.0</v>
      </c>
      <c r="R736" s="251" t="s">
        <v>1112</v>
      </c>
      <c r="S736" s="251" t="s">
        <v>1122</v>
      </c>
      <c r="T736" s="251" t="s">
        <v>1021</v>
      </c>
      <c r="U736" s="252">
        <v>48.0</v>
      </c>
      <c r="V736" s="252">
        <v>16.0</v>
      </c>
      <c r="W736" s="252">
        <v>6.0</v>
      </c>
      <c r="X736" s="251" t="s">
        <v>1147</v>
      </c>
      <c r="Y736" s="251" t="s">
        <v>4885</v>
      </c>
      <c r="Z736" s="251" t="s">
        <v>4886</v>
      </c>
      <c r="AA736" s="254" t="s">
        <v>1105</v>
      </c>
      <c r="AB736" s="254" t="s">
        <v>1105</v>
      </c>
    </row>
    <row r="737">
      <c r="A737" s="252">
        <v>736.0</v>
      </c>
      <c r="B737" s="251" t="s">
        <v>4887</v>
      </c>
      <c r="C737" s="252">
        <v>1.0</v>
      </c>
      <c r="D737" s="251" t="s">
        <v>4888</v>
      </c>
      <c r="E737" s="251" t="s">
        <v>1399</v>
      </c>
      <c r="F737" s="251" t="s">
        <v>1138</v>
      </c>
      <c r="G737" s="253" t="s">
        <v>4889</v>
      </c>
      <c r="H737" s="252">
        <v>5.0</v>
      </c>
      <c r="I737" s="251" t="s">
        <v>1131</v>
      </c>
      <c r="J737" s="252">
        <v>12.0</v>
      </c>
      <c r="K737" s="252">
        <v>416.0</v>
      </c>
      <c r="L737" s="252">
        <v>120.0</v>
      </c>
      <c r="M737" s="252">
        <v>11824.0</v>
      </c>
      <c r="N737" s="252">
        <v>19154.0</v>
      </c>
      <c r="O737" s="252">
        <v>4.0</v>
      </c>
      <c r="P737" s="252">
        <v>32.0</v>
      </c>
      <c r="Q737" s="252">
        <v>5131.0</v>
      </c>
      <c r="R737" s="251" t="s">
        <v>1099</v>
      </c>
      <c r="S737" s="251" t="s">
        <v>1100</v>
      </c>
      <c r="T737" s="251" t="s">
        <v>1021</v>
      </c>
      <c r="U737" s="252">
        <v>12.0</v>
      </c>
      <c r="V737" s="252">
        <v>16.0</v>
      </c>
      <c r="W737" s="252">
        <v>5.2</v>
      </c>
      <c r="X737" s="251" t="s">
        <v>1147</v>
      </c>
      <c r="Y737" s="251" t="s">
        <v>4890</v>
      </c>
      <c r="Z737" s="251" t="s">
        <v>4891</v>
      </c>
      <c r="AA737" s="254" t="s">
        <v>1105</v>
      </c>
      <c r="AB737" s="254" t="s">
        <v>1105</v>
      </c>
    </row>
    <row r="738">
      <c r="A738" s="252">
        <v>737.0</v>
      </c>
      <c r="B738" s="251" t="s">
        <v>4892</v>
      </c>
      <c r="C738" s="252">
        <v>1.0</v>
      </c>
      <c r="D738" s="251" t="s">
        <v>4893</v>
      </c>
      <c r="E738" s="251" t="s">
        <v>1347</v>
      </c>
      <c r="F738" s="251" t="s">
        <v>1129</v>
      </c>
      <c r="G738" s="253" t="s">
        <v>4894</v>
      </c>
      <c r="H738" s="252">
        <v>3.0</v>
      </c>
      <c r="I738" s="251" t="s">
        <v>1140</v>
      </c>
      <c r="J738" s="252">
        <v>10.0</v>
      </c>
      <c r="K738" s="252">
        <v>302.0</v>
      </c>
      <c r="L738" s="252">
        <v>80.0</v>
      </c>
      <c r="M738" s="252">
        <v>9393.0</v>
      </c>
      <c r="N738" s="252">
        <v>11553.0</v>
      </c>
      <c r="O738" s="252">
        <v>4.0</v>
      </c>
      <c r="P738" s="252">
        <v>8.0</v>
      </c>
      <c r="Q738" s="252">
        <v>3728.0</v>
      </c>
      <c r="R738" s="251" t="s">
        <v>1141</v>
      </c>
      <c r="S738" s="251" t="s">
        <v>1100</v>
      </c>
      <c r="T738" s="251" t="s">
        <v>1021</v>
      </c>
      <c r="U738" s="252">
        <v>16.0</v>
      </c>
      <c r="V738" s="252">
        <v>48.0</v>
      </c>
      <c r="W738" s="252">
        <v>5.0</v>
      </c>
      <c r="X738" s="251" t="s">
        <v>1132</v>
      </c>
      <c r="Y738" s="251" t="s">
        <v>4895</v>
      </c>
      <c r="Z738" s="251" t="s">
        <v>4896</v>
      </c>
      <c r="AA738" s="254" t="s">
        <v>1105</v>
      </c>
      <c r="AB738" s="254" t="s">
        <v>1105</v>
      </c>
    </row>
    <row r="739">
      <c r="A739" s="252">
        <v>738.0</v>
      </c>
      <c r="B739" s="251" t="s">
        <v>4897</v>
      </c>
      <c r="C739" s="252">
        <v>1.0</v>
      </c>
      <c r="D739" s="251" t="s">
        <v>4898</v>
      </c>
      <c r="E739" s="251" t="s">
        <v>1464</v>
      </c>
      <c r="F739" s="251" t="s">
        <v>1096</v>
      </c>
      <c r="G739" s="253" t="s">
        <v>4899</v>
      </c>
      <c r="H739" s="252">
        <v>2.0</v>
      </c>
      <c r="I739" s="251" t="s">
        <v>1131</v>
      </c>
      <c r="J739" s="252">
        <v>12.0</v>
      </c>
      <c r="K739" s="252">
        <v>725.0</v>
      </c>
      <c r="L739" s="252">
        <v>120.0</v>
      </c>
      <c r="M739" s="252">
        <v>18900.0</v>
      </c>
      <c r="N739" s="252">
        <v>34776.0</v>
      </c>
      <c r="O739" s="252">
        <v>8.0</v>
      </c>
      <c r="P739" s="252">
        <v>512.0</v>
      </c>
      <c r="Q739" s="252">
        <v>2352.0</v>
      </c>
      <c r="R739" s="251" t="s">
        <v>1099</v>
      </c>
      <c r="S739" s="251" t="s">
        <v>1100</v>
      </c>
      <c r="T739" s="251" t="s">
        <v>1021</v>
      </c>
      <c r="U739" s="252">
        <v>14.0</v>
      </c>
      <c r="V739" s="252">
        <v>32.0</v>
      </c>
      <c r="W739" s="252">
        <v>5.0</v>
      </c>
      <c r="X739" s="251" t="s">
        <v>1113</v>
      </c>
      <c r="Y739" s="251" t="s">
        <v>4900</v>
      </c>
      <c r="Z739" s="251" t="s">
        <v>4901</v>
      </c>
      <c r="AA739" s="254" t="s">
        <v>1105</v>
      </c>
      <c r="AB739" s="254" t="s">
        <v>1105</v>
      </c>
    </row>
    <row r="740">
      <c r="A740" s="252">
        <v>739.0</v>
      </c>
      <c r="B740" s="251" t="s">
        <v>4902</v>
      </c>
      <c r="C740" s="252">
        <v>1.0</v>
      </c>
      <c r="D740" s="251" t="s">
        <v>4903</v>
      </c>
      <c r="E740" s="251" t="s">
        <v>1405</v>
      </c>
      <c r="F740" s="251" t="s">
        <v>1202</v>
      </c>
      <c r="G740" s="253" t="s">
        <v>4904</v>
      </c>
      <c r="H740" s="252">
        <v>4.0</v>
      </c>
      <c r="I740" s="251" t="s">
        <v>1098</v>
      </c>
      <c r="J740" s="252">
        <v>10.0</v>
      </c>
      <c r="K740" s="252">
        <v>525.0</v>
      </c>
      <c r="L740" s="252">
        <v>100.0</v>
      </c>
      <c r="M740" s="252">
        <v>2560.0</v>
      </c>
      <c r="N740" s="252">
        <v>3507.0</v>
      </c>
      <c r="O740" s="252">
        <v>8.0</v>
      </c>
      <c r="P740" s="252">
        <v>8.0</v>
      </c>
      <c r="Q740" s="252">
        <v>3995.0</v>
      </c>
      <c r="R740" s="251" t="s">
        <v>1112</v>
      </c>
      <c r="S740" s="251" t="s">
        <v>1100</v>
      </c>
      <c r="T740" s="251" t="s">
        <v>1123</v>
      </c>
      <c r="U740" s="252">
        <v>48.0</v>
      </c>
      <c r="V740" s="252">
        <v>48.0</v>
      </c>
      <c r="W740" s="252">
        <v>6.0</v>
      </c>
      <c r="X740" s="251" t="s">
        <v>1113</v>
      </c>
      <c r="Y740" s="251" t="s">
        <v>4905</v>
      </c>
      <c r="Z740" s="251" t="s">
        <v>4906</v>
      </c>
      <c r="AA740" s="254" t="s">
        <v>1105</v>
      </c>
      <c r="AB740" s="254" t="s">
        <v>1105</v>
      </c>
    </row>
    <row r="741">
      <c r="A741" s="252">
        <v>740.0</v>
      </c>
      <c r="B741" s="251" t="s">
        <v>4907</v>
      </c>
      <c r="C741" s="252">
        <v>1.0</v>
      </c>
      <c r="D741" s="251" t="s">
        <v>4908</v>
      </c>
      <c r="E741" s="251" t="s">
        <v>1232</v>
      </c>
      <c r="F741" s="251" t="s">
        <v>1233</v>
      </c>
      <c r="G741" s="253" t="s">
        <v>4909</v>
      </c>
      <c r="H741" s="252">
        <v>6.0</v>
      </c>
      <c r="I741" s="251" t="s">
        <v>1121</v>
      </c>
      <c r="J741" s="252">
        <v>10.0</v>
      </c>
      <c r="K741" s="252">
        <v>570.0</v>
      </c>
      <c r="L741" s="252">
        <v>120.0</v>
      </c>
      <c r="M741" s="252">
        <v>4789.0</v>
      </c>
      <c r="N741" s="252">
        <v>8811.0</v>
      </c>
      <c r="O741" s="252">
        <v>8.0</v>
      </c>
      <c r="P741" s="252">
        <v>16.0</v>
      </c>
      <c r="Q741" s="252">
        <v>5783.0</v>
      </c>
      <c r="R741" s="251" t="s">
        <v>1112</v>
      </c>
      <c r="S741" s="251" t="s">
        <v>1122</v>
      </c>
      <c r="T741" s="251" t="s">
        <v>1101</v>
      </c>
      <c r="U741" s="252">
        <v>14.0</v>
      </c>
      <c r="V741" s="252">
        <v>14.0</v>
      </c>
      <c r="W741" s="252">
        <v>5.2</v>
      </c>
      <c r="X741" s="251" t="s">
        <v>1132</v>
      </c>
      <c r="Y741" s="251" t="s">
        <v>4910</v>
      </c>
      <c r="Z741" s="251" t="s">
        <v>4911</v>
      </c>
      <c r="AA741" s="254" t="s">
        <v>1105</v>
      </c>
      <c r="AB741" s="254" t="s">
        <v>1105</v>
      </c>
    </row>
    <row r="742">
      <c r="A742" s="252">
        <v>741.0</v>
      </c>
      <c r="B742" s="251" t="s">
        <v>4912</v>
      </c>
      <c r="C742" s="252">
        <v>1.0</v>
      </c>
      <c r="D742" s="251" t="s">
        <v>4913</v>
      </c>
      <c r="E742" s="251" t="s">
        <v>1621</v>
      </c>
      <c r="F742" s="251" t="s">
        <v>1138</v>
      </c>
      <c r="G742" s="253" t="s">
        <v>4914</v>
      </c>
      <c r="H742" s="252">
        <v>5.0</v>
      </c>
      <c r="I742" s="251" t="s">
        <v>1131</v>
      </c>
      <c r="J742" s="252">
        <v>12.0</v>
      </c>
      <c r="K742" s="252">
        <v>264.0</v>
      </c>
      <c r="L742" s="252">
        <v>120.0</v>
      </c>
      <c r="M742" s="252">
        <v>2946.0</v>
      </c>
      <c r="N742" s="252">
        <v>4124.0</v>
      </c>
      <c r="O742" s="252">
        <v>6.0</v>
      </c>
      <c r="P742" s="252">
        <v>8.0</v>
      </c>
      <c r="Q742" s="252">
        <v>5409.0</v>
      </c>
      <c r="R742" s="251" t="s">
        <v>1099</v>
      </c>
      <c r="S742" s="251" t="s">
        <v>1100</v>
      </c>
      <c r="T742" s="251" t="s">
        <v>1123</v>
      </c>
      <c r="U742" s="252">
        <v>48.0</v>
      </c>
      <c r="V742" s="252">
        <v>14.0</v>
      </c>
      <c r="W742" s="252">
        <v>5.0</v>
      </c>
      <c r="X742" s="251" t="s">
        <v>1132</v>
      </c>
      <c r="Y742" s="251" t="s">
        <v>4915</v>
      </c>
      <c r="Z742" s="251" t="s">
        <v>4916</v>
      </c>
      <c r="AA742" s="254" t="s">
        <v>1105</v>
      </c>
      <c r="AB742" s="254" t="s">
        <v>1105</v>
      </c>
    </row>
    <row r="743">
      <c r="A743" s="252">
        <v>742.0</v>
      </c>
      <c r="B743" s="251" t="s">
        <v>4917</v>
      </c>
      <c r="C743" s="252">
        <v>1.0</v>
      </c>
      <c r="D743" s="251" t="s">
        <v>4918</v>
      </c>
      <c r="E743" s="251" t="s">
        <v>2378</v>
      </c>
      <c r="F743" s="251" t="s">
        <v>1233</v>
      </c>
      <c r="G743" s="253" t="s">
        <v>4919</v>
      </c>
      <c r="H743" s="252">
        <v>6.0</v>
      </c>
      <c r="I743" s="251" t="s">
        <v>1140</v>
      </c>
      <c r="J743" s="252">
        <v>10.0</v>
      </c>
      <c r="K743" s="252">
        <v>696.0</v>
      </c>
      <c r="L743" s="252">
        <v>120.0</v>
      </c>
      <c r="M743" s="252">
        <v>10173.0</v>
      </c>
      <c r="N743" s="252">
        <v>12309.0</v>
      </c>
      <c r="O743" s="252">
        <v>8.0</v>
      </c>
      <c r="P743" s="252">
        <v>8.0</v>
      </c>
      <c r="Q743" s="252">
        <v>6453.0</v>
      </c>
      <c r="R743" s="251" t="s">
        <v>1112</v>
      </c>
      <c r="S743" s="251" t="s">
        <v>1100</v>
      </c>
      <c r="T743" s="251" t="s">
        <v>1021</v>
      </c>
      <c r="U743" s="252">
        <v>48.0</v>
      </c>
      <c r="V743" s="252">
        <v>16.0</v>
      </c>
      <c r="W743" s="252">
        <v>5.5</v>
      </c>
      <c r="X743" s="251" t="s">
        <v>1102</v>
      </c>
      <c r="Y743" s="251" t="s">
        <v>4920</v>
      </c>
      <c r="Z743" s="251" t="s">
        <v>4921</v>
      </c>
      <c r="AA743" s="254" t="s">
        <v>1105</v>
      </c>
      <c r="AB743" s="254" t="s">
        <v>1105</v>
      </c>
    </row>
    <row r="744">
      <c r="A744" s="252">
        <v>743.0</v>
      </c>
      <c r="B744" s="251" t="s">
        <v>4922</v>
      </c>
      <c r="C744" s="252">
        <v>1.0</v>
      </c>
      <c r="D744" s="251" t="s">
        <v>4923</v>
      </c>
      <c r="E744" s="251" t="s">
        <v>1470</v>
      </c>
      <c r="F744" s="251" t="s">
        <v>1215</v>
      </c>
      <c r="G744" s="253" t="s">
        <v>4924</v>
      </c>
      <c r="H744" s="252">
        <v>4.0</v>
      </c>
      <c r="I744" s="251" t="s">
        <v>1098</v>
      </c>
      <c r="J744" s="252">
        <v>12.0</v>
      </c>
      <c r="K744" s="252">
        <v>667.0</v>
      </c>
      <c r="L744" s="252">
        <v>120.0</v>
      </c>
      <c r="M744" s="252">
        <v>7567.0</v>
      </c>
      <c r="N744" s="252">
        <v>11274.0</v>
      </c>
      <c r="O744" s="252">
        <v>6.0</v>
      </c>
      <c r="P744" s="252">
        <v>32.0</v>
      </c>
      <c r="Q744" s="252">
        <v>1810.0</v>
      </c>
      <c r="R744" s="251" t="s">
        <v>1141</v>
      </c>
      <c r="S744" s="251" t="s">
        <v>1122</v>
      </c>
      <c r="T744" s="251" t="s">
        <v>1101</v>
      </c>
      <c r="U744" s="252">
        <v>48.0</v>
      </c>
      <c r="V744" s="252">
        <v>12.0</v>
      </c>
      <c r="W744" s="252">
        <v>5.0</v>
      </c>
      <c r="X744" s="251" t="s">
        <v>1147</v>
      </c>
      <c r="Y744" s="251" t="s">
        <v>4925</v>
      </c>
      <c r="Z744" s="251" t="s">
        <v>4926</v>
      </c>
      <c r="AA744" s="254" t="s">
        <v>1105</v>
      </c>
      <c r="AB744" s="254" t="s">
        <v>1105</v>
      </c>
    </row>
    <row r="745">
      <c r="A745" s="252">
        <v>744.0</v>
      </c>
      <c r="B745" s="251" t="s">
        <v>4927</v>
      </c>
      <c r="C745" s="252">
        <v>1.0</v>
      </c>
      <c r="D745" s="251" t="s">
        <v>4928</v>
      </c>
      <c r="E745" s="251" t="s">
        <v>2327</v>
      </c>
      <c r="F745" s="251" t="s">
        <v>1215</v>
      </c>
      <c r="G745" s="253" t="s">
        <v>4929</v>
      </c>
      <c r="H745" s="252">
        <v>6.0</v>
      </c>
      <c r="I745" s="251" t="s">
        <v>1131</v>
      </c>
      <c r="J745" s="252">
        <v>12.0</v>
      </c>
      <c r="K745" s="252">
        <v>908.0</v>
      </c>
      <c r="L745" s="252">
        <v>100.0</v>
      </c>
      <c r="M745" s="252">
        <v>21678.0</v>
      </c>
      <c r="N745" s="252">
        <v>32733.0</v>
      </c>
      <c r="O745" s="252">
        <v>4.0</v>
      </c>
      <c r="P745" s="252">
        <v>128.0</v>
      </c>
      <c r="Q745" s="252">
        <v>2866.0</v>
      </c>
      <c r="R745" s="251" t="s">
        <v>1141</v>
      </c>
      <c r="S745" s="251" t="s">
        <v>1122</v>
      </c>
      <c r="T745" s="251" t="s">
        <v>1101</v>
      </c>
      <c r="U745" s="252">
        <v>12.0</v>
      </c>
      <c r="V745" s="252">
        <v>12.0</v>
      </c>
      <c r="W745" s="252">
        <v>6.3</v>
      </c>
      <c r="X745" s="251" t="s">
        <v>1147</v>
      </c>
      <c r="Y745" s="251" t="s">
        <v>4930</v>
      </c>
      <c r="Z745" s="251" t="s">
        <v>4931</v>
      </c>
      <c r="AA745" s="254" t="s">
        <v>1105</v>
      </c>
      <c r="AB745" s="254" t="s">
        <v>1105</v>
      </c>
    </row>
    <row r="746">
      <c r="A746" s="252">
        <v>745.0</v>
      </c>
      <c r="B746" s="251" t="s">
        <v>4932</v>
      </c>
      <c r="C746" s="252">
        <v>1.0</v>
      </c>
      <c r="D746" s="251" t="s">
        <v>4933</v>
      </c>
      <c r="E746" s="251" t="s">
        <v>2215</v>
      </c>
      <c r="F746" s="251" t="s">
        <v>1119</v>
      </c>
      <c r="G746" s="253" t="s">
        <v>4934</v>
      </c>
      <c r="H746" s="252">
        <v>3.0</v>
      </c>
      <c r="I746" s="251" t="s">
        <v>1098</v>
      </c>
      <c r="J746" s="252">
        <v>12.0</v>
      </c>
      <c r="K746" s="252">
        <v>894.0</v>
      </c>
      <c r="L746" s="252">
        <v>100.0</v>
      </c>
      <c r="M746" s="252">
        <v>19695.0</v>
      </c>
      <c r="N746" s="252">
        <v>30724.0</v>
      </c>
      <c r="O746" s="252">
        <v>2.0</v>
      </c>
      <c r="P746" s="252">
        <v>64.0</v>
      </c>
      <c r="Q746" s="252">
        <v>2023.0</v>
      </c>
      <c r="R746" s="251" t="s">
        <v>1112</v>
      </c>
      <c r="S746" s="251" t="s">
        <v>1100</v>
      </c>
      <c r="T746" s="251" t="s">
        <v>1123</v>
      </c>
      <c r="U746" s="252">
        <v>16.0</v>
      </c>
      <c r="V746" s="252">
        <v>48.0</v>
      </c>
      <c r="W746" s="252">
        <v>5.2</v>
      </c>
      <c r="X746" s="251" t="s">
        <v>1132</v>
      </c>
      <c r="Y746" s="251" t="s">
        <v>4935</v>
      </c>
      <c r="Z746" s="251" t="s">
        <v>4936</v>
      </c>
      <c r="AA746" s="254" t="s">
        <v>1105</v>
      </c>
      <c r="AB746" s="254" t="s">
        <v>1105</v>
      </c>
    </row>
    <row r="747">
      <c r="A747" s="252">
        <v>746.0</v>
      </c>
      <c r="B747" s="251" t="s">
        <v>4937</v>
      </c>
      <c r="C747" s="252">
        <v>1.0</v>
      </c>
      <c r="D747" s="251" t="s">
        <v>4938</v>
      </c>
      <c r="E747" s="251" t="s">
        <v>1836</v>
      </c>
      <c r="F747" s="251" t="s">
        <v>1233</v>
      </c>
      <c r="G747" s="253" t="s">
        <v>4939</v>
      </c>
      <c r="H747" s="252">
        <v>5.0</v>
      </c>
      <c r="I747" s="251" t="s">
        <v>1098</v>
      </c>
      <c r="J747" s="252">
        <v>10.0</v>
      </c>
      <c r="K747" s="252">
        <v>22.0</v>
      </c>
      <c r="L747" s="252">
        <v>120.0</v>
      </c>
      <c r="M747" s="252">
        <v>14742.0</v>
      </c>
      <c r="N747" s="252">
        <v>21375.0</v>
      </c>
      <c r="O747" s="252">
        <v>6.0</v>
      </c>
      <c r="P747" s="252">
        <v>128.0</v>
      </c>
      <c r="Q747" s="252">
        <v>4854.0</v>
      </c>
      <c r="R747" s="251" t="s">
        <v>1141</v>
      </c>
      <c r="S747" s="251" t="s">
        <v>1100</v>
      </c>
      <c r="T747" s="251" t="s">
        <v>1021</v>
      </c>
      <c r="U747" s="252">
        <v>48.0</v>
      </c>
      <c r="V747" s="252">
        <v>16.0</v>
      </c>
      <c r="W747" s="252">
        <v>6.3</v>
      </c>
      <c r="X747" s="251" t="s">
        <v>1147</v>
      </c>
      <c r="Y747" s="251" t="s">
        <v>4940</v>
      </c>
      <c r="Z747" s="251" t="s">
        <v>4941</v>
      </c>
      <c r="AA747" s="254" t="s">
        <v>1105</v>
      </c>
      <c r="AB747" s="254" t="s">
        <v>1105</v>
      </c>
    </row>
    <row r="748">
      <c r="A748" s="252">
        <v>747.0</v>
      </c>
      <c r="B748" s="251" t="s">
        <v>4942</v>
      </c>
      <c r="C748" s="252">
        <v>1.0</v>
      </c>
      <c r="D748" s="251" t="s">
        <v>4943</v>
      </c>
      <c r="E748" s="251" t="s">
        <v>1452</v>
      </c>
      <c r="F748" s="251" t="s">
        <v>1119</v>
      </c>
      <c r="G748" s="253" t="s">
        <v>4944</v>
      </c>
      <c r="H748" s="252">
        <v>6.0</v>
      </c>
      <c r="I748" s="251" t="s">
        <v>1140</v>
      </c>
      <c r="J748" s="252">
        <v>12.0</v>
      </c>
      <c r="K748" s="252">
        <v>457.0</v>
      </c>
      <c r="L748" s="252">
        <v>100.0</v>
      </c>
      <c r="M748" s="252">
        <v>16570.0</v>
      </c>
      <c r="N748" s="252">
        <v>20049.0</v>
      </c>
      <c r="O748" s="252">
        <v>6.0</v>
      </c>
      <c r="P748" s="252">
        <v>64.0</v>
      </c>
      <c r="Q748" s="252">
        <v>5093.0</v>
      </c>
      <c r="R748" s="251" t="s">
        <v>1112</v>
      </c>
      <c r="S748" s="251" t="s">
        <v>1100</v>
      </c>
      <c r="T748" s="251" t="s">
        <v>1101</v>
      </c>
      <c r="U748" s="252">
        <v>48.0</v>
      </c>
      <c r="V748" s="252">
        <v>48.0</v>
      </c>
      <c r="W748" s="252">
        <v>4.7</v>
      </c>
      <c r="X748" s="251" t="s">
        <v>1102</v>
      </c>
      <c r="Y748" s="251" t="s">
        <v>4945</v>
      </c>
      <c r="Z748" s="251" t="s">
        <v>4946</v>
      </c>
      <c r="AA748" s="254" t="s">
        <v>1105</v>
      </c>
      <c r="AB748" s="254" t="s">
        <v>1105</v>
      </c>
    </row>
    <row r="749">
      <c r="A749" s="252">
        <v>748.0</v>
      </c>
      <c r="B749" s="251" t="s">
        <v>4947</v>
      </c>
      <c r="C749" s="252">
        <v>1.0</v>
      </c>
      <c r="D749" s="251" t="s">
        <v>4948</v>
      </c>
      <c r="E749" s="251" t="s">
        <v>1739</v>
      </c>
      <c r="F749" s="251" t="s">
        <v>1233</v>
      </c>
      <c r="G749" s="253" t="s">
        <v>4949</v>
      </c>
      <c r="H749" s="252">
        <v>4.0</v>
      </c>
      <c r="I749" s="251" t="s">
        <v>1140</v>
      </c>
      <c r="J749" s="252">
        <v>12.0</v>
      </c>
      <c r="K749" s="252">
        <v>753.0</v>
      </c>
      <c r="L749" s="252">
        <v>120.0</v>
      </c>
      <c r="M749" s="252">
        <v>12939.0</v>
      </c>
      <c r="N749" s="252">
        <v>23160.0</v>
      </c>
      <c r="O749" s="252">
        <v>4.0</v>
      </c>
      <c r="P749" s="252">
        <v>32.0</v>
      </c>
      <c r="Q749" s="252">
        <v>5924.0</v>
      </c>
      <c r="R749" s="251" t="s">
        <v>1099</v>
      </c>
      <c r="S749" s="251" t="s">
        <v>1122</v>
      </c>
      <c r="T749" s="251" t="s">
        <v>1101</v>
      </c>
      <c r="U749" s="252">
        <v>14.0</v>
      </c>
      <c r="V749" s="252">
        <v>32.0</v>
      </c>
      <c r="W749" s="252">
        <v>5.0</v>
      </c>
      <c r="X749" s="251" t="s">
        <v>1113</v>
      </c>
      <c r="Y749" s="251" t="s">
        <v>4950</v>
      </c>
      <c r="Z749" s="251" t="s">
        <v>4951</v>
      </c>
      <c r="AA749" s="254" t="s">
        <v>1105</v>
      </c>
      <c r="AB749" s="254" t="s">
        <v>1105</v>
      </c>
    </row>
    <row r="750">
      <c r="A750" s="252">
        <v>749.0</v>
      </c>
      <c r="B750" s="251" t="s">
        <v>4952</v>
      </c>
      <c r="C750" s="252">
        <v>1.0</v>
      </c>
      <c r="D750" s="251" t="s">
        <v>4953</v>
      </c>
      <c r="E750" s="251" t="s">
        <v>2450</v>
      </c>
      <c r="F750" s="251" t="s">
        <v>1129</v>
      </c>
      <c r="G750" s="253" t="s">
        <v>4954</v>
      </c>
      <c r="H750" s="252">
        <v>2.0</v>
      </c>
      <c r="I750" s="251" t="s">
        <v>1098</v>
      </c>
      <c r="J750" s="252">
        <v>12.0</v>
      </c>
      <c r="K750" s="252">
        <v>968.0</v>
      </c>
      <c r="L750" s="252">
        <v>100.0</v>
      </c>
      <c r="M750" s="252">
        <v>16707.0</v>
      </c>
      <c r="N750" s="252">
        <v>27232.0</v>
      </c>
      <c r="O750" s="252">
        <v>12.0</v>
      </c>
      <c r="P750" s="252">
        <v>128.0</v>
      </c>
      <c r="Q750" s="252">
        <v>2965.0</v>
      </c>
      <c r="R750" s="251" t="s">
        <v>1141</v>
      </c>
      <c r="S750" s="251" t="s">
        <v>1100</v>
      </c>
      <c r="T750" s="251" t="s">
        <v>1021</v>
      </c>
      <c r="U750" s="252">
        <v>12.0</v>
      </c>
      <c r="V750" s="252">
        <v>32.0</v>
      </c>
      <c r="W750" s="252">
        <v>5.5</v>
      </c>
      <c r="X750" s="251" t="s">
        <v>1132</v>
      </c>
      <c r="Y750" s="251" t="s">
        <v>4955</v>
      </c>
      <c r="Z750" s="251" t="s">
        <v>4956</v>
      </c>
      <c r="AA750" s="254" t="s">
        <v>1105</v>
      </c>
      <c r="AB750" s="254" t="s">
        <v>1105</v>
      </c>
    </row>
    <row r="751">
      <c r="A751" s="252">
        <v>750.0</v>
      </c>
      <c r="B751" s="251" t="s">
        <v>4957</v>
      </c>
      <c r="C751" s="252">
        <v>1.0</v>
      </c>
      <c r="D751" s="251" t="s">
        <v>4958</v>
      </c>
      <c r="E751" s="251" t="s">
        <v>1294</v>
      </c>
      <c r="F751" s="251" t="s">
        <v>1119</v>
      </c>
      <c r="G751" s="253" t="s">
        <v>4959</v>
      </c>
      <c r="H751" s="252">
        <v>6.0</v>
      </c>
      <c r="I751" s="251" t="s">
        <v>1131</v>
      </c>
      <c r="J751" s="252">
        <v>12.0</v>
      </c>
      <c r="K751" s="252">
        <v>886.0</v>
      </c>
      <c r="L751" s="252">
        <v>80.0</v>
      </c>
      <c r="M751" s="252">
        <v>15600.0</v>
      </c>
      <c r="N751" s="252">
        <v>19344.0</v>
      </c>
      <c r="O751" s="252">
        <v>4.0</v>
      </c>
      <c r="P751" s="252">
        <v>512.0</v>
      </c>
      <c r="Q751" s="252">
        <v>3573.0</v>
      </c>
      <c r="R751" s="251" t="s">
        <v>1112</v>
      </c>
      <c r="S751" s="251" t="s">
        <v>1122</v>
      </c>
      <c r="T751" s="251" t="s">
        <v>1101</v>
      </c>
      <c r="U751" s="252">
        <v>32.0</v>
      </c>
      <c r="V751" s="252">
        <v>14.0</v>
      </c>
      <c r="W751" s="252">
        <v>6.0</v>
      </c>
      <c r="X751" s="251" t="s">
        <v>1147</v>
      </c>
      <c r="Y751" s="251" t="s">
        <v>4960</v>
      </c>
      <c r="Z751" s="251" t="s">
        <v>4961</v>
      </c>
      <c r="AA751" s="254" t="s">
        <v>1105</v>
      </c>
      <c r="AB751" s="254" t="s">
        <v>1105</v>
      </c>
    </row>
    <row r="752">
      <c r="A752" s="252">
        <v>751.0</v>
      </c>
      <c r="B752" s="251" t="s">
        <v>4962</v>
      </c>
      <c r="C752" s="252">
        <v>1.0</v>
      </c>
      <c r="D752" s="251" t="s">
        <v>4963</v>
      </c>
      <c r="E752" s="251" t="s">
        <v>1661</v>
      </c>
      <c r="F752" s="251" t="s">
        <v>1233</v>
      </c>
      <c r="G752" s="253" t="s">
        <v>4964</v>
      </c>
      <c r="H752" s="252">
        <v>5.0</v>
      </c>
      <c r="I752" s="251" t="s">
        <v>1111</v>
      </c>
      <c r="J752" s="252">
        <v>12.0</v>
      </c>
      <c r="K752" s="252">
        <v>303.0</v>
      </c>
      <c r="L752" s="252">
        <v>80.0</v>
      </c>
      <c r="M752" s="252">
        <v>20622.0</v>
      </c>
      <c r="N752" s="252">
        <v>31757.0</v>
      </c>
      <c r="O752" s="252">
        <v>8.0</v>
      </c>
      <c r="P752" s="252">
        <v>512.0</v>
      </c>
      <c r="Q752" s="252">
        <v>5223.0</v>
      </c>
      <c r="R752" s="251" t="s">
        <v>1141</v>
      </c>
      <c r="S752" s="251" t="s">
        <v>1100</v>
      </c>
      <c r="T752" s="251" t="s">
        <v>1021</v>
      </c>
      <c r="U752" s="252">
        <v>14.0</v>
      </c>
      <c r="V752" s="252">
        <v>16.0</v>
      </c>
      <c r="W752" s="252">
        <v>5.5</v>
      </c>
      <c r="X752" s="251" t="s">
        <v>1132</v>
      </c>
      <c r="Y752" s="251" t="s">
        <v>4965</v>
      </c>
      <c r="Z752" s="251" t="s">
        <v>4966</v>
      </c>
      <c r="AA752" s="254" t="s">
        <v>1105</v>
      </c>
      <c r="AB752" s="254" t="s">
        <v>1105</v>
      </c>
    </row>
    <row r="753">
      <c r="A753" s="252">
        <v>752.0</v>
      </c>
      <c r="B753" s="251" t="s">
        <v>4967</v>
      </c>
      <c r="C753" s="252">
        <v>1.0</v>
      </c>
      <c r="D753" s="251" t="s">
        <v>4968</v>
      </c>
      <c r="E753" s="251" t="s">
        <v>1874</v>
      </c>
      <c r="F753" s="251" t="s">
        <v>1202</v>
      </c>
      <c r="G753" s="253" t="s">
        <v>4969</v>
      </c>
      <c r="H753" s="252">
        <v>3.0</v>
      </c>
      <c r="I753" s="251" t="s">
        <v>1098</v>
      </c>
      <c r="J753" s="252">
        <v>8.0</v>
      </c>
      <c r="K753" s="252">
        <v>892.0</v>
      </c>
      <c r="L753" s="252">
        <v>100.0</v>
      </c>
      <c r="M753" s="252">
        <v>17063.0</v>
      </c>
      <c r="N753" s="252">
        <v>26788.0</v>
      </c>
      <c r="O753" s="252">
        <v>4.0</v>
      </c>
      <c r="P753" s="252">
        <v>8.0</v>
      </c>
      <c r="Q753" s="252">
        <v>5350.0</v>
      </c>
      <c r="R753" s="251" t="s">
        <v>1141</v>
      </c>
      <c r="S753" s="251" t="s">
        <v>1100</v>
      </c>
      <c r="T753" s="251" t="s">
        <v>1123</v>
      </c>
      <c r="U753" s="252">
        <v>32.0</v>
      </c>
      <c r="V753" s="252">
        <v>16.0</v>
      </c>
      <c r="W753" s="252">
        <v>5.5</v>
      </c>
      <c r="X753" s="251" t="s">
        <v>1102</v>
      </c>
      <c r="Y753" s="251" t="s">
        <v>4970</v>
      </c>
      <c r="Z753" s="251" t="s">
        <v>4971</v>
      </c>
      <c r="AA753" s="254" t="s">
        <v>1105</v>
      </c>
      <c r="AB753" s="254" t="s">
        <v>1105</v>
      </c>
    </row>
    <row r="754">
      <c r="A754" s="252">
        <v>753.0</v>
      </c>
      <c r="B754" s="251" t="s">
        <v>4972</v>
      </c>
      <c r="C754" s="252">
        <v>1.0</v>
      </c>
      <c r="D754" s="251" t="s">
        <v>4973</v>
      </c>
      <c r="E754" s="251" t="s">
        <v>1458</v>
      </c>
      <c r="F754" s="251" t="s">
        <v>1109</v>
      </c>
      <c r="G754" s="253" t="s">
        <v>4974</v>
      </c>
      <c r="H754" s="252">
        <v>2.0</v>
      </c>
      <c r="I754" s="251" t="s">
        <v>1121</v>
      </c>
      <c r="J754" s="252">
        <v>8.0</v>
      </c>
      <c r="K754" s="252">
        <v>641.0</v>
      </c>
      <c r="L754" s="252">
        <v>80.0</v>
      </c>
      <c r="M754" s="252">
        <v>16557.0</v>
      </c>
      <c r="N754" s="252">
        <v>26987.0</v>
      </c>
      <c r="O754" s="252">
        <v>6.0</v>
      </c>
      <c r="P754" s="252">
        <v>8.0</v>
      </c>
      <c r="Q754" s="252">
        <v>3604.0</v>
      </c>
      <c r="R754" s="251" t="s">
        <v>1099</v>
      </c>
      <c r="S754" s="251" t="s">
        <v>1100</v>
      </c>
      <c r="T754" s="251" t="s">
        <v>1123</v>
      </c>
      <c r="U754" s="252">
        <v>14.0</v>
      </c>
      <c r="V754" s="252">
        <v>14.0</v>
      </c>
      <c r="W754" s="252">
        <v>5.5</v>
      </c>
      <c r="X754" s="251" t="s">
        <v>1102</v>
      </c>
      <c r="Y754" s="251" t="s">
        <v>4975</v>
      </c>
      <c r="Z754" s="251" t="s">
        <v>4976</v>
      </c>
      <c r="AA754" s="254" t="s">
        <v>1105</v>
      </c>
      <c r="AB754" s="254" t="s">
        <v>1105</v>
      </c>
    </row>
    <row r="755">
      <c r="A755" s="252">
        <v>754.0</v>
      </c>
      <c r="B755" s="251" t="s">
        <v>4977</v>
      </c>
      <c r="C755" s="252">
        <v>1.0</v>
      </c>
      <c r="D755" s="251" t="s">
        <v>4978</v>
      </c>
      <c r="E755" s="251" t="s">
        <v>1598</v>
      </c>
      <c r="F755" s="251" t="s">
        <v>1153</v>
      </c>
      <c r="G755" s="253" t="s">
        <v>4979</v>
      </c>
      <c r="H755" s="252">
        <v>5.0</v>
      </c>
      <c r="I755" s="251" t="s">
        <v>1121</v>
      </c>
      <c r="J755" s="252">
        <v>12.0</v>
      </c>
      <c r="K755" s="252">
        <v>548.0</v>
      </c>
      <c r="L755" s="252">
        <v>80.0</v>
      </c>
      <c r="M755" s="252">
        <v>9847.0</v>
      </c>
      <c r="N755" s="252">
        <v>16739.0</v>
      </c>
      <c r="O755" s="252">
        <v>8.0</v>
      </c>
      <c r="P755" s="252">
        <v>16.0</v>
      </c>
      <c r="Q755" s="252">
        <v>4658.0</v>
      </c>
      <c r="R755" s="251" t="s">
        <v>1099</v>
      </c>
      <c r="S755" s="251" t="s">
        <v>1100</v>
      </c>
      <c r="T755" s="251" t="s">
        <v>1101</v>
      </c>
      <c r="U755" s="252">
        <v>16.0</v>
      </c>
      <c r="V755" s="252">
        <v>48.0</v>
      </c>
      <c r="W755" s="252">
        <v>5.2</v>
      </c>
      <c r="X755" s="251" t="s">
        <v>1147</v>
      </c>
      <c r="Y755" s="251" t="s">
        <v>4980</v>
      </c>
      <c r="Z755" s="251" t="s">
        <v>4981</v>
      </c>
      <c r="AA755" s="254" t="s">
        <v>1105</v>
      </c>
      <c r="AB755" s="254" t="s">
        <v>1105</v>
      </c>
    </row>
    <row r="756">
      <c r="A756" s="252">
        <v>755.0</v>
      </c>
      <c r="B756" s="251" t="s">
        <v>4982</v>
      </c>
      <c r="C756" s="252">
        <v>1.0</v>
      </c>
      <c r="D756" s="251" t="s">
        <v>4983</v>
      </c>
      <c r="E756" s="251" t="s">
        <v>1137</v>
      </c>
      <c r="F756" s="251" t="s">
        <v>1138</v>
      </c>
      <c r="G756" s="253" t="s">
        <v>4984</v>
      </c>
      <c r="H756" s="252">
        <v>2.0</v>
      </c>
      <c r="I756" s="251" t="s">
        <v>1131</v>
      </c>
      <c r="J756" s="252">
        <v>12.0</v>
      </c>
      <c r="K756" s="252">
        <v>130.0</v>
      </c>
      <c r="L756" s="252">
        <v>120.0</v>
      </c>
      <c r="M756" s="252">
        <v>11611.0</v>
      </c>
      <c r="N756" s="252">
        <v>20435.0</v>
      </c>
      <c r="O756" s="252">
        <v>12.0</v>
      </c>
      <c r="P756" s="252">
        <v>128.0</v>
      </c>
      <c r="Q756" s="252">
        <v>4697.0</v>
      </c>
      <c r="R756" s="251" t="s">
        <v>1099</v>
      </c>
      <c r="S756" s="251" t="s">
        <v>1100</v>
      </c>
      <c r="T756" s="251" t="s">
        <v>1123</v>
      </c>
      <c r="U756" s="252">
        <v>14.0</v>
      </c>
      <c r="V756" s="252">
        <v>16.0</v>
      </c>
      <c r="W756" s="252">
        <v>5.2</v>
      </c>
      <c r="X756" s="251" t="s">
        <v>1132</v>
      </c>
      <c r="Y756" s="251" t="s">
        <v>4985</v>
      </c>
      <c r="Z756" s="251" t="s">
        <v>4986</v>
      </c>
      <c r="AA756" s="254" t="s">
        <v>1105</v>
      </c>
      <c r="AB756" s="254" t="s">
        <v>1105</v>
      </c>
    </row>
    <row r="757">
      <c r="A757" s="252">
        <v>756.0</v>
      </c>
      <c r="B757" s="251" t="s">
        <v>4987</v>
      </c>
      <c r="C757" s="252">
        <v>1.0</v>
      </c>
      <c r="D757" s="251" t="s">
        <v>4988</v>
      </c>
      <c r="E757" s="251" t="s">
        <v>1964</v>
      </c>
      <c r="F757" s="251" t="s">
        <v>1129</v>
      </c>
      <c r="G757" s="253" t="s">
        <v>4989</v>
      </c>
      <c r="H757" s="252">
        <v>4.0</v>
      </c>
      <c r="I757" s="251" t="s">
        <v>1140</v>
      </c>
      <c r="J757" s="252">
        <v>12.0</v>
      </c>
      <c r="K757" s="252">
        <v>38.0</v>
      </c>
      <c r="L757" s="252">
        <v>100.0</v>
      </c>
      <c r="M757" s="252">
        <v>22195.0</v>
      </c>
      <c r="N757" s="252">
        <v>40616.0</v>
      </c>
      <c r="O757" s="252">
        <v>6.0</v>
      </c>
      <c r="P757" s="252">
        <v>128.0</v>
      </c>
      <c r="Q757" s="252">
        <v>3827.0</v>
      </c>
      <c r="R757" s="251" t="s">
        <v>1112</v>
      </c>
      <c r="S757" s="251" t="s">
        <v>1100</v>
      </c>
      <c r="T757" s="251" t="s">
        <v>1021</v>
      </c>
      <c r="U757" s="252">
        <v>32.0</v>
      </c>
      <c r="V757" s="252">
        <v>12.0</v>
      </c>
      <c r="W757" s="252">
        <v>5.5</v>
      </c>
      <c r="X757" s="251" t="s">
        <v>1132</v>
      </c>
      <c r="Y757" s="251" t="s">
        <v>4990</v>
      </c>
      <c r="Z757" s="251" t="s">
        <v>4991</v>
      </c>
      <c r="AA757" s="254" t="s">
        <v>1105</v>
      </c>
      <c r="AB757" s="254" t="s">
        <v>1105</v>
      </c>
    </row>
    <row r="758">
      <c r="A758" s="252">
        <v>757.0</v>
      </c>
      <c r="B758" s="251" t="s">
        <v>4992</v>
      </c>
      <c r="C758" s="252">
        <v>1.0</v>
      </c>
      <c r="D758" s="251" t="s">
        <v>4993</v>
      </c>
      <c r="E758" s="251" t="s">
        <v>1369</v>
      </c>
      <c r="F758" s="251" t="s">
        <v>1129</v>
      </c>
      <c r="G758" s="253" t="s">
        <v>4994</v>
      </c>
      <c r="H758" s="252">
        <v>4.0</v>
      </c>
      <c r="I758" s="251" t="s">
        <v>1131</v>
      </c>
      <c r="J758" s="252">
        <v>10.0</v>
      </c>
      <c r="K758" s="252">
        <v>928.0</v>
      </c>
      <c r="L758" s="252">
        <v>120.0</v>
      </c>
      <c r="M758" s="252">
        <v>14561.0</v>
      </c>
      <c r="N758" s="252">
        <v>19366.0</v>
      </c>
      <c r="O758" s="252">
        <v>12.0</v>
      </c>
      <c r="P758" s="252">
        <v>128.0</v>
      </c>
      <c r="Q758" s="252">
        <v>3621.0</v>
      </c>
      <c r="R758" s="251" t="s">
        <v>1099</v>
      </c>
      <c r="S758" s="251" t="s">
        <v>1100</v>
      </c>
      <c r="T758" s="251" t="s">
        <v>1123</v>
      </c>
      <c r="U758" s="252">
        <v>16.0</v>
      </c>
      <c r="V758" s="252">
        <v>16.0</v>
      </c>
      <c r="W758" s="252">
        <v>6.3</v>
      </c>
      <c r="X758" s="251" t="s">
        <v>1113</v>
      </c>
      <c r="Y758" s="251" t="s">
        <v>4995</v>
      </c>
      <c r="Z758" s="251" t="s">
        <v>4996</v>
      </c>
      <c r="AA758" s="254" t="s">
        <v>1105</v>
      </c>
      <c r="AB758" s="254" t="s">
        <v>1105</v>
      </c>
    </row>
    <row r="759">
      <c r="A759" s="252">
        <v>758.0</v>
      </c>
      <c r="B759" s="251" t="s">
        <v>4997</v>
      </c>
      <c r="C759" s="252">
        <v>1.0</v>
      </c>
      <c r="D759" s="251" t="s">
        <v>4998</v>
      </c>
      <c r="E759" s="251" t="s">
        <v>1201</v>
      </c>
      <c r="F759" s="251" t="s">
        <v>1202</v>
      </c>
      <c r="G759" s="253" t="s">
        <v>4999</v>
      </c>
      <c r="H759" s="252">
        <v>6.0</v>
      </c>
      <c r="I759" s="251" t="s">
        <v>1131</v>
      </c>
      <c r="J759" s="252">
        <v>12.0</v>
      </c>
      <c r="K759" s="252">
        <v>566.0</v>
      </c>
      <c r="L759" s="252">
        <v>80.0</v>
      </c>
      <c r="M759" s="252">
        <v>15108.0</v>
      </c>
      <c r="N759" s="252">
        <v>27043.0</v>
      </c>
      <c r="O759" s="252">
        <v>6.0</v>
      </c>
      <c r="P759" s="252">
        <v>64.0</v>
      </c>
      <c r="Q759" s="252">
        <v>6417.0</v>
      </c>
      <c r="R759" s="251" t="s">
        <v>1099</v>
      </c>
      <c r="S759" s="251" t="s">
        <v>1122</v>
      </c>
      <c r="T759" s="251" t="s">
        <v>1021</v>
      </c>
      <c r="U759" s="252">
        <v>32.0</v>
      </c>
      <c r="V759" s="252">
        <v>12.0</v>
      </c>
      <c r="W759" s="252">
        <v>4.7</v>
      </c>
      <c r="X759" s="251" t="s">
        <v>1102</v>
      </c>
      <c r="Y759" s="251" t="s">
        <v>5000</v>
      </c>
      <c r="Z759" s="251" t="s">
        <v>5001</v>
      </c>
      <c r="AA759" s="254" t="s">
        <v>1105</v>
      </c>
      <c r="AB759" s="254" t="s">
        <v>1105</v>
      </c>
    </row>
    <row r="760">
      <c r="A760" s="252">
        <v>759.0</v>
      </c>
      <c r="B760" s="251" t="s">
        <v>5002</v>
      </c>
      <c r="C760" s="252">
        <v>1.0</v>
      </c>
      <c r="D760" s="251" t="s">
        <v>5003</v>
      </c>
      <c r="E760" s="251" t="s">
        <v>1609</v>
      </c>
      <c r="F760" s="251" t="s">
        <v>1109</v>
      </c>
      <c r="G760" s="253" t="s">
        <v>5004</v>
      </c>
      <c r="H760" s="252">
        <v>3.0</v>
      </c>
      <c r="I760" s="251" t="s">
        <v>1131</v>
      </c>
      <c r="J760" s="252">
        <v>10.0</v>
      </c>
      <c r="K760" s="252">
        <v>784.0</v>
      </c>
      <c r="L760" s="252">
        <v>80.0</v>
      </c>
      <c r="M760" s="252">
        <v>3092.0</v>
      </c>
      <c r="N760" s="252">
        <v>3710.0</v>
      </c>
      <c r="O760" s="252">
        <v>6.0</v>
      </c>
      <c r="P760" s="252">
        <v>16.0</v>
      </c>
      <c r="Q760" s="252">
        <v>4066.0</v>
      </c>
      <c r="R760" s="251" t="s">
        <v>1099</v>
      </c>
      <c r="S760" s="251" t="s">
        <v>1122</v>
      </c>
      <c r="T760" s="251" t="s">
        <v>1101</v>
      </c>
      <c r="U760" s="252">
        <v>16.0</v>
      </c>
      <c r="V760" s="252">
        <v>14.0</v>
      </c>
      <c r="W760" s="252">
        <v>5.2</v>
      </c>
      <c r="X760" s="251" t="s">
        <v>1113</v>
      </c>
      <c r="Y760" s="251" t="s">
        <v>5005</v>
      </c>
      <c r="Z760" s="251" t="s">
        <v>5006</v>
      </c>
      <c r="AA760" s="254" t="s">
        <v>1105</v>
      </c>
      <c r="AB760" s="254" t="s">
        <v>1105</v>
      </c>
    </row>
    <row r="761">
      <c r="A761" s="252">
        <v>760.0</v>
      </c>
      <c r="B761" s="251" t="s">
        <v>5007</v>
      </c>
      <c r="C761" s="252">
        <v>1.0</v>
      </c>
      <c r="D761" s="251" t="s">
        <v>5008</v>
      </c>
      <c r="E761" s="251" t="s">
        <v>1195</v>
      </c>
      <c r="F761" s="251" t="s">
        <v>1109</v>
      </c>
      <c r="G761" s="253" t="s">
        <v>5009</v>
      </c>
      <c r="H761" s="252">
        <v>6.0</v>
      </c>
      <c r="I761" s="251" t="s">
        <v>1098</v>
      </c>
      <c r="J761" s="252">
        <v>8.0</v>
      </c>
      <c r="K761" s="252">
        <v>938.0</v>
      </c>
      <c r="L761" s="252">
        <v>80.0</v>
      </c>
      <c r="M761" s="252">
        <v>20302.0</v>
      </c>
      <c r="N761" s="252">
        <v>32077.0</v>
      </c>
      <c r="O761" s="252">
        <v>2.0</v>
      </c>
      <c r="P761" s="252">
        <v>512.0</v>
      </c>
      <c r="Q761" s="252">
        <v>3990.0</v>
      </c>
      <c r="R761" s="251" t="s">
        <v>1141</v>
      </c>
      <c r="S761" s="251" t="s">
        <v>1122</v>
      </c>
      <c r="T761" s="251" t="s">
        <v>1123</v>
      </c>
      <c r="U761" s="252">
        <v>14.0</v>
      </c>
      <c r="V761" s="252">
        <v>14.0</v>
      </c>
      <c r="W761" s="252">
        <v>4.7</v>
      </c>
      <c r="X761" s="251" t="s">
        <v>1132</v>
      </c>
      <c r="Y761" s="251" t="s">
        <v>5010</v>
      </c>
      <c r="Z761" s="251" t="s">
        <v>5011</v>
      </c>
      <c r="AA761" s="254" t="s">
        <v>1105</v>
      </c>
      <c r="AB761" s="254" t="s">
        <v>1105</v>
      </c>
    </row>
    <row r="762">
      <c r="A762" s="252">
        <v>761.0</v>
      </c>
      <c r="B762" s="251" t="s">
        <v>5012</v>
      </c>
      <c r="C762" s="252">
        <v>1.0</v>
      </c>
      <c r="D762" s="251" t="s">
        <v>5013</v>
      </c>
      <c r="E762" s="251" t="s">
        <v>1347</v>
      </c>
      <c r="F762" s="251" t="s">
        <v>1129</v>
      </c>
      <c r="G762" s="253" t="s">
        <v>5014</v>
      </c>
      <c r="H762" s="252">
        <v>4.0</v>
      </c>
      <c r="I762" s="251" t="s">
        <v>1131</v>
      </c>
      <c r="J762" s="252">
        <v>10.0</v>
      </c>
      <c r="K762" s="252">
        <v>600.0</v>
      </c>
      <c r="L762" s="252">
        <v>100.0</v>
      </c>
      <c r="M762" s="252">
        <v>14735.0</v>
      </c>
      <c r="N762" s="252">
        <v>24312.0</v>
      </c>
      <c r="O762" s="252">
        <v>4.0</v>
      </c>
      <c r="P762" s="252">
        <v>128.0</v>
      </c>
      <c r="Q762" s="252">
        <v>2794.0</v>
      </c>
      <c r="R762" s="251" t="s">
        <v>1112</v>
      </c>
      <c r="S762" s="251" t="s">
        <v>1100</v>
      </c>
      <c r="T762" s="251" t="s">
        <v>1123</v>
      </c>
      <c r="U762" s="252">
        <v>32.0</v>
      </c>
      <c r="V762" s="252">
        <v>16.0</v>
      </c>
      <c r="W762" s="252">
        <v>5.5</v>
      </c>
      <c r="X762" s="251" t="s">
        <v>1132</v>
      </c>
      <c r="Y762" s="251" t="s">
        <v>5015</v>
      </c>
      <c r="Z762" s="251" t="s">
        <v>5016</v>
      </c>
      <c r="AA762" s="254" t="s">
        <v>1105</v>
      </c>
      <c r="AB762" s="254" t="s">
        <v>1105</v>
      </c>
    </row>
    <row r="763">
      <c r="A763" s="252">
        <v>762.0</v>
      </c>
      <c r="B763" s="251" t="s">
        <v>5017</v>
      </c>
      <c r="C763" s="252">
        <v>1.0</v>
      </c>
      <c r="D763" s="251" t="s">
        <v>5018</v>
      </c>
      <c r="E763" s="251" t="s">
        <v>1411</v>
      </c>
      <c r="F763" s="251" t="s">
        <v>1119</v>
      </c>
      <c r="G763" s="253" t="s">
        <v>5019</v>
      </c>
      <c r="H763" s="252">
        <v>4.0</v>
      </c>
      <c r="I763" s="251" t="s">
        <v>1098</v>
      </c>
      <c r="J763" s="252">
        <v>8.0</v>
      </c>
      <c r="K763" s="252">
        <v>179.0</v>
      </c>
      <c r="L763" s="252">
        <v>80.0</v>
      </c>
      <c r="M763" s="252">
        <v>22694.0</v>
      </c>
      <c r="N763" s="252">
        <v>39260.0</v>
      </c>
      <c r="O763" s="252">
        <v>2.0</v>
      </c>
      <c r="P763" s="252">
        <v>8.0</v>
      </c>
      <c r="Q763" s="252">
        <v>5815.0</v>
      </c>
      <c r="R763" s="251" t="s">
        <v>1141</v>
      </c>
      <c r="S763" s="251" t="s">
        <v>1122</v>
      </c>
      <c r="T763" s="251" t="s">
        <v>1101</v>
      </c>
      <c r="U763" s="252">
        <v>32.0</v>
      </c>
      <c r="V763" s="252">
        <v>16.0</v>
      </c>
      <c r="W763" s="252">
        <v>5.5</v>
      </c>
      <c r="X763" s="251" t="s">
        <v>1132</v>
      </c>
      <c r="Y763" s="251" t="s">
        <v>5020</v>
      </c>
      <c r="Z763" s="251" t="s">
        <v>5021</v>
      </c>
      <c r="AA763" s="254" t="s">
        <v>1105</v>
      </c>
      <c r="AB763" s="254" t="s">
        <v>1105</v>
      </c>
    </row>
    <row r="764">
      <c r="A764" s="252">
        <v>763.0</v>
      </c>
      <c r="B764" s="251" t="s">
        <v>5022</v>
      </c>
      <c r="C764" s="252">
        <v>1.0</v>
      </c>
      <c r="D764" s="251" t="s">
        <v>5023</v>
      </c>
      <c r="E764" s="251" t="s">
        <v>1621</v>
      </c>
      <c r="F764" s="251" t="s">
        <v>1138</v>
      </c>
      <c r="G764" s="253" t="s">
        <v>5024</v>
      </c>
      <c r="H764" s="252">
        <v>3.0</v>
      </c>
      <c r="I764" s="251" t="s">
        <v>1140</v>
      </c>
      <c r="J764" s="252">
        <v>8.0</v>
      </c>
      <c r="K764" s="252">
        <v>987.0</v>
      </c>
      <c r="L764" s="252">
        <v>100.0</v>
      </c>
      <c r="M764" s="252">
        <v>7920.0</v>
      </c>
      <c r="N764" s="252">
        <v>13939.0</v>
      </c>
      <c r="O764" s="252">
        <v>8.0</v>
      </c>
      <c r="P764" s="252">
        <v>128.0</v>
      </c>
      <c r="Q764" s="252">
        <v>2786.0</v>
      </c>
      <c r="R764" s="251" t="s">
        <v>1099</v>
      </c>
      <c r="S764" s="251" t="s">
        <v>1122</v>
      </c>
      <c r="T764" s="251" t="s">
        <v>1101</v>
      </c>
      <c r="U764" s="252">
        <v>16.0</v>
      </c>
      <c r="V764" s="252">
        <v>16.0</v>
      </c>
      <c r="W764" s="252">
        <v>5.5</v>
      </c>
      <c r="X764" s="251" t="s">
        <v>1147</v>
      </c>
      <c r="Y764" s="251" t="s">
        <v>5025</v>
      </c>
      <c r="Z764" s="251" t="s">
        <v>5026</v>
      </c>
      <c r="AA764" s="254" t="s">
        <v>1105</v>
      </c>
      <c r="AB764" s="254" t="s">
        <v>1105</v>
      </c>
    </row>
    <row r="765">
      <c r="A765" s="252">
        <v>764.0</v>
      </c>
      <c r="B765" s="251" t="s">
        <v>5027</v>
      </c>
      <c r="C765" s="252">
        <v>1.0</v>
      </c>
      <c r="D765" s="251" t="s">
        <v>5028</v>
      </c>
      <c r="E765" s="251" t="s">
        <v>1486</v>
      </c>
      <c r="F765" s="251" t="s">
        <v>1109</v>
      </c>
      <c r="G765" s="253" t="s">
        <v>5029</v>
      </c>
      <c r="H765" s="252">
        <v>3.0</v>
      </c>
      <c r="I765" s="251" t="s">
        <v>1131</v>
      </c>
      <c r="J765" s="252">
        <v>8.0</v>
      </c>
      <c r="K765" s="252">
        <v>697.0</v>
      </c>
      <c r="L765" s="252">
        <v>120.0</v>
      </c>
      <c r="M765" s="252">
        <v>15888.0</v>
      </c>
      <c r="N765" s="252">
        <v>28439.0</v>
      </c>
      <c r="O765" s="252">
        <v>6.0</v>
      </c>
      <c r="P765" s="252">
        <v>128.0</v>
      </c>
      <c r="Q765" s="252">
        <v>3407.0</v>
      </c>
      <c r="R765" s="251" t="s">
        <v>1099</v>
      </c>
      <c r="S765" s="251" t="s">
        <v>1100</v>
      </c>
      <c r="T765" s="251" t="s">
        <v>1123</v>
      </c>
      <c r="U765" s="252">
        <v>12.0</v>
      </c>
      <c r="V765" s="252">
        <v>48.0</v>
      </c>
      <c r="W765" s="252">
        <v>5.0</v>
      </c>
      <c r="X765" s="251" t="s">
        <v>1132</v>
      </c>
      <c r="Y765" s="251" t="s">
        <v>5030</v>
      </c>
      <c r="Z765" s="251" t="s">
        <v>5031</v>
      </c>
      <c r="AA765" s="254" t="s">
        <v>1105</v>
      </c>
      <c r="AB765" s="254" t="s">
        <v>1105</v>
      </c>
    </row>
    <row r="766">
      <c r="A766" s="252">
        <v>765.0</v>
      </c>
      <c r="B766" s="251" t="s">
        <v>5032</v>
      </c>
      <c r="C766" s="252">
        <v>1.0</v>
      </c>
      <c r="D766" s="251" t="s">
        <v>5033</v>
      </c>
      <c r="E766" s="251" t="s">
        <v>2023</v>
      </c>
      <c r="F766" s="251" t="s">
        <v>1109</v>
      </c>
      <c r="G766" s="253" t="s">
        <v>5034</v>
      </c>
      <c r="H766" s="252">
        <v>4.0</v>
      </c>
      <c r="I766" s="251" t="s">
        <v>1131</v>
      </c>
      <c r="J766" s="252">
        <v>12.0</v>
      </c>
      <c r="K766" s="252">
        <v>235.0</v>
      </c>
      <c r="L766" s="252">
        <v>100.0</v>
      </c>
      <c r="M766" s="252">
        <v>9629.0</v>
      </c>
      <c r="N766" s="252">
        <v>14058.0</v>
      </c>
      <c r="O766" s="252">
        <v>12.0</v>
      </c>
      <c r="P766" s="252">
        <v>64.0</v>
      </c>
      <c r="Q766" s="252">
        <v>3931.0</v>
      </c>
      <c r="R766" s="251" t="s">
        <v>1141</v>
      </c>
      <c r="S766" s="251" t="s">
        <v>1100</v>
      </c>
      <c r="T766" s="251" t="s">
        <v>1021</v>
      </c>
      <c r="U766" s="252">
        <v>48.0</v>
      </c>
      <c r="V766" s="252">
        <v>16.0</v>
      </c>
      <c r="W766" s="252">
        <v>5.0</v>
      </c>
      <c r="X766" s="251" t="s">
        <v>1132</v>
      </c>
      <c r="Y766" s="251" t="s">
        <v>5035</v>
      </c>
      <c r="Z766" s="251" t="s">
        <v>5036</v>
      </c>
      <c r="AA766" s="254" t="s">
        <v>1105</v>
      </c>
      <c r="AB766" s="254" t="s">
        <v>1105</v>
      </c>
    </row>
    <row r="767">
      <c r="A767" s="252">
        <v>766.0</v>
      </c>
      <c r="B767" s="251" t="s">
        <v>5037</v>
      </c>
      <c r="C767" s="252">
        <v>1.0</v>
      </c>
      <c r="D767" s="251" t="s">
        <v>5038</v>
      </c>
      <c r="E767" s="251" t="s">
        <v>1250</v>
      </c>
      <c r="F767" s="251" t="s">
        <v>1153</v>
      </c>
      <c r="G767" s="253" t="s">
        <v>5039</v>
      </c>
      <c r="H767" s="252">
        <v>5.0</v>
      </c>
      <c r="I767" s="251" t="s">
        <v>1098</v>
      </c>
      <c r="J767" s="252">
        <v>8.0</v>
      </c>
      <c r="K767" s="252">
        <v>807.0</v>
      </c>
      <c r="L767" s="252">
        <v>120.0</v>
      </c>
      <c r="M767" s="252">
        <v>4958.0</v>
      </c>
      <c r="N767" s="252">
        <v>6048.0</v>
      </c>
      <c r="O767" s="252">
        <v>12.0</v>
      </c>
      <c r="P767" s="252">
        <v>128.0</v>
      </c>
      <c r="Q767" s="252">
        <v>2836.0</v>
      </c>
      <c r="R767" s="251" t="s">
        <v>1141</v>
      </c>
      <c r="S767" s="251" t="s">
        <v>1100</v>
      </c>
      <c r="T767" s="251" t="s">
        <v>1021</v>
      </c>
      <c r="U767" s="252">
        <v>12.0</v>
      </c>
      <c r="V767" s="252">
        <v>32.0</v>
      </c>
      <c r="W767" s="252">
        <v>5.2</v>
      </c>
      <c r="X767" s="251" t="s">
        <v>1102</v>
      </c>
      <c r="Y767" s="251" t="s">
        <v>5040</v>
      </c>
      <c r="Z767" s="251" t="s">
        <v>5041</v>
      </c>
      <c r="AA767" s="254" t="s">
        <v>1105</v>
      </c>
      <c r="AB767" s="254" t="s">
        <v>1105</v>
      </c>
    </row>
    <row r="768">
      <c r="A768" s="252">
        <v>767.0</v>
      </c>
      <c r="B768" s="251" t="s">
        <v>5042</v>
      </c>
      <c r="C768" s="252">
        <v>1.0</v>
      </c>
      <c r="D768" s="251" t="s">
        <v>5043</v>
      </c>
      <c r="E768" s="251" t="s">
        <v>1294</v>
      </c>
      <c r="F768" s="251" t="s">
        <v>1119</v>
      </c>
      <c r="G768" s="253" t="s">
        <v>5044</v>
      </c>
      <c r="H768" s="252">
        <v>5.0</v>
      </c>
      <c r="I768" s="251" t="s">
        <v>1098</v>
      </c>
      <c r="J768" s="252">
        <v>8.0</v>
      </c>
      <c r="K768" s="252">
        <v>784.0</v>
      </c>
      <c r="L768" s="252">
        <v>100.0</v>
      </c>
      <c r="M768" s="252">
        <v>8318.0</v>
      </c>
      <c r="N768" s="252">
        <v>13891.0</v>
      </c>
      <c r="O768" s="252">
        <v>2.0</v>
      </c>
      <c r="P768" s="252">
        <v>32.0</v>
      </c>
      <c r="Q768" s="252">
        <v>4986.0</v>
      </c>
      <c r="R768" s="251" t="s">
        <v>1112</v>
      </c>
      <c r="S768" s="251" t="s">
        <v>1100</v>
      </c>
      <c r="T768" s="251" t="s">
        <v>1123</v>
      </c>
      <c r="U768" s="252">
        <v>14.0</v>
      </c>
      <c r="V768" s="252">
        <v>48.0</v>
      </c>
      <c r="W768" s="252">
        <v>6.0</v>
      </c>
      <c r="X768" s="251" t="s">
        <v>1132</v>
      </c>
      <c r="Y768" s="251" t="s">
        <v>5045</v>
      </c>
      <c r="Z768" s="251" t="s">
        <v>5046</v>
      </c>
      <c r="AA768" s="254" t="s">
        <v>1105</v>
      </c>
      <c r="AB768" s="254" t="s">
        <v>1105</v>
      </c>
    </row>
    <row r="769">
      <c r="A769" s="252">
        <v>768.0</v>
      </c>
      <c r="B769" s="251" t="s">
        <v>5047</v>
      </c>
      <c r="C769" s="252">
        <v>1.0</v>
      </c>
      <c r="D769" s="251" t="s">
        <v>5048</v>
      </c>
      <c r="E769" s="251" t="s">
        <v>1294</v>
      </c>
      <c r="F769" s="251" t="s">
        <v>1119</v>
      </c>
      <c r="G769" s="253" t="s">
        <v>5049</v>
      </c>
      <c r="H769" s="252">
        <v>4.0</v>
      </c>
      <c r="I769" s="251" t="s">
        <v>1111</v>
      </c>
      <c r="J769" s="252">
        <v>10.0</v>
      </c>
      <c r="K769" s="252">
        <v>695.0</v>
      </c>
      <c r="L769" s="252">
        <v>80.0</v>
      </c>
      <c r="M769" s="252">
        <v>10865.0</v>
      </c>
      <c r="N769" s="252">
        <v>15971.0</v>
      </c>
      <c r="O769" s="252">
        <v>8.0</v>
      </c>
      <c r="P769" s="252">
        <v>512.0</v>
      </c>
      <c r="Q769" s="252">
        <v>3318.0</v>
      </c>
      <c r="R769" s="251" t="s">
        <v>1099</v>
      </c>
      <c r="S769" s="251" t="s">
        <v>1122</v>
      </c>
      <c r="T769" s="251" t="s">
        <v>1021</v>
      </c>
      <c r="U769" s="252">
        <v>16.0</v>
      </c>
      <c r="V769" s="252">
        <v>12.0</v>
      </c>
      <c r="W769" s="252">
        <v>5.5</v>
      </c>
      <c r="X769" s="251" t="s">
        <v>1102</v>
      </c>
      <c r="Y769" s="251" t="s">
        <v>5050</v>
      </c>
      <c r="Z769" s="251" t="s">
        <v>5051</v>
      </c>
      <c r="AA769" s="254" t="s">
        <v>1105</v>
      </c>
      <c r="AB769" s="254" t="s">
        <v>1105</v>
      </c>
    </row>
    <row r="770">
      <c r="A770" s="252">
        <v>769.0</v>
      </c>
      <c r="B770" s="251" t="s">
        <v>5052</v>
      </c>
      <c r="C770" s="252">
        <v>1.0</v>
      </c>
      <c r="D770" s="251" t="s">
        <v>5053</v>
      </c>
      <c r="E770" s="251" t="s">
        <v>1550</v>
      </c>
      <c r="F770" s="251" t="s">
        <v>1109</v>
      </c>
      <c r="G770" s="253" t="s">
        <v>5054</v>
      </c>
      <c r="H770" s="252">
        <v>6.0</v>
      </c>
      <c r="I770" s="251" t="s">
        <v>1131</v>
      </c>
      <c r="J770" s="252">
        <v>8.0</v>
      </c>
      <c r="K770" s="252">
        <v>836.0</v>
      </c>
      <c r="L770" s="252">
        <v>100.0</v>
      </c>
      <c r="M770" s="252">
        <v>16937.0</v>
      </c>
      <c r="N770" s="252">
        <v>21848.0</v>
      </c>
      <c r="O770" s="252">
        <v>6.0</v>
      </c>
      <c r="P770" s="252">
        <v>128.0</v>
      </c>
      <c r="Q770" s="252">
        <v>4287.0</v>
      </c>
      <c r="R770" s="251" t="s">
        <v>1141</v>
      </c>
      <c r="S770" s="251" t="s">
        <v>1100</v>
      </c>
      <c r="T770" s="251" t="s">
        <v>1101</v>
      </c>
      <c r="U770" s="252">
        <v>48.0</v>
      </c>
      <c r="V770" s="252">
        <v>32.0</v>
      </c>
      <c r="W770" s="252">
        <v>5.2</v>
      </c>
      <c r="X770" s="251" t="s">
        <v>1147</v>
      </c>
      <c r="Y770" s="251" t="s">
        <v>5055</v>
      </c>
      <c r="Z770" s="251" t="s">
        <v>5056</v>
      </c>
      <c r="AA770" s="254" t="s">
        <v>1105</v>
      </c>
      <c r="AB770" s="254" t="s">
        <v>1105</v>
      </c>
    </row>
    <row r="771">
      <c r="A771" s="252">
        <v>770.0</v>
      </c>
      <c r="B771" s="251" t="s">
        <v>5057</v>
      </c>
      <c r="C771" s="252">
        <v>1.0</v>
      </c>
      <c r="D771" s="251" t="s">
        <v>5058</v>
      </c>
      <c r="E771" s="251" t="s">
        <v>1201</v>
      </c>
      <c r="F771" s="251" t="s">
        <v>1202</v>
      </c>
      <c r="G771" s="253" t="s">
        <v>5059</v>
      </c>
      <c r="H771" s="252">
        <v>4.0</v>
      </c>
      <c r="I771" s="251" t="s">
        <v>1131</v>
      </c>
      <c r="J771" s="252">
        <v>12.0</v>
      </c>
      <c r="K771" s="252">
        <v>907.0</v>
      </c>
      <c r="L771" s="252">
        <v>80.0</v>
      </c>
      <c r="M771" s="252">
        <v>4318.0</v>
      </c>
      <c r="N771" s="252">
        <v>5613.0</v>
      </c>
      <c r="O771" s="252">
        <v>6.0</v>
      </c>
      <c r="P771" s="252">
        <v>32.0</v>
      </c>
      <c r="Q771" s="252">
        <v>4126.0</v>
      </c>
      <c r="R771" s="251" t="s">
        <v>1141</v>
      </c>
      <c r="S771" s="251" t="s">
        <v>1122</v>
      </c>
      <c r="T771" s="251" t="s">
        <v>1123</v>
      </c>
      <c r="U771" s="252">
        <v>14.0</v>
      </c>
      <c r="V771" s="252">
        <v>32.0</v>
      </c>
      <c r="W771" s="252">
        <v>5.5</v>
      </c>
      <c r="X771" s="251" t="s">
        <v>1132</v>
      </c>
      <c r="Y771" s="251" t="s">
        <v>5060</v>
      </c>
      <c r="Z771" s="251" t="s">
        <v>5061</v>
      </c>
      <c r="AA771" s="254" t="s">
        <v>1105</v>
      </c>
      <c r="AB771" s="254" t="s">
        <v>1105</v>
      </c>
    </row>
    <row r="772">
      <c r="A772" s="252">
        <v>771.0</v>
      </c>
      <c r="B772" s="251" t="s">
        <v>5062</v>
      </c>
      <c r="C772" s="252">
        <v>1.0</v>
      </c>
      <c r="D772" s="251" t="s">
        <v>5063</v>
      </c>
      <c r="E772" s="251" t="s">
        <v>1958</v>
      </c>
      <c r="F772" s="251" t="s">
        <v>1215</v>
      </c>
      <c r="G772" s="253" t="s">
        <v>5064</v>
      </c>
      <c r="H772" s="252">
        <v>6.0</v>
      </c>
      <c r="I772" s="251" t="s">
        <v>1131</v>
      </c>
      <c r="J772" s="252">
        <v>8.0</v>
      </c>
      <c r="K772" s="252">
        <v>255.0</v>
      </c>
      <c r="L772" s="252">
        <v>100.0</v>
      </c>
      <c r="M772" s="252">
        <v>21565.0</v>
      </c>
      <c r="N772" s="252">
        <v>25878.0</v>
      </c>
      <c r="O772" s="252">
        <v>12.0</v>
      </c>
      <c r="P772" s="252">
        <v>8.0</v>
      </c>
      <c r="Q772" s="252">
        <v>2449.0</v>
      </c>
      <c r="R772" s="251" t="s">
        <v>1099</v>
      </c>
      <c r="S772" s="251" t="s">
        <v>1122</v>
      </c>
      <c r="T772" s="251" t="s">
        <v>1123</v>
      </c>
      <c r="U772" s="252">
        <v>48.0</v>
      </c>
      <c r="V772" s="252">
        <v>14.0</v>
      </c>
      <c r="W772" s="252">
        <v>6.0</v>
      </c>
      <c r="X772" s="251" t="s">
        <v>1147</v>
      </c>
      <c r="Y772" s="251" t="s">
        <v>5065</v>
      </c>
      <c r="Z772" s="251" t="s">
        <v>5066</v>
      </c>
      <c r="AA772" s="254" t="s">
        <v>1105</v>
      </c>
      <c r="AB772" s="254" t="s">
        <v>1105</v>
      </c>
    </row>
    <row r="773">
      <c r="A773" s="252">
        <v>772.0</v>
      </c>
      <c r="B773" s="251" t="s">
        <v>5067</v>
      </c>
      <c r="C773" s="252">
        <v>1.0</v>
      </c>
      <c r="D773" s="251" t="s">
        <v>5068</v>
      </c>
      <c r="E773" s="251" t="s">
        <v>1159</v>
      </c>
      <c r="F773" s="251" t="s">
        <v>1160</v>
      </c>
      <c r="G773" s="253" t="s">
        <v>5069</v>
      </c>
      <c r="H773" s="252">
        <v>5.0</v>
      </c>
      <c r="I773" s="251" t="s">
        <v>1131</v>
      </c>
      <c r="J773" s="252">
        <v>12.0</v>
      </c>
      <c r="K773" s="252">
        <v>144.0</v>
      </c>
      <c r="L773" s="252">
        <v>100.0</v>
      </c>
      <c r="M773" s="252">
        <v>19948.0</v>
      </c>
      <c r="N773" s="252">
        <v>26131.0</v>
      </c>
      <c r="O773" s="252">
        <v>2.0</v>
      </c>
      <c r="P773" s="252">
        <v>8.0</v>
      </c>
      <c r="Q773" s="252">
        <v>4848.0</v>
      </c>
      <c r="R773" s="251" t="s">
        <v>1112</v>
      </c>
      <c r="S773" s="251" t="s">
        <v>1100</v>
      </c>
      <c r="T773" s="251" t="s">
        <v>1123</v>
      </c>
      <c r="U773" s="252">
        <v>16.0</v>
      </c>
      <c r="V773" s="252">
        <v>12.0</v>
      </c>
      <c r="W773" s="252">
        <v>4.7</v>
      </c>
      <c r="X773" s="251" t="s">
        <v>1113</v>
      </c>
      <c r="Y773" s="251" t="s">
        <v>5070</v>
      </c>
      <c r="Z773" s="251" t="s">
        <v>5071</v>
      </c>
      <c r="AA773" s="254" t="s">
        <v>1105</v>
      </c>
      <c r="AB773" s="254" t="s">
        <v>1105</v>
      </c>
    </row>
    <row r="774">
      <c r="A774" s="252">
        <v>773.0</v>
      </c>
      <c r="B774" s="251" t="s">
        <v>5072</v>
      </c>
      <c r="C774" s="252">
        <v>1.0</v>
      </c>
      <c r="D774" s="251" t="s">
        <v>5073</v>
      </c>
      <c r="E774" s="251" t="s">
        <v>1627</v>
      </c>
      <c r="F774" s="251" t="s">
        <v>1160</v>
      </c>
      <c r="G774" s="253" t="s">
        <v>5074</v>
      </c>
      <c r="H774" s="252">
        <v>6.0</v>
      </c>
      <c r="I774" s="251" t="s">
        <v>1140</v>
      </c>
      <c r="J774" s="252">
        <v>10.0</v>
      </c>
      <c r="K774" s="252">
        <v>457.0</v>
      </c>
      <c r="L774" s="252">
        <v>120.0</v>
      </c>
      <c r="M774" s="252">
        <v>22996.0</v>
      </c>
      <c r="N774" s="252">
        <v>30354.0</v>
      </c>
      <c r="O774" s="252">
        <v>2.0</v>
      </c>
      <c r="P774" s="252">
        <v>512.0</v>
      </c>
      <c r="Q774" s="252">
        <v>4671.0</v>
      </c>
      <c r="R774" s="251" t="s">
        <v>1141</v>
      </c>
      <c r="S774" s="251" t="s">
        <v>1122</v>
      </c>
      <c r="T774" s="251" t="s">
        <v>1021</v>
      </c>
      <c r="U774" s="252">
        <v>32.0</v>
      </c>
      <c r="V774" s="252">
        <v>32.0</v>
      </c>
      <c r="W774" s="252">
        <v>5.2</v>
      </c>
      <c r="X774" s="251" t="s">
        <v>1132</v>
      </c>
      <c r="Y774" s="251" t="s">
        <v>5075</v>
      </c>
      <c r="Z774" s="251" t="s">
        <v>5076</v>
      </c>
      <c r="AA774" s="254" t="s">
        <v>1105</v>
      </c>
      <c r="AB774" s="254" t="s">
        <v>1105</v>
      </c>
    </row>
    <row r="775">
      <c r="A775" s="252">
        <v>774.0</v>
      </c>
      <c r="B775" s="251" t="s">
        <v>5077</v>
      </c>
      <c r="C775" s="252">
        <v>1.0</v>
      </c>
      <c r="D775" s="251" t="s">
        <v>5078</v>
      </c>
      <c r="E775" s="251" t="s">
        <v>1422</v>
      </c>
      <c r="F775" s="251" t="s">
        <v>1138</v>
      </c>
      <c r="G775" s="253" t="s">
        <v>5079</v>
      </c>
      <c r="H775" s="252">
        <v>2.0</v>
      </c>
      <c r="I775" s="251" t="s">
        <v>1098</v>
      </c>
      <c r="J775" s="252">
        <v>12.0</v>
      </c>
      <c r="K775" s="252">
        <v>239.0</v>
      </c>
      <c r="L775" s="252">
        <v>120.0</v>
      </c>
      <c r="M775" s="252">
        <v>13227.0</v>
      </c>
      <c r="N775" s="252">
        <v>18914.0</v>
      </c>
      <c r="O775" s="252">
        <v>2.0</v>
      </c>
      <c r="P775" s="252">
        <v>512.0</v>
      </c>
      <c r="Q775" s="252">
        <v>2999.0</v>
      </c>
      <c r="R775" s="251" t="s">
        <v>1099</v>
      </c>
      <c r="S775" s="251" t="s">
        <v>1100</v>
      </c>
      <c r="T775" s="251" t="s">
        <v>1123</v>
      </c>
      <c r="U775" s="252">
        <v>32.0</v>
      </c>
      <c r="V775" s="252">
        <v>12.0</v>
      </c>
      <c r="W775" s="252">
        <v>6.3</v>
      </c>
      <c r="X775" s="251" t="s">
        <v>1132</v>
      </c>
      <c r="Y775" s="251" t="s">
        <v>5080</v>
      </c>
      <c r="Z775" s="251" t="s">
        <v>5081</v>
      </c>
      <c r="AA775" s="254" t="s">
        <v>1105</v>
      </c>
      <c r="AB775" s="254" t="s">
        <v>1105</v>
      </c>
    </row>
    <row r="776">
      <c r="A776" s="252">
        <v>775.0</v>
      </c>
      <c r="B776" s="251" t="s">
        <v>5082</v>
      </c>
      <c r="C776" s="252">
        <v>1.0</v>
      </c>
      <c r="D776" s="251" t="s">
        <v>5083</v>
      </c>
      <c r="E776" s="251" t="s">
        <v>2399</v>
      </c>
      <c r="F776" s="251" t="s">
        <v>1215</v>
      </c>
      <c r="G776" s="253" t="s">
        <v>5084</v>
      </c>
      <c r="H776" s="252">
        <v>3.0</v>
      </c>
      <c r="I776" s="251" t="s">
        <v>1140</v>
      </c>
      <c r="J776" s="252">
        <v>10.0</v>
      </c>
      <c r="K776" s="252">
        <v>889.0</v>
      </c>
      <c r="L776" s="252">
        <v>80.0</v>
      </c>
      <c r="M776" s="252">
        <v>10346.0</v>
      </c>
      <c r="N776" s="252">
        <v>13760.0</v>
      </c>
      <c r="O776" s="252">
        <v>2.0</v>
      </c>
      <c r="P776" s="252">
        <v>16.0</v>
      </c>
      <c r="Q776" s="252">
        <v>3025.0</v>
      </c>
      <c r="R776" s="251" t="s">
        <v>1141</v>
      </c>
      <c r="S776" s="251" t="s">
        <v>1122</v>
      </c>
      <c r="T776" s="251" t="s">
        <v>1101</v>
      </c>
      <c r="U776" s="252">
        <v>32.0</v>
      </c>
      <c r="V776" s="252">
        <v>32.0</v>
      </c>
      <c r="W776" s="252">
        <v>6.0</v>
      </c>
      <c r="X776" s="251" t="s">
        <v>1147</v>
      </c>
      <c r="Y776" s="251" t="s">
        <v>5085</v>
      </c>
      <c r="Z776" s="251" t="s">
        <v>5086</v>
      </c>
      <c r="AA776" s="254" t="s">
        <v>1105</v>
      </c>
      <c r="AB776" s="254" t="s">
        <v>1105</v>
      </c>
    </row>
    <row r="777">
      <c r="A777" s="252">
        <v>776.0</v>
      </c>
      <c r="B777" s="251" t="s">
        <v>5087</v>
      </c>
      <c r="C777" s="252">
        <v>1.0</v>
      </c>
      <c r="D777" s="251" t="s">
        <v>5088</v>
      </c>
      <c r="E777" s="251" t="s">
        <v>1428</v>
      </c>
      <c r="F777" s="251" t="s">
        <v>1138</v>
      </c>
      <c r="G777" s="253" t="s">
        <v>5089</v>
      </c>
      <c r="H777" s="252">
        <v>2.0</v>
      </c>
      <c r="I777" s="251" t="s">
        <v>1121</v>
      </c>
      <c r="J777" s="252">
        <v>12.0</v>
      </c>
      <c r="K777" s="252">
        <v>795.0</v>
      </c>
      <c r="L777" s="252">
        <v>80.0</v>
      </c>
      <c r="M777" s="252">
        <v>15587.0</v>
      </c>
      <c r="N777" s="252">
        <v>27588.0</v>
      </c>
      <c r="O777" s="252">
        <v>4.0</v>
      </c>
      <c r="P777" s="252">
        <v>16.0</v>
      </c>
      <c r="Q777" s="252">
        <v>4438.0</v>
      </c>
      <c r="R777" s="251" t="s">
        <v>1099</v>
      </c>
      <c r="S777" s="251" t="s">
        <v>1122</v>
      </c>
      <c r="T777" s="251" t="s">
        <v>1021</v>
      </c>
      <c r="U777" s="252">
        <v>16.0</v>
      </c>
      <c r="V777" s="252">
        <v>14.0</v>
      </c>
      <c r="W777" s="252">
        <v>5.0</v>
      </c>
      <c r="X777" s="251" t="s">
        <v>1147</v>
      </c>
      <c r="Y777" s="251" t="s">
        <v>5090</v>
      </c>
      <c r="Z777" s="251" t="s">
        <v>5091</v>
      </c>
      <c r="AA777" s="254" t="s">
        <v>1105</v>
      </c>
      <c r="AB777" s="254" t="s">
        <v>1105</v>
      </c>
    </row>
    <row r="778">
      <c r="A778" s="252">
        <v>777.0</v>
      </c>
      <c r="B778" s="251" t="s">
        <v>5092</v>
      </c>
      <c r="C778" s="252">
        <v>1.0</v>
      </c>
      <c r="D778" s="251" t="s">
        <v>5093</v>
      </c>
      <c r="E778" s="251" t="s">
        <v>1689</v>
      </c>
      <c r="F778" s="251" t="s">
        <v>1109</v>
      </c>
      <c r="G778" s="253" t="s">
        <v>5094</v>
      </c>
      <c r="H778" s="252">
        <v>6.0</v>
      </c>
      <c r="I778" s="251" t="s">
        <v>1131</v>
      </c>
      <c r="J778" s="252">
        <v>10.0</v>
      </c>
      <c r="K778" s="252">
        <v>488.0</v>
      </c>
      <c r="L778" s="252">
        <v>120.0</v>
      </c>
      <c r="M778" s="252">
        <v>3142.0</v>
      </c>
      <c r="N778" s="252">
        <v>4210.0</v>
      </c>
      <c r="O778" s="252">
        <v>2.0</v>
      </c>
      <c r="P778" s="252">
        <v>8.0</v>
      </c>
      <c r="Q778" s="252">
        <v>2994.0</v>
      </c>
      <c r="R778" s="251" t="s">
        <v>1099</v>
      </c>
      <c r="S778" s="251" t="s">
        <v>1100</v>
      </c>
      <c r="T778" s="251" t="s">
        <v>1123</v>
      </c>
      <c r="U778" s="252">
        <v>48.0</v>
      </c>
      <c r="V778" s="252">
        <v>16.0</v>
      </c>
      <c r="W778" s="252">
        <v>6.0</v>
      </c>
      <c r="X778" s="251" t="s">
        <v>1113</v>
      </c>
      <c r="Y778" s="251" t="s">
        <v>5095</v>
      </c>
      <c r="Z778" s="251" t="s">
        <v>5096</v>
      </c>
      <c r="AA778" s="254" t="s">
        <v>1105</v>
      </c>
      <c r="AB778" s="254" t="s">
        <v>1105</v>
      </c>
    </row>
    <row r="779">
      <c r="A779" s="252">
        <v>778.0</v>
      </c>
      <c r="B779" s="251" t="s">
        <v>5097</v>
      </c>
      <c r="C779" s="252">
        <v>1.0</v>
      </c>
      <c r="D779" s="251" t="s">
        <v>5098</v>
      </c>
      <c r="E779" s="251" t="s">
        <v>1712</v>
      </c>
      <c r="F779" s="251" t="s">
        <v>1109</v>
      </c>
      <c r="G779" s="253" t="s">
        <v>5099</v>
      </c>
      <c r="H779" s="252">
        <v>2.0</v>
      </c>
      <c r="I779" s="251" t="s">
        <v>1111</v>
      </c>
      <c r="J779" s="252">
        <v>12.0</v>
      </c>
      <c r="K779" s="252">
        <v>97.0</v>
      </c>
      <c r="L779" s="252">
        <v>80.0</v>
      </c>
      <c r="M779" s="252">
        <v>22050.0</v>
      </c>
      <c r="N779" s="252">
        <v>36823.0</v>
      </c>
      <c r="O779" s="252">
        <v>2.0</v>
      </c>
      <c r="P779" s="252">
        <v>16.0</v>
      </c>
      <c r="Q779" s="252">
        <v>1804.0</v>
      </c>
      <c r="R779" s="251" t="s">
        <v>1099</v>
      </c>
      <c r="S779" s="251" t="s">
        <v>1122</v>
      </c>
      <c r="T779" s="251" t="s">
        <v>1123</v>
      </c>
      <c r="U779" s="252">
        <v>32.0</v>
      </c>
      <c r="V779" s="252">
        <v>32.0</v>
      </c>
      <c r="W779" s="252">
        <v>5.0</v>
      </c>
      <c r="X779" s="251" t="s">
        <v>1132</v>
      </c>
      <c r="Y779" s="251" t="s">
        <v>5100</v>
      </c>
      <c r="Z779" s="251" t="s">
        <v>5101</v>
      </c>
      <c r="AA779" s="254" t="s">
        <v>1105</v>
      </c>
      <c r="AB779" s="254" t="s">
        <v>1105</v>
      </c>
    </row>
    <row r="780">
      <c r="A780" s="252">
        <v>779.0</v>
      </c>
      <c r="B780" s="251" t="s">
        <v>5102</v>
      </c>
      <c r="C780" s="252">
        <v>1.0</v>
      </c>
      <c r="D780" s="251" t="s">
        <v>5103</v>
      </c>
      <c r="E780" s="251" t="s">
        <v>1335</v>
      </c>
      <c r="F780" s="251" t="s">
        <v>1215</v>
      </c>
      <c r="G780" s="253" t="s">
        <v>1931</v>
      </c>
      <c r="H780" s="252">
        <v>3.0</v>
      </c>
      <c r="I780" s="251" t="s">
        <v>1098</v>
      </c>
      <c r="J780" s="252">
        <v>10.0</v>
      </c>
      <c r="K780" s="252">
        <v>609.0</v>
      </c>
      <c r="L780" s="252">
        <v>120.0</v>
      </c>
      <c r="M780" s="252">
        <v>15771.0</v>
      </c>
      <c r="N780" s="252">
        <v>26337.0</v>
      </c>
      <c r="O780" s="252">
        <v>12.0</v>
      </c>
      <c r="P780" s="252">
        <v>128.0</v>
      </c>
      <c r="Q780" s="252">
        <v>2162.0</v>
      </c>
      <c r="R780" s="251" t="s">
        <v>1141</v>
      </c>
      <c r="S780" s="251" t="s">
        <v>1100</v>
      </c>
      <c r="T780" s="251" t="s">
        <v>1021</v>
      </c>
      <c r="U780" s="252">
        <v>16.0</v>
      </c>
      <c r="V780" s="252">
        <v>48.0</v>
      </c>
      <c r="W780" s="252">
        <v>5.5</v>
      </c>
      <c r="X780" s="251" t="s">
        <v>1147</v>
      </c>
      <c r="Y780" s="251" t="s">
        <v>5104</v>
      </c>
      <c r="Z780" s="251" t="s">
        <v>5105</v>
      </c>
      <c r="AA780" s="254" t="s">
        <v>1105</v>
      </c>
      <c r="AB780" s="254" t="s">
        <v>1105</v>
      </c>
    </row>
    <row r="781">
      <c r="A781" s="252">
        <v>780.0</v>
      </c>
      <c r="B781" s="251" t="s">
        <v>5106</v>
      </c>
      <c r="C781" s="252">
        <v>1.0</v>
      </c>
      <c r="D781" s="251" t="s">
        <v>5107</v>
      </c>
      <c r="E781" s="251" t="s">
        <v>1627</v>
      </c>
      <c r="F781" s="251" t="s">
        <v>1160</v>
      </c>
      <c r="G781" s="253" t="s">
        <v>5108</v>
      </c>
      <c r="H781" s="252">
        <v>2.0</v>
      </c>
      <c r="I781" s="251" t="s">
        <v>1131</v>
      </c>
      <c r="J781" s="252">
        <v>8.0</v>
      </c>
      <c r="K781" s="252">
        <v>759.0</v>
      </c>
      <c r="L781" s="252">
        <v>120.0</v>
      </c>
      <c r="M781" s="252">
        <v>4253.0</v>
      </c>
      <c r="N781" s="252">
        <v>6039.0</v>
      </c>
      <c r="O781" s="252">
        <v>4.0</v>
      </c>
      <c r="P781" s="252">
        <v>64.0</v>
      </c>
      <c r="Q781" s="252">
        <v>5646.0</v>
      </c>
      <c r="R781" s="251" t="s">
        <v>1141</v>
      </c>
      <c r="S781" s="251" t="s">
        <v>1122</v>
      </c>
      <c r="T781" s="251" t="s">
        <v>1021</v>
      </c>
      <c r="U781" s="252">
        <v>48.0</v>
      </c>
      <c r="V781" s="252">
        <v>14.0</v>
      </c>
      <c r="W781" s="252">
        <v>5.2</v>
      </c>
      <c r="X781" s="251" t="s">
        <v>1102</v>
      </c>
      <c r="Y781" s="251" t="s">
        <v>5109</v>
      </c>
      <c r="Z781" s="251" t="s">
        <v>5110</v>
      </c>
      <c r="AA781" s="254" t="s">
        <v>1105</v>
      </c>
      <c r="AB781" s="254" t="s">
        <v>1105</v>
      </c>
    </row>
    <row r="782">
      <c r="A782" s="252">
        <v>781.0</v>
      </c>
      <c r="B782" s="251" t="s">
        <v>5111</v>
      </c>
      <c r="C782" s="252">
        <v>1.0</v>
      </c>
      <c r="D782" s="251" t="s">
        <v>5112</v>
      </c>
      <c r="E782" s="251" t="s">
        <v>1341</v>
      </c>
      <c r="F782" s="251" t="s">
        <v>1215</v>
      </c>
      <c r="G782" s="253" t="s">
        <v>5113</v>
      </c>
      <c r="H782" s="252">
        <v>5.0</v>
      </c>
      <c r="I782" s="251" t="s">
        <v>1111</v>
      </c>
      <c r="J782" s="252">
        <v>10.0</v>
      </c>
      <c r="K782" s="252">
        <v>127.0</v>
      </c>
      <c r="L782" s="252">
        <v>120.0</v>
      </c>
      <c r="M782" s="252">
        <v>3912.0</v>
      </c>
      <c r="N782" s="252">
        <v>7041.0</v>
      </c>
      <c r="O782" s="252">
        <v>2.0</v>
      </c>
      <c r="P782" s="252">
        <v>512.0</v>
      </c>
      <c r="Q782" s="252">
        <v>5355.0</v>
      </c>
      <c r="R782" s="251" t="s">
        <v>1141</v>
      </c>
      <c r="S782" s="251" t="s">
        <v>1100</v>
      </c>
      <c r="T782" s="251" t="s">
        <v>1123</v>
      </c>
      <c r="U782" s="252">
        <v>16.0</v>
      </c>
      <c r="V782" s="252">
        <v>14.0</v>
      </c>
      <c r="W782" s="252">
        <v>5.2</v>
      </c>
      <c r="X782" s="251" t="s">
        <v>1102</v>
      </c>
      <c r="Y782" s="251" t="s">
        <v>5114</v>
      </c>
      <c r="Z782" s="251" t="s">
        <v>5115</v>
      </c>
      <c r="AA782" s="254" t="s">
        <v>1105</v>
      </c>
      <c r="AB782" s="254" t="s">
        <v>1105</v>
      </c>
    </row>
    <row r="783">
      <c r="A783" s="252">
        <v>782.0</v>
      </c>
      <c r="B783" s="251" t="s">
        <v>5116</v>
      </c>
      <c r="C783" s="252">
        <v>1.0</v>
      </c>
      <c r="D783" s="251" t="s">
        <v>5117</v>
      </c>
      <c r="E783" s="251" t="s">
        <v>1440</v>
      </c>
      <c r="F783" s="251" t="s">
        <v>1233</v>
      </c>
      <c r="G783" s="253" t="s">
        <v>5118</v>
      </c>
      <c r="H783" s="252">
        <v>6.0</v>
      </c>
      <c r="I783" s="251" t="s">
        <v>1098</v>
      </c>
      <c r="J783" s="252">
        <v>12.0</v>
      </c>
      <c r="K783" s="252">
        <v>409.0</v>
      </c>
      <c r="L783" s="252">
        <v>100.0</v>
      </c>
      <c r="M783" s="252">
        <v>8573.0</v>
      </c>
      <c r="N783" s="252">
        <v>11144.0</v>
      </c>
      <c r="O783" s="252">
        <v>6.0</v>
      </c>
      <c r="P783" s="252">
        <v>8.0</v>
      </c>
      <c r="Q783" s="252">
        <v>5872.0</v>
      </c>
      <c r="R783" s="251" t="s">
        <v>1141</v>
      </c>
      <c r="S783" s="251" t="s">
        <v>1100</v>
      </c>
      <c r="T783" s="251" t="s">
        <v>1021</v>
      </c>
      <c r="U783" s="252">
        <v>14.0</v>
      </c>
      <c r="V783" s="252">
        <v>48.0</v>
      </c>
      <c r="W783" s="252">
        <v>6.3</v>
      </c>
      <c r="X783" s="251" t="s">
        <v>1113</v>
      </c>
      <c r="Y783" s="251" t="s">
        <v>5119</v>
      </c>
      <c r="Z783" s="251" t="s">
        <v>5120</v>
      </c>
      <c r="AA783" s="254" t="s">
        <v>1105</v>
      </c>
      <c r="AB783" s="254" t="s">
        <v>1105</v>
      </c>
    </row>
    <row r="784">
      <c r="A784" s="252">
        <v>783.0</v>
      </c>
      <c r="B784" s="251" t="s">
        <v>5121</v>
      </c>
      <c r="C784" s="252">
        <v>1.0</v>
      </c>
      <c r="D784" s="251" t="s">
        <v>5122</v>
      </c>
      <c r="E784" s="251" t="s">
        <v>1446</v>
      </c>
      <c r="F784" s="251" t="s">
        <v>1160</v>
      </c>
      <c r="G784" s="253" t="s">
        <v>5123</v>
      </c>
      <c r="H784" s="252">
        <v>3.0</v>
      </c>
      <c r="I784" s="251" t="s">
        <v>1098</v>
      </c>
      <c r="J784" s="252">
        <v>8.0</v>
      </c>
      <c r="K784" s="252">
        <v>389.0</v>
      </c>
      <c r="L784" s="252">
        <v>100.0</v>
      </c>
      <c r="M784" s="252">
        <v>3483.0</v>
      </c>
      <c r="N784" s="252">
        <v>6060.0</v>
      </c>
      <c r="O784" s="252">
        <v>4.0</v>
      </c>
      <c r="P784" s="252">
        <v>64.0</v>
      </c>
      <c r="Q784" s="252">
        <v>6456.0</v>
      </c>
      <c r="R784" s="251" t="s">
        <v>1141</v>
      </c>
      <c r="S784" s="251" t="s">
        <v>1100</v>
      </c>
      <c r="T784" s="251" t="s">
        <v>1021</v>
      </c>
      <c r="U784" s="252">
        <v>12.0</v>
      </c>
      <c r="V784" s="252">
        <v>48.0</v>
      </c>
      <c r="W784" s="252">
        <v>5.5</v>
      </c>
      <c r="X784" s="251" t="s">
        <v>1132</v>
      </c>
      <c r="Y784" s="251" t="s">
        <v>5124</v>
      </c>
      <c r="Z784" s="251" t="s">
        <v>5125</v>
      </c>
      <c r="AA784" s="254" t="s">
        <v>1105</v>
      </c>
      <c r="AB784" s="254" t="s">
        <v>1105</v>
      </c>
    </row>
    <row r="785">
      <c r="A785" s="252">
        <v>784.0</v>
      </c>
      <c r="B785" s="251" t="s">
        <v>5126</v>
      </c>
      <c r="C785" s="252">
        <v>1.0</v>
      </c>
      <c r="D785" s="251" t="s">
        <v>5127</v>
      </c>
      <c r="E785" s="251" t="s">
        <v>1661</v>
      </c>
      <c r="F785" s="251" t="s">
        <v>1233</v>
      </c>
      <c r="G785" s="253" t="s">
        <v>5128</v>
      </c>
      <c r="H785" s="252">
        <v>5.0</v>
      </c>
      <c r="I785" s="251" t="s">
        <v>1131</v>
      </c>
      <c r="J785" s="252">
        <v>10.0</v>
      </c>
      <c r="K785" s="252">
        <v>727.0</v>
      </c>
      <c r="L785" s="252">
        <v>80.0</v>
      </c>
      <c r="M785" s="252">
        <v>13855.0</v>
      </c>
      <c r="N785" s="252">
        <v>18565.0</v>
      </c>
      <c r="O785" s="252">
        <v>8.0</v>
      </c>
      <c r="P785" s="252">
        <v>8.0</v>
      </c>
      <c r="Q785" s="252">
        <v>5107.0</v>
      </c>
      <c r="R785" s="251" t="s">
        <v>1099</v>
      </c>
      <c r="S785" s="251" t="s">
        <v>1100</v>
      </c>
      <c r="T785" s="251" t="s">
        <v>1101</v>
      </c>
      <c r="U785" s="252">
        <v>14.0</v>
      </c>
      <c r="V785" s="252">
        <v>16.0</v>
      </c>
      <c r="W785" s="252">
        <v>5.5</v>
      </c>
      <c r="X785" s="251" t="s">
        <v>1102</v>
      </c>
      <c r="Y785" s="251" t="s">
        <v>5129</v>
      </c>
      <c r="Z785" s="251" t="s">
        <v>5130</v>
      </c>
      <c r="AA785" s="254" t="s">
        <v>1105</v>
      </c>
      <c r="AB785" s="254" t="s">
        <v>1105</v>
      </c>
    </row>
    <row r="786">
      <c r="A786" s="252">
        <v>785.0</v>
      </c>
      <c r="B786" s="251" t="s">
        <v>5131</v>
      </c>
      <c r="C786" s="252">
        <v>1.0</v>
      </c>
      <c r="D786" s="251" t="s">
        <v>5132</v>
      </c>
      <c r="E786" s="251" t="s">
        <v>2177</v>
      </c>
      <c r="F786" s="251" t="s">
        <v>1129</v>
      </c>
      <c r="G786" s="253" t="s">
        <v>5133</v>
      </c>
      <c r="H786" s="252">
        <v>6.0</v>
      </c>
      <c r="I786" s="251" t="s">
        <v>1098</v>
      </c>
      <c r="J786" s="252">
        <v>8.0</v>
      </c>
      <c r="K786" s="252">
        <v>330.0</v>
      </c>
      <c r="L786" s="252">
        <v>80.0</v>
      </c>
      <c r="M786" s="252">
        <v>15784.0</v>
      </c>
      <c r="N786" s="252">
        <v>27779.0</v>
      </c>
      <c r="O786" s="252">
        <v>4.0</v>
      </c>
      <c r="P786" s="252">
        <v>32.0</v>
      </c>
      <c r="Q786" s="252">
        <v>3432.0</v>
      </c>
      <c r="R786" s="251" t="s">
        <v>1141</v>
      </c>
      <c r="S786" s="251" t="s">
        <v>1100</v>
      </c>
      <c r="T786" s="251" t="s">
        <v>1021</v>
      </c>
      <c r="U786" s="252">
        <v>16.0</v>
      </c>
      <c r="V786" s="252">
        <v>14.0</v>
      </c>
      <c r="W786" s="252">
        <v>6.0</v>
      </c>
      <c r="X786" s="251" t="s">
        <v>1132</v>
      </c>
      <c r="Y786" s="251" t="s">
        <v>5134</v>
      </c>
      <c r="Z786" s="251" t="s">
        <v>5135</v>
      </c>
      <c r="AA786" s="254" t="s">
        <v>1105</v>
      </c>
      <c r="AB786" s="254" t="s">
        <v>1105</v>
      </c>
    </row>
    <row r="787">
      <c r="A787" s="252">
        <v>786.0</v>
      </c>
      <c r="B787" s="251" t="s">
        <v>5136</v>
      </c>
      <c r="C787" s="252">
        <v>1.0</v>
      </c>
      <c r="D787" s="251" t="s">
        <v>5137</v>
      </c>
      <c r="E787" s="251" t="s">
        <v>1250</v>
      </c>
      <c r="F787" s="251" t="s">
        <v>1153</v>
      </c>
      <c r="G787" s="253" t="s">
        <v>5138</v>
      </c>
      <c r="H787" s="252">
        <v>2.0</v>
      </c>
      <c r="I787" s="251" t="s">
        <v>1140</v>
      </c>
      <c r="J787" s="252">
        <v>10.0</v>
      </c>
      <c r="K787" s="252">
        <v>880.0</v>
      </c>
      <c r="L787" s="252">
        <v>80.0</v>
      </c>
      <c r="M787" s="252">
        <v>19270.0</v>
      </c>
      <c r="N787" s="252">
        <v>35456.0</v>
      </c>
      <c r="O787" s="252">
        <v>4.0</v>
      </c>
      <c r="P787" s="252">
        <v>512.0</v>
      </c>
      <c r="Q787" s="252">
        <v>4079.0</v>
      </c>
      <c r="R787" s="251" t="s">
        <v>1112</v>
      </c>
      <c r="S787" s="251" t="s">
        <v>1100</v>
      </c>
      <c r="T787" s="251" t="s">
        <v>1123</v>
      </c>
      <c r="U787" s="252">
        <v>48.0</v>
      </c>
      <c r="V787" s="252">
        <v>14.0</v>
      </c>
      <c r="W787" s="252">
        <v>6.0</v>
      </c>
      <c r="X787" s="251" t="s">
        <v>1147</v>
      </c>
      <c r="Y787" s="251" t="s">
        <v>5139</v>
      </c>
      <c r="Z787" s="251" t="s">
        <v>5140</v>
      </c>
      <c r="AA787" s="254" t="s">
        <v>1105</v>
      </c>
      <c r="AB787" s="254" t="s">
        <v>1105</v>
      </c>
    </row>
    <row r="788">
      <c r="A788" s="252">
        <v>787.0</v>
      </c>
      <c r="B788" s="251" t="s">
        <v>5141</v>
      </c>
      <c r="C788" s="252">
        <v>1.0</v>
      </c>
      <c r="D788" s="251" t="s">
        <v>5142</v>
      </c>
      <c r="E788" s="251" t="s">
        <v>1232</v>
      </c>
      <c r="F788" s="251" t="s">
        <v>1233</v>
      </c>
      <c r="G788" s="253" t="s">
        <v>5143</v>
      </c>
      <c r="H788" s="252">
        <v>5.0</v>
      </c>
      <c r="I788" s="251" t="s">
        <v>1140</v>
      </c>
      <c r="J788" s="252">
        <v>12.0</v>
      </c>
      <c r="K788" s="252">
        <v>592.0</v>
      </c>
      <c r="L788" s="252">
        <v>120.0</v>
      </c>
      <c r="M788" s="252">
        <v>5952.0</v>
      </c>
      <c r="N788" s="252">
        <v>9344.0</v>
      </c>
      <c r="O788" s="252">
        <v>8.0</v>
      </c>
      <c r="P788" s="252">
        <v>128.0</v>
      </c>
      <c r="Q788" s="252">
        <v>2850.0</v>
      </c>
      <c r="R788" s="251" t="s">
        <v>1099</v>
      </c>
      <c r="S788" s="251" t="s">
        <v>1100</v>
      </c>
      <c r="T788" s="251" t="s">
        <v>1101</v>
      </c>
      <c r="U788" s="252">
        <v>32.0</v>
      </c>
      <c r="V788" s="252">
        <v>14.0</v>
      </c>
      <c r="W788" s="252">
        <v>5.5</v>
      </c>
      <c r="X788" s="251" t="s">
        <v>1113</v>
      </c>
      <c r="Y788" s="251" t="s">
        <v>5144</v>
      </c>
      <c r="Z788" s="251" t="s">
        <v>5145</v>
      </c>
      <c r="AA788" s="254" t="s">
        <v>1105</v>
      </c>
      <c r="AB788" s="254" t="s">
        <v>1105</v>
      </c>
    </row>
    <row r="789">
      <c r="A789" s="252">
        <v>788.0</v>
      </c>
      <c r="B789" s="251" t="s">
        <v>5146</v>
      </c>
      <c r="C789" s="252">
        <v>1.0</v>
      </c>
      <c r="D789" s="251" t="s">
        <v>5147</v>
      </c>
      <c r="E789" s="251" t="s">
        <v>1780</v>
      </c>
      <c r="F789" s="251" t="s">
        <v>1129</v>
      </c>
      <c r="G789" s="253" t="s">
        <v>5148</v>
      </c>
      <c r="H789" s="252">
        <v>3.0</v>
      </c>
      <c r="I789" s="251" t="s">
        <v>1121</v>
      </c>
      <c r="J789" s="252">
        <v>8.0</v>
      </c>
      <c r="K789" s="252">
        <v>434.0</v>
      </c>
      <c r="L789" s="252">
        <v>100.0</v>
      </c>
      <c r="M789" s="252">
        <v>13160.0</v>
      </c>
      <c r="N789" s="252">
        <v>16581.0</v>
      </c>
      <c r="O789" s="252">
        <v>4.0</v>
      </c>
      <c r="P789" s="252">
        <v>128.0</v>
      </c>
      <c r="Q789" s="252">
        <v>4817.0</v>
      </c>
      <c r="R789" s="251" t="s">
        <v>1099</v>
      </c>
      <c r="S789" s="251" t="s">
        <v>1122</v>
      </c>
      <c r="T789" s="251" t="s">
        <v>1101</v>
      </c>
      <c r="U789" s="252">
        <v>16.0</v>
      </c>
      <c r="V789" s="252">
        <v>12.0</v>
      </c>
      <c r="W789" s="252">
        <v>5.0</v>
      </c>
      <c r="X789" s="251" t="s">
        <v>1132</v>
      </c>
      <c r="Y789" s="251" t="s">
        <v>5149</v>
      </c>
      <c r="Z789" s="251" t="s">
        <v>5150</v>
      </c>
      <c r="AA789" s="254" t="s">
        <v>1105</v>
      </c>
      <c r="AB789" s="254" t="s">
        <v>1105</v>
      </c>
    </row>
    <row r="790">
      <c r="A790" s="252">
        <v>789.0</v>
      </c>
      <c r="B790" s="251" t="s">
        <v>5151</v>
      </c>
      <c r="C790" s="252">
        <v>1.0</v>
      </c>
      <c r="D790" s="251" t="s">
        <v>5152</v>
      </c>
      <c r="E790" s="251" t="s">
        <v>1095</v>
      </c>
      <c r="F790" s="251" t="s">
        <v>1096</v>
      </c>
      <c r="G790" s="253" t="s">
        <v>3040</v>
      </c>
      <c r="H790" s="252">
        <v>2.0</v>
      </c>
      <c r="I790" s="251" t="s">
        <v>1098</v>
      </c>
      <c r="J790" s="252">
        <v>8.0</v>
      </c>
      <c r="K790" s="252">
        <v>439.0</v>
      </c>
      <c r="L790" s="252">
        <v>80.0</v>
      </c>
      <c r="M790" s="252">
        <v>8244.0</v>
      </c>
      <c r="N790" s="252">
        <v>13685.0</v>
      </c>
      <c r="O790" s="252">
        <v>6.0</v>
      </c>
      <c r="P790" s="252">
        <v>128.0</v>
      </c>
      <c r="Q790" s="252">
        <v>3773.0</v>
      </c>
      <c r="R790" s="251" t="s">
        <v>1099</v>
      </c>
      <c r="S790" s="251" t="s">
        <v>1100</v>
      </c>
      <c r="T790" s="251" t="s">
        <v>1123</v>
      </c>
      <c r="U790" s="252">
        <v>32.0</v>
      </c>
      <c r="V790" s="252">
        <v>12.0</v>
      </c>
      <c r="W790" s="252">
        <v>5.0</v>
      </c>
      <c r="X790" s="251" t="s">
        <v>1147</v>
      </c>
      <c r="Y790" s="251" t="s">
        <v>5153</v>
      </c>
      <c r="Z790" s="251" t="s">
        <v>5154</v>
      </c>
      <c r="AA790" s="254" t="s">
        <v>1105</v>
      </c>
      <c r="AB790" s="254" t="s">
        <v>1105</v>
      </c>
    </row>
    <row r="791">
      <c r="A791" s="252">
        <v>790.0</v>
      </c>
      <c r="B791" s="251" t="s">
        <v>5155</v>
      </c>
      <c r="C791" s="252">
        <v>1.0</v>
      </c>
      <c r="D791" s="251" t="s">
        <v>5156</v>
      </c>
      <c r="E791" s="251" t="s">
        <v>1650</v>
      </c>
      <c r="F791" s="251" t="s">
        <v>1160</v>
      </c>
      <c r="G791" s="253" t="s">
        <v>5157</v>
      </c>
      <c r="H791" s="252">
        <v>6.0</v>
      </c>
      <c r="I791" s="251" t="s">
        <v>1121</v>
      </c>
      <c r="J791" s="252">
        <v>10.0</v>
      </c>
      <c r="K791" s="252">
        <v>166.0</v>
      </c>
      <c r="L791" s="252">
        <v>120.0</v>
      </c>
      <c r="M791" s="252">
        <v>14087.0</v>
      </c>
      <c r="N791" s="252">
        <v>24088.0</v>
      </c>
      <c r="O791" s="252">
        <v>2.0</v>
      </c>
      <c r="P791" s="252">
        <v>64.0</v>
      </c>
      <c r="Q791" s="252">
        <v>6122.0</v>
      </c>
      <c r="R791" s="251" t="s">
        <v>1099</v>
      </c>
      <c r="S791" s="251" t="s">
        <v>1100</v>
      </c>
      <c r="T791" s="251" t="s">
        <v>1123</v>
      </c>
      <c r="U791" s="252">
        <v>32.0</v>
      </c>
      <c r="V791" s="252">
        <v>32.0</v>
      </c>
      <c r="W791" s="252">
        <v>5.2</v>
      </c>
      <c r="X791" s="251" t="s">
        <v>1113</v>
      </c>
      <c r="Y791" s="251" t="s">
        <v>5158</v>
      </c>
      <c r="Z791" s="251" t="s">
        <v>5159</v>
      </c>
      <c r="AA791" s="254" t="s">
        <v>1105</v>
      </c>
      <c r="AB791" s="254" t="s">
        <v>1105</v>
      </c>
    </row>
    <row r="792">
      <c r="A792" s="252">
        <v>791.0</v>
      </c>
      <c r="B792" s="251" t="s">
        <v>5160</v>
      </c>
      <c r="C792" s="252">
        <v>1.0</v>
      </c>
      <c r="D792" s="251" t="s">
        <v>5161</v>
      </c>
      <c r="E792" s="251" t="s">
        <v>1239</v>
      </c>
      <c r="F792" s="251" t="s">
        <v>1119</v>
      </c>
      <c r="G792" s="253" t="s">
        <v>5162</v>
      </c>
      <c r="H792" s="252">
        <v>5.0</v>
      </c>
      <c r="I792" s="251" t="s">
        <v>1131</v>
      </c>
      <c r="J792" s="252">
        <v>10.0</v>
      </c>
      <c r="K792" s="252">
        <v>961.0</v>
      </c>
      <c r="L792" s="252">
        <v>100.0</v>
      </c>
      <c r="M792" s="252">
        <v>5286.0</v>
      </c>
      <c r="N792" s="252">
        <v>6554.0</v>
      </c>
      <c r="O792" s="252">
        <v>8.0</v>
      </c>
      <c r="P792" s="252">
        <v>512.0</v>
      </c>
      <c r="Q792" s="252">
        <v>2677.0</v>
      </c>
      <c r="R792" s="251" t="s">
        <v>1141</v>
      </c>
      <c r="S792" s="251" t="s">
        <v>1100</v>
      </c>
      <c r="T792" s="251" t="s">
        <v>1101</v>
      </c>
      <c r="U792" s="252">
        <v>12.0</v>
      </c>
      <c r="V792" s="252">
        <v>12.0</v>
      </c>
      <c r="W792" s="252">
        <v>5.5</v>
      </c>
      <c r="X792" s="251" t="s">
        <v>1102</v>
      </c>
      <c r="Y792" s="251" t="s">
        <v>5163</v>
      </c>
      <c r="Z792" s="251" t="s">
        <v>5164</v>
      </c>
      <c r="AA792" s="254" t="s">
        <v>1105</v>
      </c>
      <c r="AB792" s="254" t="s">
        <v>1105</v>
      </c>
    </row>
    <row r="793">
      <c r="A793" s="252">
        <v>792.0</v>
      </c>
      <c r="B793" s="251" t="s">
        <v>5165</v>
      </c>
      <c r="C793" s="252">
        <v>1.0</v>
      </c>
      <c r="D793" s="251" t="s">
        <v>5166</v>
      </c>
      <c r="E793" s="251" t="s">
        <v>1323</v>
      </c>
      <c r="F793" s="251" t="s">
        <v>1233</v>
      </c>
      <c r="G793" s="253" t="s">
        <v>5167</v>
      </c>
      <c r="H793" s="252">
        <v>5.0</v>
      </c>
      <c r="I793" s="251" t="s">
        <v>1098</v>
      </c>
      <c r="J793" s="252">
        <v>8.0</v>
      </c>
      <c r="K793" s="252">
        <v>88.0</v>
      </c>
      <c r="L793" s="252">
        <v>120.0</v>
      </c>
      <c r="M793" s="252">
        <v>20122.0</v>
      </c>
      <c r="N793" s="252">
        <v>29176.0</v>
      </c>
      <c r="O793" s="252">
        <v>6.0</v>
      </c>
      <c r="P793" s="252">
        <v>32.0</v>
      </c>
      <c r="Q793" s="252">
        <v>4742.0</v>
      </c>
      <c r="R793" s="251" t="s">
        <v>1099</v>
      </c>
      <c r="S793" s="251" t="s">
        <v>1122</v>
      </c>
      <c r="T793" s="251" t="s">
        <v>1101</v>
      </c>
      <c r="U793" s="252">
        <v>14.0</v>
      </c>
      <c r="V793" s="252">
        <v>14.0</v>
      </c>
      <c r="W793" s="252">
        <v>5.2</v>
      </c>
      <c r="X793" s="251" t="s">
        <v>1113</v>
      </c>
      <c r="Y793" s="251" t="s">
        <v>5168</v>
      </c>
      <c r="Z793" s="251" t="s">
        <v>5169</v>
      </c>
      <c r="AA793" s="254" t="s">
        <v>1105</v>
      </c>
      <c r="AB793" s="254" t="s">
        <v>1105</v>
      </c>
    </row>
    <row r="794">
      <c r="A794" s="252">
        <v>793.0</v>
      </c>
      <c r="B794" s="251" t="s">
        <v>5170</v>
      </c>
      <c r="C794" s="252">
        <v>1.0</v>
      </c>
      <c r="D794" s="251" t="s">
        <v>5171</v>
      </c>
      <c r="E794" s="251" t="s">
        <v>1650</v>
      </c>
      <c r="F794" s="251" t="s">
        <v>1160</v>
      </c>
      <c r="G794" s="253" t="s">
        <v>5172</v>
      </c>
      <c r="H794" s="252">
        <v>5.0</v>
      </c>
      <c r="I794" s="251" t="s">
        <v>1098</v>
      </c>
      <c r="J794" s="252">
        <v>12.0</v>
      </c>
      <c r="K794" s="252">
        <v>703.0</v>
      </c>
      <c r="L794" s="252">
        <v>80.0</v>
      </c>
      <c r="M794" s="252">
        <v>22048.0</v>
      </c>
      <c r="N794" s="252">
        <v>28221.0</v>
      </c>
      <c r="O794" s="252">
        <v>6.0</v>
      </c>
      <c r="P794" s="252">
        <v>8.0</v>
      </c>
      <c r="Q794" s="252">
        <v>5880.0</v>
      </c>
      <c r="R794" s="251" t="s">
        <v>1141</v>
      </c>
      <c r="S794" s="251" t="s">
        <v>1100</v>
      </c>
      <c r="T794" s="251" t="s">
        <v>1101</v>
      </c>
      <c r="U794" s="252">
        <v>32.0</v>
      </c>
      <c r="V794" s="252">
        <v>14.0</v>
      </c>
      <c r="W794" s="252">
        <v>6.3</v>
      </c>
      <c r="X794" s="251" t="s">
        <v>1102</v>
      </c>
      <c r="Y794" s="251" t="s">
        <v>5173</v>
      </c>
      <c r="Z794" s="251" t="s">
        <v>5174</v>
      </c>
      <c r="AA794" s="254" t="s">
        <v>1105</v>
      </c>
      <c r="AB794" s="254" t="s">
        <v>1105</v>
      </c>
    </row>
    <row r="795">
      <c r="A795" s="252">
        <v>794.0</v>
      </c>
      <c r="B795" s="251" t="s">
        <v>5175</v>
      </c>
      <c r="C795" s="252">
        <v>1.0</v>
      </c>
      <c r="D795" s="251" t="s">
        <v>5176</v>
      </c>
      <c r="E795" s="251" t="s">
        <v>1341</v>
      </c>
      <c r="F795" s="251" t="s">
        <v>1215</v>
      </c>
      <c r="G795" s="253" t="s">
        <v>5177</v>
      </c>
      <c r="H795" s="252">
        <v>3.0</v>
      </c>
      <c r="I795" s="251" t="s">
        <v>1098</v>
      </c>
      <c r="J795" s="252">
        <v>10.0</v>
      </c>
      <c r="K795" s="252">
        <v>273.0</v>
      </c>
      <c r="L795" s="252">
        <v>100.0</v>
      </c>
      <c r="M795" s="252">
        <v>14299.0</v>
      </c>
      <c r="N795" s="252">
        <v>23450.0</v>
      </c>
      <c r="O795" s="252">
        <v>4.0</v>
      </c>
      <c r="P795" s="252">
        <v>16.0</v>
      </c>
      <c r="Q795" s="252">
        <v>3184.0</v>
      </c>
      <c r="R795" s="251" t="s">
        <v>1141</v>
      </c>
      <c r="S795" s="251" t="s">
        <v>1100</v>
      </c>
      <c r="T795" s="251" t="s">
        <v>1101</v>
      </c>
      <c r="U795" s="252">
        <v>32.0</v>
      </c>
      <c r="V795" s="252">
        <v>16.0</v>
      </c>
      <c r="W795" s="252">
        <v>5.2</v>
      </c>
      <c r="X795" s="251" t="s">
        <v>1132</v>
      </c>
      <c r="Y795" s="251" t="s">
        <v>5178</v>
      </c>
      <c r="Z795" s="251" t="s">
        <v>5179</v>
      </c>
      <c r="AA795" s="254" t="s">
        <v>1105</v>
      </c>
      <c r="AB795" s="254" t="s">
        <v>1105</v>
      </c>
    </row>
    <row r="796">
      <c r="A796" s="252">
        <v>795.0</v>
      </c>
      <c r="B796" s="251" t="s">
        <v>5180</v>
      </c>
      <c r="C796" s="252">
        <v>1.0</v>
      </c>
      <c r="D796" s="251" t="s">
        <v>5181</v>
      </c>
      <c r="E796" s="251" t="s">
        <v>1523</v>
      </c>
      <c r="F796" s="251" t="s">
        <v>1215</v>
      </c>
      <c r="G796" s="253" t="s">
        <v>5182</v>
      </c>
      <c r="H796" s="252">
        <v>4.0</v>
      </c>
      <c r="I796" s="251" t="s">
        <v>1131</v>
      </c>
      <c r="J796" s="252">
        <v>8.0</v>
      </c>
      <c r="K796" s="252">
        <v>582.0</v>
      </c>
      <c r="L796" s="252">
        <v>100.0</v>
      </c>
      <c r="M796" s="252">
        <v>3475.0</v>
      </c>
      <c r="N796" s="252">
        <v>5664.0</v>
      </c>
      <c r="O796" s="252">
        <v>2.0</v>
      </c>
      <c r="P796" s="252">
        <v>128.0</v>
      </c>
      <c r="Q796" s="252">
        <v>5425.0</v>
      </c>
      <c r="R796" s="251" t="s">
        <v>1141</v>
      </c>
      <c r="S796" s="251" t="s">
        <v>1122</v>
      </c>
      <c r="T796" s="251" t="s">
        <v>1021</v>
      </c>
      <c r="U796" s="252">
        <v>16.0</v>
      </c>
      <c r="V796" s="252">
        <v>16.0</v>
      </c>
      <c r="W796" s="252">
        <v>6.0</v>
      </c>
      <c r="X796" s="251" t="s">
        <v>1102</v>
      </c>
      <c r="Y796" s="251" t="s">
        <v>5183</v>
      </c>
      <c r="Z796" s="251" t="s">
        <v>5184</v>
      </c>
      <c r="AA796" s="254" t="s">
        <v>1105</v>
      </c>
      <c r="AB796" s="254" t="s">
        <v>1105</v>
      </c>
    </row>
    <row r="797">
      <c r="A797" s="252">
        <v>796.0</v>
      </c>
      <c r="B797" s="251" t="s">
        <v>5185</v>
      </c>
      <c r="C797" s="252">
        <v>1.0</v>
      </c>
      <c r="D797" s="251" t="s">
        <v>5186</v>
      </c>
      <c r="E797" s="251" t="s">
        <v>1172</v>
      </c>
      <c r="F797" s="251" t="s">
        <v>1160</v>
      </c>
      <c r="G797" s="253" t="s">
        <v>5187</v>
      </c>
      <c r="H797" s="252">
        <v>5.0</v>
      </c>
      <c r="I797" s="251" t="s">
        <v>1111</v>
      </c>
      <c r="J797" s="252">
        <v>8.0</v>
      </c>
      <c r="K797" s="252">
        <v>747.0</v>
      </c>
      <c r="L797" s="252">
        <v>120.0</v>
      </c>
      <c r="M797" s="252">
        <v>12001.0</v>
      </c>
      <c r="N797" s="252">
        <v>14401.0</v>
      </c>
      <c r="O797" s="252">
        <v>4.0</v>
      </c>
      <c r="P797" s="252">
        <v>16.0</v>
      </c>
      <c r="Q797" s="252">
        <v>2653.0</v>
      </c>
      <c r="R797" s="251" t="s">
        <v>1112</v>
      </c>
      <c r="S797" s="251" t="s">
        <v>1100</v>
      </c>
      <c r="T797" s="251" t="s">
        <v>1021</v>
      </c>
      <c r="U797" s="252">
        <v>14.0</v>
      </c>
      <c r="V797" s="252">
        <v>12.0</v>
      </c>
      <c r="W797" s="252">
        <v>6.0</v>
      </c>
      <c r="X797" s="251" t="s">
        <v>1102</v>
      </c>
      <c r="Y797" s="251" t="s">
        <v>5188</v>
      </c>
      <c r="Z797" s="251" t="s">
        <v>5189</v>
      </c>
      <c r="AA797" s="254" t="s">
        <v>1105</v>
      </c>
      <c r="AB797" s="254" t="s">
        <v>1105</v>
      </c>
    </row>
    <row r="798">
      <c r="A798" s="252">
        <v>797.0</v>
      </c>
      <c r="B798" s="251" t="s">
        <v>5190</v>
      </c>
      <c r="C798" s="252">
        <v>1.0</v>
      </c>
      <c r="D798" s="251" t="s">
        <v>5191</v>
      </c>
      <c r="E798" s="251" t="s">
        <v>1341</v>
      </c>
      <c r="F798" s="251" t="s">
        <v>1215</v>
      </c>
      <c r="G798" s="253" t="s">
        <v>5192</v>
      </c>
      <c r="H798" s="252">
        <v>2.0</v>
      </c>
      <c r="I798" s="251" t="s">
        <v>1111</v>
      </c>
      <c r="J798" s="252">
        <v>10.0</v>
      </c>
      <c r="K798" s="252">
        <v>221.0</v>
      </c>
      <c r="L798" s="252">
        <v>120.0</v>
      </c>
      <c r="M798" s="252">
        <v>16522.0</v>
      </c>
      <c r="N798" s="252">
        <v>22800.0</v>
      </c>
      <c r="O798" s="252">
        <v>8.0</v>
      </c>
      <c r="P798" s="252">
        <v>32.0</v>
      </c>
      <c r="Q798" s="252">
        <v>4558.0</v>
      </c>
      <c r="R798" s="251" t="s">
        <v>1112</v>
      </c>
      <c r="S798" s="251" t="s">
        <v>1122</v>
      </c>
      <c r="T798" s="251" t="s">
        <v>1123</v>
      </c>
      <c r="U798" s="252">
        <v>32.0</v>
      </c>
      <c r="V798" s="252">
        <v>16.0</v>
      </c>
      <c r="W798" s="252">
        <v>4.7</v>
      </c>
      <c r="X798" s="251" t="s">
        <v>1132</v>
      </c>
      <c r="Y798" s="251" t="s">
        <v>5193</v>
      </c>
      <c r="Z798" s="251" t="s">
        <v>5194</v>
      </c>
      <c r="AA798" s="254" t="s">
        <v>1105</v>
      </c>
      <c r="AB798" s="254" t="s">
        <v>1105</v>
      </c>
    </row>
    <row r="799">
      <c r="A799" s="252">
        <v>798.0</v>
      </c>
      <c r="B799" s="251" t="s">
        <v>5195</v>
      </c>
      <c r="C799" s="252">
        <v>1.0</v>
      </c>
      <c r="D799" s="251" t="s">
        <v>5196</v>
      </c>
      <c r="E799" s="251" t="s">
        <v>1633</v>
      </c>
      <c r="F799" s="251" t="s">
        <v>1160</v>
      </c>
      <c r="G799" s="253" t="s">
        <v>5197</v>
      </c>
      <c r="H799" s="252">
        <v>4.0</v>
      </c>
      <c r="I799" s="251" t="s">
        <v>1121</v>
      </c>
      <c r="J799" s="252">
        <v>10.0</v>
      </c>
      <c r="K799" s="252">
        <v>607.0</v>
      </c>
      <c r="L799" s="252">
        <v>80.0</v>
      </c>
      <c r="M799" s="252">
        <v>6466.0</v>
      </c>
      <c r="N799" s="252">
        <v>9052.0</v>
      </c>
      <c r="O799" s="252">
        <v>6.0</v>
      </c>
      <c r="P799" s="252">
        <v>8.0</v>
      </c>
      <c r="Q799" s="252">
        <v>6100.0</v>
      </c>
      <c r="R799" s="251" t="s">
        <v>1112</v>
      </c>
      <c r="S799" s="251" t="s">
        <v>1122</v>
      </c>
      <c r="T799" s="251" t="s">
        <v>1101</v>
      </c>
      <c r="U799" s="252">
        <v>16.0</v>
      </c>
      <c r="V799" s="252">
        <v>32.0</v>
      </c>
      <c r="W799" s="252">
        <v>5.0</v>
      </c>
      <c r="X799" s="251" t="s">
        <v>1113</v>
      </c>
      <c r="Y799" s="251" t="s">
        <v>5198</v>
      </c>
      <c r="Z799" s="251" t="s">
        <v>5199</v>
      </c>
      <c r="AA799" s="254" t="s">
        <v>1105</v>
      </c>
      <c r="AB799" s="254" t="s">
        <v>1105</v>
      </c>
    </row>
    <row r="800">
      <c r="A800" s="252">
        <v>799.0</v>
      </c>
      <c r="B800" s="251" t="s">
        <v>5200</v>
      </c>
      <c r="C800" s="252">
        <v>1.0</v>
      </c>
      <c r="D800" s="251" t="s">
        <v>5201</v>
      </c>
      <c r="E800" s="251" t="s">
        <v>1958</v>
      </c>
      <c r="F800" s="251" t="s">
        <v>1215</v>
      </c>
      <c r="G800" s="253" t="s">
        <v>5202</v>
      </c>
      <c r="H800" s="252">
        <v>2.0</v>
      </c>
      <c r="I800" s="251" t="s">
        <v>1140</v>
      </c>
      <c r="J800" s="252">
        <v>8.0</v>
      </c>
      <c r="K800" s="252">
        <v>650.0</v>
      </c>
      <c r="L800" s="252">
        <v>80.0</v>
      </c>
      <c r="M800" s="252">
        <v>13936.0</v>
      </c>
      <c r="N800" s="252">
        <v>23969.0</v>
      </c>
      <c r="O800" s="252">
        <v>4.0</v>
      </c>
      <c r="P800" s="252">
        <v>8.0</v>
      </c>
      <c r="Q800" s="252">
        <v>5605.0</v>
      </c>
      <c r="R800" s="251" t="s">
        <v>1141</v>
      </c>
      <c r="S800" s="251" t="s">
        <v>1122</v>
      </c>
      <c r="T800" s="251" t="s">
        <v>1021</v>
      </c>
      <c r="U800" s="252">
        <v>32.0</v>
      </c>
      <c r="V800" s="252">
        <v>32.0</v>
      </c>
      <c r="W800" s="252">
        <v>5.0</v>
      </c>
      <c r="X800" s="251" t="s">
        <v>1147</v>
      </c>
      <c r="Y800" s="251" t="s">
        <v>5203</v>
      </c>
      <c r="Z800" s="251" t="s">
        <v>5204</v>
      </c>
      <c r="AA800" s="254" t="s">
        <v>1105</v>
      </c>
      <c r="AB800" s="254" t="s">
        <v>1105</v>
      </c>
    </row>
    <row r="801">
      <c r="A801" s="252">
        <v>800.0</v>
      </c>
      <c r="B801" s="251" t="s">
        <v>5205</v>
      </c>
      <c r="C801" s="252">
        <v>1.0</v>
      </c>
      <c r="D801" s="251" t="s">
        <v>5206</v>
      </c>
      <c r="E801" s="251" t="s">
        <v>2203</v>
      </c>
      <c r="F801" s="251" t="s">
        <v>1233</v>
      </c>
      <c r="G801" s="253" t="s">
        <v>2975</v>
      </c>
      <c r="H801" s="252">
        <v>4.0</v>
      </c>
      <c r="I801" s="251" t="s">
        <v>1111</v>
      </c>
      <c r="J801" s="252">
        <v>12.0</v>
      </c>
      <c r="K801" s="252">
        <v>218.0</v>
      </c>
      <c r="L801" s="252">
        <v>120.0</v>
      </c>
      <c r="M801" s="252">
        <v>6868.0</v>
      </c>
      <c r="N801" s="252">
        <v>9065.0</v>
      </c>
      <c r="O801" s="252">
        <v>2.0</v>
      </c>
      <c r="P801" s="252">
        <v>32.0</v>
      </c>
      <c r="Q801" s="252">
        <v>2550.0</v>
      </c>
      <c r="R801" s="251" t="s">
        <v>1099</v>
      </c>
      <c r="S801" s="251" t="s">
        <v>1122</v>
      </c>
      <c r="T801" s="251" t="s">
        <v>1101</v>
      </c>
      <c r="U801" s="252">
        <v>12.0</v>
      </c>
      <c r="V801" s="252">
        <v>48.0</v>
      </c>
      <c r="W801" s="252">
        <v>5.0</v>
      </c>
      <c r="X801" s="251" t="s">
        <v>1132</v>
      </c>
      <c r="Y801" s="251" t="s">
        <v>5207</v>
      </c>
      <c r="Z801" s="251" t="s">
        <v>5208</v>
      </c>
      <c r="AA801" s="254" t="s">
        <v>1105</v>
      </c>
      <c r="AB801" s="254" t="s">
        <v>1105</v>
      </c>
    </row>
    <row r="802">
      <c r="A802" s="252">
        <v>801.0</v>
      </c>
      <c r="B802" s="251" t="s">
        <v>5209</v>
      </c>
      <c r="C802" s="252">
        <v>1.0</v>
      </c>
      <c r="D802" s="251" t="s">
        <v>5210</v>
      </c>
      <c r="E802" s="251" t="s">
        <v>1221</v>
      </c>
      <c r="F802" s="251" t="s">
        <v>1160</v>
      </c>
      <c r="G802" s="253" t="s">
        <v>5211</v>
      </c>
      <c r="H802" s="252">
        <v>3.0</v>
      </c>
      <c r="I802" s="251" t="s">
        <v>1140</v>
      </c>
      <c r="J802" s="252">
        <v>8.0</v>
      </c>
      <c r="K802" s="252">
        <v>513.0</v>
      </c>
      <c r="L802" s="252">
        <v>100.0</v>
      </c>
      <c r="M802" s="252">
        <v>20313.0</v>
      </c>
      <c r="N802" s="252">
        <v>25391.0</v>
      </c>
      <c r="O802" s="252">
        <v>2.0</v>
      </c>
      <c r="P802" s="252">
        <v>16.0</v>
      </c>
      <c r="Q802" s="252">
        <v>4662.0</v>
      </c>
      <c r="R802" s="251" t="s">
        <v>1099</v>
      </c>
      <c r="S802" s="251" t="s">
        <v>1100</v>
      </c>
      <c r="T802" s="251" t="s">
        <v>1101</v>
      </c>
      <c r="U802" s="252">
        <v>12.0</v>
      </c>
      <c r="V802" s="252">
        <v>48.0</v>
      </c>
      <c r="W802" s="252">
        <v>5.5</v>
      </c>
      <c r="X802" s="251" t="s">
        <v>1147</v>
      </c>
      <c r="Y802" s="251" t="s">
        <v>5212</v>
      </c>
      <c r="Z802" s="251" t="s">
        <v>5213</v>
      </c>
      <c r="AA802" s="254" t="s">
        <v>1105</v>
      </c>
      <c r="AB802" s="254" t="s">
        <v>1105</v>
      </c>
    </row>
    <row r="803">
      <c r="A803" s="252">
        <v>802.0</v>
      </c>
      <c r="B803" s="251" t="s">
        <v>5214</v>
      </c>
      <c r="C803" s="252">
        <v>1.0</v>
      </c>
      <c r="D803" s="251" t="s">
        <v>5215</v>
      </c>
      <c r="E803" s="251" t="s">
        <v>1836</v>
      </c>
      <c r="F803" s="251" t="s">
        <v>1233</v>
      </c>
      <c r="G803" s="253" t="s">
        <v>5216</v>
      </c>
      <c r="H803" s="252">
        <v>2.0</v>
      </c>
      <c r="I803" s="251" t="s">
        <v>1098</v>
      </c>
      <c r="J803" s="252">
        <v>12.0</v>
      </c>
      <c r="K803" s="252">
        <v>923.0</v>
      </c>
      <c r="L803" s="252">
        <v>80.0</v>
      </c>
      <c r="M803" s="252">
        <v>22698.0</v>
      </c>
      <c r="N803" s="252">
        <v>39040.0</v>
      </c>
      <c r="O803" s="252">
        <v>8.0</v>
      </c>
      <c r="P803" s="252">
        <v>32.0</v>
      </c>
      <c r="Q803" s="252">
        <v>2198.0</v>
      </c>
      <c r="R803" s="251" t="s">
        <v>1112</v>
      </c>
      <c r="S803" s="251" t="s">
        <v>1100</v>
      </c>
      <c r="T803" s="251" t="s">
        <v>1123</v>
      </c>
      <c r="U803" s="252">
        <v>16.0</v>
      </c>
      <c r="V803" s="252">
        <v>14.0</v>
      </c>
      <c r="W803" s="252">
        <v>5.2</v>
      </c>
      <c r="X803" s="251" t="s">
        <v>1113</v>
      </c>
      <c r="Y803" s="251" t="s">
        <v>5217</v>
      </c>
      <c r="Z803" s="251" t="s">
        <v>5218</v>
      </c>
      <c r="AA803" s="254" t="s">
        <v>1105</v>
      </c>
      <c r="AB803" s="254" t="s">
        <v>1105</v>
      </c>
    </row>
    <row r="804">
      <c r="A804" s="252">
        <v>803.0</v>
      </c>
      <c r="B804" s="251" t="s">
        <v>5219</v>
      </c>
      <c r="C804" s="252">
        <v>1.0</v>
      </c>
      <c r="D804" s="251" t="s">
        <v>5220</v>
      </c>
      <c r="E804" s="251" t="s">
        <v>1434</v>
      </c>
      <c r="F804" s="251" t="s">
        <v>1096</v>
      </c>
      <c r="G804" s="253" t="s">
        <v>5221</v>
      </c>
      <c r="H804" s="252">
        <v>4.0</v>
      </c>
      <c r="I804" s="251" t="s">
        <v>1131</v>
      </c>
      <c r="J804" s="252">
        <v>10.0</v>
      </c>
      <c r="K804" s="252">
        <v>232.0</v>
      </c>
      <c r="L804" s="252">
        <v>100.0</v>
      </c>
      <c r="M804" s="252">
        <v>2465.0</v>
      </c>
      <c r="N804" s="252">
        <v>3623.0</v>
      </c>
      <c r="O804" s="252">
        <v>2.0</v>
      </c>
      <c r="P804" s="252">
        <v>512.0</v>
      </c>
      <c r="Q804" s="252">
        <v>5613.0</v>
      </c>
      <c r="R804" s="251" t="s">
        <v>1099</v>
      </c>
      <c r="S804" s="251" t="s">
        <v>1100</v>
      </c>
      <c r="T804" s="251" t="s">
        <v>1101</v>
      </c>
      <c r="U804" s="252">
        <v>12.0</v>
      </c>
      <c r="V804" s="252">
        <v>48.0</v>
      </c>
      <c r="W804" s="252">
        <v>6.0</v>
      </c>
      <c r="X804" s="251" t="s">
        <v>1113</v>
      </c>
      <c r="Y804" s="251" t="s">
        <v>5222</v>
      </c>
      <c r="Z804" s="251" t="s">
        <v>5223</v>
      </c>
      <c r="AA804" s="254" t="s">
        <v>1105</v>
      </c>
      <c r="AB804" s="254" t="s">
        <v>1105</v>
      </c>
    </row>
    <row r="805">
      <c r="A805" s="252">
        <v>804.0</v>
      </c>
      <c r="B805" s="251" t="s">
        <v>5224</v>
      </c>
      <c r="C805" s="252">
        <v>1.0</v>
      </c>
      <c r="D805" s="251" t="s">
        <v>5225</v>
      </c>
      <c r="E805" s="251" t="s">
        <v>1381</v>
      </c>
      <c r="F805" s="251" t="s">
        <v>1119</v>
      </c>
      <c r="G805" s="253" t="s">
        <v>5226</v>
      </c>
      <c r="H805" s="252">
        <v>3.0</v>
      </c>
      <c r="I805" s="251" t="s">
        <v>1121</v>
      </c>
      <c r="J805" s="252">
        <v>12.0</v>
      </c>
      <c r="K805" s="252">
        <v>440.0</v>
      </c>
      <c r="L805" s="252">
        <v>120.0</v>
      </c>
      <c r="M805" s="252">
        <v>17232.0</v>
      </c>
      <c r="N805" s="252">
        <v>25675.0</v>
      </c>
      <c r="O805" s="252">
        <v>2.0</v>
      </c>
      <c r="P805" s="252">
        <v>512.0</v>
      </c>
      <c r="Q805" s="252">
        <v>2187.0</v>
      </c>
      <c r="R805" s="251" t="s">
        <v>1099</v>
      </c>
      <c r="S805" s="251" t="s">
        <v>1122</v>
      </c>
      <c r="T805" s="251" t="s">
        <v>1101</v>
      </c>
      <c r="U805" s="252">
        <v>32.0</v>
      </c>
      <c r="V805" s="252">
        <v>12.0</v>
      </c>
      <c r="W805" s="252">
        <v>4.7</v>
      </c>
      <c r="X805" s="251" t="s">
        <v>1132</v>
      </c>
      <c r="Y805" s="251" t="s">
        <v>5227</v>
      </c>
      <c r="Z805" s="251" t="s">
        <v>5228</v>
      </c>
      <c r="AA805" s="254" t="s">
        <v>1105</v>
      </c>
      <c r="AB805" s="254" t="s">
        <v>1105</v>
      </c>
    </row>
    <row r="806">
      <c r="A806" s="252">
        <v>805.0</v>
      </c>
      <c r="B806" s="251" t="s">
        <v>5229</v>
      </c>
      <c r="C806" s="252">
        <v>1.0</v>
      </c>
      <c r="D806" s="251" t="s">
        <v>5230</v>
      </c>
      <c r="E806" s="251" t="s">
        <v>1118</v>
      </c>
      <c r="F806" s="251" t="s">
        <v>1119</v>
      </c>
      <c r="G806" s="253" t="s">
        <v>5231</v>
      </c>
      <c r="H806" s="252">
        <v>5.0</v>
      </c>
      <c r="I806" s="251" t="s">
        <v>1111</v>
      </c>
      <c r="J806" s="252">
        <v>10.0</v>
      </c>
      <c r="K806" s="252">
        <v>313.0</v>
      </c>
      <c r="L806" s="252">
        <v>120.0</v>
      </c>
      <c r="M806" s="252">
        <v>13050.0</v>
      </c>
      <c r="N806" s="252">
        <v>22185.0</v>
      </c>
      <c r="O806" s="252">
        <v>6.0</v>
      </c>
      <c r="P806" s="252">
        <v>8.0</v>
      </c>
      <c r="Q806" s="252">
        <v>2895.0</v>
      </c>
      <c r="R806" s="251" t="s">
        <v>1112</v>
      </c>
      <c r="S806" s="251" t="s">
        <v>1100</v>
      </c>
      <c r="T806" s="251" t="s">
        <v>1021</v>
      </c>
      <c r="U806" s="252">
        <v>12.0</v>
      </c>
      <c r="V806" s="252">
        <v>12.0</v>
      </c>
      <c r="W806" s="252">
        <v>6.3</v>
      </c>
      <c r="X806" s="251" t="s">
        <v>1102</v>
      </c>
      <c r="Y806" s="251" t="s">
        <v>5232</v>
      </c>
      <c r="Z806" s="251" t="s">
        <v>5233</v>
      </c>
      <c r="AA806" s="254" t="s">
        <v>1105</v>
      </c>
      <c r="AB806" s="254" t="s">
        <v>1105</v>
      </c>
    </row>
    <row r="807">
      <c r="A807" s="252">
        <v>806.0</v>
      </c>
      <c r="B807" s="251" t="s">
        <v>5234</v>
      </c>
      <c r="C807" s="252">
        <v>1.0</v>
      </c>
      <c r="D807" s="251" t="s">
        <v>5235</v>
      </c>
      <c r="E807" s="251" t="s">
        <v>2215</v>
      </c>
      <c r="F807" s="251" t="s">
        <v>1119</v>
      </c>
      <c r="G807" s="253" t="s">
        <v>5236</v>
      </c>
      <c r="H807" s="252">
        <v>6.0</v>
      </c>
      <c r="I807" s="251" t="s">
        <v>1098</v>
      </c>
      <c r="J807" s="252">
        <v>12.0</v>
      </c>
      <c r="K807" s="252">
        <v>886.0</v>
      </c>
      <c r="L807" s="252">
        <v>100.0</v>
      </c>
      <c r="M807" s="252">
        <v>11693.0</v>
      </c>
      <c r="N807" s="252">
        <v>16837.0</v>
      </c>
      <c r="O807" s="252">
        <v>4.0</v>
      </c>
      <c r="P807" s="252">
        <v>128.0</v>
      </c>
      <c r="Q807" s="252">
        <v>3749.0</v>
      </c>
      <c r="R807" s="251" t="s">
        <v>1099</v>
      </c>
      <c r="S807" s="251" t="s">
        <v>1122</v>
      </c>
      <c r="T807" s="251" t="s">
        <v>1021</v>
      </c>
      <c r="U807" s="252">
        <v>14.0</v>
      </c>
      <c r="V807" s="252">
        <v>14.0</v>
      </c>
      <c r="W807" s="252">
        <v>5.5</v>
      </c>
      <c r="X807" s="251" t="s">
        <v>1102</v>
      </c>
      <c r="Y807" s="251" t="s">
        <v>5237</v>
      </c>
      <c r="Z807" s="251" t="s">
        <v>5238</v>
      </c>
      <c r="AA807" s="254" t="s">
        <v>1105</v>
      </c>
      <c r="AB807" s="254" t="s">
        <v>1105</v>
      </c>
    </row>
    <row r="808">
      <c r="A808" s="252">
        <v>807.0</v>
      </c>
      <c r="B808" s="251" t="s">
        <v>5239</v>
      </c>
      <c r="C808" s="252">
        <v>1.0</v>
      </c>
      <c r="D808" s="251" t="s">
        <v>5240</v>
      </c>
      <c r="E808" s="251" t="s">
        <v>1422</v>
      </c>
      <c r="F808" s="251" t="s">
        <v>1138</v>
      </c>
      <c r="G808" s="253" t="s">
        <v>5241</v>
      </c>
      <c r="H808" s="252">
        <v>3.0</v>
      </c>
      <c r="I808" s="251" t="s">
        <v>1140</v>
      </c>
      <c r="J808" s="252">
        <v>8.0</v>
      </c>
      <c r="K808" s="252">
        <v>342.0</v>
      </c>
      <c r="L808" s="252">
        <v>120.0</v>
      </c>
      <c r="M808" s="252">
        <v>20230.0</v>
      </c>
      <c r="N808" s="252">
        <v>27310.0</v>
      </c>
      <c r="O808" s="252">
        <v>2.0</v>
      </c>
      <c r="P808" s="252">
        <v>512.0</v>
      </c>
      <c r="Q808" s="252">
        <v>3792.0</v>
      </c>
      <c r="R808" s="251" t="s">
        <v>1112</v>
      </c>
      <c r="S808" s="251" t="s">
        <v>1100</v>
      </c>
      <c r="T808" s="251" t="s">
        <v>1021</v>
      </c>
      <c r="U808" s="252">
        <v>32.0</v>
      </c>
      <c r="V808" s="252">
        <v>14.0</v>
      </c>
      <c r="W808" s="252">
        <v>4.7</v>
      </c>
      <c r="X808" s="251" t="s">
        <v>1102</v>
      </c>
      <c r="Y808" s="251" t="s">
        <v>5242</v>
      </c>
      <c r="Z808" s="251" t="s">
        <v>5243</v>
      </c>
      <c r="AA808" s="254" t="s">
        <v>1105</v>
      </c>
      <c r="AB808" s="254" t="s">
        <v>1105</v>
      </c>
    </row>
    <row r="809">
      <c r="A809" s="252">
        <v>808.0</v>
      </c>
      <c r="B809" s="251" t="s">
        <v>5244</v>
      </c>
      <c r="C809" s="252">
        <v>1.0</v>
      </c>
      <c r="D809" s="251" t="s">
        <v>5245</v>
      </c>
      <c r="E809" s="251" t="s">
        <v>1329</v>
      </c>
      <c r="F809" s="251" t="s">
        <v>1109</v>
      </c>
      <c r="G809" s="253" t="s">
        <v>5246</v>
      </c>
      <c r="H809" s="252">
        <v>4.0</v>
      </c>
      <c r="I809" s="251" t="s">
        <v>1121</v>
      </c>
      <c r="J809" s="252">
        <v>8.0</v>
      </c>
      <c r="K809" s="252">
        <v>796.0</v>
      </c>
      <c r="L809" s="252">
        <v>80.0</v>
      </c>
      <c r="M809" s="252">
        <v>11119.0</v>
      </c>
      <c r="N809" s="252">
        <v>15455.0</v>
      </c>
      <c r="O809" s="252">
        <v>4.0</v>
      </c>
      <c r="P809" s="252">
        <v>128.0</v>
      </c>
      <c r="Q809" s="252">
        <v>5050.0</v>
      </c>
      <c r="R809" s="251" t="s">
        <v>1112</v>
      </c>
      <c r="S809" s="251" t="s">
        <v>1122</v>
      </c>
      <c r="T809" s="251" t="s">
        <v>1101</v>
      </c>
      <c r="U809" s="252">
        <v>48.0</v>
      </c>
      <c r="V809" s="252">
        <v>48.0</v>
      </c>
      <c r="W809" s="252">
        <v>5.2</v>
      </c>
      <c r="X809" s="251" t="s">
        <v>1147</v>
      </c>
      <c r="Y809" s="251" t="s">
        <v>5247</v>
      </c>
      <c r="Z809" s="251" t="s">
        <v>5248</v>
      </c>
      <c r="AA809" s="254" t="s">
        <v>1105</v>
      </c>
      <c r="AB809" s="254" t="s">
        <v>1105</v>
      </c>
    </row>
    <row r="810">
      <c r="A810" s="252">
        <v>809.0</v>
      </c>
      <c r="B810" s="251" t="s">
        <v>5249</v>
      </c>
      <c r="C810" s="252">
        <v>1.0</v>
      </c>
      <c r="D810" s="251" t="s">
        <v>5250</v>
      </c>
      <c r="E810" s="251" t="s">
        <v>1534</v>
      </c>
      <c r="F810" s="251" t="s">
        <v>1119</v>
      </c>
      <c r="G810" s="253" t="s">
        <v>5251</v>
      </c>
      <c r="H810" s="252">
        <v>3.0</v>
      </c>
      <c r="I810" s="251" t="s">
        <v>1131</v>
      </c>
      <c r="J810" s="252">
        <v>8.0</v>
      </c>
      <c r="K810" s="252">
        <v>674.0</v>
      </c>
      <c r="L810" s="252">
        <v>100.0</v>
      </c>
      <c r="M810" s="252">
        <v>13145.0</v>
      </c>
      <c r="N810" s="252">
        <v>16957.0</v>
      </c>
      <c r="O810" s="252">
        <v>8.0</v>
      </c>
      <c r="P810" s="252">
        <v>8.0</v>
      </c>
      <c r="Q810" s="252">
        <v>2276.0</v>
      </c>
      <c r="R810" s="251" t="s">
        <v>1112</v>
      </c>
      <c r="S810" s="251" t="s">
        <v>1100</v>
      </c>
      <c r="T810" s="251" t="s">
        <v>1101</v>
      </c>
      <c r="U810" s="252">
        <v>32.0</v>
      </c>
      <c r="V810" s="252">
        <v>48.0</v>
      </c>
      <c r="W810" s="252">
        <v>6.3</v>
      </c>
      <c r="X810" s="251" t="s">
        <v>1147</v>
      </c>
      <c r="Y810" s="251" t="s">
        <v>5252</v>
      </c>
      <c r="Z810" s="251" t="s">
        <v>5253</v>
      </c>
      <c r="AA810" s="254" t="s">
        <v>1105</v>
      </c>
      <c r="AB810" s="254" t="s">
        <v>1105</v>
      </c>
    </row>
    <row r="811">
      <c r="A811" s="252">
        <v>810.0</v>
      </c>
      <c r="B811" s="251" t="s">
        <v>5254</v>
      </c>
      <c r="C811" s="252">
        <v>1.0</v>
      </c>
      <c r="D811" s="251" t="s">
        <v>5255</v>
      </c>
      <c r="E811" s="251" t="s">
        <v>1587</v>
      </c>
      <c r="F811" s="251" t="s">
        <v>1119</v>
      </c>
      <c r="G811" s="253" t="s">
        <v>5256</v>
      </c>
      <c r="H811" s="252">
        <v>2.0</v>
      </c>
      <c r="I811" s="251" t="s">
        <v>1140</v>
      </c>
      <c r="J811" s="252">
        <v>8.0</v>
      </c>
      <c r="K811" s="252">
        <v>580.0</v>
      </c>
      <c r="L811" s="252">
        <v>120.0</v>
      </c>
      <c r="M811" s="252">
        <v>6191.0</v>
      </c>
      <c r="N811" s="252">
        <v>9162.0</v>
      </c>
      <c r="O811" s="252">
        <v>8.0</v>
      </c>
      <c r="P811" s="252">
        <v>32.0</v>
      </c>
      <c r="Q811" s="252">
        <v>4634.0</v>
      </c>
      <c r="R811" s="251" t="s">
        <v>1099</v>
      </c>
      <c r="S811" s="251" t="s">
        <v>1100</v>
      </c>
      <c r="T811" s="251" t="s">
        <v>1101</v>
      </c>
      <c r="U811" s="252">
        <v>32.0</v>
      </c>
      <c r="V811" s="252">
        <v>16.0</v>
      </c>
      <c r="W811" s="252">
        <v>6.3</v>
      </c>
      <c r="X811" s="251" t="s">
        <v>1132</v>
      </c>
      <c r="Y811" s="251" t="s">
        <v>5257</v>
      </c>
      <c r="Z811" s="251" t="s">
        <v>5258</v>
      </c>
      <c r="AA811" s="254" t="s">
        <v>1105</v>
      </c>
      <c r="AB811" s="254" t="s">
        <v>1105</v>
      </c>
    </row>
    <row r="812">
      <c r="A812" s="252">
        <v>811.0</v>
      </c>
      <c r="B812" s="251" t="s">
        <v>5259</v>
      </c>
      <c r="C812" s="252">
        <v>1.0</v>
      </c>
      <c r="D812" s="251" t="s">
        <v>5260</v>
      </c>
      <c r="E812" s="251" t="s">
        <v>1369</v>
      </c>
      <c r="F812" s="251" t="s">
        <v>1129</v>
      </c>
      <c r="G812" s="253" t="s">
        <v>5261</v>
      </c>
      <c r="H812" s="252">
        <v>3.0</v>
      </c>
      <c r="I812" s="251" t="s">
        <v>1121</v>
      </c>
      <c r="J812" s="252">
        <v>8.0</v>
      </c>
      <c r="K812" s="252">
        <v>761.0</v>
      </c>
      <c r="L812" s="252">
        <v>80.0</v>
      </c>
      <c r="M812" s="252">
        <v>10255.0</v>
      </c>
      <c r="N812" s="252">
        <v>18664.0</v>
      </c>
      <c r="O812" s="252">
        <v>8.0</v>
      </c>
      <c r="P812" s="252">
        <v>16.0</v>
      </c>
      <c r="Q812" s="252">
        <v>4219.0</v>
      </c>
      <c r="R812" s="251" t="s">
        <v>1112</v>
      </c>
      <c r="S812" s="251" t="s">
        <v>1100</v>
      </c>
      <c r="T812" s="251" t="s">
        <v>1123</v>
      </c>
      <c r="U812" s="252">
        <v>48.0</v>
      </c>
      <c r="V812" s="252">
        <v>12.0</v>
      </c>
      <c r="W812" s="252">
        <v>6.0</v>
      </c>
      <c r="X812" s="251" t="s">
        <v>1113</v>
      </c>
      <c r="Y812" s="251" t="s">
        <v>5262</v>
      </c>
      <c r="Z812" s="251" t="s">
        <v>5263</v>
      </c>
      <c r="AA812" s="254" t="s">
        <v>1105</v>
      </c>
      <c r="AB812" s="254" t="s">
        <v>1105</v>
      </c>
    </row>
    <row r="813">
      <c r="A813" s="252">
        <v>812.0</v>
      </c>
      <c r="B813" s="251" t="s">
        <v>5264</v>
      </c>
      <c r="C813" s="252">
        <v>1.0</v>
      </c>
      <c r="D813" s="251" t="s">
        <v>5265</v>
      </c>
      <c r="E813" s="251" t="s">
        <v>1405</v>
      </c>
      <c r="F813" s="251" t="s">
        <v>1202</v>
      </c>
      <c r="G813" s="253" t="s">
        <v>5266</v>
      </c>
      <c r="H813" s="252">
        <v>6.0</v>
      </c>
      <c r="I813" s="251" t="s">
        <v>1111</v>
      </c>
      <c r="J813" s="252">
        <v>8.0</v>
      </c>
      <c r="K813" s="252">
        <v>937.0</v>
      </c>
      <c r="L813" s="252">
        <v>120.0</v>
      </c>
      <c r="M813" s="252">
        <v>21900.0</v>
      </c>
      <c r="N813" s="252">
        <v>40515.0</v>
      </c>
      <c r="O813" s="252">
        <v>4.0</v>
      </c>
      <c r="P813" s="252">
        <v>64.0</v>
      </c>
      <c r="Q813" s="252">
        <v>3945.0</v>
      </c>
      <c r="R813" s="251" t="s">
        <v>1141</v>
      </c>
      <c r="S813" s="251" t="s">
        <v>1100</v>
      </c>
      <c r="T813" s="251" t="s">
        <v>1123</v>
      </c>
      <c r="U813" s="252">
        <v>14.0</v>
      </c>
      <c r="V813" s="252">
        <v>12.0</v>
      </c>
      <c r="W813" s="252">
        <v>5.0</v>
      </c>
      <c r="X813" s="251" t="s">
        <v>1147</v>
      </c>
      <c r="Y813" s="251" t="s">
        <v>5267</v>
      </c>
      <c r="Z813" s="251" t="s">
        <v>5268</v>
      </c>
      <c r="AA813" s="254" t="s">
        <v>1105</v>
      </c>
      <c r="AB813" s="254" t="s">
        <v>1105</v>
      </c>
    </row>
    <row r="814">
      <c r="A814" s="252">
        <v>813.0</v>
      </c>
      <c r="B814" s="251" t="s">
        <v>5269</v>
      </c>
      <c r="C814" s="252">
        <v>1.0</v>
      </c>
      <c r="D814" s="251" t="s">
        <v>5270</v>
      </c>
      <c r="E814" s="251" t="s">
        <v>1452</v>
      </c>
      <c r="F814" s="251" t="s">
        <v>1119</v>
      </c>
      <c r="G814" s="253" t="s">
        <v>5271</v>
      </c>
      <c r="H814" s="252">
        <v>2.0</v>
      </c>
      <c r="I814" s="251" t="s">
        <v>1121</v>
      </c>
      <c r="J814" s="252">
        <v>10.0</v>
      </c>
      <c r="K814" s="252">
        <v>124.0</v>
      </c>
      <c r="L814" s="252">
        <v>100.0</v>
      </c>
      <c r="M814" s="252">
        <v>20082.0</v>
      </c>
      <c r="N814" s="252">
        <v>35545.0</v>
      </c>
      <c r="O814" s="252">
        <v>2.0</v>
      </c>
      <c r="P814" s="252">
        <v>8.0</v>
      </c>
      <c r="Q814" s="252">
        <v>6298.0</v>
      </c>
      <c r="R814" s="251" t="s">
        <v>1112</v>
      </c>
      <c r="S814" s="251" t="s">
        <v>1100</v>
      </c>
      <c r="T814" s="251" t="s">
        <v>1021</v>
      </c>
      <c r="U814" s="252">
        <v>14.0</v>
      </c>
      <c r="V814" s="252">
        <v>14.0</v>
      </c>
      <c r="W814" s="252">
        <v>4.7</v>
      </c>
      <c r="X814" s="251" t="s">
        <v>1102</v>
      </c>
      <c r="Y814" s="251" t="s">
        <v>5272</v>
      </c>
      <c r="Z814" s="251" t="s">
        <v>5273</v>
      </c>
      <c r="AA814" s="254" t="s">
        <v>1105</v>
      </c>
      <c r="AB814" s="254" t="s">
        <v>1105</v>
      </c>
    </row>
    <row r="815">
      <c r="A815" s="252">
        <v>814.0</v>
      </c>
      <c r="B815" s="251" t="s">
        <v>5274</v>
      </c>
      <c r="C815" s="252">
        <v>1.0</v>
      </c>
      <c r="D815" s="251" t="s">
        <v>5275</v>
      </c>
      <c r="E815" s="251" t="s">
        <v>1621</v>
      </c>
      <c r="F815" s="251" t="s">
        <v>1138</v>
      </c>
      <c r="G815" s="253" t="s">
        <v>5276</v>
      </c>
      <c r="H815" s="252">
        <v>6.0</v>
      </c>
      <c r="I815" s="251" t="s">
        <v>1131</v>
      </c>
      <c r="J815" s="252">
        <v>12.0</v>
      </c>
      <c r="K815" s="252">
        <v>952.0</v>
      </c>
      <c r="L815" s="252">
        <v>120.0</v>
      </c>
      <c r="M815" s="252">
        <v>7971.0</v>
      </c>
      <c r="N815" s="252">
        <v>14268.0</v>
      </c>
      <c r="O815" s="252">
        <v>8.0</v>
      </c>
      <c r="P815" s="252">
        <v>16.0</v>
      </c>
      <c r="Q815" s="252">
        <v>3699.0</v>
      </c>
      <c r="R815" s="251" t="s">
        <v>1112</v>
      </c>
      <c r="S815" s="251" t="s">
        <v>1122</v>
      </c>
      <c r="T815" s="251" t="s">
        <v>1021</v>
      </c>
      <c r="U815" s="252">
        <v>48.0</v>
      </c>
      <c r="V815" s="252">
        <v>32.0</v>
      </c>
      <c r="W815" s="252">
        <v>4.7</v>
      </c>
      <c r="X815" s="251" t="s">
        <v>1102</v>
      </c>
      <c r="Y815" s="251" t="s">
        <v>5277</v>
      </c>
      <c r="Z815" s="251" t="s">
        <v>5278</v>
      </c>
      <c r="AA815" s="254" t="s">
        <v>1105</v>
      </c>
      <c r="AB815" s="254" t="s">
        <v>1105</v>
      </c>
    </row>
    <row r="816">
      <c r="A816" s="252">
        <v>815.0</v>
      </c>
      <c r="B816" s="251" t="s">
        <v>5279</v>
      </c>
      <c r="C816" s="252">
        <v>1.0</v>
      </c>
      <c r="D816" s="251" t="s">
        <v>5280</v>
      </c>
      <c r="E816" s="251" t="s">
        <v>1609</v>
      </c>
      <c r="F816" s="251" t="s">
        <v>1109</v>
      </c>
      <c r="G816" s="253" t="s">
        <v>5281</v>
      </c>
      <c r="H816" s="252">
        <v>2.0</v>
      </c>
      <c r="I816" s="251" t="s">
        <v>1131</v>
      </c>
      <c r="J816" s="252">
        <v>8.0</v>
      </c>
      <c r="K816" s="252">
        <v>528.0</v>
      </c>
      <c r="L816" s="252">
        <v>100.0</v>
      </c>
      <c r="M816" s="252">
        <v>8726.0</v>
      </c>
      <c r="N816" s="252">
        <v>13176.0</v>
      </c>
      <c r="O816" s="252">
        <v>8.0</v>
      </c>
      <c r="P816" s="252">
        <v>16.0</v>
      </c>
      <c r="Q816" s="252">
        <v>5708.0</v>
      </c>
      <c r="R816" s="251" t="s">
        <v>1112</v>
      </c>
      <c r="S816" s="251" t="s">
        <v>1100</v>
      </c>
      <c r="T816" s="251" t="s">
        <v>1123</v>
      </c>
      <c r="U816" s="252">
        <v>16.0</v>
      </c>
      <c r="V816" s="252">
        <v>12.0</v>
      </c>
      <c r="W816" s="252">
        <v>5.5</v>
      </c>
      <c r="X816" s="251" t="s">
        <v>1147</v>
      </c>
      <c r="Y816" s="251" t="s">
        <v>5282</v>
      </c>
      <c r="Z816" s="251" t="s">
        <v>5283</v>
      </c>
      <c r="AA816" s="254" t="s">
        <v>1105</v>
      </c>
      <c r="AB816" s="254" t="s">
        <v>1105</v>
      </c>
    </row>
    <row r="817">
      <c r="A817" s="252">
        <v>816.0</v>
      </c>
      <c r="B817" s="251" t="s">
        <v>5284</v>
      </c>
      <c r="C817" s="252">
        <v>1.0</v>
      </c>
      <c r="D817" s="251" t="s">
        <v>5285</v>
      </c>
      <c r="E817" s="251" t="s">
        <v>1294</v>
      </c>
      <c r="F817" s="251" t="s">
        <v>1119</v>
      </c>
      <c r="G817" s="253" t="s">
        <v>5286</v>
      </c>
      <c r="H817" s="252">
        <v>5.0</v>
      </c>
      <c r="I817" s="251" t="s">
        <v>1111</v>
      </c>
      <c r="J817" s="252">
        <v>10.0</v>
      </c>
      <c r="K817" s="252">
        <v>579.0</v>
      </c>
      <c r="L817" s="252">
        <v>100.0</v>
      </c>
      <c r="M817" s="252">
        <v>14562.0</v>
      </c>
      <c r="N817" s="252">
        <v>22279.0</v>
      </c>
      <c r="O817" s="252">
        <v>6.0</v>
      </c>
      <c r="P817" s="252">
        <v>512.0</v>
      </c>
      <c r="Q817" s="252">
        <v>5312.0</v>
      </c>
      <c r="R817" s="251" t="s">
        <v>1141</v>
      </c>
      <c r="S817" s="251" t="s">
        <v>1100</v>
      </c>
      <c r="T817" s="251" t="s">
        <v>1101</v>
      </c>
      <c r="U817" s="252">
        <v>16.0</v>
      </c>
      <c r="V817" s="252">
        <v>48.0</v>
      </c>
      <c r="W817" s="252">
        <v>5.0</v>
      </c>
      <c r="X817" s="251" t="s">
        <v>1113</v>
      </c>
      <c r="Y817" s="251" t="s">
        <v>5287</v>
      </c>
      <c r="Z817" s="251" t="s">
        <v>5288</v>
      </c>
      <c r="AA817" s="254" t="s">
        <v>1105</v>
      </c>
      <c r="AB817" s="254" t="s">
        <v>1105</v>
      </c>
    </row>
    <row r="818">
      <c r="A818" s="252">
        <v>817.0</v>
      </c>
      <c r="B818" s="251" t="s">
        <v>5289</v>
      </c>
      <c r="C818" s="252">
        <v>1.0</v>
      </c>
      <c r="D818" s="251" t="s">
        <v>5290</v>
      </c>
      <c r="E818" s="251" t="s">
        <v>2203</v>
      </c>
      <c r="F818" s="251" t="s">
        <v>1233</v>
      </c>
      <c r="G818" s="253" t="s">
        <v>5291</v>
      </c>
      <c r="H818" s="252">
        <v>5.0</v>
      </c>
      <c r="I818" s="251" t="s">
        <v>1111</v>
      </c>
      <c r="J818" s="252">
        <v>8.0</v>
      </c>
      <c r="K818" s="252">
        <v>110.0</v>
      </c>
      <c r="L818" s="252">
        <v>80.0</v>
      </c>
      <c r="M818" s="252">
        <v>20355.0</v>
      </c>
      <c r="N818" s="252">
        <v>29311.0</v>
      </c>
      <c r="O818" s="252">
        <v>12.0</v>
      </c>
      <c r="P818" s="252">
        <v>128.0</v>
      </c>
      <c r="Q818" s="252">
        <v>2290.0</v>
      </c>
      <c r="R818" s="251" t="s">
        <v>1099</v>
      </c>
      <c r="S818" s="251" t="s">
        <v>1100</v>
      </c>
      <c r="T818" s="251" t="s">
        <v>1123</v>
      </c>
      <c r="U818" s="252">
        <v>48.0</v>
      </c>
      <c r="V818" s="252">
        <v>14.0</v>
      </c>
      <c r="W818" s="252">
        <v>5.5</v>
      </c>
      <c r="X818" s="251" t="s">
        <v>1132</v>
      </c>
      <c r="Y818" s="251" t="s">
        <v>5292</v>
      </c>
      <c r="Z818" s="251" t="s">
        <v>5293</v>
      </c>
      <c r="AA818" s="254" t="s">
        <v>1105</v>
      </c>
      <c r="AB818" s="254" t="s">
        <v>1105</v>
      </c>
    </row>
    <row r="819">
      <c r="A819" s="252">
        <v>818.0</v>
      </c>
      <c r="B819" s="251" t="s">
        <v>5294</v>
      </c>
      <c r="C819" s="252">
        <v>1.0</v>
      </c>
      <c r="D819" s="251" t="s">
        <v>5295</v>
      </c>
      <c r="E819" s="251" t="s">
        <v>1678</v>
      </c>
      <c r="F819" s="251" t="s">
        <v>1138</v>
      </c>
      <c r="G819" s="253" t="s">
        <v>5296</v>
      </c>
      <c r="H819" s="252">
        <v>5.0</v>
      </c>
      <c r="I819" s="251" t="s">
        <v>1111</v>
      </c>
      <c r="J819" s="252">
        <v>12.0</v>
      </c>
      <c r="K819" s="252">
        <v>441.0</v>
      </c>
      <c r="L819" s="252">
        <v>120.0</v>
      </c>
      <c r="M819" s="252">
        <v>16822.0</v>
      </c>
      <c r="N819" s="252">
        <v>25233.0</v>
      </c>
      <c r="O819" s="252">
        <v>6.0</v>
      </c>
      <c r="P819" s="252">
        <v>8.0</v>
      </c>
      <c r="Q819" s="252">
        <v>6083.0</v>
      </c>
      <c r="R819" s="251" t="s">
        <v>1141</v>
      </c>
      <c r="S819" s="251" t="s">
        <v>1122</v>
      </c>
      <c r="T819" s="251" t="s">
        <v>1123</v>
      </c>
      <c r="U819" s="252">
        <v>14.0</v>
      </c>
      <c r="V819" s="252">
        <v>16.0</v>
      </c>
      <c r="W819" s="252">
        <v>6.0</v>
      </c>
      <c r="X819" s="251" t="s">
        <v>1102</v>
      </c>
      <c r="Y819" s="251" t="s">
        <v>5297</v>
      </c>
      <c r="Z819" s="251" t="s">
        <v>5298</v>
      </c>
      <c r="AA819" s="254" t="s">
        <v>1105</v>
      </c>
      <c r="AB819" s="254" t="s">
        <v>1105</v>
      </c>
    </row>
    <row r="820">
      <c r="A820" s="252">
        <v>819.0</v>
      </c>
      <c r="B820" s="251" t="s">
        <v>5299</v>
      </c>
      <c r="C820" s="252">
        <v>1.0</v>
      </c>
      <c r="D820" s="251" t="s">
        <v>5300</v>
      </c>
      <c r="E820" s="251" t="s">
        <v>1728</v>
      </c>
      <c r="F820" s="251" t="s">
        <v>1202</v>
      </c>
      <c r="G820" s="253" t="s">
        <v>5301</v>
      </c>
      <c r="H820" s="252">
        <v>3.0</v>
      </c>
      <c r="I820" s="251" t="s">
        <v>1111</v>
      </c>
      <c r="J820" s="252">
        <v>8.0</v>
      </c>
      <c r="K820" s="252">
        <v>764.0</v>
      </c>
      <c r="L820" s="252">
        <v>80.0</v>
      </c>
      <c r="M820" s="252">
        <v>9562.0</v>
      </c>
      <c r="N820" s="252">
        <v>17115.0</v>
      </c>
      <c r="O820" s="252">
        <v>4.0</v>
      </c>
      <c r="P820" s="252">
        <v>32.0</v>
      </c>
      <c r="Q820" s="252">
        <v>2114.0</v>
      </c>
      <c r="R820" s="251" t="s">
        <v>1099</v>
      </c>
      <c r="S820" s="251" t="s">
        <v>1100</v>
      </c>
      <c r="T820" s="251" t="s">
        <v>1123</v>
      </c>
      <c r="U820" s="252">
        <v>16.0</v>
      </c>
      <c r="V820" s="252">
        <v>32.0</v>
      </c>
      <c r="W820" s="252">
        <v>4.7</v>
      </c>
      <c r="X820" s="251" t="s">
        <v>1102</v>
      </c>
      <c r="Y820" s="251" t="s">
        <v>5302</v>
      </c>
      <c r="Z820" s="251" t="s">
        <v>5303</v>
      </c>
      <c r="AA820" s="254" t="s">
        <v>1105</v>
      </c>
      <c r="AB820" s="254" t="s">
        <v>1105</v>
      </c>
    </row>
    <row r="821">
      <c r="A821" s="252">
        <v>820.0</v>
      </c>
      <c r="B821" s="251" t="s">
        <v>5304</v>
      </c>
      <c r="C821" s="252">
        <v>1.0</v>
      </c>
      <c r="D821" s="251" t="s">
        <v>5305</v>
      </c>
      <c r="E821" s="251" t="s">
        <v>1627</v>
      </c>
      <c r="F821" s="251" t="s">
        <v>1160</v>
      </c>
      <c r="G821" s="253" t="s">
        <v>5306</v>
      </c>
      <c r="H821" s="252">
        <v>3.0</v>
      </c>
      <c r="I821" s="251" t="s">
        <v>1140</v>
      </c>
      <c r="J821" s="252">
        <v>8.0</v>
      </c>
      <c r="K821" s="252">
        <v>589.0</v>
      </c>
      <c r="L821" s="252">
        <v>120.0</v>
      </c>
      <c r="M821" s="252">
        <v>18804.0</v>
      </c>
      <c r="N821" s="252">
        <v>29522.0</v>
      </c>
      <c r="O821" s="252">
        <v>12.0</v>
      </c>
      <c r="P821" s="252">
        <v>16.0</v>
      </c>
      <c r="Q821" s="252">
        <v>2468.0</v>
      </c>
      <c r="R821" s="251" t="s">
        <v>1141</v>
      </c>
      <c r="S821" s="251" t="s">
        <v>1122</v>
      </c>
      <c r="T821" s="251" t="s">
        <v>1123</v>
      </c>
      <c r="U821" s="252">
        <v>16.0</v>
      </c>
      <c r="V821" s="252">
        <v>16.0</v>
      </c>
      <c r="W821" s="252">
        <v>6.3</v>
      </c>
      <c r="X821" s="251" t="s">
        <v>1113</v>
      </c>
      <c r="Y821" s="251" t="s">
        <v>5307</v>
      </c>
      <c r="Z821" s="251" t="s">
        <v>5308</v>
      </c>
      <c r="AA821" s="254" t="s">
        <v>1105</v>
      </c>
      <c r="AB821" s="254" t="s">
        <v>1105</v>
      </c>
    </row>
    <row r="822">
      <c r="A822" s="252">
        <v>821.0</v>
      </c>
      <c r="B822" s="251" t="s">
        <v>5309</v>
      </c>
      <c r="C822" s="252">
        <v>1.0</v>
      </c>
      <c r="D822" s="251" t="s">
        <v>5310</v>
      </c>
      <c r="E822" s="251" t="s">
        <v>1523</v>
      </c>
      <c r="F822" s="251" t="s">
        <v>1215</v>
      </c>
      <c r="G822" s="253" t="s">
        <v>5311</v>
      </c>
      <c r="H822" s="252">
        <v>3.0</v>
      </c>
      <c r="I822" s="251" t="s">
        <v>1111</v>
      </c>
      <c r="J822" s="252">
        <v>8.0</v>
      </c>
      <c r="K822" s="252">
        <v>875.0</v>
      </c>
      <c r="L822" s="252">
        <v>120.0</v>
      </c>
      <c r="M822" s="252">
        <v>15252.0</v>
      </c>
      <c r="N822" s="252">
        <v>25470.0</v>
      </c>
      <c r="O822" s="252">
        <v>6.0</v>
      </c>
      <c r="P822" s="252">
        <v>8.0</v>
      </c>
      <c r="Q822" s="252">
        <v>4397.0</v>
      </c>
      <c r="R822" s="251" t="s">
        <v>1141</v>
      </c>
      <c r="S822" s="251" t="s">
        <v>1100</v>
      </c>
      <c r="T822" s="251" t="s">
        <v>1021</v>
      </c>
      <c r="U822" s="252">
        <v>48.0</v>
      </c>
      <c r="V822" s="252">
        <v>32.0</v>
      </c>
      <c r="W822" s="252">
        <v>6.3</v>
      </c>
      <c r="X822" s="251" t="s">
        <v>1113</v>
      </c>
      <c r="Y822" s="251" t="s">
        <v>5312</v>
      </c>
      <c r="Z822" s="251" t="s">
        <v>5313</v>
      </c>
      <c r="AA822" s="254" t="s">
        <v>1105</v>
      </c>
      <c r="AB822" s="254" t="s">
        <v>1105</v>
      </c>
    </row>
    <row r="823">
      <c r="A823" s="252">
        <v>822.0</v>
      </c>
      <c r="B823" s="251" t="s">
        <v>5314</v>
      </c>
      <c r="C823" s="252">
        <v>1.0</v>
      </c>
      <c r="D823" s="251" t="s">
        <v>5315</v>
      </c>
      <c r="E823" s="251" t="s">
        <v>1250</v>
      </c>
      <c r="F823" s="251" t="s">
        <v>1153</v>
      </c>
      <c r="G823" s="253" t="s">
        <v>5316</v>
      </c>
      <c r="H823" s="252">
        <v>3.0</v>
      </c>
      <c r="I823" s="251" t="s">
        <v>1098</v>
      </c>
      <c r="J823" s="252">
        <v>12.0</v>
      </c>
      <c r="K823" s="252">
        <v>503.0</v>
      </c>
      <c r="L823" s="252">
        <v>120.0</v>
      </c>
      <c r="M823" s="252">
        <v>4148.0</v>
      </c>
      <c r="N823" s="252">
        <v>6802.0</v>
      </c>
      <c r="O823" s="252">
        <v>6.0</v>
      </c>
      <c r="P823" s="252">
        <v>32.0</v>
      </c>
      <c r="Q823" s="252">
        <v>2837.0</v>
      </c>
      <c r="R823" s="251" t="s">
        <v>1099</v>
      </c>
      <c r="S823" s="251" t="s">
        <v>1122</v>
      </c>
      <c r="T823" s="251" t="s">
        <v>1101</v>
      </c>
      <c r="U823" s="252">
        <v>16.0</v>
      </c>
      <c r="V823" s="252">
        <v>48.0</v>
      </c>
      <c r="W823" s="252">
        <v>5.2</v>
      </c>
      <c r="X823" s="251" t="s">
        <v>1113</v>
      </c>
      <c r="Y823" s="251" t="s">
        <v>5317</v>
      </c>
      <c r="Z823" s="251" t="s">
        <v>5318</v>
      </c>
      <c r="AA823" s="254" t="s">
        <v>1105</v>
      </c>
      <c r="AB823" s="254" t="s">
        <v>1105</v>
      </c>
    </row>
    <row r="824">
      <c r="A824" s="252">
        <v>823.0</v>
      </c>
      <c r="B824" s="251" t="s">
        <v>5319</v>
      </c>
      <c r="C824" s="252">
        <v>1.0</v>
      </c>
      <c r="D824" s="251" t="s">
        <v>5320</v>
      </c>
      <c r="E824" s="251" t="s">
        <v>1712</v>
      </c>
      <c r="F824" s="251" t="s">
        <v>1109</v>
      </c>
      <c r="G824" s="253" t="s">
        <v>5321</v>
      </c>
      <c r="H824" s="252">
        <v>4.0</v>
      </c>
      <c r="I824" s="251" t="s">
        <v>1140</v>
      </c>
      <c r="J824" s="252">
        <v>8.0</v>
      </c>
      <c r="K824" s="252">
        <v>467.0</v>
      </c>
      <c r="L824" s="252">
        <v>120.0</v>
      </c>
      <c r="M824" s="252">
        <v>15125.0</v>
      </c>
      <c r="N824" s="252">
        <v>27073.0</v>
      </c>
      <c r="O824" s="252">
        <v>8.0</v>
      </c>
      <c r="P824" s="252">
        <v>8.0</v>
      </c>
      <c r="Q824" s="252">
        <v>5085.0</v>
      </c>
      <c r="R824" s="251" t="s">
        <v>1141</v>
      </c>
      <c r="S824" s="251" t="s">
        <v>1100</v>
      </c>
      <c r="T824" s="251" t="s">
        <v>1101</v>
      </c>
      <c r="U824" s="252">
        <v>16.0</v>
      </c>
      <c r="V824" s="252">
        <v>12.0</v>
      </c>
      <c r="W824" s="252">
        <v>6.3</v>
      </c>
      <c r="X824" s="251" t="s">
        <v>1132</v>
      </c>
      <c r="Y824" s="251" t="s">
        <v>5322</v>
      </c>
      <c r="Z824" s="251" t="s">
        <v>5323</v>
      </c>
      <c r="AA824" s="254" t="s">
        <v>1105</v>
      </c>
      <c r="AB824" s="254" t="s">
        <v>1105</v>
      </c>
    </row>
    <row r="825">
      <c r="A825" s="252">
        <v>824.0</v>
      </c>
      <c r="B825" s="251" t="s">
        <v>5324</v>
      </c>
      <c r="C825" s="252">
        <v>1.0</v>
      </c>
      <c r="D825" s="251" t="s">
        <v>5325</v>
      </c>
      <c r="E825" s="251" t="s">
        <v>2023</v>
      </c>
      <c r="F825" s="251" t="s">
        <v>1109</v>
      </c>
      <c r="G825" s="253" t="s">
        <v>5326</v>
      </c>
      <c r="H825" s="252">
        <v>3.0</v>
      </c>
      <c r="I825" s="251" t="s">
        <v>1131</v>
      </c>
      <c r="J825" s="252">
        <v>12.0</v>
      </c>
      <c r="K825" s="252">
        <v>953.0</v>
      </c>
      <c r="L825" s="252">
        <v>100.0</v>
      </c>
      <c r="M825" s="252">
        <v>20097.0</v>
      </c>
      <c r="N825" s="252">
        <v>32959.0</v>
      </c>
      <c r="O825" s="252">
        <v>8.0</v>
      </c>
      <c r="P825" s="252">
        <v>16.0</v>
      </c>
      <c r="Q825" s="252">
        <v>5389.0</v>
      </c>
      <c r="R825" s="251" t="s">
        <v>1099</v>
      </c>
      <c r="S825" s="251" t="s">
        <v>1100</v>
      </c>
      <c r="T825" s="251" t="s">
        <v>1101</v>
      </c>
      <c r="U825" s="252">
        <v>12.0</v>
      </c>
      <c r="V825" s="252">
        <v>16.0</v>
      </c>
      <c r="W825" s="252">
        <v>6.0</v>
      </c>
      <c r="X825" s="251" t="s">
        <v>1113</v>
      </c>
      <c r="Y825" s="251" t="s">
        <v>5327</v>
      </c>
      <c r="Z825" s="251" t="s">
        <v>5328</v>
      </c>
      <c r="AA825" s="254" t="s">
        <v>1105</v>
      </c>
      <c r="AB825" s="254" t="s">
        <v>1105</v>
      </c>
    </row>
    <row r="826">
      <c r="A826" s="252">
        <v>825.0</v>
      </c>
      <c r="B826" s="251" t="s">
        <v>5329</v>
      </c>
      <c r="C826" s="252">
        <v>1.0</v>
      </c>
      <c r="D826" s="251" t="s">
        <v>5330</v>
      </c>
      <c r="E826" s="251" t="s">
        <v>1128</v>
      </c>
      <c r="F826" s="251" t="s">
        <v>1129</v>
      </c>
      <c r="G826" s="253" t="s">
        <v>5331</v>
      </c>
      <c r="H826" s="252">
        <v>6.0</v>
      </c>
      <c r="I826" s="251" t="s">
        <v>1131</v>
      </c>
      <c r="J826" s="252">
        <v>12.0</v>
      </c>
      <c r="K826" s="252">
        <v>224.0</v>
      </c>
      <c r="L826" s="252">
        <v>120.0</v>
      </c>
      <c r="M826" s="252">
        <v>9230.0</v>
      </c>
      <c r="N826" s="252">
        <v>16706.0</v>
      </c>
      <c r="O826" s="252">
        <v>6.0</v>
      </c>
      <c r="P826" s="252">
        <v>8.0</v>
      </c>
      <c r="Q826" s="252">
        <v>2693.0</v>
      </c>
      <c r="R826" s="251" t="s">
        <v>1099</v>
      </c>
      <c r="S826" s="251" t="s">
        <v>1122</v>
      </c>
      <c r="T826" s="251" t="s">
        <v>1101</v>
      </c>
      <c r="U826" s="252">
        <v>16.0</v>
      </c>
      <c r="V826" s="252">
        <v>32.0</v>
      </c>
      <c r="W826" s="252">
        <v>4.7</v>
      </c>
      <c r="X826" s="251" t="s">
        <v>1113</v>
      </c>
      <c r="Y826" s="251" t="s">
        <v>5332</v>
      </c>
      <c r="Z826" s="251" t="s">
        <v>5333</v>
      </c>
      <c r="AA826" s="254" t="s">
        <v>1105</v>
      </c>
      <c r="AB826" s="254" t="s">
        <v>1105</v>
      </c>
    </row>
    <row r="827">
      <c r="A827" s="252">
        <v>826.0</v>
      </c>
      <c r="B827" s="251" t="s">
        <v>5334</v>
      </c>
      <c r="C827" s="252">
        <v>1.0</v>
      </c>
      <c r="D827" s="251" t="s">
        <v>5335</v>
      </c>
      <c r="E827" s="251" t="s">
        <v>1452</v>
      </c>
      <c r="F827" s="251" t="s">
        <v>1119</v>
      </c>
      <c r="G827" s="253" t="s">
        <v>5336</v>
      </c>
      <c r="H827" s="252">
        <v>2.0</v>
      </c>
      <c r="I827" s="251" t="s">
        <v>1140</v>
      </c>
      <c r="J827" s="252">
        <v>12.0</v>
      </c>
      <c r="K827" s="252">
        <v>638.0</v>
      </c>
      <c r="L827" s="252">
        <v>80.0</v>
      </c>
      <c r="M827" s="252">
        <v>20844.0</v>
      </c>
      <c r="N827" s="252">
        <v>32725.0</v>
      </c>
      <c r="O827" s="252">
        <v>6.0</v>
      </c>
      <c r="P827" s="252">
        <v>32.0</v>
      </c>
      <c r="Q827" s="252">
        <v>4590.0</v>
      </c>
      <c r="R827" s="251" t="s">
        <v>1112</v>
      </c>
      <c r="S827" s="251" t="s">
        <v>1122</v>
      </c>
      <c r="T827" s="251" t="s">
        <v>1021</v>
      </c>
      <c r="U827" s="252">
        <v>48.0</v>
      </c>
      <c r="V827" s="252">
        <v>16.0</v>
      </c>
      <c r="W827" s="252">
        <v>5.2</v>
      </c>
      <c r="X827" s="251" t="s">
        <v>1147</v>
      </c>
      <c r="Y827" s="251" t="s">
        <v>5337</v>
      </c>
      <c r="Z827" s="251" t="s">
        <v>5338</v>
      </c>
      <c r="AA827" s="254" t="s">
        <v>1105</v>
      </c>
      <c r="AB827" s="254" t="s">
        <v>1105</v>
      </c>
    </row>
    <row r="828">
      <c r="A828" s="252">
        <v>827.0</v>
      </c>
      <c r="B828" s="251" t="s">
        <v>5339</v>
      </c>
      <c r="C828" s="252">
        <v>1.0</v>
      </c>
      <c r="D828" s="251" t="s">
        <v>5340</v>
      </c>
      <c r="E828" s="251" t="s">
        <v>1633</v>
      </c>
      <c r="F828" s="251" t="s">
        <v>1160</v>
      </c>
      <c r="G828" s="253" t="s">
        <v>5341</v>
      </c>
      <c r="H828" s="252">
        <v>3.0</v>
      </c>
      <c r="I828" s="251" t="s">
        <v>1121</v>
      </c>
      <c r="J828" s="252">
        <v>12.0</v>
      </c>
      <c r="K828" s="252">
        <v>65.0</v>
      </c>
      <c r="L828" s="252">
        <v>100.0</v>
      </c>
      <c r="M828" s="252">
        <v>20636.0</v>
      </c>
      <c r="N828" s="252">
        <v>31985.0</v>
      </c>
      <c r="O828" s="252">
        <v>12.0</v>
      </c>
      <c r="P828" s="252">
        <v>8.0</v>
      </c>
      <c r="Q828" s="252">
        <v>6141.0</v>
      </c>
      <c r="R828" s="251" t="s">
        <v>1112</v>
      </c>
      <c r="S828" s="251" t="s">
        <v>1122</v>
      </c>
      <c r="T828" s="251" t="s">
        <v>1021</v>
      </c>
      <c r="U828" s="252">
        <v>48.0</v>
      </c>
      <c r="V828" s="252">
        <v>12.0</v>
      </c>
      <c r="W828" s="252">
        <v>4.7</v>
      </c>
      <c r="X828" s="251" t="s">
        <v>1102</v>
      </c>
      <c r="Y828" s="251" t="s">
        <v>5342</v>
      </c>
      <c r="Z828" s="251" t="s">
        <v>5343</v>
      </c>
      <c r="AA828" s="254" t="s">
        <v>1105</v>
      </c>
      <c r="AB828" s="254" t="s">
        <v>1105</v>
      </c>
    </row>
    <row r="829">
      <c r="A829" s="252">
        <v>828.0</v>
      </c>
      <c r="B829" s="251" t="s">
        <v>5344</v>
      </c>
      <c r="C829" s="252">
        <v>1.0</v>
      </c>
      <c r="D829" s="251" t="s">
        <v>5345</v>
      </c>
      <c r="E829" s="251" t="s">
        <v>1250</v>
      </c>
      <c r="F829" s="251" t="s">
        <v>1153</v>
      </c>
      <c r="G829" s="253" t="s">
        <v>5346</v>
      </c>
      <c r="H829" s="252">
        <v>2.0</v>
      </c>
      <c r="I829" s="251" t="s">
        <v>1098</v>
      </c>
      <c r="J829" s="252">
        <v>10.0</v>
      </c>
      <c r="K829" s="252">
        <v>126.0</v>
      </c>
      <c r="L829" s="252">
        <v>80.0</v>
      </c>
      <c r="M829" s="252">
        <v>9607.0</v>
      </c>
      <c r="N829" s="252">
        <v>17292.0</v>
      </c>
      <c r="O829" s="252">
        <v>2.0</v>
      </c>
      <c r="P829" s="252">
        <v>16.0</v>
      </c>
      <c r="Q829" s="252">
        <v>5359.0</v>
      </c>
      <c r="R829" s="251" t="s">
        <v>1099</v>
      </c>
      <c r="S829" s="251" t="s">
        <v>1122</v>
      </c>
      <c r="T829" s="251" t="s">
        <v>1021</v>
      </c>
      <c r="U829" s="252">
        <v>12.0</v>
      </c>
      <c r="V829" s="252">
        <v>12.0</v>
      </c>
      <c r="W829" s="252">
        <v>5.0</v>
      </c>
      <c r="X829" s="251" t="s">
        <v>1113</v>
      </c>
      <c r="Y829" s="251" t="s">
        <v>5347</v>
      </c>
      <c r="Z829" s="251" t="s">
        <v>5348</v>
      </c>
      <c r="AA829" s="254" t="s">
        <v>1105</v>
      </c>
      <c r="AB829" s="254" t="s">
        <v>1105</v>
      </c>
    </row>
    <row r="830">
      <c r="A830" s="252">
        <v>829.0</v>
      </c>
      <c r="B830" s="251" t="s">
        <v>5349</v>
      </c>
      <c r="C830" s="252">
        <v>1.0</v>
      </c>
      <c r="D830" s="251" t="s">
        <v>5350</v>
      </c>
      <c r="E830" s="251" t="s">
        <v>1189</v>
      </c>
      <c r="F830" s="251" t="s">
        <v>1096</v>
      </c>
      <c r="G830" s="253" t="s">
        <v>5351</v>
      </c>
      <c r="H830" s="252">
        <v>3.0</v>
      </c>
      <c r="I830" s="251" t="s">
        <v>1098</v>
      </c>
      <c r="J830" s="252">
        <v>12.0</v>
      </c>
      <c r="K830" s="252">
        <v>980.0</v>
      </c>
      <c r="L830" s="252">
        <v>80.0</v>
      </c>
      <c r="M830" s="252">
        <v>18369.0</v>
      </c>
      <c r="N830" s="252">
        <v>27002.0</v>
      </c>
      <c r="O830" s="252">
        <v>2.0</v>
      </c>
      <c r="P830" s="252">
        <v>32.0</v>
      </c>
      <c r="Q830" s="252">
        <v>6166.0</v>
      </c>
      <c r="R830" s="251" t="s">
        <v>1112</v>
      </c>
      <c r="S830" s="251" t="s">
        <v>1100</v>
      </c>
      <c r="T830" s="251" t="s">
        <v>1123</v>
      </c>
      <c r="U830" s="252">
        <v>32.0</v>
      </c>
      <c r="V830" s="252">
        <v>14.0</v>
      </c>
      <c r="W830" s="252">
        <v>5.2</v>
      </c>
      <c r="X830" s="251" t="s">
        <v>1102</v>
      </c>
      <c r="Y830" s="251" t="s">
        <v>5352</v>
      </c>
      <c r="Z830" s="251" t="s">
        <v>5353</v>
      </c>
      <c r="AA830" s="254" t="s">
        <v>1105</v>
      </c>
      <c r="AB830" s="254" t="s">
        <v>1105</v>
      </c>
    </row>
    <row r="831">
      <c r="A831" s="252">
        <v>830.0</v>
      </c>
      <c r="B831" s="251" t="s">
        <v>5354</v>
      </c>
      <c r="C831" s="252">
        <v>1.0</v>
      </c>
      <c r="D831" s="251" t="s">
        <v>5355</v>
      </c>
      <c r="E831" s="251" t="s">
        <v>1678</v>
      </c>
      <c r="F831" s="251" t="s">
        <v>1138</v>
      </c>
      <c r="G831" s="253" t="s">
        <v>5356</v>
      </c>
      <c r="H831" s="252">
        <v>2.0</v>
      </c>
      <c r="I831" s="251" t="s">
        <v>1140</v>
      </c>
      <c r="J831" s="252">
        <v>8.0</v>
      </c>
      <c r="K831" s="252">
        <v>831.0</v>
      </c>
      <c r="L831" s="252">
        <v>100.0</v>
      </c>
      <c r="M831" s="252">
        <v>17978.0</v>
      </c>
      <c r="N831" s="252">
        <v>21933.0</v>
      </c>
      <c r="O831" s="252">
        <v>12.0</v>
      </c>
      <c r="P831" s="252">
        <v>128.0</v>
      </c>
      <c r="Q831" s="252">
        <v>2394.0</v>
      </c>
      <c r="R831" s="251" t="s">
        <v>1112</v>
      </c>
      <c r="S831" s="251" t="s">
        <v>1100</v>
      </c>
      <c r="T831" s="251" t="s">
        <v>1101</v>
      </c>
      <c r="U831" s="252">
        <v>16.0</v>
      </c>
      <c r="V831" s="252">
        <v>14.0</v>
      </c>
      <c r="W831" s="252">
        <v>5.5</v>
      </c>
      <c r="X831" s="251" t="s">
        <v>1113</v>
      </c>
      <c r="Y831" s="251" t="s">
        <v>5357</v>
      </c>
      <c r="Z831" s="251" t="s">
        <v>5358</v>
      </c>
      <c r="AA831" s="254" t="s">
        <v>1105</v>
      </c>
      <c r="AB831" s="254" t="s">
        <v>1105</v>
      </c>
    </row>
    <row r="832">
      <c r="A832" s="252">
        <v>831.0</v>
      </c>
      <c r="B832" s="251" t="s">
        <v>5359</v>
      </c>
      <c r="C832" s="252">
        <v>1.0</v>
      </c>
      <c r="D832" s="251" t="s">
        <v>5360</v>
      </c>
      <c r="E832" s="251" t="s">
        <v>1502</v>
      </c>
      <c r="F832" s="251" t="s">
        <v>1153</v>
      </c>
      <c r="G832" s="253" t="s">
        <v>5361</v>
      </c>
      <c r="H832" s="252">
        <v>3.0</v>
      </c>
      <c r="I832" s="251" t="s">
        <v>1111</v>
      </c>
      <c r="J832" s="252">
        <v>12.0</v>
      </c>
      <c r="K832" s="252">
        <v>40.0</v>
      </c>
      <c r="L832" s="252">
        <v>120.0</v>
      </c>
      <c r="M832" s="252">
        <v>19258.0</v>
      </c>
      <c r="N832" s="252">
        <v>34279.0</v>
      </c>
      <c r="O832" s="252">
        <v>8.0</v>
      </c>
      <c r="P832" s="252">
        <v>16.0</v>
      </c>
      <c r="Q832" s="252">
        <v>5864.0</v>
      </c>
      <c r="R832" s="251" t="s">
        <v>1099</v>
      </c>
      <c r="S832" s="251" t="s">
        <v>1122</v>
      </c>
      <c r="T832" s="251" t="s">
        <v>1101</v>
      </c>
      <c r="U832" s="252">
        <v>16.0</v>
      </c>
      <c r="V832" s="252">
        <v>48.0</v>
      </c>
      <c r="W832" s="252">
        <v>5.5</v>
      </c>
      <c r="X832" s="251" t="s">
        <v>1147</v>
      </c>
      <c r="Y832" s="251" t="s">
        <v>5362</v>
      </c>
      <c r="Z832" s="251" t="s">
        <v>5363</v>
      </c>
      <c r="AA832" s="254" t="s">
        <v>1105</v>
      </c>
      <c r="AB832" s="254" t="s">
        <v>1105</v>
      </c>
    </row>
    <row r="833">
      <c r="A833" s="252">
        <v>832.0</v>
      </c>
      <c r="B833" s="251" t="s">
        <v>5364</v>
      </c>
      <c r="C833" s="252">
        <v>1.0</v>
      </c>
      <c r="D833" s="251" t="s">
        <v>5365</v>
      </c>
      <c r="E833" s="251" t="s">
        <v>1627</v>
      </c>
      <c r="F833" s="251" t="s">
        <v>1160</v>
      </c>
      <c r="G833" s="253" t="s">
        <v>5039</v>
      </c>
      <c r="H833" s="252">
        <v>6.0</v>
      </c>
      <c r="I833" s="251" t="s">
        <v>1121</v>
      </c>
      <c r="J833" s="252">
        <v>12.0</v>
      </c>
      <c r="K833" s="252">
        <v>985.0</v>
      </c>
      <c r="L833" s="252">
        <v>120.0</v>
      </c>
      <c r="M833" s="252">
        <v>19181.0</v>
      </c>
      <c r="N833" s="252">
        <v>23592.0</v>
      </c>
      <c r="O833" s="252">
        <v>6.0</v>
      </c>
      <c r="P833" s="252">
        <v>512.0</v>
      </c>
      <c r="Q833" s="252">
        <v>5508.0</v>
      </c>
      <c r="R833" s="251" t="s">
        <v>1141</v>
      </c>
      <c r="S833" s="251" t="s">
        <v>1122</v>
      </c>
      <c r="T833" s="251" t="s">
        <v>1021</v>
      </c>
      <c r="U833" s="252">
        <v>16.0</v>
      </c>
      <c r="V833" s="252">
        <v>14.0</v>
      </c>
      <c r="W833" s="252">
        <v>5.2</v>
      </c>
      <c r="X833" s="251" t="s">
        <v>1102</v>
      </c>
      <c r="Y833" s="251" t="s">
        <v>5366</v>
      </c>
      <c r="Z833" s="251" t="s">
        <v>5367</v>
      </c>
      <c r="AA833" s="254" t="s">
        <v>1105</v>
      </c>
      <c r="AB833" s="254" t="s">
        <v>1105</v>
      </c>
    </row>
    <row r="834">
      <c r="A834" s="252">
        <v>833.0</v>
      </c>
      <c r="B834" s="251" t="s">
        <v>5368</v>
      </c>
      <c r="C834" s="252">
        <v>1.0</v>
      </c>
      <c r="D834" s="251" t="s">
        <v>5369</v>
      </c>
      <c r="E834" s="251" t="s">
        <v>1399</v>
      </c>
      <c r="F834" s="251" t="s">
        <v>1138</v>
      </c>
      <c r="G834" s="253" t="s">
        <v>5370</v>
      </c>
      <c r="H834" s="252">
        <v>3.0</v>
      </c>
      <c r="I834" s="251" t="s">
        <v>1111</v>
      </c>
      <c r="J834" s="252">
        <v>12.0</v>
      </c>
      <c r="K834" s="252">
        <v>408.0</v>
      </c>
      <c r="L834" s="252">
        <v>80.0</v>
      </c>
      <c r="M834" s="252">
        <v>21270.0</v>
      </c>
      <c r="N834" s="252">
        <v>29352.0</v>
      </c>
      <c r="O834" s="252">
        <v>2.0</v>
      </c>
      <c r="P834" s="252">
        <v>512.0</v>
      </c>
      <c r="Q834" s="252">
        <v>5409.0</v>
      </c>
      <c r="R834" s="251" t="s">
        <v>1141</v>
      </c>
      <c r="S834" s="251" t="s">
        <v>1100</v>
      </c>
      <c r="T834" s="251" t="s">
        <v>1101</v>
      </c>
      <c r="U834" s="252">
        <v>14.0</v>
      </c>
      <c r="V834" s="252">
        <v>48.0</v>
      </c>
      <c r="W834" s="252">
        <v>5.2</v>
      </c>
      <c r="X834" s="251" t="s">
        <v>1132</v>
      </c>
      <c r="Y834" s="251" t="s">
        <v>5371</v>
      </c>
      <c r="Z834" s="251" t="s">
        <v>5372</v>
      </c>
      <c r="AA834" s="254" t="s">
        <v>1105</v>
      </c>
      <c r="AB834" s="254" t="s">
        <v>1105</v>
      </c>
    </row>
    <row r="835">
      <c r="A835" s="252">
        <v>834.0</v>
      </c>
      <c r="B835" s="251" t="s">
        <v>5373</v>
      </c>
      <c r="C835" s="252">
        <v>1.0</v>
      </c>
      <c r="D835" s="251" t="s">
        <v>5374</v>
      </c>
      <c r="E835" s="251" t="s">
        <v>1523</v>
      </c>
      <c r="F835" s="251" t="s">
        <v>1215</v>
      </c>
      <c r="G835" s="253" t="s">
        <v>5375</v>
      </c>
      <c r="H835" s="252">
        <v>5.0</v>
      </c>
      <c r="I835" s="251" t="s">
        <v>1131</v>
      </c>
      <c r="J835" s="252">
        <v>10.0</v>
      </c>
      <c r="K835" s="252">
        <v>978.0</v>
      </c>
      <c r="L835" s="252">
        <v>120.0</v>
      </c>
      <c r="M835" s="252">
        <v>15691.0</v>
      </c>
      <c r="N835" s="252">
        <v>20241.0</v>
      </c>
      <c r="O835" s="252">
        <v>4.0</v>
      </c>
      <c r="P835" s="252">
        <v>128.0</v>
      </c>
      <c r="Q835" s="252">
        <v>3183.0</v>
      </c>
      <c r="R835" s="251" t="s">
        <v>1141</v>
      </c>
      <c r="S835" s="251" t="s">
        <v>1122</v>
      </c>
      <c r="T835" s="251" t="s">
        <v>1021</v>
      </c>
      <c r="U835" s="252">
        <v>14.0</v>
      </c>
      <c r="V835" s="252">
        <v>16.0</v>
      </c>
      <c r="W835" s="252">
        <v>4.7</v>
      </c>
      <c r="X835" s="251" t="s">
        <v>1102</v>
      </c>
      <c r="Y835" s="251" t="s">
        <v>5376</v>
      </c>
      <c r="Z835" s="251" t="s">
        <v>5377</v>
      </c>
      <c r="AA835" s="254" t="s">
        <v>1105</v>
      </c>
      <c r="AB835" s="254" t="s">
        <v>1105</v>
      </c>
    </row>
    <row r="836">
      <c r="A836" s="252">
        <v>835.0</v>
      </c>
      <c r="B836" s="251" t="s">
        <v>5378</v>
      </c>
      <c r="C836" s="252">
        <v>1.0</v>
      </c>
      <c r="D836" s="251" t="s">
        <v>5379</v>
      </c>
      <c r="E836" s="251" t="s">
        <v>1399</v>
      </c>
      <c r="F836" s="251" t="s">
        <v>1138</v>
      </c>
      <c r="G836" s="253" t="s">
        <v>5380</v>
      </c>
      <c r="H836" s="252">
        <v>3.0</v>
      </c>
      <c r="I836" s="251" t="s">
        <v>1131</v>
      </c>
      <c r="J836" s="252">
        <v>8.0</v>
      </c>
      <c r="K836" s="252">
        <v>607.0</v>
      </c>
      <c r="L836" s="252">
        <v>80.0</v>
      </c>
      <c r="M836" s="252">
        <v>18095.0</v>
      </c>
      <c r="N836" s="252">
        <v>28590.0</v>
      </c>
      <c r="O836" s="252">
        <v>2.0</v>
      </c>
      <c r="P836" s="252">
        <v>64.0</v>
      </c>
      <c r="Q836" s="252">
        <v>5150.0</v>
      </c>
      <c r="R836" s="251" t="s">
        <v>1141</v>
      </c>
      <c r="S836" s="251" t="s">
        <v>1100</v>
      </c>
      <c r="T836" s="251" t="s">
        <v>1021</v>
      </c>
      <c r="U836" s="252">
        <v>48.0</v>
      </c>
      <c r="V836" s="252">
        <v>12.0</v>
      </c>
      <c r="W836" s="252">
        <v>5.5</v>
      </c>
      <c r="X836" s="251" t="s">
        <v>1102</v>
      </c>
      <c r="Y836" s="251" t="s">
        <v>5381</v>
      </c>
      <c r="Z836" s="251" t="s">
        <v>5382</v>
      </c>
      <c r="AA836" s="254" t="s">
        <v>1105</v>
      </c>
      <c r="AB836" s="254" t="s">
        <v>1105</v>
      </c>
    </row>
    <row r="837">
      <c r="A837" s="252">
        <v>836.0</v>
      </c>
      <c r="B837" s="251" t="s">
        <v>5383</v>
      </c>
      <c r="C837" s="252">
        <v>1.0</v>
      </c>
      <c r="D837" s="251" t="s">
        <v>5384</v>
      </c>
      <c r="E837" s="251" t="s">
        <v>1306</v>
      </c>
      <c r="F837" s="251" t="s">
        <v>1129</v>
      </c>
      <c r="G837" s="253" t="s">
        <v>5385</v>
      </c>
      <c r="H837" s="252">
        <v>6.0</v>
      </c>
      <c r="I837" s="251" t="s">
        <v>1121</v>
      </c>
      <c r="J837" s="252">
        <v>12.0</v>
      </c>
      <c r="K837" s="252">
        <v>202.0</v>
      </c>
      <c r="L837" s="252">
        <v>80.0</v>
      </c>
      <c r="M837" s="252">
        <v>8095.0</v>
      </c>
      <c r="N837" s="252">
        <v>14409.0</v>
      </c>
      <c r="O837" s="252">
        <v>12.0</v>
      </c>
      <c r="P837" s="252">
        <v>8.0</v>
      </c>
      <c r="Q837" s="252">
        <v>4149.0</v>
      </c>
      <c r="R837" s="251" t="s">
        <v>1112</v>
      </c>
      <c r="S837" s="251" t="s">
        <v>1122</v>
      </c>
      <c r="T837" s="251" t="s">
        <v>1123</v>
      </c>
      <c r="U837" s="252">
        <v>16.0</v>
      </c>
      <c r="V837" s="252">
        <v>16.0</v>
      </c>
      <c r="W837" s="252">
        <v>6.0</v>
      </c>
      <c r="X837" s="251" t="s">
        <v>1113</v>
      </c>
      <c r="Y837" s="251" t="s">
        <v>5386</v>
      </c>
      <c r="Z837" s="251" t="s">
        <v>5387</v>
      </c>
      <c r="AA837" s="254" t="s">
        <v>1105</v>
      </c>
      <c r="AB837" s="254" t="s">
        <v>1105</v>
      </c>
    </row>
    <row r="838">
      <c r="A838" s="252">
        <v>837.0</v>
      </c>
      <c r="B838" s="251" t="s">
        <v>5388</v>
      </c>
      <c r="C838" s="252">
        <v>1.0</v>
      </c>
      <c r="D838" s="251" t="s">
        <v>5389</v>
      </c>
      <c r="E838" s="251" t="s">
        <v>2023</v>
      </c>
      <c r="F838" s="251" t="s">
        <v>1109</v>
      </c>
      <c r="G838" s="253" t="s">
        <v>5390</v>
      </c>
      <c r="H838" s="252">
        <v>4.0</v>
      </c>
      <c r="I838" s="251" t="s">
        <v>1098</v>
      </c>
      <c r="J838" s="252">
        <v>12.0</v>
      </c>
      <c r="K838" s="252">
        <v>256.0</v>
      </c>
      <c r="L838" s="252">
        <v>100.0</v>
      </c>
      <c r="M838" s="252">
        <v>17370.0</v>
      </c>
      <c r="N838" s="252">
        <v>29355.0</v>
      </c>
      <c r="O838" s="252">
        <v>2.0</v>
      </c>
      <c r="P838" s="252">
        <v>8.0</v>
      </c>
      <c r="Q838" s="252">
        <v>5674.0</v>
      </c>
      <c r="R838" s="251" t="s">
        <v>1141</v>
      </c>
      <c r="S838" s="251" t="s">
        <v>1100</v>
      </c>
      <c r="T838" s="251" t="s">
        <v>1123</v>
      </c>
      <c r="U838" s="252">
        <v>32.0</v>
      </c>
      <c r="V838" s="252">
        <v>32.0</v>
      </c>
      <c r="W838" s="252">
        <v>4.7</v>
      </c>
      <c r="X838" s="251" t="s">
        <v>1132</v>
      </c>
      <c r="Y838" s="251" t="s">
        <v>5391</v>
      </c>
      <c r="Z838" s="251" t="s">
        <v>5392</v>
      </c>
      <c r="AA838" s="254" t="s">
        <v>1105</v>
      </c>
      <c r="AB838" s="254" t="s">
        <v>1105</v>
      </c>
    </row>
    <row r="839">
      <c r="A839" s="252">
        <v>838.0</v>
      </c>
      <c r="B839" s="251" t="s">
        <v>5393</v>
      </c>
      <c r="C839" s="252">
        <v>1.0</v>
      </c>
      <c r="D839" s="251" t="s">
        <v>5394</v>
      </c>
      <c r="E839" s="251" t="s">
        <v>1446</v>
      </c>
      <c r="F839" s="251" t="s">
        <v>1160</v>
      </c>
      <c r="G839" s="253" t="s">
        <v>5395</v>
      </c>
      <c r="H839" s="252">
        <v>2.0</v>
      </c>
      <c r="I839" s="251" t="s">
        <v>1098</v>
      </c>
      <c r="J839" s="252">
        <v>12.0</v>
      </c>
      <c r="K839" s="252">
        <v>801.0</v>
      </c>
      <c r="L839" s="252">
        <v>120.0</v>
      </c>
      <c r="M839" s="252">
        <v>14394.0</v>
      </c>
      <c r="N839" s="252">
        <v>24613.0</v>
      </c>
      <c r="O839" s="252">
        <v>8.0</v>
      </c>
      <c r="P839" s="252">
        <v>128.0</v>
      </c>
      <c r="Q839" s="252">
        <v>2095.0</v>
      </c>
      <c r="R839" s="251" t="s">
        <v>1099</v>
      </c>
      <c r="S839" s="251" t="s">
        <v>1100</v>
      </c>
      <c r="T839" s="251" t="s">
        <v>1123</v>
      </c>
      <c r="U839" s="252">
        <v>48.0</v>
      </c>
      <c r="V839" s="252">
        <v>32.0</v>
      </c>
      <c r="W839" s="252">
        <v>4.7</v>
      </c>
      <c r="X839" s="251" t="s">
        <v>1113</v>
      </c>
      <c r="Y839" s="251" t="s">
        <v>5396</v>
      </c>
      <c r="Z839" s="251" t="s">
        <v>5397</v>
      </c>
      <c r="AA839" s="254" t="s">
        <v>1105</v>
      </c>
      <c r="AB839" s="254" t="s">
        <v>1105</v>
      </c>
    </row>
    <row r="840">
      <c r="A840" s="252">
        <v>839.0</v>
      </c>
      <c r="B840" s="251" t="s">
        <v>5398</v>
      </c>
      <c r="C840" s="252">
        <v>1.0</v>
      </c>
      <c r="D840" s="251" t="s">
        <v>5399</v>
      </c>
      <c r="E840" s="251" t="s">
        <v>1874</v>
      </c>
      <c r="F840" s="251" t="s">
        <v>1202</v>
      </c>
      <c r="G840" s="253" t="s">
        <v>5400</v>
      </c>
      <c r="H840" s="252">
        <v>5.0</v>
      </c>
      <c r="I840" s="251" t="s">
        <v>1111</v>
      </c>
      <c r="J840" s="252">
        <v>8.0</v>
      </c>
      <c r="K840" s="252">
        <v>437.0</v>
      </c>
      <c r="L840" s="252">
        <v>80.0</v>
      </c>
      <c r="M840" s="252">
        <v>22975.0</v>
      </c>
      <c r="N840" s="252">
        <v>33084.0</v>
      </c>
      <c r="O840" s="252">
        <v>8.0</v>
      </c>
      <c r="P840" s="252">
        <v>16.0</v>
      </c>
      <c r="Q840" s="252">
        <v>2843.0</v>
      </c>
      <c r="R840" s="251" t="s">
        <v>1112</v>
      </c>
      <c r="S840" s="251" t="s">
        <v>1100</v>
      </c>
      <c r="T840" s="251" t="s">
        <v>1101</v>
      </c>
      <c r="U840" s="252">
        <v>12.0</v>
      </c>
      <c r="V840" s="252">
        <v>16.0</v>
      </c>
      <c r="W840" s="252">
        <v>5.0</v>
      </c>
      <c r="X840" s="251" t="s">
        <v>1113</v>
      </c>
      <c r="Y840" s="251" t="s">
        <v>5401</v>
      </c>
      <c r="Z840" s="251" t="s">
        <v>5402</v>
      </c>
      <c r="AA840" s="254" t="s">
        <v>1105</v>
      </c>
      <c r="AB840" s="254" t="s">
        <v>1105</v>
      </c>
    </row>
    <row r="841">
      <c r="A841" s="252">
        <v>840.0</v>
      </c>
      <c r="B841" s="251" t="s">
        <v>5403</v>
      </c>
      <c r="C841" s="252">
        <v>1.0</v>
      </c>
      <c r="D841" s="251" t="s">
        <v>5404</v>
      </c>
      <c r="E841" s="251" t="s">
        <v>1272</v>
      </c>
      <c r="F841" s="251" t="s">
        <v>1233</v>
      </c>
      <c r="G841" s="253" t="s">
        <v>5405</v>
      </c>
      <c r="H841" s="252">
        <v>3.0</v>
      </c>
      <c r="I841" s="251" t="s">
        <v>1140</v>
      </c>
      <c r="J841" s="252">
        <v>10.0</v>
      </c>
      <c r="K841" s="252">
        <v>421.0</v>
      </c>
      <c r="L841" s="252">
        <v>120.0</v>
      </c>
      <c r="M841" s="252">
        <v>6458.0</v>
      </c>
      <c r="N841" s="252">
        <v>11236.0</v>
      </c>
      <c r="O841" s="252">
        <v>2.0</v>
      </c>
      <c r="P841" s="252">
        <v>128.0</v>
      </c>
      <c r="Q841" s="252">
        <v>2607.0</v>
      </c>
      <c r="R841" s="251" t="s">
        <v>1141</v>
      </c>
      <c r="S841" s="251" t="s">
        <v>1100</v>
      </c>
      <c r="T841" s="251" t="s">
        <v>1101</v>
      </c>
      <c r="U841" s="252">
        <v>12.0</v>
      </c>
      <c r="V841" s="252">
        <v>14.0</v>
      </c>
      <c r="W841" s="252">
        <v>5.5</v>
      </c>
      <c r="X841" s="251" t="s">
        <v>1147</v>
      </c>
      <c r="Y841" s="251" t="s">
        <v>5406</v>
      </c>
      <c r="Z841" s="251" t="s">
        <v>5407</v>
      </c>
      <c r="AA841" s="254" t="s">
        <v>1105</v>
      </c>
      <c r="AB841" s="254" t="s">
        <v>1105</v>
      </c>
    </row>
    <row r="842">
      <c r="A842" s="252">
        <v>841.0</v>
      </c>
      <c r="B842" s="251" t="s">
        <v>5408</v>
      </c>
      <c r="C842" s="252">
        <v>1.0</v>
      </c>
      <c r="D842" s="251" t="s">
        <v>5409</v>
      </c>
      <c r="E842" s="251" t="s">
        <v>1178</v>
      </c>
      <c r="F842" s="251" t="s">
        <v>1119</v>
      </c>
      <c r="G842" s="253" t="s">
        <v>5410</v>
      </c>
      <c r="H842" s="252">
        <v>3.0</v>
      </c>
      <c r="I842" s="251" t="s">
        <v>1140</v>
      </c>
      <c r="J842" s="252">
        <v>12.0</v>
      </c>
      <c r="K842" s="252">
        <v>230.0</v>
      </c>
      <c r="L842" s="252">
        <v>80.0</v>
      </c>
      <c r="M842" s="252">
        <v>10573.0</v>
      </c>
      <c r="N842" s="252">
        <v>15013.0</v>
      </c>
      <c r="O842" s="252">
        <v>4.0</v>
      </c>
      <c r="P842" s="252">
        <v>512.0</v>
      </c>
      <c r="Q842" s="252">
        <v>4681.0</v>
      </c>
      <c r="R842" s="251" t="s">
        <v>1112</v>
      </c>
      <c r="S842" s="251" t="s">
        <v>1122</v>
      </c>
      <c r="T842" s="251" t="s">
        <v>1021</v>
      </c>
      <c r="U842" s="252">
        <v>48.0</v>
      </c>
      <c r="V842" s="252">
        <v>14.0</v>
      </c>
      <c r="W842" s="252">
        <v>6.0</v>
      </c>
      <c r="X842" s="251" t="s">
        <v>1113</v>
      </c>
      <c r="Y842" s="251" t="s">
        <v>5411</v>
      </c>
      <c r="Z842" s="251" t="s">
        <v>5412</v>
      </c>
      <c r="AA842" s="254" t="s">
        <v>1105</v>
      </c>
      <c r="AB842" s="254" t="s">
        <v>1105</v>
      </c>
    </row>
    <row r="843">
      <c r="A843" s="252">
        <v>842.0</v>
      </c>
      <c r="B843" s="251" t="s">
        <v>5413</v>
      </c>
      <c r="C843" s="252">
        <v>1.0</v>
      </c>
      <c r="D843" s="251" t="s">
        <v>5414</v>
      </c>
      <c r="E843" s="251" t="s">
        <v>1214</v>
      </c>
      <c r="F843" s="251" t="s">
        <v>1215</v>
      </c>
      <c r="G843" s="253" t="s">
        <v>5415</v>
      </c>
      <c r="H843" s="252">
        <v>4.0</v>
      </c>
      <c r="I843" s="251" t="s">
        <v>1111</v>
      </c>
      <c r="J843" s="252">
        <v>12.0</v>
      </c>
      <c r="K843" s="252">
        <v>361.0</v>
      </c>
      <c r="L843" s="252">
        <v>100.0</v>
      </c>
      <c r="M843" s="252">
        <v>11276.0</v>
      </c>
      <c r="N843" s="252">
        <v>19056.0</v>
      </c>
      <c r="O843" s="252">
        <v>4.0</v>
      </c>
      <c r="P843" s="252">
        <v>16.0</v>
      </c>
      <c r="Q843" s="252">
        <v>3418.0</v>
      </c>
      <c r="R843" s="251" t="s">
        <v>1099</v>
      </c>
      <c r="S843" s="251" t="s">
        <v>1100</v>
      </c>
      <c r="T843" s="251" t="s">
        <v>1021</v>
      </c>
      <c r="U843" s="252">
        <v>32.0</v>
      </c>
      <c r="V843" s="252">
        <v>32.0</v>
      </c>
      <c r="W843" s="252">
        <v>5.5</v>
      </c>
      <c r="X843" s="251" t="s">
        <v>1102</v>
      </c>
      <c r="Y843" s="251" t="s">
        <v>5416</v>
      </c>
      <c r="Z843" s="251" t="s">
        <v>5417</v>
      </c>
      <c r="AA843" s="254" t="s">
        <v>1105</v>
      </c>
      <c r="AB843" s="254" t="s">
        <v>1105</v>
      </c>
    </row>
    <row r="844">
      <c r="A844" s="252">
        <v>843.0</v>
      </c>
      <c r="B844" s="251" t="s">
        <v>5418</v>
      </c>
      <c r="C844" s="252">
        <v>1.0</v>
      </c>
      <c r="D844" s="251" t="s">
        <v>5419</v>
      </c>
      <c r="E844" s="251" t="s">
        <v>1942</v>
      </c>
      <c r="F844" s="251" t="s">
        <v>1233</v>
      </c>
      <c r="G844" s="253" t="s">
        <v>3759</v>
      </c>
      <c r="H844" s="252">
        <v>4.0</v>
      </c>
      <c r="I844" s="251" t="s">
        <v>1098</v>
      </c>
      <c r="J844" s="252">
        <v>8.0</v>
      </c>
      <c r="K844" s="252">
        <v>531.0</v>
      </c>
      <c r="L844" s="252">
        <v>120.0</v>
      </c>
      <c r="M844" s="252">
        <v>18011.0</v>
      </c>
      <c r="N844" s="252">
        <v>29898.0</v>
      </c>
      <c r="O844" s="252">
        <v>12.0</v>
      </c>
      <c r="P844" s="252">
        <v>512.0</v>
      </c>
      <c r="Q844" s="252">
        <v>5900.0</v>
      </c>
      <c r="R844" s="251" t="s">
        <v>1141</v>
      </c>
      <c r="S844" s="251" t="s">
        <v>1100</v>
      </c>
      <c r="T844" s="251" t="s">
        <v>1021</v>
      </c>
      <c r="U844" s="252">
        <v>16.0</v>
      </c>
      <c r="V844" s="252">
        <v>32.0</v>
      </c>
      <c r="W844" s="252">
        <v>5.5</v>
      </c>
      <c r="X844" s="251" t="s">
        <v>1132</v>
      </c>
      <c r="Y844" s="251" t="s">
        <v>5420</v>
      </c>
      <c r="Z844" s="251" t="s">
        <v>5421</v>
      </c>
      <c r="AA844" s="254" t="s">
        <v>1105</v>
      </c>
      <c r="AB844" s="254" t="s">
        <v>1105</v>
      </c>
    </row>
    <row r="845">
      <c r="A845" s="252">
        <v>844.0</v>
      </c>
      <c r="B845" s="251" t="s">
        <v>5422</v>
      </c>
      <c r="C845" s="252">
        <v>1.0</v>
      </c>
      <c r="D845" s="251" t="s">
        <v>5423</v>
      </c>
      <c r="E845" s="251" t="s">
        <v>2327</v>
      </c>
      <c r="F845" s="251" t="s">
        <v>1215</v>
      </c>
      <c r="G845" s="253" t="s">
        <v>5424</v>
      </c>
      <c r="H845" s="252">
        <v>4.0</v>
      </c>
      <c r="I845" s="251" t="s">
        <v>1140</v>
      </c>
      <c r="J845" s="252">
        <v>8.0</v>
      </c>
      <c r="K845" s="252">
        <v>304.0</v>
      </c>
      <c r="L845" s="252">
        <v>100.0</v>
      </c>
      <c r="M845" s="252">
        <v>22388.0</v>
      </c>
      <c r="N845" s="252">
        <v>33134.0</v>
      </c>
      <c r="O845" s="252">
        <v>8.0</v>
      </c>
      <c r="P845" s="252">
        <v>64.0</v>
      </c>
      <c r="Q845" s="252">
        <v>2613.0</v>
      </c>
      <c r="R845" s="251" t="s">
        <v>1112</v>
      </c>
      <c r="S845" s="251" t="s">
        <v>1122</v>
      </c>
      <c r="T845" s="251" t="s">
        <v>1123</v>
      </c>
      <c r="U845" s="252">
        <v>16.0</v>
      </c>
      <c r="V845" s="252">
        <v>32.0</v>
      </c>
      <c r="W845" s="252">
        <v>6.0</v>
      </c>
      <c r="X845" s="251" t="s">
        <v>1113</v>
      </c>
      <c r="Y845" s="251" t="s">
        <v>5425</v>
      </c>
      <c r="Z845" s="251" t="s">
        <v>5426</v>
      </c>
      <c r="AA845" s="254" t="s">
        <v>1105</v>
      </c>
      <c r="AB845" s="254" t="s">
        <v>1105</v>
      </c>
    </row>
    <row r="846">
      <c r="A846" s="252">
        <v>845.0</v>
      </c>
      <c r="B846" s="251" t="s">
        <v>5427</v>
      </c>
      <c r="C846" s="252">
        <v>1.0</v>
      </c>
      <c r="D846" s="251" t="s">
        <v>5428</v>
      </c>
      <c r="E846" s="251" t="s">
        <v>1347</v>
      </c>
      <c r="F846" s="251" t="s">
        <v>1129</v>
      </c>
      <c r="G846" s="253" t="s">
        <v>5429</v>
      </c>
      <c r="H846" s="252">
        <v>5.0</v>
      </c>
      <c r="I846" s="251" t="s">
        <v>1131</v>
      </c>
      <c r="J846" s="252">
        <v>12.0</v>
      </c>
      <c r="K846" s="252">
        <v>816.0</v>
      </c>
      <c r="L846" s="252">
        <v>100.0</v>
      </c>
      <c r="M846" s="252">
        <v>16919.0</v>
      </c>
      <c r="N846" s="252">
        <v>24532.0</v>
      </c>
      <c r="O846" s="252">
        <v>12.0</v>
      </c>
      <c r="P846" s="252">
        <v>16.0</v>
      </c>
      <c r="Q846" s="252">
        <v>3307.0</v>
      </c>
      <c r="R846" s="251" t="s">
        <v>1112</v>
      </c>
      <c r="S846" s="251" t="s">
        <v>1122</v>
      </c>
      <c r="T846" s="251" t="s">
        <v>1101</v>
      </c>
      <c r="U846" s="252">
        <v>14.0</v>
      </c>
      <c r="V846" s="252">
        <v>14.0</v>
      </c>
      <c r="W846" s="252">
        <v>5.5</v>
      </c>
      <c r="X846" s="251" t="s">
        <v>1147</v>
      </c>
      <c r="Y846" s="251" t="s">
        <v>5430</v>
      </c>
      <c r="Z846" s="251" t="s">
        <v>5431</v>
      </c>
      <c r="AA846" s="254" t="s">
        <v>1105</v>
      </c>
      <c r="AB846" s="254" t="s">
        <v>1105</v>
      </c>
    </row>
    <row r="847">
      <c r="A847" s="252">
        <v>846.0</v>
      </c>
      <c r="B847" s="251" t="s">
        <v>5432</v>
      </c>
      <c r="C847" s="252">
        <v>1.0</v>
      </c>
      <c r="D847" s="251" t="s">
        <v>5433</v>
      </c>
      <c r="E847" s="251" t="s">
        <v>1905</v>
      </c>
      <c r="F847" s="251" t="s">
        <v>1096</v>
      </c>
      <c r="G847" s="253" t="s">
        <v>5434</v>
      </c>
      <c r="H847" s="252">
        <v>3.0</v>
      </c>
      <c r="I847" s="251" t="s">
        <v>1121</v>
      </c>
      <c r="J847" s="252">
        <v>10.0</v>
      </c>
      <c r="K847" s="252">
        <v>867.0</v>
      </c>
      <c r="L847" s="252">
        <v>100.0</v>
      </c>
      <c r="M847" s="252">
        <v>13000.0</v>
      </c>
      <c r="N847" s="252">
        <v>17810.0</v>
      </c>
      <c r="O847" s="252">
        <v>2.0</v>
      </c>
      <c r="P847" s="252">
        <v>32.0</v>
      </c>
      <c r="Q847" s="252">
        <v>5140.0</v>
      </c>
      <c r="R847" s="251" t="s">
        <v>1112</v>
      </c>
      <c r="S847" s="251" t="s">
        <v>1122</v>
      </c>
      <c r="T847" s="251" t="s">
        <v>1123</v>
      </c>
      <c r="U847" s="252">
        <v>16.0</v>
      </c>
      <c r="V847" s="252">
        <v>16.0</v>
      </c>
      <c r="W847" s="252">
        <v>6.0</v>
      </c>
      <c r="X847" s="251" t="s">
        <v>1147</v>
      </c>
      <c r="Y847" s="251" t="s">
        <v>5435</v>
      </c>
      <c r="Z847" s="251" t="s">
        <v>5436</v>
      </c>
      <c r="AA847" s="254" t="s">
        <v>1105</v>
      </c>
      <c r="AB847" s="254" t="s">
        <v>1105</v>
      </c>
    </row>
    <row r="848">
      <c r="A848" s="252">
        <v>847.0</v>
      </c>
      <c r="B848" s="251" t="s">
        <v>5437</v>
      </c>
      <c r="C848" s="252">
        <v>1.0</v>
      </c>
      <c r="D848" s="251" t="s">
        <v>5438</v>
      </c>
      <c r="E848" s="251" t="s">
        <v>1214</v>
      </c>
      <c r="F848" s="251" t="s">
        <v>1215</v>
      </c>
      <c r="G848" s="253" t="s">
        <v>5439</v>
      </c>
      <c r="H848" s="252">
        <v>5.0</v>
      </c>
      <c r="I848" s="251" t="s">
        <v>1140</v>
      </c>
      <c r="J848" s="252">
        <v>10.0</v>
      </c>
      <c r="K848" s="252">
        <v>936.0</v>
      </c>
      <c r="L848" s="252">
        <v>80.0</v>
      </c>
      <c r="M848" s="252">
        <v>5370.0</v>
      </c>
      <c r="N848" s="252">
        <v>6551.0</v>
      </c>
      <c r="O848" s="252">
        <v>12.0</v>
      </c>
      <c r="P848" s="252">
        <v>16.0</v>
      </c>
      <c r="Q848" s="252">
        <v>2534.0</v>
      </c>
      <c r="R848" s="251" t="s">
        <v>1141</v>
      </c>
      <c r="S848" s="251" t="s">
        <v>1100</v>
      </c>
      <c r="T848" s="251" t="s">
        <v>1101</v>
      </c>
      <c r="U848" s="252">
        <v>16.0</v>
      </c>
      <c r="V848" s="252">
        <v>32.0</v>
      </c>
      <c r="W848" s="252">
        <v>5.2</v>
      </c>
      <c r="X848" s="251" t="s">
        <v>1147</v>
      </c>
      <c r="Y848" s="251" t="s">
        <v>5440</v>
      </c>
      <c r="Z848" s="251" t="s">
        <v>5441</v>
      </c>
      <c r="AA848" s="254" t="s">
        <v>1105</v>
      </c>
      <c r="AB848" s="254" t="s">
        <v>1105</v>
      </c>
    </row>
    <row r="849">
      <c r="A849" s="252">
        <v>848.0</v>
      </c>
      <c r="B849" s="251" t="s">
        <v>5442</v>
      </c>
      <c r="C849" s="252">
        <v>1.0</v>
      </c>
      <c r="D849" s="251" t="s">
        <v>5443</v>
      </c>
      <c r="E849" s="251" t="s">
        <v>1375</v>
      </c>
      <c r="F849" s="251" t="s">
        <v>1160</v>
      </c>
      <c r="G849" s="253" t="s">
        <v>5444</v>
      </c>
      <c r="H849" s="252">
        <v>3.0</v>
      </c>
      <c r="I849" s="251" t="s">
        <v>1111</v>
      </c>
      <c r="J849" s="252">
        <v>12.0</v>
      </c>
      <c r="K849" s="252">
        <v>131.0</v>
      </c>
      <c r="L849" s="252">
        <v>80.0</v>
      </c>
      <c r="M849" s="252">
        <v>16004.0</v>
      </c>
      <c r="N849" s="252">
        <v>19684.0</v>
      </c>
      <c r="O849" s="252">
        <v>12.0</v>
      </c>
      <c r="P849" s="252">
        <v>32.0</v>
      </c>
      <c r="Q849" s="252">
        <v>3365.0</v>
      </c>
      <c r="R849" s="251" t="s">
        <v>1099</v>
      </c>
      <c r="S849" s="251" t="s">
        <v>1100</v>
      </c>
      <c r="T849" s="251" t="s">
        <v>1101</v>
      </c>
      <c r="U849" s="252">
        <v>32.0</v>
      </c>
      <c r="V849" s="252">
        <v>12.0</v>
      </c>
      <c r="W849" s="252">
        <v>5.5</v>
      </c>
      <c r="X849" s="251" t="s">
        <v>1113</v>
      </c>
      <c r="Y849" s="251" t="s">
        <v>5445</v>
      </c>
      <c r="Z849" s="251" t="s">
        <v>5446</v>
      </c>
      <c r="AA849" s="254" t="s">
        <v>1105</v>
      </c>
      <c r="AB849" s="254" t="s">
        <v>1105</v>
      </c>
    </row>
    <row r="850">
      <c r="A850" s="252">
        <v>849.0</v>
      </c>
      <c r="B850" s="251" t="s">
        <v>5447</v>
      </c>
      <c r="C850" s="252">
        <v>1.0</v>
      </c>
      <c r="D850" s="251" t="s">
        <v>5448</v>
      </c>
      <c r="E850" s="251" t="s">
        <v>1434</v>
      </c>
      <c r="F850" s="251" t="s">
        <v>1096</v>
      </c>
      <c r="G850" s="253" t="s">
        <v>5449</v>
      </c>
      <c r="H850" s="252">
        <v>4.0</v>
      </c>
      <c r="I850" s="251" t="s">
        <v>1098</v>
      </c>
      <c r="J850" s="252">
        <v>12.0</v>
      </c>
      <c r="K850" s="252">
        <v>721.0</v>
      </c>
      <c r="L850" s="252">
        <v>80.0</v>
      </c>
      <c r="M850" s="252">
        <v>19210.0</v>
      </c>
      <c r="N850" s="252">
        <v>30736.0</v>
      </c>
      <c r="O850" s="252">
        <v>8.0</v>
      </c>
      <c r="P850" s="252">
        <v>128.0</v>
      </c>
      <c r="Q850" s="252">
        <v>5112.0</v>
      </c>
      <c r="R850" s="251" t="s">
        <v>1141</v>
      </c>
      <c r="S850" s="251" t="s">
        <v>1122</v>
      </c>
      <c r="T850" s="251" t="s">
        <v>1101</v>
      </c>
      <c r="U850" s="252">
        <v>16.0</v>
      </c>
      <c r="V850" s="252">
        <v>16.0</v>
      </c>
      <c r="W850" s="252">
        <v>5.0</v>
      </c>
      <c r="X850" s="251" t="s">
        <v>1102</v>
      </c>
      <c r="Y850" s="251" t="s">
        <v>5450</v>
      </c>
      <c r="Z850" s="251" t="s">
        <v>5451</v>
      </c>
      <c r="AA850" s="254" t="s">
        <v>1105</v>
      </c>
      <c r="AB850" s="254" t="s">
        <v>1105</v>
      </c>
    </row>
    <row r="851">
      <c r="A851" s="252">
        <v>850.0</v>
      </c>
      <c r="B851" s="251" t="s">
        <v>5452</v>
      </c>
      <c r="C851" s="252">
        <v>1.0</v>
      </c>
      <c r="D851" s="251" t="s">
        <v>5453</v>
      </c>
      <c r="E851" s="251" t="s">
        <v>1689</v>
      </c>
      <c r="F851" s="251" t="s">
        <v>1109</v>
      </c>
      <c r="G851" s="253" t="s">
        <v>5454</v>
      </c>
      <c r="H851" s="252">
        <v>4.0</v>
      </c>
      <c r="I851" s="251" t="s">
        <v>1098</v>
      </c>
      <c r="J851" s="252">
        <v>8.0</v>
      </c>
      <c r="K851" s="252">
        <v>886.0</v>
      </c>
      <c r="L851" s="252">
        <v>80.0</v>
      </c>
      <c r="M851" s="252">
        <v>15284.0</v>
      </c>
      <c r="N851" s="252">
        <v>23995.0</v>
      </c>
      <c r="O851" s="252">
        <v>2.0</v>
      </c>
      <c r="P851" s="252">
        <v>512.0</v>
      </c>
      <c r="Q851" s="252">
        <v>4271.0</v>
      </c>
      <c r="R851" s="251" t="s">
        <v>1141</v>
      </c>
      <c r="S851" s="251" t="s">
        <v>1122</v>
      </c>
      <c r="T851" s="251" t="s">
        <v>1123</v>
      </c>
      <c r="U851" s="252">
        <v>12.0</v>
      </c>
      <c r="V851" s="252">
        <v>16.0</v>
      </c>
      <c r="W851" s="252">
        <v>6.0</v>
      </c>
      <c r="X851" s="251" t="s">
        <v>1113</v>
      </c>
      <c r="Y851" s="251" t="s">
        <v>5455</v>
      </c>
      <c r="Z851" s="251" t="s">
        <v>5456</v>
      </c>
      <c r="AA851" s="254" t="s">
        <v>1105</v>
      </c>
      <c r="AB851" s="254" t="s">
        <v>1105</v>
      </c>
    </row>
    <row r="852">
      <c r="A852" s="252">
        <v>851.0</v>
      </c>
      <c r="B852" s="251" t="s">
        <v>5457</v>
      </c>
      <c r="C852" s="252">
        <v>1.0</v>
      </c>
      <c r="D852" s="251" t="s">
        <v>5458</v>
      </c>
      <c r="E852" s="251" t="s">
        <v>1195</v>
      </c>
      <c r="F852" s="251" t="s">
        <v>1109</v>
      </c>
      <c r="G852" s="253" t="s">
        <v>5459</v>
      </c>
      <c r="H852" s="252">
        <v>6.0</v>
      </c>
      <c r="I852" s="251" t="s">
        <v>1111</v>
      </c>
      <c r="J852" s="252">
        <v>8.0</v>
      </c>
      <c r="K852" s="252">
        <v>435.0</v>
      </c>
      <c r="L852" s="252">
        <v>100.0</v>
      </c>
      <c r="M852" s="252">
        <v>19177.0</v>
      </c>
      <c r="N852" s="252">
        <v>27423.0</v>
      </c>
      <c r="O852" s="252">
        <v>12.0</v>
      </c>
      <c r="P852" s="252">
        <v>32.0</v>
      </c>
      <c r="Q852" s="252">
        <v>2574.0</v>
      </c>
      <c r="R852" s="251" t="s">
        <v>1099</v>
      </c>
      <c r="S852" s="251" t="s">
        <v>1122</v>
      </c>
      <c r="T852" s="251" t="s">
        <v>1123</v>
      </c>
      <c r="U852" s="252">
        <v>32.0</v>
      </c>
      <c r="V852" s="252">
        <v>16.0</v>
      </c>
      <c r="W852" s="252">
        <v>5.0</v>
      </c>
      <c r="X852" s="251" t="s">
        <v>1132</v>
      </c>
      <c r="Y852" s="251" t="s">
        <v>5460</v>
      </c>
      <c r="Z852" s="251" t="s">
        <v>5461</v>
      </c>
      <c r="AA852" s="254" t="s">
        <v>1105</v>
      </c>
      <c r="AB852" s="254" t="s">
        <v>1105</v>
      </c>
    </row>
    <row r="853">
      <c r="A853" s="252">
        <v>852.0</v>
      </c>
      <c r="B853" s="251" t="s">
        <v>5462</v>
      </c>
      <c r="C853" s="252">
        <v>1.0</v>
      </c>
      <c r="D853" s="251" t="s">
        <v>5463</v>
      </c>
      <c r="E853" s="251" t="s">
        <v>1848</v>
      </c>
      <c r="F853" s="251" t="s">
        <v>1233</v>
      </c>
      <c r="G853" s="253" t="s">
        <v>5464</v>
      </c>
      <c r="H853" s="252">
        <v>3.0</v>
      </c>
      <c r="I853" s="251" t="s">
        <v>1098</v>
      </c>
      <c r="J853" s="252">
        <v>8.0</v>
      </c>
      <c r="K853" s="252">
        <v>438.0</v>
      </c>
      <c r="L853" s="252">
        <v>100.0</v>
      </c>
      <c r="M853" s="252">
        <v>8459.0</v>
      </c>
      <c r="N853" s="252">
        <v>12857.0</v>
      </c>
      <c r="O853" s="252">
        <v>4.0</v>
      </c>
      <c r="P853" s="252">
        <v>128.0</v>
      </c>
      <c r="Q853" s="252">
        <v>2454.0</v>
      </c>
      <c r="R853" s="251" t="s">
        <v>1141</v>
      </c>
      <c r="S853" s="251" t="s">
        <v>1122</v>
      </c>
      <c r="T853" s="251" t="s">
        <v>1101</v>
      </c>
      <c r="U853" s="252">
        <v>14.0</v>
      </c>
      <c r="V853" s="252">
        <v>14.0</v>
      </c>
      <c r="W853" s="252">
        <v>6.0</v>
      </c>
      <c r="X853" s="251" t="s">
        <v>1113</v>
      </c>
      <c r="Y853" s="251" t="s">
        <v>5465</v>
      </c>
      <c r="Z853" s="251" t="s">
        <v>5466</v>
      </c>
      <c r="AA853" s="254" t="s">
        <v>1105</v>
      </c>
      <c r="AB853" s="254" t="s">
        <v>1105</v>
      </c>
    </row>
    <row r="854">
      <c r="A854" s="252">
        <v>853.0</v>
      </c>
      <c r="B854" s="251" t="s">
        <v>5467</v>
      </c>
      <c r="C854" s="252">
        <v>1.0</v>
      </c>
      <c r="D854" s="251" t="s">
        <v>5468</v>
      </c>
      <c r="E854" s="251" t="s">
        <v>2114</v>
      </c>
      <c r="F854" s="251" t="s">
        <v>1138</v>
      </c>
      <c r="G854" s="253" t="s">
        <v>5469</v>
      </c>
      <c r="H854" s="252">
        <v>3.0</v>
      </c>
      <c r="I854" s="251" t="s">
        <v>1111</v>
      </c>
      <c r="J854" s="252">
        <v>8.0</v>
      </c>
      <c r="K854" s="252">
        <v>556.0</v>
      </c>
      <c r="L854" s="252">
        <v>120.0</v>
      </c>
      <c r="M854" s="252">
        <v>22609.0</v>
      </c>
      <c r="N854" s="252">
        <v>33009.0</v>
      </c>
      <c r="O854" s="252">
        <v>8.0</v>
      </c>
      <c r="P854" s="252">
        <v>128.0</v>
      </c>
      <c r="Q854" s="252">
        <v>5987.0</v>
      </c>
      <c r="R854" s="251" t="s">
        <v>1141</v>
      </c>
      <c r="S854" s="251" t="s">
        <v>1100</v>
      </c>
      <c r="T854" s="251" t="s">
        <v>1123</v>
      </c>
      <c r="U854" s="252">
        <v>16.0</v>
      </c>
      <c r="V854" s="252">
        <v>12.0</v>
      </c>
      <c r="W854" s="252">
        <v>6.3</v>
      </c>
      <c r="X854" s="251" t="s">
        <v>1113</v>
      </c>
      <c r="Y854" s="251" t="s">
        <v>5470</v>
      </c>
      <c r="Z854" s="251" t="s">
        <v>5471</v>
      </c>
      <c r="AA854" s="254" t="s">
        <v>1105</v>
      </c>
      <c r="AB854" s="254" t="s">
        <v>1105</v>
      </c>
    </row>
    <row r="855">
      <c r="A855" s="252">
        <v>854.0</v>
      </c>
      <c r="B855" s="251" t="s">
        <v>5472</v>
      </c>
      <c r="C855" s="252">
        <v>1.0</v>
      </c>
      <c r="D855" s="251" t="s">
        <v>5473</v>
      </c>
      <c r="E855" s="251" t="s">
        <v>2161</v>
      </c>
      <c r="F855" s="251" t="s">
        <v>1202</v>
      </c>
      <c r="G855" s="253" t="s">
        <v>5474</v>
      </c>
      <c r="H855" s="252">
        <v>4.0</v>
      </c>
      <c r="I855" s="251" t="s">
        <v>1131</v>
      </c>
      <c r="J855" s="252">
        <v>12.0</v>
      </c>
      <c r="K855" s="252">
        <v>111.0</v>
      </c>
      <c r="L855" s="252">
        <v>80.0</v>
      </c>
      <c r="M855" s="252">
        <v>11215.0</v>
      </c>
      <c r="N855" s="252">
        <v>18504.0</v>
      </c>
      <c r="O855" s="252">
        <v>12.0</v>
      </c>
      <c r="P855" s="252">
        <v>8.0</v>
      </c>
      <c r="Q855" s="252">
        <v>2509.0</v>
      </c>
      <c r="R855" s="251" t="s">
        <v>1141</v>
      </c>
      <c r="S855" s="251" t="s">
        <v>1122</v>
      </c>
      <c r="T855" s="251" t="s">
        <v>1101</v>
      </c>
      <c r="U855" s="252">
        <v>14.0</v>
      </c>
      <c r="V855" s="252">
        <v>12.0</v>
      </c>
      <c r="W855" s="252">
        <v>6.3</v>
      </c>
      <c r="X855" s="251" t="s">
        <v>1102</v>
      </c>
      <c r="Y855" s="251" t="s">
        <v>5475</v>
      </c>
      <c r="Z855" s="251" t="s">
        <v>5476</v>
      </c>
      <c r="AA855" s="254" t="s">
        <v>1105</v>
      </c>
      <c r="AB855" s="254" t="s">
        <v>1105</v>
      </c>
    </row>
    <row r="856">
      <c r="A856" s="252">
        <v>855.0</v>
      </c>
      <c r="B856" s="251" t="s">
        <v>5477</v>
      </c>
      <c r="C856" s="252">
        <v>1.0</v>
      </c>
      <c r="D856" s="251" t="s">
        <v>5478</v>
      </c>
      <c r="E856" s="251" t="s">
        <v>2023</v>
      </c>
      <c r="F856" s="251" t="s">
        <v>1109</v>
      </c>
      <c r="G856" s="253" t="s">
        <v>5479</v>
      </c>
      <c r="H856" s="252">
        <v>5.0</v>
      </c>
      <c r="I856" s="251" t="s">
        <v>1121</v>
      </c>
      <c r="J856" s="252">
        <v>8.0</v>
      </c>
      <c r="K856" s="252">
        <v>573.0</v>
      </c>
      <c r="L856" s="252">
        <v>120.0</v>
      </c>
      <c r="M856" s="252">
        <v>13103.0</v>
      </c>
      <c r="N856" s="252">
        <v>21488.0</v>
      </c>
      <c r="O856" s="252">
        <v>2.0</v>
      </c>
      <c r="P856" s="252">
        <v>8.0</v>
      </c>
      <c r="Q856" s="252">
        <v>4140.0</v>
      </c>
      <c r="R856" s="251" t="s">
        <v>1141</v>
      </c>
      <c r="S856" s="251" t="s">
        <v>1122</v>
      </c>
      <c r="T856" s="251" t="s">
        <v>1101</v>
      </c>
      <c r="U856" s="252">
        <v>12.0</v>
      </c>
      <c r="V856" s="252">
        <v>12.0</v>
      </c>
      <c r="W856" s="252">
        <v>5.5</v>
      </c>
      <c r="X856" s="251" t="s">
        <v>1102</v>
      </c>
      <c r="Y856" s="251" t="s">
        <v>5480</v>
      </c>
      <c r="Z856" s="251" t="s">
        <v>5481</v>
      </c>
      <c r="AA856" s="254" t="s">
        <v>1105</v>
      </c>
      <c r="AB856" s="254" t="s">
        <v>1105</v>
      </c>
    </row>
    <row r="857">
      <c r="A857" s="252">
        <v>856.0</v>
      </c>
      <c r="B857" s="251" t="s">
        <v>5482</v>
      </c>
      <c r="C857" s="252">
        <v>1.0</v>
      </c>
      <c r="D857" s="251" t="s">
        <v>5483</v>
      </c>
      <c r="E857" s="251" t="s">
        <v>2215</v>
      </c>
      <c r="F857" s="251" t="s">
        <v>1119</v>
      </c>
      <c r="G857" s="253" t="s">
        <v>5484</v>
      </c>
      <c r="H857" s="252">
        <v>5.0</v>
      </c>
      <c r="I857" s="251" t="s">
        <v>1121</v>
      </c>
      <c r="J857" s="252">
        <v>10.0</v>
      </c>
      <c r="K857" s="252">
        <v>804.0</v>
      </c>
      <c r="L857" s="252">
        <v>120.0</v>
      </c>
      <c r="M857" s="252">
        <v>18757.0</v>
      </c>
      <c r="N857" s="252">
        <v>25697.0</v>
      </c>
      <c r="O857" s="252">
        <v>4.0</v>
      </c>
      <c r="P857" s="252">
        <v>64.0</v>
      </c>
      <c r="Q857" s="252">
        <v>2002.0</v>
      </c>
      <c r="R857" s="251" t="s">
        <v>1112</v>
      </c>
      <c r="S857" s="251" t="s">
        <v>1100</v>
      </c>
      <c r="T857" s="251" t="s">
        <v>1123</v>
      </c>
      <c r="U857" s="252">
        <v>12.0</v>
      </c>
      <c r="V857" s="252">
        <v>48.0</v>
      </c>
      <c r="W857" s="252">
        <v>5.5</v>
      </c>
      <c r="X857" s="251" t="s">
        <v>1132</v>
      </c>
      <c r="Y857" s="251" t="s">
        <v>5485</v>
      </c>
      <c r="Z857" s="251" t="s">
        <v>5486</v>
      </c>
      <c r="AA857" s="254" t="s">
        <v>1105</v>
      </c>
      <c r="AB857" s="254" t="s">
        <v>1105</v>
      </c>
    </row>
    <row r="858">
      <c r="A858" s="252">
        <v>857.0</v>
      </c>
      <c r="B858" s="251" t="s">
        <v>5487</v>
      </c>
      <c r="C858" s="252">
        <v>1.0</v>
      </c>
      <c r="D858" s="251" t="s">
        <v>5488</v>
      </c>
      <c r="E858" s="251" t="s">
        <v>1393</v>
      </c>
      <c r="F858" s="251" t="s">
        <v>1160</v>
      </c>
      <c r="G858" s="253" t="s">
        <v>5489</v>
      </c>
      <c r="H858" s="252">
        <v>5.0</v>
      </c>
      <c r="I858" s="251" t="s">
        <v>1098</v>
      </c>
      <c r="J858" s="252">
        <v>8.0</v>
      </c>
      <c r="K858" s="252">
        <v>629.0</v>
      </c>
      <c r="L858" s="252">
        <v>120.0</v>
      </c>
      <c r="M858" s="252">
        <v>19730.0</v>
      </c>
      <c r="N858" s="252">
        <v>26043.0</v>
      </c>
      <c r="O858" s="252">
        <v>8.0</v>
      </c>
      <c r="P858" s="252">
        <v>32.0</v>
      </c>
      <c r="Q858" s="252">
        <v>5381.0</v>
      </c>
      <c r="R858" s="251" t="s">
        <v>1112</v>
      </c>
      <c r="S858" s="251" t="s">
        <v>1122</v>
      </c>
      <c r="T858" s="251" t="s">
        <v>1101</v>
      </c>
      <c r="U858" s="252">
        <v>14.0</v>
      </c>
      <c r="V858" s="252">
        <v>12.0</v>
      </c>
      <c r="W858" s="252">
        <v>5.2</v>
      </c>
      <c r="X858" s="251" t="s">
        <v>1113</v>
      </c>
      <c r="Y858" s="251" t="s">
        <v>5490</v>
      </c>
      <c r="Z858" s="251" t="s">
        <v>5491</v>
      </c>
      <c r="AA858" s="254" t="s">
        <v>1105</v>
      </c>
      <c r="AB858" s="254" t="s">
        <v>1105</v>
      </c>
    </row>
    <row r="859">
      <c r="A859" s="252">
        <v>858.0</v>
      </c>
      <c r="B859" s="251" t="s">
        <v>5492</v>
      </c>
      <c r="C859" s="252">
        <v>1.0</v>
      </c>
      <c r="D859" s="251" t="s">
        <v>5493</v>
      </c>
      <c r="E859" s="251" t="s">
        <v>1523</v>
      </c>
      <c r="F859" s="251" t="s">
        <v>1215</v>
      </c>
      <c r="G859" s="253" t="s">
        <v>5494</v>
      </c>
      <c r="H859" s="252">
        <v>4.0</v>
      </c>
      <c r="I859" s="251" t="s">
        <v>1121</v>
      </c>
      <c r="J859" s="252">
        <v>8.0</v>
      </c>
      <c r="K859" s="252">
        <v>643.0</v>
      </c>
      <c r="L859" s="252">
        <v>100.0</v>
      </c>
      <c r="M859" s="252">
        <v>6145.0</v>
      </c>
      <c r="N859" s="252">
        <v>8603.0</v>
      </c>
      <c r="O859" s="252">
        <v>12.0</v>
      </c>
      <c r="P859" s="252">
        <v>512.0</v>
      </c>
      <c r="Q859" s="252">
        <v>6475.0</v>
      </c>
      <c r="R859" s="251" t="s">
        <v>1099</v>
      </c>
      <c r="S859" s="251" t="s">
        <v>1100</v>
      </c>
      <c r="T859" s="251" t="s">
        <v>1123</v>
      </c>
      <c r="U859" s="252">
        <v>14.0</v>
      </c>
      <c r="V859" s="252">
        <v>16.0</v>
      </c>
      <c r="W859" s="252">
        <v>6.0</v>
      </c>
      <c r="X859" s="251" t="s">
        <v>1147</v>
      </c>
      <c r="Y859" s="251" t="s">
        <v>5495</v>
      </c>
      <c r="Z859" s="251" t="s">
        <v>5496</v>
      </c>
      <c r="AA859" s="254" t="s">
        <v>1105</v>
      </c>
      <c r="AB859" s="254" t="s">
        <v>1105</v>
      </c>
    </row>
    <row r="860">
      <c r="A860" s="252">
        <v>859.0</v>
      </c>
      <c r="B860" s="251" t="s">
        <v>5497</v>
      </c>
      <c r="C860" s="252">
        <v>1.0</v>
      </c>
      <c r="D860" s="251" t="s">
        <v>5498</v>
      </c>
      <c r="E860" s="251" t="s">
        <v>2114</v>
      </c>
      <c r="F860" s="251" t="s">
        <v>1138</v>
      </c>
      <c r="G860" s="253" t="s">
        <v>5499</v>
      </c>
      <c r="H860" s="252">
        <v>3.0</v>
      </c>
      <c r="I860" s="251" t="s">
        <v>1131</v>
      </c>
      <c r="J860" s="252">
        <v>8.0</v>
      </c>
      <c r="K860" s="252">
        <v>554.0</v>
      </c>
      <c r="L860" s="252">
        <v>120.0</v>
      </c>
      <c r="M860" s="252">
        <v>6724.0</v>
      </c>
      <c r="N860" s="252">
        <v>12439.0</v>
      </c>
      <c r="O860" s="252">
        <v>2.0</v>
      </c>
      <c r="P860" s="252">
        <v>64.0</v>
      </c>
      <c r="Q860" s="252">
        <v>3096.0</v>
      </c>
      <c r="R860" s="251" t="s">
        <v>1112</v>
      </c>
      <c r="S860" s="251" t="s">
        <v>1122</v>
      </c>
      <c r="T860" s="251" t="s">
        <v>1021</v>
      </c>
      <c r="U860" s="252">
        <v>16.0</v>
      </c>
      <c r="V860" s="252">
        <v>12.0</v>
      </c>
      <c r="W860" s="252">
        <v>5.0</v>
      </c>
      <c r="X860" s="251" t="s">
        <v>1102</v>
      </c>
      <c r="Y860" s="251" t="s">
        <v>5500</v>
      </c>
      <c r="Z860" s="251" t="s">
        <v>5501</v>
      </c>
      <c r="AA860" s="254" t="s">
        <v>1105</v>
      </c>
      <c r="AB860" s="254" t="s">
        <v>1105</v>
      </c>
    </row>
    <row r="861">
      <c r="A861" s="252">
        <v>860.0</v>
      </c>
      <c r="B861" s="251" t="s">
        <v>5502</v>
      </c>
      <c r="C861" s="252">
        <v>1.0</v>
      </c>
      <c r="D861" s="251" t="s">
        <v>5503</v>
      </c>
      <c r="E861" s="251" t="s">
        <v>1405</v>
      </c>
      <c r="F861" s="251" t="s">
        <v>1202</v>
      </c>
      <c r="G861" s="253" t="s">
        <v>5504</v>
      </c>
      <c r="H861" s="252">
        <v>2.0</v>
      </c>
      <c r="I861" s="251" t="s">
        <v>1121</v>
      </c>
      <c r="J861" s="252">
        <v>8.0</v>
      </c>
      <c r="K861" s="252">
        <v>499.0</v>
      </c>
      <c r="L861" s="252">
        <v>100.0</v>
      </c>
      <c r="M861" s="252">
        <v>10956.0</v>
      </c>
      <c r="N861" s="252">
        <v>14352.0</v>
      </c>
      <c r="O861" s="252">
        <v>6.0</v>
      </c>
      <c r="P861" s="252">
        <v>16.0</v>
      </c>
      <c r="Q861" s="252">
        <v>4262.0</v>
      </c>
      <c r="R861" s="251" t="s">
        <v>1141</v>
      </c>
      <c r="S861" s="251" t="s">
        <v>1100</v>
      </c>
      <c r="T861" s="251" t="s">
        <v>1021</v>
      </c>
      <c r="U861" s="252">
        <v>48.0</v>
      </c>
      <c r="V861" s="252">
        <v>32.0</v>
      </c>
      <c r="W861" s="252">
        <v>6.0</v>
      </c>
      <c r="X861" s="251" t="s">
        <v>1102</v>
      </c>
      <c r="Y861" s="251" t="s">
        <v>5505</v>
      </c>
      <c r="Z861" s="251" t="s">
        <v>5506</v>
      </c>
      <c r="AA861" s="254" t="s">
        <v>1105</v>
      </c>
      <c r="AB861" s="254" t="s">
        <v>1105</v>
      </c>
    </row>
    <row r="862">
      <c r="A862" s="252">
        <v>861.0</v>
      </c>
      <c r="B862" s="251" t="s">
        <v>5507</v>
      </c>
      <c r="C862" s="252">
        <v>1.0</v>
      </c>
      <c r="D862" s="251" t="s">
        <v>5508</v>
      </c>
      <c r="E862" s="251" t="s">
        <v>1347</v>
      </c>
      <c r="F862" s="251" t="s">
        <v>1129</v>
      </c>
      <c r="G862" s="253" t="s">
        <v>5509</v>
      </c>
      <c r="H862" s="252">
        <v>2.0</v>
      </c>
      <c r="I862" s="251" t="s">
        <v>1121</v>
      </c>
      <c r="J862" s="252">
        <v>8.0</v>
      </c>
      <c r="K862" s="252">
        <v>57.0</v>
      </c>
      <c r="L862" s="252">
        <v>120.0</v>
      </c>
      <c r="M862" s="252">
        <v>4704.0</v>
      </c>
      <c r="N862" s="252">
        <v>8137.0</v>
      </c>
      <c r="O862" s="252">
        <v>12.0</v>
      </c>
      <c r="P862" s="252">
        <v>16.0</v>
      </c>
      <c r="Q862" s="252">
        <v>5700.0</v>
      </c>
      <c r="R862" s="251" t="s">
        <v>1141</v>
      </c>
      <c r="S862" s="251" t="s">
        <v>1100</v>
      </c>
      <c r="T862" s="251" t="s">
        <v>1021</v>
      </c>
      <c r="U862" s="252">
        <v>16.0</v>
      </c>
      <c r="V862" s="252">
        <v>12.0</v>
      </c>
      <c r="W862" s="252">
        <v>6.0</v>
      </c>
      <c r="X862" s="251" t="s">
        <v>1102</v>
      </c>
      <c r="Y862" s="251" t="s">
        <v>5510</v>
      </c>
      <c r="Z862" s="251" t="s">
        <v>5511</v>
      </c>
      <c r="AA862" s="254" t="s">
        <v>1105</v>
      </c>
      <c r="AB862" s="254" t="s">
        <v>1105</v>
      </c>
    </row>
    <row r="863">
      <c r="A863" s="252">
        <v>862.0</v>
      </c>
      <c r="B863" s="251" t="s">
        <v>5512</v>
      </c>
      <c r="C863" s="252">
        <v>1.0</v>
      </c>
      <c r="D863" s="251" t="s">
        <v>5513</v>
      </c>
      <c r="E863" s="251" t="s">
        <v>1661</v>
      </c>
      <c r="F863" s="251" t="s">
        <v>1233</v>
      </c>
      <c r="G863" s="253" t="s">
        <v>1690</v>
      </c>
      <c r="H863" s="252">
        <v>6.0</v>
      </c>
      <c r="I863" s="251" t="s">
        <v>1140</v>
      </c>
      <c r="J863" s="252">
        <v>8.0</v>
      </c>
      <c r="K863" s="252">
        <v>665.0</v>
      </c>
      <c r="L863" s="252">
        <v>120.0</v>
      </c>
      <c r="M863" s="252">
        <v>11028.0</v>
      </c>
      <c r="N863" s="252">
        <v>17313.0</v>
      </c>
      <c r="O863" s="252">
        <v>4.0</v>
      </c>
      <c r="P863" s="252">
        <v>512.0</v>
      </c>
      <c r="Q863" s="252">
        <v>4705.0</v>
      </c>
      <c r="R863" s="251" t="s">
        <v>1141</v>
      </c>
      <c r="S863" s="251" t="s">
        <v>1100</v>
      </c>
      <c r="T863" s="251" t="s">
        <v>1123</v>
      </c>
      <c r="U863" s="252">
        <v>12.0</v>
      </c>
      <c r="V863" s="252">
        <v>12.0</v>
      </c>
      <c r="W863" s="252">
        <v>6.3</v>
      </c>
      <c r="X863" s="251" t="s">
        <v>1113</v>
      </c>
      <c r="Y863" s="251" t="s">
        <v>5514</v>
      </c>
      <c r="Z863" s="251" t="s">
        <v>5515</v>
      </c>
      <c r="AA863" s="254" t="s">
        <v>1105</v>
      </c>
      <c r="AB863" s="254" t="s">
        <v>1105</v>
      </c>
    </row>
    <row r="864">
      <c r="A864" s="252">
        <v>863.0</v>
      </c>
      <c r="B864" s="251" t="s">
        <v>5516</v>
      </c>
      <c r="C864" s="252">
        <v>1.0</v>
      </c>
      <c r="D864" s="251" t="s">
        <v>5517</v>
      </c>
      <c r="E864" s="251" t="s">
        <v>1428</v>
      </c>
      <c r="F864" s="251" t="s">
        <v>1138</v>
      </c>
      <c r="G864" s="253" t="s">
        <v>5518</v>
      </c>
      <c r="H864" s="252">
        <v>3.0</v>
      </c>
      <c r="I864" s="251" t="s">
        <v>1098</v>
      </c>
      <c r="J864" s="252">
        <v>8.0</v>
      </c>
      <c r="K864" s="252">
        <v>761.0</v>
      </c>
      <c r="L864" s="252">
        <v>80.0</v>
      </c>
      <c r="M864" s="252">
        <v>10429.0</v>
      </c>
      <c r="N864" s="252">
        <v>14392.0</v>
      </c>
      <c r="O864" s="252">
        <v>6.0</v>
      </c>
      <c r="P864" s="252">
        <v>32.0</v>
      </c>
      <c r="Q864" s="252">
        <v>2754.0</v>
      </c>
      <c r="R864" s="251" t="s">
        <v>1112</v>
      </c>
      <c r="S864" s="251" t="s">
        <v>1100</v>
      </c>
      <c r="T864" s="251" t="s">
        <v>1123</v>
      </c>
      <c r="U864" s="252">
        <v>48.0</v>
      </c>
      <c r="V864" s="252">
        <v>12.0</v>
      </c>
      <c r="W864" s="252">
        <v>6.0</v>
      </c>
      <c r="X864" s="251" t="s">
        <v>1132</v>
      </c>
      <c r="Y864" s="251" t="s">
        <v>5519</v>
      </c>
      <c r="Z864" s="251" t="s">
        <v>5520</v>
      </c>
      <c r="AA864" s="254" t="s">
        <v>1105</v>
      </c>
      <c r="AB864" s="254" t="s">
        <v>1105</v>
      </c>
    </row>
    <row r="865">
      <c r="A865" s="252">
        <v>864.0</v>
      </c>
      <c r="B865" s="251" t="s">
        <v>5521</v>
      </c>
      <c r="C865" s="252">
        <v>1.0</v>
      </c>
      <c r="D865" s="251" t="s">
        <v>5522</v>
      </c>
      <c r="E865" s="251" t="s">
        <v>1118</v>
      </c>
      <c r="F865" s="251" t="s">
        <v>1119</v>
      </c>
      <c r="G865" s="253" t="s">
        <v>5523</v>
      </c>
      <c r="H865" s="252">
        <v>4.0</v>
      </c>
      <c r="I865" s="251" t="s">
        <v>1121</v>
      </c>
      <c r="J865" s="252">
        <v>8.0</v>
      </c>
      <c r="K865" s="252">
        <v>905.0</v>
      </c>
      <c r="L865" s="252">
        <v>80.0</v>
      </c>
      <c r="M865" s="252">
        <v>11934.0</v>
      </c>
      <c r="N865" s="252">
        <v>21242.0</v>
      </c>
      <c r="O865" s="252">
        <v>8.0</v>
      </c>
      <c r="P865" s="252">
        <v>128.0</v>
      </c>
      <c r="Q865" s="252">
        <v>4960.0</v>
      </c>
      <c r="R865" s="251" t="s">
        <v>1112</v>
      </c>
      <c r="S865" s="251" t="s">
        <v>1122</v>
      </c>
      <c r="T865" s="251" t="s">
        <v>1101</v>
      </c>
      <c r="U865" s="252">
        <v>32.0</v>
      </c>
      <c r="V865" s="252">
        <v>14.0</v>
      </c>
      <c r="W865" s="252">
        <v>5.0</v>
      </c>
      <c r="X865" s="251" t="s">
        <v>1132</v>
      </c>
      <c r="Y865" s="251" t="s">
        <v>5524</v>
      </c>
      <c r="Z865" s="251" t="s">
        <v>5525</v>
      </c>
      <c r="AA865" s="254" t="s">
        <v>1105</v>
      </c>
      <c r="AB865" s="254" t="s">
        <v>1105</v>
      </c>
    </row>
    <row r="866">
      <c r="A866" s="252">
        <v>865.0</v>
      </c>
      <c r="B866" s="251" t="s">
        <v>5526</v>
      </c>
      <c r="C866" s="252">
        <v>1.0</v>
      </c>
      <c r="D866" s="251" t="s">
        <v>5527</v>
      </c>
      <c r="E866" s="251" t="s">
        <v>1874</v>
      </c>
      <c r="F866" s="251" t="s">
        <v>1202</v>
      </c>
      <c r="G866" s="253" t="s">
        <v>5528</v>
      </c>
      <c r="H866" s="252">
        <v>2.0</v>
      </c>
      <c r="I866" s="251" t="s">
        <v>1111</v>
      </c>
      <c r="J866" s="252">
        <v>10.0</v>
      </c>
      <c r="K866" s="252">
        <v>140.0</v>
      </c>
      <c r="L866" s="252">
        <v>100.0</v>
      </c>
      <c r="M866" s="252">
        <v>5919.0</v>
      </c>
      <c r="N866" s="252">
        <v>8996.0</v>
      </c>
      <c r="O866" s="252">
        <v>12.0</v>
      </c>
      <c r="P866" s="252">
        <v>512.0</v>
      </c>
      <c r="Q866" s="252">
        <v>2198.0</v>
      </c>
      <c r="R866" s="251" t="s">
        <v>1112</v>
      </c>
      <c r="S866" s="251" t="s">
        <v>1122</v>
      </c>
      <c r="T866" s="251" t="s">
        <v>1021</v>
      </c>
      <c r="U866" s="252">
        <v>14.0</v>
      </c>
      <c r="V866" s="252">
        <v>16.0</v>
      </c>
      <c r="W866" s="252">
        <v>5.2</v>
      </c>
      <c r="X866" s="251" t="s">
        <v>1147</v>
      </c>
      <c r="Y866" s="251" t="s">
        <v>5529</v>
      </c>
      <c r="Z866" s="251" t="s">
        <v>5530</v>
      </c>
      <c r="AA866" s="254" t="s">
        <v>1105</v>
      </c>
      <c r="AB866" s="254" t="s">
        <v>1105</v>
      </c>
    </row>
    <row r="867">
      <c r="A867" s="252">
        <v>866.0</v>
      </c>
      <c r="B867" s="251" t="s">
        <v>5531</v>
      </c>
      <c r="C867" s="252">
        <v>1.0</v>
      </c>
      <c r="D867" s="251" t="s">
        <v>5532</v>
      </c>
      <c r="E867" s="251" t="s">
        <v>2327</v>
      </c>
      <c r="F867" s="251" t="s">
        <v>1215</v>
      </c>
      <c r="G867" s="253" t="s">
        <v>5533</v>
      </c>
      <c r="H867" s="252">
        <v>4.0</v>
      </c>
      <c r="I867" s="251" t="s">
        <v>1098</v>
      </c>
      <c r="J867" s="252">
        <v>8.0</v>
      </c>
      <c r="K867" s="252">
        <v>696.0</v>
      </c>
      <c r="L867" s="252">
        <v>120.0</v>
      </c>
      <c r="M867" s="252">
        <v>20296.0</v>
      </c>
      <c r="N867" s="252">
        <v>30849.0</v>
      </c>
      <c r="O867" s="252">
        <v>6.0</v>
      </c>
      <c r="P867" s="252">
        <v>8.0</v>
      </c>
      <c r="Q867" s="252">
        <v>2269.0</v>
      </c>
      <c r="R867" s="251" t="s">
        <v>1141</v>
      </c>
      <c r="S867" s="251" t="s">
        <v>1122</v>
      </c>
      <c r="T867" s="251" t="s">
        <v>1123</v>
      </c>
      <c r="U867" s="252">
        <v>16.0</v>
      </c>
      <c r="V867" s="252">
        <v>16.0</v>
      </c>
      <c r="W867" s="252">
        <v>6.0</v>
      </c>
      <c r="X867" s="251" t="s">
        <v>1132</v>
      </c>
      <c r="Y867" s="251" t="s">
        <v>5534</v>
      </c>
      <c r="Z867" s="251" t="s">
        <v>5535</v>
      </c>
      <c r="AA867" s="254" t="s">
        <v>1105</v>
      </c>
      <c r="AB867" s="254" t="s">
        <v>1105</v>
      </c>
    </row>
    <row r="868">
      <c r="A868" s="252">
        <v>867.0</v>
      </c>
      <c r="B868" s="251" t="s">
        <v>5536</v>
      </c>
      <c r="C868" s="252">
        <v>1.0</v>
      </c>
      <c r="D868" s="251" t="s">
        <v>5537</v>
      </c>
      <c r="E868" s="251" t="s">
        <v>1440</v>
      </c>
      <c r="F868" s="251" t="s">
        <v>1233</v>
      </c>
      <c r="G868" s="253" t="s">
        <v>5538</v>
      </c>
      <c r="H868" s="252">
        <v>4.0</v>
      </c>
      <c r="I868" s="251" t="s">
        <v>1140</v>
      </c>
      <c r="J868" s="252">
        <v>12.0</v>
      </c>
      <c r="K868" s="252">
        <v>324.0</v>
      </c>
      <c r="L868" s="252">
        <v>120.0</v>
      </c>
      <c r="M868" s="252">
        <v>10831.0</v>
      </c>
      <c r="N868" s="252">
        <v>17871.0</v>
      </c>
      <c r="O868" s="252">
        <v>4.0</v>
      </c>
      <c r="P868" s="252">
        <v>128.0</v>
      </c>
      <c r="Q868" s="252">
        <v>6252.0</v>
      </c>
      <c r="R868" s="251" t="s">
        <v>1099</v>
      </c>
      <c r="S868" s="251" t="s">
        <v>1122</v>
      </c>
      <c r="T868" s="251" t="s">
        <v>1021</v>
      </c>
      <c r="U868" s="252">
        <v>12.0</v>
      </c>
      <c r="V868" s="252">
        <v>32.0</v>
      </c>
      <c r="W868" s="252">
        <v>5.5</v>
      </c>
      <c r="X868" s="251" t="s">
        <v>1113</v>
      </c>
      <c r="Y868" s="251" t="s">
        <v>5539</v>
      </c>
      <c r="Z868" s="251" t="s">
        <v>5540</v>
      </c>
      <c r="AA868" s="254" t="s">
        <v>1105</v>
      </c>
      <c r="AB868" s="254" t="s">
        <v>1105</v>
      </c>
    </row>
    <row r="869">
      <c r="A869" s="252">
        <v>868.0</v>
      </c>
      <c r="B869" s="251" t="s">
        <v>5541</v>
      </c>
      <c r="C869" s="252">
        <v>1.0</v>
      </c>
      <c r="D869" s="251" t="s">
        <v>5542</v>
      </c>
      <c r="E869" s="251" t="s">
        <v>1137</v>
      </c>
      <c r="F869" s="251" t="s">
        <v>1138</v>
      </c>
      <c r="G869" s="253" t="s">
        <v>5543</v>
      </c>
      <c r="H869" s="252">
        <v>3.0</v>
      </c>
      <c r="I869" s="251" t="s">
        <v>1121</v>
      </c>
      <c r="J869" s="252">
        <v>8.0</v>
      </c>
      <c r="K869" s="252">
        <v>317.0</v>
      </c>
      <c r="L869" s="252">
        <v>100.0</v>
      </c>
      <c r="M869" s="252">
        <v>17484.0</v>
      </c>
      <c r="N869" s="252">
        <v>28324.0</v>
      </c>
      <c r="O869" s="252">
        <v>4.0</v>
      </c>
      <c r="P869" s="252">
        <v>8.0</v>
      </c>
      <c r="Q869" s="252">
        <v>2372.0</v>
      </c>
      <c r="R869" s="251" t="s">
        <v>1112</v>
      </c>
      <c r="S869" s="251" t="s">
        <v>1100</v>
      </c>
      <c r="T869" s="251" t="s">
        <v>1021</v>
      </c>
      <c r="U869" s="252">
        <v>12.0</v>
      </c>
      <c r="V869" s="252">
        <v>32.0</v>
      </c>
      <c r="W869" s="252">
        <v>5.0</v>
      </c>
      <c r="X869" s="251" t="s">
        <v>1147</v>
      </c>
      <c r="Y869" s="251" t="s">
        <v>5544</v>
      </c>
      <c r="Z869" s="251" t="s">
        <v>5545</v>
      </c>
      <c r="AA869" s="254" t="s">
        <v>1105</v>
      </c>
      <c r="AB869" s="254" t="s">
        <v>1105</v>
      </c>
    </row>
    <row r="870">
      <c r="A870" s="252">
        <v>869.0</v>
      </c>
      <c r="B870" s="251" t="s">
        <v>5546</v>
      </c>
      <c r="C870" s="252">
        <v>1.0</v>
      </c>
      <c r="D870" s="251" t="s">
        <v>5547</v>
      </c>
      <c r="E870" s="251" t="s">
        <v>1172</v>
      </c>
      <c r="F870" s="251" t="s">
        <v>1160</v>
      </c>
      <c r="G870" s="253" t="s">
        <v>5548</v>
      </c>
      <c r="H870" s="252">
        <v>3.0</v>
      </c>
      <c r="I870" s="251" t="s">
        <v>1111</v>
      </c>
      <c r="J870" s="252">
        <v>12.0</v>
      </c>
      <c r="K870" s="252">
        <v>913.0</v>
      </c>
      <c r="L870" s="252">
        <v>100.0</v>
      </c>
      <c r="M870" s="252">
        <v>4669.0</v>
      </c>
      <c r="N870" s="252">
        <v>7283.0</v>
      </c>
      <c r="O870" s="252">
        <v>4.0</v>
      </c>
      <c r="P870" s="252">
        <v>8.0</v>
      </c>
      <c r="Q870" s="252">
        <v>4545.0</v>
      </c>
      <c r="R870" s="251" t="s">
        <v>1141</v>
      </c>
      <c r="S870" s="251" t="s">
        <v>1122</v>
      </c>
      <c r="T870" s="251" t="s">
        <v>1101</v>
      </c>
      <c r="U870" s="252">
        <v>48.0</v>
      </c>
      <c r="V870" s="252">
        <v>32.0</v>
      </c>
      <c r="W870" s="252">
        <v>6.3</v>
      </c>
      <c r="X870" s="251" t="s">
        <v>1102</v>
      </c>
      <c r="Y870" s="251" t="s">
        <v>5549</v>
      </c>
      <c r="Z870" s="251" t="s">
        <v>5550</v>
      </c>
      <c r="AA870" s="254" t="s">
        <v>1105</v>
      </c>
      <c r="AB870" s="254" t="s">
        <v>1105</v>
      </c>
    </row>
    <row r="871">
      <c r="A871" s="252">
        <v>870.0</v>
      </c>
      <c r="B871" s="251" t="s">
        <v>5551</v>
      </c>
      <c r="C871" s="252">
        <v>1.0</v>
      </c>
      <c r="D871" s="251" t="s">
        <v>5552</v>
      </c>
      <c r="E871" s="251" t="s">
        <v>2209</v>
      </c>
      <c r="F871" s="251" t="s">
        <v>1096</v>
      </c>
      <c r="G871" s="253" t="s">
        <v>5553</v>
      </c>
      <c r="H871" s="252">
        <v>6.0</v>
      </c>
      <c r="I871" s="251" t="s">
        <v>1140</v>
      </c>
      <c r="J871" s="252">
        <v>8.0</v>
      </c>
      <c r="K871" s="252">
        <v>49.0</v>
      </c>
      <c r="L871" s="252">
        <v>100.0</v>
      </c>
      <c r="M871" s="252">
        <v>14576.0</v>
      </c>
      <c r="N871" s="252">
        <v>25508.0</v>
      </c>
      <c r="O871" s="252">
        <v>8.0</v>
      </c>
      <c r="P871" s="252">
        <v>16.0</v>
      </c>
      <c r="Q871" s="252">
        <v>5326.0</v>
      </c>
      <c r="R871" s="251" t="s">
        <v>1112</v>
      </c>
      <c r="S871" s="251" t="s">
        <v>1100</v>
      </c>
      <c r="T871" s="251" t="s">
        <v>1021</v>
      </c>
      <c r="U871" s="252">
        <v>12.0</v>
      </c>
      <c r="V871" s="252">
        <v>16.0</v>
      </c>
      <c r="W871" s="252">
        <v>6.0</v>
      </c>
      <c r="X871" s="251" t="s">
        <v>1132</v>
      </c>
      <c r="Y871" s="251" t="s">
        <v>5554</v>
      </c>
      <c r="Z871" s="251" t="s">
        <v>5555</v>
      </c>
      <c r="AA871" s="254" t="s">
        <v>1105</v>
      </c>
      <c r="AB871" s="254" t="s">
        <v>1105</v>
      </c>
    </row>
    <row r="872">
      <c r="A872" s="252">
        <v>871.0</v>
      </c>
      <c r="B872" s="251" t="s">
        <v>5556</v>
      </c>
      <c r="C872" s="252">
        <v>1.0</v>
      </c>
      <c r="D872" s="251" t="s">
        <v>5557</v>
      </c>
      <c r="E872" s="251" t="s">
        <v>1239</v>
      </c>
      <c r="F872" s="251" t="s">
        <v>1119</v>
      </c>
      <c r="G872" s="253" t="s">
        <v>5558</v>
      </c>
      <c r="H872" s="252">
        <v>4.0</v>
      </c>
      <c r="I872" s="251" t="s">
        <v>1121</v>
      </c>
      <c r="J872" s="252">
        <v>10.0</v>
      </c>
      <c r="K872" s="252">
        <v>125.0</v>
      </c>
      <c r="L872" s="252">
        <v>100.0</v>
      </c>
      <c r="M872" s="252">
        <v>3401.0</v>
      </c>
      <c r="N872" s="252">
        <v>4421.0</v>
      </c>
      <c r="O872" s="252">
        <v>6.0</v>
      </c>
      <c r="P872" s="252">
        <v>32.0</v>
      </c>
      <c r="Q872" s="252">
        <v>5975.0</v>
      </c>
      <c r="R872" s="251" t="s">
        <v>1099</v>
      </c>
      <c r="S872" s="251" t="s">
        <v>1100</v>
      </c>
      <c r="T872" s="251" t="s">
        <v>1021</v>
      </c>
      <c r="U872" s="252">
        <v>12.0</v>
      </c>
      <c r="V872" s="252">
        <v>16.0</v>
      </c>
      <c r="W872" s="252">
        <v>5.0</v>
      </c>
      <c r="X872" s="251" t="s">
        <v>1102</v>
      </c>
      <c r="Y872" s="251" t="s">
        <v>5559</v>
      </c>
      <c r="Z872" s="251" t="s">
        <v>5560</v>
      </c>
      <c r="AA872" s="254" t="s">
        <v>1105</v>
      </c>
      <c r="AB872" s="254" t="s">
        <v>1105</v>
      </c>
    </row>
    <row r="873">
      <c r="A873" s="252">
        <v>872.0</v>
      </c>
      <c r="B873" s="251" t="s">
        <v>5561</v>
      </c>
      <c r="C873" s="252">
        <v>1.0</v>
      </c>
      <c r="D873" s="251" t="s">
        <v>5562</v>
      </c>
      <c r="E873" s="251" t="s">
        <v>1970</v>
      </c>
      <c r="F873" s="251" t="s">
        <v>1129</v>
      </c>
      <c r="G873" s="253" t="s">
        <v>5563</v>
      </c>
      <c r="H873" s="252">
        <v>4.0</v>
      </c>
      <c r="I873" s="251" t="s">
        <v>1121</v>
      </c>
      <c r="J873" s="252">
        <v>12.0</v>
      </c>
      <c r="K873" s="252">
        <v>555.0</v>
      </c>
      <c r="L873" s="252">
        <v>80.0</v>
      </c>
      <c r="M873" s="252">
        <v>7517.0</v>
      </c>
      <c r="N873" s="252">
        <v>13079.0</v>
      </c>
      <c r="O873" s="252">
        <v>2.0</v>
      </c>
      <c r="P873" s="252">
        <v>128.0</v>
      </c>
      <c r="Q873" s="252">
        <v>4109.0</v>
      </c>
      <c r="R873" s="251" t="s">
        <v>1141</v>
      </c>
      <c r="S873" s="251" t="s">
        <v>1122</v>
      </c>
      <c r="T873" s="251" t="s">
        <v>1101</v>
      </c>
      <c r="U873" s="252">
        <v>48.0</v>
      </c>
      <c r="V873" s="252">
        <v>14.0</v>
      </c>
      <c r="W873" s="252">
        <v>6.3</v>
      </c>
      <c r="X873" s="251" t="s">
        <v>1132</v>
      </c>
      <c r="Y873" s="251" t="s">
        <v>5564</v>
      </c>
      <c r="Z873" s="251" t="s">
        <v>5565</v>
      </c>
      <c r="AA873" s="254" t="s">
        <v>1105</v>
      </c>
      <c r="AB873" s="254" t="s">
        <v>1105</v>
      </c>
    </row>
    <row r="874">
      <c r="A874" s="252">
        <v>873.0</v>
      </c>
      <c r="B874" s="251" t="s">
        <v>5566</v>
      </c>
      <c r="C874" s="252">
        <v>1.0</v>
      </c>
      <c r="D874" s="251" t="s">
        <v>5567</v>
      </c>
      <c r="E874" s="251" t="s">
        <v>1201</v>
      </c>
      <c r="F874" s="251" t="s">
        <v>1202</v>
      </c>
      <c r="G874" s="253" t="s">
        <v>5568</v>
      </c>
      <c r="H874" s="252">
        <v>6.0</v>
      </c>
      <c r="I874" s="251" t="s">
        <v>1140</v>
      </c>
      <c r="J874" s="252">
        <v>12.0</v>
      </c>
      <c r="K874" s="252">
        <v>896.0</v>
      </c>
      <c r="L874" s="252">
        <v>120.0</v>
      </c>
      <c r="M874" s="252">
        <v>13179.0</v>
      </c>
      <c r="N874" s="252">
        <v>23985.0</v>
      </c>
      <c r="O874" s="252">
        <v>6.0</v>
      </c>
      <c r="P874" s="252">
        <v>64.0</v>
      </c>
      <c r="Q874" s="252">
        <v>2926.0</v>
      </c>
      <c r="R874" s="251" t="s">
        <v>1141</v>
      </c>
      <c r="S874" s="251" t="s">
        <v>1122</v>
      </c>
      <c r="T874" s="251" t="s">
        <v>1123</v>
      </c>
      <c r="U874" s="252">
        <v>12.0</v>
      </c>
      <c r="V874" s="252">
        <v>14.0</v>
      </c>
      <c r="W874" s="252">
        <v>6.0</v>
      </c>
      <c r="X874" s="251" t="s">
        <v>1132</v>
      </c>
      <c r="Y874" s="251" t="s">
        <v>5569</v>
      </c>
      <c r="Z874" s="251" t="s">
        <v>5570</v>
      </c>
      <c r="AA874" s="254" t="s">
        <v>1105</v>
      </c>
      <c r="AB874" s="254" t="s">
        <v>1105</v>
      </c>
    </row>
    <row r="875">
      <c r="A875" s="252">
        <v>874.0</v>
      </c>
      <c r="B875" s="251" t="s">
        <v>5571</v>
      </c>
      <c r="C875" s="252">
        <v>1.0</v>
      </c>
      <c r="D875" s="251" t="s">
        <v>5572</v>
      </c>
      <c r="E875" s="251" t="s">
        <v>1633</v>
      </c>
      <c r="F875" s="251" t="s">
        <v>1160</v>
      </c>
      <c r="G875" s="253" t="s">
        <v>5573</v>
      </c>
      <c r="H875" s="252">
        <v>6.0</v>
      </c>
      <c r="I875" s="251" t="s">
        <v>1140</v>
      </c>
      <c r="J875" s="252">
        <v>8.0</v>
      </c>
      <c r="K875" s="252">
        <v>747.0</v>
      </c>
      <c r="L875" s="252">
        <v>120.0</v>
      </c>
      <c r="M875" s="252">
        <v>4082.0</v>
      </c>
      <c r="N875" s="252">
        <v>6816.0</v>
      </c>
      <c r="O875" s="252">
        <v>8.0</v>
      </c>
      <c r="P875" s="252">
        <v>16.0</v>
      </c>
      <c r="Q875" s="252">
        <v>2295.0</v>
      </c>
      <c r="R875" s="251" t="s">
        <v>1099</v>
      </c>
      <c r="S875" s="251" t="s">
        <v>1122</v>
      </c>
      <c r="T875" s="251" t="s">
        <v>1021</v>
      </c>
      <c r="U875" s="252">
        <v>16.0</v>
      </c>
      <c r="V875" s="252">
        <v>48.0</v>
      </c>
      <c r="W875" s="252">
        <v>5.0</v>
      </c>
      <c r="X875" s="251" t="s">
        <v>1113</v>
      </c>
      <c r="Y875" s="251" t="s">
        <v>5574</v>
      </c>
      <c r="Z875" s="251" t="s">
        <v>5575</v>
      </c>
      <c r="AA875" s="254" t="s">
        <v>1105</v>
      </c>
      <c r="AB875" s="254" t="s">
        <v>1105</v>
      </c>
    </row>
    <row r="876">
      <c r="A876" s="252">
        <v>875.0</v>
      </c>
      <c r="B876" s="251" t="s">
        <v>5576</v>
      </c>
      <c r="C876" s="252">
        <v>1.0</v>
      </c>
      <c r="D876" s="251" t="s">
        <v>5577</v>
      </c>
      <c r="E876" s="251" t="s">
        <v>1964</v>
      </c>
      <c r="F876" s="251" t="s">
        <v>1129</v>
      </c>
      <c r="G876" s="253" t="s">
        <v>5578</v>
      </c>
      <c r="H876" s="252">
        <v>6.0</v>
      </c>
      <c r="I876" s="251" t="s">
        <v>1131</v>
      </c>
      <c r="J876" s="252">
        <v>12.0</v>
      </c>
      <c r="K876" s="252">
        <v>932.0</v>
      </c>
      <c r="L876" s="252">
        <v>80.0</v>
      </c>
      <c r="M876" s="252">
        <v>7411.0</v>
      </c>
      <c r="N876" s="252">
        <v>9115.0</v>
      </c>
      <c r="O876" s="252">
        <v>2.0</v>
      </c>
      <c r="P876" s="252">
        <v>128.0</v>
      </c>
      <c r="Q876" s="252">
        <v>2153.0</v>
      </c>
      <c r="R876" s="251" t="s">
        <v>1099</v>
      </c>
      <c r="S876" s="251" t="s">
        <v>1122</v>
      </c>
      <c r="T876" s="251" t="s">
        <v>1021</v>
      </c>
      <c r="U876" s="252">
        <v>32.0</v>
      </c>
      <c r="V876" s="252">
        <v>12.0</v>
      </c>
      <c r="W876" s="252">
        <v>5.0</v>
      </c>
      <c r="X876" s="251" t="s">
        <v>1102</v>
      </c>
      <c r="Y876" s="251" t="s">
        <v>5579</v>
      </c>
      <c r="Z876" s="251" t="s">
        <v>5580</v>
      </c>
      <c r="AA876" s="254" t="s">
        <v>1105</v>
      </c>
      <c r="AB876" s="254" t="s">
        <v>1105</v>
      </c>
    </row>
    <row r="877">
      <c r="A877" s="252">
        <v>876.0</v>
      </c>
      <c r="B877" s="251" t="s">
        <v>5581</v>
      </c>
      <c r="C877" s="252">
        <v>1.0</v>
      </c>
      <c r="D877" s="251" t="s">
        <v>5582</v>
      </c>
      <c r="E877" s="251" t="s">
        <v>1118</v>
      </c>
      <c r="F877" s="251" t="s">
        <v>1119</v>
      </c>
      <c r="G877" s="253" t="s">
        <v>5583</v>
      </c>
      <c r="H877" s="252">
        <v>5.0</v>
      </c>
      <c r="I877" s="251" t="s">
        <v>1121</v>
      </c>
      <c r="J877" s="252">
        <v>12.0</v>
      </c>
      <c r="K877" s="252">
        <v>776.0</v>
      </c>
      <c r="L877" s="252">
        <v>100.0</v>
      </c>
      <c r="M877" s="252">
        <v>22232.0</v>
      </c>
      <c r="N877" s="252">
        <v>27567.0</v>
      </c>
      <c r="O877" s="252">
        <v>8.0</v>
      </c>
      <c r="P877" s="252">
        <v>64.0</v>
      </c>
      <c r="Q877" s="252">
        <v>2887.0</v>
      </c>
      <c r="R877" s="251" t="s">
        <v>1112</v>
      </c>
      <c r="S877" s="251" t="s">
        <v>1122</v>
      </c>
      <c r="T877" s="251" t="s">
        <v>1101</v>
      </c>
      <c r="U877" s="252">
        <v>12.0</v>
      </c>
      <c r="V877" s="252">
        <v>48.0</v>
      </c>
      <c r="W877" s="252">
        <v>6.3</v>
      </c>
      <c r="X877" s="251" t="s">
        <v>1147</v>
      </c>
      <c r="Y877" s="251" t="s">
        <v>5584</v>
      </c>
      <c r="Z877" s="251" t="s">
        <v>5585</v>
      </c>
      <c r="AA877" s="254" t="s">
        <v>1105</v>
      </c>
      <c r="AB877" s="254" t="s">
        <v>1105</v>
      </c>
    </row>
    <row r="878">
      <c r="A878" s="252">
        <v>877.0</v>
      </c>
      <c r="B878" s="251" t="s">
        <v>5586</v>
      </c>
      <c r="C878" s="252">
        <v>1.0</v>
      </c>
      <c r="D878" s="251" t="s">
        <v>5587</v>
      </c>
      <c r="E878" s="251" t="s">
        <v>1300</v>
      </c>
      <c r="F878" s="251" t="s">
        <v>1233</v>
      </c>
      <c r="G878" s="253" t="s">
        <v>5588</v>
      </c>
      <c r="H878" s="252">
        <v>4.0</v>
      </c>
      <c r="I878" s="251" t="s">
        <v>1121</v>
      </c>
      <c r="J878" s="252">
        <v>12.0</v>
      </c>
      <c r="K878" s="252">
        <v>604.0</v>
      </c>
      <c r="L878" s="252">
        <v>120.0</v>
      </c>
      <c r="M878" s="252">
        <v>19811.0</v>
      </c>
      <c r="N878" s="252">
        <v>28527.0</v>
      </c>
      <c r="O878" s="252">
        <v>12.0</v>
      </c>
      <c r="P878" s="252">
        <v>128.0</v>
      </c>
      <c r="Q878" s="252">
        <v>5984.0</v>
      </c>
      <c r="R878" s="251" t="s">
        <v>1141</v>
      </c>
      <c r="S878" s="251" t="s">
        <v>1122</v>
      </c>
      <c r="T878" s="251" t="s">
        <v>1021</v>
      </c>
      <c r="U878" s="252">
        <v>12.0</v>
      </c>
      <c r="V878" s="252">
        <v>48.0</v>
      </c>
      <c r="W878" s="252">
        <v>5.0</v>
      </c>
      <c r="X878" s="251" t="s">
        <v>1113</v>
      </c>
      <c r="Y878" s="251" t="s">
        <v>5589</v>
      </c>
      <c r="Z878" s="251" t="s">
        <v>5590</v>
      </c>
      <c r="AA878" s="254" t="s">
        <v>1105</v>
      </c>
      <c r="AB878" s="254" t="s">
        <v>1105</v>
      </c>
    </row>
    <row r="879">
      <c r="A879" s="252">
        <v>878.0</v>
      </c>
      <c r="B879" s="251" t="s">
        <v>5591</v>
      </c>
      <c r="C879" s="252">
        <v>1.0</v>
      </c>
      <c r="D879" s="251" t="s">
        <v>5592</v>
      </c>
      <c r="E879" s="251" t="s">
        <v>1294</v>
      </c>
      <c r="F879" s="251" t="s">
        <v>1119</v>
      </c>
      <c r="G879" s="253" t="s">
        <v>5593</v>
      </c>
      <c r="H879" s="252">
        <v>3.0</v>
      </c>
      <c r="I879" s="251" t="s">
        <v>1140</v>
      </c>
      <c r="J879" s="252">
        <v>12.0</v>
      </c>
      <c r="K879" s="252">
        <v>260.0</v>
      </c>
      <c r="L879" s="252">
        <v>80.0</v>
      </c>
      <c r="M879" s="252">
        <v>9365.0</v>
      </c>
      <c r="N879" s="252">
        <v>15920.0</v>
      </c>
      <c r="O879" s="252">
        <v>8.0</v>
      </c>
      <c r="P879" s="252">
        <v>16.0</v>
      </c>
      <c r="Q879" s="252">
        <v>2382.0</v>
      </c>
      <c r="R879" s="251" t="s">
        <v>1112</v>
      </c>
      <c r="S879" s="251" t="s">
        <v>1122</v>
      </c>
      <c r="T879" s="251" t="s">
        <v>1021</v>
      </c>
      <c r="U879" s="252">
        <v>12.0</v>
      </c>
      <c r="V879" s="252">
        <v>12.0</v>
      </c>
      <c r="W879" s="252">
        <v>6.0</v>
      </c>
      <c r="X879" s="251" t="s">
        <v>1102</v>
      </c>
      <c r="Y879" s="251" t="s">
        <v>5594</v>
      </c>
      <c r="Z879" s="251" t="s">
        <v>5595</v>
      </c>
      <c r="AA879" s="254" t="s">
        <v>1105</v>
      </c>
      <c r="AB879" s="254" t="s">
        <v>1105</v>
      </c>
    </row>
    <row r="880">
      <c r="A880" s="252">
        <v>879.0</v>
      </c>
      <c r="B880" s="251" t="s">
        <v>5596</v>
      </c>
      <c r="C880" s="252">
        <v>1.0</v>
      </c>
      <c r="D880" s="251" t="s">
        <v>5597</v>
      </c>
      <c r="E880" s="251" t="s">
        <v>2161</v>
      </c>
      <c r="F880" s="251" t="s">
        <v>1202</v>
      </c>
      <c r="G880" s="253" t="s">
        <v>5598</v>
      </c>
      <c r="H880" s="252">
        <v>4.0</v>
      </c>
      <c r="I880" s="251" t="s">
        <v>1140</v>
      </c>
      <c r="J880" s="252">
        <v>10.0</v>
      </c>
      <c r="K880" s="252">
        <v>407.0</v>
      </c>
      <c r="L880" s="252">
        <v>80.0</v>
      </c>
      <c r="M880" s="252">
        <v>21479.0</v>
      </c>
      <c r="N880" s="252">
        <v>31574.0</v>
      </c>
      <c r="O880" s="252">
        <v>6.0</v>
      </c>
      <c r="P880" s="252">
        <v>32.0</v>
      </c>
      <c r="Q880" s="252">
        <v>2382.0</v>
      </c>
      <c r="R880" s="251" t="s">
        <v>1099</v>
      </c>
      <c r="S880" s="251" t="s">
        <v>1100</v>
      </c>
      <c r="T880" s="251" t="s">
        <v>1021</v>
      </c>
      <c r="U880" s="252">
        <v>32.0</v>
      </c>
      <c r="V880" s="252">
        <v>14.0</v>
      </c>
      <c r="W880" s="252">
        <v>6.3</v>
      </c>
      <c r="X880" s="251" t="s">
        <v>1113</v>
      </c>
      <c r="Y880" s="251" t="s">
        <v>5599</v>
      </c>
      <c r="Z880" s="251" t="s">
        <v>5600</v>
      </c>
      <c r="AA880" s="254" t="s">
        <v>1105</v>
      </c>
      <c r="AB880" s="254" t="s">
        <v>1105</v>
      </c>
    </row>
    <row r="881">
      <c r="A881" s="252">
        <v>880.0</v>
      </c>
      <c r="B881" s="251" t="s">
        <v>5601</v>
      </c>
      <c r="C881" s="252">
        <v>1.0</v>
      </c>
      <c r="D881" s="251" t="s">
        <v>5602</v>
      </c>
      <c r="E881" s="251" t="s">
        <v>1848</v>
      </c>
      <c r="F881" s="251" t="s">
        <v>1233</v>
      </c>
      <c r="G881" s="253" t="s">
        <v>5603</v>
      </c>
      <c r="H881" s="252">
        <v>4.0</v>
      </c>
      <c r="I881" s="251" t="s">
        <v>1111</v>
      </c>
      <c r="J881" s="252">
        <v>12.0</v>
      </c>
      <c r="K881" s="252">
        <v>913.0</v>
      </c>
      <c r="L881" s="252">
        <v>120.0</v>
      </c>
      <c r="M881" s="252">
        <v>8932.0</v>
      </c>
      <c r="N881" s="252">
        <v>11611.0</v>
      </c>
      <c r="O881" s="252">
        <v>4.0</v>
      </c>
      <c r="P881" s="252">
        <v>16.0</v>
      </c>
      <c r="Q881" s="252">
        <v>4443.0</v>
      </c>
      <c r="R881" s="251" t="s">
        <v>1099</v>
      </c>
      <c r="S881" s="251" t="s">
        <v>1100</v>
      </c>
      <c r="T881" s="251" t="s">
        <v>1021</v>
      </c>
      <c r="U881" s="252">
        <v>12.0</v>
      </c>
      <c r="V881" s="252">
        <v>16.0</v>
      </c>
      <c r="W881" s="252">
        <v>5.0</v>
      </c>
      <c r="X881" s="251" t="s">
        <v>1147</v>
      </c>
      <c r="Y881" s="251" t="s">
        <v>5604</v>
      </c>
      <c r="Z881" s="251" t="s">
        <v>5605</v>
      </c>
      <c r="AA881" s="254" t="s">
        <v>1105</v>
      </c>
      <c r="AB881" s="254" t="s">
        <v>1105</v>
      </c>
    </row>
    <row r="882">
      <c r="A882" s="252">
        <v>881.0</v>
      </c>
      <c r="B882" s="251" t="s">
        <v>5606</v>
      </c>
      <c r="C882" s="252">
        <v>1.0</v>
      </c>
      <c r="D882" s="251" t="s">
        <v>5607</v>
      </c>
      <c r="E882" s="251" t="s">
        <v>1329</v>
      </c>
      <c r="F882" s="251" t="s">
        <v>1109</v>
      </c>
      <c r="G882" s="253" t="s">
        <v>5608</v>
      </c>
      <c r="H882" s="252">
        <v>2.0</v>
      </c>
      <c r="I882" s="251" t="s">
        <v>1121</v>
      </c>
      <c r="J882" s="252">
        <v>12.0</v>
      </c>
      <c r="K882" s="252">
        <v>793.0</v>
      </c>
      <c r="L882" s="252">
        <v>100.0</v>
      </c>
      <c r="M882" s="252">
        <v>4423.0</v>
      </c>
      <c r="N882" s="252">
        <v>8138.0</v>
      </c>
      <c r="O882" s="252">
        <v>6.0</v>
      </c>
      <c r="P882" s="252">
        <v>8.0</v>
      </c>
      <c r="Q882" s="252">
        <v>2364.0</v>
      </c>
      <c r="R882" s="251" t="s">
        <v>1099</v>
      </c>
      <c r="S882" s="251" t="s">
        <v>1122</v>
      </c>
      <c r="T882" s="251" t="s">
        <v>1021</v>
      </c>
      <c r="U882" s="252">
        <v>16.0</v>
      </c>
      <c r="V882" s="252">
        <v>14.0</v>
      </c>
      <c r="W882" s="252">
        <v>5.2</v>
      </c>
      <c r="X882" s="251" t="s">
        <v>1147</v>
      </c>
      <c r="Y882" s="251" t="s">
        <v>5609</v>
      </c>
      <c r="Z882" s="251" t="s">
        <v>5610</v>
      </c>
      <c r="AA882" s="254" t="s">
        <v>1105</v>
      </c>
      <c r="AB882" s="254" t="s">
        <v>1105</v>
      </c>
    </row>
    <row r="883">
      <c r="A883" s="252">
        <v>882.0</v>
      </c>
      <c r="B883" s="251" t="s">
        <v>5611</v>
      </c>
      <c r="C883" s="252">
        <v>1.0</v>
      </c>
      <c r="D883" s="251" t="s">
        <v>5612</v>
      </c>
      <c r="E883" s="251" t="s">
        <v>1587</v>
      </c>
      <c r="F883" s="251" t="s">
        <v>1119</v>
      </c>
      <c r="G883" s="253" t="s">
        <v>5613</v>
      </c>
      <c r="H883" s="252">
        <v>5.0</v>
      </c>
      <c r="I883" s="251" t="s">
        <v>1131</v>
      </c>
      <c r="J883" s="252">
        <v>10.0</v>
      </c>
      <c r="K883" s="252">
        <v>699.0</v>
      </c>
      <c r="L883" s="252">
        <v>120.0</v>
      </c>
      <c r="M883" s="252">
        <v>9248.0</v>
      </c>
      <c r="N883" s="252">
        <v>13502.0</v>
      </c>
      <c r="O883" s="252">
        <v>8.0</v>
      </c>
      <c r="P883" s="252">
        <v>512.0</v>
      </c>
      <c r="Q883" s="252">
        <v>5310.0</v>
      </c>
      <c r="R883" s="251" t="s">
        <v>1099</v>
      </c>
      <c r="S883" s="251" t="s">
        <v>1122</v>
      </c>
      <c r="T883" s="251" t="s">
        <v>1021</v>
      </c>
      <c r="U883" s="252">
        <v>16.0</v>
      </c>
      <c r="V883" s="252">
        <v>14.0</v>
      </c>
      <c r="W883" s="252">
        <v>5.0</v>
      </c>
      <c r="X883" s="251" t="s">
        <v>1102</v>
      </c>
      <c r="Y883" s="251" t="s">
        <v>5614</v>
      </c>
      <c r="Z883" s="251" t="s">
        <v>5615</v>
      </c>
      <c r="AA883" s="254" t="s">
        <v>1105</v>
      </c>
      <c r="AB883" s="254" t="s">
        <v>1105</v>
      </c>
    </row>
    <row r="884">
      <c r="A884" s="252">
        <v>883.0</v>
      </c>
      <c r="B884" s="251" t="s">
        <v>5616</v>
      </c>
      <c r="C884" s="252">
        <v>1.0</v>
      </c>
      <c r="D884" s="251" t="s">
        <v>5617</v>
      </c>
      <c r="E884" s="251" t="s">
        <v>1221</v>
      </c>
      <c r="F884" s="251" t="s">
        <v>1160</v>
      </c>
      <c r="G884" s="253" t="s">
        <v>5618</v>
      </c>
      <c r="H884" s="252">
        <v>5.0</v>
      </c>
      <c r="I884" s="251" t="s">
        <v>1131</v>
      </c>
      <c r="J884" s="252">
        <v>10.0</v>
      </c>
      <c r="K884" s="252">
        <v>873.0</v>
      </c>
      <c r="L884" s="252">
        <v>100.0</v>
      </c>
      <c r="M884" s="252">
        <v>18947.0</v>
      </c>
      <c r="N884" s="252">
        <v>29367.0</v>
      </c>
      <c r="O884" s="252">
        <v>8.0</v>
      </c>
      <c r="P884" s="252">
        <v>512.0</v>
      </c>
      <c r="Q884" s="252">
        <v>3831.0</v>
      </c>
      <c r="R884" s="251" t="s">
        <v>1141</v>
      </c>
      <c r="S884" s="251" t="s">
        <v>1122</v>
      </c>
      <c r="T884" s="251" t="s">
        <v>1021</v>
      </c>
      <c r="U884" s="252">
        <v>12.0</v>
      </c>
      <c r="V884" s="252">
        <v>32.0</v>
      </c>
      <c r="W884" s="252">
        <v>5.0</v>
      </c>
      <c r="X884" s="251" t="s">
        <v>1113</v>
      </c>
      <c r="Y884" s="251" t="s">
        <v>5619</v>
      </c>
      <c r="Z884" s="251" t="s">
        <v>5620</v>
      </c>
      <c r="AA884" s="254" t="s">
        <v>1105</v>
      </c>
      <c r="AB884" s="254" t="s">
        <v>1105</v>
      </c>
    </row>
    <row r="885">
      <c r="A885" s="252">
        <v>884.0</v>
      </c>
      <c r="B885" s="251" t="s">
        <v>5621</v>
      </c>
      <c r="C885" s="252">
        <v>1.0</v>
      </c>
      <c r="D885" s="251" t="s">
        <v>5622</v>
      </c>
      <c r="E885" s="251" t="s">
        <v>1178</v>
      </c>
      <c r="F885" s="251" t="s">
        <v>1119</v>
      </c>
      <c r="G885" s="253" t="s">
        <v>5623</v>
      </c>
      <c r="H885" s="252">
        <v>2.0</v>
      </c>
      <c r="I885" s="251" t="s">
        <v>1098</v>
      </c>
      <c r="J885" s="252">
        <v>10.0</v>
      </c>
      <c r="K885" s="252">
        <v>949.0</v>
      </c>
      <c r="L885" s="252">
        <v>80.0</v>
      </c>
      <c r="M885" s="252">
        <v>6871.0</v>
      </c>
      <c r="N885" s="252">
        <v>9962.0</v>
      </c>
      <c r="O885" s="252">
        <v>2.0</v>
      </c>
      <c r="P885" s="252">
        <v>8.0</v>
      </c>
      <c r="Q885" s="252">
        <v>5081.0</v>
      </c>
      <c r="R885" s="251" t="s">
        <v>1112</v>
      </c>
      <c r="S885" s="251" t="s">
        <v>1100</v>
      </c>
      <c r="T885" s="251" t="s">
        <v>1021</v>
      </c>
      <c r="U885" s="252">
        <v>12.0</v>
      </c>
      <c r="V885" s="252">
        <v>32.0</v>
      </c>
      <c r="W885" s="252">
        <v>5.5</v>
      </c>
      <c r="X885" s="251" t="s">
        <v>1147</v>
      </c>
      <c r="Y885" s="251" t="s">
        <v>5624</v>
      </c>
      <c r="Z885" s="251" t="s">
        <v>5625</v>
      </c>
      <c r="AA885" s="254" t="s">
        <v>1105</v>
      </c>
      <c r="AB885" s="254" t="s">
        <v>1105</v>
      </c>
    </row>
    <row r="886">
      <c r="A886" s="252">
        <v>885.0</v>
      </c>
      <c r="B886" s="251" t="s">
        <v>5626</v>
      </c>
      <c r="C886" s="252">
        <v>1.0</v>
      </c>
      <c r="D886" s="251" t="s">
        <v>5627</v>
      </c>
      <c r="E886" s="251" t="s">
        <v>2276</v>
      </c>
      <c r="F886" s="251" t="s">
        <v>1215</v>
      </c>
      <c r="G886" s="253" t="s">
        <v>5628</v>
      </c>
      <c r="H886" s="252">
        <v>2.0</v>
      </c>
      <c r="I886" s="251" t="s">
        <v>1140</v>
      </c>
      <c r="J886" s="252">
        <v>8.0</v>
      </c>
      <c r="K886" s="252">
        <v>618.0</v>
      </c>
      <c r="L886" s="252">
        <v>120.0</v>
      </c>
      <c r="M886" s="252">
        <v>14234.0</v>
      </c>
      <c r="N886" s="252">
        <v>20354.0</v>
      </c>
      <c r="O886" s="252">
        <v>2.0</v>
      </c>
      <c r="P886" s="252">
        <v>512.0</v>
      </c>
      <c r="Q886" s="252">
        <v>6174.0</v>
      </c>
      <c r="R886" s="251" t="s">
        <v>1099</v>
      </c>
      <c r="S886" s="251" t="s">
        <v>1122</v>
      </c>
      <c r="T886" s="251" t="s">
        <v>1101</v>
      </c>
      <c r="U886" s="252">
        <v>12.0</v>
      </c>
      <c r="V886" s="252">
        <v>14.0</v>
      </c>
      <c r="W886" s="252">
        <v>6.3</v>
      </c>
      <c r="X886" s="251" t="s">
        <v>1113</v>
      </c>
      <c r="Y886" s="251" t="s">
        <v>5629</v>
      </c>
      <c r="Z886" s="251" t="s">
        <v>5630</v>
      </c>
      <c r="AA886" s="254" t="s">
        <v>1105</v>
      </c>
      <c r="AB886" s="254" t="s">
        <v>1105</v>
      </c>
    </row>
    <row r="887">
      <c r="A887" s="252">
        <v>886.0</v>
      </c>
      <c r="B887" s="251" t="s">
        <v>5631</v>
      </c>
      <c r="C887" s="252">
        <v>1.0</v>
      </c>
      <c r="D887" s="251" t="s">
        <v>5632</v>
      </c>
      <c r="E887" s="251" t="s">
        <v>2276</v>
      </c>
      <c r="F887" s="251" t="s">
        <v>1215</v>
      </c>
      <c r="G887" s="253" t="s">
        <v>5633</v>
      </c>
      <c r="H887" s="252">
        <v>3.0</v>
      </c>
      <c r="I887" s="251" t="s">
        <v>1140</v>
      </c>
      <c r="J887" s="252">
        <v>10.0</v>
      </c>
      <c r="K887" s="252">
        <v>946.0</v>
      </c>
      <c r="L887" s="252">
        <v>100.0</v>
      </c>
      <c r="M887" s="252">
        <v>12549.0</v>
      </c>
      <c r="N887" s="252">
        <v>21960.0</v>
      </c>
      <c r="O887" s="252">
        <v>2.0</v>
      </c>
      <c r="P887" s="252">
        <v>32.0</v>
      </c>
      <c r="Q887" s="252">
        <v>3128.0</v>
      </c>
      <c r="R887" s="251" t="s">
        <v>1141</v>
      </c>
      <c r="S887" s="251" t="s">
        <v>1122</v>
      </c>
      <c r="T887" s="251" t="s">
        <v>1021</v>
      </c>
      <c r="U887" s="252">
        <v>32.0</v>
      </c>
      <c r="V887" s="252">
        <v>14.0</v>
      </c>
      <c r="W887" s="252">
        <v>5.0</v>
      </c>
      <c r="X887" s="251" t="s">
        <v>1102</v>
      </c>
      <c r="Y887" s="251" t="s">
        <v>5634</v>
      </c>
      <c r="Z887" s="251" t="s">
        <v>5635</v>
      </c>
      <c r="AA887" s="254" t="s">
        <v>1105</v>
      </c>
      <c r="AB887" s="254" t="s">
        <v>1105</v>
      </c>
    </row>
    <row r="888">
      <c r="A888" s="252">
        <v>887.0</v>
      </c>
      <c r="B888" s="251" t="s">
        <v>5636</v>
      </c>
      <c r="C888" s="252">
        <v>1.0</v>
      </c>
      <c r="D888" s="251" t="s">
        <v>5637</v>
      </c>
      <c r="E888" s="251" t="s">
        <v>1189</v>
      </c>
      <c r="F888" s="251" t="s">
        <v>1096</v>
      </c>
      <c r="G888" s="253" t="s">
        <v>5638</v>
      </c>
      <c r="H888" s="252">
        <v>4.0</v>
      </c>
      <c r="I888" s="251" t="s">
        <v>1140</v>
      </c>
      <c r="J888" s="252">
        <v>12.0</v>
      </c>
      <c r="K888" s="252">
        <v>790.0</v>
      </c>
      <c r="L888" s="252">
        <v>80.0</v>
      </c>
      <c r="M888" s="252">
        <v>20641.0</v>
      </c>
      <c r="N888" s="252">
        <v>37566.0</v>
      </c>
      <c r="O888" s="252">
        <v>8.0</v>
      </c>
      <c r="P888" s="252">
        <v>32.0</v>
      </c>
      <c r="Q888" s="252">
        <v>2460.0</v>
      </c>
      <c r="R888" s="251" t="s">
        <v>1141</v>
      </c>
      <c r="S888" s="251" t="s">
        <v>1100</v>
      </c>
      <c r="T888" s="251" t="s">
        <v>1101</v>
      </c>
      <c r="U888" s="252">
        <v>12.0</v>
      </c>
      <c r="V888" s="252">
        <v>32.0</v>
      </c>
      <c r="W888" s="252">
        <v>6.0</v>
      </c>
      <c r="X888" s="251" t="s">
        <v>1132</v>
      </c>
      <c r="Y888" s="251" t="s">
        <v>5639</v>
      </c>
      <c r="Z888" s="251" t="s">
        <v>5640</v>
      </c>
      <c r="AA888" s="254" t="s">
        <v>1105</v>
      </c>
      <c r="AB888" s="254" t="s">
        <v>1105</v>
      </c>
    </row>
    <row r="889">
      <c r="A889" s="252">
        <v>888.0</v>
      </c>
      <c r="B889" s="251" t="s">
        <v>5641</v>
      </c>
      <c r="C889" s="252">
        <v>1.0</v>
      </c>
      <c r="D889" s="251" t="s">
        <v>5642</v>
      </c>
      <c r="E889" s="251" t="s">
        <v>1118</v>
      </c>
      <c r="F889" s="251" t="s">
        <v>1119</v>
      </c>
      <c r="G889" s="253" t="s">
        <v>4606</v>
      </c>
      <c r="H889" s="252">
        <v>2.0</v>
      </c>
      <c r="I889" s="251" t="s">
        <v>1121</v>
      </c>
      <c r="J889" s="252">
        <v>12.0</v>
      </c>
      <c r="K889" s="252">
        <v>341.0</v>
      </c>
      <c r="L889" s="252">
        <v>100.0</v>
      </c>
      <c r="M889" s="252">
        <v>10363.0</v>
      </c>
      <c r="N889" s="252">
        <v>15129.0</v>
      </c>
      <c r="O889" s="252">
        <v>12.0</v>
      </c>
      <c r="P889" s="252">
        <v>512.0</v>
      </c>
      <c r="Q889" s="252">
        <v>2315.0</v>
      </c>
      <c r="R889" s="251" t="s">
        <v>1141</v>
      </c>
      <c r="S889" s="251" t="s">
        <v>1122</v>
      </c>
      <c r="T889" s="251" t="s">
        <v>1101</v>
      </c>
      <c r="U889" s="252">
        <v>12.0</v>
      </c>
      <c r="V889" s="252">
        <v>12.0</v>
      </c>
      <c r="W889" s="252">
        <v>6.0</v>
      </c>
      <c r="X889" s="251" t="s">
        <v>1132</v>
      </c>
      <c r="Y889" s="251" t="s">
        <v>5643</v>
      </c>
      <c r="Z889" s="251" t="s">
        <v>5644</v>
      </c>
      <c r="AA889" s="254" t="s">
        <v>1105</v>
      </c>
      <c r="AB889" s="254" t="s">
        <v>1105</v>
      </c>
    </row>
    <row r="890">
      <c r="A890" s="252">
        <v>889.0</v>
      </c>
      <c r="B890" s="251" t="s">
        <v>5645</v>
      </c>
      <c r="C890" s="252">
        <v>1.0</v>
      </c>
      <c r="D890" s="251" t="s">
        <v>5646</v>
      </c>
      <c r="E890" s="251" t="s">
        <v>1958</v>
      </c>
      <c r="F890" s="251" t="s">
        <v>1215</v>
      </c>
      <c r="G890" s="253" t="s">
        <v>5647</v>
      </c>
      <c r="H890" s="252">
        <v>3.0</v>
      </c>
      <c r="I890" s="251" t="s">
        <v>1121</v>
      </c>
      <c r="J890" s="252">
        <v>8.0</v>
      </c>
      <c r="K890" s="252">
        <v>880.0</v>
      </c>
      <c r="L890" s="252">
        <v>100.0</v>
      </c>
      <c r="M890" s="252">
        <v>10314.0</v>
      </c>
      <c r="N890" s="252">
        <v>13923.0</v>
      </c>
      <c r="O890" s="252">
        <v>4.0</v>
      </c>
      <c r="P890" s="252">
        <v>16.0</v>
      </c>
      <c r="Q890" s="252">
        <v>3038.0</v>
      </c>
      <c r="R890" s="251" t="s">
        <v>1141</v>
      </c>
      <c r="S890" s="251" t="s">
        <v>1100</v>
      </c>
      <c r="T890" s="251" t="s">
        <v>1101</v>
      </c>
      <c r="U890" s="252">
        <v>32.0</v>
      </c>
      <c r="V890" s="252">
        <v>12.0</v>
      </c>
      <c r="W890" s="252">
        <v>6.3</v>
      </c>
      <c r="X890" s="251" t="s">
        <v>1113</v>
      </c>
      <c r="Y890" s="251" t="s">
        <v>5648</v>
      </c>
      <c r="Z890" s="251" t="s">
        <v>5649</v>
      </c>
      <c r="AA890" s="254" t="s">
        <v>1105</v>
      </c>
      <c r="AB890" s="254" t="s">
        <v>1105</v>
      </c>
    </row>
    <row r="891">
      <c r="A891" s="252">
        <v>890.0</v>
      </c>
      <c r="B891" s="251" t="s">
        <v>5650</v>
      </c>
      <c r="C891" s="252">
        <v>1.0</v>
      </c>
      <c r="D891" s="251" t="s">
        <v>5651</v>
      </c>
      <c r="E891" s="251" t="s">
        <v>1639</v>
      </c>
      <c r="F891" s="251" t="s">
        <v>1129</v>
      </c>
      <c r="G891" s="253" t="s">
        <v>5652</v>
      </c>
      <c r="H891" s="252">
        <v>4.0</v>
      </c>
      <c r="I891" s="251" t="s">
        <v>1131</v>
      </c>
      <c r="J891" s="252">
        <v>10.0</v>
      </c>
      <c r="K891" s="252">
        <v>635.0</v>
      </c>
      <c r="L891" s="252">
        <v>120.0</v>
      </c>
      <c r="M891" s="252">
        <v>22502.0</v>
      </c>
      <c r="N891" s="252">
        <v>37353.0</v>
      </c>
      <c r="O891" s="252">
        <v>4.0</v>
      </c>
      <c r="P891" s="252">
        <v>128.0</v>
      </c>
      <c r="Q891" s="252">
        <v>2979.0</v>
      </c>
      <c r="R891" s="251" t="s">
        <v>1141</v>
      </c>
      <c r="S891" s="251" t="s">
        <v>1100</v>
      </c>
      <c r="T891" s="251" t="s">
        <v>1123</v>
      </c>
      <c r="U891" s="252">
        <v>16.0</v>
      </c>
      <c r="V891" s="252">
        <v>16.0</v>
      </c>
      <c r="W891" s="252">
        <v>5.5</v>
      </c>
      <c r="X891" s="251" t="s">
        <v>1102</v>
      </c>
      <c r="Y891" s="251" t="s">
        <v>5653</v>
      </c>
      <c r="Z891" s="251" t="s">
        <v>5654</v>
      </c>
      <c r="AA891" s="254" t="s">
        <v>1105</v>
      </c>
      <c r="AB891" s="254" t="s">
        <v>1105</v>
      </c>
    </row>
    <row r="892">
      <c r="A892" s="252">
        <v>891.0</v>
      </c>
      <c r="B892" s="251" t="s">
        <v>5655</v>
      </c>
      <c r="C892" s="252">
        <v>1.0</v>
      </c>
      <c r="D892" s="251" t="s">
        <v>5656</v>
      </c>
      <c r="E892" s="251" t="s">
        <v>2161</v>
      </c>
      <c r="F892" s="251" t="s">
        <v>1202</v>
      </c>
      <c r="G892" s="253" t="s">
        <v>5657</v>
      </c>
      <c r="H892" s="252">
        <v>5.0</v>
      </c>
      <c r="I892" s="251" t="s">
        <v>1121</v>
      </c>
      <c r="J892" s="252">
        <v>8.0</v>
      </c>
      <c r="K892" s="252">
        <v>412.0</v>
      </c>
      <c r="L892" s="252">
        <v>120.0</v>
      </c>
      <c r="M892" s="252">
        <v>12067.0</v>
      </c>
      <c r="N892" s="252">
        <v>20875.0</v>
      </c>
      <c r="O892" s="252">
        <v>12.0</v>
      </c>
      <c r="P892" s="252">
        <v>16.0</v>
      </c>
      <c r="Q892" s="252">
        <v>2592.0</v>
      </c>
      <c r="R892" s="251" t="s">
        <v>1112</v>
      </c>
      <c r="S892" s="251" t="s">
        <v>1100</v>
      </c>
      <c r="T892" s="251" t="s">
        <v>1101</v>
      </c>
      <c r="U892" s="252">
        <v>48.0</v>
      </c>
      <c r="V892" s="252">
        <v>32.0</v>
      </c>
      <c r="W892" s="252">
        <v>4.7</v>
      </c>
      <c r="X892" s="251" t="s">
        <v>1132</v>
      </c>
      <c r="Y892" s="251" t="s">
        <v>5658</v>
      </c>
      <c r="Z892" s="251" t="s">
        <v>5659</v>
      </c>
      <c r="AA892" s="254" t="s">
        <v>1105</v>
      </c>
      <c r="AB892" s="254" t="s">
        <v>1105</v>
      </c>
    </row>
    <row r="893">
      <c r="A893" s="252">
        <v>892.0</v>
      </c>
      <c r="B893" s="251" t="s">
        <v>5660</v>
      </c>
      <c r="C893" s="252">
        <v>1.0</v>
      </c>
      <c r="D893" s="251" t="s">
        <v>5661</v>
      </c>
      <c r="E893" s="251" t="s">
        <v>1615</v>
      </c>
      <c r="F893" s="251" t="s">
        <v>1202</v>
      </c>
      <c r="G893" s="253" t="s">
        <v>3639</v>
      </c>
      <c r="H893" s="252">
        <v>2.0</v>
      </c>
      <c r="I893" s="251" t="s">
        <v>1098</v>
      </c>
      <c r="J893" s="252">
        <v>10.0</v>
      </c>
      <c r="K893" s="252">
        <v>845.0</v>
      </c>
      <c r="L893" s="252">
        <v>120.0</v>
      </c>
      <c r="M893" s="252">
        <v>9678.0</v>
      </c>
      <c r="N893" s="252">
        <v>12774.0</v>
      </c>
      <c r="O893" s="252">
        <v>6.0</v>
      </c>
      <c r="P893" s="252">
        <v>512.0</v>
      </c>
      <c r="Q893" s="252">
        <v>5587.0</v>
      </c>
      <c r="R893" s="251" t="s">
        <v>1141</v>
      </c>
      <c r="S893" s="251" t="s">
        <v>1122</v>
      </c>
      <c r="T893" s="251" t="s">
        <v>1101</v>
      </c>
      <c r="U893" s="252">
        <v>12.0</v>
      </c>
      <c r="V893" s="252">
        <v>14.0</v>
      </c>
      <c r="W893" s="252">
        <v>6.0</v>
      </c>
      <c r="X893" s="251" t="s">
        <v>1147</v>
      </c>
      <c r="Y893" s="251" t="s">
        <v>5662</v>
      </c>
      <c r="Z893" s="251" t="s">
        <v>5663</v>
      </c>
      <c r="AA893" s="254" t="s">
        <v>1105</v>
      </c>
      <c r="AB893" s="254" t="s">
        <v>1105</v>
      </c>
    </row>
    <row r="894">
      <c r="A894" s="252">
        <v>893.0</v>
      </c>
      <c r="B894" s="251" t="s">
        <v>5664</v>
      </c>
      <c r="C894" s="252">
        <v>1.0</v>
      </c>
      <c r="D894" s="251" t="s">
        <v>5665</v>
      </c>
      <c r="E894" s="251" t="s">
        <v>2215</v>
      </c>
      <c r="F894" s="251" t="s">
        <v>1119</v>
      </c>
      <c r="G894" s="253" t="s">
        <v>5054</v>
      </c>
      <c r="H894" s="252">
        <v>3.0</v>
      </c>
      <c r="I894" s="251" t="s">
        <v>1131</v>
      </c>
      <c r="J894" s="252">
        <v>10.0</v>
      </c>
      <c r="K894" s="252">
        <v>810.0</v>
      </c>
      <c r="L894" s="252">
        <v>120.0</v>
      </c>
      <c r="M894" s="252">
        <v>8000.0</v>
      </c>
      <c r="N894" s="252">
        <v>12800.0</v>
      </c>
      <c r="O894" s="252">
        <v>6.0</v>
      </c>
      <c r="P894" s="252">
        <v>32.0</v>
      </c>
      <c r="Q894" s="252">
        <v>2212.0</v>
      </c>
      <c r="R894" s="251" t="s">
        <v>1112</v>
      </c>
      <c r="S894" s="251" t="s">
        <v>1122</v>
      </c>
      <c r="T894" s="251" t="s">
        <v>1021</v>
      </c>
      <c r="U894" s="252">
        <v>12.0</v>
      </c>
      <c r="V894" s="252">
        <v>48.0</v>
      </c>
      <c r="W894" s="252">
        <v>6.3</v>
      </c>
      <c r="X894" s="251" t="s">
        <v>1132</v>
      </c>
      <c r="Y894" s="251" t="s">
        <v>5666</v>
      </c>
      <c r="Z894" s="251" t="s">
        <v>5667</v>
      </c>
      <c r="AA894" s="254" t="s">
        <v>1105</v>
      </c>
      <c r="AB894" s="254" t="s">
        <v>1105</v>
      </c>
    </row>
    <row r="895">
      <c r="A895" s="252">
        <v>894.0</v>
      </c>
      <c r="B895" s="251" t="s">
        <v>5668</v>
      </c>
      <c r="C895" s="252">
        <v>1.0</v>
      </c>
      <c r="D895" s="251" t="s">
        <v>5669</v>
      </c>
      <c r="E895" s="251" t="s">
        <v>1232</v>
      </c>
      <c r="F895" s="251" t="s">
        <v>1233</v>
      </c>
      <c r="G895" s="253" t="s">
        <v>5670</v>
      </c>
      <c r="H895" s="252">
        <v>5.0</v>
      </c>
      <c r="I895" s="251" t="s">
        <v>1098</v>
      </c>
      <c r="J895" s="252">
        <v>10.0</v>
      </c>
      <c r="K895" s="252">
        <v>538.0</v>
      </c>
      <c r="L895" s="252">
        <v>100.0</v>
      </c>
      <c r="M895" s="252">
        <v>7597.0</v>
      </c>
      <c r="N895" s="252">
        <v>10711.0</v>
      </c>
      <c r="O895" s="252">
        <v>8.0</v>
      </c>
      <c r="P895" s="252">
        <v>16.0</v>
      </c>
      <c r="Q895" s="252">
        <v>5329.0</v>
      </c>
      <c r="R895" s="251" t="s">
        <v>1141</v>
      </c>
      <c r="S895" s="251" t="s">
        <v>1100</v>
      </c>
      <c r="T895" s="251" t="s">
        <v>1021</v>
      </c>
      <c r="U895" s="252">
        <v>14.0</v>
      </c>
      <c r="V895" s="252">
        <v>32.0</v>
      </c>
      <c r="W895" s="252">
        <v>5.5</v>
      </c>
      <c r="X895" s="251" t="s">
        <v>1132</v>
      </c>
      <c r="Y895" s="251" t="s">
        <v>5671</v>
      </c>
      <c r="Z895" s="251" t="s">
        <v>5672</v>
      </c>
      <c r="AA895" s="254" t="s">
        <v>1105</v>
      </c>
      <c r="AB895" s="254" t="s">
        <v>1105</v>
      </c>
    </row>
    <row r="896">
      <c r="A896" s="252">
        <v>895.0</v>
      </c>
      <c r="B896" s="251" t="s">
        <v>5673</v>
      </c>
      <c r="C896" s="252">
        <v>1.0</v>
      </c>
      <c r="D896" s="251" t="s">
        <v>5674</v>
      </c>
      <c r="E896" s="251" t="s">
        <v>1446</v>
      </c>
      <c r="F896" s="251" t="s">
        <v>1160</v>
      </c>
      <c r="G896" s="253" t="s">
        <v>5675</v>
      </c>
      <c r="H896" s="252">
        <v>3.0</v>
      </c>
      <c r="I896" s="251" t="s">
        <v>1121</v>
      </c>
      <c r="J896" s="252">
        <v>12.0</v>
      </c>
      <c r="K896" s="252">
        <v>790.0</v>
      </c>
      <c r="L896" s="252">
        <v>120.0</v>
      </c>
      <c r="M896" s="252">
        <v>10939.0</v>
      </c>
      <c r="N896" s="252">
        <v>17611.0</v>
      </c>
      <c r="O896" s="252">
        <v>8.0</v>
      </c>
      <c r="P896" s="252">
        <v>8.0</v>
      </c>
      <c r="Q896" s="252">
        <v>2458.0</v>
      </c>
      <c r="R896" s="251" t="s">
        <v>1141</v>
      </c>
      <c r="S896" s="251" t="s">
        <v>1122</v>
      </c>
      <c r="T896" s="251" t="s">
        <v>1101</v>
      </c>
      <c r="U896" s="252">
        <v>32.0</v>
      </c>
      <c r="V896" s="252">
        <v>32.0</v>
      </c>
      <c r="W896" s="252">
        <v>4.7</v>
      </c>
      <c r="X896" s="251" t="s">
        <v>1113</v>
      </c>
      <c r="Y896" s="251" t="s">
        <v>5676</v>
      </c>
      <c r="Z896" s="251" t="s">
        <v>5677</v>
      </c>
      <c r="AA896" s="254" t="s">
        <v>1105</v>
      </c>
      <c r="AB896" s="254" t="s">
        <v>1105</v>
      </c>
    </row>
    <row r="897">
      <c r="A897" s="252">
        <v>896.0</v>
      </c>
      <c r="B897" s="251" t="s">
        <v>5678</v>
      </c>
      <c r="C897" s="252">
        <v>1.0</v>
      </c>
      <c r="D897" s="251" t="s">
        <v>5679</v>
      </c>
      <c r="E897" s="251" t="s">
        <v>2327</v>
      </c>
      <c r="F897" s="251" t="s">
        <v>1215</v>
      </c>
      <c r="G897" s="253" t="s">
        <v>5680</v>
      </c>
      <c r="H897" s="252">
        <v>2.0</v>
      </c>
      <c r="I897" s="251" t="s">
        <v>1131</v>
      </c>
      <c r="J897" s="252">
        <v>12.0</v>
      </c>
      <c r="K897" s="252">
        <v>191.0</v>
      </c>
      <c r="L897" s="252">
        <v>120.0</v>
      </c>
      <c r="M897" s="252">
        <v>19295.0</v>
      </c>
      <c r="N897" s="252">
        <v>29521.0</v>
      </c>
      <c r="O897" s="252">
        <v>2.0</v>
      </c>
      <c r="P897" s="252">
        <v>16.0</v>
      </c>
      <c r="Q897" s="252">
        <v>5143.0</v>
      </c>
      <c r="R897" s="251" t="s">
        <v>1141</v>
      </c>
      <c r="S897" s="251" t="s">
        <v>1100</v>
      </c>
      <c r="T897" s="251" t="s">
        <v>1101</v>
      </c>
      <c r="U897" s="252">
        <v>14.0</v>
      </c>
      <c r="V897" s="252">
        <v>48.0</v>
      </c>
      <c r="W897" s="252">
        <v>4.7</v>
      </c>
      <c r="X897" s="251" t="s">
        <v>1147</v>
      </c>
      <c r="Y897" s="251" t="s">
        <v>5681</v>
      </c>
      <c r="Z897" s="251" t="s">
        <v>5682</v>
      </c>
      <c r="AA897" s="254" t="s">
        <v>1105</v>
      </c>
      <c r="AB897" s="254" t="s">
        <v>1105</v>
      </c>
    </row>
    <row r="898">
      <c r="A898" s="252">
        <v>897.0</v>
      </c>
      <c r="B898" s="251" t="s">
        <v>5683</v>
      </c>
      <c r="C898" s="252">
        <v>1.0</v>
      </c>
      <c r="D898" s="251" t="s">
        <v>5684</v>
      </c>
      <c r="E898" s="251" t="s">
        <v>2511</v>
      </c>
      <c r="F898" s="251" t="s">
        <v>1202</v>
      </c>
      <c r="G898" s="253" t="s">
        <v>5685</v>
      </c>
      <c r="H898" s="252">
        <v>4.0</v>
      </c>
      <c r="I898" s="251" t="s">
        <v>1098</v>
      </c>
      <c r="J898" s="252">
        <v>8.0</v>
      </c>
      <c r="K898" s="252">
        <v>493.0</v>
      </c>
      <c r="L898" s="252">
        <v>120.0</v>
      </c>
      <c r="M898" s="252">
        <v>11263.0</v>
      </c>
      <c r="N898" s="252">
        <v>14754.0</v>
      </c>
      <c r="O898" s="252">
        <v>12.0</v>
      </c>
      <c r="P898" s="252">
        <v>128.0</v>
      </c>
      <c r="Q898" s="252">
        <v>4471.0</v>
      </c>
      <c r="R898" s="251" t="s">
        <v>1099</v>
      </c>
      <c r="S898" s="251" t="s">
        <v>1122</v>
      </c>
      <c r="T898" s="251" t="s">
        <v>1101</v>
      </c>
      <c r="U898" s="252">
        <v>14.0</v>
      </c>
      <c r="V898" s="252">
        <v>32.0</v>
      </c>
      <c r="W898" s="252">
        <v>4.7</v>
      </c>
      <c r="X898" s="251" t="s">
        <v>1147</v>
      </c>
      <c r="Y898" s="251" t="s">
        <v>5686</v>
      </c>
      <c r="Z898" s="251" t="s">
        <v>5687</v>
      </c>
      <c r="AA898" s="254" t="s">
        <v>1105</v>
      </c>
      <c r="AB898" s="254" t="s">
        <v>1105</v>
      </c>
    </row>
    <row r="899">
      <c r="A899" s="252">
        <v>898.0</v>
      </c>
      <c r="B899" s="251" t="s">
        <v>5688</v>
      </c>
      <c r="C899" s="252">
        <v>1.0</v>
      </c>
      <c r="D899" s="251" t="s">
        <v>5689</v>
      </c>
      <c r="E899" s="251" t="s">
        <v>1780</v>
      </c>
      <c r="F899" s="251" t="s">
        <v>1129</v>
      </c>
      <c r="G899" s="253" t="s">
        <v>5690</v>
      </c>
      <c r="H899" s="252">
        <v>4.0</v>
      </c>
      <c r="I899" s="251" t="s">
        <v>1098</v>
      </c>
      <c r="J899" s="252">
        <v>12.0</v>
      </c>
      <c r="K899" s="252">
        <v>496.0</v>
      </c>
      <c r="L899" s="252">
        <v>80.0</v>
      </c>
      <c r="M899" s="252">
        <v>19508.0</v>
      </c>
      <c r="N899" s="252">
        <v>32383.0</v>
      </c>
      <c r="O899" s="252">
        <v>8.0</v>
      </c>
      <c r="P899" s="252">
        <v>32.0</v>
      </c>
      <c r="Q899" s="252">
        <v>2705.0</v>
      </c>
      <c r="R899" s="251" t="s">
        <v>1141</v>
      </c>
      <c r="S899" s="251" t="s">
        <v>1100</v>
      </c>
      <c r="T899" s="251" t="s">
        <v>1021</v>
      </c>
      <c r="U899" s="252">
        <v>12.0</v>
      </c>
      <c r="V899" s="252">
        <v>12.0</v>
      </c>
      <c r="W899" s="252">
        <v>6.0</v>
      </c>
      <c r="X899" s="251" t="s">
        <v>1113</v>
      </c>
      <c r="Y899" s="251" t="s">
        <v>5691</v>
      </c>
      <c r="Z899" s="251" t="s">
        <v>5692</v>
      </c>
      <c r="AA899" s="254" t="s">
        <v>1105</v>
      </c>
      <c r="AB899" s="254" t="s">
        <v>1105</v>
      </c>
    </row>
    <row r="900">
      <c r="A900" s="252">
        <v>899.0</v>
      </c>
      <c r="B900" s="251" t="s">
        <v>5693</v>
      </c>
      <c r="C900" s="252">
        <v>1.0</v>
      </c>
      <c r="D900" s="251" t="s">
        <v>5694</v>
      </c>
      <c r="E900" s="251" t="s">
        <v>1239</v>
      </c>
      <c r="F900" s="251" t="s">
        <v>1119</v>
      </c>
      <c r="G900" s="253" t="s">
        <v>5695</v>
      </c>
      <c r="H900" s="252">
        <v>5.0</v>
      </c>
      <c r="I900" s="251" t="s">
        <v>1098</v>
      </c>
      <c r="J900" s="252">
        <v>10.0</v>
      </c>
      <c r="K900" s="252">
        <v>931.0</v>
      </c>
      <c r="L900" s="252">
        <v>120.0</v>
      </c>
      <c r="M900" s="252">
        <v>14006.0</v>
      </c>
      <c r="N900" s="252">
        <v>25911.0</v>
      </c>
      <c r="O900" s="252">
        <v>4.0</v>
      </c>
      <c r="P900" s="252">
        <v>32.0</v>
      </c>
      <c r="Q900" s="252">
        <v>4927.0</v>
      </c>
      <c r="R900" s="251" t="s">
        <v>1112</v>
      </c>
      <c r="S900" s="251" t="s">
        <v>1122</v>
      </c>
      <c r="T900" s="251" t="s">
        <v>1123</v>
      </c>
      <c r="U900" s="252">
        <v>16.0</v>
      </c>
      <c r="V900" s="252">
        <v>14.0</v>
      </c>
      <c r="W900" s="252">
        <v>4.7</v>
      </c>
      <c r="X900" s="251" t="s">
        <v>1132</v>
      </c>
      <c r="Y900" s="251" t="s">
        <v>5696</v>
      </c>
      <c r="Z900" s="251" t="s">
        <v>5697</v>
      </c>
      <c r="AA900" s="254" t="s">
        <v>1105</v>
      </c>
      <c r="AB900" s="254" t="s">
        <v>1105</v>
      </c>
    </row>
    <row r="901">
      <c r="A901" s="252">
        <v>900.0</v>
      </c>
      <c r="B901" s="251" t="s">
        <v>5698</v>
      </c>
      <c r="C901" s="252">
        <v>1.0</v>
      </c>
      <c r="D901" s="251" t="s">
        <v>5699</v>
      </c>
      <c r="E901" s="251" t="s">
        <v>1221</v>
      </c>
      <c r="F901" s="251" t="s">
        <v>1160</v>
      </c>
      <c r="G901" s="253" t="s">
        <v>5700</v>
      </c>
      <c r="H901" s="252">
        <v>6.0</v>
      </c>
      <c r="I901" s="251" t="s">
        <v>1098</v>
      </c>
      <c r="J901" s="252">
        <v>8.0</v>
      </c>
      <c r="K901" s="252">
        <v>969.0</v>
      </c>
      <c r="L901" s="252">
        <v>120.0</v>
      </c>
      <c r="M901" s="252">
        <v>20138.0</v>
      </c>
      <c r="N901" s="252">
        <v>31818.0</v>
      </c>
      <c r="O901" s="252">
        <v>12.0</v>
      </c>
      <c r="P901" s="252">
        <v>128.0</v>
      </c>
      <c r="Q901" s="252">
        <v>2418.0</v>
      </c>
      <c r="R901" s="251" t="s">
        <v>1099</v>
      </c>
      <c r="S901" s="251" t="s">
        <v>1100</v>
      </c>
      <c r="T901" s="251" t="s">
        <v>1021</v>
      </c>
      <c r="U901" s="252">
        <v>12.0</v>
      </c>
      <c r="V901" s="252">
        <v>16.0</v>
      </c>
      <c r="W901" s="252">
        <v>5.2</v>
      </c>
      <c r="X901" s="251" t="s">
        <v>1132</v>
      </c>
      <c r="Y901" s="251" t="s">
        <v>5701</v>
      </c>
      <c r="Z901" s="251" t="s">
        <v>5702</v>
      </c>
      <c r="AA901" s="254" t="s">
        <v>1105</v>
      </c>
      <c r="AB901" s="254" t="s">
        <v>1105</v>
      </c>
    </row>
    <row r="902">
      <c r="A902" s="252">
        <v>901.0</v>
      </c>
      <c r="B902" s="251" t="s">
        <v>5703</v>
      </c>
      <c r="C902" s="252">
        <v>1.0</v>
      </c>
      <c r="D902" s="251" t="s">
        <v>5704</v>
      </c>
      <c r="E902" s="251" t="s">
        <v>1201</v>
      </c>
      <c r="F902" s="251" t="s">
        <v>1202</v>
      </c>
      <c r="G902" s="253" t="s">
        <v>5705</v>
      </c>
      <c r="H902" s="252">
        <v>2.0</v>
      </c>
      <c r="I902" s="251" t="s">
        <v>1111</v>
      </c>
      <c r="J902" s="252">
        <v>12.0</v>
      </c>
      <c r="K902" s="252">
        <v>283.0</v>
      </c>
      <c r="L902" s="252">
        <v>100.0</v>
      </c>
      <c r="M902" s="252">
        <v>22915.0</v>
      </c>
      <c r="N902" s="252">
        <v>36893.0</v>
      </c>
      <c r="O902" s="252">
        <v>4.0</v>
      </c>
      <c r="P902" s="252">
        <v>128.0</v>
      </c>
      <c r="Q902" s="252">
        <v>2667.0</v>
      </c>
      <c r="R902" s="251" t="s">
        <v>1099</v>
      </c>
      <c r="S902" s="251" t="s">
        <v>1122</v>
      </c>
      <c r="T902" s="251" t="s">
        <v>1101</v>
      </c>
      <c r="U902" s="252">
        <v>32.0</v>
      </c>
      <c r="V902" s="252">
        <v>48.0</v>
      </c>
      <c r="W902" s="252">
        <v>5.5</v>
      </c>
      <c r="X902" s="251" t="s">
        <v>1113</v>
      </c>
      <c r="Y902" s="251" t="s">
        <v>5706</v>
      </c>
      <c r="Z902" s="251" t="s">
        <v>5707</v>
      </c>
      <c r="AA902" s="254" t="s">
        <v>1105</v>
      </c>
      <c r="AB902" s="254" t="s">
        <v>1105</v>
      </c>
    </row>
    <row r="903">
      <c r="A903" s="252">
        <v>902.0</v>
      </c>
      <c r="B903" s="251" t="s">
        <v>5708</v>
      </c>
      <c r="C903" s="252">
        <v>1.0</v>
      </c>
      <c r="D903" s="251" t="s">
        <v>5709</v>
      </c>
      <c r="E903" s="251" t="s">
        <v>1341</v>
      </c>
      <c r="F903" s="251" t="s">
        <v>1215</v>
      </c>
      <c r="G903" s="253" t="s">
        <v>5710</v>
      </c>
      <c r="H903" s="252">
        <v>2.0</v>
      </c>
      <c r="I903" s="251" t="s">
        <v>1111</v>
      </c>
      <c r="J903" s="252">
        <v>12.0</v>
      </c>
      <c r="K903" s="252">
        <v>266.0</v>
      </c>
      <c r="L903" s="252">
        <v>120.0</v>
      </c>
      <c r="M903" s="252">
        <v>20532.0</v>
      </c>
      <c r="N903" s="252">
        <v>35315.0</v>
      </c>
      <c r="O903" s="252">
        <v>6.0</v>
      </c>
      <c r="P903" s="252">
        <v>64.0</v>
      </c>
      <c r="Q903" s="252">
        <v>6093.0</v>
      </c>
      <c r="R903" s="251" t="s">
        <v>1099</v>
      </c>
      <c r="S903" s="251" t="s">
        <v>1122</v>
      </c>
      <c r="T903" s="251" t="s">
        <v>1021</v>
      </c>
      <c r="U903" s="252">
        <v>12.0</v>
      </c>
      <c r="V903" s="252">
        <v>12.0</v>
      </c>
      <c r="W903" s="252">
        <v>5.5</v>
      </c>
      <c r="X903" s="251" t="s">
        <v>1132</v>
      </c>
      <c r="Y903" s="251" t="s">
        <v>5711</v>
      </c>
      <c r="Z903" s="251" t="s">
        <v>5712</v>
      </c>
      <c r="AA903" s="254" t="s">
        <v>1105</v>
      </c>
      <c r="AB903" s="254" t="s">
        <v>1105</v>
      </c>
    </row>
    <row r="904">
      <c r="A904" s="252">
        <v>903.0</v>
      </c>
      <c r="B904" s="251" t="s">
        <v>5713</v>
      </c>
      <c r="C904" s="252">
        <v>1.0</v>
      </c>
      <c r="D904" s="251" t="s">
        <v>5714</v>
      </c>
      <c r="E904" s="251" t="s">
        <v>1347</v>
      </c>
      <c r="F904" s="251" t="s">
        <v>1129</v>
      </c>
      <c r="G904" s="253" t="s">
        <v>5715</v>
      </c>
      <c r="H904" s="252">
        <v>2.0</v>
      </c>
      <c r="I904" s="251" t="s">
        <v>1098</v>
      </c>
      <c r="J904" s="252">
        <v>10.0</v>
      </c>
      <c r="K904" s="252">
        <v>858.0</v>
      </c>
      <c r="L904" s="252">
        <v>120.0</v>
      </c>
      <c r="M904" s="252">
        <v>20640.0</v>
      </c>
      <c r="N904" s="252">
        <v>37977.0</v>
      </c>
      <c r="O904" s="252">
        <v>4.0</v>
      </c>
      <c r="P904" s="252">
        <v>64.0</v>
      </c>
      <c r="Q904" s="252">
        <v>6344.0</v>
      </c>
      <c r="R904" s="251" t="s">
        <v>1099</v>
      </c>
      <c r="S904" s="251" t="s">
        <v>1100</v>
      </c>
      <c r="T904" s="251" t="s">
        <v>1021</v>
      </c>
      <c r="U904" s="252">
        <v>16.0</v>
      </c>
      <c r="V904" s="252">
        <v>14.0</v>
      </c>
      <c r="W904" s="252">
        <v>4.7</v>
      </c>
      <c r="X904" s="251" t="s">
        <v>1102</v>
      </c>
      <c r="Y904" s="251" t="s">
        <v>5716</v>
      </c>
      <c r="Z904" s="251" t="s">
        <v>5717</v>
      </c>
      <c r="AA904" s="254" t="s">
        <v>1105</v>
      </c>
      <c r="AB904" s="254" t="s">
        <v>1105</v>
      </c>
    </row>
    <row r="905">
      <c r="A905" s="252">
        <v>904.0</v>
      </c>
      <c r="B905" s="251" t="s">
        <v>5718</v>
      </c>
      <c r="C905" s="252">
        <v>1.0</v>
      </c>
      <c r="D905" s="251" t="s">
        <v>5719</v>
      </c>
      <c r="E905" s="251" t="s">
        <v>2177</v>
      </c>
      <c r="F905" s="251" t="s">
        <v>1129</v>
      </c>
      <c r="G905" s="253" t="s">
        <v>5720</v>
      </c>
      <c r="H905" s="252">
        <v>6.0</v>
      </c>
      <c r="I905" s="251" t="s">
        <v>1098</v>
      </c>
      <c r="J905" s="252">
        <v>10.0</v>
      </c>
      <c r="K905" s="252">
        <v>997.0</v>
      </c>
      <c r="L905" s="252">
        <v>120.0</v>
      </c>
      <c r="M905" s="252">
        <v>2594.0</v>
      </c>
      <c r="N905" s="252">
        <v>4072.0</v>
      </c>
      <c r="O905" s="252">
        <v>4.0</v>
      </c>
      <c r="P905" s="252">
        <v>8.0</v>
      </c>
      <c r="Q905" s="252">
        <v>4272.0</v>
      </c>
      <c r="R905" s="251" t="s">
        <v>1141</v>
      </c>
      <c r="S905" s="251" t="s">
        <v>1122</v>
      </c>
      <c r="T905" s="251" t="s">
        <v>1101</v>
      </c>
      <c r="U905" s="252">
        <v>16.0</v>
      </c>
      <c r="V905" s="252">
        <v>32.0</v>
      </c>
      <c r="W905" s="252">
        <v>5.2</v>
      </c>
      <c r="X905" s="251" t="s">
        <v>1102</v>
      </c>
      <c r="Y905" s="251" t="s">
        <v>5721</v>
      </c>
      <c r="Z905" s="251" t="s">
        <v>5722</v>
      </c>
      <c r="AA905" s="254" t="s">
        <v>1105</v>
      </c>
      <c r="AB905" s="254" t="s">
        <v>1105</v>
      </c>
    </row>
    <row r="906">
      <c r="A906" s="252">
        <v>905.0</v>
      </c>
      <c r="B906" s="251" t="s">
        <v>5723</v>
      </c>
      <c r="C906" s="252">
        <v>1.0</v>
      </c>
      <c r="D906" s="251" t="s">
        <v>5724</v>
      </c>
      <c r="E906" s="251" t="s">
        <v>2114</v>
      </c>
      <c r="F906" s="251" t="s">
        <v>1138</v>
      </c>
      <c r="G906" s="253" t="s">
        <v>5725</v>
      </c>
      <c r="H906" s="252">
        <v>3.0</v>
      </c>
      <c r="I906" s="251" t="s">
        <v>1131</v>
      </c>
      <c r="J906" s="252">
        <v>12.0</v>
      </c>
      <c r="K906" s="252">
        <v>344.0</v>
      </c>
      <c r="L906" s="252">
        <v>80.0</v>
      </c>
      <c r="M906" s="252">
        <v>10384.0</v>
      </c>
      <c r="N906" s="252">
        <v>17237.0</v>
      </c>
      <c r="O906" s="252">
        <v>2.0</v>
      </c>
      <c r="P906" s="252">
        <v>64.0</v>
      </c>
      <c r="Q906" s="252">
        <v>5627.0</v>
      </c>
      <c r="R906" s="251" t="s">
        <v>1099</v>
      </c>
      <c r="S906" s="251" t="s">
        <v>1122</v>
      </c>
      <c r="T906" s="251" t="s">
        <v>1101</v>
      </c>
      <c r="U906" s="252">
        <v>14.0</v>
      </c>
      <c r="V906" s="252">
        <v>16.0</v>
      </c>
      <c r="W906" s="252">
        <v>5.0</v>
      </c>
      <c r="X906" s="251" t="s">
        <v>1113</v>
      </c>
      <c r="Y906" s="251" t="s">
        <v>5726</v>
      </c>
      <c r="Z906" s="251" t="s">
        <v>5727</v>
      </c>
      <c r="AA906" s="254" t="s">
        <v>1105</v>
      </c>
      <c r="AB906" s="254" t="s">
        <v>1105</v>
      </c>
    </row>
    <row r="907">
      <c r="A907" s="252">
        <v>906.0</v>
      </c>
      <c r="B907" s="251" t="s">
        <v>5728</v>
      </c>
      <c r="C907" s="252">
        <v>1.0</v>
      </c>
      <c r="D907" s="251" t="s">
        <v>5729</v>
      </c>
      <c r="E907" s="251" t="s">
        <v>1208</v>
      </c>
      <c r="F907" s="251" t="s">
        <v>1109</v>
      </c>
      <c r="G907" s="253" t="s">
        <v>5730</v>
      </c>
      <c r="H907" s="252">
        <v>2.0</v>
      </c>
      <c r="I907" s="251" t="s">
        <v>1121</v>
      </c>
      <c r="J907" s="252">
        <v>8.0</v>
      </c>
      <c r="K907" s="252">
        <v>796.0</v>
      </c>
      <c r="L907" s="252">
        <v>100.0</v>
      </c>
      <c r="M907" s="252">
        <v>4697.0</v>
      </c>
      <c r="N907" s="252">
        <v>5871.0</v>
      </c>
      <c r="O907" s="252">
        <v>6.0</v>
      </c>
      <c r="P907" s="252">
        <v>16.0</v>
      </c>
      <c r="Q907" s="252">
        <v>6028.0</v>
      </c>
      <c r="R907" s="251" t="s">
        <v>1141</v>
      </c>
      <c r="S907" s="251" t="s">
        <v>1100</v>
      </c>
      <c r="T907" s="251" t="s">
        <v>1101</v>
      </c>
      <c r="U907" s="252">
        <v>14.0</v>
      </c>
      <c r="V907" s="252">
        <v>32.0</v>
      </c>
      <c r="W907" s="252">
        <v>5.2</v>
      </c>
      <c r="X907" s="251" t="s">
        <v>1132</v>
      </c>
      <c r="Y907" s="251" t="s">
        <v>5731</v>
      </c>
      <c r="Z907" s="251" t="s">
        <v>5732</v>
      </c>
      <c r="AA907" s="254" t="s">
        <v>1105</v>
      </c>
      <c r="AB907" s="254" t="s">
        <v>1105</v>
      </c>
    </row>
    <row r="908">
      <c r="A908" s="252">
        <v>907.0</v>
      </c>
      <c r="B908" s="251" t="s">
        <v>5733</v>
      </c>
      <c r="C908" s="252">
        <v>1.0</v>
      </c>
      <c r="D908" s="251" t="s">
        <v>5734</v>
      </c>
      <c r="E908" s="251" t="s">
        <v>2203</v>
      </c>
      <c r="F908" s="251" t="s">
        <v>1233</v>
      </c>
      <c r="G908" s="253" t="s">
        <v>5735</v>
      </c>
      <c r="H908" s="252">
        <v>5.0</v>
      </c>
      <c r="I908" s="251" t="s">
        <v>1140</v>
      </c>
      <c r="J908" s="252">
        <v>12.0</v>
      </c>
      <c r="K908" s="252">
        <v>576.0</v>
      </c>
      <c r="L908" s="252">
        <v>100.0</v>
      </c>
      <c r="M908" s="252">
        <v>6141.0</v>
      </c>
      <c r="N908" s="252">
        <v>10071.0</v>
      </c>
      <c r="O908" s="252">
        <v>12.0</v>
      </c>
      <c r="P908" s="252">
        <v>128.0</v>
      </c>
      <c r="Q908" s="252">
        <v>2821.0</v>
      </c>
      <c r="R908" s="251" t="s">
        <v>1141</v>
      </c>
      <c r="S908" s="251" t="s">
        <v>1100</v>
      </c>
      <c r="T908" s="251" t="s">
        <v>1123</v>
      </c>
      <c r="U908" s="252">
        <v>12.0</v>
      </c>
      <c r="V908" s="252">
        <v>12.0</v>
      </c>
      <c r="W908" s="252">
        <v>6.0</v>
      </c>
      <c r="X908" s="251" t="s">
        <v>1147</v>
      </c>
      <c r="Y908" s="251" t="s">
        <v>5736</v>
      </c>
      <c r="Z908" s="251" t="s">
        <v>5737</v>
      </c>
      <c r="AA908" s="254" t="s">
        <v>1105</v>
      </c>
      <c r="AB908" s="254" t="s">
        <v>1105</v>
      </c>
    </row>
    <row r="909">
      <c r="A909" s="252">
        <v>908.0</v>
      </c>
      <c r="B909" s="251" t="s">
        <v>5738</v>
      </c>
      <c r="C909" s="252">
        <v>1.0</v>
      </c>
      <c r="D909" s="251" t="s">
        <v>5739</v>
      </c>
      <c r="E909" s="251" t="s">
        <v>1609</v>
      </c>
      <c r="F909" s="251" t="s">
        <v>1109</v>
      </c>
      <c r="G909" s="253" t="s">
        <v>5740</v>
      </c>
      <c r="H909" s="252">
        <v>6.0</v>
      </c>
      <c r="I909" s="251" t="s">
        <v>1121</v>
      </c>
      <c r="J909" s="252">
        <v>12.0</v>
      </c>
      <c r="K909" s="252">
        <v>690.0</v>
      </c>
      <c r="L909" s="252">
        <v>120.0</v>
      </c>
      <c r="M909" s="252">
        <v>15200.0</v>
      </c>
      <c r="N909" s="252">
        <v>19760.0</v>
      </c>
      <c r="O909" s="252">
        <v>4.0</v>
      </c>
      <c r="P909" s="252">
        <v>8.0</v>
      </c>
      <c r="Q909" s="252">
        <v>1902.0</v>
      </c>
      <c r="R909" s="251" t="s">
        <v>1099</v>
      </c>
      <c r="S909" s="251" t="s">
        <v>1122</v>
      </c>
      <c r="T909" s="251" t="s">
        <v>1123</v>
      </c>
      <c r="U909" s="252">
        <v>16.0</v>
      </c>
      <c r="V909" s="252">
        <v>14.0</v>
      </c>
      <c r="W909" s="252">
        <v>6.3</v>
      </c>
      <c r="X909" s="251" t="s">
        <v>1132</v>
      </c>
      <c r="Y909" s="251" t="s">
        <v>5741</v>
      </c>
      <c r="Z909" s="251" t="s">
        <v>5742</v>
      </c>
      <c r="AA909" s="254" t="s">
        <v>1105</v>
      </c>
      <c r="AB909" s="254" t="s">
        <v>1105</v>
      </c>
    </row>
    <row r="910">
      <c r="A910" s="252">
        <v>909.0</v>
      </c>
      <c r="B910" s="251" t="s">
        <v>5743</v>
      </c>
      <c r="C910" s="252">
        <v>1.0</v>
      </c>
      <c r="D910" s="251" t="s">
        <v>5744</v>
      </c>
      <c r="E910" s="251" t="s">
        <v>1387</v>
      </c>
      <c r="F910" s="251" t="s">
        <v>1160</v>
      </c>
      <c r="G910" s="253" t="s">
        <v>5745</v>
      </c>
      <c r="H910" s="252">
        <v>6.0</v>
      </c>
      <c r="I910" s="251" t="s">
        <v>1140</v>
      </c>
      <c r="J910" s="252">
        <v>12.0</v>
      </c>
      <c r="K910" s="252">
        <v>331.0</v>
      </c>
      <c r="L910" s="252">
        <v>80.0</v>
      </c>
      <c r="M910" s="252">
        <v>2523.0</v>
      </c>
      <c r="N910" s="252">
        <v>4112.0</v>
      </c>
      <c r="O910" s="252">
        <v>8.0</v>
      </c>
      <c r="P910" s="252">
        <v>16.0</v>
      </c>
      <c r="Q910" s="252">
        <v>5681.0</v>
      </c>
      <c r="R910" s="251" t="s">
        <v>1112</v>
      </c>
      <c r="S910" s="251" t="s">
        <v>1100</v>
      </c>
      <c r="T910" s="251" t="s">
        <v>1101</v>
      </c>
      <c r="U910" s="252">
        <v>16.0</v>
      </c>
      <c r="V910" s="252">
        <v>16.0</v>
      </c>
      <c r="W910" s="252">
        <v>6.3</v>
      </c>
      <c r="X910" s="251" t="s">
        <v>1147</v>
      </c>
      <c r="Y910" s="251" t="s">
        <v>5746</v>
      </c>
      <c r="Z910" s="251" t="s">
        <v>5747</v>
      </c>
      <c r="AA910" s="254" t="s">
        <v>1105</v>
      </c>
      <c r="AB910" s="254" t="s">
        <v>1105</v>
      </c>
    </row>
    <row r="911">
      <c r="A911" s="252">
        <v>910.0</v>
      </c>
      <c r="B911" s="251" t="s">
        <v>5748</v>
      </c>
      <c r="C911" s="252">
        <v>1.0</v>
      </c>
      <c r="D911" s="251" t="s">
        <v>5749</v>
      </c>
      <c r="E911" s="251" t="s">
        <v>2177</v>
      </c>
      <c r="F911" s="251" t="s">
        <v>1129</v>
      </c>
      <c r="G911" s="253" t="s">
        <v>5750</v>
      </c>
      <c r="H911" s="252">
        <v>3.0</v>
      </c>
      <c r="I911" s="251" t="s">
        <v>1140</v>
      </c>
      <c r="J911" s="252">
        <v>8.0</v>
      </c>
      <c r="K911" s="252">
        <v>330.0</v>
      </c>
      <c r="L911" s="252">
        <v>100.0</v>
      </c>
      <c r="M911" s="252">
        <v>15236.0</v>
      </c>
      <c r="N911" s="252">
        <v>24072.0</v>
      </c>
      <c r="O911" s="252">
        <v>4.0</v>
      </c>
      <c r="P911" s="252">
        <v>16.0</v>
      </c>
      <c r="Q911" s="252">
        <v>3311.0</v>
      </c>
      <c r="R911" s="251" t="s">
        <v>1141</v>
      </c>
      <c r="S911" s="251" t="s">
        <v>1122</v>
      </c>
      <c r="T911" s="251" t="s">
        <v>1101</v>
      </c>
      <c r="U911" s="252">
        <v>32.0</v>
      </c>
      <c r="V911" s="252">
        <v>48.0</v>
      </c>
      <c r="W911" s="252">
        <v>6.3</v>
      </c>
      <c r="X911" s="251" t="s">
        <v>1132</v>
      </c>
      <c r="Y911" s="251" t="s">
        <v>5751</v>
      </c>
      <c r="Z911" s="251" t="s">
        <v>5752</v>
      </c>
      <c r="AA911" s="254" t="s">
        <v>1105</v>
      </c>
      <c r="AB911" s="254" t="s">
        <v>1105</v>
      </c>
    </row>
    <row r="912">
      <c r="A912" s="252">
        <v>911.0</v>
      </c>
      <c r="B912" s="251" t="s">
        <v>5753</v>
      </c>
      <c r="C912" s="252">
        <v>1.0</v>
      </c>
      <c r="D912" s="251" t="s">
        <v>5754</v>
      </c>
      <c r="E912" s="251" t="s">
        <v>2215</v>
      </c>
      <c r="F912" s="251" t="s">
        <v>1119</v>
      </c>
      <c r="G912" s="253" t="s">
        <v>5755</v>
      </c>
      <c r="H912" s="252">
        <v>6.0</v>
      </c>
      <c r="I912" s="251" t="s">
        <v>1140</v>
      </c>
      <c r="J912" s="252">
        <v>12.0</v>
      </c>
      <c r="K912" s="252">
        <v>854.0</v>
      </c>
      <c r="L912" s="252">
        <v>120.0</v>
      </c>
      <c r="M912" s="252">
        <v>4505.0</v>
      </c>
      <c r="N912" s="252">
        <v>7162.0</v>
      </c>
      <c r="O912" s="252">
        <v>12.0</v>
      </c>
      <c r="P912" s="252">
        <v>64.0</v>
      </c>
      <c r="Q912" s="252">
        <v>5366.0</v>
      </c>
      <c r="R912" s="251" t="s">
        <v>1112</v>
      </c>
      <c r="S912" s="251" t="s">
        <v>1122</v>
      </c>
      <c r="T912" s="251" t="s">
        <v>1123</v>
      </c>
      <c r="U912" s="252">
        <v>48.0</v>
      </c>
      <c r="V912" s="252">
        <v>48.0</v>
      </c>
      <c r="W912" s="252">
        <v>6.3</v>
      </c>
      <c r="X912" s="251" t="s">
        <v>1132</v>
      </c>
      <c r="Y912" s="251" t="s">
        <v>5756</v>
      </c>
      <c r="Z912" s="251" t="s">
        <v>5757</v>
      </c>
      <c r="AA912" s="254" t="s">
        <v>1105</v>
      </c>
      <c r="AB912" s="254" t="s">
        <v>1105</v>
      </c>
    </row>
    <row r="913">
      <c r="A913" s="252">
        <v>912.0</v>
      </c>
      <c r="B913" s="251" t="s">
        <v>5758</v>
      </c>
      <c r="C913" s="252">
        <v>1.0</v>
      </c>
      <c r="D913" s="251" t="s">
        <v>5759</v>
      </c>
      <c r="E913" s="251" t="s">
        <v>1294</v>
      </c>
      <c r="F913" s="251" t="s">
        <v>1119</v>
      </c>
      <c r="G913" s="253" t="s">
        <v>5760</v>
      </c>
      <c r="H913" s="252">
        <v>6.0</v>
      </c>
      <c r="I913" s="251" t="s">
        <v>1121</v>
      </c>
      <c r="J913" s="252">
        <v>10.0</v>
      </c>
      <c r="K913" s="252">
        <v>876.0</v>
      </c>
      <c r="L913" s="252">
        <v>100.0</v>
      </c>
      <c r="M913" s="252">
        <v>16065.0</v>
      </c>
      <c r="N913" s="252">
        <v>25704.0</v>
      </c>
      <c r="O913" s="252">
        <v>2.0</v>
      </c>
      <c r="P913" s="252">
        <v>16.0</v>
      </c>
      <c r="Q913" s="252">
        <v>2430.0</v>
      </c>
      <c r="R913" s="251" t="s">
        <v>1141</v>
      </c>
      <c r="S913" s="251" t="s">
        <v>1100</v>
      </c>
      <c r="T913" s="251" t="s">
        <v>1101</v>
      </c>
      <c r="U913" s="252">
        <v>16.0</v>
      </c>
      <c r="V913" s="252">
        <v>48.0</v>
      </c>
      <c r="W913" s="252">
        <v>5.5</v>
      </c>
      <c r="X913" s="251" t="s">
        <v>1102</v>
      </c>
      <c r="Y913" s="251" t="s">
        <v>5761</v>
      </c>
      <c r="Z913" s="251" t="s">
        <v>5762</v>
      </c>
      <c r="AA913" s="254" t="s">
        <v>1105</v>
      </c>
      <c r="AB913" s="254" t="s">
        <v>1105</v>
      </c>
    </row>
    <row r="914">
      <c r="A914" s="252">
        <v>913.0</v>
      </c>
      <c r="B914" s="251" t="s">
        <v>5763</v>
      </c>
      <c r="C914" s="252">
        <v>1.0</v>
      </c>
      <c r="D914" s="251" t="s">
        <v>5764</v>
      </c>
      <c r="E914" s="251" t="s">
        <v>2203</v>
      </c>
      <c r="F914" s="251" t="s">
        <v>1233</v>
      </c>
      <c r="G914" s="253" t="s">
        <v>5765</v>
      </c>
      <c r="H914" s="252">
        <v>6.0</v>
      </c>
      <c r="I914" s="251" t="s">
        <v>1111</v>
      </c>
      <c r="J914" s="252">
        <v>12.0</v>
      </c>
      <c r="K914" s="252">
        <v>329.0</v>
      </c>
      <c r="L914" s="252">
        <v>100.0</v>
      </c>
      <c r="M914" s="252">
        <v>11734.0</v>
      </c>
      <c r="N914" s="252">
        <v>21121.0</v>
      </c>
      <c r="O914" s="252">
        <v>6.0</v>
      </c>
      <c r="P914" s="252">
        <v>512.0</v>
      </c>
      <c r="Q914" s="252">
        <v>2519.0</v>
      </c>
      <c r="R914" s="251" t="s">
        <v>1099</v>
      </c>
      <c r="S914" s="251" t="s">
        <v>1100</v>
      </c>
      <c r="T914" s="251" t="s">
        <v>1123</v>
      </c>
      <c r="U914" s="252">
        <v>12.0</v>
      </c>
      <c r="V914" s="252">
        <v>12.0</v>
      </c>
      <c r="W914" s="252">
        <v>6.0</v>
      </c>
      <c r="X914" s="251" t="s">
        <v>1102</v>
      </c>
      <c r="Y914" s="251" t="s">
        <v>5766</v>
      </c>
      <c r="Z914" s="251" t="s">
        <v>5767</v>
      </c>
      <c r="AA914" s="254" t="s">
        <v>1105</v>
      </c>
      <c r="AB914" s="254" t="s">
        <v>1105</v>
      </c>
    </row>
    <row r="915">
      <c r="A915" s="252">
        <v>914.0</v>
      </c>
      <c r="B915" s="251" t="s">
        <v>5768</v>
      </c>
      <c r="C915" s="252">
        <v>1.0</v>
      </c>
      <c r="D915" s="251" t="s">
        <v>5769</v>
      </c>
      <c r="E915" s="251" t="s">
        <v>1661</v>
      </c>
      <c r="F915" s="251" t="s">
        <v>1233</v>
      </c>
      <c r="G915" s="253" t="s">
        <v>5770</v>
      </c>
      <c r="H915" s="252">
        <v>5.0</v>
      </c>
      <c r="I915" s="251" t="s">
        <v>1131</v>
      </c>
      <c r="J915" s="252">
        <v>10.0</v>
      </c>
      <c r="K915" s="252">
        <v>356.0</v>
      </c>
      <c r="L915" s="252">
        <v>120.0</v>
      </c>
      <c r="M915" s="252">
        <v>3569.0</v>
      </c>
      <c r="N915" s="252">
        <v>6174.0</v>
      </c>
      <c r="O915" s="252">
        <v>2.0</v>
      </c>
      <c r="P915" s="252">
        <v>16.0</v>
      </c>
      <c r="Q915" s="252">
        <v>6149.0</v>
      </c>
      <c r="R915" s="251" t="s">
        <v>1141</v>
      </c>
      <c r="S915" s="251" t="s">
        <v>1100</v>
      </c>
      <c r="T915" s="251" t="s">
        <v>1101</v>
      </c>
      <c r="U915" s="252">
        <v>14.0</v>
      </c>
      <c r="V915" s="252">
        <v>12.0</v>
      </c>
      <c r="W915" s="252">
        <v>6.3</v>
      </c>
      <c r="X915" s="251" t="s">
        <v>1113</v>
      </c>
      <c r="Y915" s="251" t="s">
        <v>5771</v>
      </c>
      <c r="Z915" s="251" t="s">
        <v>5772</v>
      </c>
      <c r="AA915" s="254" t="s">
        <v>1105</v>
      </c>
      <c r="AB915" s="254" t="s">
        <v>1105</v>
      </c>
    </row>
    <row r="916">
      <c r="A916" s="252">
        <v>915.0</v>
      </c>
      <c r="B916" s="251" t="s">
        <v>5773</v>
      </c>
      <c r="C916" s="252">
        <v>1.0</v>
      </c>
      <c r="D916" s="251" t="s">
        <v>5774</v>
      </c>
      <c r="E916" s="251" t="s">
        <v>1667</v>
      </c>
      <c r="F916" s="251" t="s">
        <v>1129</v>
      </c>
      <c r="G916" s="253" t="s">
        <v>5775</v>
      </c>
      <c r="H916" s="252">
        <v>4.0</v>
      </c>
      <c r="I916" s="251" t="s">
        <v>1111</v>
      </c>
      <c r="J916" s="252">
        <v>12.0</v>
      </c>
      <c r="K916" s="252">
        <v>812.0</v>
      </c>
      <c r="L916" s="252">
        <v>100.0</v>
      </c>
      <c r="M916" s="252">
        <v>13347.0</v>
      </c>
      <c r="N916" s="252">
        <v>17084.0</v>
      </c>
      <c r="O916" s="252">
        <v>12.0</v>
      </c>
      <c r="P916" s="252">
        <v>16.0</v>
      </c>
      <c r="Q916" s="252">
        <v>2208.0</v>
      </c>
      <c r="R916" s="251" t="s">
        <v>1099</v>
      </c>
      <c r="S916" s="251" t="s">
        <v>1122</v>
      </c>
      <c r="T916" s="251" t="s">
        <v>1123</v>
      </c>
      <c r="U916" s="252">
        <v>12.0</v>
      </c>
      <c r="V916" s="252">
        <v>48.0</v>
      </c>
      <c r="W916" s="252">
        <v>4.7</v>
      </c>
      <c r="X916" s="251" t="s">
        <v>1113</v>
      </c>
      <c r="Y916" s="251" t="s">
        <v>5776</v>
      </c>
      <c r="Z916" s="251" t="s">
        <v>5777</v>
      </c>
      <c r="AA916" s="254" t="s">
        <v>1105</v>
      </c>
      <c r="AB916" s="254" t="s">
        <v>1105</v>
      </c>
    </row>
    <row r="917">
      <c r="A917" s="252">
        <v>916.0</v>
      </c>
      <c r="B917" s="251" t="s">
        <v>5778</v>
      </c>
      <c r="C917" s="252">
        <v>1.0</v>
      </c>
      <c r="D917" s="251" t="s">
        <v>5779</v>
      </c>
      <c r="E917" s="251" t="s">
        <v>1239</v>
      </c>
      <c r="F917" s="251" t="s">
        <v>1119</v>
      </c>
      <c r="G917" s="253" t="s">
        <v>5780</v>
      </c>
      <c r="H917" s="252">
        <v>2.0</v>
      </c>
      <c r="I917" s="251" t="s">
        <v>1140</v>
      </c>
      <c r="J917" s="252">
        <v>8.0</v>
      </c>
      <c r="K917" s="252">
        <v>652.0</v>
      </c>
      <c r="L917" s="252">
        <v>100.0</v>
      </c>
      <c r="M917" s="252">
        <v>20399.0</v>
      </c>
      <c r="N917" s="252">
        <v>28150.0</v>
      </c>
      <c r="O917" s="252">
        <v>8.0</v>
      </c>
      <c r="P917" s="252">
        <v>8.0</v>
      </c>
      <c r="Q917" s="252">
        <v>6223.0</v>
      </c>
      <c r="R917" s="251" t="s">
        <v>1141</v>
      </c>
      <c r="S917" s="251" t="s">
        <v>1100</v>
      </c>
      <c r="T917" s="251" t="s">
        <v>1123</v>
      </c>
      <c r="U917" s="252">
        <v>48.0</v>
      </c>
      <c r="V917" s="252">
        <v>12.0</v>
      </c>
      <c r="W917" s="252">
        <v>6.0</v>
      </c>
      <c r="X917" s="251" t="s">
        <v>1132</v>
      </c>
      <c r="Y917" s="251" t="s">
        <v>5781</v>
      </c>
      <c r="Z917" s="251" t="s">
        <v>5782</v>
      </c>
      <c r="AA917" s="254" t="s">
        <v>1105</v>
      </c>
      <c r="AB917" s="254" t="s">
        <v>1105</v>
      </c>
    </row>
    <row r="918">
      <c r="A918" s="252">
        <v>917.0</v>
      </c>
      <c r="B918" s="251" t="s">
        <v>5783</v>
      </c>
      <c r="C918" s="252">
        <v>1.0</v>
      </c>
      <c r="D918" s="251" t="s">
        <v>5784</v>
      </c>
      <c r="E918" s="251" t="s">
        <v>1128</v>
      </c>
      <c r="F918" s="251" t="s">
        <v>1129</v>
      </c>
      <c r="G918" s="253" t="s">
        <v>5785</v>
      </c>
      <c r="H918" s="252">
        <v>4.0</v>
      </c>
      <c r="I918" s="251" t="s">
        <v>1140</v>
      </c>
      <c r="J918" s="252">
        <v>8.0</v>
      </c>
      <c r="K918" s="252">
        <v>377.0</v>
      </c>
      <c r="L918" s="252">
        <v>80.0</v>
      </c>
      <c r="M918" s="252">
        <v>12103.0</v>
      </c>
      <c r="N918" s="252">
        <v>22390.0</v>
      </c>
      <c r="O918" s="252">
        <v>8.0</v>
      </c>
      <c r="P918" s="252">
        <v>64.0</v>
      </c>
      <c r="Q918" s="252">
        <v>2834.0</v>
      </c>
      <c r="R918" s="251" t="s">
        <v>1112</v>
      </c>
      <c r="S918" s="251" t="s">
        <v>1100</v>
      </c>
      <c r="T918" s="251" t="s">
        <v>1101</v>
      </c>
      <c r="U918" s="252">
        <v>32.0</v>
      </c>
      <c r="V918" s="252">
        <v>48.0</v>
      </c>
      <c r="W918" s="252">
        <v>6.3</v>
      </c>
      <c r="X918" s="251" t="s">
        <v>1147</v>
      </c>
      <c r="Y918" s="251" t="s">
        <v>5786</v>
      </c>
      <c r="Z918" s="251" t="s">
        <v>5787</v>
      </c>
      <c r="AA918" s="254" t="s">
        <v>1105</v>
      </c>
      <c r="AB918" s="254" t="s">
        <v>1105</v>
      </c>
    </row>
    <row r="919">
      <c r="A919" s="252">
        <v>918.0</v>
      </c>
      <c r="B919" s="251" t="s">
        <v>5788</v>
      </c>
      <c r="C919" s="252">
        <v>1.0</v>
      </c>
      <c r="D919" s="251" t="s">
        <v>5789</v>
      </c>
      <c r="E919" s="251" t="s">
        <v>1214</v>
      </c>
      <c r="F919" s="251" t="s">
        <v>1215</v>
      </c>
      <c r="G919" s="253" t="s">
        <v>5790</v>
      </c>
      <c r="H919" s="252">
        <v>5.0</v>
      </c>
      <c r="I919" s="251" t="s">
        <v>1111</v>
      </c>
      <c r="J919" s="252">
        <v>8.0</v>
      </c>
      <c r="K919" s="252">
        <v>621.0</v>
      </c>
      <c r="L919" s="252">
        <v>80.0</v>
      </c>
      <c r="M919" s="252">
        <v>14513.0</v>
      </c>
      <c r="N919" s="252">
        <v>22350.0</v>
      </c>
      <c r="O919" s="252">
        <v>12.0</v>
      </c>
      <c r="P919" s="252">
        <v>16.0</v>
      </c>
      <c r="Q919" s="252">
        <v>4173.0</v>
      </c>
      <c r="R919" s="251" t="s">
        <v>1099</v>
      </c>
      <c r="S919" s="251" t="s">
        <v>1122</v>
      </c>
      <c r="T919" s="251" t="s">
        <v>1123</v>
      </c>
      <c r="U919" s="252">
        <v>32.0</v>
      </c>
      <c r="V919" s="252">
        <v>48.0</v>
      </c>
      <c r="W919" s="252">
        <v>4.7</v>
      </c>
      <c r="X919" s="251" t="s">
        <v>1147</v>
      </c>
      <c r="Y919" s="251" t="s">
        <v>5791</v>
      </c>
      <c r="Z919" s="251" t="s">
        <v>5792</v>
      </c>
      <c r="AA919" s="254" t="s">
        <v>1105</v>
      </c>
      <c r="AB919" s="254" t="s">
        <v>1105</v>
      </c>
    </row>
    <row r="920">
      <c r="A920" s="252">
        <v>919.0</v>
      </c>
      <c r="B920" s="251" t="s">
        <v>5793</v>
      </c>
      <c r="C920" s="252">
        <v>1.0</v>
      </c>
      <c r="D920" s="251" t="s">
        <v>5794</v>
      </c>
      <c r="E920" s="251" t="s">
        <v>1189</v>
      </c>
      <c r="F920" s="251" t="s">
        <v>1096</v>
      </c>
      <c r="G920" s="253" t="s">
        <v>5795</v>
      </c>
      <c r="H920" s="252">
        <v>2.0</v>
      </c>
      <c r="I920" s="251" t="s">
        <v>1140</v>
      </c>
      <c r="J920" s="252">
        <v>10.0</v>
      </c>
      <c r="K920" s="252">
        <v>106.0</v>
      </c>
      <c r="L920" s="252">
        <v>120.0</v>
      </c>
      <c r="M920" s="252">
        <v>4962.0</v>
      </c>
      <c r="N920" s="252">
        <v>6500.0</v>
      </c>
      <c r="O920" s="252">
        <v>2.0</v>
      </c>
      <c r="P920" s="252">
        <v>8.0</v>
      </c>
      <c r="Q920" s="252">
        <v>2634.0</v>
      </c>
      <c r="R920" s="251" t="s">
        <v>1112</v>
      </c>
      <c r="S920" s="251" t="s">
        <v>1100</v>
      </c>
      <c r="T920" s="251" t="s">
        <v>1101</v>
      </c>
      <c r="U920" s="252">
        <v>12.0</v>
      </c>
      <c r="V920" s="252">
        <v>14.0</v>
      </c>
      <c r="W920" s="252">
        <v>6.0</v>
      </c>
      <c r="X920" s="251" t="s">
        <v>1102</v>
      </c>
      <c r="Y920" s="251" t="s">
        <v>5796</v>
      </c>
      <c r="Z920" s="251" t="s">
        <v>5797</v>
      </c>
      <c r="AA920" s="254" t="s">
        <v>1105</v>
      </c>
      <c r="AB920" s="254" t="s">
        <v>1105</v>
      </c>
    </row>
    <row r="921">
      <c r="A921" s="252">
        <v>920.0</v>
      </c>
      <c r="B921" s="251" t="s">
        <v>5798</v>
      </c>
      <c r="C921" s="252">
        <v>1.0</v>
      </c>
      <c r="D921" s="251" t="s">
        <v>5799</v>
      </c>
      <c r="E921" s="251" t="s">
        <v>1848</v>
      </c>
      <c r="F921" s="251" t="s">
        <v>1233</v>
      </c>
      <c r="G921" s="253" t="s">
        <v>5800</v>
      </c>
      <c r="H921" s="252">
        <v>5.0</v>
      </c>
      <c r="I921" s="251" t="s">
        <v>1098</v>
      </c>
      <c r="J921" s="252">
        <v>10.0</v>
      </c>
      <c r="K921" s="252">
        <v>650.0</v>
      </c>
      <c r="L921" s="252">
        <v>120.0</v>
      </c>
      <c r="M921" s="252">
        <v>21097.0</v>
      </c>
      <c r="N921" s="252">
        <v>37974.0</v>
      </c>
      <c r="O921" s="252">
        <v>2.0</v>
      </c>
      <c r="P921" s="252">
        <v>16.0</v>
      </c>
      <c r="Q921" s="252">
        <v>4142.0</v>
      </c>
      <c r="R921" s="251" t="s">
        <v>1099</v>
      </c>
      <c r="S921" s="251" t="s">
        <v>1122</v>
      </c>
      <c r="T921" s="251" t="s">
        <v>1123</v>
      </c>
      <c r="U921" s="252">
        <v>16.0</v>
      </c>
      <c r="V921" s="252">
        <v>14.0</v>
      </c>
      <c r="W921" s="252">
        <v>6.0</v>
      </c>
      <c r="X921" s="251" t="s">
        <v>1132</v>
      </c>
      <c r="Y921" s="251" t="s">
        <v>5801</v>
      </c>
      <c r="Z921" s="251" t="s">
        <v>5802</v>
      </c>
      <c r="AA921" s="254" t="s">
        <v>1105</v>
      </c>
      <c r="AB921" s="254" t="s">
        <v>1105</v>
      </c>
    </row>
    <row r="922">
      <c r="A922" s="252">
        <v>921.0</v>
      </c>
      <c r="B922" s="251" t="s">
        <v>5803</v>
      </c>
      <c r="C922" s="252">
        <v>1.0</v>
      </c>
      <c r="D922" s="251" t="s">
        <v>5804</v>
      </c>
      <c r="E922" s="251" t="s">
        <v>1341</v>
      </c>
      <c r="F922" s="251" t="s">
        <v>1215</v>
      </c>
      <c r="G922" s="253" t="s">
        <v>5805</v>
      </c>
      <c r="H922" s="252">
        <v>4.0</v>
      </c>
      <c r="I922" s="251" t="s">
        <v>1131</v>
      </c>
      <c r="J922" s="252">
        <v>12.0</v>
      </c>
      <c r="K922" s="252">
        <v>992.0</v>
      </c>
      <c r="L922" s="252">
        <v>120.0</v>
      </c>
      <c r="M922" s="252">
        <v>21631.0</v>
      </c>
      <c r="N922" s="252">
        <v>27255.0</v>
      </c>
      <c r="O922" s="252">
        <v>2.0</v>
      </c>
      <c r="P922" s="252">
        <v>32.0</v>
      </c>
      <c r="Q922" s="252">
        <v>5242.0</v>
      </c>
      <c r="R922" s="251" t="s">
        <v>1099</v>
      </c>
      <c r="S922" s="251" t="s">
        <v>1122</v>
      </c>
      <c r="T922" s="251" t="s">
        <v>1123</v>
      </c>
      <c r="U922" s="252">
        <v>16.0</v>
      </c>
      <c r="V922" s="252">
        <v>32.0</v>
      </c>
      <c r="W922" s="252">
        <v>5.0</v>
      </c>
      <c r="X922" s="251" t="s">
        <v>1102</v>
      </c>
      <c r="Y922" s="251" t="s">
        <v>5806</v>
      </c>
      <c r="Z922" s="251" t="s">
        <v>5807</v>
      </c>
      <c r="AA922" s="254" t="s">
        <v>1105</v>
      </c>
      <c r="AB922" s="254" t="s">
        <v>1105</v>
      </c>
    </row>
    <row r="923">
      <c r="A923" s="252">
        <v>922.0</v>
      </c>
      <c r="B923" s="251" t="s">
        <v>5808</v>
      </c>
      <c r="C923" s="252">
        <v>1.0</v>
      </c>
      <c r="D923" s="251" t="s">
        <v>5809</v>
      </c>
      <c r="E923" s="251" t="s">
        <v>2511</v>
      </c>
      <c r="F923" s="251" t="s">
        <v>1202</v>
      </c>
      <c r="G923" s="253" t="s">
        <v>5810</v>
      </c>
      <c r="H923" s="252">
        <v>2.0</v>
      </c>
      <c r="I923" s="251" t="s">
        <v>1111</v>
      </c>
      <c r="J923" s="252">
        <v>8.0</v>
      </c>
      <c r="K923" s="252">
        <v>155.0</v>
      </c>
      <c r="L923" s="252">
        <v>100.0</v>
      </c>
      <c r="M923" s="252">
        <v>16246.0</v>
      </c>
      <c r="N923" s="252">
        <v>27780.0</v>
      </c>
      <c r="O923" s="252">
        <v>2.0</v>
      </c>
      <c r="P923" s="252">
        <v>8.0</v>
      </c>
      <c r="Q923" s="252">
        <v>6292.0</v>
      </c>
      <c r="R923" s="251" t="s">
        <v>1141</v>
      </c>
      <c r="S923" s="251" t="s">
        <v>1100</v>
      </c>
      <c r="T923" s="251" t="s">
        <v>1123</v>
      </c>
      <c r="U923" s="252">
        <v>12.0</v>
      </c>
      <c r="V923" s="252">
        <v>48.0</v>
      </c>
      <c r="W923" s="252">
        <v>5.0</v>
      </c>
      <c r="X923" s="251" t="s">
        <v>1147</v>
      </c>
      <c r="Y923" s="251" t="s">
        <v>5811</v>
      </c>
      <c r="Z923" s="251" t="s">
        <v>5812</v>
      </c>
      <c r="AA923" s="254" t="s">
        <v>1105</v>
      </c>
      <c r="AB923" s="254" t="s">
        <v>1105</v>
      </c>
    </row>
    <row r="924">
      <c r="A924" s="252">
        <v>923.0</v>
      </c>
      <c r="B924" s="251" t="s">
        <v>5813</v>
      </c>
      <c r="C924" s="252">
        <v>1.0</v>
      </c>
      <c r="D924" s="251" t="s">
        <v>5814</v>
      </c>
      <c r="E924" s="251" t="s">
        <v>1221</v>
      </c>
      <c r="F924" s="251" t="s">
        <v>1160</v>
      </c>
      <c r="G924" s="253" t="s">
        <v>5815</v>
      </c>
      <c r="H924" s="252">
        <v>6.0</v>
      </c>
      <c r="I924" s="251" t="s">
        <v>1131</v>
      </c>
      <c r="J924" s="252">
        <v>10.0</v>
      </c>
      <c r="K924" s="252">
        <v>199.0</v>
      </c>
      <c r="L924" s="252">
        <v>120.0</v>
      </c>
      <c r="M924" s="252">
        <v>9414.0</v>
      </c>
      <c r="N924" s="252">
        <v>16003.0</v>
      </c>
      <c r="O924" s="252">
        <v>6.0</v>
      </c>
      <c r="P924" s="252">
        <v>32.0</v>
      </c>
      <c r="Q924" s="252">
        <v>2041.0</v>
      </c>
      <c r="R924" s="251" t="s">
        <v>1112</v>
      </c>
      <c r="S924" s="251" t="s">
        <v>1100</v>
      </c>
      <c r="T924" s="251" t="s">
        <v>1101</v>
      </c>
      <c r="U924" s="252">
        <v>16.0</v>
      </c>
      <c r="V924" s="252">
        <v>48.0</v>
      </c>
      <c r="W924" s="252">
        <v>5.5</v>
      </c>
      <c r="X924" s="251" t="s">
        <v>1132</v>
      </c>
      <c r="Y924" s="251" t="s">
        <v>5816</v>
      </c>
      <c r="Z924" s="251" t="s">
        <v>5817</v>
      </c>
      <c r="AA924" s="254" t="s">
        <v>1105</v>
      </c>
      <c r="AB924" s="254" t="s">
        <v>1105</v>
      </c>
    </row>
    <row r="925">
      <c r="A925" s="252">
        <v>924.0</v>
      </c>
      <c r="B925" s="251" t="s">
        <v>5818</v>
      </c>
      <c r="C925" s="252">
        <v>1.0</v>
      </c>
      <c r="D925" s="251" t="s">
        <v>5819</v>
      </c>
      <c r="E925" s="251" t="s">
        <v>1581</v>
      </c>
      <c r="F925" s="251" t="s">
        <v>1109</v>
      </c>
      <c r="G925" s="253" t="s">
        <v>5820</v>
      </c>
      <c r="H925" s="252">
        <v>6.0</v>
      </c>
      <c r="I925" s="251" t="s">
        <v>1098</v>
      </c>
      <c r="J925" s="252">
        <v>8.0</v>
      </c>
      <c r="K925" s="252">
        <v>757.0</v>
      </c>
      <c r="L925" s="252">
        <v>120.0</v>
      </c>
      <c r="M925" s="252">
        <v>6269.0</v>
      </c>
      <c r="N925" s="252">
        <v>10343.0</v>
      </c>
      <c r="O925" s="252">
        <v>2.0</v>
      </c>
      <c r="P925" s="252">
        <v>8.0</v>
      </c>
      <c r="Q925" s="252">
        <v>3340.0</v>
      </c>
      <c r="R925" s="251" t="s">
        <v>1112</v>
      </c>
      <c r="S925" s="251" t="s">
        <v>1122</v>
      </c>
      <c r="T925" s="251" t="s">
        <v>1123</v>
      </c>
      <c r="U925" s="252">
        <v>14.0</v>
      </c>
      <c r="V925" s="252">
        <v>14.0</v>
      </c>
      <c r="W925" s="252">
        <v>5.5</v>
      </c>
      <c r="X925" s="251" t="s">
        <v>1102</v>
      </c>
      <c r="Y925" s="251" t="s">
        <v>5821</v>
      </c>
      <c r="Z925" s="251" t="s">
        <v>5822</v>
      </c>
      <c r="AA925" s="254" t="s">
        <v>1105</v>
      </c>
      <c r="AB925" s="254" t="s">
        <v>1105</v>
      </c>
    </row>
    <row r="926">
      <c r="A926" s="252">
        <v>925.0</v>
      </c>
      <c r="B926" s="251" t="s">
        <v>5823</v>
      </c>
      <c r="C926" s="252">
        <v>1.0</v>
      </c>
      <c r="D926" s="251" t="s">
        <v>5824</v>
      </c>
      <c r="E926" s="251" t="s">
        <v>1728</v>
      </c>
      <c r="F926" s="251" t="s">
        <v>1202</v>
      </c>
      <c r="G926" s="253" t="s">
        <v>5825</v>
      </c>
      <c r="H926" s="252">
        <v>4.0</v>
      </c>
      <c r="I926" s="251" t="s">
        <v>1098</v>
      </c>
      <c r="J926" s="252">
        <v>10.0</v>
      </c>
      <c r="K926" s="252">
        <v>939.0</v>
      </c>
      <c r="L926" s="252">
        <v>100.0</v>
      </c>
      <c r="M926" s="252">
        <v>9697.0</v>
      </c>
      <c r="N926" s="252">
        <v>11636.0</v>
      </c>
      <c r="O926" s="252">
        <v>12.0</v>
      </c>
      <c r="P926" s="252">
        <v>64.0</v>
      </c>
      <c r="Q926" s="252">
        <v>3380.0</v>
      </c>
      <c r="R926" s="251" t="s">
        <v>1141</v>
      </c>
      <c r="S926" s="251" t="s">
        <v>1122</v>
      </c>
      <c r="T926" s="251" t="s">
        <v>1123</v>
      </c>
      <c r="U926" s="252">
        <v>48.0</v>
      </c>
      <c r="V926" s="252">
        <v>12.0</v>
      </c>
      <c r="W926" s="252">
        <v>6.0</v>
      </c>
      <c r="X926" s="251" t="s">
        <v>1132</v>
      </c>
      <c r="Y926" s="251" t="s">
        <v>5826</v>
      </c>
      <c r="Z926" s="251" t="s">
        <v>5827</v>
      </c>
      <c r="AA926" s="254" t="s">
        <v>1105</v>
      </c>
      <c r="AB926" s="254" t="s">
        <v>1105</v>
      </c>
    </row>
    <row r="927">
      <c r="A927" s="252">
        <v>926.0</v>
      </c>
      <c r="B927" s="251" t="s">
        <v>5828</v>
      </c>
      <c r="C927" s="252">
        <v>1.0</v>
      </c>
      <c r="D927" s="251" t="s">
        <v>5829</v>
      </c>
      <c r="E927" s="251" t="s">
        <v>1208</v>
      </c>
      <c r="F927" s="251" t="s">
        <v>1109</v>
      </c>
      <c r="G927" s="253" t="s">
        <v>5830</v>
      </c>
      <c r="H927" s="252">
        <v>2.0</v>
      </c>
      <c r="I927" s="251" t="s">
        <v>1140</v>
      </c>
      <c r="J927" s="252">
        <v>10.0</v>
      </c>
      <c r="K927" s="252">
        <v>659.0</v>
      </c>
      <c r="L927" s="252">
        <v>100.0</v>
      </c>
      <c r="M927" s="252">
        <v>11540.0</v>
      </c>
      <c r="N927" s="252">
        <v>20887.0</v>
      </c>
      <c r="O927" s="252">
        <v>8.0</v>
      </c>
      <c r="P927" s="252">
        <v>16.0</v>
      </c>
      <c r="Q927" s="252">
        <v>4745.0</v>
      </c>
      <c r="R927" s="251" t="s">
        <v>1141</v>
      </c>
      <c r="S927" s="251" t="s">
        <v>1100</v>
      </c>
      <c r="T927" s="251" t="s">
        <v>1021</v>
      </c>
      <c r="U927" s="252">
        <v>48.0</v>
      </c>
      <c r="V927" s="252">
        <v>12.0</v>
      </c>
      <c r="W927" s="252">
        <v>5.5</v>
      </c>
      <c r="X927" s="251" t="s">
        <v>1147</v>
      </c>
      <c r="Y927" s="251" t="s">
        <v>5831</v>
      </c>
      <c r="Z927" s="251" t="s">
        <v>5832</v>
      </c>
      <c r="AA927" s="254" t="s">
        <v>1105</v>
      </c>
      <c r="AB927" s="254" t="s">
        <v>1105</v>
      </c>
    </row>
    <row r="928">
      <c r="A928" s="252">
        <v>927.0</v>
      </c>
      <c r="B928" s="251" t="s">
        <v>5833</v>
      </c>
      <c r="C928" s="252">
        <v>1.0</v>
      </c>
      <c r="D928" s="251" t="s">
        <v>5834</v>
      </c>
      <c r="E928" s="251" t="s">
        <v>1470</v>
      </c>
      <c r="F928" s="251" t="s">
        <v>1215</v>
      </c>
      <c r="G928" s="253" t="s">
        <v>5835</v>
      </c>
      <c r="H928" s="252">
        <v>4.0</v>
      </c>
      <c r="I928" s="251" t="s">
        <v>1131</v>
      </c>
      <c r="J928" s="252">
        <v>8.0</v>
      </c>
      <c r="K928" s="252">
        <v>780.0</v>
      </c>
      <c r="L928" s="252">
        <v>100.0</v>
      </c>
      <c r="M928" s="252">
        <v>20831.0</v>
      </c>
      <c r="N928" s="252">
        <v>29371.0</v>
      </c>
      <c r="O928" s="252">
        <v>4.0</v>
      </c>
      <c r="P928" s="252">
        <v>32.0</v>
      </c>
      <c r="Q928" s="252">
        <v>1914.0</v>
      </c>
      <c r="R928" s="251" t="s">
        <v>1099</v>
      </c>
      <c r="S928" s="251" t="s">
        <v>1122</v>
      </c>
      <c r="T928" s="251" t="s">
        <v>1021</v>
      </c>
      <c r="U928" s="252">
        <v>48.0</v>
      </c>
      <c r="V928" s="252">
        <v>48.0</v>
      </c>
      <c r="W928" s="252">
        <v>6.3</v>
      </c>
      <c r="X928" s="251" t="s">
        <v>1132</v>
      </c>
      <c r="Y928" s="251" t="s">
        <v>5836</v>
      </c>
      <c r="Z928" s="251" t="s">
        <v>5837</v>
      </c>
      <c r="AA928" s="254" t="s">
        <v>1105</v>
      </c>
      <c r="AB928" s="254" t="s">
        <v>1105</v>
      </c>
    </row>
    <row r="929">
      <c r="A929" s="252">
        <v>928.0</v>
      </c>
      <c r="B929" s="251" t="s">
        <v>5838</v>
      </c>
      <c r="C929" s="252">
        <v>1.0</v>
      </c>
      <c r="D929" s="251" t="s">
        <v>5839</v>
      </c>
      <c r="E929" s="251" t="s">
        <v>1874</v>
      </c>
      <c r="F929" s="251" t="s">
        <v>1202</v>
      </c>
      <c r="G929" s="253" t="s">
        <v>5840</v>
      </c>
      <c r="H929" s="252">
        <v>4.0</v>
      </c>
      <c r="I929" s="251" t="s">
        <v>1111</v>
      </c>
      <c r="J929" s="252">
        <v>10.0</v>
      </c>
      <c r="K929" s="252">
        <v>798.0</v>
      </c>
      <c r="L929" s="252">
        <v>120.0</v>
      </c>
      <c r="M929" s="252">
        <v>5551.0</v>
      </c>
      <c r="N929" s="252">
        <v>8992.0</v>
      </c>
      <c r="O929" s="252">
        <v>6.0</v>
      </c>
      <c r="P929" s="252">
        <v>512.0</v>
      </c>
      <c r="Q929" s="252">
        <v>5973.0</v>
      </c>
      <c r="R929" s="251" t="s">
        <v>1141</v>
      </c>
      <c r="S929" s="251" t="s">
        <v>1122</v>
      </c>
      <c r="T929" s="251" t="s">
        <v>1021</v>
      </c>
      <c r="U929" s="252">
        <v>12.0</v>
      </c>
      <c r="V929" s="252">
        <v>32.0</v>
      </c>
      <c r="W929" s="252">
        <v>6.3</v>
      </c>
      <c r="X929" s="251" t="s">
        <v>1102</v>
      </c>
      <c r="Y929" s="251" t="s">
        <v>5841</v>
      </c>
      <c r="Z929" s="251" t="s">
        <v>5842</v>
      </c>
      <c r="AA929" s="254" t="s">
        <v>1105</v>
      </c>
      <c r="AB929" s="254" t="s">
        <v>1105</v>
      </c>
    </row>
    <row r="930">
      <c r="A930" s="252">
        <v>929.0</v>
      </c>
      <c r="B930" s="251" t="s">
        <v>5843</v>
      </c>
      <c r="C930" s="252">
        <v>1.0</v>
      </c>
      <c r="D930" s="251" t="s">
        <v>5844</v>
      </c>
      <c r="E930" s="251" t="s">
        <v>1399</v>
      </c>
      <c r="F930" s="251" t="s">
        <v>1138</v>
      </c>
      <c r="G930" s="253" t="s">
        <v>5845</v>
      </c>
      <c r="H930" s="252">
        <v>2.0</v>
      </c>
      <c r="I930" s="251" t="s">
        <v>1140</v>
      </c>
      <c r="J930" s="252">
        <v>8.0</v>
      </c>
      <c r="K930" s="252">
        <v>33.0</v>
      </c>
      <c r="L930" s="252">
        <v>80.0</v>
      </c>
      <c r="M930" s="252">
        <v>13681.0</v>
      </c>
      <c r="N930" s="252">
        <v>20247.0</v>
      </c>
      <c r="O930" s="252">
        <v>2.0</v>
      </c>
      <c r="P930" s="252">
        <v>64.0</v>
      </c>
      <c r="Q930" s="252">
        <v>6074.0</v>
      </c>
      <c r="R930" s="251" t="s">
        <v>1141</v>
      </c>
      <c r="S930" s="251" t="s">
        <v>1100</v>
      </c>
      <c r="T930" s="251" t="s">
        <v>1123</v>
      </c>
      <c r="U930" s="252">
        <v>12.0</v>
      </c>
      <c r="V930" s="252">
        <v>16.0</v>
      </c>
      <c r="W930" s="252">
        <v>5.5</v>
      </c>
      <c r="X930" s="251" t="s">
        <v>1132</v>
      </c>
      <c r="Y930" s="251" t="s">
        <v>5846</v>
      </c>
      <c r="Z930" s="251" t="s">
        <v>5847</v>
      </c>
      <c r="AA930" s="254" t="s">
        <v>1105</v>
      </c>
      <c r="AB930" s="254" t="s">
        <v>1105</v>
      </c>
    </row>
    <row r="931">
      <c r="A931" s="252">
        <v>930.0</v>
      </c>
      <c r="B931" s="251" t="s">
        <v>5848</v>
      </c>
      <c r="C931" s="252">
        <v>1.0</v>
      </c>
      <c r="D931" s="251" t="s">
        <v>5849</v>
      </c>
      <c r="E931" s="251" t="s">
        <v>1609</v>
      </c>
      <c r="F931" s="251" t="s">
        <v>1109</v>
      </c>
      <c r="G931" s="253" t="s">
        <v>5850</v>
      </c>
      <c r="H931" s="252">
        <v>6.0</v>
      </c>
      <c r="I931" s="251" t="s">
        <v>1121</v>
      </c>
      <c r="J931" s="252">
        <v>8.0</v>
      </c>
      <c r="K931" s="252">
        <v>534.0</v>
      </c>
      <c r="L931" s="252">
        <v>100.0</v>
      </c>
      <c r="M931" s="252">
        <v>8051.0</v>
      </c>
      <c r="N931" s="252">
        <v>14733.0</v>
      </c>
      <c r="O931" s="252">
        <v>8.0</v>
      </c>
      <c r="P931" s="252">
        <v>512.0</v>
      </c>
      <c r="Q931" s="252">
        <v>3808.0</v>
      </c>
      <c r="R931" s="251" t="s">
        <v>1112</v>
      </c>
      <c r="S931" s="251" t="s">
        <v>1100</v>
      </c>
      <c r="T931" s="251" t="s">
        <v>1123</v>
      </c>
      <c r="U931" s="252">
        <v>16.0</v>
      </c>
      <c r="V931" s="252">
        <v>48.0</v>
      </c>
      <c r="W931" s="252">
        <v>5.5</v>
      </c>
      <c r="X931" s="251" t="s">
        <v>1113</v>
      </c>
      <c r="Y931" s="251" t="s">
        <v>5851</v>
      </c>
      <c r="Z931" s="251" t="s">
        <v>5852</v>
      </c>
      <c r="AA931" s="254" t="s">
        <v>1105</v>
      </c>
      <c r="AB931" s="254" t="s">
        <v>1105</v>
      </c>
    </row>
    <row r="932">
      <c r="A932" s="252">
        <v>931.0</v>
      </c>
      <c r="B932" s="251" t="s">
        <v>5853</v>
      </c>
      <c r="C932" s="252">
        <v>1.0</v>
      </c>
      <c r="D932" s="251" t="s">
        <v>5854</v>
      </c>
      <c r="E932" s="251" t="s">
        <v>1300</v>
      </c>
      <c r="F932" s="251" t="s">
        <v>1233</v>
      </c>
      <c r="G932" s="253" t="s">
        <v>5855</v>
      </c>
      <c r="H932" s="252">
        <v>5.0</v>
      </c>
      <c r="I932" s="251" t="s">
        <v>1131</v>
      </c>
      <c r="J932" s="252">
        <v>12.0</v>
      </c>
      <c r="K932" s="252">
        <v>75.0</v>
      </c>
      <c r="L932" s="252">
        <v>100.0</v>
      </c>
      <c r="M932" s="252">
        <v>3310.0</v>
      </c>
      <c r="N932" s="252">
        <v>5494.0</v>
      </c>
      <c r="O932" s="252">
        <v>8.0</v>
      </c>
      <c r="P932" s="252">
        <v>8.0</v>
      </c>
      <c r="Q932" s="252">
        <v>5470.0</v>
      </c>
      <c r="R932" s="251" t="s">
        <v>1099</v>
      </c>
      <c r="S932" s="251" t="s">
        <v>1100</v>
      </c>
      <c r="T932" s="251" t="s">
        <v>1123</v>
      </c>
      <c r="U932" s="252">
        <v>48.0</v>
      </c>
      <c r="V932" s="252">
        <v>12.0</v>
      </c>
      <c r="W932" s="252">
        <v>6.0</v>
      </c>
      <c r="X932" s="251" t="s">
        <v>1132</v>
      </c>
      <c r="Y932" s="251" t="s">
        <v>5856</v>
      </c>
      <c r="Z932" s="251" t="s">
        <v>5857</v>
      </c>
      <c r="AA932" s="254" t="s">
        <v>1105</v>
      </c>
      <c r="AB932" s="254" t="s">
        <v>1105</v>
      </c>
    </row>
    <row r="933">
      <c r="A933" s="252">
        <v>932.0</v>
      </c>
      <c r="B933" s="251" t="s">
        <v>5858</v>
      </c>
      <c r="C933" s="252">
        <v>1.0</v>
      </c>
      <c r="D933" s="251" t="s">
        <v>5859</v>
      </c>
      <c r="E933" s="251" t="s">
        <v>1848</v>
      </c>
      <c r="F933" s="251" t="s">
        <v>1233</v>
      </c>
      <c r="G933" s="253" t="s">
        <v>5860</v>
      </c>
      <c r="H933" s="252">
        <v>2.0</v>
      </c>
      <c r="I933" s="251" t="s">
        <v>1121</v>
      </c>
      <c r="J933" s="252">
        <v>12.0</v>
      </c>
      <c r="K933" s="252">
        <v>474.0</v>
      </c>
      <c r="L933" s="252">
        <v>100.0</v>
      </c>
      <c r="M933" s="252">
        <v>13169.0</v>
      </c>
      <c r="N933" s="252">
        <v>23835.0</v>
      </c>
      <c r="O933" s="252">
        <v>2.0</v>
      </c>
      <c r="P933" s="252">
        <v>128.0</v>
      </c>
      <c r="Q933" s="252">
        <v>4321.0</v>
      </c>
      <c r="R933" s="251" t="s">
        <v>1112</v>
      </c>
      <c r="S933" s="251" t="s">
        <v>1100</v>
      </c>
      <c r="T933" s="251" t="s">
        <v>1101</v>
      </c>
      <c r="U933" s="252">
        <v>32.0</v>
      </c>
      <c r="V933" s="252">
        <v>14.0</v>
      </c>
      <c r="W933" s="252">
        <v>5.0</v>
      </c>
      <c r="X933" s="251" t="s">
        <v>1102</v>
      </c>
      <c r="Y933" s="251" t="s">
        <v>5861</v>
      </c>
      <c r="Z933" s="251" t="s">
        <v>5862</v>
      </c>
      <c r="AA933" s="254" t="s">
        <v>1105</v>
      </c>
      <c r="AB933" s="254" t="s">
        <v>1105</v>
      </c>
    </row>
    <row r="934">
      <c r="A934" s="252">
        <v>933.0</v>
      </c>
      <c r="B934" s="251" t="s">
        <v>5863</v>
      </c>
      <c r="C934" s="252">
        <v>1.0</v>
      </c>
      <c r="D934" s="251" t="s">
        <v>5864</v>
      </c>
      <c r="E934" s="251" t="s">
        <v>1661</v>
      </c>
      <c r="F934" s="251" t="s">
        <v>1233</v>
      </c>
      <c r="G934" s="253" t="s">
        <v>5865</v>
      </c>
      <c r="H934" s="252">
        <v>6.0</v>
      </c>
      <c r="I934" s="251" t="s">
        <v>1111</v>
      </c>
      <c r="J934" s="252">
        <v>12.0</v>
      </c>
      <c r="K934" s="252">
        <v>992.0</v>
      </c>
      <c r="L934" s="252">
        <v>100.0</v>
      </c>
      <c r="M934" s="252">
        <v>13112.0</v>
      </c>
      <c r="N934" s="252">
        <v>17045.0</v>
      </c>
      <c r="O934" s="252">
        <v>4.0</v>
      </c>
      <c r="P934" s="252">
        <v>8.0</v>
      </c>
      <c r="Q934" s="252">
        <v>6132.0</v>
      </c>
      <c r="R934" s="251" t="s">
        <v>1141</v>
      </c>
      <c r="S934" s="251" t="s">
        <v>1122</v>
      </c>
      <c r="T934" s="251" t="s">
        <v>1123</v>
      </c>
      <c r="U934" s="252">
        <v>16.0</v>
      </c>
      <c r="V934" s="252">
        <v>14.0</v>
      </c>
      <c r="W934" s="252">
        <v>5.5</v>
      </c>
      <c r="X934" s="251" t="s">
        <v>1147</v>
      </c>
      <c r="Y934" s="251" t="s">
        <v>5866</v>
      </c>
      <c r="Z934" s="251" t="s">
        <v>5867</v>
      </c>
      <c r="AA934" s="254" t="s">
        <v>1105</v>
      </c>
      <c r="AB934" s="254" t="s">
        <v>1105</v>
      </c>
    </row>
    <row r="935">
      <c r="A935" s="252">
        <v>934.0</v>
      </c>
      <c r="B935" s="251" t="s">
        <v>5868</v>
      </c>
      <c r="C935" s="252">
        <v>1.0</v>
      </c>
      <c r="D935" s="251" t="s">
        <v>5869</v>
      </c>
      <c r="E935" s="251" t="s">
        <v>1159</v>
      </c>
      <c r="F935" s="251" t="s">
        <v>1160</v>
      </c>
      <c r="G935" s="253" t="s">
        <v>5870</v>
      </c>
      <c r="H935" s="252">
        <v>3.0</v>
      </c>
      <c r="I935" s="251" t="s">
        <v>1140</v>
      </c>
      <c r="J935" s="252">
        <v>8.0</v>
      </c>
      <c r="K935" s="252">
        <v>337.0</v>
      </c>
      <c r="L935" s="252">
        <v>120.0</v>
      </c>
      <c r="M935" s="252">
        <v>15935.0</v>
      </c>
      <c r="N935" s="252">
        <v>23105.0</v>
      </c>
      <c r="O935" s="252">
        <v>2.0</v>
      </c>
      <c r="P935" s="252">
        <v>16.0</v>
      </c>
      <c r="Q935" s="252">
        <v>4833.0</v>
      </c>
      <c r="R935" s="251" t="s">
        <v>1112</v>
      </c>
      <c r="S935" s="251" t="s">
        <v>1100</v>
      </c>
      <c r="T935" s="251" t="s">
        <v>1021</v>
      </c>
      <c r="U935" s="252">
        <v>16.0</v>
      </c>
      <c r="V935" s="252">
        <v>32.0</v>
      </c>
      <c r="W935" s="252">
        <v>5.5</v>
      </c>
      <c r="X935" s="251" t="s">
        <v>1147</v>
      </c>
      <c r="Y935" s="251" t="s">
        <v>5871</v>
      </c>
      <c r="Z935" s="251" t="s">
        <v>5872</v>
      </c>
      <c r="AA935" s="254" t="s">
        <v>1105</v>
      </c>
      <c r="AB935" s="254" t="s">
        <v>1105</v>
      </c>
    </row>
    <row r="936">
      <c r="A936" s="252">
        <v>935.0</v>
      </c>
      <c r="B936" s="251" t="s">
        <v>5873</v>
      </c>
      <c r="C936" s="252">
        <v>1.0</v>
      </c>
      <c r="D936" s="251" t="s">
        <v>5874</v>
      </c>
      <c r="E936" s="251" t="s">
        <v>1172</v>
      </c>
      <c r="F936" s="251" t="s">
        <v>1160</v>
      </c>
      <c r="G936" s="253" t="s">
        <v>5875</v>
      </c>
      <c r="H936" s="252">
        <v>3.0</v>
      </c>
      <c r="I936" s="251" t="s">
        <v>1111</v>
      </c>
      <c r="J936" s="252">
        <v>8.0</v>
      </c>
      <c r="K936" s="252">
        <v>625.0</v>
      </c>
      <c r="L936" s="252">
        <v>120.0</v>
      </c>
      <c r="M936" s="252">
        <v>12559.0</v>
      </c>
      <c r="N936" s="252">
        <v>15321.0</v>
      </c>
      <c r="O936" s="252">
        <v>4.0</v>
      </c>
      <c r="P936" s="252">
        <v>64.0</v>
      </c>
      <c r="Q936" s="252">
        <v>5560.0</v>
      </c>
      <c r="R936" s="251" t="s">
        <v>1099</v>
      </c>
      <c r="S936" s="251" t="s">
        <v>1122</v>
      </c>
      <c r="T936" s="251" t="s">
        <v>1021</v>
      </c>
      <c r="U936" s="252">
        <v>32.0</v>
      </c>
      <c r="V936" s="252">
        <v>14.0</v>
      </c>
      <c r="W936" s="252">
        <v>6.3</v>
      </c>
      <c r="X936" s="251" t="s">
        <v>1132</v>
      </c>
      <c r="Y936" s="251" t="s">
        <v>5876</v>
      </c>
      <c r="Z936" s="251" t="s">
        <v>5877</v>
      </c>
      <c r="AA936" s="254" t="s">
        <v>1105</v>
      </c>
      <c r="AB936" s="254" t="s">
        <v>1105</v>
      </c>
    </row>
    <row r="937">
      <c r="A937" s="252">
        <v>936.0</v>
      </c>
      <c r="B937" s="251" t="s">
        <v>5878</v>
      </c>
      <c r="C937" s="252">
        <v>1.0</v>
      </c>
      <c r="D937" s="251" t="s">
        <v>5879</v>
      </c>
      <c r="E937" s="251" t="s">
        <v>1166</v>
      </c>
      <c r="F937" s="251" t="s">
        <v>1119</v>
      </c>
      <c r="G937" s="253" t="s">
        <v>5880</v>
      </c>
      <c r="H937" s="252">
        <v>3.0</v>
      </c>
      <c r="I937" s="251" t="s">
        <v>1111</v>
      </c>
      <c r="J937" s="252">
        <v>10.0</v>
      </c>
      <c r="K937" s="252">
        <v>277.0</v>
      </c>
      <c r="L937" s="252">
        <v>100.0</v>
      </c>
      <c r="M937" s="252">
        <v>20976.0</v>
      </c>
      <c r="N937" s="252">
        <v>29995.0</v>
      </c>
      <c r="O937" s="252">
        <v>4.0</v>
      </c>
      <c r="P937" s="252">
        <v>8.0</v>
      </c>
      <c r="Q937" s="252">
        <v>5503.0</v>
      </c>
      <c r="R937" s="251" t="s">
        <v>1141</v>
      </c>
      <c r="S937" s="251" t="s">
        <v>1100</v>
      </c>
      <c r="T937" s="251" t="s">
        <v>1101</v>
      </c>
      <c r="U937" s="252">
        <v>32.0</v>
      </c>
      <c r="V937" s="252">
        <v>12.0</v>
      </c>
      <c r="W937" s="252">
        <v>6.3</v>
      </c>
      <c r="X937" s="251" t="s">
        <v>1102</v>
      </c>
      <c r="Y937" s="251" t="s">
        <v>5881</v>
      </c>
      <c r="Z937" s="251" t="s">
        <v>5882</v>
      </c>
      <c r="AA937" s="254" t="s">
        <v>1105</v>
      </c>
      <c r="AB937" s="254" t="s">
        <v>1105</v>
      </c>
    </row>
    <row r="938">
      <c r="A938" s="252">
        <v>937.0</v>
      </c>
      <c r="B938" s="251" t="s">
        <v>5883</v>
      </c>
      <c r="C938" s="252">
        <v>1.0</v>
      </c>
      <c r="D938" s="251" t="s">
        <v>5884</v>
      </c>
      <c r="E938" s="251" t="s">
        <v>1422</v>
      </c>
      <c r="F938" s="251" t="s">
        <v>1138</v>
      </c>
      <c r="G938" s="253" t="s">
        <v>5885</v>
      </c>
      <c r="H938" s="252">
        <v>4.0</v>
      </c>
      <c r="I938" s="251" t="s">
        <v>1098</v>
      </c>
      <c r="J938" s="252">
        <v>12.0</v>
      </c>
      <c r="K938" s="252">
        <v>838.0</v>
      </c>
      <c r="L938" s="252">
        <v>120.0</v>
      </c>
      <c r="M938" s="252">
        <v>13572.0</v>
      </c>
      <c r="N938" s="252">
        <v>20086.0</v>
      </c>
      <c r="O938" s="252">
        <v>12.0</v>
      </c>
      <c r="P938" s="252">
        <v>64.0</v>
      </c>
      <c r="Q938" s="252">
        <v>6313.0</v>
      </c>
      <c r="R938" s="251" t="s">
        <v>1141</v>
      </c>
      <c r="S938" s="251" t="s">
        <v>1100</v>
      </c>
      <c r="T938" s="251" t="s">
        <v>1101</v>
      </c>
      <c r="U938" s="252">
        <v>14.0</v>
      </c>
      <c r="V938" s="252">
        <v>32.0</v>
      </c>
      <c r="W938" s="252">
        <v>6.3</v>
      </c>
      <c r="X938" s="251" t="s">
        <v>1132</v>
      </c>
      <c r="Y938" s="251" t="s">
        <v>5886</v>
      </c>
      <c r="Z938" s="251" t="s">
        <v>5887</v>
      </c>
      <c r="AA938" s="254" t="s">
        <v>1105</v>
      </c>
      <c r="AB938" s="254" t="s">
        <v>1105</v>
      </c>
    </row>
    <row r="939">
      <c r="A939" s="252">
        <v>938.0</v>
      </c>
      <c r="B939" s="251" t="s">
        <v>5888</v>
      </c>
      <c r="C939" s="252">
        <v>1.0</v>
      </c>
      <c r="D939" s="251" t="s">
        <v>5889</v>
      </c>
      <c r="E939" s="251" t="s">
        <v>1323</v>
      </c>
      <c r="F939" s="251" t="s">
        <v>1233</v>
      </c>
      <c r="G939" s="253" t="s">
        <v>5890</v>
      </c>
      <c r="H939" s="252">
        <v>6.0</v>
      </c>
      <c r="I939" s="251" t="s">
        <v>1140</v>
      </c>
      <c r="J939" s="252">
        <v>8.0</v>
      </c>
      <c r="K939" s="252">
        <v>852.0</v>
      </c>
      <c r="L939" s="252">
        <v>100.0</v>
      </c>
      <c r="M939" s="252">
        <v>2531.0</v>
      </c>
      <c r="N939" s="252">
        <v>4378.0</v>
      </c>
      <c r="O939" s="252">
        <v>8.0</v>
      </c>
      <c r="P939" s="252">
        <v>64.0</v>
      </c>
      <c r="Q939" s="252">
        <v>4744.0</v>
      </c>
      <c r="R939" s="251" t="s">
        <v>1112</v>
      </c>
      <c r="S939" s="251" t="s">
        <v>1122</v>
      </c>
      <c r="T939" s="251" t="s">
        <v>1101</v>
      </c>
      <c r="U939" s="252">
        <v>14.0</v>
      </c>
      <c r="V939" s="252">
        <v>48.0</v>
      </c>
      <c r="W939" s="252">
        <v>5.5</v>
      </c>
      <c r="X939" s="251" t="s">
        <v>1113</v>
      </c>
      <c r="Y939" s="251" t="s">
        <v>5891</v>
      </c>
      <c r="Z939" s="251" t="s">
        <v>5892</v>
      </c>
      <c r="AA939" s="254" t="s">
        <v>1105</v>
      </c>
      <c r="AB939" s="254" t="s">
        <v>1105</v>
      </c>
    </row>
    <row r="940">
      <c r="A940" s="252">
        <v>939.0</v>
      </c>
      <c r="B940" s="251" t="s">
        <v>5893</v>
      </c>
      <c r="C940" s="252">
        <v>1.0</v>
      </c>
      <c r="D940" s="251" t="s">
        <v>5894</v>
      </c>
      <c r="E940" s="251" t="s">
        <v>1108</v>
      </c>
      <c r="F940" s="251" t="s">
        <v>1109</v>
      </c>
      <c r="G940" s="253" t="s">
        <v>5895</v>
      </c>
      <c r="H940" s="252">
        <v>5.0</v>
      </c>
      <c r="I940" s="251" t="s">
        <v>1111</v>
      </c>
      <c r="J940" s="252">
        <v>10.0</v>
      </c>
      <c r="K940" s="252">
        <v>915.0</v>
      </c>
      <c r="L940" s="252">
        <v>120.0</v>
      </c>
      <c r="M940" s="252">
        <v>20069.0</v>
      </c>
      <c r="N940" s="252">
        <v>36324.0</v>
      </c>
      <c r="O940" s="252">
        <v>6.0</v>
      </c>
      <c r="P940" s="252">
        <v>32.0</v>
      </c>
      <c r="Q940" s="252">
        <v>3634.0</v>
      </c>
      <c r="R940" s="251" t="s">
        <v>1099</v>
      </c>
      <c r="S940" s="251" t="s">
        <v>1122</v>
      </c>
      <c r="T940" s="251" t="s">
        <v>1123</v>
      </c>
      <c r="U940" s="252">
        <v>14.0</v>
      </c>
      <c r="V940" s="252">
        <v>48.0</v>
      </c>
      <c r="W940" s="252">
        <v>5.0</v>
      </c>
      <c r="X940" s="251" t="s">
        <v>1132</v>
      </c>
      <c r="Y940" s="251" t="s">
        <v>5896</v>
      </c>
      <c r="Z940" s="251" t="s">
        <v>5897</v>
      </c>
      <c r="AA940" s="254" t="s">
        <v>1105</v>
      </c>
      <c r="AB940" s="254" t="s">
        <v>1105</v>
      </c>
    </row>
    <row r="941">
      <c r="A941" s="252">
        <v>940.0</v>
      </c>
      <c r="B941" s="251" t="s">
        <v>5898</v>
      </c>
      <c r="C941" s="252">
        <v>1.0</v>
      </c>
      <c r="D941" s="251" t="s">
        <v>5899</v>
      </c>
      <c r="E941" s="251" t="s">
        <v>1294</v>
      </c>
      <c r="F941" s="251" t="s">
        <v>1119</v>
      </c>
      <c r="G941" s="253" t="s">
        <v>5900</v>
      </c>
      <c r="H941" s="252">
        <v>4.0</v>
      </c>
      <c r="I941" s="251" t="s">
        <v>1098</v>
      </c>
      <c r="J941" s="252">
        <v>12.0</v>
      </c>
      <c r="K941" s="252">
        <v>933.0</v>
      </c>
      <c r="L941" s="252">
        <v>120.0</v>
      </c>
      <c r="M941" s="252">
        <v>12172.0</v>
      </c>
      <c r="N941" s="252">
        <v>18988.0</v>
      </c>
      <c r="O941" s="252">
        <v>2.0</v>
      </c>
      <c r="P941" s="252">
        <v>64.0</v>
      </c>
      <c r="Q941" s="252">
        <v>2890.0</v>
      </c>
      <c r="R941" s="251" t="s">
        <v>1141</v>
      </c>
      <c r="S941" s="251" t="s">
        <v>1122</v>
      </c>
      <c r="T941" s="251" t="s">
        <v>1101</v>
      </c>
      <c r="U941" s="252">
        <v>16.0</v>
      </c>
      <c r="V941" s="252">
        <v>16.0</v>
      </c>
      <c r="W941" s="252">
        <v>5.5</v>
      </c>
      <c r="X941" s="251" t="s">
        <v>1113</v>
      </c>
      <c r="Y941" s="251" t="s">
        <v>5901</v>
      </c>
      <c r="Z941" s="251" t="s">
        <v>5902</v>
      </c>
      <c r="AA941" s="254" t="s">
        <v>1105</v>
      </c>
      <c r="AB941" s="254" t="s">
        <v>1105</v>
      </c>
    </row>
    <row r="942">
      <c r="A942" s="252">
        <v>941.0</v>
      </c>
      <c r="B942" s="251" t="s">
        <v>5903</v>
      </c>
      <c r="C942" s="252">
        <v>1.0</v>
      </c>
      <c r="D942" s="251" t="s">
        <v>5904</v>
      </c>
      <c r="E942" s="251" t="s">
        <v>1178</v>
      </c>
      <c r="F942" s="251" t="s">
        <v>1119</v>
      </c>
      <c r="G942" s="253" t="s">
        <v>5905</v>
      </c>
      <c r="H942" s="252">
        <v>5.0</v>
      </c>
      <c r="I942" s="251" t="s">
        <v>1098</v>
      </c>
      <c r="J942" s="252">
        <v>12.0</v>
      </c>
      <c r="K942" s="252">
        <v>560.0</v>
      </c>
      <c r="L942" s="252">
        <v>100.0</v>
      </c>
      <c r="M942" s="252">
        <v>13765.0</v>
      </c>
      <c r="N942" s="252">
        <v>18445.0</v>
      </c>
      <c r="O942" s="252">
        <v>2.0</v>
      </c>
      <c r="P942" s="252">
        <v>64.0</v>
      </c>
      <c r="Q942" s="252">
        <v>5632.0</v>
      </c>
      <c r="R942" s="251" t="s">
        <v>1141</v>
      </c>
      <c r="S942" s="251" t="s">
        <v>1100</v>
      </c>
      <c r="T942" s="251" t="s">
        <v>1101</v>
      </c>
      <c r="U942" s="252">
        <v>48.0</v>
      </c>
      <c r="V942" s="252">
        <v>48.0</v>
      </c>
      <c r="W942" s="252">
        <v>6.3</v>
      </c>
      <c r="X942" s="251" t="s">
        <v>1147</v>
      </c>
      <c r="Y942" s="251" t="s">
        <v>5906</v>
      </c>
      <c r="Z942" s="251" t="s">
        <v>5907</v>
      </c>
      <c r="AA942" s="254" t="s">
        <v>1105</v>
      </c>
      <c r="AB942" s="254" t="s">
        <v>1105</v>
      </c>
    </row>
    <row r="943">
      <c r="A943" s="252">
        <v>942.0</v>
      </c>
      <c r="B943" s="251" t="s">
        <v>5908</v>
      </c>
      <c r="C943" s="252">
        <v>1.0</v>
      </c>
      <c r="D943" s="251" t="s">
        <v>5909</v>
      </c>
      <c r="E943" s="251" t="s">
        <v>1712</v>
      </c>
      <c r="F943" s="251" t="s">
        <v>1109</v>
      </c>
      <c r="G943" s="253" t="s">
        <v>4282</v>
      </c>
      <c r="H943" s="252">
        <v>2.0</v>
      </c>
      <c r="I943" s="251" t="s">
        <v>1121</v>
      </c>
      <c r="J943" s="252">
        <v>8.0</v>
      </c>
      <c r="K943" s="252">
        <v>505.0</v>
      </c>
      <c r="L943" s="252">
        <v>80.0</v>
      </c>
      <c r="M943" s="252">
        <v>18283.0</v>
      </c>
      <c r="N943" s="252">
        <v>28521.0</v>
      </c>
      <c r="O943" s="252">
        <v>12.0</v>
      </c>
      <c r="P943" s="252">
        <v>8.0</v>
      </c>
      <c r="Q943" s="252">
        <v>2734.0</v>
      </c>
      <c r="R943" s="251" t="s">
        <v>1099</v>
      </c>
      <c r="S943" s="251" t="s">
        <v>1122</v>
      </c>
      <c r="T943" s="251" t="s">
        <v>1123</v>
      </c>
      <c r="U943" s="252">
        <v>48.0</v>
      </c>
      <c r="V943" s="252">
        <v>14.0</v>
      </c>
      <c r="W943" s="252">
        <v>4.7</v>
      </c>
      <c r="X943" s="251" t="s">
        <v>1113</v>
      </c>
      <c r="Y943" s="251" t="s">
        <v>5910</v>
      </c>
      <c r="Z943" s="251" t="s">
        <v>5911</v>
      </c>
      <c r="AA943" s="254" t="s">
        <v>1105</v>
      </c>
      <c r="AB943" s="254" t="s">
        <v>1105</v>
      </c>
    </row>
    <row r="944">
      <c r="A944" s="252">
        <v>943.0</v>
      </c>
      <c r="B944" s="251" t="s">
        <v>5912</v>
      </c>
      <c r="C944" s="252">
        <v>1.0</v>
      </c>
      <c r="D944" s="251" t="s">
        <v>5913</v>
      </c>
      <c r="E944" s="251" t="s">
        <v>1208</v>
      </c>
      <c r="F944" s="251" t="s">
        <v>1109</v>
      </c>
      <c r="G944" s="253" t="s">
        <v>5914</v>
      </c>
      <c r="H944" s="252">
        <v>5.0</v>
      </c>
      <c r="I944" s="251" t="s">
        <v>1111</v>
      </c>
      <c r="J944" s="252">
        <v>10.0</v>
      </c>
      <c r="K944" s="252">
        <v>922.0</v>
      </c>
      <c r="L944" s="252">
        <v>100.0</v>
      </c>
      <c r="M944" s="252">
        <v>7065.0</v>
      </c>
      <c r="N944" s="252">
        <v>9325.0</v>
      </c>
      <c r="O944" s="252">
        <v>12.0</v>
      </c>
      <c r="P944" s="252">
        <v>8.0</v>
      </c>
      <c r="Q944" s="252">
        <v>6291.0</v>
      </c>
      <c r="R944" s="251" t="s">
        <v>1099</v>
      </c>
      <c r="S944" s="251" t="s">
        <v>1100</v>
      </c>
      <c r="T944" s="251" t="s">
        <v>1123</v>
      </c>
      <c r="U944" s="252">
        <v>14.0</v>
      </c>
      <c r="V944" s="252">
        <v>12.0</v>
      </c>
      <c r="W944" s="252">
        <v>5.2</v>
      </c>
      <c r="X944" s="251" t="s">
        <v>1102</v>
      </c>
      <c r="Y944" s="251" t="s">
        <v>5915</v>
      </c>
      <c r="Z944" s="251" t="s">
        <v>5916</v>
      </c>
      <c r="AA944" s="254" t="s">
        <v>1105</v>
      </c>
      <c r="AB944" s="254" t="s">
        <v>1105</v>
      </c>
    </row>
    <row r="945">
      <c r="A945" s="252">
        <v>944.0</v>
      </c>
      <c r="B945" s="251" t="s">
        <v>5917</v>
      </c>
      <c r="C945" s="252">
        <v>1.0</v>
      </c>
      <c r="D945" s="251" t="s">
        <v>5918</v>
      </c>
      <c r="E945" s="251" t="s">
        <v>1627</v>
      </c>
      <c r="F945" s="251" t="s">
        <v>1160</v>
      </c>
      <c r="G945" s="253" t="s">
        <v>5919</v>
      </c>
      <c r="H945" s="252">
        <v>3.0</v>
      </c>
      <c r="I945" s="251" t="s">
        <v>1111</v>
      </c>
      <c r="J945" s="252">
        <v>8.0</v>
      </c>
      <c r="K945" s="252">
        <v>952.0</v>
      </c>
      <c r="L945" s="252">
        <v>80.0</v>
      </c>
      <c r="M945" s="252">
        <v>21557.0</v>
      </c>
      <c r="N945" s="252">
        <v>31473.0</v>
      </c>
      <c r="O945" s="252">
        <v>4.0</v>
      </c>
      <c r="P945" s="252">
        <v>128.0</v>
      </c>
      <c r="Q945" s="252">
        <v>4640.0</v>
      </c>
      <c r="R945" s="251" t="s">
        <v>1112</v>
      </c>
      <c r="S945" s="251" t="s">
        <v>1100</v>
      </c>
      <c r="T945" s="251" t="s">
        <v>1101</v>
      </c>
      <c r="U945" s="252">
        <v>32.0</v>
      </c>
      <c r="V945" s="252">
        <v>14.0</v>
      </c>
      <c r="W945" s="252">
        <v>5.2</v>
      </c>
      <c r="X945" s="251" t="s">
        <v>1113</v>
      </c>
      <c r="Y945" s="251" t="s">
        <v>5920</v>
      </c>
      <c r="Z945" s="251" t="s">
        <v>5921</v>
      </c>
      <c r="AA945" s="254" t="s">
        <v>1105</v>
      </c>
      <c r="AB945" s="254" t="s">
        <v>1105</v>
      </c>
    </row>
    <row r="946">
      <c r="A946" s="252">
        <v>945.0</v>
      </c>
      <c r="B946" s="251" t="s">
        <v>5922</v>
      </c>
      <c r="C946" s="252">
        <v>1.0</v>
      </c>
      <c r="D946" s="251" t="s">
        <v>5923</v>
      </c>
      <c r="E946" s="251" t="s">
        <v>1464</v>
      </c>
      <c r="F946" s="251" t="s">
        <v>1096</v>
      </c>
      <c r="G946" s="253" t="s">
        <v>5924</v>
      </c>
      <c r="H946" s="252">
        <v>3.0</v>
      </c>
      <c r="I946" s="251" t="s">
        <v>1140</v>
      </c>
      <c r="J946" s="252">
        <v>8.0</v>
      </c>
      <c r="K946" s="252">
        <v>78.0</v>
      </c>
      <c r="L946" s="252">
        <v>80.0</v>
      </c>
      <c r="M946" s="252">
        <v>7577.0</v>
      </c>
      <c r="N946" s="252">
        <v>10304.0</v>
      </c>
      <c r="O946" s="252">
        <v>8.0</v>
      </c>
      <c r="P946" s="252">
        <v>64.0</v>
      </c>
      <c r="Q946" s="252">
        <v>3986.0</v>
      </c>
      <c r="R946" s="251" t="s">
        <v>1099</v>
      </c>
      <c r="S946" s="251" t="s">
        <v>1100</v>
      </c>
      <c r="T946" s="251" t="s">
        <v>1021</v>
      </c>
      <c r="U946" s="252">
        <v>48.0</v>
      </c>
      <c r="V946" s="252">
        <v>12.0</v>
      </c>
      <c r="W946" s="252">
        <v>6.0</v>
      </c>
      <c r="X946" s="251" t="s">
        <v>1102</v>
      </c>
      <c r="Y946" s="251" t="s">
        <v>5925</v>
      </c>
      <c r="Z946" s="251" t="s">
        <v>5926</v>
      </c>
      <c r="AA946" s="254" t="s">
        <v>1105</v>
      </c>
      <c r="AB946" s="254" t="s">
        <v>1105</v>
      </c>
    </row>
    <row r="947">
      <c r="A947" s="252">
        <v>946.0</v>
      </c>
      <c r="B947" s="251" t="s">
        <v>5927</v>
      </c>
      <c r="C947" s="252">
        <v>1.0</v>
      </c>
      <c r="D947" s="251" t="s">
        <v>5928</v>
      </c>
      <c r="E947" s="251" t="s">
        <v>1615</v>
      </c>
      <c r="F947" s="251" t="s">
        <v>1202</v>
      </c>
      <c r="G947" s="253" t="s">
        <v>5929</v>
      </c>
      <c r="H947" s="252">
        <v>6.0</v>
      </c>
      <c r="I947" s="251" t="s">
        <v>1140</v>
      </c>
      <c r="J947" s="252">
        <v>10.0</v>
      </c>
      <c r="K947" s="252">
        <v>402.0</v>
      </c>
      <c r="L947" s="252">
        <v>80.0</v>
      </c>
      <c r="M947" s="252">
        <v>22292.0</v>
      </c>
      <c r="N947" s="252">
        <v>27642.0</v>
      </c>
      <c r="O947" s="252">
        <v>4.0</v>
      </c>
      <c r="P947" s="252">
        <v>512.0</v>
      </c>
      <c r="Q947" s="252">
        <v>5441.0</v>
      </c>
      <c r="R947" s="251" t="s">
        <v>1112</v>
      </c>
      <c r="S947" s="251" t="s">
        <v>1100</v>
      </c>
      <c r="T947" s="251" t="s">
        <v>1101</v>
      </c>
      <c r="U947" s="252">
        <v>14.0</v>
      </c>
      <c r="V947" s="252">
        <v>16.0</v>
      </c>
      <c r="W947" s="252">
        <v>5.0</v>
      </c>
      <c r="X947" s="251" t="s">
        <v>1102</v>
      </c>
      <c r="Y947" s="251" t="s">
        <v>5930</v>
      </c>
      <c r="Z947" s="251" t="s">
        <v>5931</v>
      </c>
      <c r="AA947" s="254" t="s">
        <v>1105</v>
      </c>
      <c r="AB947" s="254" t="s">
        <v>1105</v>
      </c>
    </row>
    <row r="948">
      <c r="A948" s="252">
        <v>947.0</v>
      </c>
      <c r="B948" s="251" t="s">
        <v>5932</v>
      </c>
      <c r="C948" s="252">
        <v>1.0</v>
      </c>
      <c r="D948" s="251" t="s">
        <v>5933</v>
      </c>
      <c r="E948" s="251" t="s">
        <v>1221</v>
      </c>
      <c r="F948" s="251" t="s">
        <v>1160</v>
      </c>
      <c r="G948" s="253" t="s">
        <v>5934</v>
      </c>
      <c r="H948" s="252">
        <v>4.0</v>
      </c>
      <c r="I948" s="251" t="s">
        <v>1140</v>
      </c>
      <c r="J948" s="252">
        <v>10.0</v>
      </c>
      <c r="K948" s="252">
        <v>715.0</v>
      </c>
      <c r="L948" s="252">
        <v>100.0</v>
      </c>
      <c r="M948" s="252">
        <v>22966.0</v>
      </c>
      <c r="N948" s="252">
        <v>29626.0</v>
      </c>
      <c r="O948" s="252">
        <v>12.0</v>
      </c>
      <c r="P948" s="252">
        <v>8.0</v>
      </c>
      <c r="Q948" s="252">
        <v>6051.0</v>
      </c>
      <c r="R948" s="251" t="s">
        <v>1099</v>
      </c>
      <c r="S948" s="251" t="s">
        <v>1122</v>
      </c>
      <c r="T948" s="251" t="s">
        <v>1123</v>
      </c>
      <c r="U948" s="252">
        <v>48.0</v>
      </c>
      <c r="V948" s="252">
        <v>14.0</v>
      </c>
      <c r="W948" s="252">
        <v>5.5</v>
      </c>
      <c r="X948" s="251" t="s">
        <v>1102</v>
      </c>
      <c r="Y948" s="251" t="s">
        <v>5935</v>
      </c>
      <c r="Z948" s="251" t="s">
        <v>5936</v>
      </c>
      <c r="AA948" s="254" t="s">
        <v>1105</v>
      </c>
      <c r="AB948" s="254" t="s">
        <v>1105</v>
      </c>
    </row>
    <row r="949">
      <c r="A949" s="252">
        <v>948.0</v>
      </c>
      <c r="B949" s="251" t="s">
        <v>5937</v>
      </c>
      <c r="C949" s="252">
        <v>1.0</v>
      </c>
      <c r="D949" s="251" t="s">
        <v>5938</v>
      </c>
      <c r="E949" s="251" t="s">
        <v>2114</v>
      </c>
      <c r="F949" s="251" t="s">
        <v>1138</v>
      </c>
      <c r="G949" s="253" t="s">
        <v>5939</v>
      </c>
      <c r="H949" s="252">
        <v>4.0</v>
      </c>
      <c r="I949" s="251" t="s">
        <v>1121</v>
      </c>
      <c r="J949" s="252">
        <v>12.0</v>
      </c>
      <c r="K949" s="252">
        <v>293.0</v>
      </c>
      <c r="L949" s="252">
        <v>100.0</v>
      </c>
      <c r="M949" s="252">
        <v>8038.0</v>
      </c>
      <c r="N949" s="252">
        <v>10610.0</v>
      </c>
      <c r="O949" s="252">
        <v>2.0</v>
      </c>
      <c r="P949" s="252">
        <v>128.0</v>
      </c>
      <c r="Q949" s="252">
        <v>3748.0</v>
      </c>
      <c r="R949" s="251" t="s">
        <v>1141</v>
      </c>
      <c r="S949" s="251" t="s">
        <v>1100</v>
      </c>
      <c r="T949" s="251" t="s">
        <v>1101</v>
      </c>
      <c r="U949" s="252">
        <v>12.0</v>
      </c>
      <c r="V949" s="252">
        <v>14.0</v>
      </c>
      <c r="W949" s="252">
        <v>4.7</v>
      </c>
      <c r="X949" s="251" t="s">
        <v>1102</v>
      </c>
      <c r="Y949" s="251" t="s">
        <v>5940</v>
      </c>
      <c r="Z949" s="251" t="s">
        <v>5941</v>
      </c>
      <c r="AA949" s="254" t="s">
        <v>1105</v>
      </c>
      <c r="AB949" s="254" t="s">
        <v>1105</v>
      </c>
    </row>
    <row r="950">
      <c r="A950" s="252">
        <v>949.0</v>
      </c>
      <c r="B950" s="251" t="s">
        <v>5942</v>
      </c>
      <c r="C950" s="252">
        <v>1.0</v>
      </c>
      <c r="D950" s="251" t="s">
        <v>5943</v>
      </c>
      <c r="E950" s="251" t="s">
        <v>1312</v>
      </c>
      <c r="F950" s="251" t="s">
        <v>1202</v>
      </c>
      <c r="G950" s="253" t="s">
        <v>5944</v>
      </c>
      <c r="H950" s="252">
        <v>4.0</v>
      </c>
      <c r="I950" s="251" t="s">
        <v>1140</v>
      </c>
      <c r="J950" s="252">
        <v>10.0</v>
      </c>
      <c r="K950" s="252">
        <v>494.0</v>
      </c>
      <c r="L950" s="252">
        <v>120.0</v>
      </c>
      <c r="M950" s="252">
        <v>12090.0</v>
      </c>
      <c r="N950" s="252">
        <v>17288.0</v>
      </c>
      <c r="O950" s="252">
        <v>6.0</v>
      </c>
      <c r="P950" s="252">
        <v>32.0</v>
      </c>
      <c r="Q950" s="252">
        <v>3318.0</v>
      </c>
      <c r="R950" s="251" t="s">
        <v>1099</v>
      </c>
      <c r="S950" s="251" t="s">
        <v>1122</v>
      </c>
      <c r="T950" s="251" t="s">
        <v>1101</v>
      </c>
      <c r="U950" s="252">
        <v>16.0</v>
      </c>
      <c r="V950" s="252">
        <v>32.0</v>
      </c>
      <c r="W950" s="252">
        <v>4.7</v>
      </c>
      <c r="X950" s="251" t="s">
        <v>1132</v>
      </c>
      <c r="Y950" s="251" t="s">
        <v>5945</v>
      </c>
      <c r="Z950" s="251" t="s">
        <v>5946</v>
      </c>
      <c r="AA950" s="254" t="s">
        <v>1105</v>
      </c>
      <c r="AB950" s="254" t="s">
        <v>1105</v>
      </c>
    </row>
    <row r="951">
      <c r="A951" s="252">
        <v>950.0</v>
      </c>
      <c r="B951" s="251" t="s">
        <v>5947</v>
      </c>
      <c r="C951" s="252">
        <v>1.0</v>
      </c>
      <c r="D951" s="251" t="s">
        <v>5948</v>
      </c>
      <c r="E951" s="251" t="s">
        <v>1323</v>
      </c>
      <c r="F951" s="251" t="s">
        <v>1233</v>
      </c>
      <c r="G951" s="253" t="s">
        <v>5949</v>
      </c>
      <c r="H951" s="252">
        <v>2.0</v>
      </c>
      <c r="I951" s="251" t="s">
        <v>1131</v>
      </c>
      <c r="J951" s="252">
        <v>10.0</v>
      </c>
      <c r="K951" s="252">
        <v>400.0</v>
      </c>
      <c r="L951" s="252">
        <v>80.0</v>
      </c>
      <c r="M951" s="252">
        <v>14088.0</v>
      </c>
      <c r="N951" s="252">
        <v>18314.0</v>
      </c>
      <c r="O951" s="252">
        <v>12.0</v>
      </c>
      <c r="P951" s="252">
        <v>128.0</v>
      </c>
      <c r="Q951" s="252">
        <v>4053.0</v>
      </c>
      <c r="R951" s="251" t="s">
        <v>1112</v>
      </c>
      <c r="S951" s="251" t="s">
        <v>1122</v>
      </c>
      <c r="T951" s="251" t="s">
        <v>1123</v>
      </c>
      <c r="U951" s="252">
        <v>32.0</v>
      </c>
      <c r="V951" s="252">
        <v>14.0</v>
      </c>
      <c r="W951" s="252">
        <v>4.7</v>
      </c>
      <c r="X951" s="251" t="s">
        <v>1102</v>
      </c>
      <c r="Y951" s="251" t="s">
        <v>5950</v>
      </c>
      <c r="Z951" s="251" t="s">
        <v>5951</v>
      </c>
      <c r="AA951" s="254" t="s">
        <v>1105</v>
      </c>
      <c r="AB951" s="254" t="s">
        <v>1105</v>
      </c>
    </row>
    <row r="952">
      <c r="A952" s="252">
        <v>951.0</v>
      </c>
      <c r="B952" s="251" t="s">
        <v>5952</v>
      </c>
      <c r="C952" s="252">
        <v>1.0</v>
      </c>
      <c r="D952" s="251" t="s">
        <v>5953</v>
      </c>
      <c r="E952" s="251" t="s">
        <v>1667</v>
      </c>
      <c r="F952" s="251" t="s">
        <v>1129</v>
      </c>
      <c r="G952" s="253" t="s">
        <v>5954</v>
      </c>
      <c r="H952" s="252">
        <v>2.0</v>
      </c>
      <c r="I952" s="251" t="s">
        <v>1098</v>
      </c>
      <c r="J952" s="252">
        <v>8.0</v>
      </c>
      <c r="K952" s="252">
        <v>344.0</v>
      </c>
      <c r="L952" s="252">
        <v>80.0</v>
      </c>
      <c r="M952" s="252">
        <v>9875.0</v>
      </c>
      <c r="N952" s="252">
        <v>13923.0</v>
      </c>
      <c r="O952" s="252">
        <v>6.0</v>
      </c>
      <c r="P952" s="252">
        <v>64.0</v>
      </c>
      <c r="Q952" s="252">
        <v>6379.0</v>
      </c>
      <c r="R952" s="251" t="s">
        <v>1099</v>
      </c>
      <c r="S952" s="251" t="s">
        <v>1122</v>
      </c>
      <c r="T952" s="251" t="s">
        <v>1123</v>
      </c>
      <c r="U952" s="252">
        <v>14.0</v>
      </c>
      <c r="V952" s="252">
        <v>32.0</v>
      </c>
      <c r="W952" s="252">
        <v>5.2</v>
      </c>
      <c r="X952" s="251" t="s">
        <v>1102</v>
      </c>
      <c r="Y952" s="251" t="s">
        <v>5955</v>
      </c>
      <c r="Z952" s="251" t="s">
        <v>5956</v>
      </c>
      <c r="AA952" s="254" t="s">
        <v>1105</v>
      </c>
      <c r="AB952" s="254" t="s">
        <v>1105</v>
      </c>
    </row>
    <row r="953">
      <c r="A953" s="252">
        <v>952.0</v>
      </c>
      <c r="B953" s="251" t="s">
        <v>5957</v>
      </c>
      <c r="C953" s="252">
        <v>1.0</v>
      </c>
      <c r="D953" s="251" t="s">
        <v>5958</v>
      </c>
      <c r="E953" s="251" t="s">
        <v>1621</v>
      </c>
      <c r="F953" s="251" t="s">
        <v>1138</v>
      </c>
      <c r="G953" s="253" t="s">
        <v>5959</v>
      </c>
      <c r="H953" s="252">
        <v>4.0</v>
      </c>
      <c r="I953" s="251" t="s">
        <v>1098</v>
      </c>
      <c r="J953" s="252">
        <v>12.0</v>
      </c>
      <c r="K953" s="252">
        <v>203.0</v>
      </c>
      <c r="L953" s="252">
        <v>80.0</v>
      </c>
      <c r="M953" s="252">
        <v>16783.0</v>
      </c>
      <c r="N953" s="252">
        <v>26517.0</v>
      </c>
      <c r="O953" s="252">
        <v>8.0</v>
      </c>
      <c r="P953" s="252">
        <v>8.0</v>
      </c>
      <c r="Q953" s="252">
        <v>5774.0</v>
      </c>
      <c r="R953" s="251" t="s">
        <v>1099</v>
      </c>
      <c r="S953" s="251" t="s">
        <v>1100</v>
      </c>
      <c r="T953" s="251" t="s">
        <v>1021</v>
      </c>
      <c r="U953" s="252">
        <v>16.0</v>
      </c>
      <c r="V953" s="252">
        <v>16.0</v>
      </c>
      <c r="W953" s="252">
        <v>5.5</v>
      </c>
      <c r="X953" s="251" t="s">
        <v>1102</v>
      </c>
      <c r="Y953" s="251" t="s">
        <v>5960</v>
      </c>
      <c r="Z953" s="251" t="s">
        <v>5961</v>
      </c>
      <c r="AA953" s="254" t="s">
        <v>1105</v>
      </c>
      <c r="AB953" s="254" t="s">
        <v>1105</v>
      </c>
    </row>
    <row r="954">
      <c r="A954" s="252">
        <v>953.0</v>
      </c>
      <c r="B954" s="251" t="s">
        <v>5962</v>
      </c>
      <c r="C954" s="252">
        <v>1.0</v>
      </c>
      <c r="D954" s="251" t="s">
        <v>5963</v>
      </c>
      <c r="E954" s="251" t="s">
        <v>1178</v>
      </c>
      <c r="F954" s="251" t="s">
        <v>1119</v>
      </c>
      <c r="G954" s="253" t="s">
        <v>5964</v>
      </c>
      <c r="H954" s="252">
        <v>2.0</v>
      </c>
      <c r="I954" s="251" t="s">
        <v>1121</v>
      </c>
      <c r="J954" s="252">
        <v>10.0</v>
      </c>
      <c r="K954" s="252">
        <v>622.0</v>
      </c>
      <c r="L954" s="252">
        <v>120.0</v>
      </c>
      <c r="M954" s="252">
        <v>13339.0</v>
      </c>
      <c r="N954" s="252">
        <v>17207.0</v>
      </c>
      <c r="O954" s="252">
        <v>12.0</v>
      </c>
      <c r="P954" s="252">
        <v>512.0</v>
      </c>
      <c r="Q954" s="252">
        <v>2930.0</v>
      </c>
      <c r="R954" s="251" t="s">
        <v>1141</v>
      </c>
      <c r="S954" s="251" t="s">
        <v>1100</v>
      </c>
      <c r="T954" s="251" t="s">
        <v>1123</v>
      </c>
      <c r="U954" s="252">
        <v>12.0</v>
      </c>
      <c r="V954" s="252">
        <v>12.0</v>
      </c>
      <c r="W954" s="252">
        <v>6.3</v>
      </c>
      <c r="X954" s="251" t="s">
        <v>1132</v>
      </c>
      <c r="Y954" s="251" t="s">
        <v>5965</v>
      </c>
      <c r="Z954" s="251" t="s">
        <v>5966</v>
      </c>
      <c r="AA954" s="254" t="s">
        <v>1105</v>
      </c>
      <c r="AB954" s="254" t="s">
        <v>1105</v>
      </c>
    </row>
    <row r="955">
      <c r="A955" s="252">
        <v>954.0</v>
      </c>
      <c r="B955" s="251" t="s">
        <v>5967</v>
      </c>
      <c r="C955" s="252">
        <v>1.0</v>
      </c>
      <c r="D955" s="251" t="s">
        <v>5968</v>
      </c>
      <c r="E955" s="251" t="s">
        <v>1221</v>
      </c>
      <c r="F955" s="251" t="s">
        <v>1160</v>
      </c>
      <c r="G955" s="253" t="s">
        <v>5969</v>
      </c>
      <c r="H955" s="252">
        <v>5.0</v>
      </c>
      <c r="I955" s="251" t="s">
        <v>1131</v>
      </c>
      <c r="J955" s="252">
        <v>8.0</v>
      </c>
      <c r="K955" s="252">
        <v>837.0</v>
      </c>
      <c r="L955" s="252">
        <v>120.0</v>
      </c>
      <c r="M955" s="252">
        <v>9730.0</v>
      </c>
      <c r="N955" s="252">
        <v>16735.0</v>
      </c>
      <c r="O955" s="252">
        <v>6.0</v>
      </c>
      <c r="P955" s="252">
        <v>128.0</v>
      </c>
      <c r="Q955" s="252">
        <v>6039.0</v>
      </c>
      <c r="R955" s="251" t="s">
        <v>1112</v>
      </c>
      <c r="S955" s="251" t="s">
        <v>1122</v>
      </c>
      <c r="T955" s="251" t="s">
        <v>1123</v>
      </c>
      <c r="U955" s="252">
        <v>16.0</v>
      </c>
      <c r="V955" s="252">
        <v>12.0</v>
      </c>
      <c r="W955" s="252">
        <v>6.0</v>
      </c>
      <c r="X955" s="251" t="s">
        <v>1102</v>
      </c>
      <c r="Y955" s="251" t="s">
        <v>5970</v>
      </c>
      <c r="Z955" s="251" t="s">
        <v>5971</v>
      </c>
      <c r="AA955" s="254" t="s">
        <v>1105</v>
      </c>
      <c r="AB955" s="254" t="s">
        <v>1105</v>
      </c>
    </row>
    <row r="956">
      <c r="A956" s="252">
        <v>955.0</v>
      </c>
      <c r="B956" s="251" t="s">
        <v>5972</v>
      </c>
      <c r="C956" s="252">
        <v>1.0</v>
      </c>
      <c r="D956" s="251" t="s">
        <v>5973</v>
      </c>
      <c r="E956" s="251" t="s">
        <v>1393</v>
      </c>
      <c r="F956" s="251" t="s">
        <v>1160</v>
      </c>
      <c r="G956" s="253" t="s">
        <v>5974</v>
      </c>
      <c r="H956" s="252">
        <v>5.0</v>
      </c>
      <c r="I956" s="251" t="s">
        <v>1131</v>
      </c>
      <c r="J956" s="252">
        <v>12.0</v>
      </c>
      <c r="K956" s="252">
        <v>377.0</v>
      </c>
      <c r="L956" s="252">
        <v>120.0</v>
      </c>
      <c r="M956" s="252">
        <v>11492.0</v>
      </c>
      <c r="N956" s="252">
        <v>17352.0</v>
      </c>
      <c r="O956" s="252">
        <v>6.0</v>
      </c>
      <c r="P956" s="252">
        <v>16.0</v>
      </c>
      <c r="Q956" s="252">
        <v>2290.0</v>
      </c>
      <c r="R956" s="251" t="s">
        <v>1141</v>
      </c>
      <c r="S956" s="251" t="s">
        <v>1100</v>
      </c>
      <c r="T956" s="251" t="s">
        <v>1101</v>
      </c>
      <c r="U956" s="252">
        <v>16.0</v>
      </c>
      <c r="V956" s="252">
        <v>16.0</v>
      </c>
      <c r="W956" s="252">
        <v>6.0</v>
      </c>
      <c r="X956" s="251" t="s">
        <v>1132</v>
      </c>
      <c r="Y956" s="251" t="s">
        <v>5975</v>
      </c>
      <c r="Z956" s="251" t="s">
        <v>5976</v>
      </c>
      <c r="AA956" s="254" t="s">
        <v>1105</v>
      </c>
      <c r="AB956" s="254" t="s">
        <v>1105</v>
      </c>
    </row>
    <row r="957">
      <c r="A957" s="252">
        <v>956.0</v>
      </c>
      <c r="B957" s="251" t="s">
        <v>5977</v>
      </c>
      <c r="C957" s="252">
        <v>1.0</v>
      </c>
      <c r="D957" s="251" t="s">
        <v>5978</v>
      </c>
      <c r="E957" s="251" t="s">
        <v>1621</v>
      </c>
      <c r="F957" s="251" t="s">
        <v>1138</v>
      </c>
      <c r="G957" s="253" t="s">
        <v>5979</v>
      </c>
      <c r="H957" s="252">
        <v>4.0</v>
      </c>
      <c r="I957" s="251" t="s">
        <v>1098</v>
      </c>
      <c r="J957" s="252">
        <v>10.0</v>
      </c>
      <c r="K957" s="252">
        <v>454.0</v>
      </c>
      <c r="L957" s="252">
        <v>120.0</v>
      </c>
      <c r="M957" s="252">
        <v>19727.0</v>
      </c>
      <c r="N957" s="252">
        <v>24658.0</v>
      </c>
      <c r="O957" s="252">
        <v>2.0</v>
      </c>
      <c r="P957" s="252">
        <v>512.0</v>
      </c>
      <c r="Q957" s="252">
        <v>5140.0</v>
      </c>
      <c r="R957" s="251" t="s">
        <v>1099</v>
      </c>
      <c r="S957" s="251" t="s">
        <v>1100</v>
      </c>
      <c r="T957" s="251" t="s">
        <v>1101</v>
      </c>
      <c r="U957" s="252">
        <v>16.0</v>
      </c>
      <c r="V957" s="252">
        <v>16.0</v>
      </c>
      <c r="W957" s="252">
        <v>5.0</v>
      </c>
      <c r="X957" s="251" t="s">
        <v>1113</v>
      </c>
      <c r="Y957" s="251" t="s">
        <v>5980</v>
      </c>
      <c r="Z957" s="251" t="s">
        <v>5981</v>
      </c>
      <c r="AA957" s="254" t="s">
        <v>1105</v>
      </c>
      <c r="AB957" s="254" t="s">
        <v>1105</v>
      </c>
    </row>
    <row r="958">
      <c r="A958" s="252">
        <v>957.0</v>
      </c>
      <c r="B958" s="251" t="s">
        <v>5982</v>
      </c>
      <c r="C958" s="252">
        <v>1.0</v>
      </c>
      <c r="D958" s="251" t="s">
        <v>5983</v>
      </c>
      <c r="E958" s="251" t="s">
        <v>1842</v>
      </c>
      <c r="F958" s="251" t="s">
        <v>1160</v>
      </c>
      <c r="G958" s="253" t="s">
        <v>5984</v>
      </c>
      <c r="H958" s="252">
        <v>5.0</v>
      </c>
      <c r="I958" s="251" t="s">
        <v>1140</v>
      </c>
      <c r="J958" s="252">
        <v>8.0</v>
      </c>
      <c r="K958" s="252">
        <v>604.0</v>
      </c>
      <c r="L958" s="252">
        <v>100.0</v>
      </c>
      <c r="M958" s="252">
        <v>5060.0</v>
      </c>
      <c r="N958" s="252">
        <v>7640.0</v>
      </c>
      <c r="O958" s="252">
        <v>4.0</v>
      </c>
      <c r="P958" s="252">
        <v>512.0</v>
      </c>
      <c r="Q958" s="252">
        <v>6479.0</v>
      </c>
      <c r="R958" s="251" t="s">
        <v>1099</v>
      </c>
      <c r="S958" s="251" t="s">
        <v>1122</v>
      </c>
      <c r="T958" s="251" t="s">
        <v>1021</v>
      </c>
      <c r="U958" s="252">
        <v>12.0</v>
      </c>
      <c r="V958" s="252">
        <v>14.0</v>
      </c>
      <c r="W958" s="252">
        <v>6.3</v>
      </c>
      <c r="X958" s="251" t="s">
        <v>1113</v>
      </c>
      <c r="Y958" s="251" t="s">
        <v>5985</v>
      </c>
      <c r="Z958" s="251" t="s">
        <v>5986</v>
      </c>
      <c r="AA958" s="254" t="s">
        <v>1105</v>
      </c>
      <c r="AB958" s="254" t="s">
        <v>1105</v>
      </c>
    </row>
    <row r="959">
      <c r="A959" s="252">
        <v>958.0</v>
      </c>
      <c r="B959" s="251" t="s">
        <v>5987</v>
      </c>
      <c r="C959" s="252">
        <v>1.0</v>
      </c>
      <c r="D959" s="251" t="s">
        <v>5988</v>
      </c>
      <c r="E959" s="251" t="s">
        <v>2209</v>
      </c>
      <c r="F959" s="251" t="s">
        <v>1096</v>
      </c>
      <c r="G959" s="253" t="s">
        <v>5989</v>
      </c>
      <c r="H959" s="252">
        <v>6.0</v>
      </c>
      <c r="I959" s="251" t="s">
        <v>1121</v>
      </c>
      <c r="J959" s="252">
        <v>8.0</v>
      </c>
      <c r="K959" s="252">
        <v>558.0</v>
      </c>
      <c r="L959" s="252">
        <v>80.0</v>
      </c>
      <c r="M959" s="252">
        <v>8431.0</v>
      </c>
      <c r="N959" s="252">
        <v>12140.0</v>
      </c>
      <c r="O959" s="252">
        <v>4.0</v>
      </c>
      <c r="P959" s="252">
        <v>16.0</v>
      </c>
      <c r="Q959" s="252">
        <v>3707.0</v>
      </c>
      <c r="R959" s="251" t="s">
        <v>1099</v>
      </c>
      <c r="S959" s="251" t="s">
        <v>1100</v>
      </c>
      <c r="T959" s="251" t="s">
        <v>1101</v>
      </c>
      <c r="U959" s="252">
        <v>32.0</v>
      </c>
      <c r="V959" s="252">
        <v>12.0</v>
      </c>
      <c r="W959" s="252">
        <v>5.2</v>
      </c>
      <c r="X959" s="251" t="s">
        <v>1132</v>
      </c>
      <c r="Y959" s="251" t="s">
        <v>5990</v>
      </c>
      <c r="Z959" s="251" t="s">
        <v>5991</v>
      </c>
      <c r="AA959" s="254" t="s">
        <v>1105</v>
      </c>
      <c r="AB959" s="254" t="s">
        <v>1105</v>
      </c>
    </row>
    <row r="960">
      <c r="A960" s="252">
        <v>959.0</v>
      </c>
      <c r="B960" s="251" t="s">
        <v>5992</v>
      </c>
      <c r="C960" s="252">
        <v>1.0</v>
      </c>
      <c r="D960" s="251" t="s">
        <v>5993</v>
      </c>
      <c r="E960" s="251" t="s">
        <v>1970</v>
      </c>
      <c r="F960" s="251" t="s">
        <v>1129</v>
      </c>
      <c r="G960" s="253" t="s">
        <v>5994</v>
      </c>
      <c r="H960" s="252">
        <v>5.0</v>
      </c>
      <c r="I960" s="251" t="s">
        <v>1098</v>
      </c>
      <c r="J960" s="252">
        <v>12.0</v>
      </c>
      <c r="K960" s="252">
        <v>649.0</v>
      </c>
      <c r="L960" s="252">
        <v>80.0</v>
      </c>
      <c r="M960" s="252">
        <v>8701.0</v>
      </c>
      <c r="N960" s="252">
        <v>14008.0</v>
      </c>
      <c r="O960" s="252">
        <v>8.0</v>
      </c>
      <c r="P960" s="252">
        <v>64.0</v>
      </c>
      <c r="Q960" s="252">
        <v>2820.0</v>
      </c>
      <c r="R960" s="251" t="s">
        <v>1099</v>
      </c>
      <c r="S960" s="251" t="s">
        <v>1100</v>
      </c>
      <c r="T960" s="251" t="s">
        <v>1123</v>
      </c>
      <c r="U960" s="252">
        <v>12.0</v>
      </c>
      <c r="V960" s="252">
        <v>32.0</v>
      </c>
      <c r="W960" s="252">
        <v>4.7</v>
      </c>
      <c r="X960" s="251" t="s">
        <v>1132</v>
      </c>
      <c r="Y960" s="251" t="s">
        <v>5995</v>
      </c>
      <c r="Z960" s="251" t="s">
        <v>5996</v>
      </c>
      <c r="AA960" s="254" t="s">
        <v>1105</v>
      </c>
      <c r="AB960" s="254" t="s">
        <v>1105</v>
      </c>
    </row>
    <row r="961">
      <c r="A961" s="252">
        <v>960.0</v>
      </c>
      <c r="B961" s="251" t="s">
        <v>5997</v>
      </c>
      <c r="C961" s="252">
        <v>1.0</v>
      </c>
      <c r="D961" s="251" t="s">
        <v>5998</v>
      </c>
      <c r="E961" s="251" t="s">
        <v>1848</v>
      </c>
      <c r="F961" s="251" t="s">
        <v>1233</v>
      </c>
      <c r="G961" s="253" t="s">
        <v>5999</v>
      </c>
      <c r="H961" s="252">
        <v>4.0</v>
      </c>
      <c r="I961" s="251" t="s">
        <v>1131</v>
      </c>
      <c r="J961" s="252">
        <v>10.0</v>
      </c>
      <c r="K961" s="252">
        <v>63.0</v>
      </c>
      <c r="L961" s="252">
        <v>80.0</v>
      </c>
      <c r="M961" s="252">
        <v>19524.0</v>
      </c>
      <c r="N961" s="252">
        <v>31238.0</v>
      </c>
      <c r="O961" s="252">
        <v>6.0</v>
      </c>
      <c r="P961" s="252">
        <v>512.0</v>
      </c>
      <c r="Q961" s="252">
        <v>5120.0</v>
      </c>
      <c r="R961" s="251" t="s">
        <v>1112</v>
      </c>
      <c r="S961" s="251" t="s">
        <v>1100</v>
      </c>
      <c r="T961" s="251" t="s">
        <v>1021</v>
      </c>
      <c r="U961" s="252">
        <v>32.0</v>
      </c>
      <c r="V961" s="252">
        <v>32.0</v>
      </c>
      <c r="W961" s="252">
        <v>4.7</v>
      </c>
      <c r="X961" s="251" t="s">
        <v>1147</v>
      </c>
      <c r="Y961" s="251" t="s">
        <v>6000</v>
      </c>
      <c r="Z961" s="251" t="s">
        <v>6001</v>
      </c>
      <c r="AA961" s="254" t="s">
        <v>1105</v>
      </c>
      <c r="AB961" s="254" t="s">
        <v>1105</v>
      </c>
    </row>
    <row r="962">
      <c r="A962" s="252">
        <v>961.0</v>
      </c>
      <c r="B962" s="251" t="s">
        <v>6002</v>
      </c>
      <c r="C962" s="252">
        <v>1.0</v>
      </c>
      <c r="D962" s="251" t="s">
        <v>6003</v>
      </c>
      <c r="E962" s="251" t="s">
        <v>1739</v>
      </c>
      <c r="F962" s="251" t="s">
        <v>1233</v>
      </c>
      <c r="G962" s="253" t="s">
        <v>6004</v>
      </c>
      <c r="H962" s="252">
        <v>4.0</v>
      </c>
      <c r="I962" s="251" t="s">
        <v>1131</v>
      </c>
      <c r="J962" s="252">
        <v>8.0</v>
      </c>
      <c r="K962" s="252">
        <v>145.0</v>
      </c>
      <c r="L962" s="252">
        <v>120.0</v>
      </c>
      <c r="M962" s="252">
        <v>9867.0</v>
      </c>
      <c r="N962" s="252">
        <v>13221.0</v>
      </c>
      <c r="O962" s="252">
        <v>4.0</v>
      </c>
      <c r="P962" s="252">
        <v>16.0</v>
      </c>
      <c r="Q962" s="252">
        <v>3686.0</v>
      </c>
      <c r="R962" s="251" t="s">
        <v>1099</v>
      </c>
      <c r="S962" s="251" t="s">
        <v>1122</v>
      </c>
      <c r="T962" s="251" t="s">
        <v>1123</v>
      </c>
      <c r="U962" s="252">
        <v>32.0</v>
      </c>
      <c r="V962" s="252">
        <v>48.0</v>
      </c>
      <c r="W962" s="252">
        <v>6.0</v>
      </c>
      <c r="X962" s="251" t="s">
        <v>1113</v>
      </c>
      <c r="Y962" s="251" t="s">
        <v>6005</v>
      </c>
      <c r="Z962" s="251" t="s">
        <v>6006</v>
      </c>
      <c r="AA962" s="254" t="s">
        <v>1105</v>
      </c>
      <c r="AB962" s="254" t="s">
        <v>1105</v>
      </c>
    </row>
    <row r="963">
      <c r="A963" s="252">
        <v>962.0</v>
      </c>
      <c r="B963" s="251" t="s">
        <v>6007</v>
      </c>
      <c r="C963" s="252">
        <v>1.0</v>
      </c>
      <c r="D963" s="251" t="s">
        <v>6008</v>
      </c>
      <c r="E963" s="251" t="s">
        <v>1329</v>
      </c>
      <c r="F963" s="251" t="s">
        <v>1109</v>
      </c>
      <c r="G963" s="253" t="s">
        <v>6009</v>
      </c>
      <c r="H963" s="252">
        <v>4.0</v>
      </c>
      <c r="I963" s="251" t="s">
        <v>1140</v>
      </c>
      <c r="J963" s="252">
        <v>12.0</v>
      </c>
      <c r="K963" s="252">
        <v>602.0</v>
      </c>
      <c r="L963" s="252">
        <v>120.0</v>
      </c>
      <c r="M963" s="252">
        <v>14775.0</v>
      </c>
      <c r="N963" s="252">
        <v>20241.0</v>
      </c>
      <c r="O963" s="252">
        <v>6.0</v>
      </c>
      <c r="P963" s="252">
        <v>16.0</v>
      </c>
      <c r="Q963" s="252">
        <v>2302.0</v>
      </c>
      <c r="R963" s="251" t="s">
        <v>1141</v>
      </c>
      <c r="S963" s="251" t="s">
        <v>1100</v>
      </c>
      <c r="T963" s="251" t="s">
        <v>1123</v>
      </c>
      <c r="U963" s="252">
        <v>32.0</v>
      </c>
      <c r="V963" s="252">
        <v>16.0</v>
      </c>
      <c r="W963" s="252">
        <v>4.7</v>
      </c>
      <c r="X963" s="251" t="s">
        <v>1132</v>
      </c>
      <c r="Y963" s="251" t="s">
        <v>6010</v>
      </c>
      <c r="Z963" s="251" t="s">
        <v>6011</v>
      </c>
      <c r="AA963" s="254" t="s">
        <v>1105</v>
      </c>
      <c r="AB963" s="254" t="s">
        <v>1105</v>
      </c>
    </row>
    <row r="964">
      <c r="A964" s="252">
        <v>963.0</v>
      </c>
      <c r="B964" s="251" t="s">
        <v>6012</v>
      </c>
      <c r="C964" s="252">
        <v>1.0</v>
      </c>
      <c r="D964" s="251" t="s">
        <v>6013</v>
      </c>
      <c r="E964" s="251" t="s">
        <v>1387</v>
      </c>
      <c r="F964" s="251" t="s">
        <v>1160</v>
      </c>
      <c r="G964" s="253" t="s">
        <v>6014</v>
      </c>
      <c r="H964" s="252">
        <v>3.0</v>
      </c>
      <c r="I964" s="251" t="s">
        <v>1131</v>
      </c>
      <c r="J964" s="252">
        <v>12.0</v>
      </c>
      <c r="K964" s="252">
        <v>570.0</v>
      </c>
      <c r="L964" s="252">
        <v>80.0</v>
      </c>
      <c r="M964" s="252">
        <v>8387.0</v>
      </c>
      <c r="N964" s="252">
        <v>13083.0</v>
      </c>
      <c r="O964" s="252">
        <v>12.0</v>
      </c>
      <c r="P964" s="252">
        <v>64.0</v>
      </c>
      <c r="Q964" s="252">
        <v>5599.0</v>
      </c>
      <c r="R964" s="251" t="s">
        <v>1141</v>
      </c>
      <c r="S964" s="251" t="s">
        <v>1100</v>
      </c>
      <c r="T964" s="251" t="s">
        <v>1123</v>
      </c>
      <c r="U964" s="252">
        <v>48.0</v>
      </c>
      <c r="V964" s="252">
        <v>14.0</v>
      </c>
      <c r="W964" s="252">
        <v>6.0</v>
      </c>
      <c r="X964" s="251" t="s">
        <v>1132</v>
      </c>
      <c r="Y964" s="251" t="s">
        <v>6015</v>
      </c>
      <c r="Z964" s="251" t="s">
        <v>6016</v>
      </c>
      <c r="AA964" s="254" t="s">
        <v>1105</v>
      </c>
      <c r="AB964" s="254" t="s">
        <v>1105</v>
      </c>
    </row>
    <row r="965">
      <c r="A965" s="252">
        <v>964.0</v>
      </c>
      <c r="B965" s="251" t="s">
        <v>6017</v>
      </c>
      <c r="C965" s="252">
        <v>1.0</v>
      </c>
      <c r="D965" s="251" t="s">
        <v>6018</v>
      </c>
      <c r="E965" s="251" t="s">
        <v>1272</v>
      </c>
      <c r="F965" s="251" t="s">
        <v>1233</v>
      </c>
      <c r="G965" s="253" t="s">
        <v>6019</v>
      </c>
      <c r="H965" s="252">
        <v>5.0</v>
      </c>
      <c r="I965" s="251" t="s">
        <v>1140</v>
      </c>
      <c r="J965" s="252">
        <v>12.0</v>
      </c>
      <c r="K965" s="252">
        <v>797.0</v>
      </c>
      <c r="L965" s="252">
        <v>120.0</v>
      </c>
      <c r="M965" s="252">
        <v>9906.0</v>
      </c>
      <c r="N965" s="252">
        <v>15849.0</v>
      </c>
      <c r="O965" s="252">
        <v>8.0</v>
      </c>
      <c r="P965" s="252">
        <v>64.0</v>
      </c>
      <c r="Q965" s="252">
        <v>4377.0</v>
      </c>
      <c r="R965" s="251" t="s">
        <v>1141</v>
      </c>
      <c r="S965" s="251" t="s">
        <v>1122</v>
      </c>
      <c r="T965" s="251" t="s">
        <v>1101</v>
      </c>
      <c r="U965" s="252">
        <v>16.0</v>
      </c>
      <c r="V965" s="252">
        <v>16.0</v>
      </c>
      <c r="W965" s="252">
        <v>5.5</v>
      </c>
      <c r="X965" s="251" t="s">
        <v>1132</v>
      </c>
      <c r="Y965" s="251" t="s">
        <v>6020</v>
      </c>
      <c r="Z965" s="251" t="s">
        <v>6021</v>
      </c>
      <c r="AA965" s="254" t="s">
        <v>1105</v>
      </c>
      <c r="AB965" s="254" t="s">
        <v>1105</v>
      </c>
    </row>
    <row r="966">
      <c r="A966" s="252">
        <v>965.0</v>
      </c>
      <c r="B966" s="251" t="s">
        <v>6022</v>
      </c>
      <c r="C966" s="252">
        <v>1.0</v>
      </c>
      <c r="D966" s="251" t="s">
        <v>6023</v>
      </c>
      <c r="E966" s="251" t="s">
        <v>1621</v>
      </c>
      <c r="F966" s="251" t="s">
        <v>1138</v>
      </c>
      <c r="G966" s="253" t="s">
        <v>6024</v>
      </c>
      <c r="H966" s="252">
        <v>2.0</v>
      </c>
      <c r="I966" s="251" t="s">
        <v>1121</v>
      </c>
      <c r="J966" s="252">
        <v>12.0</v>
      </c>
      <c r="K966" s="252">
        <v>545.0</v>
      </c>
      <c r="L966" s="252">
        <v>120.0</v>
      </c>
      <c r="M966" s="252">
        <v>3556.0</v>
      </c>
      <c r="N966" s="252">
        <v>6116.0</v>
      </c>
      <c r="O966" s="252">
        <v>4.0</v>
      </c>
      <c r="P966" s="252">
        <v>8.0</v>
      </c>
      <c r="Q966" s="252">
        <v>4023.0</v>
      </c>
      <c r="R966" s="251" t="s">
        <v>1099</v>
      </c>
      <c r="S966" s="251" t="s">
        <v>1100</v>
      </c>
      <c r="T966" s="251" t="s">
        <v>1021</v>
      </c>
      <c r="U966" s="252">
        <v>14.0</v>
      </c>
      <c r="V966" s="252">
        <v>48.0</v>
      </c>
      <c r="W966" s="252">
        <v>6.0</v>
      </c>
      <c r="X966" s="251" t="s">
        <v>1147</v>
      </c>
      <c r="Y966" s="251" t="s">
        <v>6025</v>
      </c>
      <c r="Z966" s="251" t="s">
        <v>6026</v>
      </c>
      <c r="AA966" s="254" t="s">
        <v>1105</v>
      </c>
      <c r="AB966" s="254" t="s">
        <v>1105</v>
      </c>
    </row>
    <row r="967">
      <c r="A967" s="252">
        <v>966.0</v>
      </c>
      <c r="B967" s="251" t="s">
        <v>6027</v>
      </c>
      <c r="C967" s="252">
        <v>1.0</v>
      </c>
      <c r="D967" s="251" t="s">
        <v>6028</v>
      </c>
      <c r="E967" s="251" t="s">
        <v>1842</v>
      </c>
      <c r="F967" s="251" t="s">
        <v>1160</v>
      </c>
      <c r="G967" s="253" t="s">
        <v>6029</v>
      </c>
      <c r="H967" s="252">
        <v>2.0</v>
      </c>
      <c r="I967" s="251" t="s">
        <v>1131</v>
      </c>
      <c r="J967" s="252">
        <v>12.0</v>
      </c>
      <c r="K967" s="252">
        <v>772.0</v>
      </c>
      <c r="L967" s="252">
        <v>120.0</v>
      </c>
      <c r="M967" s="252">
        <v>3801.0</v>
      </c>
      <c r="N967" s="252">
        <v>6005.0</v>
      </c>
      <c r="O967" s="252">
        <v>2.0</v>
      </c>
      <c r="P967" s="252">
        <v>512.0</v>
      </c>
      <c r="Q967" s="252">
        <v>6068.0</v>
      </c>
      <c r="R967" s="251" t="s">
        <v>1099</v>
      </c>
      <c r="S967" s="251" t="s">
        <v>1122</v>
      </c>
      <c r="T967" s="251" t="s">
        <v>1101</v>
      </c>
      <c r="U967" s="252">
        <v>14.0</v>
      </c>
      <c r="V967" s="252">
        <v>32.0</v>
      </c>
      <c r="W967" s="252">
        <v>6.0</v>
      </c>
      <c r="X967" s="251" t="s">
        <v>1113</v>
      </c>
      <c r="Y967" s="251" t="s">
        <v>6030</v>
      </c>
      <c r="Z967" s="251" t="s">
        <v>6031</v>
      </c>
      <c r="AA967" s="254" t="s">
        <v>1105</v>
      </c>
      <c r="AB967" s="254" t="s">
        <v>1105</v>
      </c>
    </row>
    <row r="968">
      <c r="A968" s="252">
        <v>967.0</v>
      </c>
      <c r="B968" s="251" t="s">
        <v>6032</v>
      </c>
      <c r="C968" s="252">
        <v>1.0</v>
      </c>
      <c r="D968" s="251" t="s">
        <v>6033</v>
      </c>
      <c r="E968" s="251" t="s">
        <v>1214</v>
      </c>
      <c r="F968" s="251" t="s">
        <v>1215</v>
      </c>
      <c r="G968" s="253" t="s">
        <v>6034</v>
      </c>
      <c r="H968" s="252">
        <v>5.0</v>
      </c>
      <c r="I968" s="251" t="s">
        <v>1131</v>
      </c>
      <c r="J968" s="252">
        <v>12.0</v>
      </c>
      <c r="K968" s="252">
        <v>26.0</v>
      </c>
      <c r="L968" s="252">
        <v>100.0</v>
      </c>
      <c r="M968" s="252">
        <v>5457.0</v>
      </c>
      <c r="N968" s="252">
        <v>7257.0</v>
      </c>
      <c r="O968" s="252">
        <v>4.0</v>
      </c>
      <c r="P968" s="252">
        <v>512.0</v>
      </c>
      <c r="Q968" s="252">
        <v>5683.0</v>
      </c>
      <c r="R968" s="251" t="s">
        <v>1112</v>
      </c>
      <c r="S968" s="251" t="s">
        <v>1100</v>
      </c>
      <c r="T968" s="251" t="s">
        <v>1021</v>
      </c>
      <c r="U968" s="252">
        <v>12.0</v>
      </c>
      <c r="V968" s="252">
        <v>32.0</v>
      </c>
      <c r="W968" s="252">
        <v>5.0</v>
      </c>
      <c r="X968" s="251" t="s">
        <v>1132</v>
      </c>
      <c r="Y968" s="251" t="s">
        <v>6035</v>
      </c>
      <c r="Z968" s="251" t="s">
        <v>6036</v>
      </c>
      <c r="AA968" s="254" t="s">
        <v>1105</v>
      </c>
      <c r="AB968" s="254" t="s">
        <v>1105</v>
      </c>
    </row>
    <row r="969">
      <c r="A969" s="252">
        <v>968.0</v>
      </c>
      <c r="B969" s="251" t="s">
        <v>6037</v>
      </c>
      <c r="C969" s="252">
        <v>1.0</v>
      </c>
      <c r="D969" s="251" t="s">
        <v>6038</v>
      </c>
      <c r="E969" s="251" t="s">
        <v>2399</v>
      </c>
      <c r="F969" s="251" t="s">
        <v>1215</v>
      </c>
      <c r="G969" s="253" t="s">
        <v>6039</v>
      </c>
      <c r="H969" s="252">
        <v>6.0</v>
      </c>
      <c r="I969" s="251" t="s">
        <v>1131</v>
      </c>
      <c r="J969" s="252">
        <v>10.0</v>
      </c>
      <c r="K969" s="252">
        <v>530.0</v>
      </c>
      <c r="L969" s="252">
        <v>100.0</v>
      </c>
      <c r="M969" s="252">
        <v>4986.0</v>
      </c>
      <c r="N969" s="252">
        <v>7528.0</v>
      </c>
      <c r="O969" s="252">
        <v>2.0</v>
      </c>
      <c r="P969" s="252">
        <v>32.0</v>
      </c>
      <c r="Q969" s="252">
        <v>1894.0</v>
      </c>
      <c r="R969" s="251" t="s">
        <v>1141</v>
      </c>
      <c r="S969" s="251" t="s">
        <v>1122</v>
      </c>
      <c r="T969" s="251" t="s">
        <v>1101</v>
      </c>
      <c r="U969" s="252">
        <v>14.0</v>
      </c>
      <c r="V969" s="252">
        <v>32.0</v>
      </c>
      <c r="W969" s="252">
        <v>5.2</v>
      </c>
      <c r="X969" s="251" t="s">
        <v>1147</v>
      </c>
      <c r="Y969" s="251" t="s">
        <v>6040</v>
      </c>
      <c r="Z969" s="251" t="s">
        <v>6041</v>
      </c>
      <c r="AA969" s="254" t="s">
        <v>1105</v>
      </c>
      <c r="AB969" s="254" t="s">
        <v>1105</v>
      </c>
    </row>
    <row r="970">
      <c r="A970" s="252">
        <v>969.0</v>
      </c>
      <c r="B970" s="251" t="s">
        <v>6042</v>
      </c>
      <c r="C970" s="252">
        <v>1.0</v>
      </c>
      <c r="D970" s="251" t="s">
        <v>6043</v>
      </c>
      <c r="E970" s="251" t="s">
        <v>1266</v>
      </c>
      <c r="F970" s="251" t="s">
        <v>1096</v>
      </c>
      <c r="G970" s="253" t="s">
        <v>6044</v>
      </c>
      <c r="H970" s="252">
        <v>2.0</v>
      </c>
      <c r="I970" s="251" t="s">
        <v>1131</v>
      </c>
      <c r="J970" s="252">
        <v>12.0</v>
      </c>
      <c r="K970" s="252">
        <v>721.0</v>
      </c>
      <c r="L970" s="252">
        <v>80.0</v>
      </c>
      <c r="M970" s="252">
        <v>4492.0</v>
      </c>
      <c r="N970" s="252">
        <v>5974.0</v>
      </c>
      <c r="O970" s="252">
        <v>4.0</v>
      </c>
      <c r="P970" s="252">
        <v>512.0</v>
      </c>
      <c r="Q970" s="252">
        <v>4832.0</v>
      </c>
      <c r="R970" s="251" t="s">
        <v>1112</v>
      </c>
      <c r="S970" s="251" t="s">
        <v>1122</v>
      </c>
      <c r="T970" s="251" t="s">
        <v>1123</v>
      </c>
      <c r="U970" s="252">
        <v>12.0</v>
      </c>
      <c r="V970" s="252">
        <v>14.0</v>
      </c>
      <c r="W970" s="252">
        <v>5.2</v>
      </c>
      <c r="X970" s="251" t="s">
        <v>1147</v>
      </c>
      <c r="Y970" s="251" t="s">
        <v>6045</v>
      </c>
      <c r="Z970" s="251" t="s">
        <v>6046</v>
      </c>
      <c r="AA970" s="254" t="s">
        <v>1105</v>
      </c>
      <c r="AB970" s="254" t="s">
        <v>1105</v>
      </c>
    </row>
    <row r="971">
      <c r="A971" s="252">
        <v>970.0</v>
      </c>
      <c r="B971" s="251" t="s">
        <v>6047</v>
      </c>
      <c r="C971" s="252">
        <v>1.0</v>
      </c>
      <c r="D971" s="251" t="s">
        <v>6048</v>
      </c>
      <c r="E971" s="251" t="s">
        <v>1695</v>
      </c>
      <c r="F971" s="251" t="s">
        <v>1109</v>
      </c>
      <c r="G971" s="253" t="s">
        <v>6049</v>
      </c>
      <c r="H971" s="252">
        <v>4.0</v>
      </c>
      <c r="I971" s="251" t="s">
        <v>1140</v>
      </c>
      <c r="J971" s="252">
        <v>8.0</v>
      </c>
      <c r="K971" s="252">
        <v>413.0</v>
      </c>
      <c r="L971" s="252">
        <v>80.0</v>
      </c>
      <c r="M971" s="252">
        <v>6418.0</v>
      </c>
      <c r="N971" s="252">
        <v>8215.0</v>
      </c>
      <c r="O971" s="252">
        <v>2.0</v>
      </c>
      <c r="P971" s="252">
        <v>512.0</v>
      </c>
      <c r="Q971" s="252">
        <v>5975.0</v>
      </c>
      <c r="R971" s="251" t="s">
        <v>1141</v>
      </c>
      <c r="S971" s="251" t="s">
        <v>1122</v>
      </c>
      <c r="T971" s="251" t="s">
        <v>1123</v>
      </c>
      <c r="U971" s="252">
        <v>14.0</v>
      </c>
      <c r="V971" s="252">
        <v>12.0</v>
      </c>
      <c r="W971" s="252">
        <v>6.3</v>
      </c>
      <c r="X971" s="251" t="s">
        <v>1102</v>
      </c>
      <c r="Y971" s="251" t="s">
        <v>6050</v>
      </c>
      <c r="Z971" s="251" t="s">
        <v>6051</v>
      </c>
      <c r="AA971" s="254" t="s">
        <v>1105</v>
      </c>
      <c r="AB971" s="254" t="s">
        <v>1105</v>
      </c>
    </row>
    <row r="972">
      <c r="A972" s="252">
        <v>971.0</v>
      </c>
      <c r="B972" s="251" t="s">
        <v>6052</v>
      </c>
      <c r="C972" s="252">
        <v>1.0</v>
      </c>
      <c r="D972" s="251" t="s">
        <v>6053</v>
      </c>
      <c r="E972" s="251" t="s">
        <v>1195</v>
      </c>
      <c r="F972" s="251" t="s">
        <v>1109</v>
      </c>
      <c r="G972" s="253" t="s">
        <v>6054</v>
      </c>
      <c r="H972" s="252">
        <v>6.0</v>
      </c>
      <c r="I972" s="251" t="s">
        <v>1140</v>
      </c>
      <c r="J972" s="252">
        <v>8.0</v>
      </c>
      <c r="K972" s="252">
        <v>823.0</v>
      </c>
      <c r="L972" s="252">
        <v>120.0</v>
      </c>
      <c r="M972" s="252">
        <v>13904.0</v>
      </c>
      <c r="N972" s="252">
        <v>25305.0</v>
      </c>
      <c r="O972" s="252">
        <v>6.0</v>
      </c>
      <c r="P972" s="252">
        <v>8.0</v>
      </c>
      <c r="Q972" s="252">
        <v>4710.0</v>
      </c>
      <c r="R972" s="251" t="s">
        <v>1141</v>
      </c>
      <c r="S972" s="251" t="s">
        <v>1122</v>
      </c>
      <c r="T972" s="251" t="s">
        <v>1123</v>
      </c>
      <c r="U972" s="252">
        <v>16.0</v>
      </c>
      <c r="V972" s="252">
        <v>14.0</v>
      </c>
      <c r="W972" s="252">
        <v>6.0</v>
      </c>
      <c r="X972" s="251" t="s">
        <v>1102</v>
      </c>
      <c r="Y972" s="251" t="s">
        <v>6055</v>
      </c>
      <c r="Z972" s="251" t="s">
        <v>6056</v>
      </c>
      <c r="AA972" s="254" t="s">
        <v>1105</v>
      </c>
      <c r="AB972" s="254" t="s">
        <v>1105</v>
      </c>
    </row>
    <row r="973">
      <c r="A973" s="252">
        <v>972.0</v>
      </c>
      <c r="B973" s="251" t="s">
        <v>6057</v>
      </c>
      <c r="C973" s="252">
        <v>1.0</v>
      </c>
      <c r="D973" s="251" t="s">
        <v>6058</v>
      </c>
      <c r="E973" s="251" t="s">
        <v>1405</v>
      </c>
      <c r="F973" s="251" t="s">
        <v>1202</v>
      </c>
      <c r="G973" s="253" t="s">
        <v>6059</v>
      </c>
      <c r="H973" s="252">
        <v>4.0</v>
      </c>
      <c r="I973" s="251" t="s">
        <v>1140</v>
      </c>
      <c r="J973" s="252">
        <v>10.0</v>
      </c>
      <c r="K973" s="252">
        <v>181.0</v>
      </c>
      <c r="L973" s="252">
        <v>120.0</v>
      </c>
      <c r="M973" s="252">
        <v>19673.0</v>
      </c>
      <c r="N973" s="252">
        <v>25378.0</v>
      </c>
      <c r="O973" s="252">
        <v>6.0</v>
      </c>
      <c r="P973" s="252">
        <v>64.0</v>
      </c>
      <c r="Q973" s="252">
        <v>5430.0</v>
      </c>
      <c r="R973" s="251" t="s">
        <v>1112</v>
      </c>
      <c r="S973" s="251" t="s">
        <v>1122</v>
      </c>
      <c r="T973" s="251" t="s">
        <v>1101</v>
      </c>
      <c r="U973" s="252">
        <v>48.0</v>
      </c>
      <c r="V973" s="252">
        <v>32.0</v>
      </c>
      <c r="W973" s="252">
        <v>5.2</v>
      </c>
      <c r="X973" s="251" t="s">
        <v>1113</v>
      </c>
      <c r="Y973" s="251" t="s">
        <v>6060</v>
      </c>
      <c r="Z973" s="251" t="s">
        <v>6061</v>
      </c>
      <c r="AA973" s="254" t="s">
        <v>1105</v>
      </c>
      <c r="AB973" s="254" t="s">
        <v>1105</v>
      </c>
    </row>
    <row r="974">
      <c r="A974" s="252">
        <v>973.0</v>
      </c>
      <c r="B974" s="251" t="s">
        <v>6062</v>
      </c>
      <c r="C974" s="252">
        <v>1.0</v>
      </c>
      <c r="D974" s="251" t="s">
        <v>6063</v>
      </c>
      <c r="E974" s="251" t="s">
        <v>1958</v>
      </c>
      <c r="F974" s="251" t="s">
        <v>1215</v>
      </c>
      <c r="G974" s="253" t="s">
        <v>6064</v>
      </c>
      <c r="H974" s="252">
        <v>2.0</v>
      </c>
      <c r="I974" s="251" t="s">
        <v>1131</v>
      </c>
      <c r="J974" s="252">
        <v>12.0</v>
      </c>
      <c r="K974" s="252">
        <v>777.0</v>
      </c>
      <c r="L974" s="252">
        <v>80.0</v>
      </c>
      <c r="M974" s="252">
        <v>13804.0</v>
      </c>
      <c r="N974" s="252">
        <v>20844.0</v>
      </c>
      <c r="O974" s="252">
        <v>12.0</v>
      </c>
      <c r="P974" s="252">
        <v>8.0</v>
      </c>
      <c r="Q974" s="252">
        <v>5859.0</v>
      </c>
      <c r="R974" s="251" t="s">
        <v>1141</v>
      </c>
      <c r="S974" s="251" t="s">
        <v>1100</v>
      </c>
      <c r="T974" s="251" t="s">
        <v>1021</v>
      </c>
      <c r="U974" s="252">
        <v>32.0</v>
      </c>
      <c r="V974" s="252">
        <v>14.0</v>
      </c>
      <c r="W974" s="252">
        <v>4.7</v>
      </c>
      <c r="X974" s="251" t="s">
        <v>1132</v>
      </c>
      <c r="Y974" s="251" t="s">
        <v>6065</v>
      </c>
      <c r="Z974" s="251" t="s">
        <v>6066</v>
      </c>
      <c r="AA974" s="254" t="s">
        <v>1105</v>
      </c>
      <c r="AB974" s="254" t="s">
        <v>1105</v>
      </c>
    </row>
    <row r="975">
      <c r="A975" s="252">
        <v>974.0</v>
      </c>
      <c r="B975" s="251" t="s">
        <v>6067</v>
      </c>
      <c r="C975" s="252">
        <v>1.0</v>
      </c>
      <c r="D975" s="251" t="s">
        <v>6068</v>
      </c>
      <c r="E975" s="251" t="s">
        <v>1502</v>
      </c>
      <c r="F975" s="251" t="s">
        <v>1153</v>
      </c>
      <c r="G975" s="253" t="s">
        <v>6069</v>
      </c>
      <c r="H975" s="252">
        <v>6.0</v>
      </c>
      <c r="I975" s="251" t="s">
        <v>1121</v>
      </c>
      <c r="J975" s="252">
        <v>12.0</v>
      </c>
      <c r="K975" s="252">
        <v>176.0</v>
      </c>
      <c r="L975" s="252">
        <v>100.0</v>
      </c>
      <c r="M975" s="252">
        <v>12614.0</v>
      </c>
      <c r="N975" s="252">
        <v>16524.0</v>
      </c>
      <c r="O975" s="252">
        <v>12.0</v>
      </c>
      <c r="P975" s="252">
        <v>128.0</v>
      </c>
      <c r="Q975" s="252">
        <v>4506.0</v>
      </c>
      <c r="R975" s="251" t="s">
        <v>1141</v>
      </c>
      <c r="S975" s="251" t="s">
        <v>1122</v>
      </c>
      <c r="T975" s="251" t="s">
        <v>1021</v>
      </c>
      <c r="U975" s="252">
        <v>16.0</v>
      </c>
      <c r="V975" s="252">
        <v>48.0</v>
      </c>
      <c r="W975" s="252">
        <v>5.2</v>
      </c>
      <c r="X975" s="251" t="s">
        <v>1113</v>
      </c>
      <c r="Y975" s="251" t="s">
        <v>6070</v>
      </c>
      <c r="Z975" s="251" t="s">
        <v>6071</v>
      </c>
      <c r="AA975" s="254" t="s">
        <v>1105</v>
      </c>
      <c r="AB975" s="254" t="s">
        <v>1105</v>
      </c>
    </row>
    <row r="976">
      <c r="A976" s="252">
        <v>975.0</v>
      </c>
      <c r="B976" s="251" t="s">
        <v>6072</v>
      </c>
      <c r="C976" s="252">
        <v>1.0</v>
      </c>
      <c r="D976" s="251" t="s">
        <v>6073</v>
      </c>
      <c r="E976" s="251" t="s">
        <v>1272</v>
      </c>
      <c r="F976" s="251" t="s">
        <v>1233</v>
      </c>
      <c r="G976" s="253" t="s">
        <v>6074</v>
      </c>
      <c r="H976" s="252">
        <v>4.0</v>
      </c>
      <c r="I976" s="251" t="s">
        <v>1098</v>
      </c>
      <c r="J976" s="252">
        <v>10.0</v>
      </c>
      <c r="K976" s="252">
        <v>125.0</v>
      </c>
      <c r="L976" s="252">
        <v>100.0</v>
      </c>
      <c r="M976" s="252">
        <v>11077.0</v>
      </c>
      <c r="N976" s="252">
        <v>16726.0</v>
      </c>
      <c r="O976" s="252">
        <v>12.0</v>
      </c>
      <c r="P976" s="252">
        <v>128.0</v>
      </c>
      <c r="Q976" s="252">
        <v>4909.0</v>
      </c>
      <c r="R976" s="251" t="s">
        <v>1112</v>
      </c>
      <c r="S976" s="251" t="s">
        <v>1122</v>
      </c>
      <c r="T976" s="251" t="s">
        <v>1101</v>
      </c>
      <c r="U976" s="252">
        <v>48.0</v>
      </c>
      <c r="V976" s="252">
        <v>16.0</v>
      </c>
      <c r="W976" s="252">
        <v>6.0</v>
      </c>
      <c r="X976" s="251" t="s">
        <v>1102</v>
      </c>
      <c r="Y976" s="251" t="s">
        <v>6075</v>
      </c>
      <c r="Z976" s="251" t="s">
        <v>6076</v>
      </c>
      <c r="AA976" s="254" t="s">
        <v>1105</v>
      </c>
      <c r="AB976" s="254" t="s">
        <v>1105</v>
      </c>
    </row>
    <row r="977">
      <c r="A977" s="252">
        <v>976.0</v>
      </c>
      <c r="B977" s="251" t="s">
        <v>6077</v>
      </c>
      <c r="C977" s="252">
        <v>1.0</v>
      </c>
      <c r="D977" s="251" t="s">
        <v>6078</v>
      </c>
      <c r="E977" s="251" t="s">
        <v>1221</v>
      </c>
      <c r="F977" s="251" t="s">
        <v>1160</v>
      </c>
      <c r="G977" s="253" t="s">
        <v>6079</v>
      </c>
      <c r="H977" s="252">
        <v>4.0</v>
      </c>
      <c r="I977" s="251" t="s">
        <v>1111</v>
      </c>
      <c r="J977" s="252">
        <v>8.0</v>
      </c>
      <c r="K977" s="252">
        <v>573.0</v>
      </c>
      <c r="L977" s="252">
        <v>120.0</v>
      </c>
      <c r="M977" s="252">
        <v>17759.0</v>
      </c>
      <c r="N977" s="252">
        <v>21488.0</v>
      </c>
      <c r="O977" s="252">
        <v>12.0</v>
      </c>
      <c r="P977" s="252">
        <v>64.0</v>
      </c>
      <c r="Q977" s="252">
        <v>2205.0</v>
      </c>
      <c r="R977" s="251" t="s">
        <v>1141</v>
      </c>
      <c r="S977" s="251" t="s">
        <v>1100</v>
      </c>
      <c r="T977" s="251" t="s">
        <v>1123</v>
      </c>
      <c r="U977" s="252">
        <v>16.0</v>
      </c>
      <c r="V977" s="252">
        <v>32.0</v>
      </c>
      <c r="W977" s="252">
        <v>5.0</v>
      </c>
      <c r="X977" s="251" t="s">
        <v>1147</v>
      </c>
      <c r="Y977" s="251" t="s">
        <v>6080</v>
      </c>
      <c r="Z977" s="251" t="s">
        <v>6081</v>
      </c>
      <c r="AA977" s="254" t="s">
        <v>1105</v>
      </c>
      <c r="AB977" s="254" t="s">
        <v>1105</v>
      </c>
    </row>
    <row r="978">
      <c r="A978" s="252">
        <v>977.0</v>
      </c>
      <c r="B978" s="251" t="s">
        <v>6082</v>
      </c>
      <c r="C978" s="252">
        <v>1.0</v>
      </c>
      <c r="D978" s="251" t="s">
        <v>6083</v>
      </c>
      <c r="E978" s="251" t="s">
        <v>1964</v>
      </c>
      <c r="F978" s="251" t="s">
        <v>1129</v>
      </c>
      <c r="G978" s="253" t="s">
        <v>6084</v>
      </c>
      <c r="H978" s="252">
        <v>4.0</v>
      </c>
      <c r="I978" s="251" t="s">
        <v>1098</v>
      </c>
      <c r="J978" s="252">
        <v>12.0</v>
      </c>
      <c r="K978" s="252">
        <v>140.0</v>
      </c>
      <c r="L978" s="252">
        <v>100.0</v>
      </c>
      <c r="M978" s="252">
        <v>21940.0</v>
      </c>
      <c r="N978" s="252">
        <v>35542.0</v>
      </c>
      <c r="O978" s="252">
        <v>4.0</v>
      </c>
      <c r="P978" s="252">
        <v>16.0</v>
      </c>
      <c r="Q978" s="252">
        <v>2266.0</v>
      </c>
      <c r="R978" s="251" t="s">
        <v>1141</v>
      </c>
      <c r="S978" s="251" t="s">
        <v>1100</v>
      </c>
      <c r="T978" s="251" t="s">
        <v>1021</v>
      </c>
      <c r="U978" s="252">
        <v>32.0</v>
      </c>
      <c r="V978" s="252">
        <v>14.0</v>
      </c>
      <c r="W978" s="252">
        <v>4.7</v>
      </c>
      <c r="X978" s="251" t="s">
        <v>1113</v>
      </c>
      <c r="Y978" s="251" t="s">
        <v>6085</v>
      </c>
      <c r="Z978" s="251" t="s">
        <v>6086</v>
      </c>
      <c r="AA978" s="254" t="s">
        <v>1105</v>
      </c>
      <c r="AB978" s="254" t="s">
        <v>1105</v>
      </c>
    </row>
    <row r="979">
      <c r="A979" s="252">
        <v>978.0</v>
      </c>
      <c r="B979" s="251" t="s">
        <v>6087</v>
      </c>
      <c r="C979" s="252">
        <v>1.0</v>
      </c>
      <c r="D979" s="251" t="s">
        <v>6088</v>
      </c>
      <c r="E979" s="251" t="s">
        <v>2114</v>
      </c>
      <c r="F979" s="251" t="s">
        <v>1138</v>
      </c>
      <c r="G979" s="253" t="s">
        <v>6089</v>
      </c>
      <c r="H979" s="252">
        <v>5.0</v>
      </c>
      <c r="I979" s="251" t="s">
        <v>1140</v>
      </c>
      <c r="J979" s="252">
        <v>12.0</v>
      </c>
      <c r="K979" s="252">
        <v>823.0</v>
      </c>
      <c r="L979" s="252">
        <v>120.0</v>
      </c>
      <c r="M979" s="252">
        <v>20296.0</v>
      </c>
      <c r="N979" s="252">
        <v>33082.0</v>
      </c>
      <c r="O979" s="252">
        <v>2.0</v>
      </c>
      <c r="P979" s="252">
        <v>32.0</v>
      </c>
      <c r="Q979" s="252">
        <v>3087.0</v>
      </c>
      <c r="R979" s="251" t="s">
        <v>1099</v>
      </c>
      <c r="S979" s="251" t="s">
        <v>1122</v>
      </c>
      <c r="T979" s="251" t="s">
        <v>1101</v>
      </c>
      <c r="U979" s="252">
        <v>48.0</v>
      </c>
      <c r="V979" s="252">
        <v>16.0</v>
      </c>
      <c r="W979" s="252">
        <v>5.5</v>
      </c>
      <c r="X979" s="251" t="s">
        <v>1102</v>
      </c>
      <c r="Y979" s="251" t="s">
        <v>6090</v>
      </c>
      <c r="Z979" s="251" t="s">
        <v>6091</v>
      </c>
      <c r="AA979" s="254" t="s">
        <v>1105</v>
      </c>
      <c r="AB979" s="254" t="s">
        <v>1105</v>
      </c>
    </row>
    <row r="980">
      <c r="A980" s="252">
        <v>979.0</v>
      </c>
      <c r="B980" s="251" t="s">
        <v>6092</v>
      </c>
      <c r="C980" s="252">
        <v>1.0</v>
      </c>
      <c r="D980" s="251" t="s">
        <v>6093</v>
      </c>
      <c r="E980" s="251" t="s">
        <v>1470</v>
      </c>
      <c r="F980" s="251" t="s">
        <v>1215</v>
      </c>
      <c r="G980" s="253" t="s">
        <v>6094</v>
      </c>
      <c r="H980" s="252">
        <v>4.0</v>
      </c>
      <c r="I980" s="251" t="s">
        <v>1131</v>
      </c>
      <c r="J980" s="252">
        <v>12.0</v>
      </c>
      <c r="K980" s="252">
        <v>198.0</v>
      </c>
      <c r="L980" s="252">
        <v>100.0</v>
      </c>
      <c r="M980" s="252">
        <v>4745.0</v>
      </c>
      <c r="N980" s="252">
        <v>6643.0</v>
      </c>
      <c r="O980" s="252">
        <v>8.0</v>
      </c>
      <c r="P980" s="252">
        <v>512.0</v>
      </c>
      <c r="Q980" s="252">
        <v>3281.0</v>
      </c>
      <c r="R980" s="251" t="s">
        <v>1141</v>
      </c>
      <c r="S980" s="251" t="s">
        <v>1122</v>
      </c>
      <c r="T980" s="251" t="s">
        <v>1101</v>
      </c>
      <c r="U980" s="252">
        <v>16.0</v>
      </c>
      <c r="V980" s="252">
        <v>32.0</v>
      </c>
      <c r="W980" s="252">
        <v>6.0</v>
      </c>
      <c r="X980" s="251" t="s">
        <v>1102</v>
      </c>
      <c r="Y980" s="251" t="s">
        <v>6095</v>
      </c>
      <c r="Z980" s="251" t="s">
        <v>6096</v>
      </c>
      <c r="AA980" s="254" t="s">
        <v>1105</v>
      </c>
      <c r="AB980" s="254" t="s">
        <v>1105</v>
      </c>
    </row>
    <row r="981">
      <c r="A981" s="252">
        <v>980.0</v>
      </c>
      <c r="B981" s="251" t="s">
        <v>6097</v>
      </c>
      <c r="C981" s="252">
        <v>1.0</v>
      </c>
      <c r="D981" s="251" t="s">
        <v>6098</v>
      </c>
      <c r="E981" s="251" t="s">
        <v>1678</v>
      </c>
      <c r="F981" s="251" t="s">
        <v>1138</v>
      </c>
      <c r="G981" s="253" t="s">
        <v>6099</v>
      </c>
      <c r="H981" s="252">
        <v>3.0</v>
      </c>
      <c r="I981" s="251" t="s">
        <v>1121</v>
      </c>
      <c r="J981" s="252">
        <v>8.0</v>
      </c>
      <c r="K981" s="252">
        <v>440.0</v>
      </c>
      <c r="L981" s="252">
        <v>100.0</v>
      </c>
      <c r="M981" s="252">
        <v>17046.0</v>
      </c>
      <c r="N981" s="252">
        <v>20455.0</v>
      </c>
      <c r="O981" s="252">
        <v>2.0</v>
      </c>
      <c r="P981" s="252">
        <v>8.0</v>
      </c>
      <c r="Q981" s="252">
        <v>6362.0</v>
      </c>
      <c r="R981" s="251" t="s">
        <v>1099</v>
      </c>
      <c r="S981" s="251" t="s">
        <v>1100</v>
      </c>
      <c r="T981" s="251" t="s">
        <v>1101</v>
      </c>
      <c r="U981" s="252">
        <v>48.0</v>
      </c>
      <c r="V981" s="252">
        <v>12.0</v>
      </c>
      <c r="W981" s="252">
        <v>4.7</v>
      </c>
      <c r="X981" s="251" t="s">
        <v>1102</v>
      </c>
      <c r="Y981" s="251" t="s">
        <v>6100</v>
      </c>
      <c r="Z981" s="251" t="s">
        <v>6101</v>
      </c>
      <c r="AA981" s="254" t="s">
        <v>1105</v>
      </c>
      <c r="AB981" s="254" t="s">
        <v>1105</v>
      </c>
    </row>
    <row r="982">
      <c r="A982" s="252">
        <v>981.0</v>
      </c>
      <c r="B982" s="251" t="s">
        <v>6102</v>
      </c>
      <c r="C982" s="252">
        <v>1.0</v>
      </c>
      <c r="D982" s="251" t="s">
        <v>6103</v>
      </c>
      <c r="E982" s="251" t="s">
        <v>1239</v>
      </c>
      <c r="F982" s="251" t="s">
        <v>1119</v>
      </c>
      <c r="G982" s="253" t="s">
        <v>6104</v>
      </c>
      <c r="H982" s="252">
        <v>6.0</v>
      </c>
      <c r="I982" s="251" t="s">
        <v>1111</v>
      </c>
      <c r="J982" s="252">
        <v>8.0</v>
      </c>
      <c r="K982" s="252">
        <v>385.0</v>
      </c>
      <c r="L982" s="252">
        <v>100.0</v>
      </c>
      <c r="M982" s="252">
        <v>2547.0</v>
      </c>
      <c r="N982" s="252">
        <v>4049.0</v>
      </c>
      <c r="O982" s="252">
        <v>8.0</v>
      </c>
      <c r="P982" s="252">
        <v>8.0</v>
      </c>
      <c r="Q982" s="252">
        <v>3790.0</v>
      </c>
      <c r="R982" s="251" t="s">
        <v>1112</v>
      </c>
      <c r="S982" s="251" t="s">
        <v>1122</v>
      </c>
      <c r="T982" s="251" t="s">
        <v>1101</v>
      </c>
      <c r="U982" s="252">
        <v>16.0</v>
      </c>
      <c r="V982" s="252">
        <v>32.0</v>
      </c>
      <c r="W982" s="252">
        <v>4.7</v>
      </c>
      <c r="X982" s="251" t="s">
        <v>1113</v>
      </c>
      <c r="Y982" s="251" t="s">
        <v>6105</v>
      </c>
      <c r="Z982" s="251" t="s">
        <v>6106</v>
      </c>
      <c r="AA982" s="254" t="s">
        <v>1105</v>
      </c>
      <c r="AB982" s="254" t="s">
        <v>1105</v>
      </c>
    </row>
    <row r="983">
      <c r="A983" s="252">
        <v>982.0</v>
      </c>
      <c r="B983" s="251" t="s">
        <v>6107</v>
      </c>
      <c r="C983" s="252">
        <v>1.0</v>
      </c>
      <c r="D983" s="251" t="s">
        <v>6108</v>
      </c>
      <c r="E983" s="251" t="s">
        <v>1464</v>
      </c>
      <c r="F983" s="251" t="s">
        <v>1096</v>
      </c>
      <c r="G983" s="253" t="s">
        <v>6109</v>
      </c>
      <c r="H983" s="252">
        <v>5.0</v>
      </c>
      <c r="I983" s="251" t="s">
        <v>1111</v>
      </c>
      <c r="J983" s="252">
        <v>12.0</v>
      </c>
      <c r="K983" s="252">
        <v>381.0</v>
      </c>
      <c r="L983" s="252">
        <v>120.0</v>
      </c>
      <c r="M983" s="252">
        <v>9887.0</v>
      </c>
      <c r="N983" s="252">
        <v>14336.0</v>
      </c>
      <c r="O983" s="252">
        <v>4.0</v>
      </c>
      <c r="P983" s="252">
        <v>64.0</v>
      </c>
      <c r="Q983" s="252">
        <v>2079.0</v>
      </c>
      <c r="R983" s="251" t="s">
        <v>1099</v>
      </c>
      <c r="S983" s="251" t="s">
        <v>1122</v>
      </c>
      <c r="T983" s="251" t="s">
        <v>1021</v>
      </c>
      <c r="U983" s="252">
        <v>12.0</v>
      </c>
      <c r="V983" s="252">
        <v>48.0</v>
      </c>
      <c r="W983" s="252">
        <v>5.2</v>
      </c>
      <c r="X983" s="251" t="s">
        <v>1147</v>
      </c>
      <c r="Y983" s="251" t="s">
        <v>6110</v>
      </c>
      <c r="Z983" s="251" t="s">
        <v>6111</v>
      </c>
      <c r="AA983" s="254" t="s">
        <v>1105</v>
      </c>
      <c r="AB983" s="254" t="s">
        <v>1105</v>
      </c>
    </row>
    <row r="984">
      <c r="A984" s="252">
        <v>983.0</v>
      </c>
      <c r="B984" s="251" t="s">
        <v>6112</v>
      </c>
      <c r="C984" s="252">
        <v>1.0</v>
      </c>
      <c r="D984" s="251" t="s">
        <v>6113</v>
      </c>
      <c r="E984" s="251" t="s">
        <v>1232</v>
      </c>
      <c r="F984" s="251" t="s">
        <v>1233</v>
      </c>
      <c r="G984" s="253" t="s">
        <v>6114</v>
      </c>
      <c r="H984" s="252">
        <v>2.0</v>
      </c>
      <c r="I984" s="251" t="s">
        <v>1131</v>
      </c>
      <c r="J984" s="252">
        <v>12.0</v>
      </c>
      <c r="K984" s="252">
        <v>458.0</v>
      </c>
      <c r="L984" s="252">
        <v>120.0</v>
      </c>
      <c r="M984" s="252">
        <v>20163.0</v>
      </c>
      <c r="N984" s="252">
        <v>35486.0</v>
      </c>
      <c r="O984" s="252">
        <v>2.0</v>
      </c>
      <c r="P984" s="252">
        <v>128.0</v>
      </c>
      <c r="Q984" s="252">
        <v>4931.0</v>
      </c>
      <c r="R984" s="251" t="s">
        <v>1099</v>
      </c>
      <c r="S984" s="251" t="s">
        <v>1100</v>
      </c>
      <c r="T984" s="251" t="s">
        <v>1101</v>
      </c>
      <c r="U984" s="252">
        <v>14.0</v>
      </c>
      <c r="V984" s="252">
        <v>48.0</v>
      </c>
      <c r="W984" s="252">
        <v>6.0</v>
      </c>
      <c r="X984" s="251" t="s">
        <v>1132</v>
      </c>
      <c r="Y984" s="251" t="s">
        <v>6115</v>
      </c>
      <c r="Z984" s="251" t="s">
        <v>6116</v>
      </c>
      <c r="AA984" s="254" t="s">
        <v>1105</v>
      </c>
      <c r="AB984" s="254" t="s">
        <v>1105</v>
      </c>
    </row>
    <row r="985">
      <c r="A985" s="252">
        <v>984.0</v>
      </c>
      <c r="B985" s="251" t="s">
        <v>6117</v>
      </c>
      <c r="C985" s="252">
        <v>1.0</v>
      </c>
      <c r="D985" s="251" t="s">
        <v>6118</v>
      </c>
      <c r="E985" s="251" t="s">
        <v>1159</v>
      </c>
      <c r="F985" s="251" t="s">
        <v>1160</v>
      </c>
      <c r="G985" s="253" t="s">
        <v>6119</v>
      </c>
      <c r="H985" s="252">
        <v>4.0</v>
      </c>
      <c r="I985" s="251" t="s">
        <v>1140</v>
      </c>
      <c r="J985" s="252">
        <v>10.0</v>
      </c>
      <c r="K985" s="252">
        <v>282.0</v>
      </c>
      <c r="L985" s="252">
        <v>120.0</v>
      </c>
      <c r="M985" s="252">
        <v>13806.0</v>
      </c>
      <c r="N985" s="252">
        <v>16705.0</v>
      </c>
      <c r="O985" s="252">
        <v>6.0</v>
      </c>
      <c r="P985" s="252">
        <v>16.0</v>
      </c>
      <c r="Q985" s="252">
        <v>3955.0</v>
      </c>
      <c r="R985" s="251" t="s">
        <v>1112</v>
      </c>
      <c r="S985" s="251" t="s">
        <v>1100</v>
      </c>
      <c r="T985" s="251" t="s">
        <v>1123</v>
      </c>
      <c r="U985" s="252">
        <v>14.0</v>
      </c>
      <c r="V985" s="252">
        <v>14.0</v>
      </c>
      <c r="W985" s="252">
        <v>5.0</v>
      </c>
      <c r="X985" s="251" t="s">
        <v>1102</v>
      </c>
      <c r="Y985" s="251" t="s">
        <v>6120</v>
      </c>
      <c r="Z985" s="251" t="s">
        <v>6121</v>
      </c>
      <c r="AA985" s="254" t="s">
        <v>1105</v>
      </c>
      <c r="AB985" s="254" t="s">
        <v>1105</v>
      </c>
    </row>
    <row r="986">
      <c r="A986" s="252">
        <v>985.0</v>
      </c>
      <c r="B986" s="251" t="s">
        <v>6122</v>
      </c>
      <c r="C986" s="252">
        <v>1.0</v>
      </c>
      <c r="D986" s="251" t="s">
        <v>6123</v>
      </c>
      <c r="E986" s="251" t="s">
        <v>1369</v>
      </c>
      <c r="F986" s="251" t="s">
        <v>1129</v>
      </c>
      <c r="G986" s="253" t="s">
        <v>6124</v>
      </c>
      <c r="H986" s="252">
        <v>4.0</v>
      </c>
      <c r="I986" s="251" t="s">
        <v>1140</v>
      </c>
      <c r="J986" s="252">
        <v>8.0</v>
      </c>
      <c r="K986" s="252">
        <v>152.0</v>
      </c>
      <c r="L986" s="252">
        <v>120.0</v>
      </c>
      <c r="M986" s="252">
        <v>10954.0</v>
      </c>
      <c r="N986" s="252">
        <v>16431.0</v>
      </c>
      <c r="O986" s="252">
        <v>4.0</v>
      </c>
      <c r="P986" s="252">
        <v>64.0</v>
      </c>
      <c r="Q986" s="252">
        <v>5473.0</v>
      </c>
      <c r="R986" s="251" t="s">
        <v>1112</v>
      </c>
      <c r="S986" s="251" t="s">
        <v>1122</v>
      </c>
      <c r="T986" s="251" t="s">
        <v>1021</v>
      </c>
      <c r="U986" s="252">
        <v>48.0</v>
      </c>
      <c r="V986" s="252">
        <v>14.0</v>
      </c>
      <c r="W986" s="252">
        <v>4.7</v>
      </c>
      <c r="X986" s="251" t="s">
        <v>1147</v>
      </c>
      <c r="Y986" s="251" t="s">
        <v>6125</v>
      </c>
      <c r="Z986" s="251" t="s">
        <v>6126</v>
      </c>
      <c r="AA986" s="254" t="s">
        <v>1105</v>
      </c>
      <c r="AB986" s="254" t="s">
        <v>1105</v>
      </c>
    </row>
    <row r="987">
      <c r="A987" s="252">
        <v>986.0</v>
      </c>
      <c r="B987" s="251" t="s">
        <v>6127</v>
      </c>
      <c r="C987" s="252">
        <v>1.0</v>
      </c>
      <c r="D987" s="251" t="s">
        <v>6128</v>
      </c>
      <c r="E987" s="251" t="s">
        <v>1347</v>
      </c>
      <c r="F987" s="251" t="s">
        <v>1129</v>
      </c>
      <c r="G987" s="253" t="s">
        <v>6129</v>
      </c>
      <c r="H987" s="252">
        <v>5.0</v>
      </c>
      <c r="I987" s="251" t="s">
        <v>1131</v>
      </c>
      <c r="J987" s="252">
        <v>10.0</v>
      </c>
      <c r="K987" s="252">
        <v>194.0</v>
      </c>
      <c r="L987" s="252">
        <v>120.0</v>
      </c>
      <c r="M987" s="252">
        <v>19216.0</v>
      </c>
      <c r="N987" s="252">
        <v>33051.0</v>
      </c>
      <c r="O987" s="252">
        <v>4.0</v>
      </c>
      <c r="P987" s="252">
        <v>8.0</v>
      </c>
      <c r="Q987" s="252">
        <v>2395.0</v>
      </c>
      <c r="R987" s="251" t="s">
        <v>1112</v>
      </c>
      <c r="S987" s="251" t="s">
        <v>1122</v>
      </c>
      <c r="T987" s="251" t="s">
        <v>1101</v>
      </c>
      <c r="U987" s="252">
        <v>12.0</v>
      </c>
      <c r="V987" s="252">
        <v>16.0</v>
      </c>
      <c r="W987" s="252">
        <v>5.2</v>
      </c>
      <c r="X987" s="251" t="s">
        <v>1102</v>
      </c>
      <c r="Y987" s="251" t="s">
        <v>6130</v>
      </c>
      <c r="Z987" s="251" t="s">
        <v>6131</v>
      </c>
      <c r="AA987" s="254" t="s">
        <v>1105</v>
      </c>
      <c r="AB987" s="254" t="s">
        <v>1105</v>
      </c>
    </row>
    <row r="988">
      <c r="A988" s="252">
        <v>987.0</v>
      </c>
      <c r="B988" s="251" t="s">
        <v>6132</v>
      </c>
      <c r="C988" s="252">
        <v>1.0</v>
      </c>
      <c r="D988" s="251" t="s">
        <v>6133</v>
      </c>
      <c r="E988" s="251" t="s">
        <v>2276</v>
      </c>
      <c r="F988" s="251" t="s">
        <v>1215</v>
      </c>
      <c r="G988" s="253" t="s">
        <v>6134</v>
      </c>
      <c r="H988" s="252">
        <v>6.0</v>
      </c>
      <c r="I988" s="251" t="s">
        <v>1111</v>
      </c>
      <c r="J988" s="252">
        <v>8.0</v>
      </c>
      <c r="K988" s="252">
        <v>693.0</v>
      </c>
      <c r="L988" s="252">
        <v>120.0</v>
      </c>
      <c r="M988" s="252">
        <v>11508.0</v>
      </c>
      <c r="N988" s="252">
        <v>19793.0</v>
      </c>
      <c r="O988" s="252">
        <v>4.0</v>
      </c>
      <c r="P988" s="252">
        <v>32.0</v>
      </c>
      <c r="Q988" s="252">
        <v>1959.0</v>
      </c>
      <c r="R988" s="251" t="s">
        <v>1141</v>
      </c>
      <c r="S988" s="251" t="s">
        <v>1122</v>
      </c>
      <c r="T988" s="251" t="s">
        <v>1021</v>
      </c>
      <c r="U988" s="252">
        <v>48.0</v>
      </c>
      <c r="V988" s="252">
        <v>48.0</v>
      </c>
      <c r="W988" s="252">
        <v>4.7</v>
      </c>
      <c r="X988" s="251" t="s">
        <v>1147</v>
      </c>
      <c r="Y988" s="251" t="s">
        <v>6135</v>
      </c>
      <c r="Z988" s="251" t="s">
        <v>6136</v>
      </c>
      <c r="AA988" s="254" t="s">
        <v>1105</v>
      </c>
      <c r="AB988" s="254" t="s">
        <v>1105</v>
      </c>
    </row>
    <row r="989">
      <c r="A989" s="252">
        <v>988.0</v>
      </c>
      <c r="B989" s="251" t="s">
        <v>6137</v>
      </c>
      <c r="C989" s="252">
        <v>1.0</v>
      </c>
      <c r="D989" s="251" t="s">
        <v>6138</v>
      </c>
      <c r="E989" s="251" t="s">
        <v>1137</v>
      </c>
      <c r="F989" s="251" t="s">
        <v>1138</v>
      </c>
      <c r="G989" s="253" t="s">
        <v>6139</v>
      </c>
      <c r="H989" s="252">
        <v>5.0</v>
      </c>
      <c r="I989" s="251" t="s">
        <v>1121</v>
      </c>
      <c r="J989" s="252">
        <v>10.0</v>
      </c>
      <c r="K989" s="252">
        <v>629.0</v>
      </c>
      <c r="L989" s="252">
        <v>80.0</v>
      </c>
      <c r="M989" s="252">
        <v>16245.0</v>
      </c>
      <c r="N989" s="252">
        <v>27291.0</v>
      </c>
      <c r="O989" s="252">
        <v>4.0</v>
      </c>
      <c r="P989" s="252">
        <v>512.0</v>
      </c>
      <c r="Q989" s="252">
        <v>3377.0</v>
      </c>
      <c r="R989" s="251" t="s">
        <v>1141</v>
      </c>
      <c r="S989" s="251" t="s">
        <v>1122</v>
      </c>
      <c r="T989" s="251" t="s">
        <v>1101</v>
      </c>
      <c r="U989" s="252">
        <v>16.0</v>
      </c>
      <c r="V989" s="252">
        <v>16.0</v>
      </c>
      <c r="W989" s="252">
        <v>6.3</v>
      </c>
      <c r="X989" s="251" t="s">
        <v>1102</v>
      </c>
      <c r="Y989" s="251" t="s">
        <v>6140</v>
      </c>
      <c r="Z989" s="251" t="s">
        <v>6141</v>
      </c>
      <c r="AA989" s="254" t="s">
        <v>1105</v>
      </c>
      <c r="AB989" s="254" t="s">
        <v>1105</v>
      </c>
    </row>
    <row r="990">
      <c r="A990" s="252">
        <v>989.0</v>
      </c>
      <c r="B990" s="251" t="s">
        <v>6142</v>
      </c>
      <c r="C990" s="252">
        <v>1.0</v>
      </c>
      <c r="D990" s="251" t="s">
        <v>6143</v>
      </c>
      <c r="E990" s="251" t="s">
        <v>2161</v>
      </c>
      <c r="F990" s="251" t="s">
        <v>1202</v>
      </c>
      <c r="G990" s="253" t="s">
        <v>6144</v>
      </c>
      <c r="H990" s="252">
        <v>6.0</v>
      </c>
      <c r="I990" s="251" t="s">
        <v>1140</v>
      </c>
      <c r="J990" s="252">
        <v>8.0</v>
      </c>
      <c r="K990" s="252">
        <v>571.0</v>
      </c>
      <c r="L990" s="252">
        <v>120.0</v>
      </c>
      <c r="M990" s="252">
        <v>6891.0</v>
      </c>
      <c r="N990" s="252">
        <v>8958.0</v>
      </c>
      <c r="O990" s="252">
        <v>12.0</v>
      </c>
      <c r="P990" s="252">
        <v>32.0</v>
      </c>
      <c r="Q990" s="252">
        <v>6459.0</v>
      </c>
      <c r="R990" s="251" t="s">
        <v>1112</v>
      </c>
      <c r="S990" s="251" t="s">
        <v>1100</v>
      </c>
      <c r="T990" s="251" t="s">
        <v>1101</v>
      </c>
      <c r="U990" s="252">
        <v>14.0</v>
      </c>
      <c r="V990" s="252">
        <v>12.0</v>
      </c>
      <c r="W990" s="252">
        <v>6.0</v>
      </c>
      <c r="X990" s="251" t="s">
        <v>1147</v>
      </c>
      <c r="Y990" s="251" t="s">
        <v>6145</v>
      </c>
      <c r="Z990" s="251" t="s">
        <v>6146</v>
      </c>
      <c r="AA990" s="254" t="s">
        <v>1105</v>
      </c>
      <c r="AB990" s="254" t="s">
        <v>1105</v>
      </c>
    </row>
    <row r="991">
      <c r="A991" s="252">
        <v>990.0</v>
      </c>
      <c r="B991" s="251" t="s">
        <v>6147</v>
      </c>
      <c r="C991" s="252">
        <v>1.0</v>
      </c>
      <c r="D991" s="251" t="s">
        <v>6148</v>
      </c>
      <c r="E991" s="251" t="s">
        <v>1323</v>
      </c>
      <c r="F991" s="251" t="s">
        <v>1233</v>
      </c>
      <c r="G991" s="253" t="s">
        <v>6149</v>
      </c>
      <c r="H991" s="252">
        <v>6.0</v>
      </c>
      <c r="I991" s="251" t="s">
        <v>1121</v>
      </c>
      <c r="J991" s="252">
        <v>12.0</v>
      </c>
      <c r="K991" s="252">
        <v>773.0</v>
      </c>
      <c r="L991" s="252">
        <v>120.0</v>
      </c>
      <c r="M991" s="252">
        <v>21468.0</v>
      </c>
      <c r="N991" s="252">
        <v>27479.0</v>
      </c>
      <c r="O991" s="252">
        <v>8.0</v>
      </c>
      <c r="P991" s="252">
        <v>512.0</v>
      </c>
      <c r="Q991" s="252">
        <v>4941.0</v>
      </c>
      <c r="R991" s="251" t="s">
        <v>1141</v>
      </c>
      <c r="S991" s="251" t="s">
        <v>1100</v>
      </c>
      <c r="T991" s="251" t="s">
        <v>1123</v>
      </c>
      <c r="U991" s="252">
        <v>14.0</v>
      </c>
      <c r="V991" s="252">
        <v>32.0</v>
      </c>
      <c r="W991" s="252">
        <v>5.0</v>
      </c>
      <c r="X991" s="251" t="s">
        <v>1132</v>
      </c>
      <c r="Y991" s="251" t="s">
        <v>6150</v>
      </c>
      <c r="Z991" s="251" t="s">
        <v>6151</v>
      </c>
      <c r="AA991" s="254" t="s">
        <v>1105</v>
      </c>
      <c r="AB991" s="254" t="s">
        <v>1105</v>
      </c>
    </row>
    <row r="992">
      <c r="A992" s="252">
        <v>991.0</v>
      </c>
      <c r="B992" s="251" t="s">
        <v>6152</v>
      </c>
      <c r="C992" s="252">
        <v>1.0</v>
      </c>
      <c r="D992" s="251" t="s">
        <v>6153</v>
      </c>
      <c r="E992" s="251" t="s">
        <v>1166</v>
      </c>
      <c r="F992" s="251" t="s">
        <v>1119</v>
      </c>
      <c r="G992" s="253" t="s">
        <v>6154</v>
      </c>
      <c r="H992" s="252">
        <v>3.0</v>
      </c>
      <c r="I992" s="251" t="s">
        <v>1098</v>
      </c>
      <c r="J992" s="252">
        <v>8.0</v>
      </c>
      <c r="K992" s="252">
        <v>670.0</v>
      </c>
      <c r="L992" s="252">
        <v>80.0</v>
      </c>
      <c r="M992" s="252">
        <v>17272.0</v>
      </c>
      <c r="N992" s="252">
        <v>24353.0</v>
      </c>
      <c r="O992" s="252">
        <v>8.0</v>
      </c>
      <c r="P992" s="252">
        <v>128.0</v>
      </c>
      <c r="Q992" s="252">
        <v>6240.0</v>
      </c>
      <c r="R992" s="251" t="s">
        <v>1112</v>
      </c>
      <c r="S992" s="251" t="s">
        <v>1122</v>
      </c>
      <c r="T992" s="251" t="s">
        <v>1101</v>
      </c>
      <c r="U992" s="252">
        <v>32.0</v>
      </c>
      <c r="V992" s="252">
        <v>16.0</v>
      </c>
      <c r="W992" s="252">
        <v>6.3</v>
      </c>
      <c r="X992" s="251" t="s">
        <v>1132</v>
      </c>
      <c r="Y992" s="251" t="s">
        <v>6155</v>
      </c>
      <c r="Z992" s="251" t="s">
        <v>6156</v>
      </c>
      <c r="AA992" s="254" t="s">
        <v>1105</v>
      </c>
      <c r="AB992" s="254" t="s">
        <v>1105</v>
      </c>
    </row>
    <row r="993">
      <c r="A993" s="252">
        <v>992.0</v>
      </c>
      <c r="B993" s="251" t="s">
        <v>6157</v>
      </c>
      <c r="C993" s="252">
        <v>1.0</v>
      </c>
      <c r="D993" s="251" t="s">
        <v>6158</v>
      </c>
      <c r="E993" s="251" t="s">
        <v>1232</v>
      </c>
      <c r="F993" s="251" t="s">
        <v>1233</v>
      </c>
      <c r="G993" s="253" t="s">
        <v>6159</v>
      </c>
      <c r="H993" s="252">
        <v>5.0</v>
      </c>
      <c r="I993" s="251" t="s">
        <v>1131</v>
      </c>
      <c r="J993" s="252">
        <v>12.0</v>
      </c>
      <c r="K993" s="252">
        <v>537.0</v>
      </c>
      <c r="L993" s="252">
        <v>120.0</v>
      </c>
      <c r="M993" s="252">
        <v>7322.0</v>
      </c>
      <c r="N993" s="252">
        <v>11129.0</v>
      </c>
      <c r="O993" s="252">
        <v>12.0</v>
      </c>
      <c r="P993" s="252">
        <v>512.0</v>
      </c>
      <c r="Q993" s="252">
        <v>4543.0</v>
      </c>
      <c r="R993" s="251" t="s">
        <v>1141</v>
      </c>
      <c r="S993" s="251" t="s">
        <v>1100</v>
      </c>
      <c r="T993" s="251" t="s">
        <v>1123</v>
      </c>
      <c r="U993" s="252">
        <v>32.0</v>
      </c>
      <c r="V993" s="252">
        <v>14.0</v>
      </c>
      <c r="W993" s="252">
        <v>5.2</v>
      </c>
      <c r="X993" s="251" t="s">
        <v>1102</v>
      </c>
      <c r="Y993" s="251" t="s">
        <v>6160</v>
      </c>
      <c r="Z993" s="251" t="s">
        <v>6161</v>
      </c>
      <c r="AA993" s="254" t="s">
        <v>1105</v>
      </c>
      <c r="AB993" s="254" t="s">
        <v>1105</v>
      </c>
    </row>
    <row r="994">
      <c r="A994" s="252">
        <v>993.0</v>
      </c>
      <c r="B994" s="251" t="s">
        <v>6162</v>
      </c>
      <c r="C994" s="252">
        <v>1.0</v>
      </c>
      <c r="D994" s="251" t="s">
        <v>6163</v>
      </c>
      <c r="E994" s="251" t="s">
        <v>1201</v>
      </c>
      <c r="F994" s="251" t="s">
        <v>1202</v>
      </c>
      <c r="G994" s="253" t="s">
        <v>6164</v>
      </c>
      <c r="H994" s="252">
        <v>4.0</v>
      </c>
      <c r="I994" s="251" t="s">
        <v>1131</v>
      </c>
      <c r="J994" s="252">
        <v>10.0</v>
      </c>
      <c r="K994" s="252">
        <v>650.0</v>
      </c>
      <c r="L994" s="252">
        <v>120.0</v>
      </c>
      <c r="M994" s="252">
        <v>9782.0</v>
      </c>
      <c r="N994" s="252">
        <v>17216.0</v>
      </c>
      <c r="O994" s="252">
        <v>6.0</v>
      </c>
      <c r="P994" s="252">
        <v>64.0</v>
      </c>
      <c r="Q994" s="252">
        <v>5116.0</v>
      </c>
      <c r="R994" s="251" t="s">
        <v>1112</v>
      </c>
      <c r="S994" s="251" t="s">
        <v>1122</v>
      </c>
      <c r="T994" s="251" t="s">
        <v>1123</v>
      </c>
      <c r="U994" s="252">
        <v>16.0</v>
      </c>
      <c r="V994" s="252">
        <v>32.0</v>
      </c>
      <c r="W994" s="252">
        <v>6.0</v>
      </c>
      <c r="X994" s="251" t="s">
        <v>1113</v>
      </c>
      <c r="Y994" s="251" t="s">
        <v>6165</v>
      </c>
      <c r="Z994" s="251" t="s">
        <v>6166</v>
      </c>
      <c r="AA994" s="254" t="s">
        <v>1105</v>
      </c>
      <c r="AB994" s="254" t="s">
        <v>1105</v>
      </c>
    </row>
    <row r="995">
      <c r="A995" s="252">
        <v>994.0</v>
      </c>
      <c r="B995" s="251" t="s">
        <v>6167</v>
      </c>
      <c r="C995" s="252">
        <v>1.0</v>
      </c>
      <c r="D995" s="251" t="s">
        <v>6168</v>
      </c>
      <c r="E995" s="251" t="s">
        <v>1639</v>
      </c>
      <c r="F995" s="251" t="s">
        <v>1129</v>
      </c>
      <c r="G995" s="253" t="s">
        <v>6169</v>
      </c>
      <c r="H995" s="252">
        <v>4.0</v>
      </c>
      <c r="I995" s="251" t="s">
        <v>1098</v>
      </c>
      <c r="J995" s="252">
        <v>8.0</v>
      </c>
      <c r="K995" s="252">
        <v>283.0</v>
      </c>
      <c r="L995" s="252">
        <v>120.0</v>
      </c>
      <c r="M995" s="252">
        <v>5104.0</v>
      </c>
      <c r="N995" s="252">
        <v>9391.0</v>
      </c>
      <c r="O995" s="252">
        <v>6.0</v>
      </c>
      <c r="P995" s="252">
        <v>64.0</v>
      </c>
      <c r="Q995" s="252">
        <v>1892.0</v>
      </c>
      <c r="R995" s="251" t="s">
        <v>1141</v>
      </c>
      <c r="S995" s="251" t="s">
        <v>1122</v>
      </c>
      <c r="T995" s="251" t="s">
        <v>1123</v>
      </c>
      <c r="U995" s="252">
        <v>16.0</v>
      </c>
      <c r="V995" s="252">
        <v>32.0</v>
      </c>
      <c r="W995" s="252">
        <v>6.0</v>
      </c>
      <c r="X995" s="251" t="s">
        <v>1147</v>
      </c>
      <c r="Y995" s="251" t="s">
        <v>6170</v>
      </c>
      <c r="Z995" s="251" t="s">
        <v>6171</v>
      </c>
      <c r="AA995" s="254" t="s">
        <v>1105</v>
      </c>
      <c r="AB995" s="254" t="s">
        <v>1105</v>
      </c>
    </row>
    <row r="996">
      <c r="A996" s="252">
        <v>995.0</v>
      </c>
      <c r="B996" s="251" t="s">
        <v>6172</v>
      </c>
      <c r="C996" s="252">
        <v>1.0</v>
      </c>
      <c r="D996" s="251" t="s">
        <v>6173</v>
      </c>
      <c r="E996" s="251" t="s">
        <v>1874</v>
      </c>
      <c r="F996" s="251" t="s">
        <v>1202</v>
      </c>
      <c r="G996" s="253" t="s">
        <v>6174</v>
      </c>
      <c r="H996" s="252">
        <v>4.0</v>
      </c>
      <c r="I996" s="251" t="s">
        <v>1121</v>
      </c>
      <c r="J996" s="252">
        <v>8.0</v>
      </c>
      <c r="K996" s="252">
        <v>769.0</v>
      </c>
      <c r="L996" s="252">
        <v>120.0</v>
      </c>
      <c r="M996" s="252">
        <v>6262.0</v>
      </c>
      <c r="N996" s="252">
        <v>8892.0</v>
      </c>
      <c r="O996" s="252">
        <v>6.0</v>
      </c>
      <c r="P996" s="252">
        <v>16.0</v>
      </c>
      <c r="Q996" s="252">
        <v>2010.0</v>
      </c>
      <c r="R996" s="251" t="s">
        <v>1141</v>
      </c>
      <c r="S996" s="251" t="s">
        <v>1100</v>
      </c>
      <c r="T996" s="251" t="s">
        <v>1101</v>
      </c>
      <c r="U996" s="252">
        <v>14.0</v>
      </c>
      <c r="V996" s="252">
        <v>32.0</v>
      </c>
      <c r="W996" s="252">
        <v>4.7</v>
      </c>
      <c r="X996" s="251" t="s">
        <v>1132</v>
      </c>
      <c r="Y996" s="251" t="s">
        <v>6175</v>
      </c>
      <c r="Z996" s="251" t="s">
        <v>6176</v>
      </c>
      <c r="AA996" s="254" t="s">
        <v>1105</v>
      </c>
      <c r="AB996" s="254" t="s">
        <v>1105</v>
      </c>
    </row>
    <row r="997">
      <c r="A997" s="252">
        <v>996.0</v>
      </c>
      <c r="B997" s="251" t="s">
        <v>6177</v>
      </c>
      <c r="C997" s="252">
        <v>1.0</v>
      </c>
      <c r="D997" s="251" t="s">
        <v>6178</v>
      </c>
      <c r="E997" s="251" t="s">
        <v>1970</v>
      </c>
      <c r="F997" s="251" t="s">
        <v>1129</v>
      </c>
      <c r="G997" s="253" t="s">
        <v>6179</v>
      </c>
      <c r="H997" s="252">
        <v>2.0</v>
      </c>
      <c r="I997" s="251" t="s">
        <v>1131</v>
      </c>
      <c r="J997" s="252">
        <v>8.0</v>
      </c>
      <c r="K997" s="252">
        <v>253.0</v>
      </c>
      <c r="L997" s="252">
        <v>80.0</v>
      </c>
      <c r="M997" s="252">
        <v>21109.0</v>
      </c>
      <c r="N997" s="252">
        <v>39051.0</v>
      </c>
      <c r="O997" s="252">
        <v>2.0</v>
      </c>
      <c r="P997" s="252">
        <v>64.0</v>
      </c>
      <c r="Q997" s="252">
        <v>6193.0</v>
      </c>
      <c r="R997" s="251" t="s">
        <v>1099</v>
      </c>
      <c r="S997" s="251" t="s">
        <v>1122</v>
      </c>
      <c r="T997" s="251" t="s">
        <v>1123</v>
      </c>
      <c r="U997" s="252">
        <v>32.0</v>
      </c>
      <c r="V997" s="252">
        <v>32.0</v>
      </c>
      <c r="W997" s="252">
        <v>4.7</v>
      </c>
      <c r="X997" s="251" t="s">
        <v>1132</v>
      </c>
      <c r="Y997" s="251" t="s">
        <v>6180</v>
      </c>
      <c r="Z997" s="251" t="s">
        <v>6181</v>
      </c>
      <c r="AA997" s="254" t="s">
        <v>1105</v>
      </c>
      <c r="AB997" s="254" t="s">
        <v>1105</v>
      </c>
    </row>
    <row r="998">
      <c r="A998" s="252">
        <v>997.0</v>
      </c>
      <c r="B998" s="251" t="s">
        <v>6182</v>
      </c>
      <c r="C998" s="252">
        <v>1.0</v>
      </c>
      <c r="D998" s="251" t="s">
        <v>6183</v>
      </c>
      <c r="E998" s="251" t="s">
        <v>1587</v>
      </c>
      <c r="F998" s="251" t="s">
        <v>1119</v>
      </c>
      <c r="G998" s="253" t="s">
        <v>6184</v>
      </c>
      <c r="H998" s="252">
        <v>2.0</v>
      </c>
      <c r="I998" s="251" t="s">
        <v>1121</v>
      </c>
      <c r="J998" s="252">
        <v>8.0</v>
      </c>
      <c r="K998" s="252">
        <v>292.0</v>
      </c>
      <c r="L998" s="252">
        <v>100.0</v>
      </c>
      <c r="M998" s="252">
        <v>19778.0</v>
      </c>
      <c r="N998" s="252">
        <v>30062.0</v>
      </c>
      <c r="O998" s="252">
        <v>2.0</v>
      </c>
      <c r="P998" s="252">
        <v>32.0</v>
      </c>
      <c r="Q998" s="252">
        <v>6325.0</v>
      </c>
      <c r="R998" s="251" t="s">
        <v>1112</v>
      </c>
      <c r="S998" s="251" t="s">
        <v>1100</v>
      </c>
      <c r="T998" s="251" t="s">
        <v>1021</v>
      </c>
      <c r="U998" s="252">
        <v>14.0</v>
      </c>
      <c r="V998" s="252">
        <v>14.0</v>
      </c>
      <c r="W998" s="252">
        <v>5.5</v>
      </c>
      <c r="X998" s="251" t="s">
        <v>1147</v>
      </c>
      <c r="Y998" s="251" t="s">
        <v>6185</v>
      </c>
      <c r="Z998" s="251" t="s">
        <v>6186</v>
      </c>
      <c r="AA998" s="254" t="s">
        <v>1105</v>
      </c>
      <c r="AB998" s="254" t="s">
        <v>1105</v>
      </c>
    </row>
    <row r="999">
      <c r="A999" s="252">
        <v>998.0</v>
      </c>
      <c r="B999" s="251" t="s">
        <v>6187</v>
      </c>
      <c r="C999" s="252">
        <v>1.0</v>
      </c>
      <c r="D999" s="251" t="s">
        <v>6188</v>
      </c>
      <c r="E999" s="251" t="s">
        <v>1312</v>
      </c>
      <c r="F999" s="251" t="s">
        <v>1202</v>
      </c>
      <c r="G999" s="253" t="s">
        <v>6189</v>
      </c>
      <c r="H999" s="252">
        <v>4.0</v>
      </c>
      <c r="I999" s="251" t="s">
        <v>1140</v>
      </c>
      <c r="J999" s="252">
        <v>10.0</v>
      </c>
      <c r="K999" s="252">
        <v>926.0</v>
      </c>
      <c r="L999" s="252">
        <v>100.0</v>
      </c>
      <c r="M999" s="252">
        <v>19459.0</v>
      </c>
      <c r="N999" s="252">
        <v>25102.0</v>
      </c>
      <c r="O999" s="252">
        <v>12.0</v>
      </c>
      <c r="P999" s="252">
        <v>32.0</v>
      </c>
      <c r="Q999" s="252">
        <v>4617.0</v>
      </c>
      <c r="R999" s="251" t="s">
        <v>1099</v>
      </c>
      <c r="S999" s="251" t="s">
        <v>1122</v>
      </c>
      <c r="T999" s="251" t="s">
        <v>1021</v>
      </c>
      <c r="U999" s="252">
        <v>16.0</v>
      </c>
      <c r="V999" s="252">
        <v>16.0</v>
      </c>
      <c r="W999" s="252">
        <v>6.3</v>
      </c>
      <c r="X999" s="251" t="s">
        <v>1147</v>
      </c>
      <c r="Y999" s="251" t="s">
        <v>6190</v>
      </c>
      <c r="Z999" s="251" t="s">
        <v>6191</v>
      </c>
      <c r="AA999" s="254" t="s">
        <v>1105</v>
      </c>
      <c r="AB999" s="254" t="s">
        <v>1105</v>
      </c>
    </row>
    <row r="1000">
      <c r="A1000" s="252">
        <v>999.0</v>
      </c>
      <c r="B1000" s="251" t="s">
        <v>6192</v>
      </c>
      <c r="C1000" s="252">
        <v>1.0</v>
      </c>
      <c r="D1000" s="251" t="s">
        <v>6193</v>
      </c>
      <c r="E1000" s="251" t="s">
        <v>1440</v>
      </c>
      <c r="F1000" s="251" t="s">
        <v>1233</v>
      </c>
      <c r="G1000" s="253" t="s">
        <v>6194</v>
      </c>
      <c r="H1000" s="252">
        <v>4.0</v>
      </c>
      <c r="I1000" s="251" t="s">
        <v>1098</v>
      </c>
      <c r="J1000" s="252">
        <v>12.0</v>
      </c>
      <c r="K1000" s="252">
        <v>421.0</v>
      </c>
      <c r="L1000" s="252">
        <v>120.0</v>
      </c>
      <c r="M1000" s="252">
        <v>8047.0</v>
      </c>
      <c r="N1000" s="252">
        <v>12955.0</v>
      </c>
      <c r="O1000" s="252">
        <v>6.0</v>
      </c>
      <c r="P1000" s="252">
        <v>128.0</v>
      </c>
      <c r="Q1000" s="252">
        <v>3445.0</v>
      </c>
      <c r="R1000" s="251" t="s">
        <v>1099</v>
      </c>
      <c r="S1000" s="251" t="s">
        <v>1100</v>
      </c>
      <c r="T1000" s="251" t="s">
        <v>1021</v>
      </c>
      <c r="U1000" s="252">
        <v>14.0</v>
      </c>
      <c r="V1000" s="252">
        <v>16.0</v>
      </c>
      <c r="W1000" s="252">
        <v>5.2</v>
      </c>
      <c r="X1000" s="251" t="s">
        <v>1147</v>
      </c>
      <c r="Y1000" s="251" t="s">
        <v>6195</v>
      </c>
      <c r="Z1000" s="251" t="s">
        <v>6196</v>
      </c>
      <c r="AA1000" s="254" t="s">
        <v>1105</v>
      </c>
      <c r="AB1000" s="254" t="s">
        <v>1105</v>
      </c>
    </row>
    <row r="1001">
      <c r="A1001" s="252">
        <v>1000.0</v>
      </c>
      <c r="B1001" s="251" t="s">
        <v>6197</v>
      </c>
      <c r="C1001" s="252">
        <v>1.0</v>
      </c>
      <c r="D1001" s="251" t="s">
        <v>6198</v>
      </c>
      <c r="E1001" s="251" t="s">
        <v>2114</v>
      </c>
      <c r="F1001" s="251" t="s">
        <v>1138</v>
      </c>
      <c r="G1001" s="253" t="s">
        <v>6199</v>
      </c>
      <c r="H1001" s="252">
        <v>5.0</v>
      </c>
      <c r="I1001" s="251" t="s">
        <v>1111</v>
      </c>
      <c r="J1001" s="252">
        <v>12.0</v>
      </c>
      <c r="K1001" s="252">
        <v>410.0</v>
      </c>
      <c r="L1001" s="252">
        <v>80.0</v>
      </c>
      <c r="M1001" s="252">
        <v>17910.0</v>
      </c>
      <c r="N1001" s="252">
        <v>27760.0</v>
      </c>
      <c r="O1001" s="252">
        <v>8.0</v>
      </c>
      <c r="P1001" s="252">
        <v>64.0</v>
      </c>
      <c r="Q1001" s="252">
        <v>3676.0</v>
      </c>
      <c r="R1001" s="251" t="s">
        <v>1099</v>
      </c>
      <c r="S1001" s="251" t="s">
        <v>1122</v>
      </c>
      <c r="T1001" s="251" t="s">
        <v>1123</v>
      </c>
      <c r="U1001" s="252">
        <v>16.0</v>
      </c>
      <c r="V1001" s="252">
        <v>32.0</v>
      </c>
      <c r="W1001" s="252">
        <v>5.2</v>
      </c>
      <c r="X1001" s="251" t="s">
        <v>1102</v>
      </c>
      <c r="Y1001" s="251" t="s">
        <v>6200</v>
      </c>
      <c r="Z1001" s="251" t="s">
        <v>6201</v>
      </c>
      <c r="AA1001" s="254" t="s">
        <v>1105</v>
      </c>
      <c r="AB1001" s="254" t="s">
        <v>1105</v>
      </c>
    </row>
    <row r="1002">
      <c r="A1002" s="252">
        <v>1001.0</v>
      </c>
      <c r="B1002" s="251" t="s">
        <v>6202</v>
      </c>
      <c r="C1002" s="252">
        <v>1.0</v>
      </c>
      <c r="D1002" s="251" t="s">
        <v>6203</v>
      </c>
      <c r="E1002" s="251" t="s">
        <v>1095</v>
      </c>
      <c r="F1002" s="251" t="s">
        <v>1096</v>
      </c>
      <c r="G1002" s="253" t="s">
        <v>1097</v>
      </c>
      <c r="H1002" s="252">
        <v>3.0</v>
      </c>
      <c r="I1002" s="251" t="s">
        <v>1098</v>
      </c>
      <c r="J1002" s="252">
        <v>12.0</v>
      </c>
      <c r="K1002" s="252">
        <v>47.0</v>
      </c>
      <c r="L1002" s="252">
        <v>120.0</v>
      </c>
      <c r="M1002" s="252">
        <v>8647.0</v>
      </c>
      <c r="N1002" s="252">
        <v>14354.0</v>
      </c>
      <c r="O1002" s="252">
        <v>6.0</v>
      </c>
      <c r="P1002" s="252">
        <v>16.0</v>
      </c>
      <c r="Q1002" s="252">
        <v>2109.0</v>
      </c>
      <c r="R1002" s="251" t="s">
        <v>1099</v>
      </c>
      <c r="S1002" s="251" t="s">
        <v>1100</v>
      </c>
      <c r="T1002" s="251" t="s">
        <v>1101</v>
      </c>
      <c r="U1002" s="252">
        <v>32.0</v>
      </c>
      <c r="V1002" s="252">
        <v>32.0</v>
      </c>
      <c r="W1002" s="252">
        <v>6.0</v>
      </c>
      <c r="X1002" s="251" t="s">
        <v>1102</v>
      </c>
      <c r="Y1002" s="251" t="s">
        <v>1103</v>
      </c>
      <c r="Z1002" s="251" t="s">
        <v>1104</v>
      </c>
      <c r="AA1002" s="254" t="s">
        <v>1105</v>
      </c>
      <c r="AB1002" s="254" t="s">
        <v>1105</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s>
  <drawing r:id="rId100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14"/>
  </cols>
  <sheetData>
    <row r="1">
      <c r="A1" s="255" t="s">
        <v>6204</v>
      </c>
    </row>
    <row r="2">
      <c r="A2" s="30" t="s">
        <v>149</v>
      </c>
    </row>
    <row r="3">
      <c r="A3" s="30" t="s">
        <v>6205</v>
      </c>
    </row>
    <row r="4">
      <c r="A4" s="30" t="s">
        <v>157</v>
      </c>
    </row>
    <row r="5">
      <c r="A5" s="30" t="s">
        <v>173</v>
      </c>
    </row>
    <row r="6">
      <c r="A6" s="30" t="s">
        <v>198</v>
      </c>
    </row>
    <row r="7">
      <c r="A7" s="30" t="s">
        <v>228</v>
      </c>
    </row>
    <row r="8">
      <c r="A8" s="30" t="s">
        <v>879</v>
      </c>
    </row>
    <row r="9">
      <c r="A9" s="30" t="s">
        <v>300</v>
      </c>
    </row>
    <row r="10">
      <c r="A10" s="30" t="s">
        <v>309</v>
      </c>
    </row>
    <row r="11">
      <c r="A11" s="30" t="s">
        <v>810</v>
      </c>
    </row>
    <row r="12">
      <c r="A12" s="30" t="s">
        <v>6206</v>
      </c>
    </row>
    <row r="13">
      <c r="A13" s="30" t="s">
        <v>495</v>
      </c>
    </row>
    <row r="14">
      <c r="A14" s="30" t="s">
        <v>953</v>
      </c>
    </row>
    <row r="15">
      <c r="A15" s="30" t="s">
        <v>512</v>
      </c>
    </row>
    <row r="16">
      <c r="A16" s="30" t="s">
        <v>653</v>
      </c>
    </row>
    <row r="17">
      <c r="A17" s="30" t="s">
        <v>957</v>
      </c>
    </row>
    <row r="18">
      <c r="A18" s="30" t="s">
        <v>541</v>
      </c>
    </row>
    <row r="19">
      <c r="A19" s="30" t="s">
        <v>550</v>
      </c>
    </row>
    <row r="20">
      <c r="A20" s="30" t="s">
        <v>553</v>
      </c>
    </row>
    <row r="21">
      <c r="A21" s="30" t="s">
        <v>557</v>
      </c>
    </row>
    <row r="22">
      <c r="A22" s="30" t="s">
        <v>11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13" max="13" width="35.86"/>
  </cols>
  <sheetData>
    <row r="1">
      <c r="A1" s="251" t="s">
        <v>44</v>
      </c>
      <c r="B1" s="251" t="s">
        <v>45</v>
      </c>
      <c r="C1" s="251" t="s">
        <v>46</v>
      </c>
      <c r="D1" s="251" t="s">
        <v>47</v>
      </c>
      <c r="E1" s="251" t="s">
        <v>48</v>
      </c>
      <c r="F1" s="251" t="s">
        <v>49</v>
      </c>
      <c r="G1" s="251" t="s">
        <v>50</v>
      </c>
      <c r="H1" s="251" t="s">
        <v>51</v>
      </c>
      <c r="I1" s="251" t="s">
        <v>52</v>
      </c>
      <c r="J1" s="251" t="s">
        <v>53</v>
      </c>
      <c r="K1" s="251" t="s">
        <v>54</v>
      </c>
      <c r="L1" s="251" t="s">
        <v>55</v>
      </c>
      <c r="M1" s="251" t="s">
        <v>56</v>
      </c>
      <c r="N1" s="251" t="s">
        <v>57</v>
      </c>
      <c r="O1" s="251" t="s">
        <v>58</v>
      </c>
      <c r="P1" s="251" t="s">
        <v>59</v>
      </c>
      <c r="Q1" s="251" t="s">
        <v>60</v>
      </c>
      <c r="R1" s="251" t="s">
        <v>61</v>
      </c>
    </row>
    <row r="2">
      <c r="A2" s="113" t="s">
        <v>491</v>
      </c>
      <c r="B2" s="93">
        <v>1.0</v>
      </c>
      <c r="C2" s="93" t="s">
        <v>484</v>
      </c>
      <c r="D2" s="110" t="s">
        <v>492</v>
      </c>
      <c r="E2" s="93">
        <v>2.0</v>
      </c>
      <c r="F2" s="93" t="s">
        <v>383</v>
      </c>
      <c r="G2" s="93" t="s">
        <v>486</v>
      </c>
      <c r="H2" s="93">
        <v>6.0</v>
      </c>
      <c r="I2" s="93">
        <v>128.0</v>
      </c>
      <c r="J2" s="57">
        <v>6.8</v>
      </c>
      <c r="K2" s="96" t="s">
        <v>493</v>
      </c>
      <c r="L2" s="57" t="s">
        <v>488</v>
      </c>
      <c r="M2" s="30" t="s">
        <v>494</v>
      </c>
      <c r="N2" s="57">
        <v>9969.0</v>
      </c>
      <c r="O2" s="57">
        <v>18999.0</v>
      </c>
      <c r="P2" s="57">
        <v>10.0</v>
      </c>
      <c r="Q2" s="51">
        <v>1.0</v>
      </c>
      <c r="R2" s="57">
        <v>0.0</v>
      </c>
    </row>
    <row r="3">
      <c r="A3" s="109" t="s">
        <v>558</v>
      </c>
      <c r="B3" s="91">
        <v>1.0</v>
      </c>
      <c r="C3" s="93">
        <v>2.676898765E9</v>
      </c>
      <c r="D3" s="110" t="s">
        <v>559</v>
      </c>
      <c r="E3" s="91">
        <v>2.0</v>
      </c>
      <c r="F3" s="91" t="s">
        <v>383</v>
      </c>
      <c r="G3" s="91" t="s">
        <v>560</v>
      </c>
      <c r="H3" s="93">
        <v>3.0</v>
      </c>
      <c r="I3" s="93">
        <v>32.0</v>
      </c>
      <c r="J3" s="58">
        <v>5.99</v>
      </c>
      <c r="K3" s="111" t="s">
        <v>561</v>
      </c>
      <c r="L3" s="107" t="s">
        <v>562</v>
      </c>
      <c r="M3" s="57" t="s">
        <v>563</v>
      </c>
      <c r="N3" s="57">
        <v>5799.0</v>
      </c>
      <c r="O3" s="97">
        <v>12999.0</v>
      </c>
      <c r="P3" s="57">
        <v>10.0</v>
      </c>
      <c r="Q3" s="51">
        <v>1.0</v>
      </c>
      <c r="R3" s="57">
        <v>0.0</v>
      </c>
    </row>
    <row r="4">
      <c r="A4" s="48" t="s">
        <v>654</v>
      </c>
      <c r="B4" s="48">
        <v>1.0</v>
      </c>
      <c r="C4" s="123">
        <v>6.59E8</v>
      </c>
      <c r="D4" s="130" t="s">
        <v>655</v>
      </c>
      <c r="E4" s="48">
        <v>2.0</v>
      </c>
      <c r="F4" s="48" t="s">
        <v>383</v>
      </c>
      <c r="G4" s="48" t="s">
        <v>647</v>
      </c>
      <c r="H4" s="130">
        <v>2.0</v>
      </c>
      <c r="I4" s="130">
        <v>16.0</v>
      </c>
      <c r="J4" s="130">
        <v>5.7</v>
      </c>
      <c r="K4" s="24" t="s">
        <v>516</v>
      </c>
      <c r="L4" s="166" t="s">
        <v>651</v>
      </c>
      <c r="M4" s="48" t="s">
        <v>656</v>
      </c>
      <c r="N4" s="48">
        <v>3889.0</v>
      </c>
      <c r="O4" s="48">
        <v>5999.0</v>
      </c>
      <c r="P4" s="57">
        <v>10.0</v>
      </c>
      <c r="Q4" s="51">
        <v>1.0</v>
      </c>
      <c r="R4" s="57">
        <v>0.0</v>
      </c>
    </row>
    <row r="5">
      <c r="A5" s="48" t="s">
        <v>657</v>
      </c>
      <c r="B5" s="48">
        <v>1.0</v>
      </c>
      <c r="C5" s="123">
        <v>6.59E8</v>
      </c>
      <c r="D5" s="130" t="s">
        <v>658</v>
      </c>
      <c r="E5" s="48">
        <v>2.0</v>
      </c>
      <c r="F5" s="48" t="s">
        <v>383</v>
      </c>
      <c r="G5" s="48" t="s">
        <v>647</v>
      </c>
      <c r="H5" s="130">
        <v>2.0</v>
      </c>
      <c r="I5" s="130">
        <v>16.0</v>
      </c>
      <c r="J5" s="130">
        <v>5.7</v>
      </c>
      <c r="K5" s="24" t="s">
        <v>516</v>
      </c>
      <c r="L5" s="166" t="s">
        <v>651</v>
      </c>
      <c r="M5" s="48" t="s">
        <v>659</v>
      </c>
      <c r="N5" s="48">
        <v>3889.0</v>
      </c>
      <c r="O5" s="48">
        <v>5999.0</v>
      </c>
      <c r="P5" s="57">
        <v>10.0</v>
      </c>
      <c r="Q5" s="51">
        <v>1.0</v>
      </c>
      <c r="R5" s="57">
        <v>0.0</v>
      </c>
    </row>
    <row r="6">
      <c r="A6" s="64" t="s">
        <v>792</v>
      </c>
      <c r="B6" s="64">
        <v>1.0</v>
      </c>
      <c r="C6" s="64" t="s">
        <v>793</v>
      </c>
      <c r="D6" s="64" t="s">
        <v>794</v>
      </c>
      <c r="E6" s="64">
        <v>1.0</v>
      </c>
      <c r="F6" s="64" t="s">
        <v>98</v>
      </c>
      <c r="G6" s="64" t="s">
        <v>98</v>
      </c>
      <c r="H6" s="64">
        <v>6.0</v>
      </c>
      <c r="I6" s="64">
        <v>128.0</v>
      </c>
      <c r="J6" s="64">
        <v>6.55</v>
      </c>
      <c r="K6" s="66" t="s">
        <v>795</v>
      </c>
      <c r="L6" s="66" t="s">
        <v>796</v>
      </c>
      <c r="M6" s="12" t="s">
        <v>797</v>
      </c>
      <c r="N6" s="64">
        <v>34739.0</v>
      </c>
      <c r="O6" s="67">
        <v>49999.0</v>
      </c>
      <c r="P6" s="57">
        <v>10.0</v>
      </c>
      <c r="Q6" s="51">
        <v>1.0</v>
      </c>
      <c r="R6" s="57">
        <v>0.0</v>
      </c>
      <c r="S6" s="69"/>
    </row>
    <row r="7">
      <c r="A7" s="91"/>
      <c r="B7" s="92"/>
      <c r="C7" s="57"/>
      <c r="D7" s="183"/>
      <c r="E7" s="91"/>
      <c r="F7" s="57"/>
      <c r="G7" s="183"/>
      <c r="H7" s="175"/>
      <c r="I7" s="175"/>
      <c r="J7" s="105"/>
      <c r="K7" s="107"/>
      <c r="L7" s="107"/>
      <c r="M7" s="57"/>
      <c r="N7" s="57"/>
      <c r="O7" s="57"/>
      <c r="P7" s="57"/>
      <c r="Q7" s="175"/>
      <c r="R7" s="57"/>
    </row>
    <row r="8">
      <c r="A8" s="194"/>
      <c r="B8" s="21"/>
      <c r="C8" s="21"/>
      <c r="D8" s="176"/>
      <c r="E8" s="21"/>
      <c r="F8" s="21"/>
      <c r="G8" s="21"/>
      <c r="J8" s="57"/>
      <c r="K8" s="198"/>
      <c r="L8" s="24"/>
      <c r="N8" s="57"/>
      <c r="O8" s="97"/>
      <c r="P8" s="57"/>
      <c r="Q8" s="175"/>
      <c r="R8" s="57"/>
    </row>
    <row r="9">
      <c r="A9" s="118"/>
      <c r="B9" s="119"/>
      <c r="C9" s="119"/>
      <c r="D9" s="119"/>
      <c r="E9" s="118"/>
      <c r="F9" s="119"/>
      <c r="G9" s="119"/>
      <c r="H9" s="119"/>
      <c r="I9" s="119"/>
      <c r="J9" s="119"/>
      <c r="K9" s="120"/>
      <c r="L9" s="120"/>
      <c r="M9" s="118"/>
      <c r="N9" s="118"/>
      <c r="O9" s="118"/>
      <c r="P9" s="57"/>
      <c r="Q9" s="175"/>
      <c r="R9" s="57"/>
    </row>
    <row r="10">
      <c r="A10" s="113"/>
      <c r="B10" s="93"/>
      <c r="C10" s="93"/>
      <c r="D10" s="110"/>
      <c r="E10" s="93"/>
      <c r="F10" s="93"/>
      <c r="G10" s="93"/>
      <c r="H10" s="175"/>
      <c r="I10" s="175"/>
      <c r="J10" s="57"/>
      <c r="K10" s="96"/>
      <c r="L10" s="57"/>
      <c r="N10" s="57"/>
      <c r="O10" s="57"/>
      <c r="P10" s="57"/>
      <c r="Q10" s="175"/>
      <c r="R10" s="57"/>
    </row>
    <row r="11">
      <c r="A11" s="109"/>
      <c r="B11" s="91"/>
      <c r="C11" s="93"/>
      <c r="D11" s="104"/>
      <c r="E11" s="91"/>
      <c r="F11" s="91"/>
      <c r="G11" s="91"/>
      <c r="H11" s="175"/>
      <c r="I11" s="175"/>
      <c r="J11" s="58"/>
      <c r="K11" s="256"/>
      <c r="L11" s="71"/>
      <c r="M11" s="57"/>
      <c r="N11" s="57"/>
      <c r="O11" s="57"/>
      <c r="P11" s="57"/>
      <c r="Q11" s="51"/>
      <c r="R11" s="57"/>
    </row>
    <row r="12">
      <c r="A12" s="109"/>
      <c r="B12" s="91"/>
      <c r="C12" s="93"/>
      <c r="D12" s="58"/>
      <c r="E12" s="91"/>
      <c r="F12" s="257"/>
      <c r="G12" s="183"/>
      <c r="H12" s="175"/>
      <c r="I12" s="175"/>
      <c r="J12" s="104"/>
      <c r="K12" s="256"/>
      <c r="L12" s="71"/>
      <c r="M12" s="57"/>
      <c r="N12" s="57"/>
      <c r="O12" s="57"/>
      <c r="P12" s="57"/>
      <c r="Q12" s="51"/>
      <c r="R12" s="57"/>
    </row>
    <row r="13">
      <c r="A13" s="109"/>
      <c r="B13" s="91"/>
      <c r="C13" s="93"/>
      <c r="D13" s="176"/>
      <c r="E13" s="91"/>
      <c r="F13" s="91"/>
      <c r="G13" s="91"/>
      <c r="H13" s="175"/>
      <c r="I13" s="175"/>
      <c r="J13" s="104"/>
      <c r="K13" s="256"/>
      <c r="L13" s="71"/>
      <c r="M13" s="57"/>
      <c r="N13" s="57"/>
      <c r="O13" s="57"/>
      <c r="P13" s="57"/>
      <c r="Q13" s="51"/>
      <c r="R13" s="57"/>
    </row>
    <row r="14">
      <c r="A14" s="109"/>
      <c r="B14" s="91"/>
      <c r="C14" s="93"/>
      <c r="D14" s="176"/>
      <c r="E14" s="91"/>
      <c r="F14" s="91"/>
      <c r="G14" s="91"/>
      <c r="H14" s="175"/>
      <c r="I14" s="175"/>
      <c r="J14" s="104"/>
      <c r="K14" s="256"/>
      <c r="L14" s="71"/>
      <c r="M14" s="57"/>
      <c r="N14" s="57"/>
      <c r="O14" s="57"/>
      <c r="P14" s="57"/>
      <c r="Q14" s="51"/>
      <c r="R14" s="57"/>
    </row>
    <row r="15">
      <c r="A15" s="91"/>
      <c r="B15" s="92"/>
      <c r="C15" s="93"/>
      <c r="D15" s="104"/>
      <c r="E15" s="91"/>
      <c r="F15" s="91"/>
      <c r="G15" s="183"/>
      <c r="H15" s="175"/>
      <c r="I15" s="175"/>
      <c r="J15" s="58"/>
      <c r="K15" s="256"/>
      <c r="L15" s="71"/>
      <c r="M15" s="57"/>
      <c r="N15" s="57"/>
      <c r="O15" s="57"/>
      <c r="P15" s="57"/>
      <c r="Q15" s="51"/>
      <c r="R15" s="57"/>
    </row>
    <row r="16">
      <c r="A16" s="48"/>
      <c r="B16" s="48"/>
      <c r="C16" s="48"/>
      <c r="D16" s="130"/>
      <c r="E16" s="48"/>
      <c r="F16" s="48"/>
      <c r="G16" s="48"/>
      <c r="H16" s="130"/>
      <c r="I16" s="130"/>
      <c r="J16" s="58"/>
      <c r="K16" s="258"/>
      <c r="L16" s="259"/>
      <c r="M16" s="48"/>
      <c r="N16" s="48"/>
      <c r="O16" s="48"/>
      <c r="P16" s="57"/>
      <c r="Q16" s="51"/>
      <c r="R16" s="57"/>
    </row>
    <row r="17">
      <c r="A17" s="24"/>
      <c r="B17" s="203"/>
      <c r="C17" s="203"/>
      <c r="D17" s="203"/>
      <c r="E17" s="24"/>
      <c r="F17" s="24"/>
      <c r="G17" s="24"/>
      <c r="J17" s="203"/>
      <c r="K17" s="24"/>
      <c r="L17" s="24"/>
      <c r="M17" s="24"/>
      <c r="N17" s="24"/>
      <c r="O17" s="24"/>
      <c r="P17" s="260"/>
      <c r="Q17" s="261"/>
      <c r="R17" s="260"/>
    </row>
    <row r="18">
      <c r="A18" s="231"/>
      <c r="B18" s="144"/>
      <c r="C18" s="203"/>
      <c r="D18" s="231"/>
      <c r="E18" s="231"/>
      <c r="F18" s="24"/>
      <c r="G18" s="231"/>
      <c r="J18" s="203"/>
      <c r="K18" s="35"/>
      <c r="L18" s="35"/>
      <c r="M18" s="24"/>
      <c r="N18" s="24"/>
      <c r="O18" s="24"/>
      <c r="P18" s="260"/>
      <c r="Q18" s="261"/>
      <c r="R18" s="260"/>
    </row>
    <row r="19">
      <c r="A19" s="231"/>
      <c r="B19" s="144"/>
      <c r="C19" s="203"/>
      <c r="D19" s="231"/>
      <c r="E19" s="231"/>
      <c r="F19" s="24"/>
      <c r="G19" s="231"/>
      <c r="J19" s="203"/>
      <c r="K19" s="35"/>
      <c r="L19" s="35"/>
      <c r="M19" s="24"/>
      <c r="N19" s="24"/>
      <c r="O19" s="24"/>
      <c r="P19" s="260"/>
      <c r="Q19" s="261"/>
      <c r="R19" s="260"/>
    </row>
    <row r="20">
      <c r="A20" s="231"/>
      <c r="B20" s="144"/>
      <c r="C20" s="203"/>
      <c r="D20" s="231"/>
      <c r="E20" s="231"/>
      <c r="F20" s="24"/>
      <c r="G20" s="231"/>
      <c r="J20" s="203"/>
      <c r="K20" s="35"/>
      <c r="L20" s="35"/>
      <c r="M20" s="24"/>
      <c r="N20" s="24"/>
      <c r="O20" s="24"/>
      <c r="P20" s="260"/>
      <c r="Q20" s="261"/>
      <c r="R20" s="260"/>
    </row>
    <row r="21">
      <c r="A21" s="113"/>
      <c r="B21" s="21"/>
      <c r="C21" s="21"/>
      <c r="D21" s="21"/>
      <c r="E21" s="21"/>
      <c r="F21" s="21"/>
      <c r="G21" s="21"/>
      <c r="J21" s="262"/>
      <c r="K21" s="263"/>
      <c r="L21" s="24"/>
      <c r="M21" s="24"/>
      <c r="N21" s="24"/>
      <c r="O21" s="24"/>
      <c r="P21" s="260"/>
      <c r="Q21" s="261"/>
      <c r="R21" s="260"/>
    </row>
    <row r="22">
      <c r="A22" s="113"/>
      <c r="B22" s="21"/>
      <c r="C22" s="21"/>
      <c r="D22" s="176"/>
      <c r="E22" s="21"/>
      <c r="F22" s="21"/>
      <c r="G22" s="21"/>
      <c r="J22" s="203"/>
      <c r="K22" s="263"/>
      <c r="L22" s="24"/>
      <c r="M22" s="24"/>
      <c r="N22" s="24"/>
      <c r="O22" s="24"/>
      <c r="P22" s="260"/>
      <c r="Q22" s="261"/>
      <c r="R22" s="260"/>
    </row>
    <row r="23">
      <c r="A23" s="113"/>
      <c r="B23" s="21"/>
      <c r="C23" s="21"/>
      <c r="D23" s="21"/>
      <c r="E23" s="21"/>
      <c r="F23" s="21"/>
      <c r="J23" s="262"/>
      <c r="K23" s="263"/>
      <c r="L23" s="24"/>
      <c r="M23" s="24"/>
      <c r="N23" s="24"/>
      <c r="O23" s="24"/>
      <c r="P23" s="260"/>
      <c r="Q23" s="261"/>
      <c r="R23" s="260"/>
    </row>
    <row r="24">
      <c r="A24" s="113"/>
      <c r="B24" s="21"/>
      <c r="C24" s="21"/>
      <c r="D24" s="176"/>
      <c r="E24" s="21"/>
      <c r="F24" s="21"/>
      <c r="G24" s="21"/>
      <c r="J24" s="262"/>
      <c r="K24" s="263"/>
      <c r="L24" s="24"/>
      <c r="M24" s="24"/>
      <c r="N24" s="24"/>
      <c r="O24" s="24"/>
      <c r="P24" s="260"/>
      <c r="Q24" s="261"/>
      <c r="R24" s="260"/>
    </row>
    <row r="25">
      <c r="A25" s="113"/>
      <c r="B25" s="21"/>
      <c r="C25" s="21"/>
      <c r="D25" s="176"/>
      <c r="E25" s="21"/>
      <c r="F25" s="21"/>
      <c r="G25" s="21"/>
      <c r="J25" s="262"/>
      <c r="K25" s="263"/>
      <c r="L25" s="24"/>
      <c r="M25" s="24"/>
      <c r="N25" s="24"/>
      <c r="O25" s="24"/>
      <c r="P25" s="260"/>
      <c r="Q25" s="261"/>
      <c r="R25" s="260"/>
    </row>
    <row r="26">
      <c r="A26" s="113"/>
      <c r="B26" s="21"/>
      <c r="C26" s="21"/>
      <c r="D26" s="176"/>
      <c r="E26" s="21"/>
      <c r="F26" s="21"/>
      <c r="J26" s="203"/>
      <c r="K26" s="263"/>
      <c r="L26" s="24"/>
      <c r="M26" s="24"/>
      <c r="N26" s="24"/>
      <c r="O26" s="24"/>
      <c r="P26" s="260"/>
      <c r="Q26" s="261"/>
      <c r="R26" s="260"/>
    </row>
    <row r="27">
      <c r="A27" s="113"/>
      <c r="B27" s="21"/>
      <c r="C27" s="21"/>
      <c r="D27" s="176"/>
      <c r="E27" s="21"/>
      <c r="F27" s="21"/>
      <c r="G27" s="21"/>
      <c r="J27" s="203"/>
      <c r="K27" s="263"/>
      <c r="L27" s="24"/>
      <c r="M27" s="24"/>
      <c r="N27" s="24"/>
      <c r="O27" s="24"/>
      <c r="P27" s="260"/>
      <c r="Q27" s="261"/>
      <c r="R27" s="260"/>
    </row>
    <row r="28">
      <c r="A28" s="113"/>
      <c r="B28" s="21"/>
      <c r="C28" s="21"/>
      <c r="D28" s="176"/>
      <c r="E28" s="21"/>
      <c r="F28" s="21"/>
      <c r="G28" s="21"/>
      <c r="J28" s="203"/>
      <c r="K28" s="263"/>
      <c r="L28" s="24"/>
      <c r="M28" s="24"/>
      <c r="N28" s="24"/>
      <c r="O28" s="24"/>
      <c r="P28" s="260"/>
      <c r="Q28" s="261"/>
      <c r="R28" s="260"/>
    </row>
    <row r="29">
      <c r="A29" s="113"/>
      <c r="B29" s="21"/>
      <c r="C29" s="21"/>
      <c r="D29" s="176"/>
      <c r="E29" s="21"/>
      <c r="F29" s="21"/>
      <c r="G29" s="21"/>
      <c r="J29" s="203"/>
      <c r="K29" s="263"/>
      <c r="L29" s="24"/>
      <c r="M29" s="24"/>
      <c r="N29" s="24"/>
      <c r="O29" s="24"/>
      <c r="P29" s="260"/>
      <c r="Q29" s="261"/>
      <c r="R29" s="260"/>
    </row>
    <row r="30">
      <c r="A30" s="113"/>
      <c r="B30" s="21"/>
      <c r="C30" s="21"/>
      <c r="D30" s="176"/>
      <c r="E30" s="21"/>
      <c r="F30" s="21"/>
      <c r="G30" s="21"/>
      <c r="J30" s="203"/>
      <c r="K30" s="263"/>
      <c r="L30" s="24"/>
      <c r="M30" s="24"/>
      <c r="N30" s="24"/>
      <c r="O30" s="24"/>
      <c r="P30" s="260"/>
      <c r="Q30" s="261"/>
      <c r="R30" s="260"/>
    </row>
    <row r="31">
      <c r="A31" s="113"/>
      <c r="B31" s="21"/>
      <c r="C31" s="21"/>
      <c r="D31" s="176"/>
      <c r="E31" s="21"/>
      <c r="F31" s="21"/>
      <c r="G31" s="21"/>
      <c r="J31" s="203"/>
      <c r="K31" s="263"/>
      <c r="L31" s="24"/>
      <c r="M31" s="24"/>
      <c r="N31" s="24"/>
      <c r="O31" s="24"/>
      <c r="P31" s="260"/>
      <c r="Q31" s="261"/>
      <c r="R31" s="260"/>
    </row>
    <row r="32">
      <c r="A32" s="113"/>
      <c r="B32" s="21"/>
      <c r="C32" s="21"/>
      <c r="D32" s="176"/>
      <c r="E32" s="21"/>
      <c r="F32" s="21"/>
      <c r="G32" s="21"/>
      <c r="J32" s="203"/>
      <c r="K32" s="263"/>
      <c r="L32" s="24"/>
      <c r="M32" s="24"/>
      <c r="N32" s="24"/>
      <c r="O32" s="24"/>
      <c r="P32" s="260"/>
      <c r="Q32" s="261"/>
      <c r="R32" s="260"/>
    </row>
    <row r="33">
      <c r="A33" s="264"/>
      <c r="B33" s="265"/>
      <c r="C33" s="266"/>
      <c r="D33" s="265"/>
      <c r="E33" s="267"/>
      <c r="F33" s="264"/>
      <c r="G33" s="264"/>
      <c r="H33" s="267"/>
      <c r="I33" s="267"/>
      <c r="J33" s="265"/>
      <c r="K33" s="263"/>
      <c r="L33" s="268"/>
      <c r="M33" s="264"/>
      <c r="N33" s="267"/>
      <c r="O33" s="267"/>
      <c r="P33" s="260"/>
      <c r="Q33" s="261"/>
      <c r="R33" s="260"/>
    </row>
  </sheetData>
  <drawing r:id="rId1"/>
</worksheet>
</file>